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selhk.sharepoint.com/Shared Documents/c49/c49szx.cs-common/"/>
    </mc:Choice>
  </mc:AlternateContent>
  <xr:revisionPtr revIDLastSave="4608" documentId="6_{874492C0-76BA-4837-ADE2-F15017D577C5}" xr6:coauthVersionLast="47" xr6:coauthVersionMax="47" xr10:uidLastSave="{5A2E6A99-CB0D-4668-A39A-4CF2BDB96DAC}"/>
  <bookViews>
    <workbookView xWindow="-120" yWindow="-120" windowWidth="29040" windowHeight="1584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By month" sheetId="27" r:id="rId12"/>
    <sheet name="delivery forecast" sheetId="19" r:id="rId13"/>
    <sheet name="Sheet5" sheetId="38" r:id="rId14"/>
    <sheet name="Data pick slip" sheetId="2" r:id="rId15"/>
    <sheet name="Sheet1" sheetId="17" r:id="rId16"/>
    <sheet name="Sheet3" sheetId="20" r:id="rId17"/>
  </sheets>
  <externalReferences>
    <externalReference r:id="rId18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Reserved'!$A$1:$U$586</definedName>
    <definedName name="_xlnm._FilterDatabase" localSheetId="8" hidden="1">'NEW Feeder Reserved 2022-11-29前'!$A$1:$U$3726</definedName>
    <definedName name="_xlnm._FilterDatabase" localSheetId="4" hidden="1">Nozzle!$A$1:$V$205</definedName>
    <definedName name="_xlnm._FilterDatabase" localSheetId="15" hidden="1">Sheet1!$A$1:$F$180</definedName>
    <definedName name="_xlnm._FilterDatabase" localSheetId="1" hidden="1">Stock_list!$A$1:$XFA$2503</definedName>
    <definedName name="OLE_LINK12" localSheetId="1">Stock_list!$N$1251</definedName>
    <definedName name="切片器_Item">#N/A</definedName>
    <definedName name="切片器_Warehouse">#N/A</definedName>
  </definedNames>
  <calcPr calcId="191028"/>
  <pivotCaches>
    <pivotCache cacheId="0" r:id="rId19"/>
    <pivotCache cacheId="1" r:id="rId20"/>
    <pivotCache cacheId="2" r:id="rId21"/>
    <pivotCache cacheId="3" r:id="rId22"/>
    <pivotCache cacheId="4" r:id="rId23"/>
    <pivotCache cacheId="5" r:id="rId24"/>
    <pivotCache cacheId="6" r:id="rId25"/>
    <pivotCache cacheId="7" r:id="rId26"/>
    <pivotCache cacheId="8" r:id="rId27"/>
    <pivotCache cacheId="16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504" i="1" l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E88" i="36"/>
  <c r="C88" i="36"/>
  <c r="E87" i="36"/>
  <c r="C87" i="36"/>
  <c r="E86" i="36"/>
  <c r="C86" i="36"/>
  <c r="E85" i="36"/>
  <c r="C85" i="36"/>
  <c r="E90" i="36"/>
  <c r="C90" i="36"/>
  <c r="E89" i="36"/>
  <c r="C89" i="36"/>
  <c r="E91" i="36"/>
  <c r="C91" i="36"/>
  <c r="C84" i="36"/>
  <c r="C83" i="36"/>
  <c r="C82" i="36"/>
  <c r="R177" i="36"/>
  <c r="M177" i="36"/>
  <c r="L177" i="36"/>
  <c r="K177" i="36"/>
  <c r="C177" i="36"/>
  <c r="C176" i="36"/>
  <c r="C175" i="36"/>
  <c r="C174" i="36"/>
  <c r="C173" i="36"/>
  <c r="C81" i="36" l="1"/>
  <c r="C80" i="36"/>
  <c r="C172" i="36"/>
  <c r="C171" i="36"/>
  <c r="J5" i="12"/>
  <c r="J6" i="12" s="1"/>
  <c r="K5" i="12"/>
  <c r="J15" i="12"/>
  <c r="K15" i="12"/>
  <c r="J16" i="12" s="1"/>
  <c r="J29" i="12"/>
  <c r="K29" i="12"/>
  <c r="J30" i="12"/>
  <c r="C170" i="36" l="1"/>
  <c r="C169" i="36"/>
  <c r="C168" i="36"/>
  <c r="C167" i="36"/>
  <c r="C166" i="36"/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" i="1"/>
  <c r="AO752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T571" i="1"/>
  <c r="AU571" i="1"/>
  <c r="AU655" i="1"/>
  <c r="AU656" i="1"/>
  <c r="AT701" i="1"/>
  <c r="AU701" i="1"/>
  <c r="AT702" i="1"/>
  <c r="AU702" i="1"/>
  <c r="AT752" i="1"/>
  <c r="AU752" i="1"/>
  <c r="AT766" i="1"/>
  <c r="AU766" i="1"/>
  <c r="AT1037" i="1"/>
  <c r="AU1037" i="1"/>
  <c r="AT1191" i="1"/>
  <c r="AU1191" i="1"/>
  <c r="AT1233" i="1"/>
  <c r="AU1233" i="1"/>
  <c r="AT1258" i="1"/>
  <c r="AT1322" i="1"/>
  <c r="AT1369" i="1"/>
  <c r="AU1369" i="1"/>
  <c r="AT1401" i="1"/>
  <c r="AU1401" i="1"/>
  <c r="AT1622" i="1"/>
  <c r="AU1622" i="1"/>
  <c r="AT1623" i="1"/>
  <c r="AU1623" i="1"/>
  <c r="AT1624" i="1"/>
  <c r="AU1624" i="1"/>
  <c r="AT1625" i="1"/>
  <c r="AU1625" i="1"/>
  <c r="AT1626" i="1"/>
  <c r="AU1626" i="1"/>
  <c r="AT1627" i="1"/>
  <c r="AU1627" i="1"/>
  <c r="AT1628" i="1"/>
  <c r="AU1628" i="1"/>
  <c r="AT1629" i="1"/>
  <c r="AU1629" i="1"/>
  <c r="AT1630" i="1"/>
  <c r="AU1630" i="1"/>
  <c r="AT1631" i="1"/>
  <c r="AU1631" i="1"/>
  <c r="AT1632" i="1"/>
  <c r="AU1632" i="1"/>
  <c r="AT1633" i="1"/>
  <c r="AU1633" i="1"/>
  <c r="AT1634" i="1"/>
  <c r="AU1634" i="1"/>
  <c r="AT1635" i="1"/>
  <c r="AU1635" i="1"/>
  <c r="AT1636" i="1"/>
  <c r="AU1636" i="1"/>
  <c r="AT1637" i="1"/>
  <c r="AU1637" i="1"/>
  <c r="AT1638" i="1"/>
  <c r="AU1638" i="1"/>
  <c r="AT1639" i="1"/>
  <c r="AU1639" i="1"/>
  <c r="AT1640" i="1"/>
  <c r="AU1640" i="1"/>
  <c r="AT1641" i="1"/>
  <c r="AU1641" i="1"/>
  <c r="AT1642" i="1"/>
  <c r="AU1642" i="1"/>
  <c r="AT1643" i="1"/>
  <c r="AU1643" i="1"/>
  <c r="AT1644" i="1"/>
  <c r="AU1644" i="1"/>
  <c r="AT1645" i="1"/>
  <c r="AU1645" i="1"/>
  <c r="AT1646" i="1"/>
  <c r="AU1646" i="1"/>
  <c r="AT1647" i="1"/>
  <c r="AU1647" i="1"/>
  <c r="AT1648" i="1"/>
  <c r="AU1648" i="1"/>
  <c r="AT1649" i="1"/>
  <c r="AU1649" i="1"/>
  <c r="AT1650" i="1"/>
  <c r="AU1650" i="1"/>
  <c r="AT1651" i="1"/>
  <c r="AU1651" i="1"/>
  <c r="AT1652" i="1"/>
  <c r="AU1652" i="1"/>
  <c r="AT1653" i="1"/>
  <c r="AU1653" i="1"/>
  <c r="AT1654" i="1"/>
  <c r="AU1654" i="1"/>
  <c r="AT1655" i="1"/>
  <c r="AU1655" i="1"/>
  <c r="AT1656" i="1"/>
  <c r="AU1656" i="1"/>
  <c r="AT1657" i="1"/>
  <c r="AU1657" i="1"/>
  <c r="AT1658" i="1"/>
  <c r="AU1658" i="1"/>
  <c r="AT1659" i="1"/>
  <c r="AU1659" i="1"/>
  <c r="AT1660" i="1"/>
  <c r="AU1660" i="1"/>
  <c r="AT1661" i="1"/>
  <c r="AU1661" i="1"/>
  <c r="AT1662" i="1"/>
  <c r="AU1662" i="1"/>
  <c r="AT1663" i="1"/>
  <c r="AU1663" i="1"/>
  <c r="AT1664" i="1"/>
  <c r="AU1664" i="1"/>
  <c r="AT1665" i="1"/>
  <c r="AU1665" i="1"/>
  <c r="AT1666" i="1"/>
  <c r="AU1666" i="1"/>
  <c r="AT1667" i="1"/>
  <c r="AU1667" i="1"/>
  <c r="AT1668" i="1"/>
  <c r="AU1668" i="1"/>
  <c r="AT1669" i="1"/>
  <c r="AU1669" i="1"/>
  <c r="AT1670" i="1"/>
  <c r="AU1670" i="1"/>
  <c r="AT1671" i="1"/>
  <c r="AU1671" i="1"/>
  <c r="AT1672" i="1"/>
  <c r="AU1672" i="1"/>
  <c r="AT1673" i="1"/>
  <c r="AU1673" i="1"/>
  <c r="AT1674" i="1"/>
  <c r="AU1674" i="1"/>
  <c r="AT1675" i="1"/>
  <c r="AU1675" i="1"/>
  <c r="AT1676" i="1"/>
  <c r="AU1676" i="1"/>
  <c r="AT1677" i="1"/>
  <c r="AU1677" i="1"/>
  <c r="AT1678" i="1"/>
  <c r="AU1678" i="1"/>
  <c r="AT1679" i="1"/>
  <c r="AU1679" i="1"/>
  <c r="AT1680" i="1"/>
  <c r="AU1680" i="1"/>
  <c r="AT1681" i="1"/>
  <c r="AU1681" i="1"/>
  <c r="AT1682" i="1"/>
  <c r="AU1682" i="1"/>
  <c r="AT1683" i="1"/>
  <c r="AU1683" i="1"/>
  <c r="AT1684" i="1"/>
  <c r="AU1684" i="1"/>
  <c r="AT1685" i="1"/>
  <c r="AU1685" i="1"/>
  <c r="AT1686" i="1"/>
  <c r="AU1686" i="1"/>
  <c r="AT1687" i="1"/>
  <c r="AU1687" i="1"/>
  <c r="AT1688" i="1"/>
  <c r="AU1688" i="1"/>
  <c r="AT1689" i="1"/>
  <c r="AU1689" i="1"/>
  <c r="AT1690" i="1"/>
  <c r="AU1690" i="1"/>
  <c r="AT1691" i="1"/>
  <c r="AU1691" i="1"/>
  <c r="AT1692" i="1"/>
  <c r="AU1692" i="1"/>
  <c r="AT1693" i="1"/>
  <c r="AU1693" i="1"/>
  <c r="AT1694" i="1"/>
  <c r="AU1694" i="1"/>
  <c r="AT1695" i="1"/>
  <c r="AU1695" i="1"/>
  <c r="AT1696" i="1"/>
  <c r="AU1696" i="1"/>
  <c r="AT1697" i="1"/>
  <c r="AU1697" i="1"/>
  <c r="AT1698" i="1"/>
  <c r="AU1698" i="1"/>
  <c r="AT1699" i="1"/>
  <c r="AU1699" i="1"/>
  <c r="AT1700" i="1"/>
  <c r="AU1700" i="1"/>
  <c r="AT1701" i="1"/>
  <c r="AU1701" i="1"/>
  <c r="AT1702" i="1"/>
  <c r="AU1702" i="1"/>
  <c r="AT1703" i="1"/>
  <c r="AU1703" i="1"/>
  <c r="AT1704" i="1"/>
  <c r="AU1704" i="1"/>
  <c r="AT1705" i="1"/>
  <c r="AU1705" i="1"/>
  <c r="AT1706" i="1"/>
  <c r="AU1706" i="1"/>
  <c r="AT1707" i="1"/>
  <c r="AU1707" i="1"/>
  <c r="AT1708" i="1"/>
  <c r="AU1708" i="1"/>
  <c r="AT1709" i="1"/>
  <c r="AU1709" i="1"/>
  <c r="AT1710" i="1"/>
  <c r="AU1710" i="1"/>
  <c r="AT1711" i="1"/>
  <c r="AU1711" i="1"/>
  <c r="AT1712" i="1"/>
  <c r="AU1712" i="1"/>
  <c r="AT1713" i="1"/>
  <c r="AU1713" i="1"/>
  <c r="AT1714" i="1"/>
  <c r="AU1714" i="1"/>
  <c r="AT1715" i="1"/>
  <c r="AU1715" i="1"/>
  <c r="AT1716" i="1"/>
  <c r="AU1716" i="1"/>
  <c r="AT1717" i="1"/>
  <c r="AU1717" i="1"/>
  <c r="AT1718" i="1"/>
  <c r="AU1718" i="1"/>
  <c r="AT1719" i="1"/>
  <c r="AU1719" i="1"/>
  <c r="AT1720" i="1"/>
  <c r="AU1720" i="1"/>
  <c r="AT1721" i="1"/>
  <c r="AU1721" i="1"/>
  <c r="AT1722" i="1"/>
  <c r="AU1722" i="1"/>
  <c r="AT1723" i="1"/>
  <c r="AU1723" i="1"/>
  <c r="AT1724" i="1"/>
  <c r="AU1724" i="1"/>
  <c r="AT1725" i="1"/>
  <c r="AU1725" i="1"/>
  <c r="AT1726" i="1"/>
  <c r="AU1726" i="1"/>
  <c r="AT1727" i="1"/>
  <c r="AU1727" i="1"/>
  <c r="AT1728" i="1"/>
  <c r="AU1728" i="1"/>
  <c r="AT1729" i="1"/>
  <c r="AU1729" i="1"/>
  <c r="AT1730" i="1"/>
  <c r="AU1730" i="1"/>
  <c r="AT1731" i="1"/>
  <c r="AU1731" i="1"/>
  <c r="AT1732" i="1"/>
  <c r="AU1732" i="1"/>
  <c r="AT1733" i="1"/>
  <c r="AU1733" i="1"/>
  <c r="AT1734" i="1"/>
  <c r="AU1734" i="1"/>
  <c r="AT1735" i="1"/>
  <c r="AU1735" i="1"/>
  <c r="AT1736" i="1"/>
  <c r="AU1736" i="1"/>
  <c r="AT1737" i="1"/>
  <c r="AU1737" i="1"/>
  <c r="AT1738" i="1"/>
  <c r="AU1738" i="1"/>
  <c r="AT1739" i="1"/>
  <c r="AU1739" i="1"/>
  <c r="AT1740" i="1"/>
  <c r="AU1740" i="1"/>
  <c r="AT1741" i="1"/>
  <c r="AU1741" i="1"/>
  <c r="AT1742" i="1"/>
  <c r="AU1742" i="1"/>
  <c r="AT1743" i="1"/>
  <c r="AU1743" i="1"/>
  <c r="AT1744" i="1"/>
  <c r="AU1744" i="1"/>
  <c r="AT1745" i="1"/>
  <c r="AU1745" i="1"/>
  <c r="AT1746" i="1"/>
  <c r="AU1746" i="1"/>
  <c r="AT1747" i="1"/>
  <c r="AU1747" i="1"/>
  <c r="AT1748" i="1"/>
  <c r="AU1748" i="1"/>
  <c r="AT1749" i="1"/>
  <c r="AU1749" i="1"/>
  <c r="AT1750" i="1"/>
  <c r="AU1750" i="1"/>
  <c r="AT1751" i="1"/>
  <c r="AU1751" i="1"/>
  <c r="AT1752" i="1"/>
  <c r="AU1752" i="1"/>
  <c r="AT1753" i="1"/>
  <c r="AU1753" i="1"/>
  <c r="AT1754" i="1"/>
  <c r="AU1754" i="1"/>
  <c r="AT1755" i="1"/>
  <c r="AU1755" i="1"/>
  <c r="AT1756" i="1"/>
  <c r="AU1756" i="1"/>
  <c r="AT1757" i="1"/>
  <c r="AU1757" i="1"/>
  <c r="AT1758" i="1"/>
  <c r="AU1758" i="1"/>
  <c r="AT1759" i="1"/>
  <c r="AU1759" i="1"/>
  <c r="AT1760" i="1"/>
  <c r="AU1760" i="1"/>
  <c r="AT1761" i="1"/>
  <c r="AU1761" i="1"/>
  <c r="AT1762" i="1"/>
  <c r="AU1762" i="1"/>
  <c r="AT1763" i="1"/>
  <c r="AU1763" i="1"/>
  <c r="AT1764" i="1"/>
  <c r="AU1764" i="1"/>
  <c r="AT1765" i="1"/>
  <c r="AU1765" i="1"/>
  <c r="AT1766" i="1"/>
  <c r="AU1766" i="1"/>
  <c r="AT1767" i="1"/>
  <c r="AU1767" i="1"/>
  <c r="AT1768" i="1"/>
  <c r="AU1768" i="1"/>
  <c r="AT1769" i="1"/>
  <c r="AU1769" i="1"/>
  <c r="AT1770" i="1"/>
  <c r="AU1770" i="1"/>
  <c r="AT1771" i="1"/>
  <c r="AU1771" i="1"/>
  <c r="AT1772" i="1"/>
  <c r="AU1772" i="1"/>
  <c r="AT1773" i="1"/>
  <c r="AU1773" i="1"/>
  <c r="AT1774" i="1"/>
  <c r="AU1774" i="1"/>
  <c r="AT1775" i="1"/>
  <c r="AU1775" i="1"/>
  <c r="AT1776" i="1"/>
  <c r="AU1776" i="1"/>
  <c r="AT1777" i="1"/>
  <c r="AU1777" i="1"/>
  <c r="AT1778" i="1"/>
  <c r="AU1778" i="1"/>
  <c r="AT1779" i="1"/>
  <c r="AU1779" i="1"/>
  <c r="AT1780" i="1"/>
  <c r="AU1780" i="1"/>
  <c r="AT1781" i="1"/>
  <c r="AU1781" i="1"/>
  <c r="AT1782" i="1"/>
  <c r="AU1782" i="1"/>
  <c r="AT1783" i="1"/>
  <c r="AU1783" i="1"/>
  <c r="AT1784" i="1"/>
  <c r="AU1784" i="1"/>
  <c r="AT1785" i="1"/>
  <c r="AU1785" i="1"/>
  <c r="AT1786" i="1"/>
  <c r="AU1786" i="1"/>
  <c r="AT1787" i="1"/>
  <c r="AU1787" i="1"/>
  <c r="AT1788" i="1"/>
  <c r="AU1788" i="1"/>
  <c r="AT1789" i="1"/>
  <c r="AU1789" i="1"/>
  <c r="AT1790" i="1"/>
  <c r="AU1790" i="1"/>
  <c r="AT1791" i="1"/>
  <c r="AU1791" i="1"/>
  <c r="AT1792" i="1"/>
  <c r="AU1792" i="1"/>
  <c r="AT1793" i="1"/>
  <c r="AU1793" i="1"/>
  <c r="AT1794" i="1"/>
  <c r="AU1794" i="1"/>
  <c r="AT1795" i="1"/>
  <c r="AU1795" i="1"/>
  <c r="AT1796" i="1"/>
  <c r="AU1796" i="1"/>
  <c r="AT1797" i="1"/>
  <c r="AU1797" i="1"/>
  <c r="AT1798" i="1"/>
  <c r="AU1798" i="1"/>
  <c r="AT1799" i="1"/>
  <c r="AU1799" i="1"/>
  <c r="AT1800" i="1"/>
  <c r="AU1800" i="1"/>
  <c r="AT1801" i="1"/>
  <c r="AU1801" i="1"/>
  <c r="AT1802" i="1"/>
  <c r="AU1802" i="1"/>
  <c r="AT1803" i="1"/>
  <c r="AU1803" i="1"/>
  <c r="AT1804" i="1"/>
  <c r="AU1804" i="1"/>
  <c r="AT1805" i="1"/>
  <c r="AU1805" i="1"/>
  <c r="AT1806" i="1"/>
  <c r="AU1806" i="1"/>
  <c r="AT1807" i="1"/>
  <c r="AU1807" i="1"/>
  <c r="AT1808" i="1"/>
  <c r="AU1808" i="1"/>
  <c r="AT1809" i="1"/>
  <c r="AU1809" i="1"/>
  <c r="AT1810" i="1"/>
  <c r="AU1810" i="1"/>
  <c r="AT1811" i="1"/>
  <c r="AU1811" i="1"/>
  <c r="AT1812" i="1"/>
  <c r="AU1812" i="1"/>
  <c r="AT1813" i="1"/>
  <c r="AU1813" i="1"/>
  <c r="AT1814" i="1"/>
  <c r="AU1814" i="1"/>
  <c r="AT1815" i="1"/>
  <c r="AU1815" i="1"/>
  <c r="AT1816" i="1"/>
  <c r="AU1816" i="1"/>
  <c r="AT1817" i="1"/>
  <c r="AU1817" i="1"/>
  <c r="AT1818" i="1"/>
  <c r="AU1818" i="1"/>
  <c r="AT1819" i="1"/>
  <c r="AU1819" i="1"/>
  <c r="AT1820" i="1"/>
  <c r="AU1820" i="1"/>
  <c r="AT1821" i="1"/>
  <c r="AU1821" i="1"/>
  <c r="AT1822" i="1"/>
  <c r="AU1822" i="1"/>
  <c r="AT1823" i="1"/>
  <c r="AU1823" i="1"/>
  <c r="AT1824" i="1"/>
  <c r="AU1824" i="1"/>
  <c r="AT1825" i="1"/>
  <c r="AU1825" i="1"/>
  <c r="AT1826" i="1"/>
  <c r="AU1826" i="1"/>
  <c r="AT1827" i="1"/>
  <c r="AU1827" i="1"/>
  <c r="AT1828" i="1"/>
  <c r="AU1828" i="1"/>
  <c r="AT1829" i="1"/>
  <c r="AU1829" i="1"/>
  <c r="AT1830" i="1"/>
  <c r="AU1830" i="1"/>
  <c r="AT1831" i="1"/>
  <c r="AU1831" i="1"/>
  <c r="AT1832" i="1"/>
  <c r="AU1832" i="1"/>
  <c r="AT1833" i="1"/>
  <c r="AU1833" i="1"/>
  <c r="AT1834" i="1"/>
  <c r="AU1834" i="1"/>
  <c r="AT1835" i="1"/>
  <c r="AU1835" i="1"/>
  <c r="AT1836" i="1"/>
  <c r="AU1836" i="1"/>
  <c r="AT1837" i="1"/>
  <c r="AU1837" i="1"/>
  <c r="AT1838" i="1"/>
  <c r="AU1838" i="1"/>
  <c r="AT1839" i="1"/>
  <c r="AU1839" i="1"/>
  <c r="AT1840" i="1"/>
  <c r="AU1840" i="1"/>
  <c r="AT1841" i="1"/>
  <c r="AU1841" i="1"/>
  <c r="AT1842" i="1"/>
  <c r="AU1842" i="1"/>
  <c r="AT1843" i="1"/>
  <c r="AU1843" i="1"/>
  <c r="AT1844" i="1"/>
  <c r="AU1844" i="1"/>
  <c r="AT1845" i="1"/>
  <c r="AU1845" i="1"/>
  <c r="AT1846" i="1"/>
  <c r="AU1846" i="1"/>
  <c r="AT1847" i="1"/>
  <c r="AU1847" i="1"/>
  <c r="AT1848" i="1"/>
  <c r="AU1848" i="1"/>
  <c r="AT1849" i="1"/>
  <c r="AU1849" i="1"/>
  <c r="AT1850" i="1"/>
  <c r="AU1850" i="1"/>
  <c r="AT1851" i="1"/>
  <c r="AU1851" i="1"/>
  <c r="AT1852" i="1"/>
  <c r="AU1852" i="1"/>
  <c r="AT1853" i="1"/>
  <c r="AU1853" i="1"/>
  <c r="AT1854" i="1"/>
  <c r="AU1854" i="1"/>
  <c r="AT1855" i="1"/>
  <c r="AU1855" i="1"/>
  <c r="AT1856" i="1"/>
  <c r="AU1856" i="1"/>
  <c r="AT1857" i="1"/>
  <c r="AU1857" i="1"/>
  <c r="AT1858" i="1"/>
  <c r="AU1858" i="1"/>
  <c r="AT1859" i="1"/>
  <c r="AU1859" i="1"/>
  <c r="AT1860" i="1"/>
  <c r="AU1860" i="1"/>
  <c r="AT1861" i="1"/>
  <c r="AU1861" i="1"/>
  <c r="AT1862" i="1"/>
  <c r="AU1862" i="1"/>
  <c r="AT1863" i="1"/>
  <c r="AU1863" i="1"/>
  <c r="AT1864" i="1"/>
  <c r="AU1864" i="1"/>
  <c r="AT1865" i="1"/>
  <c r="AU1865" i="1"/>
  <c r="AT1866" i="1"/>
  <c r="AU1866" i="1"/>
  <c r="AT1867" i="1"/>
  <c r="AU1867" i="1"/>
  <c r="AT1868" i="1"/>
  <c r="AU1868" i="1"/>
  <c r="AT1869" i="1"/>
  <c r="AU1869" i="1"/>
  <c r="AT1870" i="1"/>
  <c r="AU1870" i="1"/>
  <c r="AT1871" i="1"/>
  <c r="AU1871" i="1"/>
  <c r="AT1872" i="1"/>
  <c r="AU1872" i="1"/>
  <c r="AT1873" i="1"/>
  <c r="AU1873" i="1"/>
  <c r="AT1874" i="1"/>
  <c r="AU1874" i="1"/>
  <c r="AT1875" i="1"/>
  <c r="AU1875" i="1"/>
  <c r="AT1876" i="1"/>
  <c r="AU1876" i="1"/>
  <c r="AT1877" i="1"/>
  <c r="AU1877" i="1"/>
  <c r="AT1878" i="1"/>
  <c r="AU1878" i="1"/>
  <c r="AT1879" i="1"/>
  <c r="AU1879" i="1"/>
  <c r="AT1880" i="1"/>
  <c r="AU1880" i="1"/>
  <c r="AT1881" i="1"/>
  <c r="AU1881" i="1"/>
  <c r="AT1882" i="1"/>
  <c r="AU1882" i="1"/>
  <c r="AT1883" i="1"/>
  <c r="AU1883" i="1"/>
  <c r="AT1884" i="1"/>
  <c r="AU1884" i="1"/>
  <c r="AT1885" i="1"/>
  <c r="AU1885" i="1"/>
  <c r="AT1886" i="1"/>
  <c r="AU1886" i="1"/>
  <c r="AT1887" i="1"/>
  <c r="AU1887" i="1"/>
  <c r="AT1888" i="1"/>
  <c r="AU1888" i="1"/>
  <c r="AT1889" i="1"/>
  <c r="AU1889" i="1"/>
  <c r="AT1890" i="1"/>
  <c r="AU1890" i="1"/>
  <c r="AT1891" i="1"/>
  <c r="AU1891" i="1"/>
  <c r="AT1892" i="1"/>
  <c r="AU1892" i="1"/>
  <c r="AT1893" i="1"/>
  <c r="AU1893" i="1"/>
  <c r="AT1894" i="1"/>
  <c r="AU1894" i="1"/>
  <c r="AT1895" i="1"/>
  <c r="AU1895" i="1"/>
  <c r="AT1896" i="1"/>
  <c r="AU1896" i="1"/>
  <c r="AT1897" i="1"/>
  <c r="AU1897" i="1"/>
  <c r="AT1898" i="1"/>
  <c r="AU1898" i="1"/>
  <c r="AT1899" i="1"/>
  <c r="AU1899" i="1"/>
  <c r="AT1900" i="1"/>
  <c r="AU1900" i="1"/>
  <c r="AT1901" i="1"/>
  <c r="AU1901" i="1"/>
  <c r="AT1902" i="1"/>
  <c r="AU1902" i="1"/>
  <c r="AT1903" i="1"/>
  <c r="AU1903" i="1"/>
  <c r="AT1904" i="1"/>
  <c r="AU1904" i="1"/>
  <c r="AT1905" i="1"/>
  <c r="AU1905" i="1"/>
  <c r="AT1906" i="1"/>
  <c r="AU1906" i="1"/>
  <c r="AT1907" i="1"/>
  <c r="AU1907" i="1"/>
  <c r="AT1908" i="1"/>
  <c r="AU1908" i="1"/>
  <c r="AT1909" i="1"/>
  <c r="AU1909" i="1"/>
  <c r="AT1910" i="1"/>
  <c r="AU1910" i="1"/>
  <c r="AT1911" i="1"/>
  <c r="AU1911" i="1"/>
  <c r="AT1912" i="1"/>
  <c r="AU1912" i="1"/>
  <c r="AT1913" i="1"/>
  <c r="AU1913" i="1"/>
  <c r="AT1914" i="1"/>
  <c r="AU1914" i="1"/>
  <c r="AT1915" i="1"/>
  <c r="AU1915" i="1"/>
  <c r="AT1916" i="1"/>
  <c r="AU1916" i="1"/>
  <c r="AT1917" i="1"/>
  <c r="AU1917" i="1"/>
  <c r="AT1918" i="1"/>
  <c r="AU1918" i="1"/>
  <c r="AT1919" i="1"/>
  <c r="AU1919" i="1"/>
  <c r="AT1920" i="1"/>
  <c r="AU1920" i="1"/>
  <c r="AT1921" i="1"/>
  <c r="AU1921" i="1"/>
  <c r="AT1922" i="1"/>
  <c r="AU1922" i="1"/>
  <c r="AT1923" i="1"/>
  <c r="AU1923" i="1"/>
  <c r="AT1924" i="1"/>
  <c r="AU1924" i="1"/>
  <c r="AT1925" i="1"/>
  <c r="AU1925" i="1"/>
  <c r="AT1926" i="1"/>
  <c r="AU1926" i="1"/>
  <c r="AT1927" i="1"/>
  <c r="AU1927" i="1"/>
  <c r="AT1928" i="1"/>
  <c r="AU1928" i="1"/>
  <c r="AT1929" i="1"/>
  <c r="AU1929" i="1"/>
  <c r="AT1930" i="1"/>
  <c r="AU1930" i="1"/>
  <c r="AT1931" i="1"/>
  <c r="AU1931" i="1"/>
  <c r="AT1932" i="1"/>
  <c r="AU1932" i="1"/>
  <c r="AT1933" i="1"/>
  <c r="AU1933" i="1"/>
  <c r="AT1934" i="1"/>
  <c r="AU1934" i="1"/>
  <c r="AT1935" i="1"/>
  <c r="AU1935" i="1"/>
  <c r="AT1936" i="1"/>
  <c r="AU1936" i="1"/>
  <c r="AT1937" i="1"/>
  <c r="AU1937" i="1"/>
  <c r="AT1938" i="1"/>
  <c r="AU1938" i="1"/>
  <c r="AT1939" i="1"/>
  <c r="AU1939" i="1"/>
  <c r="AT1940" i="1"/>
  <c r="AU1940" i="1"/>
  <c r="AT1941" i="1"/>
  <c r="AU1941" i="1"/>
  <c r="AT1942" i="1"/>
  <c r="AU1942" i="1"/>
  <c r="AT1943" i="1"/>
  <c r="AU1943" i="1"/>
  <c r="AT1944" i="1"/>
  <c r="AU1944" i="1"/>
  <c r="AT1945" i="1"/>
  <c r="AU1945" i="1"/>
  <c r="AT1946" i="1"/>
  <c r="AU1946" i="1"/>
  <c r="AT1947" i="1"/>
  <c r="AU1947" i="1"/>
  <c r="AT1948" i="1"/>
  <c r="AU1948" i="1"/>
  <c r="AT1949" i="1"/>
  <c r="AU1949" i="1"/>
  <c r="AT1950" i="1"/>
  <c r="AU1950" i="1"/>
  <c r="AT1951" i="1"/>
  <c r="AU1951" i="1"/>
  <c r="AT1952" i="1"/>
  <c r="AU1952" i="1"/>
  <c r="AT1953" i="1"/>
  <c r="AU1953" i="1"/>
  <c r="AT1954" i="1"/>
  <c r="AU1954" i="1"/>
  <c r="AT1955" i="1"/>
  <c r="AU1955" i="1"/>
  <c r="AT1956" i="1"/>
  <c r="AU1956" i="1"/>
  <c r="AT1957" i="1"/>
  <c r="AU1957" i="1"/>
  <c r="AT1958" i="1"/>
  <c r="AU1958" i="1"/>
  <c r="AT1959" i="1"/>
  <c r="AU1959" i="1"/>
  <c r="AT1960" i="1"/>
  <c r="AU1960" i="1"/>
  <c r="AT1961" i="1"/>
  <c r="AU1961" i="1"/>
  <c r="AT1962" i="1"/>
  <c r="AU1962" i="1"/>
  <c r="AT1963" i="1"/>
  <c r="AU1963" i="1"/>
  <c r="AT1964" i="1"/>
  <c r="AU1964" i="1"/>
  <c r="AT1965" i="1"/>
  <c r="AU1965" i="1"/>
  <c r="AT1966" i="1"/>
  <c r="AU1966" i="1"/>
  <c r="AT1967" i="1"/>
  <c r="AU1967" i="1"/>
  <c r="AT1968" i="1"/>
  <c r="AU1968" i="1"/>
  <c r="AT1969" i="1"/>
  <c r="AU1969" i="1"/>
  <c r="AT1970" i="1"/>
  <c r="AU1970" i="1"/>
  <c r="AT1971" i="1"/>
  <c r="AU1971" i="1"/>
  <c r="AT1972" i="1"/>
  <c r="AU1972" i="1"/>
  <c r="AT1973" i="1"/>
  <c r="AU1973" i="1"/>
  <c r="AT1974" i="1"/>
  <c r="AU1974" i="1"/>
  <c r="AT1975" i="1"/>
  <c r="AU1975" i="1"/>
  <c r="AT1976" i="1"/>
  <c r="AU1976" i="1"/>
  <c r="AT1977" i="1"/>
  <c r="AU1977" i="1"/>
  <c r="AT1978" i="1"/>
  <c r="AU1978" i="1"/>
  <c r="AT1979" i="1"/>
  <c r="AU1979" i="1"/>
  <c r="AT1980" i="1"/>
  <c r="AU1980" i="1"/>
  <c r="AT1981" i="1"/>
  <c r="AU1981" i="1"/>
  <c r="AT1982" i="1"/>
  <c r="AU1982" i="1"/>
  <c r="AT1983" i="1"/>
  <c r="AU1983" i="1"/>
  <c r="AT1984" i="1"/>
  <c r="AU1984" i="1"/>
  <c r="AT1985" i="1"/>
  <c r="AU1985" i="1"/>
  <c r="AT1986" i="1"/>
  <c r="AU1986" i="1"/>
  <c r="AT1987" i="1"/>
  <c r="AU1987" i="1"/>
  <c r="AT1988" i="1"/>
  <c r="AU1988" i="1"/>
  <c r="AT1989" i="1"/>
  <c r="AU1989" i="1"/>
  <c r="AT1990" i="1"/>
  <c r="AU1990" i="1"/>
  <c r="AT1991" i="1"/>
  <c r="AU1991" i="1"/>
  <c r="AT1992" i="1"/>
  <c r="AU1992" i="1"/>
  <c r="AT1993" i="1"/>
  <c r="AU1993" i="1"/>
  <c r="AT1994" i="1"/>
  <c r="AU1994" i="1"/>
  <c r="AT1995" i="1"/>
  <c r="AU1995" i="1"/>
  <c r="AT1996" i="1"/>
  <c r="AU1996" i="1"/>
  <c r="AT1997" i="1"/>
  <c r="AU1997" i="1"/>
  <c r="AT1998" i="1"/>
  <c r="AU1998" i="1"/>
  <c r="AT1999" i="1"/>
  <c r="AU1999" i="1"/>
  <c r="AT2000" i="1"/>
  <c r="AU2000" i="1"/>
  <c r="AT2001" i="1"/>
  <c r="AU2001" i="1"/>
  <c r="AT2002" i="1"/>
  <c r="AU2002" i="1"/>
  <c r="AT2003" i="1"/>
  <c r="AU2003" i="1"/>
  <c r="AT2004" i="1"/>
  <c r="AU2004" i="1"/>
  <c r="AT2005" i="1"/>
  <c r="AU2005" i="1"/>
  <c r="AT2006" i="1"/>
  <c r="AU2006" i="1"/>
  <c r="AT2007" i="1"/>
  <c r="AU2007" i="1"/>
  <c r="AT2008" i="1"/>
  <c r="AU2008" i="1"/>
  <c r="AT2009" i="1"/>
  <c r="AU2009" i="1"/>
  <c r="AT2010" i="1"/>
  <c r="AU2010" i="1"/>
  <c r="AT2011" i="1"/>
  <c r="AU2011" i="1"/>
  <c r="AT2012" i="1"/>
  <c r="AU2012" i="1"/>
  <c r="AT2013" i="1"/>
  <c r="AU2013" i="1"/>
  <c r="AT2014" i="1"/>
  <c r="AU2014" i="1"/>
  <c r="AT2015" i="1"/>
  <c r="AU2015" i="1"/>
  <c r="AT2016" i="1"/>
  <c r="AU2016" i="1"/>
  <c r="AT2017" i="1"/>
  <c r="AU2017" i="1"/>
  <c r="AT2018" i="1"/>
  <c r="AU2018" i="1"/>
  <c r="AT2019" i="1"/>
  <c r="AU2019" i="1"/>
  <c r="AT2020" i="1"/>
  <c r="AU2020" i="1"/>
  <c r="AT2021" i="1"/>
  <c r="AU2021" i="1"/>
  <c r="AT2022" i="1"/>
  <c r="AU2022" i="1"/>
  <c r="AT2023" i="1"/>
  <c r="AU2023" i="1"/>
  <c r="AT2024" i="1"/>
  <c r="AU2024" i="1"/>
  <c r="AT2025" i="1"/>
  <c r="AU2025" i="1"/>
  <c r="AT2026" i="1"/>
  <c r="AU2026" i="1"/>
  <c r="AT2027" i="1"/>
  <c r="AU2027" i="1"/>
  <c r="AT2028" i="1"/>
  <c r="AU2028" i="1"/>
  <c r="AT2029" i="1"/>
  <c r="AU2029" i="1"/>
  <c r="AT2030" i="1"/>
  <c r="AU2030" i="1"/>
  <c r="AT2031" i="1"/>
  <c r="AU2031" i="1"/>
  <c r="AT2032" i="1"/>
  <c r="AU2032" i="1"/>
  <c r="AT2033" i="1"/>
  <c r="AU2033" i="1"/>
  <c r="AT2034" i="1"/>
  <c r="AU2034" i="1"/>
  <c r="AT2035" i="1"/>
  <c r="AU2035" i="1"/>
  <c r="AT2036" i="1"/>
  <c r="AU2036" i="1"/>
  <c r="AT2037" i="1"/>
  <c r="AU2037" i="1"/>
  <c r="AT2038" i="1"/>
  <c r="AU2038" i="1"/>
  <c r="AT2039" i="1"/>
  <c r="AU2039" i="1"/>
  <c r="AT2040" i="1"/>
  <c r="AU2040" i="1"/>
  <c r="AT2041" i="1"/>
  <c r="AU2041" i="1"/>
  <c r="AT2042" i="1"/>
  <c r="AU2042" i="1"/>
  <c r="AT2043" i="1"/>
  <c r="AU2043" i="1"/>
  <c r="AT2044" i="1"/>
  <c r="AU2044" i="1"/>
  <c r="AT2045" i="1"/>
  <c r="AU2045" i="1"/>
  <c r="AT2046" i="1"/>
  <c r="AU2046" i="1"/>
  <c r="AT2047" i="1"/>
  <c r="AU2047" i="1"/>
  <c r="AT2048" i="1"/>
  <c r="AU2048" i="1"/>
  <c r="AT2049" i="1"/>
  <c r="AU2049" i="1"/>
  <c r="AT2050" i="1"/>
  <c r="AU2050" i="1"/>
  <c r="AT2051" i="1"/>
  <c r="AU2051" i="1"/>
  <c r="AT2052" i="1"/>
  <c r="AU2052" i="1"/>
  <c r="AT2053" i="1"/>
  <c r="AU2053" i="1"/>
  <c r="AT2054" i="1"/>
  <c r="AU2054" i="1"/>
  <c r="AT2055" i="1"/>
  <c r="AU2055" i="1"/>
  <c r="AT2056" i="1"/>
  <c r="AU2056" i="1"/>
  <c r="AT2057" i="1"/>
  <c r="AU2057" i="1"/>
  <c r="AT2058" i="1"/>
  <c r="AU2058" i="1"/>
  <c r="AT2059" i="1"/>
  <c r="AU2059" i="1"/>
  <c r="AT2060" i="1"/>
  <c r="AU2060" i="1"/>
  <c r="AT2061" i="1"/>
  <c r="AU2061" i="1"/>
  <c r="AT2062" i="1"/>
  <c r="AU2062" i="1"/>
  <c r="AT2063" i="1"/>
  <c r="AU2063" i="1"/>
  <c r="AT2064" i="1"/>
  <c r="AU2064" i="1"/>
  <c r="AT2065" i="1"/>
  <c r="AU2065" i="1"/>
  <c r="AT2066" i="1"/>
  <c r="AU2066" i="1"/>
  <c r="AT2067" i="1"/>
  <c r="AU2067" i="1"/>
  <c r="AT2068" i="1"/>
  <c r="AU2068" i="1"/>
  <c r="AT2069" i="1"/>
  <c r="AU2069" i="1"/>
  <c r="AT2070" i="1"/>
  <c r="AU2070" i="1"/>
  <c r="AT2071" i="1"/>
  <c r="AU2071" i="1"/>
  <c r="AT2072" i="1"/>
  <c r="AU2072" i="1"/>
  <c r="AT2073" i="1"/>
  <c r="AU2073" i="1"/>
  <c r="AT2074" i="1"/>
  <c r="AU2074" i="1"/>
  <c r="AT2075" i="1"/>
  <c r="AU2075" i="1"/>
  <c r="AT2076" i="1"/>
  <c r="AU2076" i="1"/>
  <c r="AT2077" i="1"/>
  <c r="AU2077" i="1"/>
  <c r="AT2078" i="1"/>
  <c r="AU2078" i="1"/>
  <c r="AT2079" i="1"/>
  <c r="AU2079" i="1"/>
  <c r="AT2080" i="1"/>
  <c r="AU2080" i="1"/>
  <c r="AT2081" i="1"/>
  <c r="AU2081" i="1"/>
  <c r="AT2082" i="1"/>
  <c r="AU2082" i="1"/>
  <c r="AT2083" i="1"/>
  <c r="AU2083" i="1"/>
  <c r="AT2084" i="1"/>
  <c r="AU2084" i="1"/>
  <c r="AT2085" i="1"/>
  <c r="AU2085" i="1"/>
  <c r="AT2086" i="1"/>
  <c r="AU2086" i="1"/>
  <c r="AT2087" i="1"/>
  <c r="AU2087" i="1"/>
  <c r="AT2088" i="1"/>
  <c r="AU2088" i="1"/>
  <c r="AT2089" i="1"/>
  <c r="AU2089" i="1"/>
  <c r="AT2090" i="1"/>
  <c r="AU2090" i="1"/>
  <c r="AT2091" i="1"/>
  <c r="AU2091" i="1"/>
  <c r="AT2092" i="1"/>
  <c r="AU2092" i="1"/>
  <c r="AT2093" i="1"/>
  <c r="AU2093" i="1"/>
  <c r="AT2094" i="1"/>
  <c r="AU2094" i="1"/>
  <c r="AT2095" i="1"/>
  <c r="AU2095" i="1"/>
  <c r="AT2096" i="1"/>
  <c r="AU2096" i="1"/>
  <c r="AT2097" i="1"/>
  <c r="AU2097" i="1"/>
  <c r="AT2098" i="1"/>
  <c r="AU2098" i="1"/>
  <c r="AT2099" i="1"/>
  <c r="AU2099" i="1"/>
  <c r="AT2100" i="1"/>
  <c r="AU2100" i="1"/>
  <c r="AT2101" i="1"/>
  <c r="AU2101" i="1"/>
  <c r="AT2102" i="1"/>
  <c r="AU2102" i="1"/>
  <c r="AT2103" i="1"/>
  <c r="AU2103" i="1"/>
  <c r="AT2104" i="1"/>
  <c r="AU2104" i="1"/>
  <c r="AT2105" i="1"/>
  <c r="AU2105" i="1"/>
  <c r="AT2106" i="1"/>
  <c r="AU2106" i="1"/>
  <c r="AT2107" i="1"/>
  <c r="AU2107" i="1"/>
  <c r="AT2108" i="1"/>
  <c r="AU2108" i="1"/>
  <c r="AT2109" i="1"/>
  <c r="AU2109" i="1"/>
  <c r="AT2110" i="1"/>
  <c r="AU2110" i="1"/>
  <c r="AT2111" i="1"/>
  <c r="AU2111" i="1"/>
  <c r="AT2112" i="1"/>
  <c r="AU2112" i="1"/>
  <c r="AT2113" i="1"/>
  <c r="AU2113" i="1"/>
  <c r="AT2114" i="1"/>
  <c r="AU2114" i="1"/>
  <c r="AT2115" i="1"/>
  <c r="AU2115" i="1"/>
  <c r="AT2116" i="1"/>
  <c r="AU2116" i="1"/>
  <c r="AT2117" i="1"/>
  <c r="AU2117" i="1"/>
  <c r="AT2118" i="1"/>
  <c r="AU2118" i="1"/>
  <c r="AT2119" i="1"/>
  <c r="AU2119" i="1"/>
  <c r="AT2120" i="1"/>
  <c r="AU2120" i="1"/>
  <c r="AT2121" i="1"/>
  <c r="AU2121" i="1"/>
  <c r="AT2122" i="1"/>
  <c r="AU2122" i="1"/>
  <c r="AT2123" i="1"/>
  <c r="AU2123" i="1"/>
  <c r="AT2124" i="1"/>
  <c r="AU2124" i="1"/>
  <c r="AT2125" i="1"/>
  <c r="AU2125" i="1"/>
  <c r="AT2126" i="1"/>
  <c r="AU2126" i="1"/>
  <c r="AT2127" i="1"/>
  <c r="AU2127" i="1"/>
  <c r="AT2128" i="1"/>
  <c r="AU2128" i="1"/>
  <c r="AT2129" i="1"/>
  <c r="AU2129" i="1"/>
  <c r="AT2130" i="1"/>
  <c r="AU2130" i="1"/>
  <c r="AT2131" i="1"/>
  <c r="AU2131" i="1"/>
  <c r="AT2132" i="1"/>
  <c r="AU2132" i="1"/>
  <c r="AT2133" i="1"/>
  <c r="AU2133" i="1"/>
  <c r="AT2134" i="1"/>
  <c r="AU2134" i="1"/>
  <c r="AT2135" i="1"/>
  <c r="AU2135" i="1"/>
  <c r="AT2136" i="1"/>
  <c r="AU2136" i="1"/>
  <c r="AT2137" i="1"/>
  <c r="AU2137" i="1"/>
  <c r="AT2138" i="1"/>
  <c r="AU2138" i="1"/>
  <c r="AT2139" i="1"/>
  <c r="AU2139" i="1"/>
  <c r="AT2140" i="1"/>
  <c r="AU2140" i="1"/>
  <c r="AT2141" i="1"/>
  <c r="AU2141" i="1"/>
  <c r="AT2142" i="1"/>
  <c r="AU2142" i="1"/>
  <c r="AT2143" i="1"/>
  <c r="AU2143" i="1"/>
  <c r="AT2144" i="1"/>
  <c r="AU2144" i="1"/>
  <c r="AT2145" i="1"/>
  <c r="AU2145" i="1"/>
  <c r="AT2146" i="1"/>
  <c r="AU2146" i="1"/>
  <c r="AT2147" i="1"/>
  <c r="AU2147" i="1"/>
  <c r="AT2148" i="1"/>
  <c r="AU2148" i="1"/>
  <c r="AT2149" i="1"/>
  <c r="AU2149" i="1"/>
  <c r="AT2150" i="1"/>
  <c r="AU2150" i="1"/>
  <c r="AT2151" i="1"/>
  <c r="AU2151" i="1"/>
  <c r="AT2152" i="1"/>
  <c r="AU2152" i="1"/>
  <c r="AT2153" i="1"/>
  <c r="AU2153" i="1"/>
  <c r="AT2154" i="1"/>
  <c r="AU2154" i="1"/>
  <c r="AT2155" i="1"/>
  <c r="AU2155" i="1"/>
  <c r="AT2156" i="1"/>
  <c r="AU2156" i="1"/>
  <c r="AT2157" i="1"/>
  <c r="AU2157" i="1"/>
  <c r="AT2158" i="1"/>
  <c r="AU2158" i="1"/>
  <c r="AT2159" i="1"/>
  <c r="AU2159" i="1"/>
  <c r="AT2160" i="1"/>
  <c r="AU2160" i="1"/>
  <c r="AT2161" i="1"/>
  <c r="AU2161" i="1"/>
  <c r="AT2162" i="1"/>
  <c r="AU2162" i="1"/>
  <c r="AT2163" i="1"/>
  <c r="AU2163" i="1"/>
  <c r="AT2164" i="1"/>
  <c r="AU2164" i="1"/>
  <c r="AT2165" i="1"/>
  <c r="AU2165" i="1"/>
  <c r="AT2166" i="1"/>
  <c r="AU2166" i="1"/>
  <c r="AT2167" i="1"/>
  <c r="AU2167" i="1"/>
  <c r="AT2168" i="1"/>
  <c r="AU2168" i="1"/>
  <c r="AT2169" i="1"/>
  <c r="AU2169" i="1"/>
  <c r="AT2170" i="1"/>
  <c r="AU2170" i="1"/>
  <c r="AT2171" i="1"/>
  <c r="AU2171" i="1"/>
  <c r="AT2172" i="1"/>
  <c r="AU2172" i="1"/>
  <c r="AT2173" i="1"/>
  <c r="AU2173" i="1"/>
  <c r="AT2174" i="1"/>
  <c r="AU2174" i="1"/>
  <c r="AT2175" i="1"/>
  <c r="AU2175" i="1"/>
  <c r="AT2176" i="1"/>
  <c r="AU2176" i="1"/>
  <c r="AT2177" i="1"/>
  <c r="AU2177" i="1"/>
  <c r="AT2178" i="1"/>
  <c r="AU2178" i="1"/>
  <c r="AT2179" i="1"/>
  <c r="AU2179" i="1"/>
  <c r="AT2180" i="1"/>
  <c r="AU2180" i="1"/>
  <c r="AT2181" i="1"/>
  <c r="AU2181" i="1"/>
  <c r="AT2182" i="1"/>
  <c r="AU2182" i="1"/>
  <c r="AT2183" i="1"/>
  <c r="AU2183" i="1"/>
  <c r="AT2184" i="1"/>
  <c r="AU2184" i="1"/>
  <c r="AT2185" i="1"/>
  <c r="AU2185" i="1"/>
  <c r="AT2186" i="1"/>
  <c r="AU2186" i="1"/>
  <c r="AT2187" i="1"/>
  <c r="AU2187" i="1"/>
  <c r="AT2188" i="1"/>
  <c r="AU2188" i="1"/>
  <c r="AT2189" i="1"/>
  <c r="AU2189" i="1"/>
  <c r="AT2190" i="1"/>
  <c r="AU2190" i="1"/>
  <c r="AT2191" i="1"/>
  <c r="AU2191" i="1"/>
  <c r="AT2192" i="1"/>
  <c r="AU2192" i="1"/>
  <c r="AT2193" i="1"/>
  <c r="AU2193" i="1"/>
  <c r="AT2194" i="1"/>
  <c r="AU2194" i="1"/>
  <c r="AT2195" i="1"/>
  <c r="AU2195" i="1"/>
  <c r="AT2196" i="1"/>
  <c r="AU2196" i="1"/>
  <c r="AT2197" i="1"/>
  <c r="AU2197" i="1"/>
  <c r="AT2198" i="1"/>
  <c r="AU2198" i="1"/>
  <c r="AT2199" i="1"/>
  <c r="AU2199" i="1"/>
  <c r="AT2200" i="1"/>
  <c r="AU2200" i="1"/>
  <c r="AT2201" i="1"/>
  <c r="AU2201" i="1"/>
  <c r="AT2202" i="1"/>
  <c r="AU2202" i="1"/>
  <c r="AT2203" i="1"/>
  <c r="AU2203" i="1"/>
  <c r="AT2204" i="1"/>
  <c r="AU2204" i="1"/>
  <c r="AT2205" i="1"/>
  <c r="AU2205" i="1"/>
  <c r="AT2206" i="1"/>
  <c r="AU2206" i="1"/>
  <c r="AT2207" i="1"/>
  <c r="AU2207" i="1"/>
  <c r="AT2208" i="1"/>
  <c r="AU2208" i="1"/>
  <c r="AT2209" i="1"/>
  <c r="AU2209" i="1"/>
  <c r="AT2210" i="1"/>
  <c r="AU2210" i="1"/>
  <c r="AT2211" i="1"/>
  <c r="AU2211" i="1"/>
  <c r="AT2212" i="1"/>
  <c r="AU2212" i="1"/>
  <c r="AT2213" i="1"/>
  <c r="AU2213" i="1"/>
  <c r="AT2214" i="1"/>
  <c r="AU2214" i="1"/>
  <c r="AT2215" i="1"/>
  <c r="AU2215" i="1"/>
  <c r="AT2216" i="1"/>
  <c r="AU2216" i="1"/>
  <c r="AT2217" i="1"/>
  <c r="AU2217" i="1"/>
  <c r="AT2218" i="1"/>
  <c r="AU2218" i="1"/>
  <c r="AT2219" i="1"/>
  <c r="AU2219" i="1"/>
  <c r="AT2220" i="1"/>
  <c r="AU2220" i="1"/>
  <c r="AT2221" i="1"/>
  <c r="AU2221" i="1"/>
  <c r="AT2222" i="1"/>
  <c r="AU2222" i="1"/>
  <c r="AT2223" i="1"/>
  <c r="AU2223" i="1"/>
  <c r="AT2224" i="1"/>
  <c r="AU2224" i="1"/>
  <c r="AT2225" i="1"/>
  <c r="AU2225" i="1"/>
  <c r="AT2226" i="1"/>
  <c r="AU2226" i="1"/>
  <c r="AT2227" i="1"/>
  <c r="AU2227" i="1"/>
  <c r="AT2228" i="1"/>
  <c r="AU2228" i="1"/>
  <c r="AT2229" i="1"/>
  <c r="AU2229" i="1"/>
  <c r="AT2230" i="1"/>
  <c r="AU2230" i="1"/>
  <c r="AT2231" i="1"/>
  <c r="AU2231" i="1"/>
  <c r="AT2232" i="1"/>
  <c r="AU2232" i="1"/>
  <c r="AT2233" i="1"/>
  <c r="AU2233" i="1"/>
  <c r="AT2234" i="1"/>
  <c r="AU2234" i="1"/>
  <c r="AT2235" i="1"/>
  <c r="AU2235" i="1"/>
  <c r="AT2236" i="1"/>
  <c r="AU2236" i="1"/>
  <c r="AT2237" i="1"/>
  <c r="AU2237" i="1"/>
  <c r="AT2238" i="1"/>
  <c r="AU2238" i="1"/>
  <c r="AT2239" i="1"/>
  <c r="AU2239" i="1"/>
  <c r="AT2240" i="1"/>
  <c r="AU2240" i="1"/>
  <c r="AT2241" i="1"/>
  <c r="AU2241" i="1"/>
  <c r="AT2242" i="1"/>
  <c r="AU2242" i="1"/>
  <c r="AT2243" i="1"/>
  <c r="AU2243" i="1"/>
  <c r="AT2244" i="1"/>
  <c r="AU2244" i="1"/>
  <c r="AT2245" i="1"/>
  <c r="AU2245" i="1"/>
  <c r="AT2246" i="1"/>
  <c r="AU2246" i="1"/>
  <c r="AT2247" i="1"/>
  <c r="AU2247" i="1"/>
  <c r="AT2248" i="1"/>
  <c r="AU2248" i="1"/>
  <c r="AT2249" i="1"/>
  <c r="AU2249" i="1"/>
  <c r="AT2250" i="1"/>
  <c r="AU2250" i="1"/>
  <c r="AT2251" i="1"/>
  <c r="AU2251" i="1"/>
  <c r="AT2252" i="1"/>
  <c r="AU2252" i="1"/>
  <c r="AT2253" i="1"/>
  <c r="AU2253" i="1"/>
  <c r="AT2254" i="1"/>
  <c r="AU2254" i="1"/>
  <c r="AT2255" i="1"/>
  <c r="AU2255" i="1"/>
  <c r="AT2256" i="1"/>
  <c r="AU2256" i="1"/>
  <c r="AT2257" i="1"/>
  <c r="AU2257" i="1"/>
  <c r="AT2258" i="1"/>
  <c r="AU2258" i="1"/>
  <c r="AT2259" i="1"/>
  <c r="AU2259" i="1"/>
  <c r="AT2260" i="1"/>
  <c r="AU2260" i="1"/>
  <c r="AT2261" i="1"/>
  <c r="AU2261" i="1"/>
  <c r="AT2262" i="1"/>
  <c r="AU2262" i="1"/>
  <c r="AT2263" i="1"/>
  <c r="AU2263" i="1"/>
  <c r="AT2264" i="1"/>
  <c r="AU2264" i="1"/>
  <c r="AT2265" i="1"/>
  <c r="AU2265" i="1"/>
  <c r="AT2266" i="1"/>
  <c r="AU2266" i="1"/>
  <c r="AT2267" i="1"/>
  <c r="AU2267" i="1"/>
  <c r="AT2268" i="1"/>
  <c r="AU2268" i="1"/>
  <c r="AT2269" i="1"/>
  <c r="AU2269" i="1"/>
  <c r="AT2270" i="1"/>
  <c r="AU2270" i="1"/>
  <c r="AT2271" i="1"/>
  <c r="AU2271" i="1"/>
  <c r="AT2272" i="1"/>
  <c r="AU2272" i="1"/>
  <c r="AT2273" i="1"/>
  <c r="AU2273" i="1"/>
  <c r="AT2274" i="1"/>
  <c r="AU2274" i="1"/>
  <c r="AT2275" i="1"/>
  <c r="AU2275" i="1"/>
  <c r="AT2276" i="1"/>
  <c r="AU2276" i="1"/>
  <c r="AT2277" i="1"/>
  <c r="AU2277" i="1"/>
  <c r="AT2278" i="1"/>
  <c r="AU2278" i="1"/>
  <c r="AT2279" i="1"/>
  <c r="AU2279" i="1"/>
  <c r="AT2280" i="1"/>
  <c r="AU2280" i="1"/>
  <c r="AT2281" i="1"/>
  <c r="AU2281" i="1"/>
  <c r="AT2282" i="1"/>
  <c r="AU2282" i="1"/>
  <c r="AT2283" i="1"/>
  <c r="AU2283" i="1"/>
  <c r="AT2284" i="1"/>
  <c r="AU2284" i="1"/>
  <c r="AT2285" i="1"/>
  <c r="AU2285" i="1"/>
  <c r="AT2286" i="1"/>
  <c r="AU2286" i="1"/>
  <c r="AT2287" i="1"/>
  <c r="AU2287" i="1"/>
  <c r="AT2288" i="1"/>
  <c r="AU2288" i="1"/>
  <c r="AT2289" i="1"/>
  <c r="AU2289" i="1"/>
  <c r="AT2290" i="1"/>
  <c r="AU2290" i="1"/>
  <c r="AT2291" i="1"/>
  <c r="AU2291" i="1"/>
  <c r="AT2292" i="1"/>
  <c r="AU2292" i="1"/>
  <c r="AT2293" i="1"/>
  <c r="AU2293" i="1"/>
  <c r="AT2294" i="1"/>
  <c r="AU2294" i="1"/>
  <c r="AT2295" i="1"/>
  <c r="AU2295" i="1"/>
  <c r="AT2296" i="1"/>
  <c r="AU2296" i="1"/>
  <c r="AT2297" i="1"/>
  <c r="AU2297" i="1"/>
  <c r="AT2298" i="1"/>
  <c r="AU2298" i="1"/>
  <c r="AT2299" i="1"/>
  <c r="AU2299" i="1"/>
  <c r="AT2300" i="1"/>
  <c r="AU2300" i="1"/>
  <c r="AT2301" i="1"/>
  <c r="AU2301" i="1"/>
  <c r="AT2302" i="1"/>
  <c r="AU2302" i="1"/>
  <c r="AT2303" i="1"/>
  <c r="AU2303" i="1"/>
  <c r="AT2304" i="1"/>
  <c r="AU2304" i="1"/>
  <c r="AT2305" i="1"/>
  <c r="AU2305" i="1"/>
  <c r="AT2306" i="1"/>
  <c r="AU2306" i="1"/>
  <c r="AT2307" i="1"/>
  <c r="AU2307" i="1"/>
  <c r="AT2308" i="1"/>
  <c r="AU2308" i="1"/>
  <c r="AT2309" i="1"/>
  <c r="AU2309" i="1"/>
  <c r="AT2310" i="1"/>
  <c r="AU2310" i="1"/>
  <c r="AT2311" i="1"/>
  <c r="AU2311" i="1"/>
  <c r="AT2312" i="1"/>
  <c r="AU2312" i="1"/>
  <c r="AT2313" i="1"/>
  <c r="AU2313" i="1"/>
  <c r="AT2314" i="1"/>
  <c r="AU2314" i="1"/>
  <c r="AT2315" i="1"/>
  <c r="AU2315" i="1"/>
  <c r="AT2316" i="1"/>
  <c r="AU2316" i="1"/>
  <c r="AT2317" i="1"/>
  <c r="AU2317" i="1"/>
  <c r="AT2318" i="1"/>
  <c r="AU2318" i="1"/>
  <c r="AT2319" i="1"/>
  <c r="AU2319" i="1"/>
  <c r="AT2320" i="1"/>
  <c r="AU2320" i="1"/>
  <c r="AT2321" i="1"/>
  <c r="AU2321" i="1"/>
  <c r="AT2322" i="1"/>
  <c r="AU2322" i="1"/>
  <c r="AT2323" i="1"/>
  <c r="AU2323" i="1"/>
  <c r="AT2324" i="1"/>
  <c r="AU2324" i="1"/>
  <c r="AT2325" i="1"/>
  <c r="AU2325" i="1"/>
  <c r="AT2326" i="1"/>
  <c r="AU2326" i="1"/>
  <c r="AT2327" i="1"/>
  <c r="AU2327" i="1"/>
  <c r="AT2328" i="1"/>
  <c r="AU2328" i="1"/>
  <c r="AT2329" i="1"/>
  <c r="AU2329" i="1"/>
  <c r="AT2330" i="1"/>
  <c r="AU2330" i="1"/>
  <c r="AT2331" i="1"/>
  <c r="AU2331" i="1"/>
  <c r="AT2332" i="1"/>
  <c r="AU2332" i="1"/>
  <c r="AT2333" i="1"/>
  <c r="AU2333" i="1"/>
  <c r="AT2334" i="1"/>
  <c r="AU2334" i="1"/>
  <c r="AT2335" i="1"/>
  <c r="AU2335" i="1"/>
  <c r="AT2336" i="1"/>
  <c r="AU2336" i="1"/>
  <c r="AT2337" i="1"/>
  <c r="AU2337" i="1"/>
  <c r="AT2338" i="1"/>
  <c r="AU2338" i="1"/>
  <c r="AT2339" i="1"/>
  <c r="AU2339" i="1"/>
  <c r="AT2340" i="1"/>
  <c r="AU2340" i="1"/>
  <c r="AT2341" i="1"/>
  <c r="AU2341" i="1"/>
  <c r="AT2342" i="1"/>
  <c r="AU2342" i="1"/>
  <c r="AT2343" i="1"/>
  <c r="AU2343" i="1"/>
  <c r="AT2344" i="1"/>
  <c r="AU2344" i="1"/>
  <c r="AT2345" i="1"/>
  <c r="AU2345" i="1"/>
  <c r="AT2346" i="1"/>
  <c r="AU2346" i="1"/>
  <c r="AT2347" i="1"/>
  <c r="AU2347" i="1"/>
  <c r="AT2348" i="1"/>
  <c r="AU2348" i="1"/>
  <c r="AT2349" i="1"/>
  <c r="AU2349" i="1"/>
  <c r="AT2350" i="1"/>
  <c r="AU2350" i="1"/>
  <c r="AT2351" i="1"/>
  <c r="AU2351" i="1"/>
  <c r="AT2352" i="1"/>
  <c r="AU2352" i="1"/>
  <c r="AT2353" i="1"/>
  <c r="AU2353" i="1"/>
  <c r="AT2354" i="1"/>
  <c r="AU2354" i="1"/>
  <c r="AT2355" i="1"/>
  <c r="AU2355" i="1"/>
  <c r="AT2356" i="1"/>
  <c r="AU2356" i="1"/>
  <c r="AT2357" i="1"/>
  <c r="AU2357" i="1"/>
  <c r="AT2358" i="1"/>
  <c r="AU2358" i="1"/>
  <c r="AT2359" i="1"/>
  <c r="AU2359" i="1"/>
  <c r="AT2360" i="1"/>
  <c r="AU2360" i="1"/>
  <c r="AT2361" i="1"/>
  <c r="AU2361" i="1"/>
  <c r="AT2362" i="1"/>
  <c r="AU2362" i="1"/>
  <c r="AT2363" i="1"/>
  <c r="AU2363" i="1"/>
  <c r="AT2364" i="1"/>
  <c r="AU2364" i="1"/>
  <c r="AT2365" i="1"/>
  <c r="AU2365" i="1"/>
  <c r="AT2366" i="1"/>
  <c r="AU2366" i="1"/>
  <c r="AT2367" i="1"/>
  <c r="AU2367" i="1"/>
  <c r="AT2368" i="1"/>
  <c r="AU2368" i="1"/>
  <c r="AT2369" i="1"/>
  <c r="AU2369" i="1"/>
  <c r="AT2370" i="1"/>
  <c r="AU2370" i="1"/>
  <c r="AT2371" i="1"/>
  <c r="AU2371" i="1"/>
  <c r="AT2372" i="1"/>
  <c r="AU2372" i="1"/>
  <c r="AT2373" i="1"/>
  <c r="AU2373" i="1"/>
  <c r="AT2374" i="1"/>
  <c r="AU2374" i="1"/>
  <c r="AT2375" i="1"/>
  <c r="AU2375" i="1"/>
  <c r="AT2376" i="1"/>
  <c r="AU2376" i="1"/>
  <c r="AT2377" i="1"/>
  <c r="AU2377" i="1"/>
  <c r="AT2378" i="1"/>
  <c r="AU2378" i="1"/>
  <c r="AT2379" i="1"/>
  <c r="AU2379" i="1"/>
  <c r="AT2380" i="1"/>
  <c r="AU2380" i="1"/>
  <c r="AT2381" i="1"/>
  <c r="AU2381" i="1"/>
  <c r="AT2382" i="1"/>
  <c r="AU2382" i="1"/>
  <c r="AT2383" i="1"/>
  <c r="AU2383" i="1"/>
  <c r="AT2384" i="1"/>
  <c r="AU2384" i="1"/>
  <c r="AT2385" i="1"/>
  <c r="AU2385" i="1"/>
  <c r="AT2386" i="1"/>
  <c r="AU2386" i="1"/>
  <c r="AT2387" i="1"/>
  <c r="AU2387" i="1"/>
  <c r="AT2388" i="1"/>
  <c r="AU2388" i="1"/>
  <c r="AT2389" i="1"/>
  <c r="AU2389" i="1"/>
  <c r="AT2390" i="1"/>
  <c r="AU2390" i="1"/>
  <c r="AT2391" i="1"/>
  <c r="AU2391" i="1"/>
  <c r="AT2392" i="1"/>
  <c r="AU2392" i="1"/>
  <c r="AT2393" i="1"/>
  <c r="AU2393" i="1"/>
  <c r="AT2394" i="1"/>
  <c r="AU2394" i="1"/>
  <c r="AT2395" i="1"/>
  <c r="AU2395" i="1"/>
  <c r="AT2396" i="1"/>
  <c r="AU2396" i="1"/>
  <c r="AT2397" i="1"/>
  <c r="AU2397" i="1"/>
  <c r="AT2398" i="1"/>
  <c r="AU2398" i="1"/>
  <c r="AT2399" i="1"/>
  <c r="AU2399" i="1"/>
  <c r="AT2400" i="1"/>
  <c r="AU2400" i="1"/>
  <c r="AT2401" i="1"/>
  <c r="AU2401" i="1"/>
  <c r="AT2402" i="1"/>
  <c r="AU2402" i="1"/>
  <c r="AT2403" i="1"/>
  <c r="AU2403" i="1"/>
  <c r="AT2404" i="1"/>
  <c r="AU2404" i="1"/>
  <c r="AT2405" i="1"/>
  <c r="AU2405" i="1"/>
  <c r="AT2406" i="1"/>
  <c r="AU2406" i="1"/>
  <c r="AT2407" i="1"/>
  <c r="AU2407" i="1"/>
  <c r="AT2408" i="1"/>
  <c r="AU2408" i="1"/>
  <c r="AT2409" i="1"/>
  <c r="AU2409" i="1"/>
  <c r="AT2410" i="1"/>
  <c r="AU2410" i="1"/>
  <c r="AT2411" i="1"/>
  <c r="AU2411" i="1"/>
  <c r="AT2412" i="1"/>
  <c r="AU2412" i="1"/>
  <c r="AT2413" i="1"/>
  <c r="AU2413" i="1"/>
  <c r="AT2414" i="1"/>
  <c r="AU2414" i="1"/>
  <c r="AT2415" i="1"/>
  <c r="AU2415" i="1"/>
  <c r="AT2416" i="1"/>
  <c r="AU2416" i="1"/>
  <c r="AT2417" i="1"/>
  <c r="AU2417" i="1"/>
  <c r="AT2418" i="1"/>
  <c r="AU2418" i="1"/>
  <c r="AT2419" i="1"/>
  <c r="AU2419" i="1"/>
  <c r="AT2420" i="1"/>
  <c r="AU2420" i="1"/>
  <c r="AT2421" i="1"/>
  <c r="AU2421" i="1"/>
  <c r="AT2422" i="1"/>
  <c r="AU2422" i="1"/>
  <c r="AT2423" i="1"/>
  <c r="AU2423" i="1"/>
  <c r="AT2424" i="1"/>
  <c r="AU2424" i="1"/>
  <c r="AT2425" i="1"/>
  <c r="AU2425" i="1"/>
  <c r="AT2426" i="1"/>
  <c r="AU2426" i="1"/>
  <c r="AT2427" i="1"/>
  <c r="AU2427" i="1"/>
  <c r="AT2428" i="1"/>
  <c r="AU2428" i="1"/>
  <c r="AT2429" i="1"/>
  <c r="AU2429" i="1"/>
  <c r="AT2430" i="1"/>
  <c r="AU2430" i="1"/>
  <c r="AT2431" i="1"/>
  <c r="AU2431" i="1"/>
  <c r="AT2432" i="1"/>
  <c r="AU2432" i="1"/>
  <c r="AT2433" i="1"/>
  <c r="AU2433" i="1"/>
  <c r="AT2434" i="1"/>
  <c r="AU2434" i="1"/>
  <c r="AT2435" i="1"/>
  <c r="AU2435" i="1"/>
  <c r="AT2436" i="1"/>
  <c r="AU2436" i="1"/>
  <c r="AT2437" i="1"/>
  <c r="AU2437" i="1"/>
  <c r="AT2438" i="1"/>
  <c r="AU2438" i="1"/>
  <c r="AT2439" i="1"/>
  <c r="AU2439" i="1"/>
  <c r="AT2440" i="1"/>
  <c r="AU2440" i="1"/>
  <c r="AT2441" i="1"/>
  <c r="AU2441" i="1"/>
  <c r="AT2442" i="1"/>
  <c r="AU2442" i="1"/>
  <c r="AT2443" i="1"/>
  <c r="AU2443" i="1"/>
  <c r="AT2444" i="1"/>
  <c r="AU2444" i="1"/>
  <c r="AT2445" i="1"/>
  <c r="AU2445" i="1"/>
  <c r="AT2446" i="1"/>
  <c r="AU2446" i="1"/>
  <c r="AT2447" i="1"/>
  <c r="AU2447" i="1"/>
  <c r="AT2448" i="1"/>
  <c r="AU2448" i="1"/>
  <c r="AT2449" i="1"/>
  <c r="AU2449" i="1"/>
  <c r="AT2450" i="1"/>
  <c r="AU2450" i="1"/>
  <c r="AT2451" i="1"/>
  <c r="AU2451" i="1"/>
  <c r="AT2452" i="1"/>
  <c r="AU2452" i="1"/>
  <c r="AT2453" i="1"/>
  <c r="AU2453" i="1"/>
  <c r="AT2454" i="1"/>
  <c r="AU2454" i="1"/>
  <c r="AT2455" i="1"/>
  <c r="AU2455" i="1"/>
  <c r="AT2456" i="1"/>
  <c r="AU2456" i="1"/>
  <c r="AT2457" i="1"/>
  <c r="AU2457" i="1"/>
  <c r="AT2458" i="1"/>
  <c r="AU2458" i="1"/>
  <c r="AT2459" i="1"/>
  <c r="AU2459" i="1"/>
  <c r="AT2460" i="1"/>
  <c r="AU2460" i="1"/>
  <c r="AT2461" i="1"/>
  <c r="AU2461" i="1"/>
  <c r="AT2462" i="1"/>
  <c r="AU2462" i="1"/>
  <c r="AT2463" i="1"/>
  <c r="AU2463" i="1"/>
  <c r="AT2464" i="1"/>
  <c r="AU2464" i="1"/>
  <c r="AT2465" i="1"/>
  <c r="AU2465" i="1"/>
  <c r="AT2466" i="1"/>
  <c r="AU2466" i="1"/>
  <c r="AT2467" i="1"/>
  <c r="AU2467" i="1"/>
  <c r="AT2468" i="1"/>
  <c r="AU2468" i="1"/>
  <c r="AT2469" i="1"/>
  <c r="AU2469" i="1"/>
  <c r="AT2470" i="1"/>
  <c r="AU2470" i="1"/>
  <c r="AT2471" i="1"/>
  <c r="AU2471" i="1"/>
  <c r="AT2472" i="1"/>
  <c r="AU2472" i="1"/>
  <c r="AT2473" i="1"/>
  <c r="AU2473" i="1"/>
  <c r="AT2474" i="1"/>
  <c r="AU2474" i="1"/>
  <c r="AT2475" i="1"/>
  <c r="AU2475" i="1"/>
  <c r="AT2476" i="1"/>
  <c r="AU2476" i="1"/>
  <c r="AT2477" i="1"/>
  <c r="AU2477" i="1"/>
  <c r="AT2478" i="1"/>
  <c r="AU2478" i="1"/>
  <c r="AT2479" i="1"/>
  <c r="AU2479" i="1"/>
  <c r="AT2480" i="1"/>
  <c r="AU2480" i="1"/>
  <c r="AT2481" i="1"/>
  <c r="AU2481" i="1"/>
  <c r="AT2482" i="1"/>
  <c r="AU2482" i="1"/>
  <c r="AT2483" i="1"/>
  <c r="AU2483" i="1"/>
  <c r="AT2484" i="1"/>
  <c r="AU2484" i="1"/>
  <c r="AT2485" i="1"/>
  <c r="AU2485" i="1"/>
  <c r="AT2486" i="1"/>
  <c r="AU2486" i="1"/>
  <c r="AT2487" i="1"/>
  <c r="AU2487" i="1"/>
  <c r="AT2488" i="1"/>
  <c r="AU2488" i="1"/>
  <c r="AT2489" i="1"/>
  <c r="AU2489" i="1"/>
  <c r="AT2490" i="1"/>
  <c r="AU2490" i="1"/>
  <c r="AT2491" i="1"/>
  <c r="AU2491" i="1"/>
  <c r="AT2492" i="1"/>
  <c r="AU2492" i="1"/>
  <c r="AT2493" i="1"/>
  <c r="AU2493" i="1"/>
  <c r="AT2494" i="1"/>
  <c r="AU2494" i="1"/>
  <c r="AT2495" i="1"/>
  <c r="AU2495" i="1"/>
  <c r="AT2496" i="1"/>
  <c r="AU2496" i="1"/>
  <c r="AT2497" i="1"/>
  <c r="AU2497" i="1"/>
  <c r="AT2498" i="1"/>
  <c r="AU2498" i="1"/>
  <c r="AT2499" i="1"/>
  <c r="AU2499" i="1"/>
  <c r="AT2500" i="1"/>
  <c r="AU2500" i="1"/>
  <c r="AT2501" i="1"/>
  <c r="AU2501" i="1"/>
  <c r="AT2502" i="1"/>
  <c r="AU2502" i="1"/>
  <c r="AT2503" i="1"/>
  <c r="AU2503" i="1"/>
  <c r="AT2504" i="1"/>
  <c r="AU2504" i="1"/>
  <c r="AT2505" i="1"/>
  <c r="AU2505" i="1"/>
  <c r="AT2506" i="1"/>
  <c r="AU2506" i="1"/>
  <c r="AT2507" i="1"/>
  <c r="AU2507" i="1"/>
  <c r="AT2508" i="1"/>
  <c r="AU2508" i="1"/>
  <c r="AT2509" i="1"/>
  <c r="AU2509" i="1"/>
  <c r="AT2510" i="1"/>
  <c r="AU2510" i="1"/>
  <c r="AT2511" i="1"/>
  <c r="AU2511" i="1"/>
  <c r="AT2512" i="1"/>
  <c r="AU2512" i="1"/>
  <c r="AT2513" i="1"/>
  <c r="AU2513" i="1"/>
  <c r="AT2514" i="1"/>
  <c r="AU2514" i="1"/>
  <c r="AT2515" i="1"/>
  <c r="AU2515" i="1"/>
  <c r="AT2516" i="1"/>
  <c r="AU2516" i="1"/>
  <c r="AT2517" i="1"/>
  <c r="AU2517" i="1"/>
  <c r="AT2518" i="1"/>
  <c r="AU2518" i="1"/>
  <c r="AT2519" i="1"/>
  <c r="AU2519" i="1"/>
  <c r="AT2520" i="1"/>
  <c r="AU2520" i="1"/>
  <c r="AT2521" i="1"/>
  <c r="AU2521" i="1"/>
  <c r="AT2522" i="1"/>
  <c r="AU2522" i="1"/>
  <c r="AT2523" i="1"/>
  <c r="AU2523" i="1"/>
  <c r="AT2524" i="1"/>
  <c r="AU2524" i="1"/>
  <c r="AT2525" i="1"/>
  <c r="AU2525" i="1"/>
  <c r="AT2526" i="1"/>
  <c r="AU2526" i="1"/>
  <c r="AT2527" i="1"/>
  <c r="AU2527" i="1"/>
  <c r="AT2528" i="1"/>
  <c r="AU2528" i="1"/>
  <c r="AT2529" i="1"/>
  <c r="AU2529" i="1"/>
  <c r="AT2530" i="1"/>
  <c r="AU2530" i="1"/>
  <c r="AT2531" i="1"/>
  <c r="AU2531" i="1"/>
  <c r="AT2532" i="1"/>
  <c r="AU2532" i="1"/>
  <c r="C76" i="36"/>
  <c r="C165" i="36"/>
  <c r="C79" i="36" l="1"/>
  <c r="C78" i="36"/>
  <c r="C77" i="36"/>
  <c r="C164" i="36"/>
  <c r="C163" i="36"/>
  <c r="C162" i="36"/>
  <c r="C161" i="36"/>
  <c r="R179" i="36"/>
  <c r="M179" i="36"/>
  <c r="L179" i="36"/>
  <c r="K179" i="36"/>
  <c r="C179" i="36"/>
  <c r="R178" i="36"/>
  <c r="M178" i="36"/>
  <c r="L178" i="36"/>
  <c r="K178" i="36"/>
  <c r="C178" i="36"/>
  <c r="M75" i="36" l="1"/>
  <c r="L75" i="36"/>
  <c r="K75" i="36"/>
  <c r="E75" i="36"/>
  <c r="C75" i="36"/>
  <c r="M74" i="36"/>
  <c r="L74" i="36"/>
  <c r="K74" i="36"/>
  <c r="E74" i="36"/>
  <c r="C74" i="36"/>
  <c r="M73" i="36"/>
  <c r="L73" i="36"/>
  <c r="K73" i="36"/>
  <c r="E73" i="36"/>
  <c r="C73" i="36"/>
  <c r="M69" i="36"/>
  <c r="M70" i="36"/>
  <c r="M71" i="36"/>
  <c r="L69" i="36"/>
  <c r="L70" i="36"/>
  <c r="L71" i="36"/>
  <c r="K69" i="36"/>
  <c r="K70" i="36"/>
  <c r="K71" i="36"/>
  <c r="E69" i="36"/>
  <c r="E70" i="36"/>
  <c r="E71" i="36"/>
  <c r="C69" i="36"/>
  <c r="C70" i="36"/>
  <c r="C71" i="36"/>
  <c r="AS3" i="1" l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68" i="1"/>
  <c r="AS1569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68" i="1"/>
  <c r="AR1569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1594" i="1"/>
  <c r="Y1594" i="1"/>
  <c r="AO1594" i="1" s="1"/>
  <c r="AQ1594" i="1" s="1"/>
  <c r="X1594" i="1"/>
  <c r="W1594" i="1"/>
  <c r="U1594" i="1"/>
  <c r="T1594" i="1"/>
  <c r="S1594" i="1"/>
  <c r="R1594" i="1"/>
  <c r="AT1594" i="1" s="1"/>
  <c r="Q1594" i="1"/>
  <c r="AU1594" i="1" s="1"/>
  <c r="P1594" i="1"/>
  <c r="AP1593" i="1"/>
  <c r="Y1593" i="1"/>
  <c r="X1593" i="1"/>
  <c r="W1593" i="1"/>
  <c r="U1593" i="1"/>
  <c r="T1593" i="1"/>
  <c r="S1593" i="1"/>
  <c r="R1593" i="1"/>
  <c r="AT1593" i="1" s="1"/>
  <c r="Q1593" i="1"/>
  <c r="AU1593" i="1" s="1"/>
  <c r="P1593" i="1"/>
  <c r="AP1592" i="1"/>
  <c r="Y1592" i="1"/>
  <c r="X1592" i="1"/>
  <c r="W1592" i="1"/>
  <c r="U1592" i="1"/>
  <c r="T1592" i="1"/>
  <c r="S1592" i="1"/>
  <c r="R1592" i="1"/>
  <c r="AT1592" i="1" s="1"/>
  <c r="Q1592" i="1"/>
  <c r="AU1592" i="1" s="1"/>
  <c r="P1592" i="1"/>
  <c r="AP1591" i="1"/>
  <c r="Y1591" i="1"/>
  <c r="X1591" i="1"/>
  <c r="W1591" i="1"/>
  <c r="U1591" i="1"/>
  <c r="T1591" i="1"/>
  <c r="S1591" i="1"/>
  <c r="R1591" i="1"/>
  <c r="AT1591" i="1" s="1"/>
  <c r="Q1591" i="1"/>
  <c r="AU1591" i="1" s="1"/>
  <c r="P1591" i="1"/>
  <c r="AP1588" i="1"/>
  <c r="Y1588" i="1"/>
  <c r="X1588" i="1"/>
  <c r="W1588" i="1"/>
  <c r="U1588" i="1"/>
  <c r="T1588" i="1"/>
  <c r="S1588" i="1"/>
  <c r="R1588" i="1"/>
  <c r="AT1588" i="1" s="1"/>
  <c r="Q1588" i="1"/>
  <c r="AU1588" i="1" s="1"/>
  <c r="P1588" i="1"/>
  <c r="AP1587" i="1"/>
  <c r="Y1587" i="1"/>
  <c r="X1587" i="1"/>
  <c r="W1587" i="1"/>
  <c r="U1587" i="1"/>
  <c r="T1587" i="1"/>
  <c r="S1587" i="1"/>
  <c r="R1587" i="1"/>
  <c r="AT1587" i="1" s="1"/>
  <c r="Q1587" i="1"/>
  <c r="AU1587" i="1" s="1"/>
  <c r="P1587" i="1"/>
  <c r="AP1586" i="1"/>
  <c r="Y1586" i="1"/>
  <c r="X1586" i="1"/>
  <c r="W1586" i="1"/>
  <c r="U1586" i="1"/>
  <c r="T1586" i="1"/>
  <c r="S1586" i="1"/>
  <c r="R1586" i="1"/>
  <c r="AT1586" i="1" s="1"/>
  <c r="Q1586" i="1"/>
  <c r="AU1586" i="1" s="1"/>
  <c r="P1586" i="1"/>
  <c r="AP1590" i="1"/>
  <c r="Y1590" i="1"/>
  <c r="X1590" i="1"/>
  <c r="W1590" i="1"/>
  <c r="U1590" i="1"/>
  <c r="T1590" i="1"/>
  <c r="S1590" i="1"/>
  <c r="R1590" i="1"/>
  <c r="AT1590" i="1" s="1"/>
  <c r="Q1590" i="1"/>
  <c r="AU1590" i="1" s="1"/>
  <c r="P1590" i="1"/>
  <c r="AP1589" i="1"/>
  <c r="Y1589" i="1"/>
  <c r="X1589" i="1"/>
  <c r="W1589" i="1"/>
  <c r="U1589" i="1"/>
  <c r="T1589" i="1"/>
  <c r="S1589" i="1"/>
  <c r="R1589" i="1"/>
  <c r="AT1589" i="1" s="1"/>
  <c r="Q1589" i="1"/>
  <c r="AU1589" i="1" s="1"/>
  <c r="P1589" i="1"/>
  <c r="AP1585" i="1"/>
  <c r="Y1585" i="1"/>
  <c r="X1585" i="1"/>
  <c r="W1585" i="1"/>
  <c r="U1585" i="1"/>
  <c r="T1585" i="1"/>
  <c r="S1585" i="1"/>
  <c r="R1585" i="1"/>
  <c r="AT1585" i="1" s="1"/>
  <c r="Q1585" i="1"/>
  <c r="AU1585" i="1" s="1"/>
  <c r="P1585" i="1"/>
  <c r="AP1595" i="1"/>
  <c r="Y1595" i="1"/>
  <c r="X1595" i="1"/>
  <c r="W1595" i="1"/>
  <c r="U1595" i="1"/>
  <c r="T1595" i="1"/>
  <c r="S1595" i="1"/>
  <c r="R1595" i="1"/>
  <c r="AT1595" i="1" s="1"/>
  <c r="Q1595" i="1"/>
  <c r="AU1595" i="1" s="1"/>
  <c r="P1595" i="1"/>
  <c r="AP1597" i="1"/>
  <c r="Y1597" i="1"/>
  <c r="X1597" i="1"/>
  <c r="W1597" i="1"/>
  <c r="U1597" i="1"/>
  <c r="T1597" i="1"/>
  <c r="S1597" i="1"/>
  <c r="R1597" i="1"/>
  <c r="AT1597" i="1" s="1"/>
  <c r="Q1597" i="1"/>
  <c r="AU1597" i="1" s="1"/>
  <c r="P1597" i="1"/>
  <c r="AP1596" i="1"/>
  <c r="Y1596" i="1"/>
  <c r="AO1596" i="1" s="1"/>
  <c r="AQ1596" i="1" s="1"/>
  <c r="X1596" i="1"/>
  <c r="W1596" i="1"/>
  <c r="U1596" i="1"/>
  <c r="T1596" i="1"/>
  <c r="S1596" i="1"/>
  <c r="R1596" i="1"/>
  <c r="AT1596" i="1" s="1"/>
  <c r="Q1596" i="1"/>
  <c r="AU1596" i="1" s="1"/>
  <c r="P1596" i="1"/>
  <c r="V1589" i="1" l="1"/>
  <c r="V1590" i="1"/>
  <c r="AO1589" i="1"/>
  <c r="AQ1589" i="1" s="1"/>
  <c r="AO1588" i="1"/>
  <c r="AQ1588" i="1" s="1"/>
  <c r="AO1597" i="1"/>
  <c r="AQ1597" i="1" s="1"/>
  <c r="AO1590" i="1"/>
  <c r="AQ1590" i="1" s="1"/>
  <c r="AO1591" i="1"/>
  <c r="AQ1591" i="1" s="1"/>
  <c r="AO1595" i="1"/>
  <c r="AQ1595" i="1" s="1"/>
  <c r="AO1586" i="1"/>
  <c r="AQ1586" i="1" s="1"/>
  <c r="AO1592" i="1"/>
  <c r="AQ1592" i="1" s="1"/>
  <c r="AO1585" i="1"/>
  <c r="AQ1585" i="1" s="1"/>
  <c r="AO1587" i="1"/>
  <c r="AQ1587" i="1" s="1"/>
  <c r="AO1593" i="1"/>
  <c r="AQ1593" i="1" s="1"/>
  <c r="V1586" i="1"/>
  <c r="V1591" i="1"/>
  <c r="V1585" i="1"/>
  <c r="V1587" i="1"/>
  <c r="V1588" i="1"/>
  <c r="V1593" i="1"/>
  <c r="V1592" i="1"/>
  <c r="V1594" i="1"/>
  <c r="V1595" i="1"/>
  <c r="V1596" i="1"/>
  <c r="V1597" i="1"/>
  <c r="C67" i="36" l="1"/>
  <c r="C66" i="36"/>
  <c r="U519" i="6" l="1"/>
  <c r="B519" i="6"/>
  <c r="U518" i="6"/>
  <c r="B518" i="6"/>
  <c r="U517" i="6"/>
  <c r="B517" i="6"/>
  <c r="U516" i="6"/>
  <c r="B516" i="6"/>
  <c r="U515" i="6" l="1"/>
  <c r="B515" i="6"/>
  <c r="U514" i="6"/>
  <c r="B514" i="6"/>
  <c r="U513" i="6"/>
  <c r="B513" i="6"/>
  <c r="C154" i="36"/>
  <c r="C153" i="36"/>
  <c r="C152" i="36"/>
  <c r="C151" i="36"/>
  <c r="C150" i="36"/>
  <c r="C65" i="36"/>
  <c r="C149" i="36"/>
  <c r="C155" i="36"/>
  <c r="C148" i="36"/>
  <c r="U427" i="6"/>
  <c r="B427" i="6"/>
  <c r="U505" i="6"/>
  <c r="B505" i="6"/>
  <c r="E64" i="36" l="1"/>
  <c r="C64" i="36"/>
  <c r="C63" i="36"/>
  <c r="C62" i="36"/>
  <c r="C147" i="36"/>
  <c r="C146" i="36"/>
  <c r="C61" i="36" l="1"/>
  <c r="C143" i="36"/>
  <c r="C141" i="36"/>
  <c r="C60" i="36"/>
  <c r="C140" i="36"/>
  <c r="C139" i="36"/>
  <c r="AP1574" i="1"/>
  <c r="Y1574" i="1"/>
  <c r="X1574" i="1"/>
  <c r="W1574" i="1"/>
  <c r="U1574" i="1"/>
  <c r="T1574" i="1"/>
  <c r="S1574" i="1"/>
  <c r="R1574" i="1"/>
  <c r="AT1574" i="1" s="1"/>
  <c r="Q1574" i="1"/>
  <c r="AU1574" i="1" s="1"/>
  <c r="P1574" i="1"/>
  <c r="AP1569" i="1"/>
  <c r="Y1569" i="1"/>
  <c r="AO1569" i="1" s="1"/>
  <c r="X1569" i="1"/>
  <c r="W1569" i="1"/>
  <c r="U1569" i="1"/>
  <c r="T1569" i="1"/>
  <c r="S1569" i="1"/>
  <c r="R1569" i="1"/>
  <c r="AT1569" i="1" s="1"/>
  <c r="Q1569" i="1"/>
  <c r="AU1569" i="1" s="1"/>
  <c r="P1569" i="1"/>
  <c r="AP1568" i="1"/>
  <c r="Y1568" i="1"/>
  <c r="AO1568" i="1" s="1"/>
  <c r="AQ1568" i="1" s="1"/>
  <c r="X1568" i="1"/>
  <c r="W1568" i="1"/>
  <c r="U1568" i="1"/>
  <c r="T1568" i="1"/>
  <c r="S1568" i="1"/>
  <c r="R1568" i="1"/>
  <c r="AT1568" i="1" s="1"/>
  <c r="Q1568" i="1"/>
  <c r="AU1568" i="1" s="1"/>
  <c r="P1568" i="1"/>
  <c r="AP1573" i="1"/>
  <c r="Y1573" i="1"/>
  <c r="AO1573" i="1" s="1"/>
  <c r="AQ1573" i="1" s="1"/>
  <c r="X1573" i="1"/>
  <c r="W1573" i="1"/>
  <c r="U1573" i="1"/>
  <c r="T1573" i="1"/>
  <c r="S1573" i="1"/>
  <c r="R1573" i="1"/>
  <c r="AT1573" i="1" s="1"/>
  <c r="Q1573" i="1"/>
  <c r="AU1573" i="1" s="1"/>
  <c r="P1573" i="1"/>
  <c r="AP1572" i="1"/>
  <c r="Y1572" i="1"/>
  <c r="AO1572" i="1" s="1"/>
  <c r="AQ1572" i="1" s="1"/>
  <c r="X1572" i="1"/>
  <c r="W1572" i="1"/>
  <c r="U1572" i="1"/>
  <c r="T1572" i="1"/>
  <c r="S1572" i="1"/>
  <c r="R1572" i="1"/>
  <c r="AT1572" i="1" s="1"/>
  <c r="Q1572" i="1"/>
  <c r="AU1572" i="1" s="1"/>
  <c r="P1572" i="1"/>
  <c r="AP1571" i="1"/>
  <c r="Y1571" i="1"/>
  <c r="AO1571" i="1" s="1"/>
  <c r="X1571" i="1"/>
  <c r="W1571" i="1"/>
  <c r="U1571" i="1"/>
  <c r="T1571" i="1"/>
  <c r="S1571" i="1"/>
  <c r="R1571" i="1"/>
  <c r="AT1571" i="1" s="1"/>
  <c r="Q1571" i="1"/>
  <c r="AU1571" i="1" s="1"/>
  <c r="P1571" i="1"/>
  <c r="AP1570" i="1"/>
  <c r="Y1570" i="1"/>
  <c r="AO1570" i="1" s="1"/>
  <c r="X1570" i="1"/>
  <c r="W1570" i="1"/>
  <c r="U1570" i="1"/>
  <c r="T1570" i="1"/>
  <c r="S1570" i="1"/>
  <c r="R1570" i="1"/>
  <c r="AT1570" i="1" s="1"/>
  <c r="Q1570" i="1"/>
  <c r="AU1570" i="1" s="1"/>
  <c r="P1570" i="1"/>
  <c r="AP1581" i="1"/>
  <c r="Y1581" i="1"/>
  <c r="AO1581" i="1" s="1"/>
  <c r="AQ1581" i="1" s="1"/>
  <c r="X1581" i="1"/>
  <c r="W1581" i="1"/>
  <c r="U1581" i="1"/>
  <c r="T1581" i="1"/>
  <c r="S1581" i="1"/>
  <c r="R1581" i="1"/>
  <c r="AT1581" i="1" s="1"/>
  <c r="Q1581" i="1"/>
  <c r="AU1581" i="1" s="1"/>
  <c r="P1581" i="1"/>
  <c r="AP1580" i="1"/>
  <c r="Y1580" i="1"/>
  <c r="X1580" i="1"/>
  <c r="W1580" i="1"/>
  <c r="U1580" i="1"/>
  <c r="T1580" i="1"/>
  <c r="S1580" i="1"/>
  <c r="R1580" i="1"/>
  <c r="AT1580" i="1" s="1"/>
  <c r="Q1580" i="1"/>
  <c r="AU1580" i="1" s="1"/>
  <c r="P1580" i="1"/>
  <c r="AP1579" i="1"/>
  <c r="Y1579" i="1"/>
  <c r="AO1579" i="1" s="1"/>
  <c r="X1579" i="1"/>
  <c r="W1579" i="1"/>
  <c r="U1579" i="1"/>
  <c r="T1579" i="1"/>
  <c r="S1579" i="1"/>
  <c r="R1579" i="1"/>
  <c r="AT1579" i="1" s="1"/>
  <c r="Q1579" i="1"/>
  <c r="AU1579" i="1" s="1"/>
  <c r="P1579" i="1"/>
  <c r="AP1578" i="1"/>
  <c r="Y1578" i="1"/>
  <c r="AO1578" i="1" s="1"/>
  <c r="AQ1578" i="1" s="1"/>
  <c r="X1578" i="1"/>
  <c r="W1578" i="1"/>
  <c r="U1578" i="1"/>
  <c r="T1578" i="1"/>
  <c r="S1578" i="1"/>
  <c r="R1578" i="1"/>
  <c r="AT1578" i="1" s="1"/>
  <c r="Q1578" i="1"/>
  <c r="AU1578" i="1" s="1"/>
  <c r="P1578" i="1"/>
  <c r="AP1576" i="1"/>
  <c r="Y1576" i="1"/>
  <c r="AO1576" i="1" s="1"/>
  <c r="AQ1576" i="1" s="1"/>
  <c r="X1576" i="1"/>
  <c r="W1576" i="1"/>
  <c r="U1576" i="1"/>
  <c r="T1576" i="1"/>
  <c r="S1576" i="1"/>
  <c r="R1576" i="1"/>
  <c r="AT1576" i="1" s="1"/>
  <c r="Q1576" i="1"/>
  <c r="AU1576" i="1" s="1"/>
  <c r="P1576" i="1"/>
  <c r="AP1575" i="1"/>
  <c r="Y1575" i="1"/>
  <c r="X1575" i="1"/>
  <c r="W1575" i="1"/>
  <c r="U1575" i="1"/>
  <c r="T1575" i="1"/>
  <c r="S1575" i="1"/>
  <c r="R1575" i="1"/>
  <c r="AT1575" i="1" s="1"/>
  <c r="Q1575" i="1"/>
  <c r="AU1575" i="1" s="1"/>
  <c r="P1575" i="1"/>
  <c r="AQ1579" i="1" l="1"/>
  <c r="AQ1571" i="1"/>
  <c r="AQ1569" i="1"/>
  <c r="AQ1570" i="1"/>
  <c r="AO1575" i="1"/>
  <c r="AQ1575" i="1" s="1"/>
  <c r="AO1580" i="1"/>
  <c r="AQ1580" i="1" s="1"/>
  <c r="AO1574" i="1"/>
  <c r="AQ1574" i="1" s="1"/>
  <c r="V1572" i="1"/>
  <c r="V1568" i="1"/>
  <c r="V1581" i="1"/>
  <c r="V1573" i="1"/>
  <c r="V1571" i="1"/>
  <c r="V1569" i="1"/>
  <c r="V1574" i="1"/>
  <c r="V1578" i="1"/>
  <c r="V1570" i="1"/>
  <c r="V1575" i="1"/>
  <c r="V1580" i="1"/>
  <c r="V1579" i="1"/>
  <c r="V1576" i="1"/>
  <c r="U511" i="6" l="1"/>
  <c r="B511" i="6"/>
  <c r="U510" i="6"/>
  <c r="B510" i="6"/>
  <c r="U509" i="6"/>
  <c r="B509" i="6"/>
  <c r="U508" i="6"/>
  <c r="B508" i="6"/>
  <c r="C145" i="36"/>
  <c r="C144" i="36"/>
  <c r="C142" i="36"/>
  <c r="U521" i="6" l="1"/>
  <c r="P521" i="6"/>
  <c r="K521" i="6"/>
  <c r="J521" i="6"/>
  <c r="I521" i="6"/>
  <c r="B521" i="6"/>
  <c r="U520" i="6"/>
  <c r="P520" i="6"/>
  <c r="K520" i="6"/>
  <c r="J520" i="6"/>
  <c r="I520" i="6"/>
  <c r="B520" i="6"/>
  <c r="U512" i="6"/>
  <c r="B512" i="6"/>
  <c r="C59" i="36"/>
  <c r="C138" i="36"/>
  <c r="C137" i="36"/>
  <c r="C136" i="36"/>
  <c r="C135" i="36"/>
  <c r="C134" i="36"/>
  <c r="U507" i="6"/>
  <c r="B507" i="6"/>
  <c r="U506" i="6"/>
  <c r="B506" i="6"/>
  <c r="U504" i="6"/>
  <c r="B504" i="6"/>
  <c r="P1611" i="1"/>
  <c r="Q1611" i="1"/>
  <c r="AU1611" i="1" s="1"/>
  <c r="R1611" i="1"/>
  <c r="AT1611" i="1" s="1"/>
  <c r="S1611" i="1"/>
  <c r="T1611" i="1"/>
  <c r="U1611" i="1"/>
  <c r="X1611" i="1"/>
  <c r="Y1611" i="1"/>
  <c r="AO1611" i="1" s="1"/>
  <c r="P1612" i="1"/>
  <c r="Q1612" i="1"/>
  <c r="AU1612" i="1" s="1"/>
  <c r="R1612" i="1"/>
  <c r="AT1612" i="1" s="1"/>
  <c r="S1612" i="1"/>
  <c r="T1612" i="1"/>
  <c r="U1612" i="1"/>
  <c r="X1612" i="1"/>
  <c r="Y1612" i="1"/>
  <c r="AO1612" i="1" s="1"/>
  <c r="P1613" i="1"/>
  <c r="Q1613" i="1"/>
  <c r="AU1613" i="1" s="1"/>
  <c r="R1613" i="1"/>
  <c r="AT1613" i="1" s="1"/>
  <c r="S1613" i="1"/>
  <c r="T1613" i="1"/>
  <c r="U1613" i="1"/>
  <c r="X1613" i="1"/>
  <c r="Y1613" i="1"/>
  <c r="AO1613" i="1" s="1"/>
  <c r="P1614" i="1"/>
  <c r="K503" i="6" s="1"/>
  <c r="Q1614" i="1"/>
  <c r="R1614" i="1"/>
  <c r="S1614" i="1"/>
  <c r="T1614" i="1"/>
  <c r="U1614" i="1"/>
  <c r="X1614" i="1"/>
  <c r="Y1614" i="1"/>
  <c r="P1615" i="1"/>
  <c r="Q1615" i="1"/>
  <c r="AU1615" i="1" s="1"/>
  <c r="R1615" i="1"/>
  <c r="AT1615" i="1" s="1"/>
  <c r="S1615" i="1"/>
  <c r="T1615" i="1"/>
  <c r="U1615" i="1"/>
  <c r="X1615" i="1"/>
  <c r="Y1615" i="1"/>
  <c r="AO1615" i="1" s="1"/>
  <c r="P1616" i="1"/>
  <c r="Q1616" i="1"/>
  <c r="R1616" i="1"/>
  <c r="S1616" i="1"/>
  <c r="T1616" i="1"/>
  <c r="U1616" i="1"/>
  <c r="X1616" i="1"/>
  <c r="Y1616" i="1"/>
  <c r="P1617" i="1"/>
  <c r="Q1617" i="1"/>
  <c r="AU1617" i="1" s="1"/>
  <c r="R1617" i="1"/>
  <c r="AT1617" i="1" s="1"/>
  <c r="S1617" i="1"/>
  <c r="T1617" i="1"/>
  <c r="U1617" i="1"/>
  <c r="X1617" i="1"/>
  <c r="Y1617" i="1"/>
  <c r="AO1617" i="1" s="1"/>
  <c r="P1618" i="1"/>
  <c r="Q1618" i="1"/>
  <c r="AU1618" i="1" s="1"/>
  <c r="R1618" i="1"/>
  <c r="AT1618" i="1" s="1"/>
  <c r="S1618" i="1"/>
  <c r="T1618" i="1"/>
  <c r="U1618" i="1"/>
  <c r="X1618" i="1"/>
  <c r="Y1618" i="1"/>
  <c r="AO1618" i="1" s="1"/>
  <c r="P1619" i="1"/>
  <c r="Q1619" i="1"/>
  <c r="AU1619" i="1" s="1"/>
  <c r="R1619" i="1"/>
  <c r="AT1619" i="1" s="1"/>
  <c r="S1619" i="1"/>
  <c r="T1619" i="1"/>
  <c r="U1619" i="1"/>
  <c r="X1619" i="1"/>
  <c r="Y1619" i="1"/>
  <c r="AO1619" i="1" s="1"/>
  <c r="P1620" i="1"/>
  <c r="Q1620" i="1"/>
  <c r="AU1620" i="1" s="1"/>
  <c r="R1620" i="1"/>
  <c r="AT1620" i="1" s="1"/>
  <c r="S1620" i="1"/>
  <c r="T1620" i="1"/>
  <c r="U1620" i="1"/>
  <c r="X1620" i="1"/>
  <c r="Y1620" i="1"/>
  <c r="AO1620" i="1" s="1"/>
  <c r="P1621" i="1"/>
  <c r="Q1621" i="1"/>
  <c r="AU1621" i="1" s="1"/>
  <c r="R1621" i="1"/>
  <c r="AT1621" i="1" s="1"/>
  <c r="S1621" i="1"/>
  <c r="T1621" i="1"/>
  <c r="U1621" i="1"/>
  <c r="X1621" i="1"/>
  <c r="Y1621" i="1"/>
  <c r="AO1621" i="1" s="1"/>
  <c r="C133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30" i="36"/>
  <c r="U495" i="6"/>
  <c r="B495" i="6"/>
  <c r="U494" i="6"/>
  <c r="B494" i="6"/>
  <c r="U493" i="6"/>
  <c r="B493" i="6"/>
  <c r="U492" i="6"/>
  <c r="B492" i="6"/>
  <c r="AT1616" i="1" l="1"/>
  <c r="AU1616" i="1"/>
  <c r="AO1616" i="1"/>
  <c r="P503" i="6"/>
  <c r="AO1614" i="1"/>
  <c r="I503" i="6"/>
  <c r="AT1614" i="1"/>
  <c r="J503" i="6"/>
  <c r="AU1614" i="1"/>
  <c r="V1617" i="1"/>
  <c r="V1616" i="1"/>
  <c r="V1613" i="1"/>
  <c r="V1614" i="1"/>
  <c r="V1612" i="1"/>
  <c r="V1611" i="1"/>
  <c r="V1621" i="1"/>
  <c r="V1620" i="1"/>
  <c r="V1619" i="1"/>
  <c r="V1618" i="1"/>
  <c r="V1615" i="1"/>
  <c r="Y23" i="37"/>
  <c r="Y24" i="37"/>
  <c r="Y25" i="37"/>
  <c r="M4" i="37"/>
  <c r="C132" i="36"/>
  <c r="C131" i="36"/>
  <c r="C129" i="36"/>
  <c r="C128" i="36"/>
  <c r="C127" i="36"/>
  <c r="C126" i="36"/>
  <c r="C125" i="36"/>
  <c r="C124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Q752" i="1" s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50" i="1"/>
  <c r="AP1551" i="1"/>
  <c r="AP1548" i="1"/>
  <c r="AP1549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82" i="1"/>
  <c r="AP1577" i="1"/>
  <c r="AP1583" i="1"/>
  <c r="AP1584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Q1611" i="1" s="1"/>
  <c r="AP1612" i="1"/>
  <c r="AQ1612" i="1" s="1"/>
  <c r="AP1613" i="1"/>
  <c r="AQ1613" i="1" s="1"/>
  <c r="AP1614" i="1"/>
  <c r="AQ1614" i="1" s="1"/>
  <c r="AP1615" i="1"/>
  <c r="AQ1615" i="1" s="1"/>
  <c r="AP1616" i="1"/>
  <c r="AQ1616" i="1" s="1"/>
  <c r="AP1617" i="1"/>
  <c r="AQ1617" i="1" s="1"/>
  <c r="AP1618" i="1"/>
  <c r="AQ1618" i="1" s="1"/>
  <c r="AP1619" i="1"/>
  <c r="AQ1619" i="1" s="1"/>
  <c r="AP1620" i="1"/>
  <c r="AQ1620" i="1" s="1"/>
  <c r="AP1621" i="1"/>
  <c r="AQ1621" i="1" s="1"/>
  <c r="AP1622" i="1"/>
  <c r="AQ1622" i="1" s="1"/>
  <c r="AP1623" i="1"/>
  <c r="AQ1623" i="1" s="1"/>
  <c r="AP1624" i="1"/>
  <c r="AQ1624" i="1" s="1"/>
  <c r="AP1625" i="1"/>
  <c r="AQ1625" i="1" s="1"/>
  <c r="AP1626" i="1"/>
  <c r="AQ1626" i="1" s="1"/>
  <c r="AP1627" i="1"/>
  <c r="AQ1627" i="1" s="1"/>
  <c r="AP1628" i="1"/>
  <c r="AQ1628" i="1" s="1"/>
  <c r="AP1629" i="1"/>
  <c r="AQ1629" i="1" s="1"/>
  <c r="AP1630" i="1"/>
  <c r="AQ1630" i="1" s="1"/>
  <c r="AP1631" i="1"/>
  <c r="AQ1631" i="1" s="1"/>
  <c r="AP1632" i="1"/>
  <c r="AQ1632" i="1" s="1"/>
  <c r="AP1633" i="1"/>
  <c r="AQ1633" i="1" s="1"/>
  <c r="AP1634" i="1"/>
  <c r="AQ1634" i="1" s="1"/>
  <c r="AP1635" i="1"/>
  <c r="AQ1635" i="1" s="1"/>
  <c r="AP1636" i="1"/>
  <c r="AQ1636" i="1" s="1"/>
  <c r="AP1637" i="1"/>
  <c r="AQ1637" i="1" s="1"/>
  <c r="AP1638" i="1"/>
  <c r="AQ1638" i="1" s="1"/>
  <c r="AP1639" i="1"/>
  <c r="AQ1639" i="1" s="1"/>
  <c r="AP1640" i="1"/>
  <c r="AQ1640" i="1" s="1"/>
  <c r="AP1641" i="1"/>
  <c r="AQ1641" i="1" s="1"/>
  <c r="AP1642" i="1"/>
  <c r="AQ1642" i="1" s="1"/>
  <c r="AP1643" i="1"/>
  <c r="AQ1643" i="1" s="1"/>
  <c r="AP1644" i="1"/>
  <c r="AQ1644" i="1" s="1"/>
  <c r="AP1645" i="1"/>
  <c r="AQ1645" i="1" s="1"/>
  <c r="AP1646" i="1"/>
  <c r="AQ1646" i="1" s="1"/>
  <c r="AP1647" i="1"/>
  <c r="AQ1647" i="1" s="1"/>
  <c r="AP1648" i="1"/>
  <c r="AQ1648" i="1" s="1"/>
  <c r="AP1649" i="1"/>
  <c r="AQ1649" i="1" s="1"/>
  <c r="AP1650" i="1"/>
  <c r="AQ1650" i="1" s="1"/>
  <c r="AP1651" i="1"/>
  <c r="AQ1651" i="1" s="1"/>
  <c r="AP1652" i="1"/>
  <c r="AQ1652" i="1" s="1"/>
  <c r="AP1653" i="1"/>
  <c r="AQ1653" i="1" s="1"/>
  <c r="AP1654" i="1"/>
  <c r="AQ1654" i="1" s="1"/>
  <c r="AP1655" i="1"/>
  <c r="AQ1655" i="1" s="1"/>
  <c r="AP1656" i="1"/>
  <c r="AQ1656" i="1" s="1"/>
  <c r="AP1657" i="1"/>
  <c r="AQ1657" i="1" s="1"/>
  <c r="AP1658" i="1"/>
  <c r="AQ1658" i="1" s="1"/>
  <c r="AP1659" i="1"/>
  <c r="AQ1659" i="1" s="1"/>
  <c r="AP1660" i="1"/>
  <c r="AQ1660" i="1" s="1"/>
  <c r="AP1661" i="1"/>
  <c r="AQ1661" i="1" s="1"/>
  <c r="AP1662" i="1"/>
  <c r="AQ1662" i="1" s="1"/>
  <c r="AP1663" i="1"/>
  <c r="AQ1663" i="1" s="1"/>
  <c r="AP1664" i="1"/>
  <c r="AQ1664" i="1" s="1"/>
  <c r="AP1665" i="1"/>
  <c r="AQ1665" i="1" s="1"/>
  <c r="AP1666" i="1"/>
  <c r="AQ1666" i="1" s="1"/>
  <c r="AP1667" i="1"/>
  <c r="AQ1667" i="1" s="1"/>
  <c r="AP1668" i="1"/>
  <c r="AQ1668" i="1" s="1"/>
  <c r="AP1669" i="1"/>
  <c r="AQ1669" i="1" s="1"/>
  <c r="AP1670" i="1"/>
  <c r="AQ1670" i="1" s="1"/>
  <c r="AP1671" i="1"/>
  <c r="AQ1671" i="1" s="1"/>
  <c r="AP1672" i="1"/>
  <c r="AQ1672" i="1" s="1"/>
  <c r="AP1673" i="1"/>
  <c r="AQ1673" i="1" s="1"/>
  <c r="AP1674" i="1"/>
  <c r="AQ1674" i="1" s="1"/>
  <c r="AP1675" i="1"/>
  <c r="AQ1675" i="1" s="1"/>
  <c r="AP1676" i="1"/>
  <c r="AQ1676" i="1" s="1"/>
  <c r="AP1677" i="1"/>
  <c r="AQ1677" i="1" s="1"/>
  <c r="AP1678" i="1"/>
  <c r="AQ1678" i="1" s="1"/>
  <c r="AP1679" i="1"/>
  <c r="AQ1679" i="1" s="1"/>
  <c r="AP1680" i="1"/>
  <c r="AQ1680" i="1" s="1"/>
  <c r="AP1681" i="1"/>
  <c r="AQ1681" i="1" s="1"/>
  <c r="AP1682" i="1"/>
  <c r="AQ1682" i="1" s="1"/>
  <c r="AP1683" i="1"/>
  <c r="AQ1683" i="1" s="1"/>
  <c r="AP1684" i="1"/>
  <c r="AQ1684" i="1" s="1"/>
  <c r="AP1685" i="1"/>
  <c r="AQ1685" i="1" s="1"/>
  <c r="AP1686" i="1"/>
  <c r="AQ1686" i="1" s="1"/>
  <c r="AP1687" i="1"/>
  <c r="AQ1687" i="1" s="1"/>
  <c r="AP1688" i="1"/>
  <c r="AQ1688" i="1" s="1"/>
  <c r="AP1689" i="1"/>
  <c r="AQ1689" i="1" s="1"/>
  <c r="AP1690" i="1"/>
  <c r="AQ1690" i="1" s="1"/>
  <c r="AP1691" i="1"/>
  <c r="AQ1691" i="1" s="1"/>
  <c r="AP1692" i="1"/>
  <c r="AQ1692" i="1" s="1"/>
  <c r="AP1693" i="1"/>
  <c r="AQ1693" i="1" s="1"/>
  <c r="AP1694" i="1"/>
  <c r="AQ1694" i="1" s="1"/>
  <c r="AP1695" i="1"/>
  <c r="AQ1695" i="1" s="1"/>
  <c r="AP1696" i="1"/>
  <c r="AQ1696" i="1" s="1"/>
  <c r="AP1697" i="1"/>
  <c r="AQ1697" i="1" s="1"/>
  <c r="AP1698" i="1"/>
  <c r="AQ1698" i="1" s="1"/>
  <c r="AP1699" i="1"/>
  <c r="AQ1699" i="1" s="1"/>
  <c r="AP1700" i="1"/>
  <c r="AQ1700" i="1" s="1"/>
  <c r="AP1701" i="1"/>
  <c r="AQ1701" i="1" s="1"/>
  <c r="AP1702" i="1"/>
  <c r="AQ1702" i="1" s="1"/>
  <c r="AP1703" i="1"/>
  <c r="AQ1703" i="1" s="1"/>
  <c r="AP1704" i="1"/>
  <c r="AQ1704" i="1" s="1"/>
  <c r="AP1705" i="1"/>
  <c r="AQ1705" i="1" s="1"/>
  <c r="AP1706" i="1"/>
  <c r="AQ1706" i="1" s="1"/>
  <c r="AP1707" i="1"/>
  <c r="AQ1707" i="1" s="1"/>
  <c r="AP1708" i="1"/>
  <c r="AQ1708" i="1" s="1"/>
  <c r="AP1709" i="1"/>
  <c r="AQ1709" i="1" s="1"/>
  <c r="AP1710" i="1"/>
  <c r="AQ1710" i="1" s="1"/>
  <c r="AP1711" i="1"/>
  <c r="AQ1711" i="1" s="1"/>
  <c r="AP1712" i="1"/>
  <c r="AQ1712" i="1" s="1"/>
  <c r="AP1713" i="1"/>
  <c r="AQ1713" i="1" s="1"/>
  <c r="AP1714" i="1"/>
  <c r="AQ1714" i="1" s="1"/>
  <c r="AP1715" i="1"/>
  <c r="AQ1715" i="1" s="1"/>
  <c r="AP1716" i="1"/>
  <c r="AQ1716" i="1" s="1"/>
  <c r="AP1717" i="1"/>
  <c r="AQ1717" i="1" s="1"/>
  <c r="AP1718" i="1"/>
  <c r="AQ1718" i="1" s="1"/>
  <c r="AP1719" i="1"/>
  <c r="AQ1719" i="1" s="1"/>
  <c r="AP1720" i="1"/>
  <c r="AQ1720" i="1" s="1"/>
  <c r="AP1721" i="1"/>
  <c r="AQ1721" i="1" s="1"/>
  <c r="AP1722" i="1"/>
  <c r="AQ1722" i="1" s="1"/>
  <c r="AP1723" i="1"/>
  <c r="AQ1723" i="1" s="1"/>
  <c r="AP1724" i="1"/>
  <c r="AQ1724" i="1" s="1"/>
  <c r="AP1725" i="1"/>
  <c r="AQ1725" i="1" s="1"/>
  <c r="AP1726" i="1"/>
  <c r="AQ1726" i="1" s="1"/>
  <c r="AP1727" i="1"/>
  <c r="AQ1727" i="1" s="1"/>
  <c r="AP1728" i="1"/>
  <c r="AQ1728" i="1" s="1"/>
  <c r="AP1729" i="1"/>
  <c r="AQ1729" i="1" s="1"/>
  <c r="AP1730" i="1"/>
  <c r="AQ1730" i="1" s="1"/>
  <c r="AP1731" i="1"/>
  <c r="AQ1731" i="1" s="1"/>
  <c r="AP1732" i="1"/>
  <c r="AQ1732" i="1" s="1"/>
  <c r="AP1733" i="1"/>
  <c r="AQ1733" i="1" s="1"/>
  <c r="AP1734" i="1"/>
  <c r="AQ1734" i="1" s="1"/>
  <c r="AP1735" i="1"/>
  <c r="AQ1735" i="1" s="1"/>
  <c r="AP1736" i="1"/>
  <c r="AQ1736" i="1" s="1"/>
  <c r="AP1737" i="1"/>
  <c r="AQ1737" i="1" s="1"/>
  <c r="AP1738" i="1"/>
  <c r="AQ1738" i="1" s="1"/>
  <c r="AP1739" i="1"/>
  <c r="AQ1739" i="1" s="1"/>
  <c r="AP1740" i="1"/>
  <c r="AQ1740" i="1" s="1"/>
  <c r="AP1741" i="1"/>
  <c r="AQ1741" i="1" s="1"/>
  <c r="AP1742" i="1"/>
  <c r="AQ1742" i="1" s="1"/>
  <c r="AP1743" i="1"/>
  <c r="AQ1743" i="1" s="1"/>
  <c r="AP1744" i="1"/>
  <c r="AQ1744" i="1" s="1"/>
  <c r="AP1745" i="1"/>
  <c r="AQ1745" i="1" s="1"/>
  <c r="AP1746" i="1"/>
  <c r="AQ1746" i="1" s="1"/>
  <c r="AP1747" i="1"/>
  <c r="AQ1747" i="1" s="1"/>
  <c r="AP1748" i="1"/>
  <c r="AQ1748" i="1" s="1"/>
  <c r="AP1749" i="1"/>
  <c r="AQ1749" i="1" s="1"/>
  <c r="AP1750" i="1"/>
  <c r="AQ1750" i="1" s="1"/>
  <c r="AP1751" i="1"/>
  <c r="AQ1751" i="1" s="1"/>
  <c r="AP1752" i="1"/>
  <c r="AQ1752" i="1" s="1"/>
  <c r="AP1753" i="1"/>
  <c r="AQ1753" i="1" s="1"/>
  <c r="AP1754" i="1"/>
  <c r="AQ1754" i="1" s="1"/>
  <c r="AP1755" i="1"/>
  <c r="AQ1755" i="1" s="1"/>
  <c r="AP1756" i="1"/>
  <c r="AQ1756" i="1" s="1"/>
  <c r="AP1757" i="1"/>
  <c r="AQ1757" i="1" s="1"/>
  <c r="AP1758" i="1"/>
  <c r="AQ1758" i="1" s="1"/>
  <c r="AP1759" i="1"/>
  <c r="AQ1759" i="1" s="1"/>
  <c r="AP1760" i="1"/>
  <c r="AQ1760" i="1" s="1"/>
  <c r="AP1761" i="1"/>
  <c r="AQ1761" i="1" s="1"/>
  <c r="AP1762" i="1"/>
  <c r="AQ1762" i="1" s="1"/>
  <c r="AP1763" i="1"/>
  <c r="AQ1763" i="1" s="1"/>
  <c r="AP1764" i="1"/>
  <c r="AQ1764" i="1" s="1"/>
  <c r="AP1765" i="1"/>
  <c r="AQ1765" i="1" s="1"/>
  <c r="AP1766" i="1"/>
  <c r="AQ1766" i="1" s="1"/>
  <c r="AP1767" i="1"/>
  <c r="AQ1767" i="1" s="1"/>
  <c r="AP1768" i="1"/>
  <c r="AQ1768" i="1" s="1"/>
  <c r="AP1769" i="1"/>
  <c r="AQ1769" i="1" s="1"/>
  <c r="AP1770" i="1"/>
  <c r="AQ1770" i="1" s="1"/>
  <c r="AP1771" i="1"/>
  <c r="AQ1771" i="1" s="1"/>
  <c r="AP1772" i="1"/>
  <c r="AQ1772" i="1" s="1"/>
  <c r="AP1773" i="1"/>
  <c r="AQ1773" i="1" s="1"/>
  <c r="AP1774" i="1"/>
  <c r="AQ1774" i="1" s="1"/>
  <c r="AP1775" i="1"/>
  <c r="AQ1775" i="1" s="1"/>
  <c r="AP1776" i="1"/>
  <c r="AQ1776" i="1" s="1"/>
  <c r="AP1777" i="1"/>
  <c r="AQ1777" i="1" s="1"/>
  <c r="AP1778" i="1"/>
  <c r="AQ1778" i="1" s="1"/>
  <c r="AP1779" i="1"/>
  <c r="AQ1779" i="1" s="1"/>
  <c r="AP1780" i="1"/>
  <c r="AQ1780" i="1" s="1"/>
  <c r="AP1781" i="1"/>
  <c r="AQ1781" i="1" s="1"/>
  <c r="AP1782" i="1"/>
  <c r="AQ1782" i="1" s="1"/>
  <c r="AP1783" i="1"/>
  <c r="AQ1783" i="1" s="1"/>
  <c r="AP1784" i="1"/>
  <c r="AQ1784" i="1" s="1"/>
  <c r="AP1785" i="1"/>
  <c r="AQ1785" i="1" s="1"/>
  <c r="AP1786" i="1"/>
  <c r="AQ1786" i="1" s="1"/>
  <c r="AP1787" i="1"/>
  <c r="AQ1787" i="1" s="1"/>
  <c r="AP1788" i="1"/>
  <c r="AQ1788" i="1" s="1"/>
  <c r="AP1789" i="1"/>
  <c r="AQ1789" i="1" s="1"/>
  <c r="AP1790" i="1"/>
  <c r="AQ1790" i="1" s="1"/>
  <c r="AP1791" i="1"/>
  <c r="AQ1791" i="1" s="1"/>
  <c r="AP1792" i="1"/>
  <c r="AQ1792" i="1" s="1"/>
  <c r="AP1793" i="1"/>
  <c r="AQ1793" i="1" s="1"/>
  <c r="AP1794" i="1"/>
  <c r="AQ1794" i="1" s="1"/>
  <c r="AP1795" i="1"/>
  <c r="AQ1795" i="1" s="1"/>
  <c r="AP1796" i="1"/>
  <c r="AQ1796" i="1" s="1"/>
  <c r="AP1797" i="1"/>
  <c r="AQ1797" i="1" s="1"/>
  <c r="AP1798" i="1"/>
  <c r="AQ1798" i="1" s="1"/>
  <c r="AP1799" i="1"/>
  <c r="AQ1799" i="1" s="1"/>
  <c r="AP1800" i="1"/>
  <c r="AQ1800" i="1" s="1"/>
  <c r="AP1801" i="1"/>
  <c r="AQ1801" i="1" s="1"/>
  <c r="AP1802" i="1"/>
  <c r="AQ1802" i="1" s="1"/>
  <c r="AP1803" i="1"/>
  <c r="AQ1803" i="1" s="1"/>
  <c r="AP1804" i="1"/>
  <c r="AQ1804" i="1" s="1"/>
  <c r="AP1805" i="1"/>
  <c r="AQ1805" i="1" s="1"/>
  <c r="AP1806" i="1"/>
  <c r="AQ1806" i="1" s="1"/>
  <c r="AP1807" i="1"/>
  <c r="AQ1807" i="1" s="1"/>
  <c r="AP1808" i="1"/>
  <c r="AQ1808" i="1" s="1"/>
  <c r="AP1809" i="1"/>
  <c r="AQ1809" i="1" s="1"/>
  <c r="AP1810" i="1"/>
  <c r="AQ1810" i="1" s="1"/>
  <c r="AP1811" i="1"/>
  <c r="AQ1811" i="1" s="1"/>
  <c r="AP1812" i="1"/>
  <c r="AQ1812" i="1" s="1"/>
  <c r="AP1813" i="1"/>
  <c r="AQ1813" i="1" s="1"/>
  <c r="AP1814" i="1"/>
  <c r="AQ1814" i="1" s="1"/>
  <c r="AP1815" i="1"/>
  <c r="AQ1815" i="1" s="1"/>
  <c r="AP1816" i="1"/>
  <c r="AQ1816" i="1" s="1"/>
  <c r="AP1817" i="1"/>
  <c r="AQ1817" i="1" s="1"/>
  <c r="AP1818" i="1"/>
  <c r="AQ1818" i="1" s="1"/>
  <c r="AP1819" i="1"/>
  <c r="AQ1819" i="1" s="1"/>
  <c r="AP1820" i="1"/>
  <c r="AQ1820" i="1" s="1"/>
  <c r="AP1821" i="1"/>
  <c r="AQ1821" i="1" s="1"/>
  <c r="AP1822" i="1"/>
  <c r="AQ1822" i="1" s="1"/>
  <c r="AP1823" i="1"/>
  <c r="AQ1823" i="1" s="1"/>
  <c r="AP1824" i="1"/>
  <c r="AQ1824" i="1" s="1"/>
  <c r="AP1825" i="1"/>
  <c r="AQ1825" i="1" s="1"/>
  <c r="AP1826" i="1"/>
  <c r="AQ1826" i="1" s="1"/>
  <c r="AP1827" i="1"/>
  <c r="AQ1827" i="1" s="1"/>
  <c r="AP1828" i="1"/>
  <c r="AQ1828" i="1" s="1"/>
  <c r="AP1829" i="1"/>
  <c r="AQ1829" i="1" s="1"/>
  <c r="AP1830" i="1"/>
  <c r="AQ1830" i="1" s="1"/>
  <c r="AP1831" i="1"/>
  <c r="AQ1831" i="1" s="1"/>
  <c r="AP1832" i="1"/>
  <c r="AQ1832" i="1" s="1"/>
  <c r="AP1833" i="1"/>
  <c r="AQ1833" i="1" s="1"/>
  <c r="AP1834" i="1"/>
  <c r="AQ1834" i="1" s="1"/>
  <c r="AP1835" i="1"/>
  <c r="AQ1835" i="1" s="1"/>
  <c r="AP1836" i="1"/>
  <c r="AQ1836" i="1" s="1"/>
  <c r="AP1837" i="1"/>
  <c r="AQ1837" i="1" s="1"/>
  <c r="AP1838" i="1"/>
  <c r="AQ1838" i="1" s="1"/>
  <c r="AP1839" i="1"/>
  <c r="AQ1839" i="1" s="1"/>
  <c r="AP1840" i="1"/>
  <c r="AQ1840" i="1" s="1"/>
  <c r="AP1841" i="1"/>
  <c r="AQ1841" i="1" s="1"/>
  <c r="AP1842" i="1"/>
  <c r="AQ1842" i="1" s="1"/>
  <c r="AP1843" i="1"/>
  <c r="AQ1843" i="1" s="1"/>
  <c r="AP1844" i="1"/>
  <c r="AQ1844" i="1" s="1"/>
  <c r="AP1845" i="1"/>
  <c r="AQ1845" i="1" s="1"/>
  <c r="AP1846" i="1"/>
  <c r="AQ1846" i="1" s="1"/>
  <c r="AP1847" i="1"/>
  <c r="AQ1847" i="1" s="1"/>
  <c r="AP1848" i="1"/>
  <c r="AQ1848" i="1" s="1"/>
  <c r="AP1849" i="1"/>
  <c r="AQ1849" i="1" s="1"/>
  <c r="AP1850" i="1"/>
  <c r="AQ1850" i="1" s="1"/>
  <c r="AP1851" i="1"/>
  <c r="AQ1851" i="1" s="1"/>
  <c r="AP1852" i="1"/>
  <c r="AQ1852" i="1" s="1"/>
  <c r="AP1853" i="1"/>
  <c r="AQ1853" i="1" s="1"/>
  <c r="AP1854" i="1"/>
  <c r="AQ1854" i="1" s="1"/>
  <c r="AP1855" i="1"/>
  <c r="AQ1855" i="1" s="1"/>
  <c r="AP1856" i="1"/>
  <c r="AQ1856" i="1" s="1"/>
  <c r="AP1857" i="1"/>
  <c r="AQ1857" i="1" s="1"/>
  <c r="AP1858" i="1"/>
  <c r="AQ1858" i="1" s="1"/>
  <c r="AP1859" i="1"/>
  <c r="AQ1859" i="1" s="1"/>
  <c r="AP1860" i="1"/>
  <c r="AQ1860" i="1" s="1"/>
  <c r="AP1861" i="1"/>
  <c r="AQ1861" i="1" s="1"/>
  <c r="AP1862" i="1"/>
  <c r="AQ1862" i="1" s="1"/>
  <c r="AP1863" i="1"/>
  <c r="AQ1863" i="1" s="1"/>
  <c r="AP1864" i="1"/>
  <c r="AQ1864" i="1" s="1"/>
  <c r="AP1865" i="1"/>
  <c r="AQ1865" i="1" s="1"/>
  <c r="AP1866" i="1"/>
  <c r="AQ1866" i="1" s="1"/>
  <c r="AP1867" i="1"/>
  <c r="AQ1867" i="1" s="1"/>
  <c r="AP1868" i="1"/>
  <c r="AQ1868" i="1" s="1"/>
  <c r="AP1869" i="1"/>
  <c r="AQ1869" i="1" s="1"/>
  <c r="AP1870" i="1"/>
  <c r="AQ1870" i="1" s="1"/>
  <c r="AP1871" i="1"/>
  <c r="AQ1871" i="1" s="1"/>
  <c r="AP1872" i="1"/>
  <c r="AQ1872" i="1" s="1"/>
  <c r="AP1873" i="1"/>
  <c r="AQ1873" i="1" s="1"/>
  <c r="AP1874" i="1"/>
  <c r="AQ1874" i="1" s="1"/>
  <c r="AP1875" i="1"/>
  <c r="AQ1875" i="1" s="1"/>
  <c r="AP1876" i="1"/>
  <c r="AQ1876" i="1" s="1"/>
  <c r="AP1877" i="1"/>
  <c r="AQ1877" i="1" s="1"/>
  <c r="AP1878" i="1"/>
  <c r="AQ1878" i="1" s="1"/>
  <c r="AP1879" i="1"/>
  <c r="AQ1879" i="1" s="1"/>
  <c r="AP1880" i="1"/>
  <c r="AQ1880" i="1" s="1"/>
  <c r="AP1881" i="1"/>
  <c r="AQ1881" i="1" s="1"/>
  <c r="AP1882" i="1"/>
  <c r="AQ1882" i="1" s="1"/>
  <c r="AP1883" i="1"/>
  <c r="AQ1883" i="1" s="1"/>
  <c r="AP1884" i="1"/>
  <c r="AQ1884" i="1" s="1"/>
  <c r="AP1885" i="1"/>
  <c r="AQ1885" i="1" s="1"/>
  <c r="AP1886" i="1"/>
  <c r="AQ1886" i="1" s="1"/>
  <c r="AP1887" i="1"/>
  <c r="AQ1887" i="1" s="1"/>
  <c r="AP1888" i="1"/>
  <c r="AQ1888" i="1" s="1"/>
  <c r="AP1889" i="1"/>
  <c r="AQ1889" i="1" s="1"/>
  <c r="AP1890" i="1"/>
  <c r="AQ1890" i="1" s="1"/>
  <c r="AP1891" i="1"/>
  <c r="AQ1891" i="1" s="1"/>
  <c r="AP1892" i="1"/>
  <c r="AQ1892" i="1" s="1"/>
  <c r="AP1893" i="1"/>
  <c r="AQ1893" i="1" s="1"/>
  <c r="AP1894" i="1"/>
  <c r="AQ1894" i="1" s="1"/>
  <c r="AP1895" i="1"/>
  <c r="AQ1895" i="1" s="1"/>
  <c r="AP1896" i="1"/>
  <c r="AQ1896" i="1" s="1"/>
  <c r="AP1897" i="1"/>
  <c r="AQ1897" i="1" s="1"/>
  <c r="AP1898" i="1"/>
  <c r="AQ1898" i="1" s="1"/>
  <c r="AP1899" i="1"/>
  <c r="AQ1899" i="1" s="1"/>
  <c r="AP1900" i="1"/>
  <c r="AQ1900" i="1" s="1"/>
  <c r="AP1901" i="1"/>
  <c r="AQ1901" i="1" s="1"/>
  <c r="AP1902" i="1"/>
  <c r="AQ1902" i="1" s="1"/>
  <c r="AP1903" i="1"/>
  <c r="AQ1903" i="1" s="1"/>
  <c r="AP1904" i="1"/>
  <c r="AQ1904" i="1" s="1"/>
  <c r="AP1905" i="1"/>
  <c r="AQ1905" i="1" s="1"/>
  <c r="AP1906" i="1"/>
  <c r="AQ1906" i="1" s="1"/>
  <c r="AP1907" i="1"/>
  <c r="AQ1907" i="1" s="1"/>
  <c r="AP1908" i="1"/>
  <c r="AQ1908" i="1" s="1"/>
  <c r="AP1909" i="1"/>
  <c r="AQ1909" i="1" s="1"/>
  <c r="AP1910" i="1"/>
  <c r="AQ1910" i="1" s="1"/>
  <c r="AP1911" i="1"/>
  <c r="AQ1911" i="1" s="1"/>
  <c r="AP1912" i="1"/>
  <c r="AQ1912" i="1" s="1"/>
  <c r="AP1913" i="1"/>
  <c r="AQ1913" i="1" s="1"/>
  <c r="AP1914" i="1"/>
  <c r="AQ1914" i="1" s="1"/>
  <c r="AP1915" i="1"/>
  <c r="AQ1915" i="1" s="1"/>
  <c r="AP1916" i="1"/>
  <c r="AQ1916" i="1" s="1"/>
  <c r="AP1917" i="1"/>
  <c r="AQ1917" i="1" s="1"/>
  <c r="AP1918" i="1"/>
  <c r="AQ1918" i="1" s="1"/>
  <c r="AP1919" i="1"/>
  <c r="AQ1919" i="1" s="1"/>
  <c r="AP1920" i="1"/>
  <c r="AQ1920" i="1" s="1"/>
  <c r="AP1921" i="1"/>
  <c r="AQ1921" i="1" s="1"/>
  <c r="AP1922" i="1"/>
  <c r="AQ1922" i="1" s="1"/>
  <c r="AP1923" i="1"/>
  <c r="AQ1923" i="1" s="1"/>
  <c r="AP1924" i="1"/>
  <c r="AQ1924" i="1" s="1"/>
  <c r="AP1925" i="1"/>
  <c r="AQ1925" i="1" s="1"/>
  <c r="AP1926" i="1"/>
  <c r="AQ1926" i="1" s="1"/>
  <c r="AP1927" i="1"/>
  <c r="AQ1927" i="1" s="1"/>
  <c r="AP1928" i="1"/>
  <c r="AQ1928" i="1" s="1"/>
  <c r="AP1929" i="1"/>
  <c r="AQ1929" i="1" s="1"/>
  <c r="AP1930" i="1"/>
  <c r="AQ1930" i="1" s="1"/>
  <c r="AP1931" i="1"/>
  <c r="AQ1931" i="1" s="1"/>
  <c r="AP1932" i="1"/>
  <c r="AQ1932" i="1" s="1"/>
  <c r="AP1933" i="1"/>
  <c r="AQ1933" i="1" s="1"/>
  <c r="AP1934" i="1"/>
  <c r="AQ1934" i="1" s="1"/>
  <c r="AP1935" i="1"/>
  <c r="AQ1935" i="1" s="1"/>
  <c r="AP1936" i="1"/>
  <c r="AQ1936" i="1" s="1"/>
  <c r="AP1937" i="1"/>
  <c r="AQ1937" i="1" s="1"/>
  <c r="AP1938" i="1"/>
  <c r="AQ1938" i="1" s="1"/>
  <c r="AP1939" i="1"/>
  <c r="AQ1939" i="1" s="1"/>
  <c r="AP1940" i="1"/>
  <c r="AQ1940" i="1" s="1"/>
  <c r="AP1941" i="1"/>
  <c r="AQ1941" i="1" s="1"/>
  <c r="AP1942" i="1"/>
  <c r="AQ1942" i="1" s="1"/>
  <c r="AP1943" i="1"/>
  <c r="AQ1943" i="1" s="1"/>
  <c r="AP1944" i="1"/>
  <c r="AQ1944" i="1" s="1"/>
  <c r="AP1945" i="1"/>
  <c r="AQ1945" i="1" s="1"/>
  <c r="AP1946" i="1"/>
  <c r="AQ1946" i="1" s="1"/>
  <c r="AP1947" i="1"/>
  <c r="AQ1947" i="1" s="1"/>
  <c r="AP1948" i="1"/>
  <c r="AQ1948" i="1" s="1"/>
  <c r="AP1949" i="1"/>
  <c r="AQ1949" i="1" s="1"/>
  <c r="AP1950" i="1"/>
  <c r="AQ1950" i="1" s="1"/>
  <c r="AP1951" i="1"/>
  <c r="AQ1951" i="1" s="1"/>
  <c r="AP1952" i="1"/>
  <c r="AQ1952" i="1" s="1"/>
  <c r="AP1953" i="1"/>
  <c r="AQ1953" i="1" s="1"/>
  <c r="AP1954" i="1"/>
  <c r="AQ1954" i="1" s="1"/>
  <c r="AP1955" i="1"/>
  <c r="AQ1955" i="1" s="1"/>
  <c r="AP1956" i="1"/>
  <c r="AQ1956" i="1" s="1"/>
  <c r="AP1957" i="1"/>
  <c r="AQ1957" i="1" s="1"/>
  <c r="AP1958" i="1"/>
  <c r="AQ1958" i="1" s="1"/>
  <c r="AP1959" i="1"/>
  <c r="AQ1959" i="1" s="1"/>
  <c r="AP1960" i="1"/>
  <c r="AQ1960" i="1" s="1"/>
  <c r="AP1961" i="1"/>
  <c r="AQ1961" i="1" s="1"/>
  <c r="AP1962" i="1"/>
  <c r="AQ1962" i="1" s="1"/>
  <c r="AP1963" i="1"/>
  <c r="AQ1963" i="1" s="1"/>
  <c r="AP1964" i="1"/>
  <c r="AQ1964" i="1" s="1"/>
  <c r="AP1965" i="1"/>
  <c r="AQ1965" i="1" s="1"/>
  <c r="AP1966" i="1"/>
  <c r="AQ1966" i="1" s="1"/>
  <c r="AP1967" i="1"/>
  <c r="AQ1967" i="1" s="1"/>
  <c r="AP1968" i="1"/>
  <c r="AQ1968" i="1" s="1"/>
  <c r="AP1969" i="1"/>
  <c r="AQ1969" i="1" s="1"/>
  <c r="AP1970" i="1"/>
  <c r="AQ1970" i="1" s="1"/>
  <c r="AP1971" i="1"/>
  <c r="AQ1971" i="1" s="1"/>
  <c r="AP1972" i="1"/>
  <c r="AQ1972" i="1" s="1"/>
  <c r="AP1973" i="1"/>
  <c r="AQ1973" i="1" s="1"/>
  <c r="AP1974" i="1"/>
  <c r="AQ1974" i="1" s="1"/>
  <c r="AP1975" i="1"/>
  <c r="AQ1975" i="1" s="1"/>
  <c r="AP1976" i="1"/>
  <c r="AQ1976" i="1" s="1"/>
  <c r="AP1977" i="1"/>
  <c r="AQ1977" i="1" s="1"/>
  <c r="AP1978" i="1"/>
  <c r="AQ1978" i="1" s="1"/>
  <c r="AP1979" i="1"/>
  <c r="AQ1979" i="1" s="1"/>
  <c r="AP1980" i="1"/>
  <c r="AQ1980" i="1" s="1"/>
  <c r="AP1981" i="1"/>
  <c r="AQ1981" i="1" s="1"/>
  <c r="AP1982" i="1"/>
  <c r="AQ1982" i="1" s="1"/>
  <c r="AP1983" i="1"/>
  <c r="AQ1983" i="1" s="1"/>
  <c r="AP1984" i="1"/>
  <c r="AQ1984" i="1" s="1"/>
  <c r="AP1985" i="1"/>
  <c r="AQ1985" i="1" s="1"/>
  <c r="AP1986" i="1"/>
  <c r="AQ1986" i="1" s="1"/>
  <c r="AP1987" i="1"/>
  <c r="AQ1987" i="1" s="1"/>
  <c r="AP1988" i="1"/>
  <c r="AQ1988" i="1" s="1"/>
  <c r="AP1989" i="1"/>
  <c r="AQ1989" i="1" s="1"/>
  <c r="AP1990" i="1"/>
  <c r="AQ1990" i="1" s="1"/>
  <c r="AP1991" i="1"/>
  <c r="AQ1991" i="1" s="1"/>
  <c r="AP1992" i="1"/>
  <c r="AQ1992" i="1" s="1"/>
  <c r="AP1993" i="1"/>
  <c r="AQ1993" i="1" s="1"/>
  <c r="AP1994" i="1"/>
  <c r="AQ1994" i="1" s="1"/>
  <c r="AP1995" i="1"/>
  <c r="AQ1995" i="1" s="1"/>
  <c r="AP1996" i="1"/>
  <c r="AQ1996" i="1" s="1"/>
  <c r="AP1997" i="1"/>
  <c r="AQ1997" i="1" s="1"/>
  <c r="AP1998" i="1"/>
  <c r="AQ1998" i="1" s="1"/>
  <c r="AP1999" i="1"/>
  <c r="AQ1999" i="1" s="1"/>
  <c r="AP2000" i="1"/>
  <c r="AQ2000" i="1" s="1"/>
  <c r="AP2001" i="1"/>
  <c r="AQ2001" i="1" s="1"/>
  <c r="AP2002" i="1"/>
  <c r="AQ2002" i="1" s="1"/>
  <c r="AP2003" i="1"/>
  <c r="AQ2003" i="1" s="1"/>
  <c r="AP2004" i="1"/>
  <c r="AQ2004" i="1" s="1"/>
  <c r="AP2005" i="1"/>
  <c r="AQ2005" i="1" s="1"/>
  <c r="AP2006" i="1"/>
  <c r="AQ2006" i="1" s="1"/>
  <c r="AP2007" i="1"/>
  <c r="AQ2007" i="1" s="1"/>
  <c r="AP2008" i="1"/>
  <c r="AQ2008" i="1" s="1"/>
  <c r="AP2009" i="1"/>
  <c r="AQ2009" i="1" s="1"/>
  <c r="AP2010" i="1"/>
  <c r="AQ2010" i="1" s="1"/>
  <c r="AP2011" i="1"/>
  <c r="AQ2011" i="1" s="1"/>
  <c r="AP2012" i="1"/>
  <c r="AQ2012" i="1" s="1"/>
  <c r="AP2013" i="1"/>
  <c r="AQ2013" i="1" s="1"/>
  <c r="AP2014" i="1"/>
  <c r="AQ2014" i="1" s="1"/>
  <c r="AP2015" i="1"/>
  <c r="AQ2015" i="1" s="1"/>
  <c r="AP2016" i="1"/>
  <c r="AQ2016" i="1" s="1"/>
  <c r="AP2017" i="1"/>
  <c r="AQ2017" i="1" s="1"/>
  <c r="AP2018" i="1"/>
  <c r="AQ2018" i="1" s="1"/>
  <c r="AP2019" i="1"/>
  <c r="AQ2019" i="1" s="1"/>
  <c r="AP2020" i="1"/>
  <c r="AQ2020" i="1" s="1"/>
  <c r="AP2021" i="1"/>
  <c r="AQ2021" i="1" s="1"/>
  <c r="AP2022" i="1"/>
  <c r="AQ2022" i="1" s="1"/>
  <c r="AP2023" i="1"/>
  <c r="AQ2023" i="1" s="1"/>
  <c r="AP2024" i="1"/>
  <c r="AQ2024" i="1" s="1"/>
  <c r="AP2025" i="1"/>
  <c r="AQ2025" i="1" s="1"/>
  <c r="AP2026" i="1"/>
  <c r="AQ2026" i="1" s="1"/>
  <c r="AP2027" i="1"/>
  <c r="AQ2027" i="1" s="1"/>
  <c r="AP2028" i="1"/>
  <c r="AQ2028" i="1" s="1"/>
  <c r="AP2029" i="1"/>
  <c r="AQ2029" i="1" s="1"/>
  <c r="AP2030" i="1"/>
  <c r="AQ2030" i="1" s="1"/>
  <c r="AP2031" i="1"/>
  <c r="AQ2031" i="1" s="1"/>
  <c r="AP2032" i="1"/>
  <c r="AQ2032" i="1" s="1"/>
  <c r="AP2033" i="1"/>
  <c r="AQ2033" i="1" s="1"/>
  <c r="AP2034" i="1"/>
  <c r="AQ2034" i="1" s="1"/>
  <c r="AP2035" i="1"/>
  <c r="AQ2035" i="1" s="1"/>
  <c r="AP2036" i="1"/>
  <c r="AQ2036" i="1" s="1"/>
  <c r="AP2037" i="1"/>
  <c r="AQ2037" i="1" s="1"/>
  <c r="AP2038" i="1"/>
  <c r="AQ2038" i="1" s="1"/>
  <c r="AP2039" i="1"/>
  <c r="AQ2039" i="1" s="1"/>
  <c r="AP2040" i="1"/>
  <c r="AQ2040" i="1" s="1"/>
  <c r="AP2041" i="1"/>
  <c r="AQ2041" i="1" s="1"/>
  <c r="AP2042" i="1"/>
  <c r="AQ2042" i="1" s="1"/>
  <c r="AP2043" i="1"/>
  <c r="AQ2043" i="1" s="1"/>
  <c r="AP2044" i="1"/>
  <c r="AQ2044" i="1" s="1"/>
  <c r="AP2045" i="1"/>
  <c r="AQ2045" i="1" s="1"/>
  <c r="AP2046" i="1"/>
  <c r="AQ2046" i="1" s="1"/>
  <c r="AP2047" i="1"/>
  <c r="AQ2047" i="1" s="1"/>
  <c r="AP2048" i="1"/>
  <c r="AQ2048" i="1" s="1"/>
  <c r="AP2049" i="1"/>
  <c r="AQ2049" i="1" s="1"/>
  <c r="AP2050" i="1"/>
  <c r="AQ2050" i="1" s="1"/>
  <c r="AP2051" i="1"/>
  <c r="AQ2051" i="1" s="1"/>
  <c r="AP2052" i="1"/>
  <c r="AQ2052" i="1" s="1"/>
  <c r="AP2053" i="1"/>
  <c r="AQ2053" i="1" s="1"/>
  <c r="AP2054" i="1"/>
  <c r="AQ2054" i="1" s="1"/>
  <c r="AP2055" i="1"/>
  <c r="AQ2055" i="1" s="1"/>
  <c r="AP2056" i="1"/>
  <c r="AQ2056" i="1" s="1"/>
  <c r="AP2057" i="1"/>
  <c r="AQ2057" i="1" s="1"/>
  <c r="AP2058" i="1"/>
  <c r="AQ2058" i="1" s="1"/>
  <c r="AP2059" i="1"/>
  <c r="AQ2059" i="1" s="1"/>
  <c r="AP2060" i="1"/>
  <c r="AQ2060" i="1" s="1"/>
  <c r="AP2061" i="1"/>
  <c r="AQ2061" i="1" s="1"/>
  <c r="AP2062" i="1"/>
  <c r="AQ2062" i="1" s="1"/>
  <c r="AP2063" i="1"/>
  <c r="AQ2063" i="1" s="1"/>
  <c r="AP2064" i="1"/>
  <c r="AQ2064" i="1" s="1"/>
  <c r="AP2065" i="1"/>
  <c r="AQ2065" i="1" s="1"/>
  <c r="AP2066" i="1"/>
  <c r="AQ2066" i="1" s="1"/>
  <c r="AP2067" i="1"/>
  <c r="AQ2067" i="1" s="1"/>
  <c r="AP2068" i="1"/>
  <c r="AQ2068" i="1" s="1"/>
  <c r="AP2069" i="1"/>
  <c r="AQ2069" i="1" s="1"/>
  <c r="AP2070" i="1"/>
  <c r="AQ2070" i="1" s="1"/>
  <c r="AP2071" i="1"/>
  <c r="AQ2071" i="1" s="1"/>
  <c r="AP2072" i="1"/>
  <c r="AQ2072" i="1" s="1"/>
  <c r="AP2073" i="1"/>
  <c r="AQ2073" i="1" s="1"/>
  <c r="AP2074" i="1"/>
  <c r="AQ2074" i="1" s="1"/>
  <c r="AP2075" i="1"/>
  <c r="AQ2075" i="1" s="1"/>
  <c r="AP2076" i="1"/>
  <c r="AQ2076" i="1" s="1"/>
  <c r="AP2077" i="1"/>
  <c r="AQ2077" i="1" s="1"/>
  <c r="AP2078" i="1"/>
  <c r="AQ2078" i="1" s="1"/>
  <c r="AP2079" i="1"/>
  <c r="AQ2079" i="1" s="1"/>
  <c r="AP2080" i="1"/>
  <c r="AQ2080" i="1" s="1"/>
  <c r="AP2081" i="1"/>
  <c r="AQ2081" i="1" s="1"/>
  <c r="AP2082" i="1"/>
  <c r="AQ2082" i="1" s="1"/>
  <c r="AP2083" i="1"/>
  <c r="AQ2083" i="1" s="1"/>
  <c r="AP2084" i="1"/>
  <c r="AQ2084" i="1" s="1"/>
  <c r="AP2085" i="1"/>
  <c r="AQ2085" i="1" s="1"/>
  <c r="AP2086" i="1"/>
  <c r="AQ2086" i="1" s="1"/>
  <c r="AP2087" i="1"/>
  <c r="AQ2087" i="1" s="1"/>
  <c r="AP2088" i="1"/>
  <c r="AQ2088" i="1" s="1"/>
  <c r="AP2089" i="1"/>
  <c r="AQ2089" i="1" s="1"/>
  <c r="AP2090" i="1"/>
  <c r="AQ2090" i="1" s="1"/>
  <c r="AP2091" i="1"/>
  <c r="AQ2091" i="1" s="1"/>
  <c r="AP2092" i="1"/>
  <c r="AQ2092" i="1" s="1"/>
  <c r="AP2093" i="1"/>
  <c r="AQ2093" i="1" s="1"/>
  <c r="AP2094" i="1"/>
  <c r="AQ2094" i="1" s="1"/>
  <c r="AP2095" i="1"/>
  <c r="AQ2095" i="1" s="1"/>
  <c r="AP2096" i="1"/>
  <c r="AQ2096" i="1" s="1"/>
  <c r="AP2097" i="1"/>
  <c r="AQ2097" i="1" s="1"/>
  <c r="AP2098" i="1"/>
  <c r="AQ2098" i="1" s="1"/>
  <c r="AP2099" i="1"/>
  <c r="AQ2099" i="1" s="1"/>
  <c r="AP2100" i="1"/>
  <c r="AQ2100" i="1" s="1"/>
  <c r="AP2101" i="1"/>
  <c r="AQ2101" i="1" s="1"/>
  <c r="AP2102" i="1"/>
  <c r="AQ2102" i="1" s="1"/>
  <c r="AP2103" i="1"/>
  <c r="AQ2103" i="1" s="1"/>
  <c r="AP2104" i="1"/>
  <c r="AQ2104" i="1" s="1"/>
  <c r="AP2105" i="1"/>
  <c r="AQ2105" i="1" s="1"/>
  <c r="AP2106" i="1"/>
  <c r="AQ2106" i="1" s="1"/>
  <c r="AP2107" i="1"/>
  <c r="AQ2107" i="1" s="1"/>
  <c r="AP2108" i="1"/>
  <c r="AQ2108" i="1" s="1"/>
  <c r="AP2109" i="1"/>
  <c r="AQ2109" i="1" s="1"/>
  <c r="AP2110" i="1"/>
  <c r="AQ2110" i="1" s="1"/>
  <c r="AP2111" i="1"/>
  <c r="AQ2111" i="1" s="1"/>
  <c r="AP2112" i="1"/>
  <c r="AQ2112" i="1" s="1"/>
  <c r="AP2113" i="1"/>
  <c r="AQ2113" i="1" s="1"/>
  <c r="AP2114" i="1"/>
  <c r="AQ2114" i="1" s="1"/>
  <c r="AP2115" i="1"/>
  <c r="AQ2115" i="1" s="1"/>
  <c r="AP2116" i="1"/>
  <c r="AQ2116" i="1" s="1"/>
  <c r="AP2117" i="1"/>
  <c r="AQ2117" i="1" s="1"/>
  <c r="AP2118" i="1"/>
  <c r="AQ2118" i="1" s="1"/>
  <c r="AP2119" i="1"/>
  <c r="AQ2119" i="1" s="1"/>
  <c r="AP2120" i="1"/>
  <c r="AQ2120" i="1" s="1"/>
  <c r="AP2121" i="1"/>
  <c r="AQ2121" i="1" s="1"/>
  <c r="AP2122" i="1"/>
  <c r="AQ2122" i="1" s="1"/>
  <c r="AP2123" i="1"/>
  <c r="AQ2123" i="1" s="1"/>
  <c r="AP2124" i="1"/>
  <c r="AQ2124" i="1" s="1"/>
  <c r="AP2125" i="1"/>
  <c r="AQ2125" i="1" s="1"/>
  <c r="AP2126" i="1"/>
  <c r="AQ2126" i="1" s="1"/>
  <c r="AP2127" i="1"/>
  <c r="AQ2127" i="1" s="1"/>
  <c r="AP2128" i="1"/>
  <c r="AQ2128" i="1" s="1"/>
  <c r="AP2129" i="1"/>
  <c r="AQ2129" i="1" s="1"/>
  <c r="AP2130" i="1"/>
  <c r="AQ2130" i="1" s="1"/>
  <c r="AP2131" i="1"/>
  <c r="AQ2131" i="1" s="1"/>
  <c r="AP2132" i="1"/>
  <c r="AQ2132" i="1" s="1"/>
  <c r="AP2133" i="1"/>
  <c r="AQ2133" i="1" s="1"/>
  <c r="AP2134" i="1"/>
  <c r="AQ2134" i="1" s="1"/>
  <c r="AP2135" i="1"/>
  <c r="AQ2135" i="1" s="1"/>
  <c r="AP2136" i="1"/>
  <c r="AQ2136" i="1" s="1"/>
  <c r="AP2137" i="1"/>
  <c r="AQ2137" i="1" s="1"/>
  <c r="AP2138" i="1"/>
  <c r="AQ2138" i="1" s="1"/>
  <c r="AP2139" i="1"/>
  <c r="AQ2139" i="1" s="1"/>
  <c r="AP2140" i="1"/>
  <c r="AQ2140" i="1" s="1"/>
  <c r="AP2141" i="1"/>
  <c r="AQ2141" i="1" s="1"/>
  <c r="AP2142" i="1"/>
  <c r="AQ2142" i="1" s="1"/>
  <c r="AP2143" i="1"/>
  <c r="AQ2143" i="1" s="1"/>
  <c r="AP2144" i="1"/>
  <c r="AQ2144" i="1" s="1"/>
  <c r="AP2145" i="1"/>
  <c r="AQ2145" i="1" s="1"/>
  <c r="AP2146" i="1"/>
  <c r="AQ2146" i="1" s="1"/>
  <c r="AP2147" i="1"/>
  <c r="AQ2147" i="1" s="1"/>
  <c r="AP2148" i="1"/>
  <c r="AQ2148" i="1" s="1"/>
  <c r="AP2149" i="1"/>
  <c r="AQ2149" i="1" s="1"/>
  <c r="AP2150" i="1"/>
  <c r="AQ2150" i="1" s="1"/>
  <c r="AP2151" i="1"/>
  <c r="AQ2151" i="1" s="1"/>
  <c r="AP2152" i="1"/>
  <c r="AQ2152" i="1" s="1"/>
  <c r="AP2153" i="1"/>
  <c r="AQ2153" i="1" s="1"/>
  <c r="AP2154" i="1"/>
  <c r="AQ2154" i="1" s="1"/>
  <c r="AP2155" i="1"/>
  <c r="AQ2155" i="1" s="1"/>
  <c r="AP2156" i="1"/>
  <c r="AQ2156" i="1" s="1"/>
  <c r="AP2157" i="1"/>
  <c r="AQ2157" i="1" s="1"/>
  <c r="AP2158" i="1"/>
  <c r="AQ2158" i="1" s="1"/>
  <c r="AP2159" i="1"/>
  <c r="AQ2159" i="1" s="1"/>
  <c r="AP2160" i="1"/>
  <c r="AQ2160" i="1" s="1"/>
  <c r="AP2161" i="1"/>
  <c r="AQ2161" i="1" s="1"/>
  <c r="AP2162" i="1"/>
  <c r="AQ2162" i="1" s="1"/>
  <c r="AP2163" i="1"/>
  <c r="AQ2163" i="1" s="1"/>
  <c r="AP2164" i="1"/>
  <c r="AQ2164" i="1" s="1"/>
  <c r="AP2165" i="1"/>
  <c r="AQ2165" i="1" s="1"/>
  <c r="AP2166" i="1"/>
  <c r="AQ2166" i="1" s="1"/>
  <c r="AP2167" i="1"/>
  <c r="AQ2167" i="1" s="1"/>
  <c r="AP2168" i="1"/>
  <c r="AQ2168" i="1" s="1"/>
  <c r="AP2169" i="1"/>
  <c r="AQ2169" i="1" s="1"/>
  <c r="AP2170" i="1"/>
  <c r="AQ2170" i="1" s="1"/>
  <c r="AP2171" i="1"/>
  <c r="AQ2171" i="1" s="1"/>
  <c r="AP2172" i="1"/>
  <c r="AQ2172" i="1" s="1"/>
  <c r="AP2173" i="1"/>
  <c r="AQ2173" i="1" s="1"/>
  <c r="AP2174" i="1"/>
  <c r="AQ2174" i="1" s="1"/>
  <c r="AP2175" i="1"/>
  <c r="AQ2175" i="1" s="1"/>
  <c r="AP2176" i="1"/>
  <c r="AQ2176" i="1" s="1"/>
  <c r="AP2177" i="1"/>
  <c r="AQ2177" i="1" s="1"/>
  <c r="AP2178" i="1"/>
  <c r="AQ2178" i="1" s="1"/>
  <c r="AP2179" i="1"/>
  <c r="AQ2179" i="1" s="1"/>
  <c r="AP2180" i="1"/>
  <c r="AQ2180" i="1" s="1"/>
  <c r="AP2181" i="1"/>
  <c r="AQ2181" i="1" s="1"/>
  <c r="AP2182" i="1"/>
  <c r="AQ2182" i="1" s="1"/>
  <c r="AP2183" i="1"/>
  <c r="AQ2183" i="1" s="1"/>
  <c r="AP2184" i="1"/>
  <c r="AQ2184" i="1" s="1"/>
  <c r="AP2185" i="1"/>
  <c r="AQ2185" i="1" s="1"/>
  <c r="AP2186" i="1"/>
  <c r="AQ2186" i="1" s="1"/>
  <c r="AP2187" i="1"/>
  <c r="AQ2187" i="1" s="1"/>
  <c r="AP2188" i="1"/>
  <c r="AQ2188" i="1" s="1"/>
  <c r="AP2189" i="1"/>
  <c r="AQ2189" i="1" s="1"/>
  <c r="AP2190" i="1"/>
  <c r="AQ2190" i="1" s="1"/>
  <c r="AP2191" i="1"/>
  <c r="AQ2191" i="1" s="1"/>
  <c r="AP2192" i="1"/>
  <c r="AQ2192" i="1" s="1"/>
  <c r="AP2193" i="1"/>
  <c r="AQ2193" i="1" s="1"/>
  <c r="AP2194" i="1"/>
  <c r="AQ2194" i="1" s="1"/>
  <c r="AP2195" i="1"/>
  <c r="AQ2195" i="1" s="1"/>
  <c r="AP2196" i="1"/>
  <c r="AQ2196" i="1" s="1"/>
  <c r="AP2197" i="1"/>
  <c r="AQ2197" i="1" s="1"/>
  <c r="AP2198" i="1"/>
  <c r="AQ2198" i="1" s="1"/>
  <c r="AP2199" i="1"/>
  <c r="AQ2199" i="1" s="1"/>
  <c r="AP2200" i="1"/>
  <c r="AQ2200" i="1" s="1"/>
  <c r="AP2201" i="1"/>
  <c r="AQ2201" i="1" s="1"/>
  <c r="AP2202" i="1"/>
  <c r="AQ2202" i="1" s="1"/>
  <c r="AP2203" i="1"/>
  <c r="AQ2203" i="1" s="1"/>
  <c r="AP2204" i="1"/>
  <c r="AQ2204" i="1" s="1"/>
  <c r="AP2205" i="1"/>
  <c r="AQ2205" i="1" s="1"/>
  <c r="AP2206" i="1"/>
  <c r="AQ2206" i="1" s="1"/>
  <c r="AP2207" i="1"/>
  <c r="AQ2207" i="1" s="1"/>
  <c r="AP2208" i="1"/>
  <c r="AQ2208" i="1" s="1"/>
  <c r="AP2209" i="1"/>
  <c r="AQ2209" i="1" s="1"/>
  <c r="AP2210" i="1"/>
  <c r="AQ2210" i="1" s="1"/>
  <c r="AP2211" i="1"/>
  <c r="AQ2211" i="1" s="1"/>
  <c r="AP2212" i="1"/>
  <c r="AQ2212" i="1" s="1"/>
  <c r="AP2213" i="1"/>
  <c r="AQ2213" i="1" s="1"/>
  <c r="AP2214" i="1"/>
  <c r="AQ2214" i="1" s="1"/>
  <c r="AP2215" i="1"/>
  <c r="AQ2215" i="1" s="1"/>
  <c r="AP2216" i="1"/>
  <c r="AQ2216" i="1" s="1"/>
  <c r="AP2217" i="1"/>
  <c r="AQ2217" i="1" s="1"/>
  <c r="AP2218" i="1"/>
  <c r="AQ2218" i="1" s="1"/>
  <c r="AP2219" i="1"/>
  <c r="AQ2219" i="1" s="1"/>
  <c r="AP2220" i="1"/>
  <c r="AQ2220" i="1" s="1"/>
  <c r="AP2221" i="1"/>
  <c r="AQ2221" i="1" s="1"/>
  <c r="AP2222" i="1"/>
  <c r="AQ2222" i="1" s="1"/>
  <c r="AP2223" i="1"/>
  <c r="AQ2223" i="1" s="1"/>
  <c r="AP2224" i="1"/>
  <c r="AQ2224" i="1" s="1"/>
  <c r="AP2225" i="1"/>
  <c r="AQ2225" i="1" s="1"/>
  <c r="AP2226" i="1"/>
  <c r="AQ2226" i="1" s="1"/>
  <c r="AP2227" i="1"/>
  <c r="AQ2227" i="1" s="1"/>
  <c r="AP2228" i="1"/>
  <c r="AQ2228" i="1" s="1"/>
  <c r="AP2229" i="1"/>
  <c r="AQ2229" i="1" s="1"/>
  <c r="AP2230" i="1"/>
  <c r="AQ2230" i="1" s="1"/>
  <c r="AP2231" i="1"/>
  <c r="AQ2231" i="1" s="1"/>
  <c r="AP2232" i="1"/>
  <c r="AQ2232" i="1" s="1"/>
  <c r="AP2233" i="1"/>
  <c r="AQ2233" i="1" s="1"/>
  <c r="AP2234" i="1"/>
  <c r="AQ2234" i="1" s="1"/>
  <c r="AP2235" i="1"/>
  <c r="AQ2235" i="1" s="1"/>
  <c r="AP2236" i="1"/>
  <c r="AQ2236" i="1" s="1"/>
  <c r="AP2237" i="1"/>
  <c r="AQ2237" i="1" s="1"/>
  <c r="AP2238" i="1"/>
  <c r="AQ2238" i="1" s="1"/>
  <c r="AP2239" i="1"/>
  <c r="AQ2239" i="1" s="1"/>
  <c r="AP2240" i="1"/>
  <c r="AQ2240" i="1" s="1"/>
  <c r="AP2241" i="1"/>
  <c r="AQ2241" i="1" s="1"/>
  <c r="AP2242" i="1"/>
  <c r="AQ2242" i="1" s="1"/>
  <c r="AP2243" i="1"/>
  <c r="AQ2243" i="1" s="1"/>
  <c r="AP2244" i="1"/>
  <c r="AQ2244" i="1" s="1"/>
  <c r="AP2245" i="1"/>
  <c r="AQ2245" i="1" s="1"/>
  <c r="AP2246" i="1"/>
  <c r="AQ2246" i="1" s="1"/>
  <c r="AP2247" i="1"/>
  <c r="AQ2247" i="1" s="1"/>
  <c r="AP2248" i="1"/>
  <c r="AQ2248" i="1" s="1"/>
  <c r="AP2249" i="1"/>
  <c r="AQ2249" i="1" s="1"/>
  <c r="AP2250" i="1"/>
  <c r="AQ2250" i="1" s="1"/>
  <c r="AP2251" i="1"/>
  <c r="AQ2251" i="1" s="1"/>
  <c r="AP2252" i="1"/>
  <c r="AQ2252" i="1" s="1"/>
  <c r="AP2253" i="1"/>
  <c r="AQ2253" i="1" s="1"/>
  <c r="AP2254" i="1"/>
  <c r="AQ2254" i="1" s="1"/>
  <c r="AP2255" i="1"/>
  <c r="AQ2255" i="1" s="1"/>
  <c r="AP2256" i="1"/>
  <c r="AQ2256" i="1" s="1"/>
  <c r="AP2257" i="1"/>
  <c r="AQ2257" i="1" s="1"/>
  <c r="AP2258" i="1"/>
  <c r="AQ2258" i="1" s="1"/>
  <c r="AP2259" i="1"/>
  <c r="AQ2259" i="1" s="1"/>
  <c r="AP2260" i="1"/>
  <c r="AQ2260" i="1" s="1"/>
  <c r="AP2261" i="1"/>
  <c r="AQ2261" i="1" s="1"/>
  <c r="AP2262" i="1"/>
  <c r="AQ2262" i="1" s="1"/>
  <c r="AP2263" i="1"/>
  <c r="AQ2263" i="1" s="1"/>
  <c r="AP2264" i="1"/>
  <c r="AQ2264" i="1" s="1"/>
  <c r="AP2265" i="1"/>
  <c r="AQ2265" i="1" s="1"/>
  <c r="AP2266" i="1"/>
  <c r="AQ2266" i="1" s="1"/>
  <c r="AP2267" i="1"/>
  <c r="AQ2267" i="1" s="1"/>
  <c r="AP2268" i="1"/>
  <c r="AQ2268" i="1" s="1"/>
  <c r="AP2269" i="1"/>
  <c r="AQ2269" i="1" s="1"/>
  <c r="AP2270" i="1"/>
  <c r="AQ2270" i="1" s="1"/>
  <c r="AP2271" i="1"/>
  <c r="AQ2271" i="1" s="1"/>
  <c r="AP2272" i="1"/>
  <c r="AQ2272" i="1" s="1"/>
  <c r="AP2273" i="1"/>
  <c r="AQ2273" i="1" s="1"/>
  <c r="AP2274" i="1"/>
  <c r="AQ2274" i="1" s="1"/>
  <c r="AP2275" i="1"/>
  <c r="AQ2275" i="1" s="1"/>
  <c r="AP2276" i="1"/>
  <c r="AQ2276" i="1" s="1"/>
  <c r="AP2277" i="1"/>
  <c r="AQ2277" i="1" s="1"/>
  <c r="AP2278" i="1"/>
  <c r="AQ2278" i="1" s="1"/>
  <c r="AP2279" i="1"/>
  <c r="AQ2279" i="1" s="1"/>
  <c r="AP2280" i="1"/>
  <c r="AQ2280" i="1" s="1"/>
  <c r="AP2281" i="1"/>
  <c r="AQ2281" i="1" s="1"/>
  <c r="AP2282" i="1"/>
  <c r="AQ2282" i="1" s="1"/>
  <c r="AP2283" i="1"/>
  <c r="AQ2283" i="1" s="1"/>
  <c r="AP2284" i="1"/>
  <c r="AQ2284" i="1" s="1"/>
  <c r="AP2285" i="1"/>
  <c r="AQ2285" i="1" s="1"/>
  <c r="AP2286" i="1"/>
  <c r="AQ2286" i="1" s="1"/>
  <c r="AP2287" i="1"/>
  <c r="AQ2287" i="1" s="1"/>
  <c r="AP2288" i="1"/>
  <c r="AQ2288" i="1" s="1"/>
  <c r="AP2289" i="1"/>
  <c r="AQ2289" i="1" s="1"/>
  <c r="AP2290" i="1"/>
  <c r="AQ2290" i="1" s="1"/>
  <c r="AP2291" i="1"/>
  <c r="AQ2291" i="1" s="1"/>
  <c r="AP2292" i="1"/>
  <c r="AQ2292" i="1" s="1"/>
  <c r="AP2293" i="1"/>
  <c r="AQ2293" i="1" s="1"/>
  <c r="AP2294" i="1"/>
  <c r="AQ2294" i="1" s="1"/>
  <c r="AP2295" i="1"/>
  <c r="AQ2295" i="1" s="1"/>
  <c r="AP2296" i="1"/>
  <c r="AQ2296" i="1" s="1"/>
  <c r="AP2297" i="1"/>
  <c r="AQ2297" i="1" s="1"/>
  <c r="AP2298" i="1"/>
  <c r="AQ2298" i="1" s="1"/>
  <c r="AP2299" i="1"/>
  <c r="AQ2299" i="1" s="1"/>
  <c r="AP2300" i="1"/>
  <c r="AQ2300" i="1" s="1"/>
  <c r="AP2301" i="1"/>
  <c r="AQ2301" i="1" s="1"/>
  <c r="AP2302" i="1"/>
  <c r="AQ2302" i="1" s="1"/>
  <c r="AP2303" i="1"/>
  <c r="AQ2303" i="1" s="1"/>
  <c r="AP2304" i="1"/>
  <c r="AQ2304" i="1" s="1"/>
  <c r="AP2305" i="1"/>
  <c r="AQ2305" i="1" s="1"/>
  <c r="AP2306" i="1"/>
  <c r="AQ2306" i="1" s="1"/>
  <c r="AP2307" i="1"/>
  <c r="AQ2307" i="1" s="1"/>
  <c r="AP2308" i="1"/>
  <c r="AQ2308" i="1" s="1"/>
  <c r="AP2309" i="1"/>
  <c r="AQ2309" i="1" s="1"/>
  <c r="AP2310" i="1"/>
  <c r="AQ2310" i="1" s="1"/>
  <c r="AP2311" i="1"/>
  <c r="AQ2311" i="1" s="1"/>
  <c r="AP2312" i="1"/>
  <c r="AQ2312" i="1" s="1"/>
  <c r="AP2313" i="1"/>
  <c r="AQ2313" i="1" s="1"/>
  <c r="AP2314" i="1"/>
  <c r="AQ2314" i="1" s="1"/>
  <c r="AP2315" i="1"/>
  <c r="AQ2315" i="1" s="1"/>
  <c r="AP2316" i="1"/>
  <c r="AQ2316" i="1" s="1"/>
  <c r="AP2317" i="1"/>
  <c r="AQ2317" i="1" s="1"/>
  <c r="AP2318" i="1"/>
  <c r="AQ2318" i="1" s="1"/>
  <c r="AP2319" i="1"/>
  <c r="AQ2319" i="1" s="1"/>
  <c r="AP2320" i="1"/>
  <c r="AQ2320" i="1" s="1"/>
  <c r="AP2321" i="1"/>
  <c r="AQ2321" i="1" s="1"/>
  <c r="AP2322" i="1"/>
  <c r="AQ2322" i="1" s="1"/>
  <c r="AP2323" i="1"/>
  <c r="AQ2323" i="1" s="1"/>
  <c r="AP2324" i="1"/>
  <c r="AQ2324" i="1" s="1"/>
  <c r="AP2325" i="1"/>
  <c r="AQ2325" i="1" s="1"/>
  <c r="AP2326" i="1"/>
  <c r="AQ2326" i="1" s="1"/>
  <c r="AP2327" i="1"/>
  <c r="AQ2327" i="1" s="1"/>
  <c r="AP2328" i="1"/>
  <c r="AQ2328" i="1" s="1"/>
  <c r="AP2329" i="1"/>
  <c r="AQ2329" i="1" s="1"/>
  <c r="AP2330" i="1"/>
  <c r="AQ2330" i="1" s="1"/>
  <c r="AP2331" i="1"/>
  <c r="AQ2331" i="1" s="1"/>
  <c r="AP2332" i="1"/>
  <c r="AQ2332" i="1" s="1"/>
  <c r="AP2333" i="1"/>
  <c r="AQ2333" i="1" s="1"/>
  <c r="AP2334" i="1"/>
  <c r="AQ2334" i="1" s="1"/>
  <c r="AP2335" i="1"/>
  <c r="AQ2335" i="1" s="1"/>
  <c r="AP2336" i="1"/>
  <c r="AQ2336" i="1" s="1"/>
  <c r="AP2337" i="1"/>
  <c r="AQ2337" i="1" s="1"/>
  <c r="AP2338" i="1"/>
  <c r="AQ2338" i="1" s="1"/>
  <c r="AP2339" i="1"/>
  <c r="AQ2339" i="1" s="1"/>
  <c r="AP2340" i="1"/>
  <c r="AQ2340" i="1" s="1"/>
  <c r="AP2341" i="1"/>
  <c r="AQ2341" i="1" s="1"/>
  <c r="AP2342" i="1"/>
  <c r="AQ2342" i="1" s="1"/>
  <c r="AP2343" i="1"/>
  <c r="AQ2343" i="1" s="1"/>
  <c r="AP2344" i="1"/>
  <c r="AQ2344" i="1" s="1"/>
  <c r="AP2345" i="1"/>
  <c r="AQ2345" i="1" s="1"/>
  <c r="AP2346" i="1"/>
  <c r="AQ2346" i="1" s="1"/>
  <c r="AP2347" i="1"/>
  <c r="AQ2347" i="1" s="1"/>
  <c r="AP2348" i="1"/>
  <c r="AQ2348" i="1" s="1"/>
  <c r="AP2349" i="1"/>
  <c r="AQ2349" i="1" s="1"/>
  <c r="AP2350" i="1"/>
  <c r="AQ2350" i="1" s="1"/>
  <c r="AP2351" i="1"/>
  <c r="AQ2351" i="1" s="1"/>
  <c r="AP2352" i="1"/>
  <c r="AQ2352" i="1" s="1"/>
  <c r="AP2353" i="1"/>
  <c r="AQ2353" i="1" s="1"/>
  <c r="AP2354" i="1"/>
  <c r="AQ2354" i="1" s="1"/>
  <c r="AP2355" i="1"/>
  <c r="AQ2355" i="1" s="1"/>
  <c r="AP2356" i="1"/>
  <c r="AQ2356" i="1" s="1"/>
  <c r="AP2357" i="1"/>
  <c r="AQ2357" i="1" s="1"/>
  <c r="AP2358" i="1"/>
  <c r="AQ2358" i="1" s="1"/>
  <c r="AP2359" i="1"/>
  <c r="AQ2359" i="1" s="1"/>
  <c r="AP2360" i="1"/>
  <c r="AQ2360" i="1" s="1"/>
  <c r="AP2361" i="1"/>
  <c r="AQ2361" i="1" s="1"/>
  <c r="AP2362" i="1"/>
  <c r="AQ2362" i="1" s="1"/>
  <c r="AP2363" i="1"/>
  <c r="AQ2363" i="1" s="1"/>
  <c r="AP2364" i="1"/>
  <c r="AQ2364" i="1" s="1"/>
  <c r="AP2365" i="1"/>
  <c r="AQ2365" i="1" s="1"/>
  <c r="AP2366" i="1"/>
  <c r="AQ2366" i="1" s="1"/>
  <c r="AP2367" i="1"/>
  <c r="AQ2367" i="1" s="1"/>
  <c r="AP2368" i="1"/>
  <c r="AQ2368" i="1" s="1"/>
  <c r="AP2369" i="1"/>
  <c r="AQ2369" i="1" s="1"/>
  <c r="AP2370" i="1"/>
  <c r="AQ2370" i="1" s="1"/>
  <c r="AP2371" i="1"/>
  <c r="AQ2371" i="1" s="1"/>
  <c r="AP2372" i="1"/>
  <c r="AQ2372" i="1" s="1"/>
  <c r="AP2373" i="1"/>
  <c r="AQ2373" i="1" s="1"/>
  <c r="AP2374" i="1"/>
  <c r="AQ2374" i="1" s="1"/>
  <c r="AP2375" i="1"/>
  <c r="AQ2375" i="1" s="1"/>
  <c r="AP2376" i="1"/>
  <c r="AQ2376" i="1" s="1"/>
  <c r="AP2377" i="1"/>
  <c r="AQ2377" i="1" s="1"/>
  <c r="AP2378" i="1"/>
  <c r="AQ2378" i="1" s="1"/>
  <c r="AP2379" i="1"/>
  <c r="AQ2379" i="1" s="1"/>
  <c r="AP2380" i="1"/>
  <c r="AQ2380" i="1" s="1"/>
  <c r="AP2381" i="1"/>
  <c r="AQ2381" i="1" s="1"/>
  <c r="AP2382" i="1"/>
  <c r="AQ2382" i="1" s="1"/>
  <c r="AP2383" i="1"/>
  <c r="AQ2383" i="1" s="1"/>
  <c r="AP2384" i="1"/>
  <c r="AQ2384" i="1" s="1"/>
  <c r="AP2385" i="1"/>
  <c r="AQ2385" i="1" s="1"/>
  <c r="AP2386" i="1"/>
  <c r="AQ2386" i="1" s="1"/>
  <c r="AP2387" i="1"/>
  <c r="AQ2387" i="1" s="1"/>
  <c r="AP2388" i="1"/>
  <c r="AQ2388" i="1" s="1"/>
  <c r="AP2389" i="1"/>
  <c r="AQ2389" i="1" s="1"/>
  <c r="AP2390" i="1"/>
  <c r="AQ2390" i="1" s="1"/>
  <c r="AP2391" i="1"/>
  <c r="AQ2391" i="1" s="1"/>
  <c r="AP2392" i="1"/>
  <c r="AQ2392" i="1" s="1"/>
  <c r="AP2393" i="1"/>
  <c r="AQ2393" i="1" s="1"/>
  <c r="AP2394" i="1"/>
  <c r="AQ2394" i="1" s="1"/>
  <c r="AP2395" i="1"/>
  <c r="AQ2395" i="1" s="1"/>
  <c r="AP2396" i="1"/>
  <c r="AQ2396" i="1" s="1"/>
  <c r="AP2397" i="1"/>
  <c r="AQ2397" i="1" s="1"/>
  <c r="AP2398" i="1"/>
  <c r="AQ2398" i="1" s="1"/>
  <c r="AP2399" i="1"/>
  <c r="AQ2399" i="1" s="1"/>
  <c r="AP2400" i="1"/>
  <c r="AQ2400" i="1" s="1"/>
  <c r="AP2401" i="1"/>
  <c r="AQ2401" i="1" s="1"/>
  <c r="AP2402" i="1"/>
  <c r="AQ2402" i="1" s="1"/>
  <c r="AP2403" i="1"/>
  <c r="AQ2403" i="1" s="1"/>
  <c r="AP2404" i="1"/>
  <c r="AQ2404" i="1" s="1"/>
  <c r="AP2405" i="1"/>
  <c r="AQ2405" i="1" s="1"/>
  <c r="AP2406" i="1"/>
  <c r="AQ2406" i="1" s="1"/>
  <c r="AP2407" i="1"/>
  <c r="AQ2407" i="1" s="1"/>
  <c r="AP2408" i="1"/>
  <c r="AQ2408" i="1" s="1"/>
  <c r="AP2409" i="1"/>
  <c r="AQ2409" i="1" s="1"/>
  <c r="AP2410" i="1"/>
  <c r="AQ2410" i="1" s="1"/>
  <c r="AP2411" i="1"/>
  <c r="AQ2411" i="1" s="1"/>
  <c r="AP2412" i="1"/>
  <c r="AQ2412" i="1" s="1"/>
  <c r="AP2413" i="1"/>
  <c r="AQ2413" i="1" s="1"/>
  <c r="AP2414" i="1"/>
  <c r="AQ2414" i="1" s="1"/>
  <c r="AP2415" i="1"/>
  <c r="AQ2415" i="1" s="1"/>
  <c r="AP2416" i="1"/>
  <c r="AQ2416" i="1" s="1"/>
  <c r="AP2417" i="1"/>
  <c r="AQ2417" i="1" s="1"/>
  <c r="AP2418" i="1"/>
  <c r="AQ2418" i="1" s="1"/>
  <c r="AP2419" i="1"/>
  <c r="AQ2419" i="1" s="1"/>
  <c r="AP2420" i="1"/>
  <c r="AQ2420" i="1" s="1"/>
  <c r="AP2421" i="1"/>
  <c r="AQ2421" i="1" s="1"/>
  <c r="AP2422" i="1"/>
  <c r="AQ2422" i="1" s="1"/>
  <c r="AP2423" i="1"/>
  <c r="AQ2423" i="1" s="1"/>
  <c r="AP2424" i="1"/>
  <c r="AQ2424" i="1" s="1"/>
  <c r="AP2425" i="1"/>
  <c r="AQ2425" i="1" s="1"/>
  <c r="AP2426" i="1"/>
  <c r="AQ2426" i="1" s="1"/>
  <c r="AP2427" i="1"/>
  <c r="AQ2427" i="1" s="1"/>
  <c r="AP2428" i="1"/>
  <c r="AQ2428" i="1" s="1"/>
  <c r="AP2429" i="1"/>
  <c r="AQ2429" i="1" s="1"/>
  <c r="AP2430" i="1"/>
  <c r="AQ2430" i="1" s="1"/>
  <c r="AP2431" i="1"/>
  <c r="AQ2431" i="1" s="1"/>
  <c r="AP2432" i="1"/>
  <c r="AQ2432" i="1" s="1"/>
  <c r="AP2433" i="1"/>
  <c r="AQ2433" i="1" s="1"/>
  <c r="AP2434" i="1"/>
  <c r="AQ2434" i="1" s="1"/>
  <c r="AP2435" i="1"/>
  <c r="AQ2435" i="1" s="1"/>
  <c r="AP2436" i="1"/>
  <c r="AQ2436" i="1" s="1"/>
  <c r="AP2437" i="1"/>
  <c r="AQ2437" i="1" s="1"/>
  <c r="AP2438" i="1"/>
  <c r="AQ2438" i="1" s="1"/>
  <c r="AP2439" i="1"/>
  <c r="AQ2439" i="1" s="1"/>
  <c r="AP2440" i="1"/>
  <c r="AQ2440" i="1" s="1"/>
  <c r="AP2441" i="1"/>
  <c r="AQ2441" i="1" s="1"/>
  <c r="AP2442" i="1"/>
  <c r="AQ2442" i="1" s="1"/>
  <c r="AP2443" i="1"/>
  <c r="AQ2443" i="1" s="1"/>
  <c r="AP2444" i="1"/>
  <c r="AQ2444" i="1" s="1"/>
  <c r="AP2445" i="1"/>
  <c r="AQ2445" i="1" s="1"/>
  <c r="AP2446" i="1"/>
  <c r="AQ2446" i="1" s="1"/>
  <c r="AP2447" i="1"/>
  <c r="AQ2447" i="1" s="1"/>
  <c r="AP2448" i="1"/>
  <c r="AQ2448" i="1" s="1"/>
  <c r="AP2449" i="1"/>
  <c r="AQ2449" i="1" s="1"/>
  <c r="AP2450" i="1"/>
  <c r="AQ2450" i="1" s="1"/>
  <c r="AP2451" i="1"/>
  <c r="AQ2451" i="1" s="1"/>
  <c r="AP2452" i="1"/>
  <c r="AQ2452" i="1" s="1"/>
  <c r="AP2453" i="1"/>
  <c r="AQ2453" i="1" s="1"/>
  <c r="AP2454" i="1"/>
  <c r="AQ2454" i="1" s="1"/>
  <c r="AP2455" i="1"/>
  <c r="AQ2455" i="1" s="1"/>
  <c r="AP2456" i="1"/>
  <c r="AQ2456" i="1" s="1"/>
  <c r="AP2457" i="1"/>
  <c r="AQ2457" i="1" s="1"/>
  <c r="AP2458" i="1"/>
  <c r="AQ2458" i="1" s="1"/>
  <c r="AP2459" i="1"/>
  <c r="AQ2459" i="1" s="1"/>
  <c r="AP2460" i="1"/>
  <c r="AQ2460" i="1" s="1"/>
  <c r="AP2461" i="1"/>
  <c r="AQ2461" i="1" s="1"/>
  <c r="AP2462" i="1"/>
  <c r="AQ2462" i="1" s="1"/>
  <c r="AP2463" i="1"/>
  <c r="AQ2463" i="1" s="1"/>
  <c r="AP2464" i="1"/>
  <c r="AQ2464" i="1" s="1"/>
  <c r="AP2465" i="1"/>
  <c r="AQ2465" i="1" s="1"/>
  <c r="AP2466" i="1"/>
  <c r="AQ2466" i="1" s="1"/>
  <c r="AP2467" i="1"/>
  <c r="AQ2467" i="1" s="1"/>
  <c r="AP2468" i="1"/>
  <c r="AQ2468" i="1" s="1"/>
  <c r="AP2469" i="1"/>
  <c r="AQ2469" i="1" s="1"/>
  <c r="AP2470" i="1"/>
  <c r="AQ2470" i="1" s="1"/>
  <c r="AP2471" i="1"/>
  <c r="AQ2471" i="1" s="1"/>
  <c r="AP2472" i="1"/>
  <c r="AQ2472" i="1" s="1"/>
  <c r="AP2473" i="1"/>
  <c r="AQ2473" i="1" s="1"/>
  <c r="AP2474" i="1"/>
  <c r="AQ2474" i="1" s="1"/>
  <c r="AP2475" i="1"/>
  <c r="AQ2475" i="1" s="1"/>
  <c r="AP2476" i="1"/>
  <c r="AQ2476" i="1" s="1"/>
  <c r="AP2477" i="1"/>
  <c r="AQ2477" i="1" s="1"/>
  <c r="AP2478" i="1"/>
  <c r="AQ2478" i="1" s="1"/>
  <c r="AP2479" i="1"/>
  <c r="AQ2479" i="1" s="1"/>
  <c r="AP2480" i="1"/>
  <c r="AQ2480" i="1" s="1"/>
  <c r="AP2481" i="1"/>
  <c r="AQ2481" i="1" s="1"/>
  <c r="AP2482" i="1"/>
  <c r="AQ2482" i="1" s="1"/>
  <c r="AP2483" i="1"/>
  <c r="AQ2483" i="1" s="1"/>
  <c r="AP2484" i="1"/>
  <c r="AQ2484" i="1" s="1"/>
  <c r="AP2485" i="1"/>
  <c r="AQ2485" i="1" s="1"/>
  <c r="AP2486" i="1"/>
  <c r="AQ2486" i="1" s="1"/>
  <c r="AP2487" i="1"/>
  <c r="AQ2487" i="1" s="1"/>
  <c r="AP2488" i="1"/>
  <c r="AQ2488" i="1" s="1"/>
  <c r="AP2489" i="1"/>
  <c r="AQ2489" i="1" s="1"/>
  <c r="AP2490" i="1"/>
  <c r="AQ2490" i="1" s="1"/>
  <c r="AP2491" i="1"/>
  <c r="AQ2491" i="1" s="1"/>
  <c r="AP2492" i="1"/>
  <c r="AQ2492" i="1" s="1"/>
  <c r="AP2493" i="1"/>
  <c r="AQ2493" i="1" s="1"/>
  <c r="AP2494" i="1"/>
  <c r="AQ2494" i="1" s="1"/>
  <c r="AP2495" i="1"/>
  <c r="AQ2495" i="1" s="1"/>
  <c r="AP2496" i="1"/>
  <c r="AQ2496" i="1" s="1"/>
  <c r="AP2497" i="1"/>
  <c r="AQ2497" i="1" s="1"/>
  <c r="AP2498" i="1"/>
  <c r="AQ2498" i="1" s="1"/>
  <c r="AP2499" i="1"/>
  <c r="AQ2499" i="1" s="1"/>
  <c r="AP2500" i="1"/>
  <c r="AQ2500" i="1" s="1"/>
  <c r="AP2501" i="1"/>
  <c r="AQ2501" i="1" s="1"/>
  <c r="AP2502" i="1"/>
  <c r="AQ2502" i="1" s="1"/>
  <c r="AP2503" i="1"/>
  <c r="AQ2503" i="1" s="1"/>
  <c r="AP2" i="1"/>
  <c r="C58" i="36"/>
  <c r="C68" i="36"/>
  <c r="R182" i="36"/>
  <c r="M182" i="36"/>
  <c r="L182" i="36"/>
  <c r="K182" i="36"/>
  <c r="C182" i="36"/>
  <c r="R181" i="36"/>
  <c r="M181" i="36"/>
  <c r="L181" i="36"/>
  <c r="K181" i="36"/>
  <c r="C181" i="36"/>
  <c r="R180" i="36"/>
  <c r="M180" i="36"/>
  <c r="L180" i="36"/>
  <c r="K180" i="36"/>
  <c r="C180" i="36"/>
  <c r="C160" i="36"/>
  <c r="C159" i="36"/>
  <c r="R158" i="36"/>
  <c r="C158" i="36"/>
  <c r="M72" i="36" l="1"/>
  <c r="L72" i="36"/>
  <c r="K72" i="36"/>
  <c r="E55" i="36"/>
  <c r="C55" i="36"/>
  <c r="E54" i="36"/>
  <c r="C54" i="36"/>
  <c r="E53" i="36"/>
  <c r="C53" i="36"/>
  <c r="E52" i="36"/>
  <c r="C52" i="36"/>
  <c r="E72" i="36"/>
  <c r="C72" i="36"/>
  <c r="C57" i="36"/>
  <c r="E56" i="36"/>
  <c r="C56" i="36"/>
  <c r="Y1584" i="1"/>
  <c r="X1584" i="1"/>
  <c r="W1584" i="1"/>
  <c r="U1584" i="1"/>
  <c r="T1584" i="1"/>
  <c r="S1584" i="1"/>
  <c r="R1584" i="1"/>
  <c r="AT1584" i="1" s="1"/>
  <c r="Q1584" i="1"/>
  <c r="AU1584" i="1" s="1"/>
  <c r="P1584" i="1"/>
  <c r="Y1583" i="1"/>
  <c r="X1583" i="1"/>
  <c r="W1583" i="1"/>
  <c r="U1583" i="1"/>
  <c r="T1583" i="1"/>
  <c r="S1583" i="1"/>
  <c r="R1583" i="1"/>
  <c r="AT1583" i="1" s="1"/>
  <c r="Q1583" i="1"/>
  <c r="AU1583" i="1" s="1"/>
  <c r="P1583" i="1"/>
  <c r="Y1577" i="1"/>
  <c r="X1577" i="1"/>
  <c r="W1577" i="1"/>
  <c r="U1577" i="1"/>
  <c r="T1577" i="1"/>
  <c r="S1577" i="1"/>
  <c r="R1577" i="1"/>
  <c r="AT1577" i="1" s="1"/>
  <c r="Q1577" i="1"/>
  <c r="AU1577" i="1" s="1"/>
  <c r="P1577" i="1"/>
  <c r="Y1582" i="1"/>
  <c r="X1582" i="1"/>
  <c r="W1582" i="1"/>
  <c r="U1582" i="1"/>
  <c r="T1582" i="1"/>
  <c r="S1582" i="1"/>
  <c r="R1582" i="1"/>
  <c r="AT1582" i="1" s="1"/>
  <c r="Q1582" i="1"/>
  <c r="AU1582" i="1" s="1"/>
  <c r="P1582" i="1"/>
  <c r="Y1567" i="1"/>
  <c r="X1567" i="1"/>
  <c r="W1567" i="1"/>
  <c r="U1567" i="1"/>
  <c r="T1567" i="1"/>
  <c r="S1567" i="1"/>
  <c r="R1567" i="1"/>
  <c r="AT1567" i="1" s="1"/>
  <c r="Q1567" i="1"/>
  <c r="AU1567" i="1" s="1"/>
  <c r="P1567" i="1"/>
  <c r="Y1566" i="1"/>
  <c r="AO1566" i="1" s="1"/>
  <c r="AQ1566" i="1" s="1"/>
  <c r="X1566" i="1"/>
  <c r="W1566" i="1"/>
  <c r="U1566" i="1"/>
  <c r="T1566" i="1"/>
  <c r="S1566" i="1"/>
  <c r="R1566" i="1"/>
  <c r="Q1566" i="1"/>
  <c r="P1566" i="1"/>
  <c r="K502" i="6" s="1"/>
  <c r="Y1565" i="1"/>
  <c r="X1565" i="1"/>
  <c r="W1565" i="1"/>
  <c r="U1565" i="1"/>
  <c r="T1565" i="1"/>
  <c r="S1565" i="1"/>
  <c r="R1565" i="1"/>
  <c r="AT1565" i="1" s="1"/>
  <c r="Q1565" i="1"/>
  <c r="AU1565" i="1" s="1"/>
  <c r="P1565" i="1"/>
  <c r="Y1564" i="1"/>
  <c r="X1564" i="1"/>
  <c r="W1564" i="1"/>
  <c r="U1564" i="1"/>
  <c r="T1564" i="1"/>
  <c r="S1564" i="1"/>
  <c r="R1564" i="1"/>
  <c r="AT1564" i="1" s="1"/>
  <c r="Q1564" i="1"/>
  <c r="AU1564" i="1" s="1"/>
  <c r="P1564" i="1"/>
  <c r="Y1563" i="1"/>
  <c r="X1563" i="1"/>
  <c r="W1563" i="1"/>
  <c r="U1563" i="1"/>
  <c r="T1563" i="1"/>
  <c r="S1563" i="1"/>
  <c r="R1563" i="1"/>
  <c r="AT1563" i="1" s="1"/>
  <c r="Q1563" i="1"/>
  <c r="AU1563" i="1" s="1"/>
  <c r="P1563" i="1"/>
  <c r="Y1562" i="1"/>
  <c r="X1562" i="1"/>
  <c r="W1562" i="1"/>
  <c r="U1562" i="1"/>
  <c r="T1562" i="1"/>
  <c r="S1562" i="1"/>
  <c r="R1562" i="1"/>
  <c r="AT1562" i="1" s="1"/>
  <c r="Q1562" i="1"/>
  <c r="AU1562" i="1" s="1"/>
  <c r="P1562" i="1"/>
  <c r="AO1567" i="1" l="1"/>
  <c r="AQ1567" i="1" s="1"/>
  <c r="J502" i="6"/>
  <c r="AU1566" i="1"/>
  <c r="I502" i="6"/>
  <c r="AT1566" i="1"/>
  <c r="AO1577" i="1"/>
  <c r="AQ1577" i="1" s="1"/>
  <c r="AO1562" i="1"/>
  <c r="AQ1562" i="1" s="1"/>
  <c r="AO1583" i="1"/>
  <c r="AQ1583" i="1" s="1"/>
  <c r="AO1563" i="1"/>
  <c r="AQ1563" i="1" s="1"/>
  <c r="AO1584" i="1"/>
  <c r="AQ1584" i="1" s="1"/>
  <c r="AO1564" i="1"/>
  <c r="AQ1564" i="1" s="1"/>
  <c r="AO1582" i="1"/>
  <c r="AQ1582" i="1" s="1"/>
  <c r="AO1565" i="1"/>
  <c r="AQ1565" i="1" s="1"/>
  <c r="P502" i="6"/>
  <c r="V1566" i="1"/>
  <c r="V1562" i="1"/>
  <c r="V1577" i="1"/>
  <c r="V1583" i="1"/>
  <c r="V1582" i="1"/>
  <c r="V1563" i="1"/>
  <c r="V1584" i="1"/>
  <c r="V1564" i="1"/>
  <c r="V1565" i="1"/>
  <c r="V1567" i="1"/>
  <c r="C51" i="36" l="1"/>
  <c r="C118" i="36" l="1"/>
  <c r="C117" i="36"/>
  <c r="C120" i="36"/>
  <c r="C119" i="36"/>
  <c r="C123" i="36"/>
  <c r="C122" i="36"/>
  <c r="C121" i="36"/>
  <c r="C103" i="36" l="1"/>
  <c r="C104" i="36"/>
  <c r="C105" i="36"/>
  <c r="C106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I501" i="6" l="1"/>
  <c r="J501" i="6"/>
  <c r="K501" i="6"/>
  <c r="P501" i="6" l="1"/>
  <c r="C97" i="36"/>
  <c r="C98" i="36"/>
  <c r="C99" i="36"/>
  <c r="C100" i="36"/>
  <c r="C101" i="36"/>
  <c r="C102" i="36"/>
  <c r="U471" i="6" l="1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1545" i="1"/>
  <c r="X1545" i="1"/>
  <c r="W1545" i="1"/>
  <c r="U1545" i="1"/>
  <c r="T1545" i="1"/>
  <c r="S1545" i="1"/>
  <c r="R1545" i="1"/>
  <c r="AT1545" i="1" s="1"/>
  <c r="Q1545" i="1"/>
  <c r="AU1545" i="1" s="1"/>
  <c r="P1545" i="1"/>
  <c r="Y1544" i="1"/>
  <c r="X1544" i="1"/>
  <c r="W1544" i="1"/>
  <c r="U1544" i="1"/>
  <c r="T1544" i="1"/>
  <c r="S1544" i="1"/>
  <c r="R1544" i="1"/>
  <c r="AT1544" i="1" s="1"/>
  <c r="Q1544" i="1"/>
  <c r="AU1544" i="1" s="1"/>
  <c r="P1544" i="1"/>
  <c r="Y1553" i="1"/>
  <c r="X1553" i="1"/>
  <c r="W1553" i="1"/>
  <c r="U1553" i="1"/>
  <c r="T1553" i="1"/>
  <c r="S1553" i="1"/>
  <c r="R1553" i="1"/>
  <c r="AT1553" i="1" s="1"/>
  <c r="Q1553" i="1"/>
  <c r="AU1553" i="1" s="1"/>
  <c r="P1553" i="1"/>
  <c r="Y1552" i="1"/>
  <c r="X1552" i="1"/>
  <c r="W1552" i="1"/>
  <c r="U1552" i="1"/>
  <c r="T1552" i="1"/>
  <c r="S1552" i="1"/>
  <c r="R1552" i="1"/>
  <c r="AT1552" i="1" s="1"/>
  <c r="Q1552" i="1"/>
  <c r="AU1552" i="1" s="1"/>
  <c r="P1552" i="1"/>
  <c r="Y1549" i="1"/>
  <c r="X1549" i="1"/>
  <c r="W1549" i="1"/>
  <c r="U1549" i="1"/>
  <c r="T1549" i="1"/>
  <c r="S1549" i="1"/>
  <c r="R1549" i="1"/>
  <c r="AT1549" i="1" s="1"/>
  <c r="Q1549" i="1"/>
  <c r="AU1549" i="1" s="1"/>
  <c r="P1549" i="1"/>
  <c r="Y1548" i="1"/>
  <c r="X1548" i="1"/>
  <c r="W1548" i="1"/>
  <c r="U1548" i="1"/>
  <c r="T1548" i="1"/>
  <c r="S1548" i="1"/>
  <c r="R1548" i="1"/>
  <c r="AT1548" i="1" s="1"/>
  <c r="Q1548" i="1"/>
  <c r="AU1548" i="1" s="1"/>
  <c r="P1548" i="1"/>
  <c r="Y1558" i="1"/>
  <c r="X1558" i="1"/>
  <c r="W1558" i="1"/>
  <c r="U1558" i="1"/>
  <c r="T1558" i="1"/>
  <c r="S1558" i="1"/>
  <c r="R1558" i="1"/>
  <c r="AT1558" i="1" s="1"/>
  <c r="Q1558" i="1"/>
  <c r="AU1558" i="1" s="1"/>
  <c r="P1558" i="1"/>
  <c r="Y1557" i="1"/>
  <c r="X1557" i="1"/>
  <c r="W1557" i="1"/>
  <c r="U1557" i="1"/>
  <c r="T1557" i="1"/>
  <c r="S1557" i="1"/>
  <c r="R1557" i="1"/>
  <c r="AT1557" i="1" s="1"/>
  <c r="Q1557" i="1"/>
  <c r="AU1557" i="1" s="1"/>
  <c r="P1557" i="1"/>
  <c r="Y1556" i="1"/>
  <c r="X1556" i="1"/>
  <c r="W1556" i="1"/>
  <c r="U1556" i="1"/>
  <c r="T1556" i="1"/>
  <c r="S1556" i="1"/>
  <c r="R1556" i="1"/>
  <c r="AT1556" i="1" s="1"/>
  <c r="Q1556" i="1"/>
  <c r="AU1556" i="1" s="1"/>
  <c r="P1556" i="1"/>
  <c r="Y1555" i="1"/>
  <c r="X1555" i="1"/>
  <c r="W1555" i="1"/>
  <c r="U1555" i="1"/>
  <c r="T1555" i="1"/>
  <c r="S1555" i="1"/>
  <c r="R1555" i="1"/>
  <c r="AT1555" i="1" s="1"/>
  <c r="Q1555" i="1"/>
  <c r="AU1555" i="1" s="1"/>
  <c r="P1555" i="1"/>
  <c r="Y1554" i="1"/>
  <c r="X1554" i="1"/>
  <c r="W1554" i="1"/>
  <c r="U1554" i="1"/>
  <c r="T1554" i="1"/>
  <c r="S1554" i="1"/>
  <c r="R1554" i="1"/>
  <c r="AT1554" i="1" s="1"/>
  <c r="Q1554" i="1"/>
  <c r="AU1554" i="1" s="1"/>
  <c r="P1554" i="1"/>
  <c r="Y1561" i="1"/>
  <c r="X1561" i="1"/>
  <c r="W1561" i="1"/>
  <c r="U1561" i="1"/>
  <c r="T1561" i="1"/>
  <c r="S1561" i="1"/>
  <c r="R1561" i="1"/>
  <c r="AT1561" i="1" s="1"/>
  <c r="Q1561" i="1"/>
  <c r="AU1561" i="1" s="1"/>
  <c r="P1561" i="1"/>
  <c r="Y1560" i="1"/>
  <c r="X1560" i="1"/>
  <c r="W1560" i="1"/>
  <c r="U1560" i="1"/>
  <c r="T1560" i="1"/>
  <c r="S1560" i="1"/>
  <c r="R1560" i="1"/>
  <c r="AT1560" i="1" s="1"/>
  <c r="Q1560" i="1"/>
  <c r="AU1560" i="1" s="1"/>
  <c r="P1560" i="1"/>
  <c r="Y1559" i="1"/>
  <c r="X1559" i="1"/>
  <c r="W1559" i="1"/>
  <c r="U1559" i="1"/>
  <c r="T1559" i="1"/>
  <c r="S1559" i="1"/>
  <c r="R1559" i="1"/>
  <c r="AT1559" i="1" s="1"/>
  <c r="Q1559" i="1"/>
  <c r="AU1559" i="1" s="1"/>
  <c r="P1559" i="1"/>
  <c r="E45" i="36"/>
  <c r="AO1553" i="1" l="1"/>
  <c r="AQ1553" i="1" s="1"/>
  <c r="AO1556" i="1"/>
  <c r="AQ1556" i="1" s="1"/>
  <c r="AO1545" i="1"/>
  <c r="AQ1545" i="1" s="1"/>
  <c r="AO1554" i="1"/>
  <c r="AQ1554" i="1" s="1"/>
  <c r="AO1558" i="1"/>
  <c r="AQ1558" i="1" s="1"/>
  <c r="AO1559" i="1"/>
  <c r="AQ1559" i="1" s="1"/>
  <c r="AO1548" i="1"/>
  <c r="AQ1548" i="1" s="1"/>
  <c r="AO1555" i="1"/>
  <c r="AQ1555" i="1" s="1"/>
  <c r="AO1544" i="1"/>
  <c r="AQ1544" i="1" s="1"/>
  <c r="AO1557" i="1"/>
  <c r="AQ1557" i="1" s="1"/>
  <c r="AO1560" i="1"/>
  <c r="AQ1560" i="1" s="1"/>
  <c r="AO1549" i="1"/>
  <c r="AQ1549" i="1" s="1"/>
  <c r="AO1561" i="1"/>
  <c r="AQ1561" i="1" s="1"/>
  <c r="AO1552" i="1"/>
  <c r="AQ1552" i="1" s="1"/>
  <c r="V1552" i="1"/>
  <c r="V1553" i="1"/>
  <c r="V1558" i="1"/>
  <c r="V1554" i="1"/>
  <c r="V1545" i="1"/>
  <c r="V1548" i="1"/>
  <c r="V1549" i="1"/>
  <c r="V1556" i="1"/>
  <c r="V1544" i="1"/>
  <c r="V1561" i="1"/>
  <c r="V1559" i="1"/>
  <c r="V1555" i="1"/>
  <c r="V1557" i="1"/>
  <c r="V1560" i="1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O417" i="6" l="1"/>
  <c r="E84" i="6"/>
  <c r="D84" i="6"/>
  <c r="B84" i="6"/>
  <c r="E83" i="6"/>
  <c r="D83" i="6"/>
  <c r="B83" i="6"/>
  <c r="E82" i="6"/>
  <c r="D82" i="6"/>
  <c r="B82" i="6"/>
  <c r="E81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1551" i="1"/>
  <c r="X1551" i="1"/>
  <c r="W1551" i="1"/>
  <c r="U1551" i="1"/>
  <c r="T1551" i="1"/>
  <c r="S1551" i="1"/>
  <c r="R1551" i="1"/>
  <c r="AT1551" i="1" s="1"/>
  <c r="Q1551" i="1"/>
  <c r="AU1551" i="1" s="1"/>
  <c r="P1551" i="1"/>
  <c r="Y1550" i="1"/>
  <c r="X1550" i="1"/>
  <c r="W1550" i="1"/>
  <c r="U1550" i="1"/>
  <c r="T1550" i="1"/>
  <c r="S1550" i="1"/>
  <c r="R1550" i="1"/>
  <c r="AT1550" i="1" s="1"/>
  <c r="Q1550" i="1"/>
  <c r="AU1550" i="1" s="1"/>
  <c r="P1550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AO1551" i="1" l="1"/>
  <c r="AQ1551" i="1" s="1"/>
  <c r="AO1550" i="1"/>
  <c r="AQ1550" i="1" s="1"/>
  <c r="V1550" i="1"/>
  <c r="V1551" i="1"/>
  <c r="Y1547" i="1"/>
  <c r="X1547" i="1"/>
  <c r="W1547" i="1"/>
  <c r="U1547" i="1"/>
  <c r="T1547" i="1"/>
  <c r="S1547" i="1"/>
  <c r="R1547" i="1"/>
  <c r="AT1547" i="1" s="1"/>
  <c r="Q1547" i="1"/>
  <c r="AU1547" i="1" s="1"/>
  <c r="P1547" i="1"/>
  <c r="U445" i="6"/>
  <c r="B445" i="6"/>
  <c r="U444" i="6"/>
  <c r="B444" i="6"/>
  <c r="U443" i="6"/>
  <c r="B443" i="6"/>
  <c r="U442" i="6"/>
  <c r="B442" i="6"/>
  <c r="AO1547" i="1" l="1"/>
  <c r="AQ1547" i="1" s="1"/>
  <c r="V1547" i="1"/>
  <c r="U418" i="6"/>
  <c r="B418" i="6"/>
  <c r="I492" i="6" l="1"/>
  <c r="I493" i="6"/>
  <c r="I494" i="6"/>
  <c r="I495" i="6"/>
  <c r="I496" i="6"/>
  <c r="J495" i="6"/>
  <c r="J492" i="6"/>
  <c r="J494" i="6"/>
  <c r="J493" i="6"/>
  <c r="J496" i="6"/>
  <c r="K492" i="6"/>
  <c r="K493" i="6"/>
  <c r="K494" i="6"/>
  <c r="K495" i="6"/>
  <c r="K496" i="6"/>
  <c r="P492" i="6"/>
  <c r="P495" i="6"/>
  <c r="P493" i="6"/>
  <c r="P494" i="6"/>
  <c r="P496" i="6"/>
  <c r="U446" i="6" l="1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1609" i="1"/>
  <c r="Q1609" i="1"/>
  <c r="AU1609" i="1" s="1"/>
  <c r="R1609" i="1"/>
  <c r="AT1609" i="1" s="1"/>
  <c r="S1609" i="1"/>
  <c r="T1609" i="1"/>
  <c r="U1609" i="1"/>
  <c r="X1609" i="1"/>
  <c r="Y1609" i="1"/>
  <c r="P1610" i="1"/>
  <c r="Q1610" i="1"/>
  <c r="AU1610" i="1" s="1"/>
  <c r="R1610" i="1"/>
  <c r="AT1610" i="1" s="1"/>
  <c r="S1610" i="1"/>
  <c r="T1610" i="1"/>
  <c r="U1610" i="1"/>
  <c r="X1610" i="1"/>
  <c r="Y1610" i="1"/>
  <c r="Y1534" i="1"/>
  <c r="AO1534" i="1" s="1"/>
  <c r="AQ1534" i="1" s="1"/>
  <c r="Y1535" i="1"/>
  <c r="AO1535" i="1" s="1"/>
  <c r="AQ1535" i="1" s="1"/>
  <c r="Y1536" i="1"/>
  <c r="Y1537" i="1"/>
  <c r="Y1546" i="1"/>
  <c r="AO1546" i="1" s="1"/>
  <c r="AQ1546" i="1" s="1"/>
  <c r="Y1598" i="1"/>
  <c r="X1543" i="1"/>
  <c r="X1534" i="1"/>
  <c r="X1535" i="1"/>
  <c r="X1536" i="1"/>
  <c r="X1537" i="1"/>
  <c r="X1546" i="1"/>
  <c r="W1543" i="1"/>
  <c r="W1534" i="1"/>
  <c r="W1535" i="1"/>
  <c r="W1536" i="1"/>
  <c r="W1537" i="1"/>
  <c r="W1546" i="1"/>
  <c r="W1598" i="1"/>
  <c r="U1534" i="1"/>
  <c r="U1535" i="1"/>
  <c r="U1536" i="1"/>
  <c r="U1537" i="1"/>
  <c r="U1546" i="1"/>
  <c r="T1543" i="1"/>
  <c r="T1534" i="1"/>
  <c r="T1535" i="1"/>
  <c r="T1536" i="1"/>
  <c r="T1537" i="1"/>
  <c r="T1546" i="1"/>
  <c r="S1534" i="1"/>
  <c r="S1535" i="1"/>
  <c r="S1536" i="1"/>
  <c r="S1537" i="1"/>
  <c r="S1546" i="1"/>
  <c r="R1534" i="1"/>
  <c r="AT1534" i="1" s="1"/>
  <c r="R1535" i="1"/>
  <c r="AT1535" i="1" s="1"/>
  <c r="R1536" i="1"/>
  <c r="AT1536" i="1" s="1"/>
  <c r="R1537" i="1"/>
  <c r="AT1537" i="1" s="1"/>
  <c r="R1546" i="1"/>
  <c r="AT1546" i="1" s="1"/>
  <c r="Q1534" i="1"/>
  <c r="AU1534" i="1" s="1"/>
  <c r="Q1535" i="1"/>
  <c r="AU1535" i="1" s="1"/>
  <c r="Q1536" i="1"/>
  <c r="AU1536" i="1" s="1"/>
  <c r="Q1537" i="1"/>
  <c r="AU1537" i="1" s="1"/>
  <c r="Q1546" i="1"/>
  <c r="AU1546" i="1" s="1"/>
  <c r="P1534" i="1"/>
  <c r="P1535" i="1"/>
  <c r="P1536" i="1"/>
  <c r="P1537" i="1"/>
  <c r="P1546" i="1"/>
  <c r="P1598" i="1"/>
  <c r="C112" i="36"/>
  <c r="C111" i="36"/>
  <c r="C110" i="36"/>
  <c r="C109" i="36"/>
  <c r="C108" i="36"/>
  <c r="C107" i="36"/>
  <c r="AO1537" i="1" l="1"/>
  <c r="AQ1537" i="1" s="1"/>
  <c r="AO1598" i="1"/>
  <c r="AQ1598" i="1" s="1"/>
  <c r="AO1536" i="1"/>
  <c r="AQ1536" i="1" s="1"/>
  <c r="AO1610" i="1"/>
  <c r="AQ1610" i="1" s="1"/>
  <c r="AO1609" i="1"/>
  <c r="AQ1609" i="1" s="1"/>
  <c r="M162" i="36"/>
  <c r="M165" i="36"/>
  <c r="M163" i="36"/>
  <c r="M161" i="36"/>
  <c r="M76" i="36"/>
  <c r="M164" i="36"/>
  <c r="L76" i="36"/>
  <c r="L164" i="36"/>
  <c r="L162" i="36"/>
  <c r="L165" i="36"/>
  <c r="L163" i="36"/>
  <c r="L161" i="36"/>
  <c r="K161" i="36"/>
  <c r="K76" i="36"/>
  <c r="K164" i="36"/>
  <c r="K162" i="36"/>
  <c r="K165" i="36"/>
  <c r="K163" i="36"/>
  <c r="R162" i="36"/>
  <c r="R165" i="36"/>
  <c r="R163" i="36"/>
  <c r="R161" i="36"/>
  <c r="R164" i="36"/>
  <c r="K459" i="6"/>
  <c r="K460" i="6"/>
  <c r="K457" i="6"/>
  <c r="K458" i="6"/>
  <c r="I458" i="6"/>
  <c r="I457" i="6"/>
  <c r="I460" i="6"/>
  <c r="I459" i="6"/>
  <c r="J457" i="6"/>
  <c r="J458" i="6"/>
  <c r="J460" i="6"/>
  <c r="J459" i="6"/>
  <c r="P458" i="6"/>
  <c r="P457" i="6"/>
  <c r="P459" i="6"/>
  <c r="P460" i="6"/>
  <c r="V1610" i="1"/>
  <c r="V1609" i="1"/>
  <c r="V1536" i="1"/>
  <c r="V1546" i="1"/>
  <c r="V1534" i="1"/>
  <c r="V1537" i="1"/>
  <c r="V1535" i="1"/>
  <c r="Y1543" i="1"/>
  <c r="U1543" i="1"/>
  <c r="V1543" i="1" s="1"/>
  <c r="S1543" i="1"/>
  <c r="R1543" i="1"/>
  <c r="AT1543" i="1" s="1"/>
  <c r="Q1543" i="1"/>
  <c r="AU1543" i="1" s="1"/>
  <c r="P1543" i="1"/>
  <c r="Y1542" i="1"/>
  <c r="X1542" i="1"/>
  <c r="W1542" i="1"/>
  <c r="U1542" i="1"/>
  <c r="T1542" i="1"/>
  <c r="S1542" i="1"/>
  <c r="R1542" i="1"/>
  <c r="AT1542" i="1" s="1"/>
  <c r="Q1542" i="1"/>
  <c r="AU1542" i="1" s="1"/>
  <c r="P1542" i="1"/>
  <c r="Y1541" i="1"/>
  <c r="X1541" i="1"/>
  <c r="W1541" i="1"/>
  <c r="U1541" i="1"/>
  <c r="T1541" i="1"/>
  <c r="S1541" i="1"/>
  <c r="R1541" i="1"/>
  <c r="AT1541" i="1" s="1"/>
  <c r="Q1541" i="1"/>
  <c r="AU1541" i="1" s="1"/>
  <c r="P1541" i="1"/>
  <c r="Y1540" i="1"/>
  <c r="X1540" i="1"/>
  <c r="W1540" i="1"/>
  <c r="U1540" i="1"/>
  <c r="T1540" i="1"/>
  <c r="S1540" i="1"/>
  <c r="R1540" i="1"/>
  <c r="AT1540" i="1" s="1"/>
  <c r="Q1540" i="1"/>
  <c r="AU1540" i="1" s="1"/>
  <c r="P1540" i="1"/>
  <c r="Y1539" i="1"/>
  <c r="X1539" i="1"/>
  <c r="W1539" i="1"/>
  <c r="U1539" i="1"/>
  <c r="T1539" i="1"/>
  <c r="S1539" i="1"/>
  <c r="R1539" i="1"/>
  <c r="AT1539" i="1" s="1"/>
  <c r="Q1539" i="1"/>
  <c r="AU1539" i="1" s="1"/>
  <c r="P1539" i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AO1540" i="1" l="1"/>
  <c r="AQ1540" i="1" s="1"/>
  <c r="AO1539" i="1"/>
  <c r="AQ1539" i="1" s="1"/>
  <c r="AO1543" i="1"/>
  <c r="AQ1543" i="1" s="1"/>
  <c r="AO1541" i="1"/>
  <c r="AQ1541" i="1" s="1"/>
  <c r="AO1542" i="1"/>
  <c r="AQ1542" i="1" s="1"/>
  <c r="M99" i="36"/>
  <c r="M98" i="36"/>
  <c r="R99" i="36"/>
  <c r="R98" i="36"/>
  <c r="L98" i="36"/>
  <c r="L99" i="36"/>
  <c r="K98" i="36"/>
  <c r="K99" i="36"/>
  <c r="V1539" i="1"/>
  <c r="V1542" i="1"/>
  <c r="V1541" i="1"/>
  <c r="V1540" i="1"/>
  <c r="U419" i="6"/>
  <c r="B419" i="6"/>
  <c r="U417" i="6"/>
  <c r="B417" i="6"/>
  <c r="U416" i="6"/>
  <c r="B416" i="6"/>
  <c r="U415" i="6"/>
  <c r="B415" i="6"/>
  <c r="U414" i="6"/>
  <c r="B414" i="6"/>
  <c r="U428" i="6" l="1"/>
  <c r="B428" i="6"/>
  <c r="U426" i="6"/>
  <c r="B426" i="6"/>
  <c r="U413" i="6"/>
  <c r="B413" i="6"/>
  <c r="R156" i="36"/>
  <c r="R157" i="36"/>
  <c r="M156" i="36"/>
  <c r="L156" i="36"/>
  <c r="K156" i="36"/>
  <c r="U77" i="6"/>
  <c r="B77" i="6"/>
  <c r="U76" i="6"/>
  <c r="B76" i="6"/>
  <c r="U75" i="6"/>
  <c r="B75" i="6"/>
  <c r="U429" i="6" l="1"/>
  <c r="B429" i="6"/>
  <c r="U412" i="6"/>
  <c r="B412" i="6"/>
  <c r="U411" i="6"/>
  <c r="B411" i="6"/>
  <c r="U410" i="6"/>
  <c r="B410" i="6"/>
  <c r="X1598" i="1"/>
  <c r="U1598" i="1"/>
  <c r="T1598" i="1"/>
  <c r="S1598" i="1"/>
  <c r="R1598" i="1"/>
  <c r="AT1598" i="1" s="1"/>
  <c r="Q1598" i="1"/>
  <c r="AU1598" i="1" s="1"/>
  <c r="Y1599" i="1"/>
  <c r="X1599" i="1"/>
  <c r="W1599" i="1"/>
  <c r="U1599" i="1"/>
  <c r="T1599" i="1"/>
  <c r="S1599" i="1"/>
  <c r="R1599" i="1"/>
  <c r="AT1599" i="1" s="1"/>
  <c r="Q1599" i="1"/>
  <c r="AU1599" i="1" s="1"/>
  <c r="P1599" i="1"/>
  <c r="AO1599" i="1" l="1"/>
  <c r="AQ1599" i="1" s="1"/>
  <c r="V1599" i="1"/>
  <c r="V1598" i="1"/>
  <c r="M406" i="6"/>
  <c r="Q23" i="37" l="1"/>
  <c r="Q24" i="37"/>
  <c r="V23" i="37" l="1"/>
  <c r="V24" i="37"/>
  <c r="V25" i="37"/>
  <c r="U23" i="37"/>
  <c r="U24" i="37"/>
  <c r="U25" i="37"/>
  <c r="S23" i="37"/>
  <c r="S24" i="37"/>
  <c r="W24" i="37" s="1"/>
  <c r="S25" i="37"/>
  <c r="W25" i="37" s="1"/>
  <c r="T23" i="37"/>
  <c r="T24" i="37"/>
  <c r="X24" i="37" s="1"/>
  <c r="T25" i="37"/>
  <c r="X25" i="37" s="1"/>
  <c r="R23" i="37"/>
  <c r="R24" i="37"/>
  <c r="R25" i="37"/>
  <c r="C8" i="36"/>
  <c r="C9" i="36"/>
  <c r="C7" i="36"/>
  <c r="C6" i="36"/>
  <c r="C5" i="36"/>
  <c r="C4" i="36"/>
  <c r="X23" i="37" l="1"/>
  <c r="W23" i="37"/>
  <c r="U408" i="6"/>
  <c r="B408" i="6"/>
  <c r="U407" i="6"/>
  <c r="B407" i="6"/>
  <c r="U406" i="6"/>
  <c r="B406" i="6"/>
  <c r="U405" i="6"/>
  <c r="B405" i="6"/>
  <c r="U404" i="6"/>
  <c r="B404" i="6"/>
  <c r="E36" i="36" l="1"/>
  <c r="C36" i="36"/>
  <c r="E35" i="36"/>
  <c r="C35" i="36"/>
  <c r="E34" i="36"/>
  <c r="C34" i="36"/>
  <c r="E33" i="36"/>
  <c r="C33" i="36"/>
  <c r="E41" i="36" l="1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95" i="36"/>
  <c r="Q55" i="37" l="1"/>
  <c r="AA55" i="37"/>
  <c r="G55" i="37"/>
  <c r="X55" i="37"/>
  <c r="N55" i="37"/>
  <c r="M55" i="37"/>
  <c r="W55" i="37"/>
  <c r="V48" i="37"/>
  <c r="AC48" i="37" s="1"/>
  <c r="V33" i="37"/>
  <c r="AC33" i="37" s="1"/>
  <c r="V49" i="37"/>
  <c r="AC49" i="37" s="1"/>
  <c r="V51" i="37"/>
  <c r="AC51" i="37" s="1"/>
  <c r="V45" i="37"/>
  <c r="AC45" i="37" s="1"/>
  <c r="V34" i="37"/>
  <c r="AC34" i="37" s="1"/>
  <c r="V42" i="37"/>
  <c r="AC42" i="37" s="1"/>
  <c r="L51" i="37"/>
  <c r="S51" i="37" s="1"/>
  <c r="L50" i="37"/>
  <c r="S50" i="37" s="1"/>
  <c r="L49" i="37"/>
  <c r="S49" i="37" s="1"/>
  <c r="L47" i="37"/>
  <c r="S47" i="37" s="1"/>
  <c r="L46" i="37"/>
  <c r="S46" i="37" s="1"/>
  <c r="L45" i="37"/>
  <c r="S45" i="37" s="1"/>
  <c r="L44" i="37"/>
  <c r="S44" i="37" s="1"/>
  <c r="L43" i="37"/>
  <c r="S43" i="37" s="1"/>
  <c r="L40" i="37"/>
  <c r="S40" i="37" s="1"/>
  <c r="L36" i="37"/>
  <c r="S36" i="37" s="1"/>
  <c r="L33" i="37"/>
  <c r="S33" i="37" s="1"/>
  <c r="V35" i="37"/>
  <c r="AC35" i="37" s="1"/>
  <c r="V43" i="37"/>
  <c r="AC43" i="37" s="1"/>
  <c r="L48" i="37"/>
  <c r="S48" i="37" s="1"/>
  <c r="L38" i="37"/>
  <c r="S38" i="37" s="1"/>
  <c r="L37" i="37"/>
  <c r="S37" i="37" s="1"/>
  <c r="V38" i="37"/>
  <c r="AC38" i="37" s="1"/>
  <c r="V46" i="37"/>
  <c r="AC46" i="37" s="1"/>
  <c r="L39" i="37"/>
  <c r="S39" i="37" s="1"/>
  <c r="V40" i="37"/>
  <c r="AC40" i="37" s="1"/>
  <c r="L34" i="37"/>
  <c r="S34" i="37" s="1"/>
  <c r="L41" i="37"/>
  <c r="S41" i="37" s="1"/>
  <c r="V37" i="37"/>
  <c r="AC37" i="37" s="1"/>
  <c r="V36" i="37"/>
  <c r="AC36" i="37" s="1"/>
  <c r="V39" i="37"/>
  <c r="AC39" i="37" s="1"/>
  <c r="L35" i="37"/>
  <c r="S35" i="37" s="1"/>
  <c r="L42" i="37"/>
  <c r="S42" i="37" s="1"/>
  <c r="V44" i="37"/>
  <c r="AC44" i="37" s="1"/>
  <c r="V41" i="37"/>
  <c r="AC41" i="37" s="1"/>
  <c r="V47" i="37"/>
  <c r="AC47" i="37" s="1"/>
  <c r="V50" i="37"/>
  <c r="AC50" i="37" s="1"/>
  <c r="AC55" i="37" l="1"/>
  <c r="V55" i="37"/>
  <c r="S55" i="37"/>
  <c r="C35" i="37" l="1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D55" i="37" s="1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B36" i="37" s="1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D4" i="37" l="1"/>
  <c r="AE26" i="37"/>
  <c r="F26" i="37"/>
  <c r="AC13" i="37"/>
  <c r="T13" i="37" s="1"/>
  <c r="C55" i="37"/>
  <c r="B47" i="37"/>
  <c r="I47" i="37" s="1"/>
  <c r="B39" i="37"/>
  <c r="I39" i="37" s="1"/>
  <c r="B46" i="37"/>
  <c r="I46" i="37" s="1"/>
  <c r="B48" i="37"/>
  <c r="I48" i="37" s="1"/>
  <c r="B40" i="37"/>
  <c r="I40" i="37" s="1"/>
  <c r="B37" i="37"/>
  <c r="I37" i="37" s="1"/>
  <c r="B38" i="37"/>
  <c r="I38" i="37" s="1"/>
  <c r="B45" i="37"/>
  <c r="I45" i="37" s="1"/>
  <c r="B35" i="37"/>
  <c r="I35" i="37" s="1"/>
  <c r="B33" i="37"/>
  <c r="B49" i="37"/>
  <c r="I49" i="37" s="1"/>
  <c r="B41" i="37"/>
  <c r="I41" i="37" s="1"/>
  <c r="I44" i="37"/>
  <c r="I50" i="37"/>
  <c r="B34" i="37"/>
  <c r="I34" i="37" s="1"/>
  <c r="B43" i="37"/>
  <c r="I43" i="37" s="1"/>
  <c r="B51" i="37"/>
  <c r="I51" i="37" s="1"/>
  <c r="B42" i="37"/>
  <c r="I42" i="37" s="1"/>
  <c r="I36" i="37"/>
  <c r="AC22" i="37"/>
  <c r="T22" i="37" s="1"/>
  <c r="AC21" i="37"/>
  <c r="T21" i="37" s="1"/>
  <c r="AC20" i="37"/>
  <c r="T20" i="37" s="1"/>
  <c r="AC19" i="37"/>
  <c r="T19" i="37" s="1"/>
  <c r="AC18" i="37"/>
  <c r="T18" i="37" s="1"/>
  <c r="AC17" i="37"/>
  <c r="T17" i="37" s="1"/>
  <c r="AC16" i="37"/>
  <c r="T16" i="37" s="1"/>
  <c r="AC15" i="37"/>
  <c r="T15" i="37" s="1"/>
  <c r="AC14" i="37"/>
  <c r="T14" i="37" s="1"/>
  <c r="AC12" i="37"/>
  <c r="T12" i="37" s="1"/>
  <c r="AC11" i="37"/>
  <c r="T11" i="37" s="1"/>
  <c r="AC10" i="37"/>
  <c r="T10" i="37" s="1"/>
  <c r="AC9" i="37"/>
  <c r="T9" i="37" s="1"/>
  <c r="AC8" i="37"/>
  <c r="T8" i="37" s="1"/>
  <c r="AC7" i="37"/>
  <c r="T7" i="37" s="1"/>
  <c r="AC6" i="37"/>
  <c r="T6" i="37" s="1"/>
  <c r="AC5" i="37"/>
  <c r="T5" i="37" s="1"/>
  <c r="AC4" i="37"/>
  <c r="T4" i="37" s="1"/>
  <c r="AB4" i="37"/>
  <c r="V4" i="37" s="1"/>
  <c r="D5" i="37"/>
  <c r="S5" i="37" s="1"/>
  <c r="C4" i="37"/>
  <c r="U4" i="37" s="1"/>
  <c r="C11" i="37"/>
  <c r="U11" i="37" s="1"/>
  <c r="C19" i="37"/>
  <c r="U19" i="37" s="1"/>
  <c r="C9" i="37"/>
  <c r="U9" i="37" s="1"/>
  <c r="C17" i="37"/>
  <c r="U17" i="37" s="1"/>
  <c r="C10" i="37"/>
  <c r="U10" i="37" s="1"/>
  <c r="C18" i="37"/>
  <c r="U18" i="37" s="1"/>
  <c r="C12" i="37"/>
  <c r="U12" i="37" s="1"/>
  <c r="C20" i="37"/>
  <c r="U20" i="37" s="1"/>
  <c r="C5" i="37"/>
  <c r="U5" i="37" s="1"/>
  <c r="C13" i="37"/>
  <c r="U13" i="37" s="1"/>
  <c r="C21" i="37"/>
  <c r="U21" i="37" s="1"/>
  <c r="C6" i="37"/>
  <c r="U6" i="37" s="1"/>
  <c r="C14" i="37"/>
  <c r="U14" i="37" s="1"/>
  <c r="C22" i="37"/>
  <c r="U22" i="37" s="1"/>
  <c r="C7" i="37"/>
  <c r="U7" i="37" s="1"/>
  <c r="C15" i="37"/>
  <c r="U15" i="37" s="1"/>
  <c r="C8" i="37"/>
  <c r="U8" i="37" s="1"/>
  <c r="C16" i="37"/>
  <c r="U16" i="37" s="1"/>
  <c r="D16" i="37"/>
  <c r="D15" i="37"/>
  <c r="S15" i="37" s="1"/>
  <c r="D14" i="37"/>
  <c r="D13" i="37"/>
  <c r="D12" i="37"/>
  <c r="D11" i="37"/>
  <c r="D10" i="37"/>
  <c r="D9" i="37"/>
  <c r="D8" i="37"/>
  <c r="D7" i="37"/>
  <c r="S7" i="37" s="1"/>
  <c r="D6" i="37"/>
  <c r="D22" i="37"/>
  <c r="D21" i="37"/>
  <c r="S21" i="37" s="1"/>
  <c r="D20" i="37"/>
  <c r="D19" i="37"/>
  <c r="D18" i="37"/>
  <c r="D17" i="37"/>
  <c r="S17" i="37" s="1"/>
  <c r="U403" i="6"/>
  <c r="B403" i="6"/>
  <c r="U402" i="6"/>
  <c r="B402" i="6"/>
  <c r="U401" i="6"/>
  <c r="B401" i="6"/>
  <c r="U400" i="6"/>
  <c r="B400" i="6"/>
  <c r="W7" i="37" l="1"/>
  <c r="W21" i="37"/>
  <c r="W15" i="37"/>
  <c r="W5" i="37"/>
  <c r="W17" i="37"/>
  <c r="S19" i="37"/>
  <c r="W19" i="37" s="1"/>
  <c r="X4" i="37"/>
  <c r="S9" i="37"/>
  <c r="W9" i="37" s="1"/>
  <c r="S11" i="37"/>
  <c r="W11" i="37" s="1"/>
  <c r="S12" i="37"/>
  <c r="W12" i="37" s="1"/>
  <c r="S8" i="37"/>
  <c r="W8" i="37" s="1"/>
  <c r="S16" i="37"/>
  <c r="W16" i="37" s="1"/>
  <c r="U26" i="37"/>
  <c r="S13" i="37"/>
  <c r="W13" i="37" s="1"/>
  <c r="S10" i="37"/>
  <c r="W10" i="37" s="1"/>
  <c r="S18" i="37"/>
  <c r="W18" i="37" s="1"/>
  <c r="S14" i="37"/>
  <c r="W14" i="37" s="1"/>
  <c r="S20" i="37"/>
  <c r="W20" i="37" s="1"/>
  <c r="S4" i="37"/>
  <c r="W4" i="37" s="1"/>
  <c r="S22" i="37"/>
  <c r="W22" i="37" s="1"/>
  <c r="S6" i="37"/>
  <c r="W6" i="37" s="1"/>
  <c r="B55" i="37"/>
  <c r="B9" i="37"/>
  <c r="I33" i="37"/>
  <c r="I55" i="37" s="1"/>
  <c r="B11" i="37"/>
  <c r="AC26" i="37"/>
  <c r="AA4" i="37"/>
  <c r="D26" i="37"/>
  <c r="C26" i="37"/>
  <c r="B19" i="37"/>
  <c r="B6" i="37"/>
  <c r="B17" i="37"/>
  <c r="B5" i="37"/>
  <c r="B22" i="37"/>
  <c r="B16" i="37"/>
  <c r="B4" i="37"/>
  <c r="B14" i="37"/>
  <c r="B10" i="37"/>
  <c r="B18" i="37"/>
  <c r="B21" i="37"/>
  <c r="B12" i="37"/>
  <c r="B7" i="37"/>
  <c r="B20" i="37"/>
  <c r="B13" i="37"/>
  <c r="B15" i="37"/>
  <c r="B8" i="37"/>
  <c r="W26" i="37" l="1"/>
  <c r="S26" i="37"/>
  <c r="U409" i="6" l="1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X21" i="37" s="1"/>
  <c r="AB20" i="37"/>
  <c r="V20" i="37" s="1"/>
  <c r="X20" i="37" s="1"/>
  <c r="AB19" i="37"/>
  <c r="V19" i="37" s="1"/>
  <c r="X19" i="37" s="1"/>
  <c r="AB18" i="37"/>
  <c r="V18" i="37" s="1"/>
  <c r="X18" i="37" s="1"/>
  <c r="AB17" i="37"/>
  <c r="V17" i="37" s="1"/>
  <c r="X17" i="37" s="1"/>
  <c r="AB16" i="37"/>
  <c r="V16" i="37" s="1"/>
  <c r="X16" i="37" s="1"/>
  <c r="AB15" i="37"/>
  <c r="V15" i="37" s="1"/>
  <c r="X15" i="37" s="1"/>
  <c r="AB14" i="37"/>
  <c r="V14" i="37" s="1"/>
  <c r="X14" i="37" s="1"/>
  <c r="AB13" i="37"/>
  <c r="V13" i="37" s="1"/>
  <c r="X13" i="37" s="1"/>
  <c r="AB12" i="37"/>
  <c r="V12" i="37" s="1"/>
  <c r="X12" i="37" s="1"/>
  <c r="AB11" i="37"/>
  <c r="V11" i="37" s="1"/>
  <c r="X11" i="37" s="1"/>
  <c r="AB10" i="37"/>
  <c r="V10" i="37" s="1"/>
  <c r="X10" i="37" s="1"/>
  <c r="AB9" i="37"/>
  <c r="V9" i="37" s="1"/>
  <c r="X9" i="37" s="1"/>
  <c r="AB8" i="37"/>
  <c r="V8" i="37" s="1"/>
  <c r="X8" i="37" s="1"/>
  <c r="AB7" i="37"/>
  <c r="V7" i="37" s="1"/>
  <c r="X7" i="37" s="1"/>
  <c r="AB6" i="37"/>
  <c r="V6" i="37" s="1"/>
  <c r="X6" i="37" s="1"/>
  <c r="AB5" i="37"/>
  <c r="V5" i="37" s="1"/>
  <c r="X5" i="37" s="1"/>
  <c r="AL4" i="37"/>
  <c r="Y4" i="37" s="1"/>
  <c r="AK4" i="37"/>
  <c r="AJ4" i="37"/>
  <c r="AI4" i="37"/>
  <c r="AH4" i="37"/>
  <c r="AL26" i="37" l="1"/>
  <c r="AN4" i="37"/>
  <c r="V26" i="37"/>
  <c r="U27" i="37" s="1"/>
  <c r="AA11" i="37"/>
  <c r="AA19" i="37"/>
  <c r="AA12" i="37"/>
  <c r="AA20" i="37"/>
  <c r="AA9" i="37"/>
  <c r="AA10" i="37"/>
  <c r="AA18" i="37"/>
  <c r="AA13" i="37"/>
  <c r="AA21" i="37"/>
  <c r="AA6" i="37"/>
  <c r="AA14" i="37"/>
  <c r="AA22" i="37"/>
  <c r="AA7" i="37"/>
  <c r="AA15" i="37"/>
  <c r="AA17" i="37"/>
  <c r="AA8" i="37"/>
  <c r="AA16" i="37"/>
  <c r="AA5" i="37"/>
  <c r="AB26" i="37"/>
  <c r="C28" i="37" s="1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Y22" i="37" s="1"/>
  <c r="M21" i="37"/>
  <c r="Y21" i="37" s="1"/>
  <c r="M20" i="37"/>
  <c r="Y20" i="37" s="1"/>
  <c r="M19" i="37"/>
  <c r="Y19" i="37" s="1"/>
  <c r="M18" i="37"/>
  <c r="Y18" i="37" s="1"/>
  <c r="M17" i="37"/>
  <c r="Y17" i="37" s="1"/>
  <c r="M16" i="37"/>
  <c r="Y16" i="37" s="1"/>
  <c r="M15" i="37"/>
  <c r="Y15" i="37" s="1"/>
  <c r="M14" i="37"/>
  <c r="Y14" i="37" s="1"/>
  <c r="M13" i="37"/>
  <c r="M12" i="37"/>
  <c r="Y12" i="37" s="1"/>
  <c r="M11" i="37"/>
  <c r="Y11" i="37" s="1"/>
  <c r="M10" i="37"/>
  <c r="Y10" i="37" s="1"/>
  <c r="M9" i="37"/>
  <c r="Y9" i="37" s="1"/>
  <c r="M8" i="37"/>
  <c r="Y8" i="37" s="1"/>
  <c r="M7" i="37"/>
  <c r="Y7" i="37" s="1"/>
  <c r="M6" i="37"/>
  <c r="Y6" i="37" s="1"/>
  <c r="M5" i="37"/>
  <c r="Y5" i="37" s="1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96" i="36"/>
  <c r="C96" i="36"/>
  <c r="W95" i="36"/>
  <c r="K4" i="37"/>
  <c r="L4" i="37"/>
  <c r="J4" i="37"/>
  <c r="I4" i="37"/>
  <c r="O13" i="37" l="1"/>
  <c r="Y13" i="37"/>
  <c r="Y26" i="37" s="1"/>
  <c r="AN21" i="37"/>
  <c r="T26" i="37"/>
  <c r="S27" i="37" s="1"/>
  <c r="S28" i="37" s="1"/>
  <c r="X26" i="37"/>
  <c r="W27" i="37" s="1"/>
  <c r="L26" i="37"/>
  <c r="K26" i="37"/>
  <c r="O5" i="37"/>
  <c r="M26" i="37"/>
  <c r="AN12" i="37"/>
  <c r="AN20" i="37"/>
  <c r="AN11" i="37"/>
  <c r="AN19" i="37"/>
  <c r="AN7" i="37"/>
  <c r="AN15" i="37"/>
  <c r="AN6" i="37"/>
  <c r="AN14" i="37"/>
  <c r="AN22" i="37"/>
  <c r="AH26" i="37"/>
  <c r="AI26" i="37"/>
  <c r="AN10" i="37"/>
  <c r="AN8" i="37"/>
  <c r="AN9" i="37"/>
  <c r="AN16" i="37"/>
  <c r="AN17" i="37"/>
  <c r="AN18" i="37"/>
  <c r="AN5" i="37"/>
  <c r="AN13" i="37"/>
  <c r="O20" i="37"/>
  <c r="O19" i="37"/>
  <c r="O18" i="37"/>
  <c r="O17" i="37"/>
  <c r="O15" i="37"/>
  <c r="O12" i="37"/>
  <c r="O11" i="37"/>
  <c r="O10" i="37"/>
  <c r="O9" i="37"/>
  <c r="O7" i="37"/>
  <c r="O6" i="37"/>
  <c r="O14" i="37"/>
  <c r="O22" i="37"/>
  <c r="O21" i="37"/>
  <c r="O8" i="37"/>
  <c r="O16" i="37"/>
  <c r="O4" i="37"/>
  <c r="Q5" i="37" l="1"/>
  <c r="Q8" i="37"/>
  <c r="Q10" i="37"/>
  <c r="Q19" i="37"/>
  <c r="Q17" i="37"/>
  <c r="Q14" i="37"/>
  <c r="Q11" i="37"/>
  <c r="Q15" i="37"/>
  <c r="Q6" i="37"/>
  <c r="Q16" i="37"/>
  <c r="Q9" i="37"/>
  <c r="Q20" i="37"/>
  <c r="R21" i="37"/>
  <c r="Q21" i="37"/>
  <c r="R12" i="37"/>
  <c r="Q12" i="37"/>
  <c r="Q13" i="37"/>
  <c r="Q18" i="37"/>
  <c r="Q4" i="37"/>
  <c r="R4" i="37"/>
  <c r="R7" i="37"/>
  <c r="Q7" i="37"/>
  <c r="R22" i="37"/>
  <c r="Q22" i="37"/>
  <c r="R8" i="37"/>
  <c r="R20" i="37"/>
  <c r="R17" i="37"/>
  <c r="R14" i="37"/>
  <c r="R11" i="37"/>
  <c r="R15" i="37"/>
  <c r="R19" i="37"/>
  <c r="R10" i="37"/>
  <c r="R5" i="37"/>
  <c r="R9" i="37"/>
  <c r="R18" i="37"/>
  <c r="R13" i="37"/>
  <c r="R6" i="37"/>
  <c r="R16" i="37"/>
  <c r="AA26" i="37"/>
  <c r="AN26" i="37"/>
  <c r="C13" i="36" l="1"/>
  <c r="C11" i="36"/>
  <c r="C10" i="36"/>
  <c r="C3" i="36"/>
  <c r="U430" i="6" l="1"/>
  <c r="B430" i="6"/>
  <c r="Q187" i="36"/>
  <c r="I187" i="36"/>
  <c r="C185" i="36"/>
  <c r="C184" i="36"/>
  <c r="C183" i="36"/>
  <c r="C157" i="36"/>
  <c r="C156" i="36"/>
  <c r="C116" i="36"/>
  <c r="C115" i="36"/>
  <c r="C114" i="36"/>
  <c r="C113" i="36"/>
  <c r="W100" i="36"/>
  <c r="W99" i="36"/>
  <c r="W98" i="36"/>
  <c r="W97" i="36"/>
  <c r="W94" i="36"/>
  <c r="C94" i="36"/>
  <c r="E93" i="36"/>
  <c r="C93" i="36"/>
  <c r="E92" i="36"/>
  <c r="C92" i="36"/>
  <c r="C2" i="36"/>
  <c r="O187" i="36" l="1"/>
  <c r="U397" i="6"/>
  <c r="B397" i="6"/>
  <c r="U396" i="6"/>
  <c r="B396" i="6"/>
  <c r="U395" i="6"/>
  <c r="B395" i="6"/>
  <c r="U394" i="6"/>
  <c r="B394" i="6"/>
  <c r="U393" i="6"/>
  <c r="B393" i="6"/>
  <c r="E555" i="6"/>
  <c r="B555" i="6"/>
  <c r="E554" i="6"/>
  <c r="B554" i="6"/>
  <c r="E553" i="6"/>
  <c r="B553" i="6"/>
  <c r="I26" i="37" l="1"/>
  <c r="B26" i="37"/>
  <c r="J26" i="37"/>
  <c r="U392" i="6"/>
  <c r="B392" i="6"/>
  <c r="U391" i="6"/>
  <c r="B391" i="6"/>
  <c r="O26" i="37" l="1"/>
  <c r="U388" i="6"/>
  <c r="B388" i="6"/>
  <c r="U74" i="6"/>
  <c r="B74" i="6"/>
  <c r="J166" i="7" l="1"/>
  <c r="E167" i="7" l="1"/>
  <c r="F166" i="7"/>
  <c r="D167" i="7"/>
  <c r="C167" i="7"/>
  <c r="G167" i="7" l="1"/>
  <c r="J167" i="7" s="1"/>
  <c r="D174" i="7"/>
  <c r="C174" i="7"/>
  <c r="D173" i="7"/>
  <c r="C173" i="7"/>
  <c r="D172" i="7"/>
  <c r="C172" i="7"/>
  <c r="D171" i="7"/>
  <c r="C171" i="7"/>
  <c r="D170" i="7"/>
  <c r="C170" i="7"/>
  <c r="D169" i="7"/>
  <c r="C169" i="7"/>
  <c r="D168" i="7"/>
  <c r="C168" i="7"/>
  <c r="D166" i="7"/>
  <c r="C166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G166" i="7" l="1"/>
  <c r="G169" i="7"/>
  <c r="J169" i="7" s="1"/>
  <c r="C175" i="7"/>
  <c r="U389" i="6" l="1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 l="1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2" i="6"/>
  <c r="I522" i="6"/>
  <c r="J522" i="6"/>
  <c r="K522" i="6"/>
  <c r="P522" i="6"/>
  <c r="U522" i="6"/>
  <c r="P1606" i="1"/>
  <c r="Q1606" i="1"/>
  <c r="AU1606" i="1" s="1"/>
  <c r="R1606" i="1"/>
  <c r="AT1606" i="1" s="1"/>
  <c r="S1606" i="1"/>
  <c r="T1606" i="1"/>
  <c r="U1606" i="1"/>
  <c r="X1606" i="1"/>
  <c r="Y1606" i="1"/>
  <c r="P1607" i="1"/>
  <c r="Q1607" i="1"/>
  <c r="AU1607" i="1" s="1"/>
  <c r="R1607" i="1"/>
  <c r="AT1607" i="1" s="1"/>
  <c r="S1607" i="1"/>
  <c r="T1607" i="1"/>
  <c r="U1607" i="1"/>
  <c r="X1607" i="1"/>
  <c r="Y1607" i="1"/>
  <c r="P1608" i="1"/>
  <c r="Q1608" i="1"/>
  <c r="AU1608" i="1" s="1"/>
  <c r="R1608" i="1"/>
  <c r="AT1608" i="1" s="1"/>
  <c r="S1608" i="1"/>
  <c r="T1608" i="1"/>
  <c r="U1608" i="1"/>
  <c r="X1608" i="1"/>
  <c r="Y1608" i="1"/>
  <c r="U373" i="6"/>
  <c r="B373" i="6"/>
  <c r="U372" i="6"/>
  <c r="B372" i="6"/>
  <c r="U371" i="6"/>
  <c r="B371" i="6"/>
  <c r="U370" i="6"/>
  <c r="B370" i="6"/>
  <c r="U375" i="6"/>
  <c r="B375" i="6"/>
  <c r="U374" i="6"/>
  <c r="B374" i="6"/>
  <c r="AO1608" i="1" l="1"/>
  <c r="AQ1608" i="1" s="1"/>
  <c r="AO1607" i="1"/>
  <c r="AQ1607" i="1" s="1"/>
  <c r="AO1606" i="1"/>
  <c r="AQ1606" i="1" s="1"/>
  <c r="V1608" i="1"/>
  <c r="V1607" i="1"/>
  <c r="V1606" i="1"/>
  <c r="U368" i="6"/>
  <c r="B368" i="6"/>
  <c r="U367" i="6"/>
  <c r="B367" i="6"/>
  <c r="U366" i="6"/>
  <c r="B366" i="6"/>
  <c r="P1512" i="1"/>
  <c r="Q1512" i="1"/>
  <c r="AU1512" i="1" s="1"/>
  <c r="R1512" i="1"/>
  <c r="AT1512" i="1" s="1"/>
  <c r="S1512" i="1"/>
  <c r="T1512" i="1"/>
  <c r="U1512" i="1"/>
  <c r="W1512" i="1"/>
  <c r="X1512" i="1"/>
  <c r="Y1512" i="1"/>
  <c r="P1513" i="1"/>
  <c r="Q1513" i="1"/>
  <c r="AU1513" i="1" s="1"/>
  <c r="R1513" i="1"/>
  <c r="AT1513" i="1" s="1"/>
  <c r="S1513" i="1"/>
  <c r="T1513" i="1"/>
  <c r="U1513" i="1"/>
  <c r="W1513" i="1"/>
  <c r="X1513" i="1"/>
  <c r="Y1513" i="1"/>
  <c r="P1514" i="1"/>
  <c r="Q1514" i="1"/>
  <c r="AU1514" i="1" s="1"/>
  <c r="R1514" i="1"/>
  <c r="AT1514" i="1" s="1"/>
  <c r="S1514" i="1"/>
  <c r="T1514" i="1"/>
  <c r="U1514" i="1"/>
  <c r="W1514" i="1"/>
  <c r="X1514" i="1"/>
  <c r="Y1514" i="1"/>
  <c r="P1515" i="1"/>
  <c r="Q1515" i="1"/>
  <c r="AU1515" i="1" s="1"/>
  <c r="R1515" i="1"/>
  <c r="AT1515" i="1" s="1"/>
  <c r="S1515" i="1"/>
  <c r="T1515" i="1"/>
  <c r="U1515" i="1"/>
  <c r="W1515" i="1"/>
  <c r="X1515" i="1"/>
  <c r="Y1515" i="1"/>
  <c r="P1516" i="1"/>
  <c r="Q1516" i="1"/>
  <c r="R1516" i="1"/>
  <c r="S1516" i="1"/>
  <c r="T1516" i="1"/>
  <c r="U1516" i="1"/>
  <c r="W1516" i="1"/>
  <c r="X1516" i="1"/>
  <c r="Y1516" i="1"/>
  <c r="AT1516" i="1" l="1"/>
  <c r="I519" i="6"/>
  <c r="I518" i="6"/>
  <c r="AU1516" i="1"/>
  <c r="J519" i="6"/>
  <c r="J518" i="6"/>
  <c r="AO1516" i="1"/>
  <c r="AQ1516" i="1" s="1"/>
  <c r="P518" i="6"/>
  <c r="P519" i="6"/>
  <c r="K518" i="6"/>
  <c r="K519" i="6"/>
  <c r="AO1515" i="1"/>
  <c r="AQ1515" i="1" s="1"/>
  <c r="AO1512" i="1"/>
  <c r="AQ1512" i="1" s="1"/>
  <c r="AO1514" i="1"/>
  <c r="AQ1514" i="1" s="1"/>
  <c r="AO1513" i="1"/>
  <c r="AQ1513" i="1" s="1"/>
  <c r="J515" i="6"/>
  <c r="J513" i="6"/>
  <c r="J514" i="6"/>
  <c r="K513" i="6"/>
  <c r="K514" i="6"/>
  <c r="K515" i="6"/>
  <c r="P513" i="6"/>
  <c r="P514" i="6"/>
  <c r="P515" i="6"/>
  <c r="I515" i="6"/>
  <c r="I514" i="6"/>
  <c r="I513" i="6"/>
  <c r="I437" i="6"/>
  <c r="I438" i="6"/>
  <c r="I435" i="6"/>
  <c r="I436" i="6"/>
  <c r="J437" i="6"/>
  <c r="J438" i="6"/>
  <c r="J435" i="6"/>
  <c r="J436" i="6"/>
  <c r="P438" i="6"/>
  <c r="P435" i="6"/>
  <c r="P436" i="6"/>
  <c r="P437" i="6"/>
  <c r="K438" i="6"/>
  <c r="K435" i="6"/>
  <c r="K436" i="6"/>
  <c r="K437" i="6"/>
  <c r="V1515" i="1"/>
  <c r="V1513" i="1"/>
  <c r="V1514" i="1"/>
  <c r="V1512" i="1"/>
  <c r="V1516" i="1"/>
  <c r="U69" i="6" l="1"/>
  <c r="B69" i="6"/>
  <c r="U68" i="6"/>
  <c r="B68" i="6"/>
  <c r="U364" i="6" l="1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1604" i="1"/>
  <c r="Y1604" i="1"/>
  <c r="X1605" i="1"/>
  <c r="Y1605" i="1"/>
  <c r="P1604" i="1"/>
  <c r="Q1604" i="1"/>
  <c r="AU1604" i="1" s="1"/>
  <c r="R1604" i="1"/>
  <c r="AT1604" i="1" s="1"/>
  <c r="S1604" i="1"/>
  <c r="T1604" i="1"/>
  <c r="U1604" i="1"/>
  <c r="P1605" i="1"/>
  <c r="Q1605" i="1"/>
  <c r="AU1605" i="1" s="1"/>
  <c r="R1605" i="1"/>
  <c r="AT1605" i="1" s="1"/>
  <c r="S1605" i="1"/>
  <c r="T1605" i="1"/>
  <c r="U1605" i="1"/>
  <c r="AO1605" i="1" l="1"/>
  <c r="AQ1605" i="1" s="1"/>
  <c r="AO1604" i="1"/>
  <c r="AQ1604" i="1" s="1"/>
  <c r="V1604" i="1"/>
  <c r="V1605" i="1"/>
  <c r="Y1523" i="1" l="1"/>
  <c r="X1523" i="1"/>
  <c r="W1523" i="1"/>
  <c r="U1523" i="1"/>
  <c r="T1523" i="1"/>
  <c r="S1523" i="1"/>
  <c r="R1523" i="1"/>
  <c r="AT1523" i="1" s="1"/>
  <c r="Q1523" i="1"/>
  <c r="AU1523" i="1" s="1"/>
  <c r="P1523" i="1"/>
  <c r="AO1523" i="1" l="1"/>
  <c r="AQ1523" i="1" s="1"/>
  <c r="V1523" i="1"/>
  <c r="E149" i="20"/>
  <c r="J149" i="20"/>
  <c r="L146" i="20"/>
  <c r="L147" i="20"/>
  <c r="L148" i="20"/>
  <c r="L145" i="20"/>
  <c r="G146" i="20"/>
  <c r="G147" i="20"/>
  <c r="G148" i="20"/>
  <c r="G145" i="20"/>
  <c r="G149" i="20" s="1"/>
  <c r="L149" i="20" l="1"/>
  <c r="U204" i="6"/>
  <c r="B204" i="6"/>
  <c r="U203" i="6"/>
  <c r="B203" i="6"/>
  <c r="U202" i="6"/>
  <c r="B202" i="6"/>
  <c r="U201" i="6"/>
  <c r="B201" i="6"/>
  <c r="U200" i="6"/>
  <c r="B200" i="6"/>
  <c r="U67" i="6" l="1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 l="1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47" i="7"/>
  <c r="B148" i="7"/>
  <c r="B149" i="7"/>
  <c r="B150" i="7"/>
  <c r="B161" i="7" l="1"/>
  <c r="Y1533" i="1"/>
  <c r="X1533" i="1"/>
  <c r="W1533" i="1"/>
  <c r="U1533" i="1"/>
  <c r="T1533" i="1"/>
  <c r="S1533" i="1"/>
  <c r="R1533" i="1"/>
  <c r="AT1533" i="1" s="1"/>
  <c r="Q1533" i="1"/>
  <c r="AU1533" i="1" s="1"/>
  <c r="P1533" i="1"/>
  <c r="Y1532" i="1"/>
  <c r="X1532" i="1"/>
  <c r="W1532" i="1"/>
  <c r="U1532" i="1"/>
  <c r="T1532" i="1"/>
  <c r="S1532" i="1"/>
  <c r="R1532" i="1"/>
  <c r="AT1532" i="1" s="1"/>
  <c r="Q1532" i="1"/>
  <c r="AU1532" i="1" s="1"/>
  <c r="P1532" i="1"/>
  <c r="Y1531" i="1"/>
  <c r="X1531" i="1"/>
  <c r="W1531" i="1"/>
  <c r="U1531" i="1"/>
  <c r="T1531" i="1"/>
  <c r="S1531" i="1"/>
  <c r="R1531" i="1"/>
  <c r="AT1531" i="1" s="1"/>
  <c r="Q1531" i="1"/>
  <c r="AU1531" i="1" s="1"/>
  <c r="P1531" i="1"/>
  <c r="Y1530" i="1"/>
  <c r="X1530" i="1"/>
  <c r="W1530" i="1"/>
  <c r="U1530" i="1"/>
  <c r="T1530" i="1"/>
  <c r="S1530" i="1"/>
  <c r="R1530" i="1"/>
  <c r="AT1530" i="1" s="1"/>
  <c r="Q1530" i="1"/>
  <c r="AU1530" i="1" s="1"/>
  <c r="P1530" i="1"/>
  <c r="Y1529" i="1"/>
  <c r="X1529" i="1"/>
  <c r="W1529" i="1"/>
  <c r="U1529" i="1"/>
  <c r="T1529" i="1"/>
  <c r="S1529" i="1"/>
  <c r="R1529" i="1"/>
  <c r="AT1529" i="1" s="1"/>
  <c r="Q1529" i="1"/>
  <c r="AU1529" i="1" s="1"/>
  <c r="P1529" i="1"/>
  <c r="Y1538" i="1"/>
  <c r="X1538" i="1"/>
  <c r="W1538" i="1"/>
  <c r="U1538" i="1"/>
  <c r="T1538" i="1"/>
  <c r="S1538" i="1"/>
  <c r="R1538" i="1"/>
  <c r="AT1538" i="1" s="1"/>
  <c r="Q1538" i="1"/>
  <c r="AU1538" i="1" s="1"/>
  <c r="P1538" i="1"/>
  <c r="K554" i="6" s="1"/>
  <c r="N554" i="6" s="1"/>
  <c r="Y1528" i="1"/>
  <c r="X1528" i="1"/>
  <c r="W1528" i="1"/>
  <c r="U1528" i="1"/>
  <c r="T1528" i="1"/>
  <c r="S1528" i="1"/>
  <c r="R1528" i="1"/>
  <c r="AT1528" i="1" s="1"/>
  <c r="Q1528" i="1"/>
  <c r="AU1528" i="1" s="1"/>
  <c r="P1528" i="1"/>
  <c r="Y1527" i="1"/>
  <c r="X1527" i="1"/>
  <c r="W1527" i="1"/>
  <c r="U1527" i="1"/>
  <c r="T1527" i="1"/>
  <c r="S1527" i="1"/>
  <c r="R1527" i="1"/>
  <c r="AT1527" i="1" s="1"/>
  <c r="Q1527" i="1"/>
  <c r="AU1527" i="1" s="1"/>
  <c r="P1527" i="1"/>
  <c r="Y1526" i="1"/>
  <c r="X1526" i="1"/>
  <c r="W1526" i="1"/>
  <c r="U1526" i="1"/>
  <c r="T1526" i="1"/>
  <c r="S1526" i="1"/>
  <c r="R1526" i="1"/>
  <c r="AT1526" i="1" s="1"/>
  <c r="Q1526" i="1"/>
  <c r="AU1526" i="1" s="1"/>
  <c r="P1526" i="1"/>
  <c r="Y1525" i="1"/>
  <c r="X1525" i="1"/>
  <c r="W1525" i="1"/>
  <c r="U1525" i="1"/>
  <c r="T1525" i="1"/>
  <c r="S1525" i="1"/>
  <c r="R1525" i="1"/>
  <c r="AT1525" i="1" s="1"/>
  <c r="Q1525" i="1"/>
  <c r="AU1525" i="1" s="1"/>
  <c r="P1525" i="1"/>
  <c r="Y1524" i="1"/>
  <c r="X1524" i="1"/>
  <c r="W1524" i="1"/>
  <c r="U1524" i="1"/>
  <c r="T1524" i="1"/>
  <c r="S1524" i="1"/>
  <c r="R1524" i="1"/>
  <c r="AT1524" i="1" s="1"/>
  <c r="Q1524" i="1"/>
  <c r="AU1524" i="1" s="1"/>
  <c r="P1524" i="1"/>
  <c r="Y1517" i="1"/>
  <c r="X1517" i="1"/>
  <c r="W1517" i="1"/>
  <c r="U1517" i="1"/>
  <c r="T1517" i="1"/>
  <c r="S1517" i="1"/>
  <c r="R1517" i="1"/>
  <c r="AT1517" i="1" s="1"/>
  <c r="Q1517" i="1"/>
  <c r="AU1517" i="1" s="1"/>
  <c r="P1517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AO1538" i="1" l="1"/>
  <c r="AQ1538" i="1" s="1"/>
  <c r="AO1529" i="1"/>
  <c r="AQ1529" i="1" s="1"/>
  <c r="AO1517" i="1"/>
  <c r="AQ1517" i="1" s="1"/>
  <c r="AO1524" i="1"/>
  <c r="AQ1524" i="1" s="1"/>
  <c r="AO1532" i="1"/>
  <c r="AQ1532" i="1" s="1"/>
  <c r="AO1526" i="1"/>
  <c r="AQ1526" i="1" s="1"/>
  <c r="AO1533" i="1"/>
  <c r="AQ1533" i="1" s="1"/>
  <c r="AO1528" i="1"/>
  <c r="AQ1528" i="1" s="1"/>
  <c r="AO1530" i="1"/>
  <c r="AQ1530" i="1" s="1"/>
  <c r="AO1531" i="1"/>
  <c r="AQ1531" i="1" s="1"/>
  <c r="AO1525" i="1"/>
  <c r="AQ1525" i="1" s="1"/>
  <c r="AO1527" i="1"/>
  <c r="AQ1527" i="1" s="1"/>
  <c r="V1533" i="1"/>
  <c r="K553" i="6"/>
  <c r="N553" i="6" s="1"/>
  <c r="K555" i="6"/>
  <c r="N555" i="6" s="1"/>
  <c r="K558" i="6"/>
  <c r="K557" i="6"/>
  <c r="K556" i="6"/>
  <c r="F116" i="7"/>
  <c r="E116" i="7"/>
  <c r="K565" i="6"/>
  <c r="K567" i="6"/>
  <c r="K566" i="6"/>
  <c r="K396" i="6"/>
  <c r="K392" i="6"/>
  <c r="K397" i="6"/>
  <c r="K395" i="6"/>
  <c r="K393" i="6"/>
  <c r="K394" i="6"/>
  <c r="P393" i="6"/>
  <c r="P394" i="6"/>
  <c r="P396" i="6"/>
  <c r="P395" i="6"/>
  <c r="P392" i="6"/>
  <c r="P397" i="6"/>
  <c r="J395" i="6"/>
  <c r="J394" i="6"/>
  <c r="J396" i="6"/>
  <c r="J392" i="6"/>
  <c r="J397" i="6"/>
  <c r="J393" i="6"/>
  <c r="I396" i="6"/>
  <c r="I397" i="6"/>
  <c r="I393" i="6"/>
  <c r="I394" i="6"/>
  <c r="I395" i="6"/>
  <c r="I392" i="6"/>
  <c r="V1517" i="1"/>
  <c r="V1528" i="1"/>
  <c r="V1525" i="1"/>
  <c r="V1526" i="1"/>
  <c r="V1527" i="1"/>
  <c r="V1524" i="1"/>
  <c r="V1538" i="1"/>
  <c r="V1530" i="1"/>
  <c r="V1531" i="1"/>
  <c r="V1532" i="1"/>
  <c r="V1529" i="1"/>
  <c r="I116" i="7" l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1507" i="1" l="1"/>
  <c r="AO1507" i="1" s="1"/>
  <c r="AQ1507" i="1" s="1"/>
  <c r="X1507" i="1"/>
  <c r="W1507" i="1"/>
  <c r="U1507" i="1"/>
  <c r="T1507" i="1"/>
  <c r="S1507" i="1"/>
  <c r="R1507" i="1"/>
  <c r="AT1507" i="1" s="1"/>
  <c r="Q1507" i="1"/>
  <c r="AU1507" i="1" s="1"/>
  <c r="P1507" i="1"/>
  <c r="Y1506" i="1"/>
  <c r="X1506" i="1"/>
  <c r="W1506" i="1"/>
  <c r="U1506" i="1"/>
  <c r="T1506" i="1"/>
  <c r="S1506" i="1"/>
  <c r="R1506" i="1"/>
  <c r="AT1506" i="1" s="1"/>
  <c r="Q1506" i="1"/>
  <c r="AU1506" i="1" s="1"/>
  <c r="P1506" i="1"/>
  <c r="Y1505" i="1"/>
  <c r="X1505" i="1"/>
  <c r="W1505" i="1"/>
  <c r="U1505" i="1"/>
  <c r="T1505" i="1"/>
  <c r="S1505" i="1"/>
  <c r="R1505" i="1"/>
  <c r="AT1505" i="1" s="1"/>
  <c r="Q1505" i="1"/>
  <c r="AU1505" i="1" s="1"/>
  <c r="P1505" i="1"/>
  <c r="Y1504" i="1"/>
  <c r="X1504" i="1"/>
  <c r="W1504" i="1"/>
  <c r="U1504" i="1"/>
  <c r="T1504" i="1"/>
  <c r="S1504" i="1"/>
  <c r="R1504" i="1"/>
  <c r="AT1504" i="1" s="1"/>
  <c r="Q1504" i="1"/>
  <c r="AU1504" i="1" s="1"/>
  <c r="P1504" i="1"/>
  <c r="Y1503" i="1"/>
  <c r="AO1503" i="1" s="1"/>
  <c r="AQ1503" i="1" s="1"/>
  <c r="X1503" i="1"/>
  <c r="W1503" i="1"/>
  <c r="U1503" i="1"/>
  <c r="T1503" i="1"/>
  <c r="S1503" i="1"/>
  <c r="R1503" i="1"/>
  <c r="AT1503" i="1" s="1"/>
  <c r="Q1503" i="1"/>
  <c r="AU1503" i="1" s="1"/>
  <c r="P1503" i="1"/>
  <c r="AO1505" i="1" l="1"/>
  <c r="AQ1505" i="1" s="1"/>
  <c r="AO1504" i="1"/>
  <c r="AQ1504" i="1" s="1"/>
  <c r="AO1506" i="1"/>
  <c r="AQ1506" i="1" s="1"/>
  <c r="M143" i="36"/>
  <c r="M144" i="36"/>
  <c r="M61" i="36"/>
  <c r="R143" i="36"/>
  <c r="R144" i="36"/>
  <c r="L143" i="36"/>
  <c r="L144" i="36"/>
  <c r="L61" i="36"/>
  <c r="K144" i="36"/>
  <c r="K143" i="36"/>
  <c r="K61" i="36"/>
  <c r="M142" i="36"/>
  <c r="M141" i="36"/>
  <c r="L142" i="36"/>
  <c r="L141" i="36"/>
  <c r="K141" i="36"/>
  <c r="K142" i="36"/>
  <c r="R142" i="36"/>
  <c r="R141" i="36"/>
  <c r="K469" i="6"/>
  <c r="K470" i="6"/>
  <c r="P470" i="6"/>
  <c r="P469" i="6"/>
  <c r="J470" i="6"/>
  <c r="J469" i="6"/>
  <c r="I469" i="6"/>
  <c r="I470" i="6"/>
  <c r="V1503" i="1"/>
  <c r="V1505" i="1"/>
  <c r="V1507" i="1"/>
  <c r="V1504" i="1"/>
  <c r="V1506" i="1"/>
  <c r="Y1511" i="1"/>
  <c r="X1511" i="1"/>
  <c r="W1511" i="1"/>
  <c r="U1511" i="1"/>
  <c r="T1511" i="1"/>
  <c r="S1511" i="1"/>
  <c r="R1511" i="1"/>
  <c r="AT1511" i="1" s="1"/>
  <c r="Q1511" i="1"/>
  <c r="AU1511" i="1" s="1"/>
  <c r="P1511" i="1"/>
  <c r="Y1510" i="1"/>
  <c r="X1510" i="1"/>
  <c r="W1510" i="1"/>
  <c r="U1510" i="1"/>
  <c r="T1510" i="1"/>
  <c r="S1510" i="1"/>
  <c r="R1510" i="1"/>
  <c r="AT1510" i="1" s="1"/>
  <c r="Q1510" i="1"/>
  <c r="AU1510" i="1" s="1"/>
  <c r="P1510" i="1"/>
  <c r="Y1509" i="1"/>
  <c r="X1509" i="1"/>
  <c r="W1509" i="1"/>
  <c r="U1509" i="1"/>
  <c r="T1509" i="1"/>
  <c r="S1509" i="1"/>
  <c r="R1509" i="1"/>
  <c r="AT1509" i="1" s="1"/>
  <c r="Q1509" i="1"/>
  <c r="AU1509" i="1" s="1"/>
  <c r="P1509" i="1"/>
  <c r="Y1508" i="1"/>
  <c r="X1508" i="1"/>
  <c r="W1508" i="1"/>
  <c r="U1508" i="1"/>
  <c r="T1508" i="1"/>
  <c r="S1508" i="1"/>
  <c r="R1508" i="1"/>
  <c r="AT1508" i="1" s="1"/>
  <c r="Q1508" i="1"/>
  <c r="AU1508" i="1" s="1"/>
  <c r="P1508" i="1"/>
  <c r="AO1510" i="1" l="1"/>
  <c r="AQ1510" i="1" s="1"/>
  <c r="AO1508" i="1"/>
  <c r="AQ1508" i="1" s="1"/>
  <c r="AO1509" i="1"/>
  <c r="AQ1509" i="1" s="1"/>
  <c r="AO1511" i="1"/>
  <c r="AQ1511" i="1" s="1"/>
  <c r="V1508" i="1"/>
  <c r="V1511" i="1"/>
  <c r="V1510" i="1"/>
  <c r="V1509" i="1"/>
  <c r="U318" i="6" l="1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 l="1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 l="1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 l="1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Y1491" i="1"/>
  <c r="X1491" i="1"/>
  <c r="W1491" i="1"/>
  <c r="U1491" i="1"/>
  <c r="T1491" i="1"/>
  <c r="S1491" i="1"/>
  <c r="R1491" i="1"/>
  <c r="AT1491" i="1" s="1"/>
  <c r="Q1491" i="1"/>
  <c r="AU1491" i="1" s="1"/>
  <c r="P1491" i="1"/>
  <c r="Y1490" i="1"/>
  <c r="X1490" i="1"/>
  <c r="W1490" i="1"/>
  <c r="U1490" i="1"/>
  <c r="T1490" i="1"/>
  <c r="S1490" i="1"/>
  <c r="R1490" i="1"/>
  <c r="AT1490" i="1" s="1"/>
  <c r="Q1490" i="1"/>
  <c r="AU1490" i="1" s="1"/>
  <c r="P1490" i="1"/>
  <c r="Y1489" i="1"/>
  <c r="X1489" i="1"/>
  <c r="W1489" i="1"/>
  <c r="U1489" i="1"/>
  <c r="T1489" i="1"/>
  <c r="S1489" i="1"/>
  <c r="R1489" i="1"/>
  <c r="Q1489" i="1"/>
  <c r="P1489" i="1"/>
  <c r="K505" i="6" s="1"/>
  <c r="Y1488" i="1"/>
  <c r="X1488" i="1"/>
  <c r="W1488" i="1"/>
  <c r="U1488" i="1"/>
  <c r="T1488" i="1"/>
  <c r="S1488" i="1"/>
  <c r="R1488" i="1"/>
  <c r="Q1488" i="1"/>
  <c r="P1488" i="1"/>
  <c r="M110" i="36" s="1"/>
  <c r="Y1487" i="1"/>
  <c r="X1487" i="1"/>
  <c r="W1487" i="1"/>
  <c r="U1487" i="1"/>
  <c r="T1487" i="1"/>
  <c r="S1487" i="1"/>
  <c r="R1487" i="1"/>
  <c r="AT1487" i="1" s="1"/>
  <c r="Q1487" i="1"/>
  <c r="AU1487" i="1" s="1"/>
  <c r="P1487" i="1"/>
  <c r="Y1486" i="1"/>
  <c r="AO1486" i="1" s="1"/>
  <c r="AQ1486" i="1" s="1"/>
  <c r="X1486" i="1"/>
  <c r="W1486" i="1"/>
  <c r="U1486" i="1"/>
  <c r="T1486" i="1"/>
  <c r="S1486" i="1"/>
  <c r="R1486" i="1"/>
  <c r="AT1486" i="1" s="1"/>
  <c r="Q1486" i="1"/>
  <c r="AU1486" i="1" s="1"/>
  <c r="P1486" i="1"/>
  <c r="Y1485" i="1"/>
  <c r="X1485" i="1"/>
  <c r="W1485" i="1"/>
  <c r="U1485" i="1"/>
  <c r="T1485" i="1"/>
  <c r="S1485" i="1"/>
  <c r="R1485" i="1"/>
  <c r="AT1485" i="1" s="1"/>
  <c r="Q1485" i="1"/>
  <c r="AU1485" i="1" s="1"/>
  <c r="P1485" i="1"/>
  <c r="Y1484" i="1"/>
  <c r="X1484" i="1"/>
  <c r="W1484" i="1"/>
  <c r="U1484" i="1"/>
  <c r="T1484" i="1"/>
  <c r="S1484" i="1"/>
  <c r="R1484" i="1"/>
  <c r="Q1484" i="1"/>
  <c r="P1484" i="1"/>
  <c r="M104" i="36" s="1"/>
  <c r="Y1483" i="1"/>
  <c r="X1483" i="1"/>
  <c r="W1483" i="1"/>
  <c r="U1483" i="1"/>
  <c r="T1483" i="1"/>
  <c r="S1483" i="1"/>
  <c r="R1483" i="1"/>
  <c r="AT1483" i="1" s="1"/>
  <c r="Q1483" i="1"/>
  <c r="AU1483" i="1" s="1"/>
  <c r="P1483" i="1"/>
  <c r="Y1482" i="1"/>
  <c r="X1482" i="1"/>
  <c r="W1482" i="1"/>
  <c r="U1482" i="1"/>
  <c r="T1482" i="1"/>
  <c r="S1482" i="1"/>
  <c r="R1482" i="1"/>
  <c r="AT1482" i="1" s="1"/>
  <c r="Q1482" i="1"/>
  <c r="AU1482" i="1" s="1"/>
  <c r="P1482" i="1"/>
  <c r="Y1502" i="1"/>
  <c r="X1502" i="1"/>
  <c r="W1502" i="1"/>
  <c r="U1502" i="1"/>
  <c r="T1502" i="1"/>
  <c r="S1502" i="1"/>
  <c r="R1502" i="1"/>
  <c r="Q1502" i="1"/>
  <c r="P1502" i="1"/>
  <c r="M97" i="36" s="1"/>
  <c r="Y1501" i="1"/>
  <c r="X1501" i="1"/>
  <c r="W1501" i="1"/>
  <c r="U1501" i="1"/>
  <c r="T1501" i="1"/>
  <c r="S1501" i="1"/>
  <c r="R1501" i="1"/>
  <c r="AT1501" i="1" s="1"/>
  <c r="Q1501" i="1"/>
  <c r="AU1501" i="1" s="1"/>
  <c r="P1501" i="1"/>
  <c r="Y1500" i="1"/>
  <c r="X1500" i="1"/>
  <c r="W1500" i="1"/>
  <c r="U1500" i="1"/>
  <c r="T1500" i="1"/>
  <c r="S1500" i="1"/>
  <c r="R1500" i="1"/>
  <c r="AT1500" i="1" s="1"/>
  <c r="Q1500" i="1"/>
  <c r="AU1500" i="1" s="1"/>
  <c r="P1500" i="1"/>
  <c r="Y1499" i="1"/>
  <c r="X1499" i="1"/>
  <c r="W1499" i="1"/>
  <c r="U1499" i="1"/>
  <c r="T1499" i="1"/>
  <c r="S1499" i="1"/>
  <c r="R1499" i="1"/>
  <c r="AT1499" i="1" s="1"/>
  <c r="Q1499" i="1"/>
  <c r="AU1499" i="1" s="1"/>
  <c r="P1499" i="1"/>
  <c r="Y1498" i="1"/>
  <c r="X1498" i="1"/>
  <c r="W1498" i="1"/>
  <c r="U1498" i="1"/>
  <c r="T1498" i="1"/>
  <c r="S1498" i="1"/>
  <c r="R1498" i="1"/>
  <c r="AT1498" i="1" s="1"/>
  <c r="Q1498" i="1"/>
  <c r="AU1498" i="1" s="1"/>
  <c r="P1498" i="1"/>
  <c r="Y1497" i="1"/>
  <c r="X1497" i="1"/>
  <c r="W1497" i="1"/>
  <c r="U1497" i="1"/>
  <c r="T1497" i="1"/>
  <c r="S1497" i="1"/>
  <c r="R1497" i="1"/>
  <c r="AT1497" i="1" s="1"/>
  <c r="Q1497" i="1"/>
  <c r="AU1497" i="1" s="1"/>
  <c r="P1497" i="1"/>
  <c r="Y1496" i="1"/>
  <c r="X1496" i="1"/>
  <c r="W1496" i="1"/>
  <c r="U1496" i="1"/>
  <c r="T1496" i="1"/>
  <c r="S1496" i="1"/>
  <c r="R1496" i="1"/>
  <c r="AT1496" i="1" s="1"/>
  <c r="Q1496" i="1"/>
  <c r="AU1496" i="1" s="1"/>
  <c r="P1496" i="1"/>
  <c r="Y1495" i="1"/>
  <c r="X1495" i="1"/>
  <c r="W1495" i="1"/>
  <c r="U1495" i="1"/>
  <c r="T1495" i="1"/>
  <c r="S1495" i="1"/>
  <c r="R1495" i="1"/>
  <c r="AT1495" i="1" s="1"/>
  <c r="Q1495" i="1"/>
  <c r="AU1495" i="1" s="1"/>
  <c r="P1495" i="1"/>
  <c r="Y1494" i="1"/>
  <c r="X1494" i="1"/>
  <c r="W1494" i="1"/>
  <c r="U1494" i="1"/>
  <c r="T1494" i="1"/>
  <c r="S1494" i="1"/>
  <c r="R1494" i="1"/>
  <c r="AT1494" i="1" s="1"/>
  <c r="Q1494" i="1"/>
  <c r="AU1494" i="1" s="1"/>
  <c r="P1494" i="1"/>
  <c r="Y1493" i="1"/>
  <c r="AO1493" i="1" s="1"/>
  <c r="AQ1493" i="1" s="1"/>
  <c r="X1493" i="1"/>
  <c r="W1493" i="1"/>
  <c r="U1493" i="1"/>
  <c r="T1493" i="1"/>
  <c r="S1493" i="1"/>
  <c r="R1493" i="1"/>
  <c r="AT1493" i="1" s="1"/>
  <c r="Q1493" i="1"/>
  <c r="AU1493" i="1" s="1"/>
  <c r="P1493" i="1"/>
  <c r="Y1522" i="1"/>
  <c r="X1522" i="1"/>
  <c r="W1522" i="1"/>
  <c r="U1522" i="1"/>
  <c r="T1522" i="1"/>
  <c r="S1522" i="1"/>
  <c r="R1522" i="1"/>
  <c r="Q1522" i="1"/>
  <c r="P1522" i="1"/>
  <c r="Y1521" i="1"/>
  <c r="X1521" i="1"/>
  <c r="W1521" i="1"/>
  <c r="U1521" i="1"/>
  <c r="T1521" i="1"/>
  <c r="S1521" i="1"/>
  <c r="R1521" i="1"/>
  <c r="AT1521" i="1" s="1"/>
  <c r="Q1521" i="1"/>
  <c r="AU1521" i="1" s="1"/>
  <c r="P1521" i="1"/>
  <c r="Y1520" i="1"/>
  <c r="AO1520" i="1" s="1"/>
  <c r="AQ1520" i="1" s="1"/>
  <c r="X1520" i="1"/>
  <c r="W1520" i="1"/>
  <c r="U1520" i="1"/>
  <c r="T1520" i="1"/>
  <c r="S1520" i="1"/>
  <c r="R1520" i="1"/>
  <c r="AT1520" i="1" s="1"/>
  <c r="Q1520" i="1"/>
  <c r="AU1520" i="1" s="1"/>
  <c r="P1520" i="1"/>
  <c r="Y1519" i="1"/>
  <c r="AO1519" i="1" s="1"/>
  <c r="AQ1519" i="1" s="1"/>
  <c r="X1519" i="1"/>
  <c r="W1519" i="1"/>
  <c r="U1519" i="1"/>
  <c r="T1519" i="1"/>
  <c r="S1519" i="1"/>
  <c r="R1519" i="1"/>
  <c r="AT1519" i="1" s="1"/>
  <c r="Q1519" i="1"/>
  <c r="AU1519" i="1" s="1"/>
  <c r="P1519" i="1"/>
  <c r="Y1518" i="1"/>
  <c r="X1518" i="1"/>
  <c r="W1518" i="1"/>
  <c r="U1518" i="1"/>
  <c r="T1518" i="1"/>
  <c r="S1518" i="1"/>
  <c r="R1518" i="1"/>
  <c r="Q1518" i="1"/>
  <c r="P1518" i="1"/>
  <c r="Y1492" i="1"/>
  <c r="X1492" i="1"/>
  <c r="W1492" i="1"/>
  <c r="U1492" i="1"/>
  <c r="T1492" i="1"/>
  <c r="S1492" i="1"/>
  <c r="R1492" i="1"/>
  <c r="AT1492" i="1" s="1"/>
  <c r="Q1492" i="1"/>
  <c r="AU1492" i="1" s="1"/>
  <c r="P1492" i="1"/>
  <c r="M174" i="36" l="1"/>
  <c r="M173" i="36"/>
  <c r="M176" i="36"/>
  <c r="M175" i="36"/>
  <c r="M82" i="36"/>
  <c r="M83" i="36"/>
  <c r="M84" i="36"/>
  <c r="R174" i="36"/>
  <c r="R175" i="36"/>
  <c r="R173" i="36"/>
  <c r="R176" i="36"/>
  <c r="AU1522" i="1"/>
  <c r="L176" i="36"/>
  <c r="L174" i="36"/>
  <c r="L175" i="36"/>
  <c r="L173" i="36"/>
  <c r="L82" i="36"/>
  <c r="L83" i="36"/>
  <c r="L84" i="36"/>
  <c r="AT1522" i="1"/>
  <c r="K173" i="36"/>
  <c r="K176" i="36"/>
  <c r="K175" i="36"/>
  <c r="K174" i="36"/>
  <c r="K82" i="36"/>
  <c r="K83" i="36"/>
  <c r="K84" i="36"/>
  <c r="K507" i="6"/>
  <c r="M168" i="36"/>
  <c r="M166" i="36"/>
  <c r="M169" i="36"/>
  <c r="M167" i="36"/>
  <c r="M170" i="36"/>
  <c r="M79" i="36"/>
  <c r="M77" i="36"/>
  <c r="M78" i="36"/>
  <c r="L168" i="36"/>
  <c r="L166" i="36"/>
  <c r="L170" i="36"/>
  <c r="L169" i="36"/>
  <c r="L167" i="36"/>
  <c r="L79" i="36"/>
  <c r="L77" i="36"/>
  <c r="L78" i="36"/>
  <c r="K170" i="36"/>
  <c r="K167" i="36"/>
  <c r="K168" i="36"/>
  <c r="K166" i="36"/>
  <c r="K169" i="36"/>
  <c r="K79" i="36"/>
  <c r="K77" i="36"/>
  <c r="K78" i="36"/>
  <c r="AO1518" i="1"/>
  <c r="AQ1518" i="1" s="1"/>
  <c r="R168" i="36"/>
  <c r="R166" i="36"/>
  <c r="R169" i="36"/>
  <c r="R167" i="36"/>
  <c r="R170" i="36"/>
  <c r="AO1499" i="1"/>
  <c r="AQ1499" i="1" s="1"/>
  <c r="AO1501" i="1"/>
  <c r="AQ1501" i="1" s="1"/>
  <c r="AO1488" i="1"/>
  <c r="AQ1488" i="1" s="1"/>
  <c r="L110" i="36"/>
  <c r="AU1488" i="1"/>
  <c r="P505" i="6"/>
  <c r="AO1489" i="1"/>
  <c r="AQ1489" i="1" s="1"/>
  <c r="AO1492" i="1"/>
  <c r="AQ1492" i="1" s="1"/>
  <c r="AO1496" i="1"/>
  <c r="AQ1496" i="1" s="1"/>
  <c r="K97" i="36"/>
  <c r="AT1502" i="1"/>
  <c r="AO1483" i="1"/>
  <c r="AQ1483" i="1" s="1"/>
  <c r="I505" i="6"/>
  <c r="AT1489" i="1"/>
  <c r="AO1491" i="1"/>
  <c r="AQ1491" i="1" s="1"/>
  <c r="AO1521" i="1"/>
  <c r="AQ1521" i="1" s="1"/>
  <c r="K104" i="36"/>
  <c r="AT1484" i="1"/>
  <c r="AO1522" i="1"/>
  <c r="AQ1522" i="1" s="1"/>
  <c r="AO1500" i="1"/>
  <c r="AQ1500" i="1" s="1"/>
  <c r="AO1487" i="1"/>
  <c r="AQ1487" i="1" s="1"/>
  <c r="AO1494" i="1"/>
  <c r="AQ1494" i="1" s="1"/>
  <c r="AO1502" i="1"/>
  <c r="AQ1502" i="1" s="1"/>
  <c r="L97" i="36"/>
  <c r="AU1502" i="1"/>
  <c r="AO1482" i="1"/>
  <c r="AQ1482" i="1" s="1"/>
  <c r="K110" i="36"/>
  <c r="AT1488" i="1"/>
  <c r="AO1490" i="1"/>
  <c r="AQ1490" i="1" s="1"/>
  <c r="J507" i="6"/>
  <c r="AU1518" i="1"/>
  <c r="AO1497" i="1"/>
  <c r="AQ1497" i="1" s="1"/>
  <c r="AO1484" i="1"/>
  <c r="AQ1484" i="1" s="1"/>
  <c r="AO1495" i="1"/>
  <c r="AQ1495" i="1" s="1"/>
  <c r="J505" i="6"/>
  <c r="AU1489" i="1"/>
  <c r="I507" i="6"/>
  <c r="AT1518" i="1"/>
  <c r="AO1498" i="1"/>
  <c r="AQ1498" i="1" s="1"/>
  <c r="L104" i="36"/>
  <c r="AU1484" i="1"/>
  <c r="AO1485" i="1"/>
  <c r="AQ1485" i="1" s="1"/>
  <c r="I512" i="6"/>
  <c r="K159" i="36"/>
  <c r="K68" i="36"/>
  <c r="K160" i="36"/>
  <c r="K512" i="6"/>
  <c r="M160" i="36"/>
  <c r="M68" i="36"/>
  <c r="M159" i="36"/>
  <c r="R160" i="36"/>
  <c r="R159" i="36"/>
  <c r="P512" i="6"/>
  <c r="J512" i="6"/>
  <c r="L159" i="36"/>
  <c r="L160" i="36"/>
  <c r="L68" i="36"/>
  <c r="J509" i="6"/>
  <c r="J511" i="6"/>
  <c r="J508" i="6"/>
  <c r="J510" i="6"/>
  <c r="I510" i="6"/>
  <c r="I511" i="6"/>
  <c r="I508" i="6"/>
  <c r="I509" i="6"/>
  <c r="K509" i="6"/>
  <c r="K510" i="6"/>
  <c r="K508" i="6"/>
  <c r="K511" i="6"/>
  <c r="P510" i="6"/>
  <c r="P511" i="6"/>
  <c r="P509" i="6"/>
  <c r="P508" i="6"/>
  <c r="P507" i="6"/>
  <c r="M155" i="36"/>
  <c r="M153" i="36"/>
  <c r="M151" i="36"/>
  <c r="M149" i="36"/>
  <c r="K427" i="6"/>
  <c r="M154" i="36"/>
  <c r="M152" i="36"/>
  <c r="M150" i="36"/>
  <c r="M148" i="36"/>
  <c r="M65" i="36"/>
  <c r="L155" i="36"/>
  <c r="L153" i="36"/>
  <c r="L151" i="36"/>
  <c r="L149" i="36"/>
  <c r="J427" i="6"/>
  <c r="L154" i="36"/>
  <c r="L152" i="36"/>
  <c r="L150" i="36"/>
  <c r="L148" i="36"/>
  <c r="L65" i="36"/>
  <c r="I427" i="6"/>
  <c r="K155" i="36"/>
  <c r="K150" i="36"/>
  <c r="K153" i="36"/>
  <c r="K151" i="36"/>
  <c r="K149" i="36"/>
  <c r="K148" i="36"/>
  <c r="K154" i="36"/>
  <c r="K152" i="36"/>
  <c r="K65" i="36"/>
  <c r="R153" i="36"/>
  <c r="R151" i="36"/>
  <c r="R149" i="36"/>
  <c r="P427" i="6"/>
  <c r="R154" i="36"/>
  <c r="R152" i="36"/>
  <c r="R150" i="36"/>
  <c r="R148" i="36"/>
  <c r="R155" i="36"/>
  <c r="M145" i="36"/>
  <c r="M146" i="36"/>
  <c r="M147" i="36"/>
  <c r="M63" i="36"/>
  <c r="M62" i="36"/>
  <c r="R145" i="36"/>
  <c r="R146" i="36"/>
  <c r="R147" i="36"/>
  <c r="L145" i="36"/>
  <c r="L146" i="36"/>
  <c r="L147" i="36"/>
  <c r="L63" i="36"/>
  <c r="L62" i="36"/>
  <c r="K145" i="36"/>
  <c r="K146" i="36"/>
  <c r="K147" i="36"/>
  <c r="K63" i="36"/>
  <c r="K62" i="36"/>
  <c r="M140" i="36"/>
  <c r="M60" i="36"/>
  <c r="R139" i="36"/>
  <c r="R140" i="36"/>
  <c r="L140" i="36"/>
  <c r="L60" i="36"/>
  <c r="K140" i="36"/>
  <c r="K60" i="36"/>
  <c r="J497" i="6"/>
  <c r="L139" i="36"/>
  <c r="K497" i="6"/>
  <c r="M139" i="36"/>
  <c r="I497" i="6"/>
  <c r="K139" i="36"/>
  <c r="K504" i="6"/>
  <c r="K506" i="6"/>
  <c r="P504" i="6"/>
  <c r="P506" i="6"/>
  <c r="J504" i="6"/>
  <c r="J506" i="6"/>
  <c r="I504" i="6"/>
  <c r="I506" i="6"/>
  <c r="K485" i="6"/>
  <c r="K486" i="6"/>
  <c r="P486" i="6"/>
  <c r="P485" i="6"/>
  <c r="J485" i="6"/>
  <c r="J486" i="6"/>
  <c r="I485" i="6"/>
  <c r="I486" i="6"/>
  <c r="P497" i="6"/>
  <c r="R104" i="36"/>
  <c r="R110" i="36"/>
  <c r="R97" i="36"/>
  <c r="M57" i="36"/>
  <c r="M122" i="36"/>
  <c r="M123" i="36"/>
  <c r="M121" i="36"/>
  <c r="R122" i="36"/>
  <c r="R121" i="36"/>
  <c r="R123" i="36"/>
  <c r="L57" i="36"/>
  <c r="L121" i="36"/>
  <c r="L122" i="36"/>
  <c r="L123" i="36"/>
  <c r="K57" i="36"/>
  <c r="K121" i="36"/>
  <c r="K122" i="36"/>
  <c r="K123" i="36"/>
  <c r="M118" i="36"/>
  <c r="M117" i="36"/>
  <c r="R117" i="36"/>
  <c r="R118" i="36"/>
  <c r="L117" i="36"/>
  <c r="L118" i="36"/>
  <c r="K117" i="36"/>
  <c r="K118" i="36"/>
  <c r="M47" i="36"/>
  <c r="M107" i="36"/>
  <c r="R105" i="36"/>
  <c r="R107" i="36"/>
  <c r="L47" i="36"/>
  <c r="L107" i="36"/>
  <c r="K47" i="36"/>
  <c r="K107" i="36"/>
  <c r="M105" i="36"/>
  <c r="M106" i="36"/>
  <c r="L105" i="36"/>
  <c r="L106" i="36"/>
  <c r="K461" i="6"/>
  <c r="P461" i="6"/>
  <c r="K105" i="36"/>
  <c r="K106" i="36"/>
  <c r="J461" i="6"/>
  <c r="I461" i="6"/>
  <c r="I471" i="6"/>
  <c r="I473" i="6"/>
  <c r="I472" i="6"/>
  <c r="K471" i="6"/>
  <c r="K472" i="6"/>
  <c r="K473" i="6"/>
  <c r="P471" i="6"/>
  <c r="P472" i="6"/>
  <c r="P473" i="6"/>
  <c r="J471" i="6"/>
  <c r="J473" i="6"/>
  <c r="J472" i="6"/>
  <c r="V1520" i="1"/>
  <c r="V1498" i="1"/>
  <c r="V1497" i="1"/>
  <c r="V1487" i="1"/>
  <c r="V1496" i="1"/>
  <c r="V1482" i="1"/>
  <c r="V1500" i="1"/>
  <c r="V1489" i="1"/>
  <c r="V1502" i="1"/>
  <c r="V1494" i="1"/>
  <c r="V1519" i="1"/>
  <c r="V1495" i="1"/>
  <c r="V1490" i="1"/>
  <c r="V1483" i="1"/>
  <c r="V1491" i="1"/>
  <c r="V1499" i="1"/>
  <c r="V1493" i="1"/>
  <c r="V1501" i="1"/>
  <c r="V1488" i="1"/>
  <c r="V1484" i="1"/>
  <c r="V1485" i="1"/>
  <c r="V1486" i="1"/>
  <c r="V1492" i="1"/>
  <c r="V1521" i="1"/>
  <c r="V1522" i="1"/>
  <c r="V1518" i="1"/>
  <c r="I121" i="7" l="1"/>
  <c r="Y1461" i="1"/>
  <c r="X1461" i="1"/>
  <c r="W1461" i="1"/>
  <c r="U1461" i="1"/>
  <c r="T1461" i="1"/>
  <c r="S1461" i="1"/>
  <c r="R1461" i="1"/>
  <c r="AT1461" i="1" s="1"/>
  <c r="Q1461" i="1"/>
  <c r="AU1461" i="1" s="1"/>
  <c r="P1461" i="1"/>
  <c r="Y1460" i="1"/>
  <c r="X1460" i="1"/>
  <c r="W1460" i="1"/>
  <c r="U1460" i="1"/>
  <c r="T1460" i="1"/>
  <c r="S1460" i="1"/>
  <c r="R1460" i="1"/>
  <c r="AT1460" i="1" s="1"/>
  <c r="Q1460" i="1"/>
  <c r="AU1460" i="1" s="1"/>
  <c r="P1460" i="1"/>
  <c r="Y1459" i="1"/>
  <c r="X1459" i="1"/>
  <c r="W1459" i="1"/>
  <c r="U1459" i="1"/>
  <c r="T1459" i="1"/>
  <c r="S1459" i="1"/>
  <c r="R1459" i="1"/>
  <c r="AT1459" i="1" s="1"/>
  <c r="Q1459" i="1"/>
  <c r="AU1459" i="1" s="1"/>
  <c r="P1459" i="1"/>
  <c r="Y1458" i="1"/>
  <c r="X1458" i="1"/>
  <c r="W1458" i="1"/>
  <c r="U1458" i="1"/>
  <c r="T1458" i="1"/>
  <c r="S1458" i="1"/>
  <c r="R1458" i="1"/>
  <c r="AT1458" i="1" s="1"/>
  <c r="Q1458" i="1"/>
  <c r="AU1458" i="1" s="1"/>
  <c r="P1458" i="1"/>
  <c r="Y1457" i="1"/>
  <c r="X1457" i="1"/>
  <c r="W1457" i="1"/>
  <c r="U1457" i="1"/>
  <c r="T1457" i="1"/>
  <c r="S1457" i="1"/>
  <c r="R1457" i="1"/>
  <c r="AT1457" i="1" s="1"/>
  <c r="Q1457" i="1"/>
  <c r="AU1457" i="1" s="1"/>
  <c r="P1457" i="1"/>
  <c r="AO1457" i="1" l="1"/>
  <c r="AQ1457" i="1" s="1"/>
  <c r="AO1458" i="1"/>
  <c r="AQ1458" i="1" s="1"/>
  <c r="AO1460" i="1"/>
  <c r="AQ1460" i="1" s="1"/>
  <c r="AO1459" i="1"/>
  <c r="AQ1459" i="1" s="1"/>
  <c r="AO1461" i="1"/>
  <c r="AQ1461" i="1" s="1"/>
  <c r="K274" i="6"/>
  <c r="P274" i="6"/>
  <c r="J274" i="6"/>
  <c r="P368" i="6"/>
  <c r="J368" i="6"/>
  <c r="I368" i="6"/>
  <c r="I274" i="6"/>
  <c r="K368" i="6"/>
  <c r="V1457" i="1"/>
  <c r="V1460" i="1"/>
  <c r="V1459" i="1"/>
  <c r="V1461" i="1"/>
  <c r="V1458" i="1"/>
  <c r="U279" i="6" l="1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 l="1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 l="1"/>
  <c r="X1600" i="1" l="1"/>
  <c r="W1600" i="1"/>
  <c r="W1601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 l="1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P309" i="6" l="1"/>
  <c r="I309" i="6"/>
  <c r="J309" i="6"/>
  <c r="K309" i="6"/>
  <c r="P310" i="6"/>
  <c r="P308" i="6"/>
  <c r="P307" i="6"/>
  <c r="I310" i="6"/>
  <c r="I307" i="6"/>
  <c r="I308" i="6"/>
  <c r="J310" i="6"/>
  <c r="J308" i="6"/>
  <c r="J307" i="6"/>
  <c r="K310" i="6"/>
  <c r="K308" i="6"/>
  <c r="K307" i="6"/>
  <c r="P273" i="6"/>
  <c r="I273" i="6"/>
  <c r="J273" i="6"/>
  <c r="K273" i="6"/>
  <c r="P270" i="6"/>
  <c r="I270" i="6"/>
  <c r="J270" i="6"/>
  <c r="K270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Y1481" i="1"/>
  <c r="X1481" i="1"/>
  <c r="W1481" i="1"/>
  <c r="U1481" i="1"/>
  <c r="T1481" i="1"/>
  <c r="S1481" i="1"/>
  <c r="R1481" i="1"/>
  <c r="AT1481" i="1" s="1"/>
  <c r="Q1481" i="1"/>
  <c r="AU1481" i="1" s="1"/>
  <c r="P1481" i="1"/>
  <c r="Y1480" i="1"/>
  <c r="X1480" i="1"/>
  <c r="W1480" i="1"/>
  <c r="U1480" i="1"/>
  <c r="T1480" i="1"/>
  <c r="S1480" i="1"/>
  <c r="R1480" i="1"/>
  <c r="AT1480" i="1" s="1"/>
  <c r="Q1480" i="1"/>
  <c r="AU1480" i="1" s="1"/>
  <c r="P1480" i="1"/>
  <c r="Y1479" i="1"/>
  <c r="X1479" i="1"/>
  <c r="W1479" i="1"/>
  <c r="U1479" i="1"/>
  <c r="T1479" i="1"/>
  <c r="S1479" i="1"/>
  <c r="R1479" i="1"/>
  <c r="Q1479" i="1"/>
  <c r="P1479" i="1"/>
  <c r="K431" i="6" s="1"/>
  <c r="Y1478" i="1"/>
  <c r="X1478" i="1"/>
  <c r="W1478" i="1"/>
  <c r="U1478" i="1"/>
  <c r="T1478" i="1"/>
  <c r="S1478" i="1"/>
  <c r="R1478" i="1"/>
  <c r="AT1478" i="1" s="1"/>
  <c r="Q1478" i="1"/>
  <c r="AU1478" i="1" s="1"/>
  <c r="P1478" i="1"/>
  <c r="Y1477" i="1"/>
  <c r="X1477" i="1"/>
  <c r="W1477" i="1"/>
  <c r="U1477" i="1"/>
  <c r="T1477" i="1"/>
  <c r="S1477" i="1"/>
  <c r="R1477" i="1"/>
  <c r="AT1477" i="1" s="1"/>
  <c r="Q1477" i="1"/>
  <c r="AU1477" i="1" s="1"/>
  <c r="P1477" i="1"/>
  <c r="Y1476" i="1"/>
  <c r="X1476" i="1"/>
  <c r="W1476" i="1"/>
  <c r="U1476" i="1"/>
  <c r="T1476" i="1"/>
  <c r="S1476" i="1"/>
  <c r="R1476" i="1"/>
  <c r="AT1476" i="1" s="1"/>
  <c r="Q1476" i="1"/>
  <c r="AU1476" i="1" s="1"/>
  <c r="P1476" i="1"/>
  <c r="Y1475" i="1"/>
  <c r="X1475" i="1"/>
  <c r="W1475" i="1"/>
  <c r="U1475" i="1"/>
  <c r="T1475" i="1"/>
  <c r="S1475" i="1"/>
  <c r="R1475" i="1"/>
  <c r="AT1475" i="1" s="1"/>
  <c r="Q1475" i="1"/>
  <c r="AU1475" i="1" s="1"/>
  <c r="P1475" i="1"/>
  <c r="Y1474" i="1"/>
  <c r="X1474" i="1"/>
  <c r="W1474" i="1"/>
  <c r="U1474" i="1"/>
  <c r="T1474" i="1"/>
  <c r="S1474" i="1"/>
  <c r="R1474" i="1"/>
  <c r="AT1474" i="1" s="1"/>
  <c r="Q1474" i="1"/>
  <c r="AU1474" i="1" s="1"/>
  <c r="P1474" i="1"/>
  <c r="J431" i="6" l="1"/>
  <c r="AU1479" i="1"/>
  <c r="AO1480" i="1"/>
  <c r="AQ1480" i="1" s="1"/>
  <c r="AO1475" i="1"/>
  <c r="AQ1475" i="1" s="1"/>
  <c r="AO1476" i="1"/>
  <c r="AQ1476" i="1" s="1"/>
  <c r="AO1477" i="1"/>
  <c r="AQ1477" i="1" s="1"/>
  <c r="AO1478" i="1"/>
  <c r="AQ1478" i="1" s="1"/>
  <c r="AO1479" i="1"/>
  <c r="AQ1479" i="1" s="1"/>
  <c r="I431" i="6"/>
  <c r="AT1479" i="1"/>
  <c r="AO1481" i="1"/>
  <c r="AQ1481" i="1" s="1"/>
  <c r="AO1474" i="1"/>
  <c r="AQ1474" i="1" s="1"/>
  <c r="P431" i="6"/>
  <c r="M46" i="36"/>
  <c r="M101" i="36"/>
  <c r="M102" i="36"/>
  <c r="M103" i="36"/>
  <c r="L46" i="36"/>
  <c r="L102" i="36"/>
  <c r="L103" i="36"/>
  <c r="L101" i="36"/>
  <c r="K46" i="36"/>
  <c r="K101" i="36"/>
  <c r="K102" i="36"/>
  <c r="K103" i="36"/>
  <c r="R101" i="36"/>
  <c r="R102" i="36"/>
  <c r="R103" i="36"/>
  <c r="I454" i="6"/>
  <c r="I456" i="6"/>
  <c r="I455" i="6"/>
  <c r="K455" i="6"/>
  <c r="K456" i="6"/>
  <c r="K454" i="6"/>
  <c r="P454" i="6"/>
  <c r="P455" i="6"/>
  <c r="P456" i="6"/>
  <c r="J456" i="6"/>
  <c r="J455" i="6"/>
  <c r="J454" i="6"/>
  <c r="K451" i="6"/>
  <c r="K452" i="6"/>
  <c r="K453" i="6"/>
  <c r="P451" i="6"/>
  <c r="P453" i="6"/>
  <c r="P452" i="6"/>
  <c r="J451" i="6"/>
  <c r="J453" i="6"/>
  <c r="J452" i="6"/>
  <c r="I451" i="6"/>
  <c r="I452" i="6"/>
  <c r="I453" i="6"/>
  <c r="P443" i="6"/>
  <c r="P444" i="6"/>
  <c r="P445" i="6"/>
  <c r="J445" i="6"/>
  <c r="J443" i="6"/>
  <c r="J444" i="6"/>
  <c r="I445" i="6"/>
  <c r="I443" i="6"/>
  <c r="I444" i="6"/>
  <c r="K443" i="6"/>
  <c r="K444" i="6"/>
  <c r="K445" i="6"/>
  <c r="J413" i="6"/>
  <c r="J411" i="6"/>
  <c r="J412" i="6"/>
  <c r="J410" i="6"/>
  <c r="I412" i="6"/>
  <c r="I413" i="6"/>
  <c r="I411" i="6"/>
  <c r="I410" i="6"/>
  <c r="K413" i="6"/>
  <c r="K412" i="6"/>
  <c r="K410" i="6"/>
  <c r="K411" i="6"/>
  <c r="P411" i="6"/>
  <c r="P412" i="6"/>
  <c r="P413" i="6"/>
  <c r="P410" i="6"/>
  <c r="E168" i="7"/>
  <c r="G168" i="7" s="1"/>
  <c r="J168" i="7" s="1"/>
  <c r="E153" i="7"/>
  <c r="F153" i="7" s="1"/>
  <c r="V1480" i="1"/>
  <c r="V1475" i="1"/>
  <c r="V1481" i="1"/>
  <c r="V1474" i="1"/>
  <c r="V1478" i="1"/>
  <c r="V1479" i="1"/>
  <c r="V1476" i="1"/>
  <c r="V1477" i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 l="1"/>
  <c r="F138" i="7"/>
  <c r="U217" i="6" l="1"/>
  <c r="B217" i="6"/>
  <c r="U216" i="6"/>
  <c r="B216" i="6"/>
  <c r="Q1245" i="1" l="1"/>
  <c r="AU1245" i="1" s="1"/>
  <c r="U230" i="6"/>
  <c r="B230" i="6"/>
  <c r="U229" i="6"/>
  <c r="B229" i="6"/>
  <c r="U228" i="6"/>
  <c r="B228" i="6"/>
  <c r="B33" i="6"/>
  <c r="B32" i="6"/>
  <c r="B31" i="6"/>
  <c r="B41" i="6"/>
  <c r="B40" i="6"/>
  <c r="B39" i="6"/>
  <c r="U171" i="6" l="1"/>
  <c r="B171" i="6"/>
  <c r="U239" i="6" l="1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U1274" i="1"/>
  <c r="T1274" i="1"/>
  <c r="S1274" i="1"/>
  <c r="R1281" i="1"/>
  <c r="AT1281" i="1" s="1"/>
  <c r="R1274" i="1"/>
  <c r="AT1274" i="1" s="1"/>
  <c r="Q1274" i="1"/>
  <c r="AU1274" i="1" s="1"/>
  <c r="P1274" i="1"/>
  <c r="Y1467" i="1"/>
  <c r="X1467" i="1"/>
  <c r="W1467" i="1"/>
  <c r="U1467" i="1"/>
  <c r="T1467" i="1"/>
  <c r="S1467" i="1"/>
  <c r="R1467" i="1"/>
  <c r="AT1467" i="1" s="1"/>
  <c r="Q1467" i="1"/>
  <c r="AU1467" i="1" s="1"/>
  <c r="P1467" i="1"/>
  <c r="Y1466" i="1"/>
  <c r="X1466" i="1"/>
  <c r="W1466" i="1"/>
  <c r="U1466" i="1"/>
  <c r="T1466" i="1"/>
  <c r="S1466" i="1"/>
  <c r="R1466" i="1"/>
  <c r="AT1466" i="1" s="1"/>
  <c r="Q1466" i="1"/>
  <c r="AU1466" i="1" s="1"/>
  <c r="P1466" i="1"/>
  <c r="Y1465" i="1"/>
  <c r="AO1465" i="1" s="1"/>
  <c r="AQ1465" i="1" s="1"/>
  <c r="X1465" i="1"/>
  <c r="W1465" i="1"/>
  <c r="U1465" i="1"/>
  <c r="T1465" i="1"/>
  <c r="S1465" i="1"/>
  <c r="R1465" i="1"/>
  <c r="AT1465" i="1" s="1"/>
  <c r="Q1465" i="1"/>
  <c r="AU1465" i="1" s="1"/>
  <c r="P1465" i="1"/>
  <c r="Y1464" i="1"/>
  <c r="AO1464" i="1" s="1"/>
  <c r="AQ1464" i="1" s="1"/>
  <c r="X1464" i="1"/>
  <c r="W1464" i="1"/>
  <c r="U1464" i="1"/>
  <c r="T1464" i="1"/>
  <c r="S1464" i="1"/>
  <c r="R1464" i="1"/>
  <c r="AT1464" i="1" s="1"/>
  <c r="Q1464" i="1"/>
  <c r="AU1464" i="1" s="1"/>
  <c r="P1464" i="1"/>
  <c r="Y1463" i="1"/>
  <c r="AO1463" i="1" s="1"/>
  <c r="AQ1463" i="1" s="1"/>
  <c r="X1463" i="1"/>
  <c r="W1463" i="1"/>
  <c r="U1463" i="1"/>
  <c r="T1463" i="1"/>
  <c r="S1463" i="1"/>
  <c r="R1463" i="1"/>
  <c r="Q1463" i="1"/>
  <c r="P1463" i="1"/>
  <c r="M130" i="36" s="1"/>
  <c r="Y1462" i="1"/>
  <c r="X1462" i="1"/>
  <c r="W1462" i="1"/>
  <c r="U1462" i="1"/>
  <c r="T1462" i="1"/>
  <c r="S1462" i="1"/>
  <c r="R1462" i="1"/>
  <c r="AT1462" i="1" s="1"/>
  <c r="Q1462" i="1"/>
  <c r="AU1462" i="1" s="1"/>
  <c r="P1462" i="1"/>
  <c r="Y1446" i="1"/>
  <c r="X1446" i="1"/>
  <c r="W1446" i="1"/>
  <c r="U1446" i="1"/>
  <c r="T1446" i="1"/>
  <c r="S1446" i="1"/>
  <c r="R1446" i="1"/>
  <c r="AT1446" i="1" s="1"/>
  <c r="Q1446" i="1"/>
  <c r="AU1446" i="1" s="1"/>
  <c r="P1446" i="1"/>
  <c r="Y1445" i="1"/>
  <c r="X1445" i="1"/>
  <c r="W1445" i="1"/>
  <c r="U1445" i="1"/>
  <c r="T1445" i="1"/>
  <c r="S1445" i="1"/>
  <c r="R1445" i="1"/>
  <c r="AT1445" i="1" s="1"/>
  <c r="Q1445" i="1"/>
  <c r="AU1445" i="1" s="1"/>
  <c r="P1445" i="1"/>
  <c r="Y1440" i="1"/>
  <c r="X1440" i="1"/>
  <c r="W1440" i="1"/>
  <c r="U1440" i="1"/>
  <c r="T1440" i="1"/>
  <c r="S1440" i="1"/>
  <c r="R1440" i="1"/>
  <c r="Q1440" i="1"/>
  <c r="P1440" i="1"/>
  <c r="M115" i="36" s="1"/>
  <c r="Y1439" i="1"/>
  <c r="X1439" i="1"/>
  <c r="W1439" i="1"/>
  <c r="U1439" i="1"/>
  <c r="T1439" i="1"/>
  <c r="S1439" i="1"/>
  <c r="R1439" i="1"/>
  <c r="Q1439" i="1"/>
  <c r="P1439" i="1"/>
  <c r="M100" i="36" s="1"/>
  <c r="Y1472" i="1"/>
  <c r="X1472" i="1"/>
  <c r="W1472" i="1"/>
  <c r="U1472" i="1"/>
  <c r="T1472" i="1"/>
  <c r="S1472" i="1"/>
  <c r="R1472" i="1"/>
  <c r="AT1472" i="1" s="1"/>
  <c r="Q1472" i="1"/>
  <c r="AU1472" i="1" s="1"/>
  <c r="P1472" i="1"/>
  <c r="Y1471" i="1"/>
  <c r="X1471" i="1"/>
  <c r="W1471" i="1"/>
  <c r="U1471" i="1"/>
  <c r="T1471" i="1"/>
  <c r="S1471" i="1"/>
  <c r="R1471" i="1"/>
  <c r="AT1471" i="1" s="1"/>
  <c r="Q1471" i="1"/>
  <c r="AU1471" i="1" s="1"/>
  <c r="P1471" i="1"/>
  <c r="Y1470" i="1"/>
  <c r="X1470" i="1"/>
  <c r="W1470" i="1"/>
  <c r="U1470" i="1"/>
  <c r="T1470" i="1"/>
  <c r="S1470" i="1"/>
  <c r="R1470" i="1"/>
  <c r="AT1470" i="1" s="1"/>
  <c r="Q1470" i="1"/>
  <c r="AU1470" i="1" s="1"/>
  <c r="P1470" i="1"/>
  <c r="Y1469" i="1"/>
  <c r="X1469" i="1"/>
  <c r="W1469" i="1"/>
  <c r="U1469" i="1"/>
  <c r="T1469" i="1"/>
  <c r="S1469" i="1"/>
  <c r="R1469" i="1"/>
  <c r="AT1469" i="1" s="1"/>
  <c r="Q1469" i="1"/>
  <c r="AU1469" i="1" s="1"/>
  <c r="P1469" i="1"/>
  <c r="Y1468" i="1"/>
  <c r="X1468" i="1"/>
  <c r="W1468" i="1"/>
  <c r="U1468" i="1"/>
  <c r="T1468" i="1"/>
  <c r="S1468" i="1"/>
  <c r="R1468" i="1"/>
  <c r="AT1468" i="1" s="1"/>
  <c r="Q1468" i="1"/>
  <c r="AU1468" i="1" s="1"/>
  <c r="P1468" i="1"/>
  <c r="Y1438" i="1"/>
  <c r="X1438" i="1"/>
  <c r="W1438" i="1"/>
  <c r="U1438" i="1"/>
  <c r="T1438" i="1"/>
  <c r="S1438" i="1"/>
  <c r="R1438" i="1"/>
  <c r="AT1438" i="1" s="1"/>
  <c r="Q1438" i="1"/>
  <c r="AU1438" i="1" s="1"/>
  <c r="P1438" i="1"/>
  <c r="Y1437" i="1"/>
  <c r="X1437" i="1"/>
  <c r="W1437" i="1"/>
  <c r="U1437" i="1"/>
  <c r="T1437" i="1"/>
  <c r="S1437" i="1"/>
  <c r="R1437" i="1"/>
  <c r="AT1437" i="1" s="1"/>
  <c r="Q1437" i="1"/>
  <c r="AU1437" i="1" s="1"/>
  <c r="P1437" i="1"/>
  <c r="Y1436" i="1"/>
  <c r="AO1436" i="1" s="1"/>
  <c r="AQ1436" i="1" s="1"/>
  <c r="X1436" i="1"/>
  <c r="W1436" i="1"/>
  <c r="U1436" i="1"/>
  <c r="T1436" i="1"/>
  <c r="S1436" i="1"/>
  <c r="R1436" i="1"/>
  <c r="Q1436" i="1"/>
  <c r="P1436" i="1"/>
  <c r="M129" i="36" s="1"/>
  <c r="Y1454" i="1"/>
  <c r="X1454" i="1"/>
  <c r="W1454" i="1"/>
  <c r="U1454" i="1"/>
  <c r="T1454" i="1"/>
  <c r="S1454" i="1"/>
  <c r="R1454" i="1"/>
  <c r="AT1454" i="1" s="1"/>
  <c r="Q1454" i="1"/>
  <c r="AU1454" i="1" s="1"/>
  <c r="P1454" i="1"/>
  <c r="Y1453" i="1"/>
  <c r="X1453" i="1"/>
  <c r="W1453" i="1"/>
  <c r="U1453" i="1"/>
  <c r="T1453" i="1"/>
  <c r="S1453" i="1"/>
  <c r="R1453" i="1"/>
  <c r="AT1453" i="1" s="1"/>
  <c r="Q1453" i="1"/>
  <c r="AU1453" i="1" s="1"/>
  <c r="P1453" i="1"/>
  <c r="Y1452" i="1"/>
  <c r="X1452" i="1"/>
  <c r="W1452" i="1"/>
  <c r="U1452" i="1"/>
  <c r="T1452" i="1"/>
  <c r="S1452" i="1"/>
  <c r="R1452" i="1"/>
  <c r="AT1452" i="1" s="1"/>
  <c r="Q1452" i="1"/>
  <c r="AU1452" i="1" s="1"/>
  <c r="P1452" i="1"/>
  <c r="P1449" i="1"/>
  <c r="Q1449" i="1"/>
  <c r="AU1449" i="1" s="1"/>
  <c r="R1449" i="1"/>
  <c r="AT1449" i="1" s="1"/>
  <c r="S1449" i="1"/>
  <c r="T1449" i="1"/>
  <c r="U1449" i="1"/>
  <c r="W1449" i="1"/>
  <c r="X1449" i="1"/>
  <c r="Y1449" i="1"/>
  <c r="P1450" i="1"/>
  <c r="Q1450" i="1"/>
  <c r="AU1450" i="1" s="1"/>
  <c r="R1450" i="1"/>
  <c r="AT1450" i="1" s="1"/>
  <c r="S1450" i="1"/>
  <c r="T1450" i="1"/>
  <c r="U1450" i="1"/>
  <c r="W1450" i="1"/>
  <c r="X1450" i="1"/>
  <c r="Y1450" i="1"/>
  <c r="P1451" i="1"/>
  <c r="Q1451" i="1"/>
  <c r="AU1451" i="1" s="1"/>
  <c r="R1451" i="1"/>
  <c r="AT1451" i="1" s="1"/>
  <c r="S1451" i="1"/>
  <c r="T1451" i="1"/>
  <c r="U1451" i="1"/>
  <c r="W1451" i="1"/>
  <c r="X1451" i="1"/>
  <c r="Y1451" i="1"/>
  <c r="P1455" i="1"/>
  <c r="Q1455" i="1"/>
  <c r="AU1455" i="1" s="1"/>
  <c r="R1455" i="1"/>
  <c r="AT1455" i="1" s="1"/>
  <c r="S1455" i="1"/>
  <c r="T1455" i="1"/>
  <c r="U1455" i="1"/>
  <c r="W1455" i="1"/>
  <c r="X1455" i="1"/>
  <c r="Y1455" i="1"/>
  <c r="P1456" i="1"/>
  <c r="Q1456" i="1"/>
  <c r="AU1456" i="1" s="1"/>
  <c r="R1456" i="1"/>
  <c r="AT1456" i="1" s="1"/>
  <c r="S1456" i="1"/>
  <c r="T1456" i="1"/>
  <c r="U1456" i="1"/>
  <c r="W1456" i="1"/>
  <c r="X1456" i="1"/>
  <c r="Y1456" i="1"/>
  <c r="P1473" i="1"/>
  <c r="Q1473" i="1"/>
  <c r="AU1473" i="1" s="1"/>
  <c r="R1473" i="1"/>
  <c r="AT1473" i="1" s="1"/>
  <c r="S1473" i="1"/>
  <c r="T1473" i="1"/>
  <c r="U1473" i="1"/>
  <c r="W1473" i="1"/>
  <c r="X1473" i="1"/>
  <c r="Y1473" i="1"/>
  <c r="P1374" i="1"/>
  <c r="Q1374" i="1"/>
  <c r="AU1374" i="1" s="1"/>
  <c r="R1374" i="1"/>
  <c r="AT1374" i="1" s="1"/>
  <c r="S1374" i="1"/>
  <c r="T1374" i="1"/>
  <c r="U1374" i="1"/>
  <c r="AO1471" i="1" l="1"/>
  <c r="AQ1471" i="1" s="1"/>
  <c r="L130" i="36"/>
  <c r="AU1463" i="1"/>
  <c r="AO1472" i="1"/>
  <c r="AQ1472" i="1" s="1"/>
  <c r="K130" i="36"/>
  <c r="AT1463" i="1"/>
  <c r="AO1439" i="1"/>
  <c r="AQ1439" i="1" s="1"/>
  <c r="AO1466" i="1"/>
  <c r="AQ1466" i="1" s="1"/>
  <c r="AO1456" i="1"/>
  <c r="AQ1456" i="1" s="1"/>
  <c r="L100" i="36"/>
  <c r="AU1439" i="1"/>
  <c r="AO1440" i="1"/>
  <c r="AQ1440" i="1" s="1"/>
  <c r="AO1467" i="1"/>
  <c r="AQ1467" i="1" s="1"/>
  <c r="AO1453" i="1"/>
  <c r="AQ1453" i="1" s="1"/>
  <c r="AO1454" i="1"/>
  <c r="AQ1454" i="1" s="1"/>
  <c r="L129" i="36"/>
  <c r="AU1436" i="1"/>
  <c r="AO1450" i="1"/>
  <c r="AQ1450" i="1" s="1"/>
  <c r="AO1468" i="1"/>
  <c r="AQ1468" i="1" s="1"/>
  <c r="K115" i="36"/>
  <c r="AT1440" i="1"/>
  <c r="AO1446" i="1"/>
  <c r="AQ1446" i="1" s="1"/>
  <c r="AO1455" i="1"/>
  <c r="AQ1455" i="1" s="1"/>
  <c r="AO1437" i="1"/>
  <c r="AQ1437" i="1" s="1"/>
  <c r="AO1451" i="1"/>
  <c r="AQ1451" i="1" s="1"/>
  <c r="K100" i="36"/>
  <c r="AT1439" i="1"/>
  <c r="AO1445" i="1"/>
  <c r="AQ1445" i="1" s="1"/>
  <c r="AO1449" i="1"/>
  <c r="AQ1449" i="1" s="1"/>
  <c r="AO1469" i="1"/>
  <c r="AQ1469" i="1" s="1"/>
  <c r="AO1462" i="1"/>
  <c r="AQ1462" i="1" s="1"/>
  <c r="AO1473" i="1"/>
  <c r="AQ1473" i="1" s="1"/>
  <c r="K129" i="36"/>
  <c r="AT1436" i="1"/>
  <c r="AO1438" i="1"/>
  <c r="AQ1438" i="1" s="1"/>
  <c r="L115" i="36"/>
  <c r="AU1440" i="1"/>
  <c r="AO1452" i="1"/>
  <c r="AQ1452" i="1" s="1"/>
  <c r="AO1470" i="1"/>
  <c r="AQ1470" i="1" s="1"/>
  <c r="L136" i="36"/>
  <c r="L134" i="36"/>
  <c r="L137" i="36"/>
  <c r="L135" i="36"/>
  <c r="L138" i="36"/>
  <c r="L59" i="36"/>
  <c r="M134" i="36"/>
  <c r="M137" i="36"/>
  <c r="M135" i="36"/>
  <c r="M138" i="36"/>
  <c r="M136" i="36"/>
  <c r="M59" i="36"/>
  <c r="K138" i="36"/>
  <c r="K136" i="36"/>
  <c r="K134" i="36"/>
  <c r="K137" i="36"/>
  <c r="K135" i="36"/>
  <c r="K59" i="36"/>
  <c r="R134" i="36"/>
  <c r="R137" i="36"/>
  <c r="R135" i="36"/>
  <c r="R138" i="36"/>
  <c r="R136" i="36"/>
  <c r="M131" i="36"/>
  <c r="M133" i="36"/>
  <c r="M132" i="36"/>
  <c r="M58" i="36"/>
  <c r="R133" i="36"/>
  <c r="R132" i="36"/>
  <c r="L131" i="36"/>
  <c r="L133" i="36"/>
  <c r="L132" i="36"/>
  <c r="L58" i="36"/>
  <c r="K131" i="36"/>
  <c r="K133" i="36"/>
  <c r="K132" i="36"/>
  <c r="K58" i="36"/>
  <c r="R131" i="36"/>
  <c r="R130" i="36"/>
  <c r="R129" i="36"/>
  <c r="R100" i="36"/>
  <c r="R115" i="36"/>
  <c r="P474" i="6"/>
  <c r="P475" i="6"/>
  <c r="J474" i="6"/>
  <c r="J475" i="6"/>
  <c r="I475" i="6"/>
  <c r="I474" i="6"/>
  <c r="K474" i="6"/>
  <c r="K475" i="6"/>
  <c r="P477" i="6"/>
  <c r="P476" i="6"/>
  <c r="K477" i="6"/>
  <c r="K476" i="6"/>
  <c r="J476" i="6"/>
  <c r="J477" i="6"/>
  <c r="I476" i="6"/>
  <c r="I477" i="6"/>
  <c r="K447" i="6"/>
  <c r="K446" i="6"/>
  <c r="P446" i="6"/>
  <c r="P447" i="6"/>
  <c r="J447" i="6"/>
  <c r="J446" i="6"/>
  <c r="I446" i="6"/>
  <c r="I447" i="6"/>
  <c r="K449" i="6"/>
  <c r="K450" i="6"/>
  <c r="K448" i="6"/>
  <c r="P449" i="6"/>
  <c r="P450" i="6"/>
  <c r="P448" i="6"/>
  <c r="J449" i="6"/>
  <c r="J450" i="6"/>
  <c r="J448" i="6"/>
  <c r="I448" i="6"/>
  <c r="I449" i="6"/>
  <c r="I450" i="6"/>
  <c r="K425" i="6"/>
  <c r="K426" i="6"/>
  <c r="K428" i="6"/>
  <c r="K429" i="6"/>
  <c r="K430" i="6"/>
  <c r="J425" i="6"/>
  <c r="J426" i="6"/>
  <c r="J428" i="6"/>
  <c r="J429" i="6"/>
  <c r="J430" i="6"/>
  <c r="P425" i="6"/>
  <c r="P428" i="6"/>
  <c r="P426" i="6"/>
  <c r="P429" i="6"/>
  <c r="P430" i="6"/>
  <c r="I425" i="6"/>
  <c r="I428" i="6"/>
  <c r="I426" i="6"/>
  <c r="I429" i="6"/>
  <c r="I430" i="6"/>
  <c r="K389" i="6"/>
  <c r="K390" i="6"/>
  <c r="P389" i="6"/>
  <c r="P390" i="6"/>
  <c r="J389" i="6"/>
  <c r="J390" i="6"/>
  <c r="I389" i="6"/>
  <c r="I390" i="6"/>
  <c r="I386" i="6"/>
  <c r="I384" i="6"/>
  <c r="I385" i="6"/>
  <c r="I382" i="6"/>
  <c r="I383" i="6"/>
  <c r="J386" i="6"/>
  <c r="J385" i="6"/>
  <c r="J382" i="6"/>
  <c r="J383" i="6"/>
  <c r="J384" i="6"/>
  <c r="K385" i="6"/>
  <c r="K382" i="6"/>
  <c r="K383" i="6"/>
  <c r="K384" i="6"/>
  <c r="K386" i="6"/>
  <c r="P383" i="6"/>
  <c r="P384" i="6"/>
  <c r="P386" i="6"/>
  <c r="P382" i="6"/>
  <c r="P385" i="6"/>
  <c r="K203" i="6"/>
  <c r="K200" i="6"/>
  <c r="K204" i="6"/>
  <c r="K201" i="6"/>
  <c r="K202" i="6"/>
  <c r="J203" i="6"/>
  <c r="J204" i="6"/>
  <c r="J200" i="6"/>
  <c r="J201" i="6"/>
  <c r="J202" i="6"/>
  <c r="I202" i="6"/>
  <c r="I200" i="6"/>
  <c r="I203" i="6"/>
  <c r="I204" i="6"/>
  <c r="I201" i="6"/>
  <c r="I341" i="6"/>
  <c r="I338" i="6"/>
  <c r="I339" i="6"/>
  <c r="I340" i="6"/>
  <c r="J338" i="6"/>
  <c r="J341" i="6"/>
  <c r="J339" i="6"/>
  <c r="J340" i="6"/>
  <c r="K339" i="6"/>
  <c r="K338" i="6"/>
  <c r="K340" i="6"/>
  <c r="K341" i="6"/>
  <c r="P339" i="6"/>
  <c r="P340" i="6"/>
  <c r="P341" i="6"/>
  <c r="P338" i="6"/>
  <c r="I315" i="6"/>
  <c r="I317" i="6"/>
  <c r="I318" i="6"/>
  <c r="I316" i="6"/>
  <c r="J317" i="6"/>
  <c r="J318" i="6"/>
  <c r="J315" i="6"/>
  <c r="J316" i="6"/>
  <c r="P318" i="6"/>
  <c r="P315" i="6"/>
  <c r="P316" i="6"/>
  <c r="P317" i="6"/>
  <c r="K318" i="6"/>
  <c r="K315" i="6"/>
  <c r="K316" i="6"/>
  <c r="K317" i="6"/>
  <c r="K262" i="6"/>
  <c r="K265" i="6"/>
  <c r="K263" i="6"/>
  <c r="K264" i="6"/>
  <c r="K261" i="6"/>
  <c r="I263" i="6"/>
  <c r="I265" i="6"/>
  <c r="I264" i="6"/>
  <c r="I261" i="6"/>
  <c r="I262" i="6"/>
  <c r="J261" i="6"/>
  <c r="J262" i="6"/>
  <c r="J265" i="6"/>
  <c r="J263" i="6"/>
  <c r="J264" i="6"/>
  <c r="K564" i="6"/>
  <c r="K563" i="6"/>
  <c r="K562" i="6"/>
  <c r="N557" i="6"/>
  <c r="N556" i="6"/>
  <c r="V1454" i="1"/>
  <c r="V1438" i="1"/>
  <c r="V1440" i="1"/>
  <c r="V1467" i="1"/>
  <c r="V1436" i="1"/>
  <c r="V1437" i="1"/>
  <c r="V1471" i="1"/>
  <c r="V1464" i="1"/>
  <c r="V1439" i="1"/>
  <c r="V1466" i="1"/>
  <c r="V1468" i="1"/>
  <c r="V1446" i="1"/>
  <c r="V1470" i="1"/>
  <c r="V1463" i="1"/>
  <c r="V1472" i="1"/>
  <c r="V1465" i="1"/>
  <c r="V1445" i="1"/>
  <c r="V1469" i="1"/>
  <c r="V1462" i="1"/>
  <c r="V1452" i="1"/>
  <c r="V1449" i="1"/>
  <c r="V1450" i="1"/>
  <c r="V1473" i="1"/>
  <c r="V1453" i="1"/>
  <c r="V1456" i="1"/>
  <c r="V1455" i="1"/>
  <c r="V1451" i="1"/>
  <c r="Y1432" i="1"/>
  <c r="Y1433" i="1"/>
  <c r="Y1434" i="1"/>
  <c r="Y1435" i="1"/>
  <c r="Y1447" i="1"/>
  <c r="Y1448" i="1"/>
  <c r="X1432" i="1"/>
  <c r="X1433" i="1"/>
  <c r="X1434" i="1"/>
  <c r="X1435" i="1"/>
  <c r="X1447" i="1"/>
  <c r="X1448" i="1"/>
  <c r="W1432" i="1"/>
  <c r="W1433" i="1"/>
  <c r="W1434" i="1"/>
  <c r="W1435" i="1"/>
  <c r="W1447" i="1"/>
  <c r="W1448" i="1"/>
  <c r="U1432" i="1"/>
  <c r="U1433" i="1"/>
  <c r="U1434" i="1"/>
  <c r="U1435" i="1"/>
  <c r="U1447" i="1"/>
  <c r="U1448" i="1"/>
  <c r="T1432" i="1"/>
  <c r="T1433" i="1"/>
  <c r="T1434" i="1"/>
  <c r="T1435" i="1"/>
  <c r="T1447" i="1"/>
  <c r="T1448" i="1"/>
  <c r="S1432" i="1"/>
  <c r="S1433" i="1"/>
  <c r="S1434" i="1"/>
  <c r="S1435" i="1"/>
  <c r="S1447" i="1"/>
  <c r="R1432" i="1"/>
  <c r="AT1432" i="1" s="1"/>
  <c r="R1433" i="1"/>
  <c r="AT1433" i="1" s="1"/>
  <c r="R1434" i="1"/>
  <c r="AT1434" i="1" s="1"/>
  <c r="R1435" i="1"/>
  <c r="AT1435" i="1" s="1"/>
  <c r="R1447" i="1"/>
  <c r="AT1447" i="1" s="1"/>
  <c r="Q1432" i="1"/>
  <c r="AU1432" i="1" s="1"/>
  <c r="Q1433" i="1"/>
  <c r="AU1433" i="1" s="1"/>
  <c r="Q1434" i="1"/>
  <c r="AU1434" i="1" s="1"/>
  <c r="Q1435" i="1"/>
  <c r="AU1435" i="1" s="1"/>
  <c r="Q1447" i="1"/>
  <c r="AU1447" i="1" s="1"/>
  <c r="P1442" i="1"/>
  <c r="P1443" i="1"/>
  <c r="P1444" i="1"/>
  <c r="P1432" i="1"/>
  <c r="P1433" i="1"/>
  <c r="P1434" i="1"/>
  <c r="P1435" i="1"/>
  <c r="P1447" i="1"/>
  <c r="AO1434" i="1" l="1"/>
  <c r="AQ1434" i="1" s="1"/>
  <c r="AO1432" i="1"/>
  <c r="AQ1432" i="1" s="1"/>
  <c r="AO1433" i="1"/>
  <c r="AQ1433" i="1" s="1"/>
  <c r="AO1447" i="1"/>
  <c r="AQ1447" i="1" s="1"/>
  <c r="AO1448" i="1"/>
  <c r="AQ1448" i="1" s="1"/>
  <c r="AO1435" i="1"/>
  <c r="AQ1435" i="1" s="1"/>
  <c r="V1448" i="1"/>
  <c r="V1447" i="1"/>
  <c r="V1434" i="1"/>
  <c r="V1435" i="1"/>
  <c r="V1433" i="1"/>
  <c r="V1432" i="1"/>
  <c r="U215" i="6" l="1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Q1443" i="1" l="1"/>
  <c r="AU1443" i="1" s="1"/>
  <c r="R1443" i="1"/>
  <c r="AT1443" i="1" s="1"/>
  <c r="S1443" i="1"/>
  <c r="T1443" i="1"/>
  <c r="U1443" i="1"/>
  <c r="W1443" i="1"/>
  <c r="X1443" i="1"/>
  <c r="Y1443" i="1"/>
  <c r="Q1444" i="1"/>
  <c r="AU1444" i="1" s="1"/>
  <c r="R1444" i="1"/>
  <c r="AT1444" i="1" s="1"/>
  <c r="S1444" i="1"/>
  <c r="T1444" i="1"/>
  <c r="U1444" i="1"/>
  <c r="W1444" i="1"/>
  <c r="X1444" i="1"/>
  <c r="Y1444" i="1"/>
  <c r="P1448" i="1"/>
  <c r="Q1448" i="1"/>
  <c r="AU1448" i="1" s="1"/>
  <c r="R1448" i="1"/>
  <c r="AT1448" i="1" s="1"/>
  <c r="S1448" i="1"/>
  <c r="Q1442" i="1"/>
  <c r="AU1442" i="1" s="1"/>
  <c r="R1442" i="1"/>
  <c r="AT1442" i="1" s="1"/>
  <c r="S1442" i="1"/>
  <c r="T1442" i="1"/>
  <c r="U1442" i="1"/>
  <c r="W1442" i="1"/>
  <c r="X1442" i="1"/>
  <c r="Y1442" i="1"/>
  <c r="U199" i="6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K205" i="6"/>
  <c r="J205" i="6"/>
  <c r="I205" i="6"/>
  <c r="P205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AO1444" i="1" l="1"/>
  <c r="AQ1444" i="1" s="1"/>
  <c r="AO1443" i="1"/>
  <c r="AQ1443" i="1" s="1"/>
  <c r="AO1442" i="1"/>
  <c r="AQ1442" i="1" s="1"/>
  <c r="N566" i="6"/>
  <c r="N567" i="6"/>
  <c r="V1443" i="1"/>
  <c r="V1444" i="1"/>
  <c r="V1442" i="1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K194" i="6"/>
  <c r="J194" i="6"/>
  <c r="I194" i="6"/>
  <c r="P194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95" i="7" s="1"/>
  <c r="C27" i="7"/>
  <c r="F27" i="7"/>
  <c r="G27" i="7"/>
  <c r="C96" i="7" s="1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Y1273" i="1"/>
  <c r="P1273" i="1"/>
  <c r="Q1273" i="1"/>
  <c r="AU1273" i="1" s="1"/>
  <c r="R1273" i="1"/>
  <c r="AT1273" i="1" s="1"/>
  <c r="B145" i="6"/>
  <c r="U144" i="6"/>
  <c r="B144" i="6"/>
  <c r="U143" i="6"/>
  <c r="B143" i="6"/>
  <c r="U142" i="6"/>
  <c r="Y1336" i="1"/>
  <c r="P1336" i="1"/>
  <c r="Q1336" i="1"/>
  <c r="AU1336" i="1" s="1"/>
  <c r="R1336" i="1"/>
  <c r="AT1336" i="1" s="1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Y1402" i="1"/>
  <c r="P1402" i="1"/>
  <c r="K3657" i="33" s="1"/>
  <c r="Q1402" i="1"/>
  <c r="R1402" i="1"/>
  <c r="B3657" i="33"/>
  <c r="U3656" i="33"/>
  <c r="Y1287" i="1"/>
  <c r="P1287" i="1"/>
  <c r="Q1287" i="1"/>
  <c r="AU1287" i="1" s="1"/>
  <c r="R1287" i="1"/>
  <c r="AT1287" i="1" s="1"/>
  <c r="B3656" i="33"/>
  <c r="U3655" i="33"/>
  <c r="B3655" i="33"/>
  <c r="U3654" i="33"/>
  <c r="Y1225" i="1"/>
  <c r="P1225" i="1"/>
  <c r="Q1225" i="1"/>
  <c r="AU1225" i="1" s="1"/>
  <c r="R1225" i="1"/>
  <c r="AT1225" i="1" s="1"/>
  <c r="B3654" i="33"/>
  <c r="U3653" i="33"/>
  <c r="B3653" i="33"/>
  <c r="U3652" i="33"/>
  <c r="B3652" i="33"/>
  <c r="U3651" i="33"/>
  <c r="Y1356" i="1"/>
  <c r="P1356" i="1"/>
  <c r="K3649" i="33" s="1"/>
  <c r="Q1356" i="1"/>
  <c r="R1356" i="1"/>
  <c r="B3651" i="33"/>
  <c r="U3650" i="33"/>
  <c r="B3650" i="33"/>
  <c r="U3649" i="33"/>
  <c r="B3649" i="33"/>
  <c r="U3648" i="33"/>
  <c r="B3648" i="33"/>
  <c r="U3647" i="33"/>
  <c r="B3647" i="33"/>
  <c r="U3646" i="33"/>
  <c r="Y1339" i="1"/>
  <c r="P1339" i="1"/>
  <c r="K3644" i="33" s="1"/>
  <c r="Q1339" i="1"/>
  <c r="R1339" i="1"/>
  <c r="B3646" i="33"/>
  <c r="U3645" i="33"/>
  <c r="B3645" i="33"/>
  <c r="U3644" i="33"/>
  <c r="B3644" i="33"/>
  <c r="U3643" i="33"/>
  <c r="B3643" i="33"/>
  <c r="U3642" i="33"/>
  <c r="B3642" i="33"/>
  <c r="U3641" i="33"/>
  <c r="Y1330" i="1"/>
  <c r="P1330" i="1"/>
  <c r="K3641" i="33" s="1"/>
  <c r="Q1330" i="1"/>
  <c r="R1330" i="1"/>
  <c r="B3641" i="33"/>
  <c r="U3640" i="33"/>
  <c r="Y1039" i="1"/>
  <c r="P1039" i="1"/>
  <c r="K3640" i="33" s="1"/>
  <c r="Q1039" i="1"/>
  <c r="R1039" i="1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Y1331" i="1"/>
  <c r="P1331" i="1"/>
  <c r="K3634" i="33" s="1"/>
  <c r="Q1331" i="1"/>
  <c r="R1331" i="1"/>
  <c r="B3634" i="33"/>
  <c r="U3633" i="33"/>
  <c r="Y1258" i="1"/>
  <c r="P1258" i="1"/>
  <c r="K3628" i="33" s="1"/>
  <c r="Q1258" i="1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Y1315" i="1"/>
  <c r="P1315" i="1"/>
  <c r="K3626" i="33" s="1"/>
  <c r="Q1315" i="1"/>
  <c r="AU1315" i="1" s="1"/>
  <c r="R1315" i="1"/>
  <c r="B3627" i="33"/>
  <c r="U3626" i="33"/>
  <c r="B3626" i="33"/>
  <c r="U3625" i="33"/>
  <c r="B3625" i="33"/>
  <c r="U3624" i="33"/>
  <c r="B3624" i="33"/>
  <c r="U3623" i="33"/>
  <c r="B3623" i="33"/>
  <c r="U3622" i="33"/>
  <c r="Y1309" i="1"/>
  <c r="P1309" i="1"/>
  <c r="K3618" i="33" s="1"/>
  <c r="Q1309" i="1"/>
  <c r="R1309" i="1"/>
  <c r="B3622" i="33"/>
  <c r="U3621" i="33"/>
  <c r="B3621" i="33"/>
  <c r="U3620" i="33"/>
  <c r="B3620" i="33"/>
  <c r="U3619" i="33"/>
  <c r="B3619" i="33"/>
  <c r="U3618" i="33"/>
  <c r="B3618" i="33"/>
  <c r="U3617" i="33"/>
  <c r="Y1319" i="1"/>
  <c r="P1319" i="1"/>
  <c r="K3617" i="33" s="1"/>
  <c r="Q1319" i="1"/>
  <c r="R1319" i="1"/>
  <c r="B3617" i="33"/>
  <c r="U3616" i="33"/>
  <c r="Y1217" i="1"/>
  <c r="P1217" i="1"/>
  <c r="K3615" i="33" s="1"/>
  <c r="Q1217" i="1"/>
  <c r="R1217" i="1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Y1276" i="1"/>
  <c r="P1276" i="1"/>
  <c r="K3658" i="33" s="1"/>
  <c r="Q1276" i="1"/>
  <c r="R1276" i="1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Y1215" i="1"/>
  <c r="P1215" i="1"/>
  <c r="K3577" i="33" s="1"/>
  <c r="Q1215" i="1"/>
  <c r="R1215" i="1"/>
  <c r="AT1215" i="1" s="1"/>
  <c r="B3578" i="33"/>
  <c r="U3577" i="33"/>
  <c r="B3577" i="33"/>
  <c r="U3576" i="33"/>
  <c r="B3576" i="33"/>
  <c r="U3575" i="33"/>
  <c r="B3575" i="33"/>
  <c r="U3574" i="33"/>
  <c r="Y1020" i="1"/>
  <c r="P1020" i="1"/>
  <c r="K3574" i="33" s="1"/>
  <c r="Q1020" i="1"/>
  <c r="R1020" i="1"/>
  <c r="B3574" i="33"/>
  <c r="U3573" i="33"/>
  <c r="Y1229" i="1"/>
  <c r="P1229" i="1"/>
  <c r="K3573" i="33" s="1"/>
  <c r="Q1229" i="1"/>
  <c r="R1229" i="1"/>
  <c r="B3573" i="33"/>
  <c r="U3572" i="33"/>
  <c r="B3572" i="33"/>
  <c r="U3571" i="33"/>
  <c r="B3571" i="33"/>
  <c r="U3570" i="33"/>
  <c r="B3570" i="33"/>
  <c r="U3569" i="33"/>
  <c r="B3569" i="33"/>
  <c r="U3568" i="33"/>
  <c r="Y1394" i="1"/>
  <c r="P1394" i="1"/>
  <c r="K3567" i="33" s="1"/>
  <c r="Q1394" i="1"/>
  <c r="R1394" i="1"/>
  <c r="B3568" i="33"/>
  <c r="U3567" i="33"/>
  <c r="B3567" i="33"/>
  <c r="U3566" i="33"/>
  <c r="B3566" i="33"/>
  <c r="U3565" i="33"/>
  <c r="B3565" i="33"/>
  <c r="U3564" i="33"/>
  <c r="B3564" i="33"/>
  <c r="U3563" i="33"/>
  <c r="Y1311" i="1"/>
  <c r="P1311" i="1"/>
  <c r="K3563" i="33" s="1"/>
  <c r="Q1311" i="1"/>
  <c r="R1311" i="1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Y1257" i="1"/>
  <c r="P1257" i="1"/>
  <c r="K3553" i="33" s="1"/>
  <c r="Q1257" i="1"/>
  <c r="R1257" i="1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Y1269" i="1"/>
  <c r="P1269" i="1"/>
  <c r="K3536" i="33" s="1"/>
  <c r="Q1269" i="1"/>
  <c r="R1269" i="1"/>
  <c r="B3540" i="33"/>
  <c r="U3539" i="33"/>
  <c r="B3539" i="33"/>
  <c r="U3538" i="33"/>
  <c r="B3538" i="33"/>
  <c r="U3537" i="33"/>
  <c r="B3537" i="33"/>
  <c r="U3536" i="33"/>
  <c r="B3536" i="33"/>
  <c r="U3535" i="33"/>
  <c r="Y1214" i="1"/>
  <c r="P1214" i="1"/>
  <c r="Q1214" i="1"/>
  <c r="AU1214" i="1" s="1"/>
  <c r="R1214" i="1"/>
  <c r="B3535" i="33"/>
  <c r="U3534" i="33"/>
  <c r="B3534" i="33"/>
  <c r="U3533" i="33"/>
  <c r="Y1365" i="1"/>
  <c r="P1365" i="1"/>
  <c r="Q1365" i="1"/>
  <c r="AU1365" i="1" s="1"/>
  <c r="R1365" i="1"/>
  <c r="AT1365" i="1" s="1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Y1228" i="1"/>
  <c r="P1228" i="1"/>
  <c r="K3527" i="33" s="1"/>
  <c r="Q1228" i="1"/>
  <c r="R1228" i="1"/>
  <c r="B3527" i="33"/>
  <c r="U3526" i="33"/>
  <c r="Y626" i="1"/>
  <c r="P626" i="1"/>
  <c r="K3526" i="33" s="1"/>
  <c r="Q626" i="1"/>
  <c r="R626" i="1"/>
  <c r="B3526" i="33"/>
  <c r="U3525" i="33"/>
  <c r="Y1183" i="1"/>
  <c r="P1183" i="1"/>
  <c r="K3525" i="33" s="1"/>
  <c r="Q1183" i="1"/>
  <c r="AU1183" i="1" s="1"/>
  <c r="R1183" i="1"/>
  <c r="B3525" i="33"/>
  <c r="U3524" i="33"/>
  <c r="B3524" i="33"/>
  <c r="U3523" i="33"/>
  <c r="B3523" i="33"/>
  <c r="U3522" i="33"/>
  <c r="Y1329" i="1"/>
  <c r="P1329" i="1"/>
  <c r="K3521" i="33" s="1"/>
  <c r="Q1329" i="1"/>
  <c r="AU1329" i="1" s="1"/>
  <c r="R1329" i="1"/>
  <c r="AT1329" i="1" s="1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Y1153" i="1"/>
  <c r="P1153" i="1"/>
  <c r="K3506" i="33" s="1"/>
  <c r="Q1153" i="1"/>
  <c r="AU1153" i="1" s="1"/>
  <c r="R1153" i="1"/>
  <c r="B3507" i="33"/>
  <c r="U3506" i="33"/>
  <c r="B3506" i="33"/>
  <c r="U3505" i="33"/>
  <c r="Y1342" i="1"/>
  <c r="P1342" i="1"/>
  <c r="Q1342" i="1"/>
  <c r="AU1342" i="1" s="1"/>
  <c r="R1342" i="1"/>
  <c r="AT1342" i="1" s="1"/>
  <c r="B3505" i="33"/>
  <c r="U3504" i="33"/>
  <c r="B3504" i="33"/>
  <c r="U3503" i="33"/>
  <c r="B3503" i="33"/>
  <c r="U3502" i="33"/>
  <c r="Y1201" i="1"/>
  <c r="P1201" i="1"/>
  <c r="K3501" i="33" s="1"/>
  <c r="Q1201" i="1"/>
  <c r="AU1201" i="1" s="1"/>
  <c r="R1201" i="1"/>
  <c r="AT1201" i="1" s="1"/>
  <c r="B3502" i="33"/>
  <c r="U3501" i="33"/>
  <c r="B3501" i="33"/>
  <c r="U3500" i="33"/>
  <c r="Y1140" i="1"/>
  <c r="P1140" i="1"/>
  <c r="Q1140" i="1"/>
  <c r="R1140" i="1"/>
  <c r="AT1140" i="1" s="1"/>
  <c r="B3500" i="33"/>
  <c r="U3499" i="33"/>
  <c r="B3499" i="33"/>
  <c r="U3498" i="33"/>
  <c r="Y1165" i="1"/>
  <c r="P1165" i="1"/>
  <c r="K3498" i="33" s="1"/>
  <c r="Q1165" i="1"/>
  <c r="R1165" i="1"/>
  <c r="B3498" i="33"/>
  <c r="U3497" i="33"/>
  <c r="Y1327" i="1"/>
  <c r="P1327" i="1"/>
  <c r="Q1327" i="1"/>
  <c r="AU1327" i="1" s="1"/>
  <c r="R1327" i="1"/>
  <c r="AT1327" i="1" s="1"/>
  <c r="B3497" i="33"/>
  <c r="U3496" i="33"/>
  <c r="B3496" i="33"/>
  <c r="U3495" i="33"/>
  <c r="Y1164" i="1"/>
  <c r="P1164" i="1"/>
  <c r="K3495" i="33" s="1"/>
  <c r="Q1164" i="1"/>
  <c r="R1164" i="1"/>
  <c r="B3495" i="33"/>
  <c r="U3494" i="33"/>
  <c r="Y1226" i="1"/>
  <c r="P1226" i="1"/>
  <c r="K3492" i="33" s="1"/>
  <c r="Q1226" i="1"/>
  <c r="R1226" i="1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Y1152" i="1"/>
  <c r="P1152" i="1"/>
  <c r="K3470" i="33" s="1"/>
  <c r="Q1152" i="1"/>
  <c r="AU1152" i="1" s="1"/>
  <c r="R1152" i="1"/>
  <c r="B3471" i="33"/>
  <c r="U3470" i="33"/>
  <c r="B3470" i="33"/>
  <c r="U3469" i="33"/>
  <c r="B3469" i="33"/>
  <c r="U3468" i="33"/>
  <c r="Y1260" i="1"/>
  <c r="P1260" i="1"/>
  <c r="Q1260" i="1"/>
  <c r="R1260" i="1"/>
  <c r="AT1260" i="1" s="1"/>
  <c r="B3468" i="33"/>
  <c r="U3467" i="33"/>
  <c r="B3467" i="33"/>
  <c r="U3466" i="33"/>
  <c r="B3466" i="33"/>
  <c r="U3465" i="33"/>
  <c r="B3465" i="33"/>
  <c r="U3464" i="33"/>
  <c r="Y1096" i="1"/>
  <c r="P1096" i="1"/>
  <c r="K3464" i="33" s="1"/>
  <c r="Q1096" i="1"/>
  <c r="R1096" i="1"/>
  <c r="B3464" i="33"/>
  <c r="U3463" i="33"/>
  <c r="P3463" i="33"/>
  <c r="B3463" i="33"/>
  <c r="U3462" i="33"/>
  <c r="P3462" i="33"/>
  <c r="B3462" i="33"/>
  <c r="Y1410" i="1"/>
  <c r="P1410" i="1"/>
  <c r="Q1410" i="1"/>
  <c r="AU1410" i="1" s="1"/>
  <c r="R1410" i="1"/>
  <c r="AT1410" i="1" s="1"/>
  <c r="B3461" i="33"/>
  <c r="B3460" i="33"/>
  <c r="B3459" i="33"/>
  <c r="B3458" i="33"/>
  <c r="B3457" i="33"/>
  <c r="B3456" i="33"/>
  <c r="B3455" i="33"/>
  <c r="U3454" i="33"/>
  <c r="Y1347" i="1"/>
  <c r="P1347" i="1"/>
  <c r="Q1347" i="1"/>
  <c r="AU1347" i="1" s="1"/>
  <c r="R1347" i="1"/>
  <c r="AT1347" i="1" s="1"/>
  <c r="B3454" i="33"/>
  <c r="U3453" i="33"/>
  <c r="B3453" i="33"/>
  <c r="U3452" i="33"/>
  <c r="B3452" i="33"/>
  <c r="U3451" i="33"/>
  <c r="B3451" i="33"/>
  <c r="U3450" i="33"/>
  <c r="B3450" i="33"/>
  <c r="U3449" i="33"/>
  <c r="Y1138" i="1"/>
  <c r="P1138" i="1"/>
  <c r="K3449" i="33" s="1"/>
  <c r="Q1138" i="1"/>
  <c r="R1138" i="1"/>
  <c r="B3449" i="33"/>
  <c r="U3448" i="33"/>
  <c r="B3448" i="33"/>
  <c r="U3447" i="33"/>
  <c r="Y1390" i="1"/>
  <c r="P1390" i="1"/>
  <c r="Q1390" i="1"/>
  <c r="AU1390" i="1" s="1"/>
  <c r="R1390" i="1"/>
  <c r="AT1390" i="1" s="1"/>
  <c r="B3447" i="33"/>
  <c r="U3446" i="33"/>
  <c r="Y1193" i="1"/>
  <c r="P1193" i="1"/>
  <c r="Q1193" i="1"/>
  <c r="R1193" i="1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Y1150" i="1"/>
  <c r="P1150" i="1"/>
  <c r="K3432" i="33" s="1"/>
  <c r="Q1150" i="1"/>
  <c r="R1150" i="1"/>
  <c r="B3432" i="33"/>
  <c r="U3431" i="33"/>
  <c r="B3431" i="33"/>
  <c r="U3430" i="33"/>
  <c r="B3430" i="33"/>
  <c r="U3429" i="33"/>
  <c r="Y1040" i="1"/>
  <c r="P1040" i="1"/>
  <c r="K3429" i="33" s="1"/>
  <c r="Q1040" i="1"/>
  <c r="R1040" i="1"/>
  <c r="AT1040" i="1" s="1"/>
  <c r="B3429" i="33"/>
  <c r="U3428" i="33"/>
  <c r="B3428" i="33"/>
  <c r="U3427" i="33"/>
  <c r="B3427" i="33"/>
  <c r="U3426" i="33"/>
  <c r="Y1162" i="1"/>
  <c r="P1162" i="1"/>
  <c r="Q1162" i="1"/>
  <c r="R1162" i="1"/>
  <c r="AT1162" i="1" s="1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Y1041" i="1"/>
  <c r="P1041" i="1"/>
  <c r="K3415" i="33" s="1"/>
  <c r="Q1041" i="1"/>
  <c r="R1041" i="1"/>
  <c r="AT1041" i="1" s="1"/>
  <c r="B3416" i="33"/>
  <c r="U3415" i="33"/>
  <c r="B3415" i="33"/>
  <c r="U3414" i="33"/>
  <c r="Y1178" i="1"/>
  <c r="P1178" i="1"/>
  <c r="K3412" i="33" s="1"/>
  <c r="Q1178" i="1"/>
  <c r="R1178" i="1"/>
  <c r="AT1178" i="1" s="1"/>
  <c r="B3414" i="33"/>
  <c r="U3413" i="33"/>
  <c r="B3413" i="33"/>
  <c r="U3412" i="33"/>
  <c r="B3412" i="33"/>
  <c r="U3411" i="33"/>
  <c r="Y1246" i="1"/>
  <c r="P1246" i="1"/>
  <c r="Q1246" i="1"/>
  <c r="R1246" i="1"/>
  <c r="B3411" i="33"/>
  <c r="U3410" i="33"/>
  <c r="B3410" i="33"/>
  <c r="U3409" i="33"/>
  <c r="Y1237" i="1"/>
  <c r="P1237" i="1"/>
  <c r="Q1237" i="1"/>
  <c r="R1237" i="1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Y1157" i="1"/>
  <c r="P1157" i="1"/>
  <c r="K3402" i="33" s="1"/>
  <c r="Q1157" i="1"/>
  <c r="R1157" i="1"/>
  <c r="B3403" i="33"/>
  <c r="U3402" i="33"/>
  <c r="B3402" i="33"/>
  <c r="U3401" i="33"/>
  <c r="P3401" i="33"/>
  <c r="B3401" i="33"/>
  <c r="U3400" i="33"/>
  <c r="Y1278" i="1"/>
  <c r="P1278" i="1"/>
  <c r="Q1278" i="1"/>
  <c r="AU1278" i="1" s="1"/>
  <c r="R1278" i="1"/>
  <c r="AT1278" i="1" s="1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Y1034" i="1"/>
  <c r="P1034" i="1"/>
  <c r="K3389" i="33" s="1"/>
  <c r="Q1034" i="1"/>
  <c r="AU1034" i="1" s="1"/>
  <c r="R1034" i="1"/>
  <c r="B3392" i="33"/>
  <c r="U3391" i="33"/>
  <c r="B3391" i="33"/>
  <c r="U3390" i="33"/>
  <c r="B3390" i="33"/>
  <c r="U3389" i="33"/>
  <c r="B3389" i="33"/>
  <c r="U3388" i="33"/>
  <c r="Y1036" i="1"/>
  <c r="P1036" i="1"/>
  <c r="K3388" i="33" s="1"/>
  <c r="Q1036" i="1"/>
  <c r="R1036" i="1"/>
  <c r="B3388" i="33"/>
  <c r="U3387" i="33"/>
  <c r="B3387" i="33"/>
  <c r="U3386" i="33"/>
  <c r="B3386" i="33"/>
  <c r="U3385" i="33"/>
  <c r="Y1174" i="1"/>
  <c r="P1174" i="1"/>
  <c r="Q1174" i="1"/>
  <c r="R1174" i="1"/>
  <c r="B3385" i="33"/>
  <c r="U3384" i="33"/>
  <c r="B3384" i="33"/>
  <c r="U3383" i="33"/>
  <c r="B3383" i="33"/>
  <c r="U3382" i="33"/>
  <c r="B3382" i="33"/>
  <c r="U3381" i="33"/>
  <c r="B3381" i="33"/>
  <c r="U3380" i="33"/>
  <c r="Y1238" i="1"/>
  <c r="P1238" i="1"/>
  <c r="Q1238" i="1"/>
  <c r="R1238" i="1"/>
  <c r="AT1238" i="1" s="1"/>
  <c r="B3380" i="33"/>
  <c r="U3379" i="33"/>
  <c r="B3379" i="33"/>
  <c r="U3378" i="33"/>
  <c r="Y1033" i="1"/>
  <c r="P1033" i="1"/>
  <c r="K3377" i="33" s="1"/>
  <c r="Q1033" i="1"/>
  <c r="R1033" i="1"/>
  <c r="B3378" i="33"/>
  <c r="U3377" i="33"/>
  <c r="B3377" i="33"/>
  <c r="U3376" i="33"/>
  <c r="B3376" i="33"/>
  <c r="U3375" i="33"/>
  <c r="Y1042" i="1"/>
  <c r="P1042" i="1"/>
  <c r="K3372" i="33" s="1"/>
  <c r="Q1042" i="1"/>
  <c r="R1042" i="1"/>
  <c r="B3375" i="33"/>
  <c r="U3374" i="33"/>
  <c r="B3374" i="33"/>
  <c r="U3373" i="33"/>
  <c r="B3373" i="33"/>
  <c r="U3372" i="33"/>
  <c r="B3372" i="33"/>
  <c r="U3371" i="33"/>
  <c r="Y1168" i="1"/>
  <c r="P1168" i="1"/>
  <c r="K3370" i="33" s="1"/>
  <c r="Q1168" i="1"/>
  <c r="R1168" i="1"/>
  <c r="AT1168" i="1" s="1"/>
  <c r="B3371" i="33"/>
  <c r="U3370" i="33"/>
  <c r="B3370" i="33"/>
  <c r="U3369" i="33"/>
  <c r="B3369" i="33"/>
  <c r="U3368" i="33"/>
  <c r="Y999" i="1"/>
  <c r="P999" i="1"/>
  <c r="Q999" i="1"/>
  <c r="R999" i="1"/>
  <c r="B3368" i="33"/>
  <c r="U3367" i="33"/>
  <c r="B3367" i="33"/>
  <c r="U3366" i="33"/>
  <c r="B3366" i="33"/>
  <c r="U3365" i="33"/>
  <c r="B3365" i="33"/>
  <c r="U3364" i="33"/>
  <c r="B3364" i="33"/>
  <c r="Y1160" i="1"/>
  <c r="P1160" i="1"/>
  <c r="Q1160" i="1"/>
  <c r="R1160" i="1"/>
  <c r="B3363" i="33"/>
  <c r="B3362" i="33"/>
  <c r="B3361" i="33"/>
  <c r="B3360" i="33"/>
  <c r="U3359" i="33"/>
  <c r="B3359" i="33"/>
  <c r="U3358" i="33"/>
  <c r="B3358" i="33"/>
  <c r="U3357" i="33"/>
  <c r="B3357" i="33"/>
  <c r="U3356" i="33"/>
  <c r="Y1155" i="1"/>
  <c r="P1155" i="1"/>
  <c r="K3356" i="33" s="1"/>
  <c r="Q1155" i="1"/>
  <c r="R1155" i="1"/>
  <c r="B3356" i="33"/>
  <c r="U3355" i="33"/>
  <c r="B3355" i="33"/>
  <c r="U3354" i="33"/>
  <c r="B3354" i="33"/>
  <c r="U3353" i="33"/>
  <c r="Y1172" i="1"/>
  <c r="P1172" i="1"/>
  <c r="K3353" i="33" s="1"/>
  <c r="Q1172" i="1"/>
  <c r="R1172" i="1"/>
  <c r="B3353" i="33"/>
  <c r="U3352" i="33"/>
  <c r="B3352" i="33"/>
  <c r="U3351" i="33"/>
  <c r="Y1108" i="1"/>
  <c r="P1108" i="1"/>
  <c r="K3351" i="33" s="1"/>
  <c r="Q1108" i="1"/>
  <c r="AU1108" i="1" s="1"/>
  <c r="R1108" i="1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Y1115" i="1"/>
  <c r="P1115" i="1"/>
  <c r="K3344" i="33" s="1"/>
  <c r="Q1115" i="1"/>
  <c r="R1115" i="1"/>
  <c r="B3344" i="33"/>
  <c r="U3343" i="33"/>
  <c r="Y1118" i="1"/>
  <c r="P1118" i="1"/>
  <c r="K3341" i="33" s="1"/>
  <c r="Q1118" i="1"/>
  <c r="AU1118" i="1" s="1"/>
  <c r="R1118" i="1"/>
  <c r="B3343" i="33"/>
  <c r="U3342" i="33"/>
  <c r="B3342" i="33"/>
  <c r="U3341" i="33"/>
  <c r="B3341" i="33"/>
  <c r="U3340" i="33"/>
  <c r="B3340" i="33"/>
  <c r="U3339" i="33"/>
  <c r="Y1043" i="1"/>
  <c r="P1043" i="1"/>
  <c r="Q1043" i="1"/>
  <c r="AU1043" i="1" s="1"/>
  <c r="R1043" i="1"/>
  <c r="B3339" i="33"/>
  <c r="U3338" i="33"/>
  <c r="B3338" i="33"/>
  <c r="U3337" i="33"/>
  <c r="B3337" i="33"/>
  <c r="U3336" i="33"/>
  <c r="Y1148" i="1"/>
  <c r="P1148" i="1"/>
  <c r="Q1148" i="1"/>
  <c r="R1148" i="1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Y1080" i="1"/>
  <c r="P1080" i="1"/>
  <c r="K3325" i="33" s="1"/>
  <c r="Q1080" i="1"/>
  <c r="R1080" i="1"/>
  <c r="B3329" i="33"/>
  <c r="U3328" i="33"/>
  <c r="B3328" i="33"/>
  <c r="U3327" i="33"/>
  <c r="B3327" i="33"/>
  <c r="U3326" i="33"/>
  <c r="B3326" i="33"/>
  <c r="U3325" i="33"/>
  <c r="B3325" i="33"/>
  <c r="U3324" i="33"/>
  <c r="Y996" i="1"/>
  <c r="P996" i="1"/>
  <c r="K3324" i="33" s="1"/>
  <c r="Q996" i="1"/>
  <c r="R996" i="1"/>
  <c r="B3324" i="33"/>
  <c r="U3323" i="33"/>
  <c r="B3323" i="33"/>
  <c r="U3322" i="33"/>
  <c r="Y1024" i="1"/>
  <c r="P1024" i="1"/>
  <c r="K3322" i="33" s="1"/>
  <c r="Q1024" i="1"/>
  <c r="R1024" i="1"/>
  <c r="B3322" i="33"/>
  <c r="U3321" i="33"/>
  <c r="Y1216" i="1"/>
  <c r="P1216" i="1"/>
  <c r="K3319" i="33" s="1"/>
  <c r="Q1216" i="1"/>
  <c r="R1216" i="1"/>
  <c r="B3321" i="33"/>
  <c r="U3320" i="33"/>
  <c r="B3320" i="33"/>
  <c r="U3319" i="33"/>
  <c r="B3319" i="33"/>
  <c r="U3318" i="33"/>
  <c r="Y1023" i="1"/>
  <c r="P1023" i="1"/>
  <c r="K3318" i="33" s="1"/>
  <c r="Q1023" i="1"/>
  <c r="R1023" i="1"/>
  <c r="B3318" i="33"/>
  <c r="U3317" i="33"/>
  <c r="B3317" i="33"/>
  <c r="U3316" i="33"/>
  <c r="B3316" i="33"/>
  <c r="U3315" i="33"/>
  <c r="B3315" i="33"/>
  <c r="U3314" i="33"/>
  <c r="Y1022" i="1"/>
  <c r="P1022" i="1"/>
  <c r="K3314" i="33" s="1"/>
  <c r="Q1022" i="1"/>
  <c r="R1022" i="1"/>
  <c r="B3314" i="33"/>
  <c r="U3313" i="33"/>
  <c r="Y1050" i="1"/>
  <c r="P1050" i="1"/>
  <c r="K3311" i="33" s="1"/>
  <c r="Q1050" i="1"/>
  <c r="R1050" i="1"/>
  <c r="B3313" i="33"/>
  <c r="U3312" i="33"/>
  <c r="B3312" i="33"/>
  <c r="U3311" i="33"/>
  <c r="B3311" i="33"/>
  <c r="U3310" i="33"/>
  <c r="B3310" i="33"/>
  <c r="U3309" i="33"/>
  <c r="B3309" i="33"/>
  <c r="U3308" i="33"/>
  <c r="Y1029" i="1"/>
  <c r="P1029" i="1"/>
  <c r="K3308" i="33" s="1"/>
  <c r="Q1029" i="1"/>
  <c r="R1029" i="1"/>
  <c r="B3308" i="33"/>
  <c r="U3307" i="33"/>
  <c r="B3307" i="33"/>
  <c r="U3306" i="33"/>
  <c r="Y1166" i="1"/>
  <c r="P1166" i="1"/>
  <c r="K3306" i="33" s="1"/>
  <c r="Q1166" i="1"/>
  <c r="R1166" i="1"/>
  <c r="B3306" i="33"/>
  <c r="U3305" i="33"/>
  <c r="Y1248" i="1"/>
  <c r="P1248" i="1"/>
  <c r="Q1248" i="1"/>
  <c r="R1248" i="1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Y1255" i="1"/>
  <c r="P1255" i="1"/>
  <c r="K3296" i="33" s="1"/>
  <c r="Q1255" i="1"/>
  <c r="R1255" i="1"/>
  <c r="B3296" i="33"/>
  <c r="U3295" i="33"/>
  <c r="B3295" i="33"/>
  <c r="U3294" i="33"/>
  <c r="B3294" i="33"/>
  <c r="U3293" i="33"/>
  <c r="B3293" i="33"/>
  <c r="U3292" i="33"/>
  <c r="Y1045" i="1"/>
  <c r="P1045" i="1"/>
  <c r="K3289" i="33" s="1"/>
  <c r="Q1045" i="1"/>
  <c r="R1045" i="1"/>
  <c r="B3292" i="33"/>
  <c r="U3291" i="33"/>
  <c r="B3291" i="33"/>
  <c r="U3290" i="33"/>
  <c r="B3290" i="33"/>
  <c r="U3289" i="33"/>
  <c r="B3289" i="33"/>
  <c r="U3288" i="33"/>
  <c r="B3288" i="33"/>
  <c r="U3287" i="33"/>
  <c r="Y1031" i="1"/>
  <c r="P1031" i="1"/>
  <c r="K3284" i="33" s="1"/>
  <c r="Q1031" i="1"/>
  <c r="R1031" i="1"/>
  <c r="AT1031" i="1" s="1"/>
  <c r="B3287" i="33"/>
  <c r="U3286" i="33"/>
  <c r="B3286" i="33"/>
  <c r="U3285" i="33"/>
  <c r="B3285" i="33"/>
  <c r="U3284" i="33"/>
  <c r="B3284" i="33"/>
  <c r="U3283" i="33"/>
  <c r="Y978" i="1"/>
  <c r="P978" i="1"/>
  <c r="K3282" i="33" s="1"/>
  <c r="Q978" i="1"/>
  <c r="R978" i="1"/>
  <c r="AT978" i="1" s="1"/>
  <c r="B3283" i="33"/>
  <c r="U3282" i="33"/>
  <c r="B3282" i="33"/>
  <c r="U3281" i="33"/>
  <c r="B3281" i="33"/>
  <c r="U3280" i="33"/>
  <c r="Y1095" i="1"/>
  <c r="P1095" i="1"/>
  <c r="Q1095" i="1"/>
  <c r="R1095" i="1"/>
  <c r="B3280" i="33"/>
  <c r="U3279" i="33"/>
  <c r="B3279" i="33"/>
  <c r="U3278" i="33"/>
  <c r="B3278" i="33"/>
  <c r="U3277" i="33"/>
  <c r="B3277" i="33"/>
  <c r="U3276" i="33"/>
  <c r="Y1131" i="1"/>
  <c r="P1131" i="1"/>
  <c r="Q1131" i="1"/>
  <c r="R1131" i="1"/>
  <c r="B3276" i="33"/>
  <c r="U3275" i="33"/>
  <c r="B3275" i="33"/>
  <c r="U3274" i="33"/>
  <c r="B3274" i="33"/>
  <c r="U3273" i="33"/>
  <c r="Y1044" i="1"/>
  <c r="P1044" i="1"/>
  <c r="K3268" i="33" s="1"/>
  <c r="Q1044" i="1"/>
  <c r="R1044" i="1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Y1414" i="1"/>
  <c r="P1414" i="1"/>
  <c r="K3257" i="33" s="1"/>
  <c r="Q1414" i="1"/>
  <c r="R1414" i="1"/>
  <c r="AT1414" i="1" s="1"/>
  <c r="B3257" i="33"/>
  <c r="U3256" i="33"/>
  <c r="B3256" i="33"/>
  <c r="U3255" i="33"/>
  <c r="B3255" i="33"/>
  <c r="U3254" i="33"/>
  <c r="Y979" i="1"/>
  <c r="P979" i="1"/>
  <c r="Q979" i="1"/>
  <c r="AU979" i="1" s="1"/>
  <c r="R979" i="1"/>
  <c r="B3254" i="33"/>
  <c r="U3253" i="33"/>
  <c r="B3253" i="33"/>
  <c r="U3252" i="33"/>
  <c r="B3252" i="33"/>
  <c r="U3251" i="33"/>
  <c r="Y1047" i="1"/>
  <c r="P1047" i="1"/>
  <c r="Q1047" i="1"/>
  <c r="R1047" i="1"/>
  <c r="B3251" i="33"/>
  <c r="U3250" i="33"/>
  <c r="B3250" i="33"/>
  <c r="U3249" i="33"/>
  <c r="B3249" i="33"/>
  <c r="U3248" i="33"/>
  <c r="B3248" i="33"/>
  <c r="U3247" i="33"/>
  <c r="Y983" i="1"/>
  <c r="P983" i="1"/>
  <c r="K3243" i="33" s="1"/>
  <c r="Q983" i="1"/>
  <c r="R983" i="1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Y1068" i="1"/>
  <c r="P1068" i="1"/>
  <c r="K3228" i="33" s="1"/>
  <c r="Q1068" i="1"/>
  <c r="R1068" i="1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Y969" i="1"/>
  <c r="P969" i="1"/>
  <c r="K3220" i="33" s="1"/>
  <c r="Q969" i="1"/>
  <c r="R969" i="1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Y1061" i="1"/>
  <c r="P1061" i="1"/>
  <c r="K3211" i="33" s="1"/>
  <c r="Q1061" i="1"/>
  <c r="R1061" i="1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Y1107" i="1"/>
  <c r="P1107" i="1"/>
  <c r="K3209" i="33" s="1"/>
  <c r="Q1107" i="1"/>
  <c r="R1107" i="1"/>
  <c r="B3209" i="33"/>
  <c r="U3208" i="33"/>
  <c r="Y970" i="1"/>
  <c r="P970" i="1"/>
  <c r="K3208" i="33" s="1"/>
  <c r="Q970" i="1"/>
  <c r="AU970" i="1" s="1"/>
  <c r="R970" i="1"/>
  <c r="B3208" i="33"/>
  <c r="U3207" i="33"/>
  <c r="B3207" i="33"/>
  <c r="U3206" i="33"/>
  <c r="Y1032" i="1"/>
  <c r="P1032" i="1"/>
  <c r="K3206" i="33" s="1"/>
  <c r="Q1032" i="1"/>
  <c r="AU1032" i="1" s="1"/>
  <c r="R1032" i="1"/>
  <c r="B3206" i="33"/>
  <c r="U3205" i="33"/>
  <c r="B3205" i="33"/>
  <c r="U3204" i="33"/>
  <c r="B3204" i="33"/>
  <c r="U3203" i="33"/>
  <c r="B3203" i="33"/>
  <c r="U3202" i="33"/>
  <c r="B3202" i="33"/>
  <c r="U3201" i="33"/>
  <c r="Y1139" i="1"/>
  <c r="P1139" i="1"/>
  <c r="Q1139" i="1"/>
  <c r="AU1139" i="1" s="1"/>
  <c r="R1139" i="1"/>
  <c r="AT1139" i="1" s="1"/>
  <c r="B3201" i="33"/>
  <c r="U3200" i="33"/>
  <c r="B3200" i="33"/>
  <c r="U3199" i="33"/>
  <c r="Y1038" i="1"/>
  <c r="P1038" i="1"/>
  <c r="Q1038" i="1"/>
  <c r="R1038" i="1"/>
  <c r="AT1038" i="1" s="1"/>
  <c r="B3199" i="33"/>
  <c r="U3198" i="33"/>
  <c r="B3198" i="33"/>
  <c r="U3197" i="33"/>
  <c r="B3197" i="33"/>
  <c r="U3196" i="33"/>
  <c r="B3196" i="33"/>
  <c r="U3195" i="33"/>
  <c r="Y1345" i="1"/>
  <c r="P1345" i="1"/>
  <c r="Q1345" i="1"/>
  <c r="AU1345" i="1" s="1"/>
  <c r="R1345" i="1"/>
  <c r="AT1345" i="1" s="1"/>
  <c r="B3195" i="33"/>
  <c r="U3194" i="33"/>
  <c r="B3194" i="33"/>
  <c r="U3193" i="33"/>
  <c r="B3193" i="33"/>
  <c r="U3192" i="33"/>
  <c r="B3192" i="33"/>
  <c r="U3191" i="33"/>
  <c r="B3191" i="33"/>
  <c r="U3190" i="33"/>
  <c r="Y909" i="1"/>
  <c r="P909" i="1"/>
  <c r="K3189" i="33" s="1"/>
  <c r="Q909" i="1"/>
  <c r="R909" i="1"/>
  <c r="B3190" i="33"/>
  <c r="U3189" i="33"/>
  <c r="B3189" i="33"/>
  <c r="U3188" i="33"/>
  <c r="B3188" i="33"/>
  <c r="U3187" i="33"/>
  <c r="B3187" i="33"/>
  <c r="U3186" i="33"/>
  <c r="B3186" i="33"/>
  <c r="U3185" i="33"/>
  <c r="Y1104" i="1"/>
  <c r="P1104" i="1"/>
  <c r="K3184" i="33" s="1"/>
  <c r="Q1104" i="1"/>
  <c r="R1104" i="1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Y1019" i="1"/>
  <c r="P1019" i="1"/>
  <c r="K3177" i="33" s="1"/>
  <c r="Q1019" i="1"/>
  <c r="R1019" i="1"/>
  <c r="B3177" i="33"/>
  <c r="U3176" i="33"/>
  <c r="B3176" i="33"/>
  <c r="U3175" i="33"/>
  <c r="Y1053" i="1"/>
  <c r="P1053" i="1"/>
  <c r="K3175" i="33" s="1"/>
  <c r="Q1053" i="1"/>
  <c r="R1053" i="1"/>
  <c r="B3175" i="33"/>
  <c r="U3174" i="33"/>
  <c r="Y1101" i="1"/>
  <c r="P1101" i="1"/>
  <c r="K3174" i="33" s="1"/>
  <c r="Q1101" i="1"/>
  <c r="R1101" i="1"/>
  <c r="B3174" i="33"/>
  <c r="U3173" i="33"/>
  <c r="Y915" i="1"/>
  <c r="P915" i="1"/>
  <c r="K3173" i="33" s="1"/>
  <c r="Q915" i="1"/>
  <c r="R915" i="1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Y778" i="1"/>
  <c r="P778" i="1"/>
  <c r="K3164" i="33" s="1"/>
  <c r="Q778" i="1"/>
  <c r="R778" i="1"/>
  <c r="B3164" i="33"/>
  <c r="U3163" i="33"/>
  <c r="B3163" i="33"/>
  <c r="U3162" i="33"/>
  <c r="Y1084" i="1"/>
  <c r="P1084" i="1"/>
  <c r="K3160" i="33" s="1"/>
  <c r="Q1084" i="1"/>
  <c r="R1084" i="1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Y1064" i="1"/>
  <c r="P1064" i="1"/>
  <c r="K3151" i="33" s="1"/>
  <c r="Q1064" i="1"/>
  <c r="R1064" i="1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Y962" i="1"/>
  <c r="P962" i="1"/>
  <c r="Q962" i="1"/>
  <c r="R962" i="1"/>
  <c r="B3148" i="33"/>
  <c r="U3147" i="33"/>
  <c r="B3147" i="33"/>
  <c r="U3146" i="33"/>
  <c r="Y963" i="1"/>
  <c r="P963" i="1"/>
  <c r="K3146" i="33" s="1"/>
  <c r="Q963" i="1"/>
  <c r="AU963" i="1" s="1"/>
  <c r="R963" i="1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Y980" i="1"/>
  <c r="P980" i="1"/>
  <c r="K3139" i="33" s="1"/>
  <c r="Q980" i="1"/>
  <c r="R980" i="1"/>
  <c r="B3139" i="33"/>
  <c r="Y716" i="1"/>
  <c r="P716" i="1"/>
  <c r="K2853" i="33" s="1"/>
  <c r="Q716" i="1"/>
  <c r="R716" i="1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Y1082" i="1"/>
  <c r="P1082" i="1"/>
  <c r="Q1082" i="1"/>
  <c r="R1082" i="1"/>
  <c r="AT1082" i="1" s="1"/>
  <c r="B3132" i="33"/>
  <c r="U3131" i="33"/>
  <c r="B3131" i="33"/>
  <c r="U3130" i="33"/>
  <c r="B3130" i="33"/>
  <c r="U3129" i="33"/>
  <c r="Y1017" i="1"/>
  <c r="P1017" i="1"/>
  <c r="K3127" i="33" s="1"/>
  <c r="Q1017" i="1"/>
  <c r="R1017" i="1"/>
  <c r="B3129" i="33"/>
  <c r="U3128" i="33"/>
  <c r="B3128" i="33"/>
  <c r="U3127" i="33"/>
  <c r="B3127" i="33"/>
  <c r="U3126" i="33"/>
  <c r="Y1016" i="1"/>
  <c r="P1016" i="1"/>
  <c r="Q1016" i="1"/>
  <c r="R1016" i="1"/>
  <c r="B3126" i="33"/>
  <c r="U3125" i="33"/>
  <c r="B3125" i="33"/>
  <c r="U3124" i="33"/>
  <c r="B3124" i="33"/>
  <c r="U3123" i="33"/>
  <c r="B3123" i="33"/>
  <c r="U3122" i="33"/>
  <c r="Y1211" i="1"/>
  <c r="P1211" i="1"/>
  <c r="K3122" i="33" s="1"/>
  <c r="Q1211" i="1"/>
  <c r="R1211" i="1"/>
  <c r="AT1211" i="1" s="1"/>
  <c r="B3122" i="33"/>
  <c r="U3121" i="33"/>
  <c r="B3121" i="33"/>
  <c r="U3120" i="33"/>
  <c r="B3120" i="33"/>
  <c r="U3119" i="33"/>
  <c r="B3119" i="33"/>
  <c r="U3118" i="33"/>
  <c r="Y976" i="1"/>
  <c r="P976" i="1"/>
  <c r="Q976" i="1"/>
  <c r="R976" i="1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Y1343" i="1"/>
  <c r="P1343" i="1"/>
  <c r="Q1343" i="1"/>
  <c r="AU1343" i="1" s="1"/>
  <c r="R1343" i="1"/>
  <c r="AT1343" i="1" s="1"/>
  <c r="B3111" i="33"/>
  <c r="U3110" i="33"/>
  <c r="B3110" i="33"/>
  <c r="U3109" i="33"/>
  <c r="B3109" i="33"/>
  <c r="U3108" i="33"/>
  <c r="B3108" i="33"/>
  <c r="U3107" i="33"/>
  <c r="Y944" i="1"/>
  <c r="P944" i="1"/>
  <c r="K3106" i="33" s="1"/>
  <c r="Q944" i="1"/>
  <c r="R944" i="1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Y1018" i="1"/>
  <c r="P1018" i="1"/>
  <c r="Q1018" i="1"/>
  <c r="AU1018" i="1" s="1"/>
  <c r="R1018" i="1"/>
  <c r="AT1018" i="1" s="1"/>
  <c r="B3095" i="33"/>
  <c r="U3094" i="33"/>
  <c r="B3094" i="33"/>
  <c r="U3093" i="33"/>
  <c r="B3093" i="33"/>
  <c r="U3092" i="33"/>
  <c r="B3092" i="33"/>
  <c r="U3091" i="33"/>
  <c r="Y884" i="1"/>
  <c r="P884" i="1"/>
  <c r="K3088" i="33" s="1"/>
  <c r="Q884" i="1"/>
  <c r="AU884" i="1" s="1"/>
  <c r="R884" i="1"/>
  <c r="B3091" i="33"/>
  <c r="U3090" i="33"/>
  <c r="B3090" i="33"/>
  <c r="U3089" i="33"/>
  <c r="B3089" i="33"/>
  <c r="U3088" i="33"/>
  <c r="B3088" i="33"/>
  <c r="U3087" i="33"/>
  <c r="Y1011" i="1"/>
  <c r="P1011" i="1"/>
  <c r="Q1011" i="1"/>
  <c r="AU1011" i="1" s="1"/>
  <c r="R1011" i="1"/>
  <c r="B3087" i="33"/>
  <c r="U3086" i="33"/>
  <c r="B3086" i="33"/>
  <c r="U3085" i="33"/>
  <c r="B3085" i="33"/>
  <c r="U3084" i="33"/>
  <c r="Y1074" i="1"/>
  <c r="P1074" i="1"/>
  <c r="Q1074" i="1"/>
  <c r="R1074" i="1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Y990" i="1"/>
  <c r="P990" i="1"/>
  <c r="K3077" i="33" s="1"/>
  <c r="Q990" i="1"/>
  <c r="R990" i="1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Y965" i="1"/>
  <c r="P965" i="1"/>
  <c r="K3057" i="33" s="1"/>
  <c r="Q965" i="1"/>
  <c r="R965" i="1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Y1102" i="1"/>
  <c r="P1102" i="1"/>
  <c r="Q1102" i="1"/>
  <c r="R1102" i="1"/>
  <c r="B3055" i="33"/>
  <c r="U3054" i="33"/>
  <c r="B3054" i="33"/>
  <c r="U3053" i="33"/>
  <c r="Y987" i="1"/>
  <c r="P987" i="1"/>
  <c r="Q987" i="1"/>
  <c r="AU987" i="1" s="1"/>
  <c r="R987" i="1"/>
  <c r="B3053" i="33"/>
  <c r="U3052" i="33"/>
  <c r="B3052" i="33"/>
  <c r="U3051" i="33"/>
  <c r="B3051" i="33"/>
  <c r="U3050" i="33"/>
  <c r="B3050" i="33"/>
  <c r="U3049" i="33"/>
  <c r="B3049" i="33"/>
  <c r="U3048" i="33"/>
  <c r="Y921" i="1"/>
  <c r="P921" i="1"/>
  <c r="K3047" i="33" s="1"/>
  <c r="Q921" i="1"/>
  <c r="AU921" i="1" s="1"/>
  <c r="R921" i="1"/>
  <c r="AT921" i="1" s="1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Y961" i="1"/>
  <c r="P961" i="1"/>
  <c r="K3041" i="33" s="1"/>
  <c r="Q961" i="1"/>
  <c r="R961" i="1"/>
  <c r="AT961" i="1" s="1"/>
  <c r="B3042" i="33"/>
  <c r="U3041" i="33"/>
  <c r="B3041" i="33"/>
  <c r="U3040" i="33"/>
  <c r="B3040" i="33"/>
  <c r="U3039" i="33"/>
  <c r="Y802" i="1"/>
  <c r="P802" i="1"/>
  <c r="Q802" i="1"/>
  <c r="R802" i="1"/>
  <c r="AT802" i="1" s="1"/>
  <c r="B3039" i="33"/>
  <c r="U3038" i="33"/>
  <c r="B3038" i="33"/>
  <c r="U3037" i="33"/>
  <c r="B3037" i="33"/>
  <c r="U3036" i="33"/>
  <c r="B3036" i="33"/>
  <c r="U3035" i="33"/>
  <c r="Y1007" i="1"/>
  <c r="P1007" i="1"/>
  <c r="K3033" i="33" s="1"/>
  <c r="Q1007" i="1"/>
  <c r="AU1007" i="1" s="1"/>
  <c r="R1007" i="1"/>
  <c r="B3035" i="33"/>
  <c r="U3034" i="33"/>
  <c r="B3034" i="33"/>
  <c r="U3033" i="33"/>
  <c r="B3033" i="33"/>
  <c r="U3032" i="33"/>
  <c r="B3032" i="33"/>
  <c r="U3031" i="33"/>
  <c r="Y862" i="1"/>
  <c r="P862" i="1"/>
  <c r="Q862" i="1"/>
  <c r="AU862" i="1" s="1"/>
  <c r="R862" i="1"/>
  <c r="B3031" i="33"/>
  <c r="U3030" i="33"/>
  <c r="B3030" i="33"/>
  <c r="U3029" i="33"/>
  <c r="Y1090" i="1"/>
  <c r="P1090" i="1"/>
  <c r="Q1090" i="1"/>
  <c r="R1090" i="1"/>
  <c r="B3029" i="33"/>
  <c r="U3028" i="33"/>
  <c r="B3028" i="33"/>
  <c r="U3027" i="33"/>
  <c r="B3027" i="33"/>
  <c r="U3026" i="33"/>
  <c r="Y922" i="1"/>
  <c r="P922" i="1"/>
  <c r="K3026" i="33" s="1"/>
  <c r="Q922" i="1"/>
  <c r="R922" i="1"/>
  <c r="B3026" i="33"/>
  <c r="U3025" i="33"/>
  <c r="Y853" i="1"/>
  <c r="P853" i="1"/>
  <c r="K3025" i="33" s="1"/>
  <c r="Q853" i="1"/>
  <c r="R853" i="1"/>
  <c r="AT853" i="1" s="1"/>
  <c r="B3025" i="33"/>
  <c r="U3024" i="33"/>
  <c r="B3024" i="33"/>
  <c r="U3023" i="33"/>
  <c r="B3023" i="33"/>
  <c r="U3022" i="33"/>
  <c r="B3022" i="33"/>
  <c r="U3021" i="33"/>
  <c r="Y988" i="1"/>
  <c r="P988" i="1"/>
  <c r="Q988" i="1"/>
  <c r="R988" i="1"/>
  <c r="AT988" i="1" s="1"/>
  <c r="B3021" i="33"/>
  <c r="U3020" i="33"/>
  <c r="B3020" i="33"/>
  <c r="U3019" i="33"/>
  <c r="Y1010" i="1"/>
  <c r="P1010" i="1"/>
  <c r="K3019" i="33" s="1"/>
  <c r="Q1010" i="1"/>
  <c r="R1010" i="1"/>
  <c r="AT1010" i="1" s="1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Y895" i="1"/>
  <c r="P895" i="1"/>
  <c r="K3009" i="33" s="1"/>
  <c r="Q895" i="1"/>
  <c r="AU895" i="1" s="1"/>
  <c r="R895" i="1"/>
  <c r="AT895" i="1" s="1"/>
  <c r="B3009" i="33"/>
  <c r="U3008" i="33"/>
  <c r="B3008" i="33"/>
  <c r="U3007" i="33"/>
  <c r="B3007" i="33"/>
  <c r="U3006" i="33"/>
  <c r="Y977" i="1"/>
  <c r="P977" i="1"/>
  <c r="K2996" i="33" s="1"/>
  <c r="Q977" i="1"/>
  <c r="R977" i="1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Y1060" i="1"/>
  <c r="P1060" i="1"/>
  <c r="K2992" i="33" s="1"/>
  <c r="Q1060" i="1"/>
  <c r="R1060" i="1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P808" i="1"/>
  <c r="K2986" i="33" s="1"/>
  <c r="Q808" i="1"/>
  <c r="R808" i="1"/>
  <c r="B2986" i="33"/>
  <c r="U2985" i="33"/>
  <c r="Y863" i="1"/>
  <c r="P863" i="1"/>
  <c r="K2985" i="33" s="1"/>
  <c r="Q863" i="1"/>
  <c r="R863" i="1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Y896" i="1"/>
  <c r="P896" i="1"/>
  <c r="K2971" i="33" s="1"/>
  <c r="Q896" i="1"/>
  <c r="R896" i="1"/>
  <c r="B2971" i="33"/>
  <c r="U2970" i="33"/>
  <c r="Y1009" i="1"/>
  <c r="P1009" i="1"/>
  <c r="K2970" i="33" s="1"/>
  <c r="Q1009" i="1"/>
  <c r="R1009" i="1"/>
  <c r="B2970" i="33"/>
  <c r="U2969" i="33"/>
  <c r="B2969" i="33"/>
  <c r="U2968" i="33"/>
  <c r="B2968" i="33"/>
  <c r="U2967" i="33"/>
  <c r="Y959" i="1"/>
  <c r="P959" i="1"/>
  <c r="K2967" i="33" s="1"/>
  <c r="Q959" i="1"/>
  <c r="R959" i="1"/>
  <c r="B2967" i="33"/>
  <c r="U2966" i="33"/>
  <c r="B2966" i="33"/>
  <c r="U2965" i="33"/>
  <c r="B2965" i="33"/>
  <c r="U2964" i="33"/>
  <c r="Y991" i="1"/>
  <c r="P991" i="1"/>
  <c r="K2964" i="33" s="1"/>
  <c r="Q991" i="1"/>
  <c r="R991" i="1"/>
  <c r="B2964" i="33"/>
  <c r="U2963" i="33"/>
  <c r="B2963" i="33"/>
  <c r="U2962" i="33"/>
  <c r="B2962" i="33"/>
  <c r="U2961" i="33"/>
  <c r="B2961" i="33"/>
  <c r="U2960" i="33"/>
  <c r="B2960" i="33"/>
  <c r="U2959" i="33"/>
  <c r="Y1006" i="1"/>
  <c r="P1006" i="1"/>
  <c r="K2959" i="33" s="1"/>
  <c r="Q1006" i="1"/>
  <c r="R1006" i="1"/>
  <c r="B2959" i="33"/>
  <c r="U2958" i="33"/>
  <c r="Y890" i="1"/>
  <c r="P890" i="1"/>
  <c r="Q890" i="1"/>
  <c r="AU890" i="1" s="1"/>
  <c r="R890" i="1"/>
  <c r="AT890" i="1" s="1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Y943" i="1"/>
  <c r="P943" i="1"/>
  <c r="K2946" i="33" s="1"/>
  <c r="Q943" i="1"/>
  <c r="R943" i="1"/>
  <c r="AT943" i="1" s="1"/>
  <c r="B2946" i="33"/>
  <c r="U2945" i="33"/>
  <c r="B2945" i="33"/>
  <c r="U2944" i="33"/>
  <c r="Y1192" i="1"/>
  <c r="P1192" i="1"/>
  <c r="Q1192" i="1"/>
  <c r="R1192" i="1"/>
  <c r="B2944" i="33"/>
  <c r="U2943" i="33"/>
  <c r="B2943" i="33"/>
  <c r="U2942" i="33"/>
  <c r="B2942" i="33"/>
  <c r="U2941" i="33"/>
  <c r="Y793" i="1"/>
  <c r="P793" i="1"/>
  <c r="K2941" i="33" s="1"/>
  <c r="Q793" i="1"/>
  <c r="R793" i="1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Y947" i="1"/>
  <c r="P947" i="1"/>
  <c r="K2927" i="33" s="1"/>
  <c r="Q947" i="1"/>
  <c r="R947" i="1"/>
  <c r="AT947" i="1" s="1"/>
  <c r="B2928" i="33"/>
  <c r="U2927" i="33"/>
  <c r="B2927" i="33"/>
  <c r="U2926" i="33"/>
  <c r="Y850" i="1"/>
  <c r="P850" i="1"/>
  <c r="Q850" i="1"/>
  <c r="AU850" i="1" s="1"/>
  <c r="R850" i="1"/>
  <c r="AT850" i="1" s="1"/>
  <c r="B2926" i="33"/>
  <c r="U2925" i="33"/>
  <c r="B2925" i="33"/>
  <c r="U2924" i="33"/>
  <c r="Y848" i="1"/>
  <c r="P848" i="1"/>
  <c r="K2924" i="33" s="1"/>
  <c r="Q848" i="1"/>
  <c r="R848" i="1"/>
  <c r="AT848" i="1" s="1"/>
  <c r="B2924" i="33"/>
  <c r="U2923" i="33"/>
  <c r="B2923" i="33"/>
  <c r="U2922" i="33"/>
  <c r="B2922" i="33"/>
  <c r="U2921" i="33"/>
  <c r="Y806" i="1"/>
  <c r="P806" i="1"/>
  <c r="Q806" i="1"/>
  <c r="R806" i="1"/>
  <c r="B2921" i="33"/>
  <c r="U2920" i="33"/>
  <c r="B2920" i="33"/>
  <c r="U2919" i="33"/>
  <c r="Y927" i="1"/>
  <c r="P927" i="1"/>
  <c r="Q927" i="1"/>
  <c r="R927" i="1"/>
  <c r="AT927" i="1" s="1"/>
  <c r="B2919" i="33"/>
  <c r="U2918" i="33"/>
  <c r="B2918" i="33"/>
  <c r="U2917" i="33"/>
  <c r="Y939" i="1"/>
  <c r="P939" i="1"/>
  <c r="K2916" i="33" s="1"/>
  <c r="Q939" i="1"/>
  <c r="R939" i="1"/>
  <c r="AT939" i="1" s="1"/>
  <c r="B2917" i="33"/>
  <c r="U2916" i="33"/>
  <c r="B2916" i="33"/>
  <c r="U2915" i="33"/>
  <c r="Y685" i="1"/>
  <c r="P685" i="1"/>
  <c r="K2915" i="33" s="1"/>
  <c r="Q685" i="1"/>
  <c r="R685" i="1"/>
  <c r="B2915" i="33"/>
  <c r="U2914" i="33"/>
  <c r="Y1071" i="1"/>
  <c r="P1071" i="1"/>
  <c r="K2910" i="33" s="1"/>
  <c r="Q1071" i="1"/>
  <c r="R1071" i="1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Y906" i="1"/>
  <c r="P906" i="1"/>
  <c r="Q906" i="1"/>
  <c r="AU906" i="1" s="1"/>
  <c r="R906" i="1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Y1146" i="1"/>
  <c r="P1146" i="1"/>
  <c r="K2893" i="33" s="1"/>
  <c r="Q1146" i="1"/>
  <c r="R1146" i="1"/>
  <c r="B2893" i="33"/>
  <c r="U2892" i="33"/>
  <c r="Y684" i="1"/>
  <c r="P684" i="1"/>
  <c r="K2892" i="33" s="1"/>
  <c r="Q684" i="1"/>
  <c r="R684" i="1"/>
  <c r="B2892" i="33"/>
  <c r="U2891" i="33"/>
  <c r="Y865" i="1"/>
  <c r="P865" i="1"/>
  <c r="K2889" i="33" s="1"/>
  <c r="Q865" i="1"/>
  <c r="R865" i="1"/>
  <c r="AT865" i="1" s="1"/>
  <c r="B2891" i="33"/>
  <c r="U2890" i="33"/>
  <c r="B2890" i="33"/>
  <c r="U2889" i="33"/>
  <c r="B2889" i="33"/>
  <c r="U2888" i="33"/>
  <c r="Y1388" i="1"/>
  <c r="P1388" i="1"/>
  <c r="K2887" i="33" s="1"/>
  <c r="Q1388" i="1"/>
  <c r="AU1388" i="1" s="1"/>
  <c r="R1388" i="1"/>
  <c r="B2888" i="33"/>
  <c r="U2887" i="33"/>
  <c r="B2887" i="33"/>
  <c r="U2886" i="33"/>
  <c r="Y1422" i="1"/>
  <c r="P1422" i="1"/>
  <c r="Q1422" i="1"/>
  <c r="AU1422" i="1" s="1"/>
  <c r="R1422" i="1"/>
  <c r="AT1422" i="1" s="1"/>
  <c r="B2886" i="33"/>
  <c r="U2885" i="33"/>
  <c r="B2885" i="33"/>
  <c r="U2884" i="33"/>
  <c r="Y1087" i="1"/>
  <c r="P1087" i="1"/>
  <c r="K2882" i="33" s="1"/>
  <c r="Q1087" i="1"/>
  <c r="R1087" i="1"/>
  <c r="B2884" i="33"/>
  <c r="U2883" i="33"/>
  <c r="B2883" i="33"/>
  <c r="U2882" i="33"/>
  <c r="B2882" i="33"/>
  <c r="U2881" i="33"/>
  <c r="Y1078" i="1"/>
  <c r="P1078" i="1"/>
  <c r="K2880" i="33" s="1"/>
  <c r="Q1078" i="1"/>
  <c r="R1078" i="1"/>
  <c r="AT1078" i="1" s="1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Y810" i="1"/>
  <c r="P810" i="1"/>
  <c r="Q810" i="1"/>
  <c r="R810" i="1"/>
  <c r="B2875" i="33"/>
  <c r="U2874" i="33"/>
  <c r="B2874" i="33"/>
  <c r="U2873" i="33"/>
  <c r="B2873" i="33"/>
  <c r="U2872" i="33"/>
  <c r="Y849" i="1"/>
  <c r="P849" i="1"/>
  <c r="K2870" i="33" s="1"/>
  <c r="Q849" i="1"/>
  <c r="R849" i="1"/>
  <c r="B2872" i="33"/>
  <c r="U2871" i="33"/>
  <c r="B2871" i="33"/>
  <c r="U2870" i="33"/>
  <c r="B2870" i="33"/>
  <c r="U2869" i="33"/>
  <c r="B2869" i="33"/>
  <c r="U2868" i="33"/>
  <c r="Y740" i="1"/>
  <c r="P740" i="1"/>
  <c r="K2867" i="33" s="1"/>
  <c r="Q740" i="1"/>
  <c r="R740" i="1"/>
  <c r="AT740" i="1" s="1"/>
  <c r="B2868" i="33"/>
  <c r="U2867" i="33"/>
  <c r="B2867" i="33"/>
  <c r="U2866" i="33"/>
  <c r="Y889" i="1"/>
  <c r="P889" i="1"/>
  <c r="K2866" i="33" s="1"/>
  <c r="Q889" i="1"/>
  <c r="R889" i="1"/>
  <c r="B2866" i="33"/>
  <c r="U2865" i="33"/>
  <c r="Y905" i="1"/>
  <c r="P905" i="1"/>
  <c r="K2862" i="33" s="1"/>
  <c r="Q905" i="1"/>
  <c r="R905" i="1"/>
  <c r="B2865" i="33"/>
  <c r="U2864" i="33"/>
  <c r="B2864" i="33"/>
  <c r="U2863" i="33"/>
  <c r="B2863" i="33"/>
  <c r="U2862" i="33"/>
  <c r="B2862" i="33"/>
  <c r="U2861" i="33"/>
  <c r="Y886" i="1"/>
  <c r="P886" i="1"/>
  <c r="K2861" i="33" s="1"/>
  <c r="Q886" i="1"/>
  <c r="R886" i="1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Y770" i="1"/>
  <c r="P770" i="1"/>
  <c r="K2854" i="33" s="1"/>
  <c r="Q770" i="1"/>
  <c r="R770" i="1"/>
  <c r="B2854" i="33"/>
  <c r="U2853" i="33"/>
  <c r="B2853" i="33"/>
  <c r="U2852" i="33"/>
  <c r="Y871" i="1"/>
  <c r="P871" i="1"/>
  <c r="K2849" i="33" s="1"/>
  <c r="Q871" i="1"/>
  <c r="R871" i="1"/>
  <c r="B2852" i="33"/>
  <c r="U2851" i="33"/>
  <c r="B2851" i="33"/>
  <c r="U2850" i="33"/>
  <c r="B2850" i="33"/>
  <c r="U2849" i="33"/>
  <c r="B2849" i="33"/>
  <c r="U2848" i="33"/>
  <c r="B2848" i="33"/>
  <c r="U2847" i="33"/>
  <c r="Y923" i="1"/>
  <c r="P923" i="1"/>
  <c r="Q923" i="1"/>
  <c r="AU923" i="1" s="1"/>
  <c r="R923" i="1"/>
  <c r="B2847" i="33"/>
  <c r="U2846" i="33"/>
  <c r="B2846" i="33"/>
  <c r="U2845" i="33"/>
  <c r="Y861" i="1"/>
  <c r="P861" i="1"/>
  <c r="Q861" i="1"/>
  <c r="AU861" i="1" s="1"/>
  <c r="R861" i="1"/>
  <c r="AT861" i="1" s="1"/>
  <c r="B2845" i="33"/>
  <c r="U2844" i="33"/>
  <c r="B2844" i="33"/>
  <c r="U2843" i="33"/>
  <c r="Y795" i="1"/>
  <c r="P795" i="1"/>
  <c r="K2843" i="33" s="1"/>
  <c r="Q795" i="1"/>
  <c r="R795" i="1"/>
  <c r="AT795" i="1" s="1"/>
  <c r="B2843" i="33"/>
  <c r="U2842" i="33"/>
  <c r="B2842" i="33"/>
  <c r="U2841" i="33"/>
  <c r="Y919" i="1"/>
  <c r="P919" i="1"/>
  <c r="Q919" i="1"/>
  <c r="R919" i="1"/>
  <c r="AT919" i="1" s="1"/>
  <c r="B2841" i="33"/>
  <c r="U2840" i="33"/>
  <c r="B2840" i="33"/>
  <c r="U2839" i="33"/>
  <c r="B2839" i="33"/>
  <c r="U2838" i="33"/>
  <c r="Y1055" i="1"/>
  <c r="P1055" i="1"/>
  <c r="Q1055" i="1"/>
  <c r="R1055" i="1"/>
  <c r="B2838" i="33"/>
  <c r="U2837" i="33"/>
  <c r="B2837" i="33"/>
  <c r="U2836" i="33"/>
  <c r="B2836" i="33"/>
  <c r="U2835" i="33"/>
  <c r="B2835" i="33"/>
  <c r="U2834" i="33"/>
  <c r="B2834" i="33"/>
  <c r="U2833" i="33"/>
  <c r="Y975" i="1"/>
  <c r="P975" i="1"/>
  <c r="K2830" i="33" s="1"/>
  <c r="Q975" i="1"/>
  <c r="R975" i="1"/>
  <c r="AT975" i="1" s="1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Y1058" i="1"/>
  <c r="P1058" i="1"/>
  <c r="K2823" i="33" s="1"/>
  <c r="Q1058" i="1"/>
  <c r="R1058" i="1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Y687" i="1"/>
  <c r="P687" i="1"/>
  <c r="Q687" i="1"/>
  <c r="R687" i="1"/>
  <c r="B2819" i="33"/>
  <c r="U2818" i="33"/>
  <c r="B2818" i="33"/>
  <c r="U2817" i="33"/>
  <c r="B2817" i="33"/>
  <c r="U2816" i="33"/>
  <c r="Y940" i="1"/>
  <c r="P940" i="1"/>
  <c r="K2810" i="33" s="1"/>
  <c r="Q940" i="1"/>
  <c r="R940" i="1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Y981" i="1"/>
  <c r="P981" i="1"/>
  <c r="K2805" i="33" s="1"/>
  <c r="Q981" i="1"/>
  <c r="R981" i="1"/>
  <c r="AT981" i="1" s="1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Y837" i="1"/>
  <c r="P837" i="1"/>
  <c r="Q837" i="1"/>
  <c r="R837" i="1"/>
  <c r="B2799" i="33"/>
  <c r="U2798" i="33"/>
  <c r="B2798" i="33"/>
  <c r="U2797" i="33"/>
  <c r="B2797" i="33"/>
  <c r="U2796" i="33"/>
  <c r="B2796" i="33"/>
  <c r="U2795" i="33"/>
  <c r="B2795" i="33"/>
  <c r="U2794" i="33"/>
  <c r="Y1421" i="1"/>
  <c r="P1421" i="1"/>
  <c r="Q1421" i="1"/>
  <c r="AU1421" i="1" s="1"/>
  <c r="R1421" i="1"/>
  <c r="AT1421" i="1" s="1"/>
  <c r="B2794" i="33"/>
  <c r="U2793" i="33"/>
  <c r="B2793" i="33"/>
  <c r="U2792" i="33"/>
  <c r="B2792" i="33"/>
  <c r="U2791" i="33"/>
  <c r="B2791" i="33"/>
  <c r="U2790" i="33"/>
  <c r="P877" i="1"/>
  <c r="K2790" i="33" s="1"/>
  <c r="Q877" i="1"/>
  <c r="R877" i="1"/>
  <c r="AT877" i="1" s="1"/>
  <c r="B2790" i="33"/>
  <c r="U2789" i="33"/>
  <c r="B2789" i="33"/>
  <c r="U2788" i="33"/>
  <c r="B2788" i="33"/>
  <c r="U2787" i="33"/>
  <c r="B2787" i="33"/>
  <c r="U2786" i="33"/>
  <c r="B2786" i="33"/>
  <c r="U2785" i="33"/>
  <c r="Y883" i="1"/>
  <c r="P883" i="1"/>
  <c r="Q883" i="1"/>
  <c r="R883" i="1"/>
  <c r="B2785" i="33"/>
  <c r="U2784" i="33"/>
  <c r="B2784" i="33"/>
  <c r="U2783" i="33"/>
  <c r="B2783" i="33"/>
  <c r="U2782" i="33"/>
  <c r="Y952" i="1"/>
  <c r="P952" i="1"/>
  <c r="Q952" i="1"/>
  <c r="R952" i="1"/>
  <c r="AT952" i="1" s="1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Y762" i="1"/>
  <c r="P762" i="1"/>
  <c r="Q762" i="1"/>
  <c r="R762" i="1"/>
  <c r="B2775" i="33"/>
  <c r="U2774" i="33"/>
  <c r="B2774" i="33"/>
  <c r="U2773" i="33"/>
  <c r="Y799" i="1"/>
  <c r="P799" i="1"/>
  <c r="Q799" i="1"/>
  <c r="AU799" i="1" s="1"/>
  <c r="R799" i="1"/>
  <c r="AT799" i="1" s="1"/>
  <c r="B2773" i="33"/>
  <c r="U2772" i="33"/>
  <c r="B2772" i="33"/>
  <c r="U2771" i="33"/>
  <c r="B2771" i="33"/>
  <c r="U2770" i="33"/>
  <c r="B2770" i="33"/>
  <c r="U2769" i="33"/>
  <c r="B2769" i="33"/>
  <c r="U2768" i="33"/>
  <c r="Y797" i="1"/>
  <c r="P797" i="1"/>
  <c r="K2768" i="33" s="1"/>
  <c r="Q797" i="1"/>
  <c r="R797" i="1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Y796" i="1"/>
  <c r="P796" i="1"/>
  <c r="Q796" i="1"/>
  <c r="R796" i="1"/>
  <c r="B2762" i="33"/>
  <c r="U2761" i="33"/>
  <c r="B2761" i="33"/>
  <c r="U2760" i="33"/>
  <c r="B2760" i="33"/>
  <c r="U2759" i="33"/>
  <c r="B2759" i="33"/>
  <c r="U2758" i="33"/>
  <c r="Y805" i="1"/>
  <c r="P805" i="1"/>
  <c r="K2758" i="33" s="1"/>
  <c r="Q805" i="1"/>
  <c r="R805" i="1"/>
  <c r="B2758" i="33"/>
  <c r="U2757" i="33"/>
  <c r="Y846" i="1"/>
  <c r="P846" i="1"/>
  <c r="K2757" i="33" s="1"/>
  <c r="Q846" i="1"/>
  <c r="R846" i="1"/>
  <c r="B2757" i="33"/>
  <c r="U2756" i="33"/>
  <c r="Y777" i="1"/>
  <c r="P777" i="1"/>
  <c r="K2756" i="33" s="1"/>
  <c r="Q777" i="1"/>
  <c r="AU777" i="1" s="1"/>
  <c r="R777" i="1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Y822" i="1"/>
  <c r="P822" i="1"/>
  <c r="K2750" i="33" s="1"/>
  <c r="Q822" i="1"/>
  <c r="R822" i="1"/>
  <c r="B2750" i="33"/>
  <c r="U2749" i="33"/>
  <c r="B2749" i="33"/>
  <c r="U2748" i="33"/>
  <c r="Y767" i="1"/>
  <c r="P767" i="1"/>
  <c r="K2748" i="33" s="1"/>
  <c r="Q767" i="1"/>
  <c r="R767" i="1"/>
  <c r="B2748" i="33"/>
  <c r="U2747" i="33"/>
  <c r="B2747" i="33"/>
  <c r="U2746" i="33"/>
  <c r="B2746" i="33"/>
  <c r="U2745" i="33"/>
  <c r="Y792" i="1"/>
  <c r="P792" i="1"/>
  <c r="K2745" i="33" s="1"/>
  <c r="Q792" i="1"/>
  <c r="R792" i="1"/>
  <c r="B2745" i="33"/>
  <c r="U2744" i="33"/>
  <c r="Y807" i="1"/>
  <c r="P807" i="1"/>
  <c r="K2742" i="33" s="1"/>
  <c r="Q807" i="1"/>
  <c r="R807" i="1"/>
  <c r="B2744" i="33"/>
  <c r="U2743" i="33"/>
  <c r="B2743" i="33"/>
  <c r="U2742" i="33"/>
  <c r="B2742" i="33"/>
  <c r="U2741" i="33"/>
  <c r="Y875" i="1"/>
  <c r="P875" i="1"/>
  <c r="K2741" i="33" s="1"/>
  <c r="Q875" i="1"/>
  <c r="R875" i="1"/>
  <c r="B2741" i="33"/>
  <c r="U2740" i="33"/>
  <c r="B2740" i="33"/>
  <c r="U2739" i="33"/>
  <c r="Y686" i="1"/>
  <c r="P686" i="1"/>
  <c r="K2738" i="33" s="1"/>
  <c r="Q686" i="1"/>
  <c r="AU686" i="1" s="1"/>
  <c r="R686" i="1"/>
  <c r="B2739" i="33"/>
  <c r="U2738" i="33"/>
  <c r="B2738" i="33"/>
  <c r="U2737" i="33"/>
  <c r="B2737" i="33"/>
  <c r="U2736" i="33"/>
  <c r="Y1392" i="1"/>
  <c r="P1392" i="1"/>
  <c r="Q1392" i="1"/>
  <c r="AU1392" i="1" s="1"/>
  <c r="R1392" i="1"/>
  <c r="AT1392" i="1" s="1"/>
  <c r="B2736" i="33"/>
  <c r="U2735" i="33"/>
  <c r="B2735" i="33"/>
  <c r="U2734" i="33"/>
  <c r="B2734" i="33"/>
  <c r="U2733" i="33"/>
  <c r="Y708" i="1"/>
  <c r="P708" i="1"/>
  <c r="K2729" i="33" s="1"/>
  <c r="Q708" i="1"/>
  <c r="AU708" i="1" s="1"/>
  <c r="R708" i="1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Y669" i="1"/>
  <c r="P669" i="1"/>
  <c r="K2725" i="33" s="1"/>
  <c r="Q669" i="1"/>
  <c r="AU669" i="1" s="1"/>
  <c r="R669" i="1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Y645" i="1"/>
  <c r="P645" i="1"/>
  <c r="Q645" i="1"/>
  <c r="R645" i="1"/>
  <c r="B2720" i="33"/>
  <c r="U2719" i="33"/>
  <c r="B2719" i="33"/>
  <c r="U2718" i="33"/>
  <c r="Y679" i="1"/>
  <c r="P679" i="1"/>
  <c r="Q679" i="1"/>
  <c r="R679" i="1"/>
  <c r="AT679" i="1" s="1"/>
  <c r="B2718" i="33"/>
  <c r="U2717" i="33"/>
  <c r="B2717" i="33"/>
  <c r="U2716" i="33"/>
  <c r="B2716" i="33"/>
  <c r="U2715" i="33"/>
  <c r="B2715" i="33"/>
  <c r="U2714" i="33"/>
  <c r="Y791" i="1"/>
  <c r="P791" i="1"/>
  <c r="K2712" i="33" s="1"/>
  <c r="Q791" i="1"/>
  <c r="R791" i="1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Y677" i="1"/>
  <c r="P677" i="1"/>
  <c r="Q677" i="1"/>
  <c r="AU677" i="1" s="1"/>
  <c r="R677" i="1"/>
  <c r="B2703" i="33"/>
  <c r="U2702" i="33"/>
  <c r="B2702" i="33"/>
  <c r="U2701" i="33"/>
  <c r="Y838" i="1"/>
  <c r="P838" i="1"/>
  <c r="K2701" i="33" s="1"/>
  <c r="Q838" i="1"/>
  <c r="AU838" i="1" s="1"/>
  <c r="R838" i="1"/>
  <c r="B2701" i="33"/>
  <c r="U2700" i="33"/>
  <c r="B2700" i="33"/>
  <c r="U2699" i="33"/>
  <c r="B2699" i="33"/>
  <c r="U2698" i="33"/>
  <c r="B2698" i="33"/>
  <c r="U2697" i="33"/>
  <c r="Y691" i="1"/>
  <c r="P691" i="1"/>
  <c r="Q691" i="1"/>
  <c r="R691" i="1"/>
  <c r="B2697" i="33"/>
  <c r="U2696" i="33"/>
  <c r="B2696" i="33"/>
  <c r="U2695" i="33"/>
  <c r="Y782" i="1"/>
  <c r="P782" i="1"/>
  <c r="K2695" i="33" s="1"/>
  <c r="Q782" i="1"/>
  <c r="R782" i="1"/>
  <c r="B2695" i="33"/>
  <c r="U2694" i="33"/>
  <c r="Y1085" i="1"/>
  <c r="P1085" i="1"/>
  <c r="K2693" i="33" s="1"/>
  <c r="Q1085" i="1"/>
  <c r="AU1085" i="1" s="1"/>
  <c r="R1085" i="1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Y938" i="1"/>
  <c r="P938" i="1"/>
  <c r="K2683" i="33" s="1"/>
  <c r="Q938" i="1"/>
  <c r="AU938" i="1" s="1"/>
  <c r="R938" i="1"/>
  <c r="B2686" i="33"/>
  <c r="U2685" i="33"/>
  <c r="B2685" i="33"/>
  <c r="U2684" i="33"/>
  <c r="B2684" i="33"/>
  <c r="U2683" i="33"/>
  <c r="B2683" i="33"/>
  <c r="U2682" i="33"/>
  <c r="Y809" i="1"/>
  <c r="P809" i="1"/>
  <c r="K2682" i="33" s="1"/>
  <c r="Q809" i="1"/>
  <c r="R809" i="1"/>
  <c r="B2682" i="33"/>
  <c r="U2681" i="33"/>
  <c r="B2681" i="33"/>
  <c r="U2680" i="33"/>
  <c r="Y670" i="1"/>
  <c r="P670" i="1"/>
  <c r="Q670" i="1"/>
  <c r="R670" i="1"/>
  <c r="AT670" i="1" s="1"/>
  <c r="B2680" i="33"/>
  <c r="U2679" i="33"/>
  <c r="B2679" i="33"/>
  <c r="U2678" i="33"/>
  <c r="B2678" i="33"/>
  <c r="U2677" i="33"/>
  <c r="Y840" i="1"/>
  <c r="P840" i="1"/>
  <c r="K2676" i="33" s="1"/>
  <c r="Q840" i="1"/>
  <c r="AU840" i="1" s="1"/>
  <c r="R840" i="1"/>
  <c r="B2677" i="33"/>
  <c r="U2676" i="33"/>
  <c r="B2676" i="33"/>
  <c r="U2675" i="33"/>
  <c r="B2675" i="33"/>
  <c r="U2674" i="33"/>
  <c r="B2674" i="33"/>
  <c r="U2673" i="33"/>
  <c r="B2673" i="33"/>
  <c r="U2672" i="33"/>
  <c r="Y817" i="1"/>
  <c r="P817" i="1"/>
  <c r="Q817" i="1"/>
  <c r="R817" i="1"/>
  <c r="B2672" i="33"/>
  <c r="U2671" i="33"/>
  <c r="B2671" i="33"/>
  <c r="U2670" i="33"/>
  <c r="B2670" i="33"/>
  <c r="U2669" i="33"/>
  <c r="Y789" i="1"/>
  <c r="P789" i="1"/>
  <c r="Q789" i="1"/>
  <c r="AU789" i="1" s="1"/>
  <c r="R789" i="1"/>
  <c r="B2669" i="33"/>
  <c r="U2668" i="33"/>
  <c r="B2668" i="33"/>
  <c r="U2667" i="33"/>
  <c r="Y745" i="1"/>
  <c r="P745" i="1"/>
  <c r="Q745" i="1"/>
  <c r="R745" i="1"/>
  <c r="B2667" i="33"/>
  <c r="U2666" i="33"/>
  <c r="B2666" i="33"/>
  <c r="U2665" i="33"/>
  <c r="B2665" i="33"/>
  <c r="U2664" i="33"/>
  <c r="B2664" i="33"/>
  <c r="U2663" i="33"/>
  <c r="Y760" i="1"/>
  <c r="P760" i="1"/>
  <c r="Q760" i="1"/>
  <c r="AU760" i="1" s="1"/>
  <c r="R760" i="1"/>
  <c r="AT760" i="1" s="1"/>
  <c r="B2663" i="33"/>
  <c r="U2662" i="33"/>
  <c r="B2662" i="33"/>
  <c r="U2661" i="33"/>
  <c r="Y755" i="1"/>
  <c r="P755" i="1"/>
  <c r="K2661" i="33" s="1"/>
  <c r="Q755" i="1"/>
  <c r="R755" i="1"/>
  <c r="B2661" i="33"/>
  <c r="U2660" i="33"/>
  <c r="B2660" i="33"/>
  <c r="U2659" i="33"/>
  <c r="B2659" i="33"/>
  <c r="U2658" i="33"/>
  <c r="B2658" i="33"/>
  <c r="U2657" i="33"/>
  <c r="Y776" i="1"/>
  <c r="P776" i="1"/>
  <c r="K2657" i="33" s="1"/>
  <c r="Q776" i="1"/>
  <c r="R776" i="1"/>
  <c r="B2657" i="33"/>
  <c r="U2656" i="33"/>
  <c r="B2656" i="33"/>
  <c r="U2655" i="33"/>
  <c r="Y697" i="1"/>
  <c r="P697" i="1"/>
  <c r="K2655" i="33" s="1"/>
  <c r="Q697" i="1"/>
  <c r="R697" i="1"/>
  <c r="B2655" i="33"/>
  <c r="U2654" i="33"/>
  <c r="B2654" i="33"/>
  <c r="U2653" i="33"/>
  <c r="B2653" i="33"/>
  <c r="U2652" i="33"/>
  <c r="Y756" i="1"/>
  <c r="P756" i="1"/>
  <c r="K2651" i="33" s="1"/>
  <c r="Q756" i="1"/>
  <c r="R756" i="1"/>
  <c r="B2652" i="33"/>
  <c r="U2651" i="33"/>
  <c r="B2651" i="33"/>
  <c r="U2650" i="33"/>
  <c r="B2650" i="33"/>
  <c r="U2649" i="33"/>
  <c r="B2649" i="33"/>
  <c r="U2648" i="33"/>
  <c r="B2648" i="33"/>
  <c r="U2647" i="33"/>
  <c r="Y637" i="1"/>
  <c r="P637" i="1"/>
  <c r="K2647" i="33" s="1"/>
  <c r="Q637" i="1"/>
  <c r="AU637" i="1" s="1"/>
  <c r="R637" i="1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Y628" i="1"/>
  <c r="P628" i="1"/>
  <c r="Q628" i="1"/>
  <c r="R628" i="1"/>
  <c r="AT628" i="1" s="1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Y773" i="1"/>
  <c r="P773" i="1"/>
  <c r="K2624" i="33" s="1"/>
  <c r="Q773" i="1"/>
  <c r="AU773" i="1" s="1"/>
  <c r="R773" i="1"/>
  <c r="B2625" i="33"/>
  <c r="U2624" i="33"/>
  <c r="B2624" i="33"/>
  <c r="U2623" i="33"/>
  <c r="B2623" i="33"/>
  <c r="U2622" i="33"/>
  <c r="Y640" i="1"/>
  <c r="P640" i="1"/>
  <c r="Q640" i="1"/>
  <c r="R640" i="1"/>
  <c r="B2622" i="33"/>
  <c r="U2621" i="33"/>
  <c r="B2621" i="33"/>
  <c r="U2620" i="33"/>
  <c r="Y709" i="1"/>
  <c r="P709" i="1"/>
  <c r="K2620" i="33" s="1"/>
  <c r="Q709" i="1"/>
  <c r="R709" i="1"/>
  <c r="B2620" i="33"/>
  <c r="U2619" i="33"/>
  <c r="Y714" i="1"/>
  <c r="P714" i="1"/>
  <c r="K2619" i="33" s="1"/>
  <c r="Q714" i="1"/>
  <c r="R714" i="1"/>
  <c r="B2619" i="33"/>
  <c r="U2618" i="33"/>
  <c r="B2618" i="33"/>
  <c r="U2617" i="33"/>
  <c r="B2617" i="33"/>
  <c r="U2616" i="33"/>
  <c r="B2616" i="33"/>
  <c r="U2615" i="33"/>
  <c r="B2615" i="33"/>
  <c r="U2614" i="33"/>
  <c r="Y734" i="1"/>
  <c r="P734" i="1"/>
  <c r="K2613" i="33" s="1"/>
  <c r="Q734" i="1"/>
  <c r="R734" i="1"/>
  <c r="AT734" i="1" s="1"/>
  <c r="B2614" i="33"/>
  <c r="U2613" i="33"/>
  <c r="B2613" i="33"/>
  <c r="U2612" i="33"/>
  <c r="B2612" i="33"/>
  <c r="U2611" i="33"/>
  <c r="Y758" i="1"/>
  <c r="P758" i="1"/>
  <c r="K2611" i="33" s="1"/>
  <c r="Q758" i="1"/>
  <c r="R758" i="1"/>
  <c r="B2611" i="33"/>
  <c r="U2610" i="33"/>
  <c r="Y695" i="1"/>
  <c r="P695" i="1"/>
  <c r="K2604" i="33" s="1"/>
  <c r="Q695" i="1"/>
  <c r="R695" i="1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Y1083" i="1"/>
  <c r="P1083" i="1"/>
  <c r="K2602" i="33" s="1"/>
  <c r="Q1083" i="1"/>
  <c r="R1083" i="1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Y739" i="1"/>
  <c r="P739" i="1"/>
  <c r="Q739" i="1"/>
  <c r="R739" i="1"/>
  <c r="B2596" i="33"/>
  <c r="U2595" i="33"/>
  <c r="B2595" i="33"/>
  <c r="U2594" i="33"/>
  <c r="Y680" i="1"/>
  <c r="P680" i="1"/>
  <c r="K2593" i="33" s="1"/>
  <c r="Q680" i="1"/>
  <c r="R680" i="1"/>
  <c r="AT680" i="1" s="1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Y699" i="1"/>
  <c r="P699" i="1"/>
  <c r="Q699" i="1"/>
  <c r="R699" i="1"/>
  <c r="AT699" i="1" s="1"/>
  <c r="B2581" i="33"/>
  <c r="U2580" i="33"/>
  <c r="B2580" i="33"/>
  <c r="U2579" i="33"/>
  <c r="B2579" i="33"/>
  <c r="U2578" i="33"/>
  <c r="B2578" i="33"/>
  <c r="U2577" i="33"/>
  <c r="B2577" i="33"/>
  <c r="U2576" i="33"/>
  <c r="Y542" i="1"/>
  <c r="P542" i="1"/>
  <c r="K2576" i="33" s="1"/>
  <c r="Q542" i="1"/>
  <c r="R542" i="1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Y728" i="1"/>
  <c r="P728" i="1"/>
  <c r="K2566" i="33" s="1"/>
  <c r="Q728" i="1"/>
  <c r="R728" i="1"/>
  <c r="AT728" i="1" s="1"/>
  <c r="B2566" i="33"/>
  <c r="U2565" i="33"/>
  <c r="B2565" i="33"/>
  <c r="U2564" i="33"/>
  <c r="B2564" i="33"/>
  <c r="U2563" i="33"/>
  <c r="Y673" i="1"/>
  <c r="P673" i="1"/>
  <c r="K2558" i="33" s="1"/>
  <c r="Q673" i="1"/>
  <c r="R673" i="1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Y735" i="1"/>
  <c r="P735" i="1"/>
  <c r="K2556" i="33" s="1"/>
  <c r="Q735" i="1"/>
  <c r="R735" i="1"/>
  <c r="AT735" i="1" s="1"/>
  <c r="B2557" i="33"/>
  <c r="U2556" i="33"/>
  <c r="B2556" i="33"/>
  <c r="U2555" i="33"/>
  <c r="B2555" i="33"/>
  <c r="U2554" i="33"/>
  <c r="B2554" i="33"/>
  <c r="U2553" i="33"/>
  <c r="B2553" i="33"/>
  <c r="U2552" i="33"/>
  <c r="Y737" i="1"/>
  <c r="P737" i="1"/>
  <c r="K2549" i="33" s="1"/>
  <c r="Q737" i="1"/>
  <c r="R737" i="1"/>
  <c r="AT737" i="1" s="1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Y643" i="1"/>
  <c r="P643" i="1"/>
  <c r="Q643" i="1"/>
  <c r="AU643" i="1" s="1"/>
  <c r="R643" i="1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Y698" i="1"/>
  <c r="P698" i="1"/>
  <c r="K2533" i="33" s="1"/>
  <c r="Q698" i="1"/>
  <c r="AU698" i="1" s="1"/>
  <c r="R698" i="1"/>
  <c r="AT698" i="1" s="1"/>
  <c r="B2535" i="33"/>
  <c r="U2534" i="33"/>
  <c r="B2534" i="33"/>
  <c r="U2533" i="33"/>
  <c r="B2533" i="33"/>
  <c r="U2532" i="33"/>
  <c r="B2532" i="33"/>
  <c r="U2531" i="33"/>
  <c r="Y665" i="1"/>
  <c r="P665" i="1"/>
  <c r="K2531" i="33" s="1"/>
  <c r="Q665" i="1"/>
  <c r="R665" i="1"/>
  <c r="B2531" i="33"/>
  <c r="U2530" i="33"/>
  <c r="Y657" i="1"/>
  <c r="P657" i="1"/>
  <c r="K2527" i="33" s="1"/>
  <c r="Q657" i="1"/>
  <c r="R657" i="1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Y584" i="1"/>
  <c r="P584" i="1"/>
  <c r="K2516" i="33" s="1"/>
  <c r="Q584" i="1"/>
  <c r="R584" i="1"/>
  <c r="B2516" i="33"/>
  <c r="U2515" i="33"/>
  <c r="Y620" i="1"/>
  <c r="P620" i="1"/>
  <c r="Q620" i="1"/>
  <c r="AU620" i="1" s="1"/>
  <c r="R620" i="1"/>
  <c r="B2515" i="33"/>
  <c r="U2514" i="33"/>
  <c r="B2514" i="33"/>
  <c r="U2513" i="33"/>
  <c r="Y552" i="1"/>
  <c r="P552" i="1"/>
  <c r="Q552" i="1"/>
  <c r="R552" i="1"/>
  <c r="B2513" i="33"/>
  <c r="U2512" i="33"/>
  <c r="B2512" i="33"/>
  <c r="U2511" i="33"/>
  <c r="B2511" i="33"/>
  <c r="U2510" i="33"/>
  <c r="B2510" i="33"/>
  <c r="U2509" i="33"/>
  <c r="Y601" i="1"/>
  <c r="P601" i="1"/>
  <c r="K2506" i="33" s="1"/>
  <c r="Q601" i="1"/>
  <c r="R601" i="1"/>
  <c r="B2509" i="33"/>
  <c r="U2508" i="33"/>
  <c r="B2508" i="33"/>
  <c r="U2507" i="33"/>
  <c r="B2507" i="33"/>
  <c r="U2506" i="33"/>
  <c r="B2506" i="33"/>
  <c r="U2505" i="33"/>
  <c r="Y676" i="1"/>
  <c r="P676" i="1"/>
  <c r="K2502" i="33" s="1"/>
  <c r="Q676" i="1"/>
  <c r="R676" i="1"/>
  <c r="B2505" i="33"/>
  <c r="U2504" i="33"/>
  <c r="B2504" i="33"/>
  <c r="U2503" i="33"/>
  <c r="B2503" i="33"/>
  <c r="U2502" i="33"/>
  <c r="B2502" i="33"/>
  <c r="U2501" i="33"/>
  <c r="B2501" i="33"/>
  <c r="U2500" i="33"/>
  <c r="Y934" i="1"/>
  <c r="P934" i="1"/>
  <c r="K2495" i="33" s="1"/>
  <c r="Q934" i="1"/>
  <c r="R934" i="1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Y587" i="1"/>
  <c r="P587" i="1"/>
  <c r="K2490" i="33" s="1"/>
  <c r="Q587" i="1"/>
  <c r="R587" i="1"/>
  <c r="AT587" i="1" s="1"/>
  <c r="B2490" i="33"/>
  <c r="U2489" i="33"/>
  <c r="B2489" i="33"/>
  <c r="U2488" i="33"/>
  <c r="Y631" i="1"/>
  <c r="P631" i="1"/>
  <c r="K2487" i="33" s="1"/>
  <c r="Q631" i="1"/>
  <c r="AU631" i="1" s="1"/>
  <c r="R631" i="1"/>
  <c r="B2488" i="33"/>
  <c r="U2487" i="33"/>
  <c r="B2487" i="33"/>
  <c r="U2486" i="33"/>
  <c r="B2486" i="33"/>
  <c r="U2485" i="33"/>
  <c r="Y610" i="1"/>
  <c r="P610" i="1"/>
  <c r="K2485" i="33" s="1"/>
  <c r="Q610" i="1"/>
  <c r="R610" i="1"/>
  <c r="B2485" i="33"/>
  <c r="U2484" i="33"/>
  <c r="B2484" i="33"/>
  <c r="U2483" i="33"/>
  <c r="Y650" i="1"/>
  <c r="P650" i="1"/>
  <c r="K2482" i="33" s="1"/>
  <c r="Q650" i="1"/>
  <c r="R650" i="1"/>
  <c r="AT650" i="1" s="1"/>
  <c r="B2483" i="33"/>
  <c r="U2482" i="33"/>
  <c r="B2482" i="33"/>
  <c r="U2481" i="33"/>
  <c r="Y639" i="1"/>
  <c r="P639" i="1"/>
  <c r="K2471" i="33" s="1"/>
  <c r="Q639" i="1"/>
  <c r="R639" i="1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Y616" i="1"/>
  <c r="P616" i="1"/>
  <c r="Q616" i="1"/>
  <c r="R616" i="1"/>
  <c r="B2467" i="33"/>
  <c r="U2466" i="33"/>
  <c r="B2466" i="33"/>
  <c r="U2465" i="33"/>
  <c r="B2465" i="33"/>
  <c r="U2464" i="33"/>
  <c r="B2464" i="33"/>
  <c r="U2463" i="33"/>
  <c r="Y662" i="1"/>
  <c r="P662" i="1"/>
  <c r="K2463" i="33" s="1"/>
  <c r="Q662" i="1"/>
  <c r="R662" i="1"/>
  <c r="AT662" i="1" s="1"/>
  <c r="B2463" i="33"/>
  <c r="U2462" i="33"/>
  <c r="B2462" i="33"/>
  <c r="U2461" i="33"/>
  <c r="Y613" i="1"/>
  <c r="P613" i="1"/>
  <c r="K2457" i="33" s="1"/>
  <c r="Q613" i="1"/>
  <c r="AU613" i="1" s="1"/>
  <c r="R613" i="1"/>
  <c r="AT613" i="1" s="1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Y557" i="1"/>
  <c r="P557" i="1"/>
  <c r="K2447" i="33" s="1"/>
  <c r="Q557" i="1"/>
  <c r="R557" i="1"/>
  <c r="B2447" i="33"/>
  <c r="U2446" i="33"/>
  <c r="B2446" i="33"/>
  <c r="U2445" i="33"/>
  <c r="B2445" i="33"/>
  <c r="U2444" i="33"/>
  <c r="Y634" i="1"/>
  <c r="P634" i="1"/>
  <c r="K2444" i="33" s="1"/>
  <c r="Q634" i="1"/>
  <c r="R634" i="1"/>
  <c r="AT634" i="1" s="1"/>
  <c r="B2444" i="33"/>
  <c r="U2443" i="33"/>
  <c r="B2443" i="33"/>
  <c r="U2442" i="33"/>
  <c r="B2442" i="33"/>
  <c r="U2441" i="33"/>
  <c r="B2441" i="33"/>
  <c r="U2440" i="33"/>
  <c r="Y668" i="1"/>
  <c r="P668" i="1"/>
  <c r="K2440" i="33" s="1"/>
  <c r="Q668" i="1"/>
  <c r="R668" i="1"/>
  <c r="B2440" i="33"/>
  <c r="U2439" i="33"/>
  <c r="B2439" i="33"/>
  <c r="U2438" i="33"/>
  <c r="B2438" i="33"/>
  <c r="U2437" i="33"/>
  <c r="Y608" i="1"/>
  <c r="P608" i="1"/>
  <c r="K2436" i="33" s="1"/>
  <c r="Q608" i="1"/>
  <c r="R608" i="1"/>
  <c r="AT608" i="1" s="1"/>
  <c r="B2437" i="33"/>
  <c r="U2436" i="33"/>
  <c r="B2436" i="33"/>
  <c r="U2435" i="33"/>
  <c r="Y514" i="1"/>
  <c r="P514" i="1"/>
  <c r="K2435" i="33" s="1"/>
  <c r="Q514" i="1"/>
  <c r="R514" i="1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Y623" i="1"/>
  <c r="P623" i="1"/>
  <c r="Q623" i="1"/>
  <c r="AU623" i="1" s="1"/>
  <c r="R623" i="1"/>
  <c r="AT623" i="1" s="1"/>
  <c r="U2422" i="33"/>
  <c r="Y632" i="1"/>
  <c r="P632" i="1"/>
  <c r="K2422" i="33" s="1"/>
  <c r="Q632" i="1"/>
  <c r="R632" i="1"/>
  <c r="B2422" i="33"/>
  <c r="U2421" i="33"/>
  <c r="B2421" i="33"/>
  <c r="U2420" i="33"/>
  <c r="Y448" i="1"/>
  <c r="P448" i="1"/>
  <c r="K2419" i="33" s="1"/>
  <c r="Q448" i="1"/>
  <c r="R448" i="1"/>
  <c r="B2420" i="33"/>
  <c r="U2419" i="33"/>
  <c r="B2419" i="33"/>
  <c r="U2418" i="33"/>
  <c r="B2418" i="33"/>
  <c r="U2417" i="33"/>
  <c r="B2417" i="33"/>
  <c r="U2416" i="33"/>
  <c r="B2416" i="33"/>
  <c r="U2415" i="33"/>
  <c r="Y611" i="1"/>
  <c r="P611" i="1"/>
  <c r="K2415" i="33" s="1"/>
  <c r="Q611" i="1"/>
  <c r="R611" i="1"/>
  <c r="AT611" i="1" s="1"/>
  <c r="B2415" i="33"/>
  <c r="U2414" i="33"/>
  <c r="B2414" i="33"/>
  <c r="U2413" i="33"/>
  <c r="B2413" i="33"/>
  <c r="U2412" i="33"/>
  <c r="B2412" i="33"/>
  <c r="U2411" i="33"/>
  <c r="Y621" i="1"/>
  <c r="P621" i="1"/>
  <c r="K2408" i="33" s="1"/>
  <c r="Q621" i="1"/>
  <c r="R621" i="1"/>
  <c r="B2411" i="33"/>
  <c r="U2410" i="33"/>
  <c r="B2410" i="33"/>
  <c r="U2409" i="33"/>
  <c r="B2409" i="33"/>
  <c r="U2408" i="33"/>
  <c r="B2408" i="33"/>
  <c r="U2407" i="33"/>
  <c r="Y636" i="1"/>
  <c r="P636" i="1"/>
  <c r="K2407" i="33" s="1"/>
  <c r="Q636" i="1"/>
  <c r="R636" i="1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Y590" i="1"/>
  <c r="P590" i="1"/>
  <c r="Q590" i="1"/>
  <c r="AU590" i="1" s="1"/>
  <c r="R590" i="1"/>
  <c r="B2401" i="33"/>
  <c r="U2400" i="33"/>
  <c r="B2400" i="33"/>
  <c r="U2399" i="33"/>
  <c r="B2399" i="33"/>
  <c r="U2398" i="33"/>
  <c r="Y633" i="1"/>
  <c r="P633" i="1"/>
  <c r="Q633" i="1"/>
  <c r="AU633" i="1" s="1"/>
  <c r="R633" i="1"/>
  <c r="B2398" i="33"/>
  <c r="U2397" i="33"/>
  <c r="B2397" i="33"/>
  <c r="U2396" i="33"/>
  <c r="B2396" i="33"/>
  <c r="U2395" i="33"/>
  <c r="B2395" i="33"/>
  <c r="U2394" i="33"/>
  <c r="B2394" i="33"/>
  <c r="U2393" i="33"/>
  <c r="Y520" i="1"/>
  <c r="P520" i="1"/>
  <c r="K2393" i="33" s="1"/>
  <c r="Q520" i="1"/>
  <c r="R520" i="1"/>
  <c r="B2393" i="33"/>
  <c r="U2392" i="33"/>
  <c r="Y586" i="1"/>
  <c r="P586" i="1"/>
  <c r="K2392" i="33" s="1"/>
  <c r="Q586" i="1"/>
  <c r="R586" i="1"/>
  <c r="B2392" i="33"/>
  <c r="U2391" i="33"/>
  <c r="Y723" i="1"/>
  <c r="P723" i="1"/>
  <c r="Q723" i="1"/>
  <c r="R723" i="1"/>
  <c r="AT723" i="1" s="1"/>
  <c r="B2391" i="33"/>
  <c r="U2390" i="33"/>
  <c r="B2390" i="33"/>
  <c r="U2389" i="33"/>
  <c r="B2389" i="33"/>
  <c r="U2388" i="33"/>
  <c r="Y642" i="1"/>
  <c r="P642" i="1"/>
  <c r="K2385" i="33" s="1"/>
  <c r="Q642" i="1"/>
  <c r="AU642" i="1" s="1"/>
  <c r="R642" i="1"/>
  <c r="B2388" i="33"/>
  <c r="U2387" i="33"/>
  <c r="B2387" i="33"/>
  <c r="U2386" i="33"/>
  <c r="B2386" i="33"/>
  <c r="U2385" i="33"/>
  <c r="B2385" i="33"/>
  <c r="U2384" i="33"/>
  <c r="Y494" i="1"/>
  <c r="P494" i="1"/>
  <c r="K2384" i="33" s="1"/>
  <c r="Q494" i="1"/>
  <c r="AU494" i="1" s="1"/>
  <c r="R494" i="1"/>
  <c r="AT494" i="1" s="1"/>
  <c r="B2384" i="33"/>
  <c r="U2383" i="33"/>
  <c r="B2383" i="33"/>
  <c r="U2382" i="33"/>
  <c r="Y501" i="1"/>
  <c r="P501" i="1"/>
  <c r="Q501" i="1"/>
  <c r="R501" i="1"/>
  <c r="B2382" i="33"/>
  <c r="U2381" i="33"/>
  <c r="B2381" i="33"/>
  <c r="U2380" i="33"/>
  <c r="B2380" i="33"/>
  <c r="U2379" i="33"/>
  <c r="B2379" i="33"/>
  <c r="U2378" i="33"/>
  <c r="Y568" i="1"/>
  <c r="P568" i="1"/>
  <c r="K2377" i="33" s="1"/>
  <c r="Q568" i="1"/>
  <c r="R568" i="1"/>
  <c r="AT568" i="1" s="1"/>
  <c r="B2378" i="33"/>
  <c r="U2377" i="33"/>
  <c r="B2377" i="33"/>
  <c r="U2376" i="33"/>
  <c r="Y588" i="1"/>
  <c r="P588" i="1"/>
  <c r="Q588" i="1"/>
  <c r="AU588" i="1" s="1"/>
  <c r="R588" i="1"/>
  <c r="AT588" i="1" s="1"/>
  <c r="B2376" i="33"/>
  <c r="U2375" i="33"/>
  <c r="B2375" i="33"/>
  <c r="U2374" i="33"/>
  <c r="Y580" i="1"/>
  <c r="P580" i="1"/>
  <c r="Q580" i="1"/>
  <c r="R580" i="1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Y593" i="1"/>
  <c r="P593" i="1"/>
  <c r="K2368" i="33" s="1"/>
  <c r="Q593" i="1"/>
  <c r="R593" i="1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Y612" i="1"/>
  <c r="P612" i="1"/>
  <c r="Q612" i="1"/>
  <c r="R612" i="1"/>
  <c r="B2360" i="33"/>
  <c r="U2359" i="33"/>
  <c r="B2359" i="33"/>
  <c r="U2358" i="33"/>
  <c r="B2358" i="33"/>
  <c r="U2357" i="33"/>
  <c r="B2357" i="33"/>
  <c r="U2356" i="33"/>
  <c r="Y882" i="1"/>
  <c r="P882" i="1"/>
  <c r="K2350" i="33" s="1"/>
  <c r="Q882" i="1"/>
  <c r="R882" i="1"/>
  <c r="AT882" i="1" s="1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Y527" i="1"/>
  <c r="P527" i="1"/>
  <c r="K2348" i="33" s="1"/>
  <c r="Q527" i="1"/>
  <c r="R527" i="1"/>
  <c r="B2348" i="33"/>
  <c r="U2347" i="33"/>
  <c r="Y589" i="1"/>
  <c r="P589" i="1"/>
  <c r="K2347" i="33" s="1"/>
  <c r="Q589" i="1"/>
  <c r="R589" i="1"/>
  <c r="AT589" i="1" s="1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Y566" i="1"/>
  <c r="P566" i="1"/>
  <c r="K2341" i="33" s="1"/>
  <c r="Q566" i="1"/>
  <c r="R566" i="1"/>
  <c r="B2341" i="33"/>
  <c r="U2340" i="33"/>
  <c r="B2340" i="33"/>
  <c r="U2339" i="33"/>
  <c r="B2339" i="33"/>
  <c r="U2338" i="33"/>
  <c r="B2338" i="33"/>
  <c r="U2337" i="33"/>
  <c r="Y575" i="1"/>
  <c r="P575" i="1"/>
  <c r="K2337" i="33" s="1"/>
  <c r="Q575" i="1"/>
  <c r="R575" i="1"/>
  <c r="B2337" i="33"/>
  <c r="U2336" i="33"/>
  <c r="Y531" i="1"/>
  <c r="P531" i="1"/>
  <c r="K2333" i="33" s="1"/>
  <c r="Q531" i="1"/>
  <c r="R531" i="1"/>
  <c r="AT531" i="1" s="1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Y537" i="1"/>
  <c r="P537" i="1"/>
  <c r="K2327" i="33" s="1"/>
  <c r="Q537" i="1"/>
  <c r="R537" i="1"/>
  <c r="AT537" i="1" s="1"/>
  <c r="B2328" i="33"/>
  <c r="U2327" i="33"/>
  <c r="B2327" i="33"/>
  <c r="U2326" i="33"/>
  <c r="B2326" i="33"/>
  <c r="U2325" i="33"/>
  <c r="B2325" i="33"/>
  <c r="U2324" i="33"/>
  <c r="B2324" i="33"/>
  <c r="U2323" i="33"/>
  <c r="Y560" i="1"/>
  <c r="P560" i="1"/>
  <c r="K2320" i="33" s="1"/>
  <c r="Q560" i="1"/>
  <c r="R560" i="1"/>
  <c r="AT560" i="1" s="1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Y572" i="1"/>
  <c r="P572" i="1"/>
  <c r="K2316" i="33" s="1"/>
  <c r="Q572" i="1"/>
  <c r="R572" i="1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Y582" i="1"/>
  <c r="P582" i="1"/>
  <c r="K2309" i="33" s="1"/>
  <c r="Q582" i="1"/>
  <c r="R582" i="1"/>
  <c r="AT582" i="1" s="1"/>
  <c r="B2310" i="33"/>
  <c r="U2309" i="33"/>
  <c r="B2309" i="33"/>
  <c r="U2308" i="33"/>
  <c r="B2308" i="33"/>
  <c r="U2307" i="33"/>
  <c r="B2307" i="33"/>
  <c r="U2306" i="33"/>
  <c r="Y554" i="1"/>
  <c r="P554" i="1"/>
  <c r="K2306" i="33" s="1"/>
  <c r="Q554" i="1"/>
  <c r="R554" i="1"/>
  <c r="B2306" i="33"/>
  <c r="U2305" i="33"/>
  <c r="Y577" i="1"/>
  <c r="P577" i="1"/>
  <c r="Q577" i="1"/>
  <c r="AU577" i="1" s="1"/>
  <c r="R577" i="1"/>
  <c r="AT577" i="1" s="1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Y530" i="1"/>
  <c r="P530" i="1"/>
  <c r="Q530" i="1"/>
  <c r="R530" i="1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Y563" i="1"/>
  <c r="P563" i="1"/>
  <c r="Q563" i="1"/>
  <c r="AU563" i="1" s="1"/>
  <c r="R563" i="1"/>
  <c r="B2290" i="33"/>
  <c r="U2289" i="33"/>
  <c r="B2289" i="33"/>
  <c r="U2288" i="33"/>
  <c r="Y347" i="1"/>
  <c r="P347" i="1"/>
  <c r="Q347" i="1"/>
  <c r="R347" i="1"/>
  <c r="B2288" i="33"/>
  <c r="U2287" i="33"/>
  <c r="B2287" i="33"/>
  <c r="U2286" i="33"/>
  <c r="Y526" i="1"/>
  <c r="P526" i="1"/>
  <c r="K2285" i="33" s="1"/>
  <c r="Q526" i="1"/>
  <c r="R526" i="1"/>
  <c r="AT526" i="1" s="1"/>
  <c r="B2286" i="33"/>
  <c r="U2285" i="33"/>
  <c r="B2285" i="33"/>
  <c r="U2284" i="33"/>
  <c r="B2284" i="33"/>
  <c r="U2283" i="33"/>
  <c r="Y508" i="1"/>
  <c r="P508" i="1"/>
  <c r="K2282" i="33" s="1"/>
  <c r="Q508" i="1"/>
  <c r="R508" i="1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Y522" i="1"/>
  <c r="P522" i="1"/>
  <c r="K2272" i="33" s="1"/>
  <c r="Q522" i="1"/>
  <c r="R522" i="1"/>
  <c r="AT522" i="1" s="1"/>
  <c r="B2272" i="33"/>
  <c r="U2271" i="33"/>
  <c r="B2271" i="33"/>
  <c r="U2270" i="33"/>
  <c r="B2270" i="33"/>
  <c r="U2269" i="33"/>
  <c r="B2269" i="33"/>
  <c r="U2268" i="33"/>
  <c r="B2268" i="33"/>
  <c r="U2267" i="33"/>
  <c r="Y480" i="1"/>
  <c r="P480" i="1"/>
  <c r="K2267" i="33" s="1"/>
  <c r="Q480" i="1"/>
  <c r="R480" i="1"/>
  <c r="B2267" i="33"/>
  <c r="U2266" i="33"/>
  <c r="B2266" i="33"/>
  <c r="U2265" i="33"/>
  <c r="B2265" i="33"/>
  <c r="U2264" i="33"/>
  <c r="Y540" i="1"/>
  <c r="P540" i="1"/>
  <c r="Q540" i="1"/>
  <c r="R540" i="1"/>
  <c r="AT540" i="1" s="1"/>
  <c r="B2264" i="33"/>
  <c r="U2263" i="33"/>
  <c r="B2263" i="33"/>
  <c r="U2262" i="33"/>
  <c r="B2262" i="33"/>
  <c r="U2261" i="33"/>
  <c r="B2261" i="33"/>
  <c r="U2260" i="33"/>
  <c r="Y551" i="1"/>
  <c r="P551" i="1"/>
  <c r="K2258" i="33" s="1"/>
  <c r="Q551" i="1"/>
  <c r="R551" i="1"/>
  <c r="AT551" i="1" s="1"/>
  <c r="B2260" i="33"/>
  <c r="U2259" i="33"/>
  <c r="B2259" i="33"/>
  <c r="U2258" i="33"/>
  <c r="B2258" i="33"/>
  <c r="U2257" i="33"/>
  <c r="Y465" i="1"/>
  <c r="P465" i="1"/>
  <c r="K2255" i="33" s="1"/>
  <c r="Q465" i="1"/>
  <c r="AU465" i="1" s="1"/>
  <c r="R465" i="1"/>
  <c r="AT465" i="1" s="1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Y478" i="1"/>
  <c r="P478" i="1"/>
  <c r="K2238" i="33" s="1"/>
  <c r="Q478" i="1"/>
  <c r="R478" i="1"/>
  <c r="AT478" i="1" s="1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Y524" i="1"/>
  <c r="P524" i="1"/>
  <c r="K2232" i="33" s="1"/>
  <c r="Q524" i="1"/>
  <c r="R524" i="1"/>
  <c r="B2235" i="33"/>
  <c r="U2234" i="33"/>
  <c r="B2234" i="33"/>
  <c r="U2233" i="33"/>
  <c r="B2233" i="33"/>
  <c r="U2232" i="33"/>
  <c r="B2232" i="33"/>
  <c r="U2231" i="33"/>
  <c r="B2231" i="33"/>
  <c r="U2230" i="33"/>
  <c r="Y553" i="1"/>
  <c r="P553" i="1"/>
  <c r="K2230" i="33" s="1"/>
  <c r="Q553" i="1"/>
  <c r="R553" i="1"/>
  <c r="AT553" i="1" s="1"/>
  <c r="B2230" i="33"/>
  <c r="U2229" i="33"/>
  <c r="B2229" i="33"/>
  <c r="U2228" i="33"/>
  <c r="B2228" i="33"/>
  <c r="U2227" i="33"/>
  <c r="B2227" i="33"/>
  <c r="U2226" i="33"/>
  <c r="B2226" i="33"/>
  <c r="U2225" i="33"/>
  <c r="Y519" i="1"/>
  <c r="P519" i="1"/>
  <c r="Q519" i="1"/>
  <c r="AU519" i="1" s="1"/>
  <c r="R519" i="1"/>
  <c r="AT519" i="1" s="1"/>
  <c r="B2225" i="33"/>
  <c r="U2224" i="33"/>
  <c r="B2224" i="33"/>
  <c r="U2223" i="33"/>
  <c r="Y499" i="1"/>
  <c r="P499" i="1"/>
  <c r="Q499" i="1"/>
  <c r="R499" i="1"/>
  <c r="B2223" i="33"/>
  <c r="U2222" i="33"/>
  <c r="B2222" i="33"/>
  <c r="U2221" i="33"/>
  <c r="B2221" i="33"/>
  <c r="U2220" i="33"/>
  <c r="Y538" i="1"/>
  <c r="P538" i="1"/>
  <c r="K2219" i="33" s="1"/>
  <c r="Q538" i="1"/>
  <c r="R538" i="1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Y461" i="1"/>
  <c r="P461" i="1"/>
  <c r="K2214" i="33" s="1"/>
  <c r="Q461" i="1"/>
  <c r="R461" i="1"/>
  <c r="B2214" i="33"/>
  <c r="U2213" i="33"/>
  <c r="Y547" i="1"/>
  <c r="P547" i="1"/>
  <c r="Q547" i="1"/>
  <c r="R547" i="1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Y535" i="1"/>
  <c r="P535" i="1"/>
  <c r="K2206" i="33" s="1"/>
  <c r="Q535" i="1"/>
  <c r="R535" i="1"/>
  <c r="B2206" i="33"/>
  <c r="U2205" i="33"/>
  <c r="Y549" i="1"/>
  <c r="P549" i="1"/>
  <c r="Q549" i="1"/>
  <c r="AU549" i="1" s="1"/>
  <c r="R549" i="1"/>
  <c r="B2205" i="33"/>
  <c r="U2204" i="33"/>
  <c r="B2204" i="33"/>
  <c r="U2203" i="33"/>
  <c r="B2203" i="33"/>
  <c r="U2202" i="33"/>
  <c r="B2202" i="33"/>
  <c r="U2201" i="33"/>
  <c r="B2201" i="33"/>
  <c r="U2200" i="33"/>
  <c r="Y565" i="1"/>
  <c r="P565" i="1"/>
  <c r="Q565" i="1"/>
  <c r="R565" i="1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Y500" i="1"/>
  <c r="P500" i="1"/>
  <c r="Q500" i="1"/>
  <c r="R500" i="1"/>
  <c r="B2194" i="33"/>
  <c r="U2193" i="33"/>
  <c r="B2193" i="33"/>
  <c r="U2192" i="33"/>
  <c r="B2192" i="33"/>
  <c r="U2191" i="33"/>
  <c r="Y485" i="1"/>
  <c r="P485" i="1"/>
  <c r="K2191" i="33" s="1"/>
  <c r="Q485" i="1"/>
  <c r="R485" i="1"/>
  <c r="B2191" i="33"/>
  <c r="U2190" i="33"/>
  <c r="Y775" i="1"/>
  <c r="P775" i="1"/>
  <c r="K2188" i="33" s="1"/>
  <c r="Q775" i="1"/>
  <c r="R775" i="1"/>
  <c r="AT775" i="1" s="1"/>
  <c r="B2190" i="33"/>
  <c r="U2189" i="33"/>
  <c r="B2189" i="33"/>
  <c r="U2188" i="33"/>
  <c r="B2188" i="33"/>
  <c r="U2187" i="33"/>
  <c r="Y489" i="1"/>
  <c r="P489" i="1"/>
  <c r="K2187" i="33" s="1"/>
  <c r="Q489" i="1"/>
  <c r="R489" i="1"/>
  <c r="B2187" i="33"/>
  <c r="U2186" i="33"/>
  <c r="B2186" i="33"/>
  <c r="U2185" i="33"/>
  <c r="Y474" i="1"/>
  <c r="P474" i="1"/>
  <c r="K2184" i="33" s="1"/>
  <c r="Q474" i="1"/>
  <c r="AU474" i="1" s="1"/>
  <c r="R474" i="1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Y457" i="1"/>
  <c r="P457" i="1"/>
  <c r="K2177" i="33" s="1"/>
  <c r="Q457" i="1"/>
  <c r="AU457" i="1" s="1"/>
  <c r="R457" i="1"/>
  <c r="AT457" i="1" s="1"/>
  <c r="B2179" i="33"/>
  <c r="U2178" i="33"/>
  <c r="B2178" i="33"/>
  <c r="U2177" i="33"/>
  <c r="B2177" i="33"/>
  <c r="U2176" i="33"/>
  <c r="Y492" i="1"/>
  <c r="P492" i="1"/>
  <c r="K2173" i="33" s="1"/>
  <c r="Q492" i="1"/>
  <c r="R492" i="1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Y476" i="1"/>
  <c r="P476" i="1"/>
  <c r="K2165" i="33" s="1"/>
  <c r="Q476" i="1"/>
  <c r="AU476" i="1" s="1"/>
  <c r="R476" i="1"/>
  <c r="B2166" i="33"/>
  <c r="U2165" i="33"/>
  <c r="B2165" i="33"/>
  <c r="U2164" i="33"/>
  <c r="Y451" i="1"/>
  <c r="P451" i="1"/>
  <c r="Q451" i="1"/>
  <c r="R451" i="1"/>
  <c r="B2164" i="33"/>
  <c r="U2163" i="33"/>
  <c r="B2163" i="33"/>
  <c r="U2162" i="33"/>
  <c r="Y490" i="1"/>
  <c r="P490" i="1"/>
  <c r="K2162" i="33" s="1"/>
  <c r="Q490" i="1"/>
  <c r="R490" i="1"/>
  <c r="B2162" i="33"/>
  <c r="U2161" i="33"/>
  <c r="Y439" i="1"/>
  <c r="P439" i="1"/>
  <c r="Q439" i="1"/>
  <c r="R439" i="1"/>
  <c r="B2161" i="33"/>
  <c r="U2160" i="33"/>
  <c r="B2160" i="33"/>
  <c r="U2159" i="33"/>
  <c r="B2159" i="33"/>
  <c r="U2158" i="33"/>
  <c r="B2158" i="33"/>
  <c r="U2157" i="33"/>
  <c r="B2157" i="33"/>
  <c r="U2156" i="33"/>
  <c r="Y484" i="1"/>
  <c r="P484" i="1"/>
  <c r="Q484" i="1"/>
  <c r="R484" i="1"/>
  <c r="B2156" i="33"/>
  <c r="U2155" i="33"/>
  <c r="B2155" i="33"/>
  <c r="U2154" i="33"/>
  <c r="Y497" i="1"/>
  <c r="P497" i="1"/>
  <c r="Q497" i="1"/>
  <c r="R497" i="1"/>
  <c r="AT497" i="1" s="1"/>
  <c r="B2154" i="33"/>
  <c r="U2153" i="33"/>
  <c r="B2153" i="33"/>
  <c r="U2152" i="33"/>
  <c r="Y458" i="1"/>
  <c r="P458" i="1"/>
  <c r="Q458" i="1"/>
  <c r="AU458" i="1" s="1"/>
  <c r="R458" i="1"/>
  <c r="B2152" i="33"/>
  <c r="U2151" i="33"/>
  <c r="B2151" i="33"/>
  <c r="U2150" i="33"/>
  <c r="Y472" i="1"/>
  <c r="P472" i="1"/>
  <c r="K2149" i="33" s="1"/>
  <c r="Q472" i="1"/>
  <c r="R472" i="1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Y441" i="1"/>
  <c r="P441" i="1"/>
  <c r="K2142" i="33" s="1"/>
  <c r="Q441" i="1"/>
  <c r="R441" i="1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Y517" i="1"/>
  <c r="P517" i="1"/>
  <c r="K2136" i="33" s="1"/>
  <c r="Q517" i="1"/>
  <c r="R517" i="1"/>
  <c r="AT517" i="1" s="1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Y447" i="1"/>
  <c r="P447" i="1"/>
  <c r="K2128" i="33" s="1"/>
  <c r="Q447" i="1"/>
  <c r="AU447" i="1" s="1"/>
  <c r="R447" i="1"/>
  <c r="AT447" i="1" s="1"/>
  <c r="B2129" i="33"/>
  <c r="U2128" i="33"/>
  <c r="B2128" i="33"/>
  <c r="U2127" i="33"/>
  <c r="B2127" i="33"/>
  <c r="U2126" i="33"/>
  <c r="Y455" i="1"/>
  <c r="P455" i="1"/>
  <c r="Q455" i="1"/>
  <c r="AU455" i="1" s="1"/>
  <c r="R455" i="1"/>
  <c r="AT455" i="1" s="1"/>
  <c r="B2126" i="33"/>
  <c r="U2125" i="33"/>
  <c r="B2125" i="33"/>
  <c r="U2124" i="33"/>
  <c r="B2124" i="33"/>
  <c r="U2123" i="33"/>
  <c r="Y438" i="1"/>
  <c r="P438" i="1"/>
  <c r="K2120" i="33" s="1"/>
  <c r="Q438" i="1"/>
  <c r="R438" i="1"/>
  <c r="AT438" i="1" s="1"/>
  <c r="B2123" i="33"/>
  <c r="U2122" i="33"/>
  <c r="B2122" i="33"/>
  <c r="U2121" i="33"/>
  <c r="B2121" i="33"/>
  <c r="U2120" i="33"/>
  <c r="B2120" i="33"/>
  <c r="U2119" i="33"/>
  <c r="B2119" i="33"/>
  <c r="U2118" i="33"/>
  <c r="Y430" i="1"/>
  <c r="P430" i="1"/>
  <c r="K2118" i="33" s="1"/>
  <c r="Q430" i="1"/>
  <c r="AU430" i="1" s="1"/>
  <c r="R430" i="1"/>
  <c r="B2118" i="33"/>
  <c r="U2117" i="33"/>
  <c r="B2117" i="33"/>
  <c r="U2116" i="33"/>
  <c r="Y450" i="1"/>
  <c r="P450" i="1"/>
  <c r="Q450" i="1"/>
  <c r="AU450" i="1" s="1"/>
  <c r="R450" i="1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Y443" i="1"/>
  <c r="P443" i="1"/>
  <c r="Q443" i="1"/>
  <c r="R443" i="1"/>
  <c r="B2103" i="33"/>
  <c r="U2102" i="33"/>
  <c r="B2102" i="33"/>
  <c r="U2101" i="33"/>
  <c r="B2101" i="33"/>
  <c r="U2100" i="33"/>
  <c r="B2100" i="33"/>
  <c r="U2099" i="33"/>
  <c r="Y428" i="1"/>
  <c r="P428" i="1"/>
  <c r="K2099" i="33" s="1"/>
  <c r="Q428" i="1"/>
  <c r="R428" i="1"/>
  <c r="B2099" i="33"/>
  <c r="U2098" i="33"/>
  <c r="Y459" i="1"/>
  <c r="P459" i="1"/>
  <c r="K2096" i="33" s="1"/>
  <c r="Q459" i="1"/>
  <c r="R459" i="1"/>
  <c r="B2098" i="33"/>
  <c r="U2097" i="33"/>
  <c r="B2097" i="33"/>
  <c r="U2096" i="33"/>
  <c r="B2096" i="33"/>
  <c r="U2095" i="33"/>
  <c r="Y446" i="1"/>
  <c r="P446" i="1"/>
  <c r="K2095" i="33" s="1"/>
  <c r="Q446" i="1"/>
  <c r="R446" i="1"/>
  <c r="B2095" i="33"/>
  <c r="U2094" i="33"/>
  <c r="Y452" i="1"/>
  <c r="P452" i="1"/>
  <c r="Q452" i="1"/>
  <c r="R452" i="1"/>
  <c r="B2094" i="33"/>
  <c r="U2093" i="33"/>
  <c r="B2093" i="33"/>
  <c r="U2092" i="33"/>
  <c r="B2092" i="33"/>
  <c r="U2091" i="33"/>
  <c r="B2091" i="33"/>
  <c r="U2090" i="33"/>
  <c r="B2090" i="33"/>
  <c r="U2089" i="33"/>
  <c r="Y418" i="1"/>
  <c r="P418" i="1"/>
  <c r="Q418" i="1"/>
  <c r="AU418" i="1" s="1"/>
  <c r="R418" i="1"/>
  <c r="B2089" i="33"/>
  <c r="U2088" i="33"/>
  <c r="B2088" i="33"/>
  <c r="U2087" i="33"/>
  <c r="B2087" i="33"/>
  <c r="U2086" i="33"/>
  <c r="B2086" i="33"/>
  <c r="U2085" i="33"/>
  <c r="Y471" i="1"/>
  <c r="P471" i="1"/>
  <c r="K2085" i="33" s="1"/>
  <c r="Q471" i="1"/>
  <c r="R471" i="1"/>
  <c r="B2085" i="33"/>
  <c r="U2084" i="33"/>
  <c r="B2084" i="33"/>
  <c r="U2083" i="33"/>
  <c r="Y440" i="1"/>
  <c r="P440" i="1"/>
  <c r="Q440" i="1"/>
  <c r="AU440" i="1" s="1"/>
  <c r="R440" i="1"/>
  <c r="AT440" i="1" s="1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Y437" i="1"/>
  <c r="P437" i="1"/>
  <c r="K2072" i="33" s="1"/>
  <c r="Q437" i="1"/>
  <c r="R437" i="1"/>
  <c r="AT437" i="1" s="1"/>
  <c r="B2073" i="33"/>
  <c r="U2072" i="33"/>
  <c r="B2072" i="33"/>
  <c r="U2071" i="33"/>
  <c r="B2071" i="33"/>
  <c r="U2070" i="33"/>
  <c r="B2070" i="33"/>
  <c r="U2069" i="33"/>
  <c r="Y436" i="1"/>
  <c r="P436" i="1"/>
  <c r="K2069" i="33" s="1"/>
  <c r="Q436" i="1"/>
  <c r="R436" i="1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Y416" i="1"/>
  <c r="P416" i="1"/>
  <c r="K2061" i="33" s="1"/>
  <c r="Q416" i="1"/>
  <c r="R416" i="1"/>
  <c r="B2061" i="33"/>
  <c r="U2060" i="33"/>
  <c r="Y417" i="1"/>
  <c r="P417" i="1"/>
  <c r="K2060" i="33" s="1"/>
  <c r="Q417" i="1"/>
  <c r="AU417" i="1" s="1"/>
  <c r="R417" i="1"/>
  <c r="B2060" i="33"/>
  <c r="U2059" i="33"/>
  <c r="B2059" i="33"/>
  <c r="U2058" i="33"/>
  <c r="B2058" i="33"/>
  <c r="U2057" i="33"/>
  <c r="B2057" i="33"/>
  <c r="U2056" i="33"/>
  <c r="Y324" i="1"/>
  <c r="P324" i="1"/>
  <c r="K2056" i="33" s="1"/>
  <c r="Q324" i="1"/>
  <c r="R324" i="1"/>
  <c r="AT324" i="1" s="1"/>
  <c r="B2056" i="33"/>
  <c r="U2055" i="33"/>
  <c r="B2055" i="33"/>
  <c r="U2054" i="33"/>
  <c r="B2054" i="33"/>
  <c r="U2053" i="33"/>
  <c r="B2053" i="33"/>
  <c r="U2052" i="33"/>
  <c r="B2052" i="33"/>
  <c r="U2051" i="33"/>
  <c r="Y390" i="1"/>
  <c r="P390" i="1"/>
  <c r="Q390" i="1"/>
  <c r="R390" i="1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Y415" i="1"/>
  <c r="P415" i="1"/>
  <c r="Q415" i="1"/>
  <c r="R415" i="1"/>
  <c r="AT415" i="1" s="1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Y467" i="1"/>
  <c r="P467" i="1"/>
  <c r="K2031" i="33" s="1"/>
  <c r="Q467" i="1"/>
  <c r="R467" i="1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Y421" i="1"/>
  <c r="P421" i="1"/>
  <c r="K2023" i="33" s="1"/>
  <c r="Q421" i="1"/>
  <c r="R421" i="1"/>
  <c r="AT421" i="1" s="1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Y397" i="1"/>
  <c r="P397" i="1"/>
  <c r="K2018" i="33" s="1"/>
  <c r="Q397" i="1"/>
  <c r="R397" i="1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Y355" i="1"/>
  <c r="P355" i="1"/>
  <c r="K2008" i="33" s="1"/>
  <c r="Q355" i="1"/>
  <c r="R355" i="1"/>
  <c r="B2008" i="33"/>
  <c r="U2007" i="33"/>
  <c r="B2007" i="33"/>
  <c r="U2006" i="33"/>
  <c r="Y413" i="1"/>
  <c r="P413" i="1"/>
  <c r="K2006" i="33" s="1"/>
  <c r="Q413" i="1"/>
  <c r="R413" i="1"/>
  <c r="AT413" i="1" s="1"/>
  <c r="B2006" i="33"/>
  <c r="U2005" i="33"/>
  <c r="B2005" i="33"/>
  <c r="U2004" i="33"/>
  <c r="B2004" i="33"/>
  <c r="U2003" i="33"/>
  <c r="Y403" i="1"/>
  <c r="P403" i="1"/>
  <c r="K2002" i="33" s="1"/>
  <c r="Q403" i="1"/>
  <c r="AU403" i="1" s="1"/>
  <c r="R403" i="1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P375" i="1"/>
  <c r="K1995" i="33" s="1"/>
  <c r="Q375" i="1"/>
  <c r="R375" i="1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Y396" i="1"/>
  <c r="P396" i="1"/>
  <c r="K1988" i="33" s="1"/>
  <c r="Q396" i="1"/>
  <c r="R396" i="1"/>
  <c r="B1988" i="33"/>
  <c r="U1987" i="33"/>
  <c r="B1987" i="33"/>
  <c r="U1986" i="33"/>
  <c r="B1986" i="33"/>
  <c r="U1985" i="33"/>
  <c r="B1985" i="33"/>
  <c r="U1984" i="33"/>
  <c r="Y392" i="1"/>
  <c r="P392" i="1"/>
  <c r="Q392" i="1"/>
  <c r="R392" i="1"/>
  <c r="AT392" i="1" s="1"/>
  <c r="B1984" i="33"/>
  <c r="U1983" i="33"/>
  <c r="B1983" i="33"/>
  <c r="U1982" i="33"/>
  <c r="B1982" i="33"/>
  <c r="U1981" i="33"/>
  <c r="Y376" i="1"/>
  <c r="P376" i="1"/>
  <c r="Q376" i="1"/>
  <c r="R376" i="1"/>
  <c r="B1981" i="33"/>
  <c r="U1980" i="33"/>
  <c r="B1980" i="33"/>
  <c r="U1979" i="33"/>
  <c r="B1979" i="33"/>
  <c r="U1978" i="33"/>
  <c r="Y322" i="1"/>
  <c r="P322" i="1"/>
  <c r="Q322" i="1"/>
  <c r="AU322" i="1" s="1"/>
  <c r="R322" i="1"/>
  <c r="B1978" i="33"/>
  <c r="U1977" i="33"/>
  <c r="B1977" i="33"/>
  <c r="U1976" i="33"/>
  <c r="B1976" i="33"/>
  <c r="U1975" i="33"/>
  <c r="B1975" i="33"/>
  <c r="U1974" i="33"/>
  <c r="B1974" i="33"/>
  <c r="U1973" i="33"/>
  <c r="Y323" i="1"/>
  <c r="P323" i="1"/>
  <c r="Q323" i="1"/>
  <c r="AU323" i="1" s="1"/>
  <c r="R323" i="1"/>
  <c r="B1973" i="33"/>
  <c r="U1972" i="33"/>
  <c r="B1972" i="33"/>
  <c r="U1971" i="33"/>
  <c r="B1971" i="33"/>
  <c r="U1970" i="33"/>
  <c r="B1970" i="33"/>
  <c r="U1969" i="33"/>
  <c r="B1969" i="33"/>
  <c r="U1968" i="33"/>
  <c r="Y420" i="1"/>
  <c r="P420" i="1"/>
  <c r="K1964" i="33" s="1"/>
  <c r="Q420" i="1"/>
  <c r="AU420" i="1" s="1"/>
  <c r="R420" i="1"/>
  <c r="B1968" i="33"/>
  <c r="U1967" i="33"/>
  <c r="B1967" i="33"/>
  <c r="U1966" i="33"/>
  <c r="B1966" i="33"/>
  <c r="U1965" i="33"/>
  <c r="B1965" i="33"/>
  <c r="U1964" i="33"/>
  <c r="B1964" i="33"/>
  <c r="U1963" i="33"/>
  <c r="Y385" i="1"/>
  <c r="P385" i="1"/>
  <c r="K1963" i="33" s="1"/>
  <c r="Q385" i="1"/>
  <c r="R385" i="1"/>
  <c r="B1963" i="33"/>
  <c r="U1962" i="33"/>
  <c r="Y398" i="1"/>
  <c r="P398" i="1"/>
  <c r="Q398" i="1"/>
  <c r="AU398" i="1" s="1"/>
  <c r="R398" i="1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Y345" i="1"/>
  <c r="P345" i="1"/>
  <c r="K1949" i="33" s="1"/>
  <c r="Q345" i="1"/>
  <c r="R345" i="1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Y382" i="1"/>
  <c r="P382" i="1"/>
  <c r="K1941" i="33" s="1"/>
  <c r="Q382" i="1"/>
  <c r="R382" i="1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Y308" i="1"/>
  <c r="P308" i="1"/>
  <c r="K1931" i="33" s="1"/>
  <c r="Q308" i="1"/>
  <c r="R308" i="1"/>
  <c r="B1931" i="33"/>
  <c r="U1930" i="33"/>
  <c r="Y344" i="1"/>
  <c r="P344" i="1"/>
  <c r="K1930" i="33" s="1"/>
  <c r="Q344" i="1"/>
  <c r="R344" i="1"/>
  <c r="B1930" i="33"/>
  <c r="U1929" i="33"/>
  <c r="B1929" i="33"/>
  <c r="U1928" i="33"/>
  <c r="Y377" i="1"/>
  <c r="P377" i="1"/>
  <c r="Q377" i="1"/>
  <c r="R377" i="1"/>
  <c r="B1928" i="33"/>
  <c r="U1927" i="33"/>
  <c r="B1927" i="33"/>
  <c r="U1926" i="33"/>
  <c r="B1926" i="33"/>
  <c r="U1925" i="33"/>
  <c r="B1925" i="33"/>
  <c r="U1924" i="33"/>
  <c r="B1924" i="33"/>
  <c r="U1923" i="33"/>
  <c r="Y383" i="1"/>
  <c r="P383" i="1"/>
  <c r="Q383" i="1"/>
  <c r="AU383" i="1" s="1"/>
  <c r="R383" i="1"/>
  <c r="AT383" i="1" s="1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Y422" i="1"/>
  <c r="P422" i="1"/>
  <c r="K1915" i="33" s="1"/>
  <c r="Q422" i="1"/>
  <c r="R422" i="1"/>
  <c r="B1915" i="33"/>
  <c r="U1914" i="33"/>
  <c r="Y391" i="1"/>
  <c r="P391" i="1"/>
  <c r="K1912" i="33" s="1"/>
  <c r="Q391" i="1"/>
  <c r="R391" i="1"/>
  <c r="B1914" i="33"/>
  <c r="U1913" i="33"/>
  <c r="B1913" i="33"/>
  <c r="U1912" i="33"/>
  <c r="B1912" i="33"/>
  <c r="U1911" i="33"/>
  <c r="B1911" i="33"/>
  <c r="U1910" i="33"/>
  <c r="Y394" i="1"/>
  <c r="P394" i="1"/>
  <c r="Q394" i="1"/>
  <c r="R394" i="1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Y410" i="1"/>
  <c r="P410" i="1"/>
  <c r="K1899" i="33" s="1"/>
  <c r="Q410" i="1"/>
  <c r="R410" i="1"/>
  <c r="B1899" i="33"/>
  <c r="U1898" i="33"/>
  <c r="B1898" i="33"/>
  <c r="U1897" i="33"/>
  <c r="Y359" i="1"/>
  <c r="P359" i="1"/>
  <c r="Q359" i="1"/>
  <c r="R359" i="1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Y357" i="1"/>
  <c r="P357" i="1"/>
  <c r="Q357" i="1"/>
  <c r="R357" i="1"/>
  <c r="AT357" i="1" s="1"/>
  <c r="B1884" i="33"/>
  <c r="U1883" i="33"/>
  <c r="B1883" i="33"/>
  <c r="U1882" i="33"/>
  <c r="B1882" i="33"/>
  <c r="U1881" i="33"/>
  <c r="B1881" i="33"/>
  <c r="U1880" i="33"/>
  <c r="Y318" i="1"/>
  <c r="P318" i="1"/>
  <c r="K1880" i="33" s="1"/>
  <c r="Q318" i="1"/>
  <c r="R318" i="1"/>
  <c r="B1880" i="33"/>
  <c r="U1879" i="33"/>
  <c r="B1879" i="33"/>
  <c r="U1878" i="33"/>
  <c r="Y371" i="1"/>
  <c r="P371" i="1"/>
  <c r="Q371" i="1"/>
  <c r="AU371" i="1" s="1"/>
  <c r="R371" i="1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Y327" i="1"/>
  <c r="P327" i="1"/>
  <c r="K1869" i="33" s="1"/>
  <c r="Q327" i="1"/>
  <c r="R327" i="1"/>
  <c r="B1869" i="33"/>
  <c r="U1868" i="33"/>
  <c r="B1868" i="33"/>
  <c r="U1867" i="33"/>
  <c r="B1867" i="33"/>
  <c r="U1866" i="33"/>
  <c r="Y309" i="1"/>
  <c r="P309" i="1"/>
  <c r="K1865" i="33" s="1"/>
  <c r="Q309" i="1"/>
  <c r="AU309" i="1" s="1"/>
  <c r="R309" i="1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Y409" i="1"/>
  <c r="P409" i="1"/>
  <c r="Q409" i="1"/>
  <c r="R409" i="1"/>
  <c r="B1857" i="33"/>
  <c r="U1856" i="33"/>
  <c r="B1856" i="33"/>
  <c r="U1855" i="33"/>
  <c r="B1855" i="33"/>
  <c r="U1854" i="33"/>
  <c r="Y348" i="1"/>
  <c r="P348" i="1"/>
  <c r="K1854" i="33" s="1"/>
  <c r="Q348" i="1"/>
  <c r="R348" i="1"/>
  <c r="AT348" i="1" s="1"/>
  <c r="B1854" i="33"/>
  <c r="U1853" i="33"/>
  <c r="B1853" i="33"/>
  <c r="U1852" i="33"/>
  <c r="B1852" i="33"/>
  <c r="U1851" i="33"/>
  <c r="B1851" i="33"/>
  <c r="U1850" i="33"/>
  <c r="Y351" i="1"/>
  <c r="P351" i="1"/>
  <c r="K1850" i="33" s="1"/>
  <c r="Q351" i="1"/>
  <c r="R351" i="1"/>
  <c r="B1850" i="33"/>
  <c r="U1849" i="33"/>
  <c r="B1849" i="33"/>
  <c r="U1848" i="33"/>
  <c r="Y387" i="1"/>
  <c r="P387" i="1"/>
  <c r="K1846" i="33" s="1"/>
  <c r="Q387" i="1"/>
  <c r="AU387" i="1" s="1"/>
  <c r="R387" i="1"/>
  <c r="AT387" i="1" s="1"/>
  <c r="B1848" i="33"/>
  <c r="U1847" i="33"/>
  <c r="B1847" i="33"/>
  <c r="U1846" i="33"/>
  <c r="B1846" i="33"/>
  <c r="U1845" i="33"/>
  <c r="Y381" i="1"/>
  <c r="P381" i="1"/>
  <c r="K1844" i="33" s="1"/>
  <c r="Q381" i="1"/>
  <c r="AU381" i="1" s="1"/>
  <c r="R381" i="1"/>
  <c r="B1845" i="33"/>
  <c r="U1844" i="33"/>
  <c r="B1844" i="33"/>
  <c r="U1843" i="33"/>
  <c r="B1843" i="33"/>
  <c r="U1842" i="33"/>
  <c r="Y7" i="1"/>
  <c r="P7" i="1"/>
  <c r="K1842" i="33" s="1"/>
  <c r="Q7" i="1"/>
  <c r="R7" i="1"/>
  <c r="B1842" i="33"/>
  <c r="U1841" i="33"/>
  <c r="Y306" i="1"/>
  <c r="P306" i="1"/>
  <c r="K1840" i="33" s="1"/>
  <c r="Q306" i="1"/>
  <c r="R306" i="1"/>
  <c r="AT306" i="1" s="1"/>
  <c r="B1841" i="33"/>
  <c r="U1840" i="33"/>
  <c r="B1840" i="33"/>
  <c r="U1839" i="33"/>
  <c r="B1839" i="33"/>
  <c r="U1838" i="33"/>
  <c r="Y354" i="1"/>
  <c r="P354" i="1"/>
  <c r="K1838" i="33" s="1"/>
  <c r="Q354" i="1"/>
  <c r="R354" i="1"/>
  <c r="B1838" i="33"/>
  <c r="U1837" i="33"/>
  <c r="Y304" i="1"/>
  <c r="P304" i="1"/>
  <c r="K1836" i="33" s="1"/>
  <c r="Q304" i="1"/>
  <c r="R304" i="1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Y342" i="1"/>
  <c r="P342" i="1"/>
  <c r="K1825" i="33" s="1"/>
  <c r="Q342" i="1"/>
  <c r="AU342" i="1" s="1"/>
  <c r="R342" i="1"/>
  <c r="B1827" i="33"/>
  <c r="U1826" i="33"/>
  <c r="B1826" i="33"/>
  <c r="U1825" i="33"/>
  <c r="B1825" i="33"/>
  <c r="U1824" i="33"/>
  <c r="Y367" i="1"/>
  <c r="P367" i="1"/>
  <c r="K1824" i="33" s="1"/>
  <c r="Q367" i="1"/>
  <c r="R367" i="1"/>
  <c r="B1824" i="33"/>
  <c r="U1823" i="33"/>
  <c r="Y536" i="1"/>
  <c r="P536" i="1"/>
  <c r="K1821" i="33" s="1"/>
  <c r="Q536" i="1"/>
  <c r="R536" i="1"/>
  <c r="AT536" i="1" s="1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Y313" i="1"/>
  <c r="P313" i="1"/>
  <c r="Q313" i="1"/>
  <c r="AU313" i="1" s="1"/>
  <c r="R313" i="1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Y373" i="1"/>
  <c r="P373" i="1"/>
  <c r="K1800" i="33" s="1"/>
  <c r="Q373" i="1"/>
  <c r="R373" i="1"/>
  <c r="B1800" i="33"/>
  <c r="U1799" i="33"/>
  <c r="B1799" i="33"/>
  <c r="U1798" i="33"/>
  <c r="Y337" i="1"/>
  <c r="P337" i="1"/>
  <c r="K1797" i="33" s="1"/>
  <c r="Q337" i="1"/>
  <c r="AU337" i="1" s="1"/>
  <c r="R337" i="1"/>
  <c r="B1798" i="33"/>
  <c r="U1797" i="33"/>
  <c r="B1797" i="33"/>
  <c r="U1796" i="33"/>
  <c r="B1796" i="33"/>
  <c r="U1795" i="33"/>
  <c r="Y379" i="1"/>
  <c r="P379" i="1"/>
  <c r="K1793" i="33" s="1"/>
  <c r="Q379" i="1"/>
  <c r="R379" i="1"/>
  <c r="AT379" i="1" s="1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Y360" i="1"/>
  <c r="P360" i="1"/>
  <c r="K1786" i="33" s="1"/>
  <c r="Q360" i="1"/>
  <c r="R360" i="1"/>
  <c r="B1788" i="33"/>
  <c r="U1787" i="33"/>
  <c r="B1787" i="33"/>
  <c r="U1786" i="33"/>
  <c r="B1786" i="33"/>
  <c r="U1785" i="33"/>
  <c r="Y180" i="1"/>
  <c r="P180" i="1"/>
  <c r="K1785" i="33" s="1"/>
  <c r="Q180" i="1"/>
  <c r="R180" i="1"/>
  <c r="B1785" i="33"/>
  <c r="U1784" i="33"/>
  <c r="Y273" i="1"/>
  <c r="P273" i="1"/>
  <c r="Q273" i="1"/>
  <c r="R273" i="1"/>
  <c r="AT273" i="1" s="1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Y276" i="1"/>
  <c r="P276" i="1"/>
  <c r="Q276" i="1"/>
  <c r="R276" i="1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Y325" i="1"/>
  <c r="P325" i="1"/>
  <c r="Q325" i="1"/>
  <c r="AU325" i="1" s="1"/>
  <c r="R325" i="1"/>
  <c r="B1767" i="33"/>
  <c r="U1766" i="33"/>
  <c r="B1766" i="33"/>
  <c r="U1765" i="33"/>
  <c r="B1765" i="33"/>
  <c r="U1764" i="33"/>
  <c r="Y2" i="1"/>
  <c r="P2" i="1"/>
  <c r="K1764" i="33" s="1"/>
  <c r="Q2" i="1"/>
  <c r="R2" i="1"/>
  <c r="B1764" i="33"/>
  <c r="U1763" i="33"/>
  <c r="B1763" i="33"/>
  <c r="U1762" i="33"/>
  <c r="B1762" i="33"/>
  <c r="U1761" i="33"/>
  <c r="B1761" i="33"/>
  <c r="U1760" i="33"/>
  <c r="B1760" i="33"/>
  <c r="U1759" i="33"/>
  <c r="Y331" i="1"/>
  <c r="P331" i="1"/>
  <c r="K1758" i="33" s="1"/>
  <c r="Q331" i="1"/>
  <c r="R331" i="1"/>
  <c r="B1759" i="33"/>
  <c r="U1758" i="33"/>
  <c r="B1758" i="33"/>
  <c r="U1757" i="33"/>
  <c r="Y272" i="1"/>
  <c r="P272" i="1"/>
  <c r="K1756" i="33" s="1"/>
  <c r="Q272" i="1"/>
  <c r="AU272" i="1" s="1"/>
  <c r="R272" i="1"/>
  <c r="AT272" i="1" s="1"/>
  <c r="B1757" i="33"/>
  <c r="U1756" i="33"/>
  <c r="B1756" i="33"/>
  <c r="U1755" i="33"/>
  <c r="B1755" i="33"/>
  <c r="U1754" i="33"/>
  <c r="B1754" i="33"/>
  <c r="U1753" i="33"/>
  <c r="Y294" i="1"/>
  <c r="P294" i="1"/>
  <c r="K1753" i="33" s="1"/>
  <c r="Q294" i="1"/>
  <c r="R294" i="1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Y295" i="1"/>
  <c r="P295" i="1"/>
  <c r="K1738" i="33" s="1"/>
  <c r="Q295" i="1"/>
  <c r="R295" i="1"/>
  <c r="AT295" i="1" s="1"/>
  <c r="B1740" i="33"/>
  <c r="U1739" i="33"/>
  <c r="B1739" i="33"/>
  <c r="U1738" i="33"/>
  <c r="B1738" i="33"/>
  <c r="U1737" i="33"/>
  <c r="Y330" i="1"/>
  <c r="P330" i="1"/>
  <c r="K1734" i="33" s="1"/>
  <c r="Q330" i="1"/>
  <c r="AU330" i="1" s="1"/>
  <c r="R330" i="1"/>
  <c r="AT330" i="1" s="1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Y311" i="1"/>
  <c r="P311" i="1"/>
  <c r="K1731" i="33" s="1"/>
  <c r="Q311" i="1"/>
  <c r="AU311" i="1" s="1"/>
  <c r="R311" i="1"/>
  <c r="AT311" i="1" s="1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Y332" i="1"/>
  <c r="P332" i="1"/>
  <c r="K1721" i="33" s="1"/>
  <c r="Q332" i="1"/>
  <c r="AU332" i="1" s="1"/>
  <c r="R332" i="1"/>
  <c r="B1723" i="33"/>
  <c r="U1722" i="33"/>
  <c r="B1722" i="33"/>
  <c r="U1721" i="33"/>
  <c r="B1721" i="33"/>
  <c r="U1720" i="33"/>
  <c r="Y316" i="1"/>
  <c r="P316" i="1"/>
  <c r="Q316" i="1"/>
  <c r="AU316" i="1" s="1"/>
  <c r="R316" i="1"/>
  <c r="AT316" i="1" s="1"/>
  <c r="B1720" i="33"/>
  <c r="U1719" i="33"/>
  <c r="B1719" i="33"/>
  <c r="U1718" i="33"/>
  <c r="B1718" i="33"/>
  <c r="U1717" i="33"/>
  <c r="B1717" i="33"/>
  <c r="U1716" i="33"/>
  <c r="Y320" i="1"/>
  <c r="P320" i="1"/>
  <c r="K1714" i="33" s="1"/>
  <c r="Q320" i="1"/>
  <c r="R320" i="1"/>
  <c r="B1716" i="33"/>
  <c r="U1715" i="33"/>
  <c r="B1715" i="33"/>
  <c r="U1714" i="33"/>
  <c r="B1714" i="33"/>
  <c r="U1713" i="33"/>
  <c r="B1713" i="33"/>
  <c r="U1712" i="33"/>
  <c r="B1712" i="33"/>
  <c r="U1711" i="33"/>
  <c r="Y279" i="1"/>
  <c r="P279" i="1"/>
  <c r="Q279" i="1"/>
  <c r="R279" i="1"/>
  <c r="AT279" i="1" s="1"/>
  <c r="B1711" i="33"/>
  <c r="U1710" i="33"/>
  <c r="B1710" i="33"/>
  <c r="U1709" i="33"/>
  <c r="Y296" i="1"/>
  <c r="P296" i="1"/>
  <c r="K1709" i="33" s="1"/>
  <c r="Q296" i="1"/>
  <c r="R296" i="1"/>
  <c r="B1709" i="33"/>
  <c r="U1708" i="33"/>
  <c r="B1708" i="33"/>
  <c r="U1707" i="33"/>
  <c r="B1707" i="33"/>
  <c r="U1706" i="33"/>
  <c r="B1706" i="33"/>
  <c r="U1705" i="33"/>
  <c r="Y227" i="1"/>
  <c r="P227" i="1"/>
  <c r="K1705" i="33" s="1"/>
  <c r="Q227" i="1"/>
  <c r="R227" i="1"/>
  <c r="AT227" i="1" s="1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Y235" i="1"/>
  <c r="P235" i="1"/>
  <c r="K1696" i="33" s="1"/>
  <c r="Q235" i="1"/>
  <c r="R235" i="1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Y264" i="1"/>
  <c r="P264" i="1"/>
  <c r="K1689" i="33" s="1"/>
  <c r="Q264" i="1"/>
  <c r="R264" i="1"/>
  <c r="AT264" i="1" s="1"/>
  <c r="B1689" i="33"/>
  <c r="U1688" i="33"/>
  <c r="B1688" i="33"/>
  <c r="U1687" i="33"/>
  <c r="B1687" i="33"/>
  <c r="U1686" i="33"/>
  <c r="Y266" i="1"/>
  <c r="P266" i="1"/>
  <c r="Q266" i="1"/>
  <c r="AU266" i="1" s="1"/>
  <c r="R266" i="1"/>
  <c r="B1686" i="33"/>
  <c r="U1685" i="33"/>
  <c r="B1685" i="33"/>
  <c r="U1684" i="33"/>
  <c r="B1684" i="33"/>
  <c r="U1683" i="33"/>
  <c r="Y233" i="1"/>
  <c r="P233" i="1"/>
  <c r="K1683" i="33" s="1"/>
  <c r="Q233" i="1"/>
  <c r="R233" i="1"/>
  <c r="B1683" i="33"/>
  <c r="U1682" i="33"/>
  <c r="Y177" i="1"/>
  <c r="P177" i="1"/>
  <c r="K1681" i="33" s="1"/>
  <c r="Q177" i="1"/>
  <c r="R177" i="1"/>
  <c r="AT177" i="1" s="1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Y109" i="1"/>
  <c r="P109" i="1"/>
  <c r="K1670" i="33" s="1"/>
  <c r="Q109" i="1"/>
  <c r="AU109" i="1" s="1"/>
  <c r="R109" i="1"/>
  <c r="AT109" i="1" s="1"/>
  <c r="B1672" i="33"/>
  <c r="U1671" i="33"/>
  <c r="B1671" i="33"/>
  <c r="U1670" i="33"/>
  <c r="B1670" i="33"/>
  <c r="U1669" i="33"/>
  <c r="B1669" i="33"/>
  <c r="U1668" i="33"/>
  <c r="B1668" i="33"/>
  <c r="U1667" i="33"/>
  <c r="Y163" i="1"/>
  <c r="P163" i="1"/>
  <c r="K1667" i="33" s="1"/>
  <c r="Q163" i="1"/>
  <c r="AU163" i="1" s="1"/>
  <c r="R163" i="1"/>
  <c r="B1667" i="33"/>
  <c r="U1666" i="33"/>
  <c r="B1666" i="33"/>
  <c r="U1665" i="33"/>
  <c r="B1665" i="33"/>
  <c r="U1664" i="33"/>
  <c r="B1664" i="33"/>
  <c r="U1663" i="33"/>
  <c r="Y281" i="1"/>
  <c r="P281" i="1"/>
  <c r="Q281" i="1"/>
  <c r="AU281" i="1" s="1"/>
  <c r="R281" i="1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Y269" i="1"/>
  <c r="P269" i="1"/>
  <c r="K1656" i="33" s="1"/>
  <c r="Q269" i="1"/>
  <c r="R269" i="1"/>
  <c r="B1656" i="33"/>
  <c r="U1655" i="33"/>
  <c r="Y257" i="1"/>
  <c r="P257" i="1"/>
  <c r="K1655" i="33" s="1"/>
  <c r="Q257" i="1"/>
  <c r="AU257" i="1" s="1"/>
  <c r="R257" i="1"/>
  <c r="B1655" i="33"/>
  <c r="U1654" i="33"/>
  <c r="B1654" i="33"/>
  <c r="U1653" i="33"/>
  <c r="B1653" i="33"/>
  <c r="U1652" i="33"/>
  <c r="B1652" i="33"/>
  <c r="U1651" i="33"/>
  <c r="B1651" i="33"/>
  <c r="U1650" i="33"/>
  <c r="Y63" i="1"/>
  <c r="P63" i="1"/>
  <c r="Q63" i="1"/>
  <c r="R63" i="1"/>
  <c r="AT63" i="1" s="1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Y237" i="1"/>
  <c r="P237" i="1"/>
  <c r="K1639" i="33" s="1"/>
  <c r="Q237" i="1"/>
  <c r="R237" i="1"/>
  <c r="B1639" i="33"/>
  <c r="U1638" i="33"/>
  <c r="B1638" i="33"/>
  <c r="U1637" i="33"/>
  <c r="B1637" i="33"/>
  <c r="U1636" i="33"/>
  <c r="B1636" i="33"/>
  <c r="U1635" i="33"/>
  <c r="Y188" i="1"/>
  <c r="P188" i="1"/>
  <c r="K1633" i="33" s="1"/>
  <c r="Q188" i="1"/>
  <c r="R188" i="1"/>
  <c r="AT188" i="1" s="1"/>
  <c r="B1635" i="33"/>
  <c r="U1634" i="33"/>
  <c r="B1634" i="33"/>
  <c r="U1633" i="33"/>
  <c r="B1633" i="33"/>
  <c r="U1632" i="33"/>
  <c r="Y62" i="1"/>
  <c r="P62" i="1"/>
  <c r="Q62" i="1"/>
  <c r="R62" i="1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Y280" i="1"/>
  <c r="P280" i="1"/>
  <c r="Q280" i="1"/>
  <c r="R280" i="1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Y182" i="1"/>
  <c r="P182" i="1"/>
  <c r="K1611" i="33" s="1"/>
  <c r="Q182" i="1"/>
  <c r="R182" i="1"/>
  <c r="AT182" i="1" s="1"/>
  <c r="B1611" i="33"/>
  <c r="U1610" i="33"/>
  <c r="B1610" i="33"/>
  <c r="U1609" i="33"/>
  <c r="Y232" i="1"/>
  <c r="P232" i="1"/>
  <c r="K1609" i="33" s="1"/>
  <c r="Q232" i="1"/>
  <c r="R232" i="1"/>
  <c r="AT232" i="1" s="1"/>
  <c r="B1609" i="33"/>
  <c r="U1608" i="33"/>
  <c r="B1608" i="33"/>
  <c r="U1607" i="33"/>
  <c r="Y244" i="1"/>
  <c r="P244" i="1"/>
  <c r="Q244" i="1"/>
  <c r="R244" i="1"/>
  <c r="B1607" i="33"/>
  <c r="U1606" i="33"/>
  <c r="B1606" i="33"/>
  <c r="U1605" i="33"/>
  <c r="B1605" i="33"/>
  <c r="U1604" i="33"/>
  <c r="Y202" i="1"/>
  <c r="P202" i="1"/>
  <c r="K1604" i="33" s="1"/>
  <c r="Q202" i="1"/>
  <c r="R202" i="1"/>
  <c r="B1604" i="33"/>
  <c r="U1603" i="33"/>
  <c r="B1603" i="33"/>
  <c r="U1602" i="33"/>
  <c r="B1602" i="33"/>
  <c r="U1601" i="33"/>
  <c r="Y164" i="1"/>
  <c r="P164" i="1"/>
  <c r="K1600" i="33" s="1"/>
  <c r="Q164" i="1"/>
  <c r="R164" i="1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Y258" i="1"/>
  <c r="P258" i="1"/>
  <c r="K1591" i="33" s="1"/>
  <c r="Q258" i="1"/>
  <c r="R258" i="1"/>
  <c r="AT258" i="1" s="1"/>
  <c r="B1592" i="33"/>
  <c r="U1591" i="33"/>
  <c r="B1591" i="33"/>
  <c r="U1590" i="33"/>
  <c r="B1590" i="33"/>
  <c r="U1589" i="33"/>
  <c r="B1589" i="33"/>
  <c r="U1588" i="33"/>
  <c r="Y199" i="1"/>
  <c r="P199" i="1"/>
  <c r="K1586" i="33" s="1"/>
  <c r="Q199" i="1"/>
  <c r="R199" i="1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Y178" i="1"/>
  <c r="P178" i="1"/>
  <c r="K1577" i="33" s="1"/>
  <c r="Q178" i="1"/>
  <c r="R178" i="1"/>
  <c r="AT178" i="1" s="1"/>
  <c r="B1579" i="33"/>
  <c r="U1578" i="33"/>
  <c r="B1578" i="33"/>
  <c r="U1577" i="33"/>
  <c r="B1577" i="33"/>
  <c r="U1576" i="33"/>
  <c r="Y341" i="1"/>
  <c r="P341" i="1"/>
  <c r="Q341" i="1"/>
  <c r="R341" i="1"/>
  <c r="AT341" i="1" s="1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P72" i="1"/>
  <c r="K1189" i="33" s="1"/>
  <c r="Q72" i="1"/>
  <c r="R72" i="1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Y15" i="1"/>
  <c r="P15" i="1"/>
  <c r="K1551" i="33" s="1"/>
  <c r="Q15" i="1"/>
  <c r="R15" i="1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Y224" i="1"/>
  <c r="P224" i="1"/>
  <c r="K1547" i="33" s="1"/>
  <c r="Q224" i="1"/>
  <c r="R224" i="1"/>
  <c r="B1547" i="33"/>
  <c r="U1546" i="33"/>
  <c r="Y204" i="1"/>
  <c r="P204" i="1"/>
  <c r="K1543" i="33" s="1"/>
  <c r="Q204" i="1"/>
  <c r="AU204" i="1" s="1"/>
  <c r="R204" i="1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Y174" i="1"/>
  <c r="P174" i="1"/>
  <c r="K1539" i="33" s="1"/>
  <c r="Q174" i="1"/>
  <c r="AU174" i="1" s="1"/>
  <c r="R174" i="1"/>
  <c r="AT174" i="1" s="1"/>
  <c r="B1540" i="33"/>
  <c r="U1539" i="33"/>
  <c r="B1539" i="33"/>
  <c r="U1538" i="33"/>
  <c r="B1538" i="33"/>
  <c r="U1537" i="33"/>
  <c r="Y252" i="1"/>
  <c r="P252" i="1"/>
  <c r="Q252" i="1"/>
  <c r="R252" i="1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Y179" i="1"/>
  <c r="P179" i="1"/>
  <c r="Q179" i="1"/>
  <c r="AU179" i="1" s="1"/>
  <c r="R179" i="1"/>
  <c r="AT179" i="1" s="1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Y165" i="1"/>
  <c r="P165" i="1"/>
  <c r="K1515" i="33" s="1"/>
  <c r="Q165" i="1"/>
  <c r="R165" i="1"/>
  <c r="B1515" i="33"/>
  <c r="U1514" i="33"/>
  <c r="Y69" i="1"/>
  <c r="P69" i="1"/>
  <c r="K1514" i="33" s="1"/>
  <c r="Q69" i="1"/>
  <c r="R69" i="1"/>
  <c r="B1514" i="33"/>
  <c r="U1513" i="33"/>
  <c r="Y185" i="1"/>
  <c r="P185" i="1"/>
  <c r="Q185" i="1"/>
  <c r="AU185" i="1" s="1"/>
  <c r="R185" i="1"/>
  <c r="AT185" i="1" s="1"/>
  <c r="B1513" i="33"/>
  <c r="U1512" i="33"/>
  <c r="B1512" i="33"/>
  <c r="U1511" i="33"/>
  <c r="B1511" i="33"/>
  <c r="U1510" i="33"/>
  <c r="Y267" i="1"/>
  <c r="P267" i="1"/>
  <c r="K1508" i="33" s="1"/>
  <c r="Q267" i="1"/>
  <c r="R267" i="1"/>
  <c r="B1510" i="33"/>
  <c r="U1509" i="33"/>
  <c r="B1509" i="33"/>
  <c r="U1508" i="33"/>
  <c r="B1508" i="33"/>
  <c r="U1507" i="33"/>
  <c r="B1507" i="33"/>
  <c r="U1506" i="33"/>
  <c r="B1506" i="33"/>
  <c r="U1505" i="33"/>
  <c r="Y211" i="1"/>
  <c r="P211" i="1"/>
  <c r="Q211" i="1"/>
  <c r="R211" i="1"/>
  <c r="B1505" i="33"/>
  <c r="U1504" i="33"/>
  <c r="B1504" i="33"/>
  <c r="U1503" i="33"/>
  <c r="B1503" i="33"/>
  <c r="U1502" i="33"/>
  <c r="Y166" i="1"/>
  <c r="P166" i="1"/>
  <c r="Q166" i="1"/>
  <c r="R166" i="1"/>
  <c r="B1502" i="33"/>
  <c r="U1501" i="33"/>
  <c r="B1501" i="33"/>
  <c r="U1500" i="33"/>
  <c r="Y67" i="1"/>
  <c r="P67" i="1"/>
  <c r="K1499" i="33" s="1"/>
  <c r="Q67" i="1"/>
  <c r="AU67" i="1" s="1"/>
  <c r="R67" i="1"/>
  <c r="B1500" i="33"/>
  <c r="U1499" i="33"/>
  <c r="B1499" i="33"/>
  <c r="U1498" i="33"/>
  <c r="B1498" i="33"/>
  <c r="U1497" i="33"/>
  <c r="B1497" i="33"/>
  <c r="U1496" i="33"/>
  <c r="B1496" i="33"/>
  <c r="U1495" i="33"/>
  <c r="Y120" i="1"/>
  <c r="P120" i="1"/>
  <c r="K1495" i="33" s="1"/>
  <c r="Q120" i="1"/>
  <c r="R120" i="1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Y171" i="1"/>
  <c r="P171" i="1"/>
  <c r="K1470" i="33" s="1"/>
  <c r="Q171" i="1"/>
  <c r="R171" i="1"/>
  <c r="B1472" i="33"/>
  <c r="U1471" i="33"/>
  <c r="B1471" i="33"/>
  <c r="U1470" i="33"/>
  <c r="B1470" i="33"/>
  <c r="U1469" i="33"/>
  <c r="B1469" i="33"/>
  <c r="U1468" i="33"/>
  <c r="B1468" i="33"/>
  <c r="U1467" i="33"/>
  <c r="Y87" i="1"/>
  <c r="P87" i="1"/>
  <c r="K1465" i="33" s="1"/>
  <c r="Q87" i="1"/>
  <c r="AU87" i="1" s="1"/>
  <c r="R87" i="1"/>
  <c r="AT87" i="1" s="1"/>
  <c r="B1467" i="33"/>
  <c r="U1466" i="33"/>
  <c r="B1466" i="33"/>
  <c r="U1465" i="33"/>
  <c r="B1465" i="33"/>
  <c r="U1464" i="33"/>
  <c r="B1464" i="33"/>
  <c r="U1463" i="33"/>
  <c r="Y168" i="1"/>
  <c r="P168" i="1"/>
  <c r="K1463" i="33" s="1"/>
  <c r="Q168" i="1"/>
  <c r="AU168" i="1" s="1"/>
  <c r="R168" i="1"/>
  <c r="B1463" i="33"/>
  <c r="U1462" i="33"/>
  <c r="B1462" i="33"/>
  <c r="U1461" i="33"/>
  <c r="B1461" i="33"/>
  <c r="U1460" i="33"/>
  <c r="Y187" i="1"/>
  <c r="P187" i="1"/>
  <c r="K1460" i="33" s="1"/>
  <c r="Q187" i="1"/>
  <c r="AU187" i="1" s="1"/>
  <c r="R187" i="1"/>
  <c r="AT187" i="1" s="1"/>
  <c r="B1460" i="33"/>
  <c r="U1459" i="33"/>
  <c r="B1459" i="33"/>
  <c r="U1458" i="33"/>
  <c r="Y83" i="1"/>
  <c r="P83" i="1"/>
  <c r="K1458" i="33" s="1"/>
  <c r="Q83" i="1"/>
  <c r="R83" i="1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Y155" i="1"/>
  <c r="P155" i="1"/>
  <c r="K1418" i="33" s="1"/>
  <c r="Q155" i="1"/>
  <c r="R155" i="1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Y84" i="1"/>
  <c r="P84" i="1"/>
  <c r="K1441" i="33" s="1"/>
  <c r="Q84" i="1"/>
  <c r="AU84" i="1" s="1"/>
  <c r="R84" i="1"/>
  <c r="B1442" i="33"/>
  <c r="U1441" i="33"/>
  <c r="B1441" i="33"/>
  <c r="U1440" i="33"/>
  <c r="B1440" i="33"/>
  <c r="U1439" i="33"/>
  <c r="Y247" i="1"/>
  <c r="P247" i="1"/>
  <c r="K1439" i="33" s="1"/>
  <c r="Q247" i="1"/>
  <c r="R247" i="1"/>
  <c r="B1439" i="33"/>
  <c r="U1438" i="33"/>
  <c r="B1438" i="33"/>
  <c r="U1437" i="33"/>
  <c r="B1437" i="33"/>
  <c r="U1436" i="33"/>
  <c r="Y173" i="1"/>
  <c r="P173" i="1"/>
  <c r="K1435" i="33" s="1"/>
  <c r="Q173" i="1"/>
  <c r="R173" i="1"/>
  <c r="B1436" i="33"/>
  <c r="U1435" i="33"/>
  <c r="B1435" i="33"/>
  <c r="U1434" i="33"/>
  <c r="B1434" i="33"/>
  <c r="U1433" i="33"/>
  <c r="B1433" i="33"/>
  <c r="U1432" i="33"/>
  <c r="Y226" i="1"/>
  <c r="P226" i="1"/>
  <c r="Q226" i="1"/>
  <c r="R226" i="1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Y275" i="1"/>
  <c r="P275" i="1"/>
  <c r="K1425" i="33" s="1"/>
  <c r="Q275" i="1"/>
  <c r="R275" i="1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Y183" i="1"/>
  <c r="P183" i="1"/>
  <c r="K1417" i="33" s="1"/>
  <c r="Q183" i="1"/>
  <c r="R183" i="1"/>
  <c r="B1417" i="33"/>
  <c r="U1416" i="33"/>
  <c r="Y170" i="1"/>
  <c r="P170" i="1"/>
  <c r="K1416" i="33" s="1"/>
  <c r="Q170" i="1"/>
  <c r="R170" i="1"/>
  <c r="B1416" i="33"/>
  <c r="U1415" i="33"/>
  <c r="B1415" i="33"/>
  <c r="U1414" i="33"/>
  <c r="B1414" i="33"/>
  <c r="U1413" i="33"/>
  <c r="B1413" i="33"/>
  <c r="U1412" i="33"/>
  <c r="B1412" i="33"/>
  <c r="U1411" i="33"/>
  <c r="Y198" i="1"/>
  <c r="P198" i="1"/>
  <c r="K1409" i="33" s="1"/>
  <c r="Q198" i="1"/>
  <c r="AU198" i="1" s="1"/>
  <c r="R198" i="1"/>
  <c r="B1411" i="33"/>
  <c r="U1410" i="33"/>
  <c r="B1410" i="33"/>
  <c r="U1409" i="33"/>
  <c r="B1409" i="33"/>
  <c r="U1408" i="33"/>
  <c r="B1408" i="33"/>
  <c r="U1407" i="33"/>
  <c r="Y150" i="1"/>
  <c r="P150" i="1"/>
  <c r="K1407" i="33" s="1"/>
  <c r="Q150" i="1"/>
  <c r="R150" i="1"/>
  <c r="B1407" i="33"/>
  <c r="U1406" i="33"/>
  <c r="B1406" i="33"/>
  <c r="U1405" i="33"/>
  <c r="B1405" i="33"/>
  <c r="U1404" i="33"/>
  <c r="Y135" i="1"/>
  <c r="P135" i="1"/>
  <c r="Q135" i="1"/>
  <c r="AU135" i="1" s="1"/>
  <c r="R135" i="1"/>
  <c r="B1404" i="33"/>
  <c r="U1403" i="33"/>
  <c r="B1403" i="33"/>
  <c r="U1402" i="33"/>
  <c r="Y110" i="1"/>
  <c r="P110" i="1"/>
  <c r="K1400" i="33" s="1"/>
  <c r="Q110" i="1"/>
  <c r="AU110" i="1" s="1"/>
  <c r="R110" i="1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Y151" i="1"/>
  <c r="P151" i="1"/>
  <c r="K1394" i="33" s="1"/>
  <c r="Q151" i="1"/>
  <c r="AU151" i="1" s="1"/>
  <c r="R151" i="1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Y128" i="1"/>
  <c r="P128" i="1"/>
  <c r="Q128" i="1"/>
  <c r="AU128" i="1" s="1"/>
  <c r="R128" i="1"/>
  <c r="B1390" i="33"/>
  <c r="U1389" i="33"/>
  <c r="B1389" i="33"/>
  <c r="U1388" i="33"/>
  <c r="B1388" i="33"/>
  <c r="U1387" i="33"/>
  <c r="Y186" i="1"/>
  <c r="P186" i="1"/>
  <c r="K1387" i="33" s="1"/>
  <c r="Q186" i="1"/>
  <c r="AU186" i="1" s="1"/>
  <c r="R186" i="1"/>
  <c r="B1387" i="33"/>
  <c r="U1386" i="33"/>
  <c r="B1386" i="33"/>
  <c r="U1385" i="33"/>
  <c r="B1385" i="33"/>
  <c r="U1384" i="33"/>
  <c r="B1384" i="33"/>
  <c r="U1383" i="33"/>
  <c r="Y47" i="1"/>
  <c r="P47" i="1"/>
  <c r="K1383" i="33" s="1"/>
  <c r="Q47" i="1"/>
  <c r="R47" i="1"/>
  <c r="B1383" i="33"/>
  <c r="U1382" i="33"/>
  <c r="B1382" i="33"/>
  <c r="U1381" i="33"/>
  <c r="Y127" i="1"/>
  <c r="P127" i="1"/>
  <c r="K1381" i="33" s="1"/>
  <c r="Q127" i="1"/>
  <c r="R127" i="1"/>
  <c r="B1381" i="33"/>
  <c r="U1380" i="33"/>
  <c r="B1380" i="33"/>
  <c r="U1379" i="33"/>
  <c r="B1379" i="33"/>
  <c r="U1378" i="33"/>
  <c r="Y49" i="1"/>
  <c r="P49" i="1"/>
  <c r="K1377" i="33" s="1"/>
  <c r="Q49" i="1"/>
  <c r="AU49" i="1" s="1"/>
  <c r="R49" i="1"/>
  <c r="U1377" i="33"/>
  <c r="B1377" i="33"/>
  <c r="U1376" i="33"/>
  <c r="B1376" i="33"/>
  <c r="U1375" i="33"/>
  <c r="B1375" i="33"/>
  <c r="U1374" i="33"/>
  <c r="Y149" i="1"/>
  <c r="P149" i="1"/>
  <c r="Q149" i="1"/>
  <c r="AU149" i="1" s="1"/>
  <c r="R149" i="1"/>
  <c r="AT149" i="1" s="1"/>
  <c r="B1374" i="33"/>
  <c r="U1373" i="33"/>
  <c r="B1373" i="33"/>
  <c r="U1372" i="33"/>
  <c r="B1372" i="33"/>
  <c r="U1371" i="33"/>
  <c r="Y133" i="1"/>
  <c r="P133" i="1"/>
  <c r="K1370" i="33" s="1"/>
  <c r="Q133" i="1"/>
  <c r="AU133" i="1" s="1"/>
  <c r="R133" i="1"/>
  <c r="AT133" i="1" s="1"/>
  <c r="B1371" i="33"/>
  <c r="U1370" i="33"/>
  <c r="B1370" i="33"/>
  <c r="U1369" i="33"/>
  <c r="B1369" i="33"/>
  <c r="U1368" i="33"/>
  <c r="Y34" i="1"/>
  <c r="P34" i="1"/>
  <c r="Q34" i="1"/>
  <c r="R34" i="1"/>
  <c r="AT34" i="1" s="1"/>
  <c r="B1368" i="33"/>
  <c r="U1367" i="33"/>
  <c r="B1367" i="33"/>
  <c r="U1366" i="33"/>
  <c r="Y33" i="1"/>
  <c r="P33" i="1"/>
  <c r="K1365" i="33" s="1"/>
  <c r="Q33" i="1"/>
  <c r="AU33" i="1" s="1"/>
  <c r="R33" i="1"/>
  <c r="B1366" i="33"/>
  <c r="U1365" i="33"/>
  <c r="B1365" i="33"/>
  <c r="U1364" i="33"/>
  <c r="Y48" i="1"/>
  <c r="P48" i="1"/>
  <c r="Q48" i="1"/>
  <c r="AU48" i="1" s="1"/>
  <c r="R48" i="1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Y108" i="1"/>
  <c r="P108" i="1"/>
  <c r="K1344" i="33" s="1"/>
  <c r="Q108" i="1"/>
  <c r="R108" i="1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Y55" i="1"/>
  <c r="P55" i="1"/>
  <c r="K1341" i="33" s="1"/>
  <c r="Q55" i="1"/>
  <c r="R55" i="1"/>
  <c r="AT55" i="1" s="1"/>
  <c r="B1341" i="33"/>
  <c r="U1340" i="33"/>
  <c r="Y73" i="1"/>
  <c r="P73" i="1"/>
  <c r="K1340" i="33" s="1"/>
  <c r="Q73" i="1"/>
  <c r="AU73" i="1" s="1"/>
  <c r="R73" i="1"/>
  <c r="B1340" i="33"/>
  <c r="U1339" i="33"/>
  <c r="B1339" i="33"/>
  <c r="U1338" i="33"/>
  <c r="B1338" i="33"/>
  <c r="U1337" i="33"/>
  <c r="Y195" i="1"/>
  <c r="P195" i="1"/>
  <c r="K1335" i="33" s="1"/>
  <c r="Q195" i="1"/>
  <c r="AU195" i="1" s="1"/>
  <c r="R195" i="1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Y119" i="1"/>
  <c r="P119" i="1"/>
  <c r="K1329" i="33" s="1"/>
  <c r="Q119" i="1"/>
  <c r="AU119" i="1" s="1"/>
  <c r="R119" i="1"/>
  <c r="B1330" i="33"/>
  <c r="U1329" i="33"/>
  <c r="B1329" i="33"/>
  <c r="U1328" i="33"/>
  <c r="B1328" i="33"/>
  <c r="U1327" i="33"/>
  <c r="Y193" i="1"/>
  <c r="P193" i="1"/>
  <c r="Q193" i="1"/>
  <c r="R193" i="1"/>
  <c r="AT193" i="1" s="1"/>
  <c r="E1327" i="33"/>
  <c r="B1327" i="33"/>
  <c r="U1326" i="33"/>
  <c r="E1326" i="33"/>
  <c r="B1326" i="33"/>
  <c r="U1325" i="33"/>
  <c r="Y88" i="1"/>
  <c r="P88" i="1"/>
  <c r="K1325" i="33" s="1"/>
  <c r="Q88" i="1"/>
  <c r="R88" i="1"/>
  <c r="E1325" i="33"/>
  <c r="B1325" i="33"/>
  <c r="U1324" i="33"/>
  <c r="E1324" i="33"/>
  <c r="B1324" i="33"/>
  <c r="U1323" i="33"/>
  <c r="E1323" i="33"/>
  <c r="B1323" i="33"/>
  <c r="U1322" i="33"/>
  <c r="Y85" i="1"/>
  <c r="P85" i="1"/>
  <c r="K1322" i="33" s="1"/>
  <c r="Q85" i="1"/>
  <c r="R85" i="1"/>
  <c r="E1322" i="33"/>
  <c r="B1322" i="33"/>
  <c r="U1321" i="33"/>
  <c r="Y103" i="1"/>
  <c r="P103" i="1"/>
  <c r="K1320" i="33" s="1"/>
  <c r="Q103" i="1"/>
  <c r="AU103" i="1" s="1"/>
  <c r="R103" i="1"/>
  <c r="E1321" i="33"/>
  <c r="B1321" i="33"/>
  <c r="U1320" i="33"/>
  <c r="B1320" i="33"/>
  <c r="U1319" i="33"/>
  <c r="B1319" i="33"/>
  <c r="U1318" i="33"/>
  <c r="Y40" i="1"/>
  <c r="P40" i="1"/>
  <c r="K1318" i="33" s="1"/>
  <c r="Q40" i="1"/>
  <c r="R40" i="1"/>
  <c r="AT40" i="1" s="1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Y117" i="1"/>
  <c r="P117" i="1"/>
  <c r="K1307" i="33" s="1"/>
  <c r="Q117" i="1"/>
  <c r="R117" i="1"/>
  <c r="B1307" i="33"/>
  <c r="U1306" i="33"/>
  <c r="B1306" i="33"/>
  <c r="U1305" i="33"/>
  <c r="B1305" i="33"/>
  <c r="U1304" i="33"/>
  <c r="B1304" i="33"/>
  <c r="U1303" i="33"/>
  <c r="B1303" i="33"/>
  <c r="U1302" i="33"/>
  <c r="Y76" i="1"/>
  <c r="P76" i="1"/>
  <c r="K1301" i="33" s="1"/>
  <c r="Q76" i="1"/>
  <c r="R76" i="1"/>
  <c r="AT76" i="1" s="1"/>
  <c r="B1302" i="33"/>
  <c r="U1301" i="33"/>
  <c r="B1301" i="33"/>
  <c r="U1300" i="33"/>
  <c r="B1300" i="33"/>
  <c r="U1299" i="33"/>
  <c r="B1299" i="33"/>
  <c r="U1298" i="33"/>
  <c r="Y44" i="1"/>
  <c r="P44" i="1"/>
  <c r="Q44" i="1"/>
  <c r="AU44" i="1" s="1"/>
  <c r="R44" i="1"/>
  <c r="AT44" i="1" s="1"/>
  <c r="B1298" i="33"/>
  <c r="U1297" i="33"/>
  <c r="B1297" i="33"/>
  <c r="U1296" i="33"/>
  <c r="B1296" i="33"/>
  <c r="U1295" i="33"/>
  <c r="B1295" i="33"/>
  <c r="U1294" i="33"/>
  <c r="Y74" i="1"/>
  <c r="P74" i="1"/>
  <c r="K1292" i="33" s="1"/>
  <c r="Q74" i="1"/>
  <c r="R74" i="1"/>
  <c r="AT74" i="1" s="1"/>
  <c r="B1294" i="33"/>
  <c r="U1293" i="33"/>
  <c r="B1293" i="33"/>
  <c r="U1292" i="33"/>
  <c r="B1292" i="33"/>
  <c r="U1291" i="33"/>
  <c r="Y81" i="1"/>
  <c r="P81" i="1"/>
  <c r="K1291" i="33" s="1"/>
  <c r="Q81" i="1"/>
  <c r="R81" i="1"/>
  <c r="B1291" i="33"/>
  <c r="U1290" i="33"/>
  <c r="Y75" i="1"/>
  <c r="P75" i="1"/>
  <c r="Q75" i="1"/>
  <c r="R75" i="1"/>
  <c r="B1290" i="33"/>
  <c r="U1289" i="33"/>
  <c r="B1289" i="33"/>
  <c r="U1288" i="33"/>
  <c r="B1288" i="33"/>
  <c r="U1287" i="33"/>
  <c r="Y159" i="1"/>
  <c r="P159" i="1"/>
  <c r="K1286" i="33" s="1"/>
  <c r="Q159" i="1"/>
  <c r="R159" i="1"/>
  <c r="B1287" i="33"/>
  <c r="U1286" i="33"/>
  <c r="B1286" i="33"/>
  <c r="U1285" i="33"/>
  <c r="B1285" i="33"/>
  <c r="U1284" i="33"/>
  <c r="B1284" i="33"/>
  <c r="U1283" i="33"/>
  <c r="Y102" i="1"/>
  <c r="P102" i="1"/>
  <c r="Q102" i="1"/>
  <c r="R102" i="1"/>
  <c r="AT102" i="1" s="1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Y22" i="1"/>
  <c r="P22" i="1"/>
  <c r="Q22" i="1"/>
  <c r="R22" i="1"/>
  <c r="AT22" i="1" s="1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Y113" i="1"/>
  <c r="P113" i="1"/>
  <c r="K1257" i="33" s="1"/>
  <c r="Q113" i="1"/>
  <c r="AU113" i="1" s="1"/>
  <c r="R113" i="1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Y105" i="1"/>
  <c r="P105" i="1"/>
  <c r="Q105" i="1"/>
  <c r="R105" i="1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Y80" i="1"/>
  <c r="P80" i="1"/>
  <c r="K1248" i="33" s="1"/>
  <c r="Q80" i="1"/>
  <c r="R80" i="1"/>
  <c r="E1248" i="33"/>
  <c r="B1248" i="33"/>
  <c r="U1247" i="33"/>
  <c r="Y45" i="1"/>
  <c r="P45" i="1"/>
  <c r="K1247" i="33" s="1"/>
  <c r="Q45" i="1"/>
  <c r="R45" i="1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Y23" i="1"/>
  <c r="P23" i="1"/>
  <c r="Q23" i="1"/>
  <c r="AU23" i="1" s="1"/>
  <c r="R23" i="1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Y8" i="1"/>
  <c r="P8" i="1"/>
  <c r="Q8" i="1"/>
  <c r="R8" i="1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Y138" i="1"/>
  <c r="P138" i="1"/>
  <c r="K1230" i="33" s="1"/>
  <c r="Q138" i="1"/>
  <c r="R138" i="1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Y71" i="1"/>
  <c r="P71" i="1"/>
  <c r="K1220" i="33" s="1"/>
  <c r="Q71" i="1"/>
  <c r="R71" i="1"/>
  <c r="E1220" i="33"/>
  <c r="B1220" i="33"/>
  <c r="U1219" i="33"/>
  <c r="Y5" i="1"/>
  <c r="P5" i="1"/>
  <c r="K1219" i="33" s="1"/>
  <c r="Q5" i="1"/>
  <c r="R5" i="1"/>
  <c r="E1219" i="33"/>
  <c r="B1219" i="33"/>
  <c r="U1218" i="33"/>
  <c r="E1218" i="33"/>
  <c r="B1218" i="33"/>
  <c r="U1217" i="33"/>
  <c r="E1217" i="33"/>
  <c r="B1217" i="33"/>
  <c r="U1216" i="33"/>
  <c r="Y98" i="1"/>
  <c r="P98" i="1"/>
  <c r="K1213" i="33" s="1"/>
  <c r="Q98" i="1"/>
  <c r="R98" i="1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Y93" i="1"/>
  <c r="P93" i="1"/>
  <c r="K1150" i="33" s="1"/>
  <c r="Q93" i="1"/>
  <c r="AU93" i="1" s="1"/>
  <c r="R93" i="1"/>
  <c r="E1212" i="33"/>
  <c r="B1212" i="33"/>
  <c r="U1211" i="33"/>
  <c r="E1211" i="33"/>
  <c r="B1211" i="33"/>
  <c r="U1210" i="33"/>
  <c r="E1210" i="33"/>
  <c r="B1210" i="33"/>
  <c r="U1209" i="33"/>
  <c r="Y112" i="1"/>
  <c r="P112" i="1"/>
  <c r="Q112" i="1"/>
  <c r="AU112" i="1" s="1"/>
  <c r="R112" i="1"/>
  <c r="AT112" i="1" s="1"/>
  <c r="E1209" i="33"/>
  <c r="B1209" i="33"/>
  <c r="U1208" i="33"/>
  <c r="E1208" i="33"/>
  <c r="B1208" i="33"/>
  <c r="U1207" i="33"/>
  <c r="E1207" i="33"/>
  <c r="B1207" i="33"/>
  <c r="U1206" i="33"/>
  <c r="Y35" i="1"/>
  <c r="P35" i="1"/>
  <c r="Q35" i="1"/>
  <c r="R35" i="1"/>
  <c r="E1206" i="33"/>
  <c r="B1206" i="33"/>
  <c r="U1205" i="33"/>
  <c r="E1205" i="33"/>
  <c r="B1205" i="33"/>
  <c r="U1204" i="33"/>
  <c r="E1204" i="33"/>
  <c r="B1204" i="33"/>
  <c r="U1203" i="33"/>
  <c r="Y77" i="1"/>
  <c r="P77" i="1"/>
  <c r="K1198" i="33" s="1"/>
  <c r="Q77" i="1"/>
  <c r="AU77" i="1" s="1"/>
  <c r="R77" i="1"/>
  <c r="AT77" i="1" s="1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Y3" i="1"/>
  <c r="P3" i="1"/>
  <c r="K1194" i="33" s="1"/>
  <c r="Q3" i="1"/>
  <c r="R3" i="1"/>
  <c r="AT3" i="1" s="1"/>
  <c r="E1195" i="33"/>
  <c r="B1195" i="33"/>
  <c r="U1194" i="33"/>
  <c r="E1194" i="33"/>
  <c r="B1194" i="33"/>
  <c r="U1193" i="33"/>
  <c r="Y94" i="1"/>
  <c r="P94" i="1"/>
  <c r="K1192" i="33" s="1"/>
  <c r="Q94" i="1"/>
  <c r="R94" i="1"/>
  <c r="B1193" i="33"/>
  <c r="U1192" i="33"/>
  <c r="B1192" i="33"/>
  <c r="U1191" i="33"/>
  <c r="B1191" i="33"/>
  <c r="U1190" i="33"/>
  <c r="Y72" i="1"/>
  <c r="E1190" i="33"/>
  <c r="B1190" i="33"/>
  <c r="U1189" i="33"/>
  <c r="E1189" i="33"/>
  <c r="B1189" i="33"/>
  <c r="U1188" i="33"/>
  <c r="E1188" i="33"/>
  <c r="B1188" i="33"/>
  <c r="U1187" i="33"/>
  <c r="Y58" i="1"/>
  <c r="P58" i="1"/>
  <c r="Q58" i="1"/>
  <c r="R58" i="1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Y60" i="1"/>
  <c r="P60" i="1"/>
  <c r="Q60" i="1"/>
  <c r="R60" i="1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Y101" i="1"/>
  <c r="P101" i="1"/>
  <c r="K1169" i="33" s="1"/>
  <c r="Q101" i="1"/>
  <c r="R101" i="1"/>
  <c r="E1169" i="33"/>
  <c r="B1169" i="33"/>
  <c r="U1168" i="33"/>
  <c r="Y24" i="1"/>
  <c r="P24" i="1"/>
  <c r="K1167" i="33" s="1"/>
  <c r="Q24" i="1"/>
  <c r="R24" i="1"/>
  <c r="E1168" i="33"/>
  <c r="B1168" i="33"/>
  <c r="U1167" i="33"/>
  <c r="E1167" i="33"/>
  <c r="B1167" i="33"/>
  <c r="U1166" i="33"/>
  <c r="E1166" i="33"/>
  <c r="B1166" i="33"/>
  <c r="U1165" i="33"/>
  <c r="Y26" i="1"/>
  <c r="P26" i="1"/>
  <c r="K1165" i="33" s="1"/>
  <c r="Q26" i="1"/>
  <c r="R26" i="1"/>
  <c r="E1165" i="33"/>
  <c r="B1165" i="33"/>
  <c r="U1164" i="33"/>
  <c r="Y29" i="1"/>
  <c r="P29" i="1"/>
  <c r="K1164" i="33" s="1"/>
  <c r="Q29" i="1"/>
  <c r="R29" i="1"/>
  <c r="E1164" i="33"/>
  <c r="B1164" i="33"/>
  <c r="U1163" i="33"/>
  <c r="E1163" i="33"/>
  <c r="B1163" i="33"/>
  <c r="U1162" i="33"/>
  <c r="E1162" i="33"/>
  <c r="B1162" i="33"/>
  <c r="U1161" i="33"/>
  <c r="Y130" i="1"/>
  <c r="P130" i="1"/>
  <c r="Q130" i="1"/>
  <c r="AU130" i="1" s="1"/>
  <c r="R130" i="1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Y79" i="1"/>
  <c r="P79" i="1"/>
  <c r="Q79" i="1"/>
  <c r="R79" i="1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Y100" i="1"/>
  <c r="P100" i="1"/>
  <c r="K1147" i="33" s="1"/>
  <c r="Q100" i="1"/>
  <c r="R100" i="1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Y50" i="1"/>
  <c r="P50" i="1"/>
  <c r="K1145" i="33" s="1"/>
  <c r="Q50" i="1"/>
  <c r="R50" i="1"/>
  <c r="E1145" i="33"/>
  <c r="B1145" i="33"/>
  <c r="U1144" i="33"/>
  <c r="E1144" i="33"/>
  <c r="B1144" i="33"/>
  <c r="U1143" i="33"/>
  <c r="E1143" i="33"/>
  <c r="B1143" i="33"/>
  <c r="U1142" i="33"/>
  <c r="Y16" i="1"/>
  <c r="P16" i="1"/>
  <c r="K1139" i="33" s="1"/>
  <c r="Q16" i="1"/>
  <c r="R16" i="1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Y19" i="1"/>
  <c r="P19" i="1"/>
  <c r="K1134" i="33" s="1"/>
  <c r="Q19" i="1"/>
  <c r="R19" i="1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Y10" i="1"/>
  <c r="P10" i="1"/>
  <c r="K1133" i="33" s="1"/>
  <c r="Q10" i="1"/>
  <c r="R10" i="1"/>
  <c r="AT10" i="1" s="1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Y27" i="1"/>
  <c r="P27" i="1"/>
  <c r="K1114" i="33" s="1"/>
  <c r="Q27" i="1"/>
  <c r="R27" i="1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T1285" i="1"/>
  <c r="S1285" i="1"/>
  <c r="R1285" i="1"/>
  <c r="AT1285" i="1" s="1"/>
  <c r="Q1285" i="1"/>
  <c r="AU1285" i="1" s="1"/>
  <c r="P1285" i="1"/>
  <c r="Y1279" i="1"/>
  <c r="P1279" i="1"/>
  <c r="Q1279" i="1"/>
  <c r="AU1279" i="1" s="1"/>
  <c r="R1279" i="1"/>
  <c r="AT1279" i="1" s="1"/>
  <c r="U92" i="6"/>
  <c r="B92" i="6"/>
  <c r="P169" i="6"/>
  <c r="I169" i="6"/>
  <c r="J169" i="6"/>
  <c r="K169" i="6"/>
  <c r="Y1603" i="1"/>
  <c r="X1603" i="1"/>
  <c r="T1603" i="1"/>
  <c r="U1603" i="1"/>
  <c r="S1603" i="1"/>
  <c r="R1603" i="1"/>
  <c r="AT1603" i="1" s="1"/>
  <c r="Q1603" i="1"/>
  <c r="AU1603" i="1" s="1"/>
  <c r="P1603" i="1"/>
  <c r="U93" i="6"/>
  <c r="B93" i="6"/>
  <c r="P1429" i="1"/>
  <c r="Q1429" i="1"/>
  <c r="AU1429" i="1" s="1"/>
  <c r="R1429" i="1"/>
  <c r="AT1429" i="1" s="1"/>
  <c r="Y1429" i="1"/>
  <c r="Y1441" i="1"/>
  <c r="X1441" i="1"/>
  <c r="W1441" i="1"/>
  <c r="T1441" i="1"/>
  <c r="U1441" i="1"/>
  <c r="S1441" i="1"/>
  <c r="R1441" i="1"/>
  <c r="AT1441" i="1" s="1"/>
  <c r="Q1441" i="1"/>
  <c r="AU1441" i="1" s="1"/>
  <c r="P1441" i="1"/>
  <c r="Y1431" i="1"/>
  <c r="X1431" i="1"/>
  <c r="W1431" i="1"/>
  <c r="T1431" i="1"/>
  <c r="U1431" i="1"/>
  <c r="S1431" i="1"/>
  <c r="R1431" i="1"/>
  <c r="AT1431" i="1" s="1"/>
  <c r="Q1431" i="1"/>
  <c r="AU1431" i="1" s="1"/>
  <c r="P1431" i="1"/>
  <c r="Y1430" i="1"/>
  <c r="X1430" i="1"/>
  <c r="W1430" i="1"/>
  <c r="T1430" i="1"/>
  <c r="U1430" i="1"/>
  <c r="S1430" i="1"/>
  <c r="R1430" i="1"/>
  <c r="AT1430" i="1" s="1"/>
  <c r="Q1430" i="1"/>
  <c r="AU1430" i="1" s="1"/>
  <c r="P1430" i="1"/>
  <c r="X1429" i="1"/>
  <c r="W1429" i="1"/>
  <c r="T1429" i="1"/>
  <c r="U1429" i="1"/>
  <c r="S1429" i="1"/>
  <c r="Y1428" i="1"/>
  <c r="X1428" i="1"/>
  <c r="W1428" i="1"/>
  <c r="T1428" i="1"/>
  <c r="U1428" i="1"/>
  <c r="S1428" i="1"/>
  <c r="R1428" i="1"/>
  <c r="AT1428" i="1" s="1"/>
  <c r="Q1428" i="1"/>
  <c r="AU1428" i="1" s="1"/>
  <c r="P1428" i="1"/>
  <c r="Y1427" i="1"/>
  <c r="X1427" i="1"/>
  <c r="W1427" i="1"/>
  <c r="T1427" i="1"/>
  <c r="U1427" i="1"/>
  <c r="S1427" i="1"/>
  <c r="R1427" i="1"/>
  <c r="AT1427" i="1" s="1"/>
  <c r="Q1427" i="1"/>
  <c r="AU1427" i="1" s="1"/>
  <c r="P1427" i="1"/>
  <c r="Y1426" i="1"/>
  <c r="X1426" i="1"/>
  <c r="W1426" i="1"/>
  <c r="T1426" i="1"/>
  <c r="U1426" i="1"/>
  <c r="S1426" i="1"/>
  <c r="R1426" i="1"/>
  <c r="AT1426" i="1" s="1"/>
  <c r="Q1426" i="1"/>
  <c r="AU1426" i="1" s="1"/>
  <c r="P1426" i="1"/>
  <c r="Y1425" i="1"/>
  <c r="X1425" i="1"/>
  <c r="W1425" i="1"/>
  <c r="T1425" i="1"/>
  <c r="U1425" i="1"/>
  <c r="S1425" i="1"/>
  <c r="R1425" i="1"/>
  <c r="AT1425" i="1" s="1"/>
  <c r="Q1425" i="1"/>
  <c r="AU1425" i="1" s="1"/>
  <c r="P1425" i="1"/>
  <c r="Y1424" i="1"/>
  <c r="X1424" i="1"/>
  <c r="W1424" i="1"/>
  <c r="T1424" i="1"/>
  <c r="U1424" i="1"/>
  <c r="S1424" i="1"/>
  <c r="R1424" i="1"/>
  <c r="AT1424" i="1" s="1"/>
  <c r="Q1424" i="1"/>
  <c r="AU1424" i="1" s="1"/>
  <c r="P1424" i="1"/>
  <c r="Y1423" i="1"/>
  <c r="X1423" i="1"/>
  <c r="W1423" i="1"/>
  <c r="T1423" i="1"/>
  <c r="U1423" i="1"/>
  <c r="S1423" i="1"/>
  <c r="R1423" i="1"/>
  <c r="AT1423" i="1" s="1"/>
  <c r="Q1423" i="1"/>
  <c r="AU1423" i="1" s="1"/>
  <c r="P1423" i="1"/>
  <c r="X1422" i="1"/>
  <c r="W1422" i="1"/>
  <c r="T1422" i="1"/>
  <c r="U1422" i="1"/>
  <c r="S1422" i="1"/>
  <c r="X1421" i="1"/>
  <c r="W1421" i="1"/>
  <c r="T1421" i="1"/>
  <c r="U1421" i="1"/>
  <c r="S1421" i="1"/>
  <c r="Y1420" i="1"/>
  <c r="X1420" i="1"/>
  <c r="W1420" i="1"/>
  <c r="T1420" i="1"/>
  <c r="U1420" i="1"/>
  <c r="S1420" i="1"/>
  <c r="R1420" i="1"/>
  <c r="AT1420" i="1" s="1"/>
  <c r="Q1420" i="1"/>
  <c r="AU1420" i="1" s="1"/>
  <c r="P1420" i="1"/>
  <c r="Y1310" i="1"/>
  <c r="P1310" i="1"/>
  <c r="Q1310" i="1"/>
  <c r="AU1310" i="1" s="1"/>
  <c r="R1310" i="1"/>
  <c r="AT1310" i="1" s="1"/>
  <c r="B14" i="6"/>
  <c r="B13" i="6"/>
  <c r="B12" i="6"/>
  <c r="B11" i="6"/>
  <c r="U523" i="6"/>
  <c r="P523" i="6"/>
  <c r="K523" i="6"/>
  <c r="J523" i="6"/>
  <c r="I523" i="6"/>
  <c r="B523" i="6"/>
  <c r="Q1283" i="1"/>
  <c r="AU1283" i="1" s="1"/>
  <c r="Q1284" i="1"/>
  <c r="AU1284" i="1" s="1"/>
  <c r="Y1399" i="1"/>
  <c r="Y1400" i="1"/>
  <c r="Y1401" i="1"/>
  <c r="X1398" i="1"/>
  <c r="X1399" i="1"/>
  <c r="X1400" i="1"/>
  <c r="X1401" i="1"/>
  <c r="W1398" i="1"/>
  <c r="W1399" i="1"/>
  <c r="W1400" i="1"/>
  <c r="W1401" i="1"/>
  <c r="U1400" i="1"/>
  <c r="T1399" i="1"/>
  <c r="T1400" i="1"/>
  <c r="S1399" i="1"/>
  <c r="S1400" i="1"/>
  <c r="R1399" i="1"/>
  <c r="AT1399" i="1" s="1"/>
  <c r="R1400" i="1"/>
  <c r="AT1400" i="1" s="1"/>
  <c r="Q1399" i="1"/>
  <c r="AU1399" i="1" s="1"/>
  <c r="Q1400" i="1"/>
  <c r="AU1400" i="1" s="1"/>
  <c r="P1399" i="1"/>
  <c r="P1400" i="1"/>
  <c r="P1318" i="1"/>
  <c r="Q1318" i="1"/>
  <c r="AU1318" i="1" s="1"/>
  <c r="R1318" i="1"/>
  <c r="AT1318" i="1" s="1"/>
  <c r="S1390" i="1"/>
  <c r="T1390" i="1"/>
  <c r="U1390" i="1"/>
  <c r="W1390" i="1"/>
  <c r="X1390" i="1"/>
  <c r="Y1318" i="1"/>
  <c r="P1391" i="1"/>
  <c r="Q1391" i="1"/>
  <c r="AU1391" i="1" s="1"/>
  <c r="R1391" i="1"/>
  <c r="AT1391" i="1" s="1"/>
  <c r="S1391" i="1"/>
  <c r="T1391" i="1"/>
  <c r="U1391" i="1"/>
  <c r="W1391" i="1"/>
  <c r="X1391" i="1"/>
  <c r="Y1391" i="1"/>
  <c r="S1392" i="1"/>
  <c r="T1392" i="1"/>
  <c r="U1392" i="1"/>
  <c r="W1392" i="1"/>
  <c r="X1392" i="1"/>
  <c r="P1386" i="1"/>
  <c r="Q1386" i="1"/>
  <c r="AU1386" i="1" s="1"/>
  <c r="R1386" i="1"/>
  <c r="AT1386" i="1" s="1"/>
  <c r="S1386" i="1"/>
  <c r="T1386" i="1"/>
  <c r="U1386" i="1"/>
  <c r="W1386" i="1"/>
  <c r="X1386" i="1"/>
  <c r="Y1386" i="1"/>
  <c r="P1387" i="1"/>
  <c r="Q1387" i="1"/>
  <c r="AU1387" i="1" s="1"/>
  <c r="R1387" i="1"/>
  <c r="AT1387" i="1" s="1"/>
  <c r="S1387" i="1"/>
  <c r="T1387" i="1"/>
  <c r="U1387" i="1"/>
  <c r="W1387" i="1"/>
  <c r="X1387" i="1"/>
  <c r="Y1387" i="1"/>
  <c r="S1388" i="1"/>
  <c r="T1388" i="1"/>
  <c r="U1388" i="1"/>
  <c r="W1388" i="1"/>
  <c r="X1388" i="1"/>
  <c r="P1389" i="1"/>
  <c r="Q1389" i="1"/>
  <c r="AU1389" i="1" s="1"/>
  <c r="R1389" i="1"/>
  <c r="AT1389" i="1" s="1"/>
  <c r="S1389" i="1"/>
  <c r="T1389" i="1"/>
  <c r="U1389" i="1"/>
  <c r="W1389" i="1"/>
  <c r="X1389" i="1"/>
  <c r="Y1389" i="1"/>
  <c r="P1393" i="1"/>
  <c r="Q1393" i="1"/>
  <c r="AU1393" i="1" s="1"/>
  <c r="R1393" i="1"/>
  <c r="AT1393" i="1" s="1"/>
  <c r="S1393" i="1"/>
  <c r="T1393" i="1"/>
  <c r="U1393" i="1"/>
  <c r="W1393" i="1"/>
  <c r="X1393" i="1"/>
  <c r="Y1393" i="1"/>
  <c r="S1394" i="1"/>
  <c r="T1394" i="1"/>
  <c r="U1394" i="1"/>
  <c r="W1394" i="1"/>
  <c r="X1394" i="1"/>
  <c r="P1395" i="1"/>
  <c r="Q1395" i="1"/>
  <c r="AU1395" i="1" s="1"/>
  <c r="R1395" i="1"/>
  <c r="AT1395" i="1" s="1"/>
  <c r="S1395" i="1"/>
  <c r="T1395" i="1"/>
  <c r="U1395" i="1"/>
  <c r="W1395" i="1"/>
  <c r="X1395" i="1"/>
  <c r="Y1395" i="1"/>
  <c r="P1396" i="1"/>
  <c r="Q1396" i="1"/>
  <c r="AU1396" i="1" s="1"/>
  <c r="R1396" i="1"/>
  <c r="AT1396" i="1" s="1"/>
  <c r="S1396" i="1"/>
  <c r="T1396" i="1"/>
  <c r="U1396" i="1"/>
  <c r="W1396" i="1"/>
  <c r="X1396" i="1"/>
  <c r="Y1396" i="1"/>
  <c r="P1397" i="1"/>
  <c r="Q1397" i="1"/>
  <c r="AU1397" i="1" s="1"/>
  <c r="R1397" i="1"/>
  <c r="AT1397" i="1" s="1"/>
  <c r="S1397" i="1"/>
  <c r="T1397" i="1"/>
  <c r="U1397" i="1"/>
  <c r="W1397" i="1"/>
  <c r="X1397" i="1"/>
  <c r="Y1397" i="1"/>
  <c r="P1398" i="1"/>
  <c r="Q1398" i="1"/>
  <c r="R1398" i="1"/>
  <c r="S1398" i="1"/>
  <c r="T1398" i="1"/>
  <c r="U1398" i="1"/>
  <c r="Y1398" i="1"/>
  <c r="U1399" i="1"/>
  <c r="B28" i="6"/>
  <c r="B27" i="6"/>
  <c r="E89" i="6"/>
  <c r="D89" i="6"/>
  <c r="B89" i="6"/>
  <c r="B29" i="6"/>
  <c r="Y1418" i="1"/>
  <c r="X1418" i="1"/>
  <c r="W1418" i="1"/>
  <c r="U1418" i="1"/>
  <c r="T1418" i="1"/>
  <c r="S1418" i="1"/>
  <c r="R1418" i="1"/>
  <c r="AT1418" i="1" s="1"/>
  <c r="Q1418" i="1"/>
  <c r="AU1418" i="1" s="1"/>
  <c r="P1418" i="1"/>
  <c r="Y1417" i="1"/>
  <c r="X1417" i="1"/>
  <c r="W1417" i="1"/>
  <c r="U1417" i="1"/>
  <c r="T1417" i="1"/>
  <c r="S1417" i="1"/>
  <c r="R1417" i="1"/>
  <c r="AT1417" i="1" s="1"/>
  <c r="Q1417" i="1"/>
  <c r="AU1417" i="1" s="1"/>
  <c r="P1417" i="1"/>
  <c r="Y1416" i="1"/>
  <c r="X1416" i="1"/>
  <c r="W1416" i="1"/>
  <c r="U1416" i="1"/>
  <c r="T1416" i="1"/>
  <c r="S1416" i="1"/>
  <c r="R1416" i="1"/>
  <c r="AT1416" i="1" s="1"/>
  <c r="Q1416" i="1"/>
  <c r="AU1416" i="1" s="1"/>
  <c r="P1416" i="1"/>
  <c r="Y1415" i="1"/>
  <c r="X1415" i="1"/>
  <c r="W1415" i="1"/>
  <c r="U1415" i="1"/>
  <c r="T1415" i="1"/>
  <c r="S1415" i="1"/>
  <c r="R1415" i="1"/>
  <c r="AT1415" i="1" s="1"/>
  <c r="Q1415" i="1"/>
  <c r="AU1415" i="1" s="1"/>
  <c r="P1415" i="1"/>
  <c r="X1414" i="1"/>
  <c r="W1414" i="1"/>
  <c r="U1414" i="1"/>
  <c r="T1414" i="1"/>
  <c r="S1414" i="1"/>
  <c r="Y1413" i="1"/>
  <c r="X1413" i="1"/>
  <c r="W1413" i="1"/>
  <c r="U1413" i="1"/>
  <c r="T1413" i="1"/>
  <c r="S1413" i="1"/>
  <c r="R1413" i="1"/>
  <c r="AT1413" i="1" s="1"/>
  <c r="Q1413" i="1"/>
  <c r="AU1413" i="1" s="1"/>
  <c r="P1413" i="1"/>
  <c r="Y1412" i="1"/>
  <c r="X1412" i="1"/>
  <c r="W1412" i="1"/>
  <c r="U1412" i="1"/>
  <c r="T1412" i="1"/>
  <c r="S1412" i="1"/>
  <c r="R1412" i="1"/>
  <c r="AT1412" i="1" s="1"/>
  <c r="Q1412" i="1"/>
  <c r="AU1412" i="1" s="1"/>
  <c r="P1412" i="1"/>
  <c r="Y1411" i="1"/>
  <c r="X1411" i="1"/>
  <c r="W1411" i="1"/>
  <c r="U1411" i="1"/>
  <c r="T1411" i="1"/>
  <c r="S1411" i="1"/>
  <c r="R1411" i="1"/>
  <c r="AT1411" i="1" s="1"/>
  <c r="Q1411" i="1"/>
  <c r="AU1411" i="1" s="1"/>
  <c r="P1411" i="1"/>
  <c r="X1410" i="1"/>
  <c r="W1410" i="1"/>
  <c r="U1410" i="1"/>
  <c r="T1410" i="1"/>
  <c r="S1410" i="1"/>
  <c r="Y1409" i="1"/>
  <c r="X1409" i="1"/>
  <c r="W1409" i="1"/>
  <c r="U1409" i="1"/>
  <c r="T1409" i="1"/>
  <c r="S1409" i="1"/>
  <c r="R1409" i="1"/>
  <c r="AT1409" i="1" s="1"/>
  <c r="Q1409" i="1"/>
  <c r="AU1409" i="1" s="1"/>
  <c r="P1409" i="1"/>
  <c r="Y1408" i="1"/>
  <c r="X1408" i="1"/>
  <c r="W1408" i="1"/>
  <c r="U1408" i="1"/>
  <c r="T1408" i="1"/>
  <c r="S1408" i="1"/>
  <c r="R1408" i="1"/>
  <c r="AT1408" i="1" s="1"/>
  <c r="Q1408" i="1"/>
  <c r="AU1408" i="1" s="1"/>
  <c r="P1408" i="1"/>
  <c r="Y1407" i="1"/>
  <c r="X1407" i="1"/>
  <c r="W1407" i="1"/>
  <c r="U1407" i="1"/>
  <c r="T1407" i="1"/>
  <c r="S1407" i="1"/>
  <c r="R1407" i="1"/>
  <c r="AT1407" i="1" s="1"/>
  <c r="Q1407" i="1"/>
  <c r="AU1407" i="1" s="1"/>
  <c r="P1407" i="1"/>
  <c r="Y1406" i="1"/>
  <c r="X1406" i="1"/>
  <c r="W1406" i="1"/>
  <c r="U1406" i="1"/>
  <c r="T1406" i="1"/>
  <c r="S1406" i="1"/>
  <c r="R1406" i="1"/>
  <c r="AT1406" i="1" s="1"/>
  <c r="Q1406" i="1"/>
  <c r="AU1406" i="1" s="1"/>
  <c r="P1406" i="1"/>
  <c r="Y1405" i="1"/>
  <c r="X1405" i="1"/>
  <c r="W1405" i="1"/>
  <c r="U1405" i="1"/>
  <c r="T1405" i="1"/>
  <c r="S1405" i="1"/>
  <c r="R1405" i="1"/>
  <c r="AT1405" i="1" s="1"/>
  <c r="Q1405" i="1"/>
  <c r="AU1405" i="1" s="1"/>
  <c r="P1405" i="1"/>
  <c r="Y1419" i="1"/>
  <c r="X1419" i="1"/>
  <c r="W1419" i="1"/>
  <c r="U1419" i="1"/>
  <c r="T1419" i="1"/>
  <c r="S1419" i="1"/>
  <c r="R1419" i="1"/>
  <c r="AT1419" i="1" s="1"/>
  <c r="Q1419" i="1"/>
  <c r="AU1419" i="1" s="1"/>
  <c r="P1419" i="1"/>
  <c r="Y1385" i="1"/>
  <c r="X1385" i="1"/>
  <c r="W1385" i="1"/>
  <c r="U1385" i="1"/>
  <c r="T1385" i="1"/>
  <c r="S1385" i="1"/>
  <c r="R1385" i="1"/>
  <c r="AT1385" i="1" s="1"/>
  <c r="Q1385" i="1"/>
  <c r="AU1385" i="1" s="1"/>
  <c r="P1385" i="1"/>
  <c r="Q1601" i="1"/>
  <c r="AU1601" i="1" s="1"/>
  <c r="W1363" i="1"/>
  <c r="W1362" i="1"/>
  <c r="W1361" i="1"/>
  <c r="W1360" i="1"/>
  <c r="W1359" i="1"/>
  <c r="W1358" i="1"/>
  <c r="W1357" i="1"/>
  <c r="W1356" i="1"/>
  <c r="W1355" i="1"/>
  <c r="W1354" i="1"/>
  <c r="W1348" i="1"/>
  <c r="W1347" i="1"/>
  <c r="W1346" i="1"/>
  <c r="W1345" i="1"/>
  <c r="W1344" i="1"/>
  <c r="W1343" i="1"/>
  <c r="W1372" i="1"/>
  <c r="W1371" i="1"/>
  <c r="W1370" i="1"/>
  <c r="W1369" i="1"/>
  <c r="W1353" i="1"/>
  <c r="W1352" i="1"/>
  <c r="W1351" i="1"/>
  <c r="W1350" i="1"/>
  <c r="W1349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42" i="1"/>
  <c r="W1341" i="1"/>
  <c r="W1340" i="1"/>
  <c r="W1368" i="1"/>
  <c r="W1367" i="1"/>
  <c r="W1366" i="1"/>
  <c r="W1365" i="1"/>
  <c r="W1364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4" i="1"/>
  <c r="W1233" i="1"/>
  <c r="Y1363" i="1"/>
  <c r="X1363" i="1"/>
  <c r="U1363" i="1"/>
  <c r="T1363" i="1"/>
  <c r="S1363" i="1"/>
  <c r="R1363" i="1"/>
  <c r="AT1363" i="1" s="1"/>
  <c r="Q1363" i="1"/>
  <c r="AU1363" i="1" s="1"/>
  <c r="P1363" i="1"/>
  <c r="Y1362" i="1"/>
  <c r="X1362" i="1"/>
  <c r="U1362" i="1"/>
  <c r="T1362" i="1"/>
  <c r="S1362" i="1"/>
  <c r="R1362" i="1"/>
  <c r="AT1362" i="1" s="1"/>
  <c r="Q1362" i="1"/>
  <c r="AU1362" i="1" s="1"/>
  <c r="P1362" i="1"/>
  <c r="Y1361" i="1"/>
  <c r="X1361" i="1"/>
  <c r="U1361" i="1"/>
  <c r="T1361" i="1"/>
  <c r="S1361" i="1"/>
  <c r="R1361" i="1"/>
  <c r="AT1361" i="1" s="1"/>
  <c r="Q1361" i="1"/>
  <c r="AU1361" i="1" s="1"/>
  <c r="P1361" i="1"/>
  <c r="Y1360" i="1"/>
  <c r="X1360" i="1"/>
  <c r="U1360" i="1"/>
  <c r="T1360" i="1"/>
  <c r="S1360" i="1"/>
  <c r="R1360" i="1"/>
  <c r="AT1360" i="1" s="1"/>
  <c r="Q1360" i="1"/>
  <c r="AU1360" i="1" s="1"/>
  <c r="P1360" i="1"/>
  <c r="Y1359" i="1"/>
  <c r="X1359" i="1"/>
  <c r="U1359" i="1"/>
  <c r="T1359" i="1"/>
  <c r="S1359" i="1"/>
  <c r="R1359" i="1"/>
  <c r="AT1359" i="1" s="1"/>
  <c r="Q1359" i="1"/>
  <c r="AU1359" i="1" s="1"/>
  <c r="P1359" i="1"/>
  <c r="Y1358" i="1"/>
  <c r="X1358" i="1"/>
  <c r="U1358" i="1"/>
  <c r="T1358" i="1"/>
  <c r="S1358" i="1"/>
  <c r="R1358" i="1"/>
  <c r="AT1358" i="1" s="1"/>
  <c r="Q1358" i="1"/>
  <c r="AU1358" i="1" s="1"/>
  <c r="P1358" i="1"/>
  <c r="Y1357" i="1"/>
  <c r="X1357" i="1"/>
  <c r="U1357" i="1"/>
  <c r="T1357" i="1"/>
  <c r="S1357" i="1"/>
  <c r="R1357" i="1"/>
  <c r="AT1357" i="1" s="1"/>
  <c r="Q1357" i="1"/>
  <c r="AU1357" i="1" s="1"/>
  <c r="P1357" i="1"/>
  <c r="X1356" i="1"/>
  <c r="U1356" i="1"/>
  <c r="T1356" i="1"/>
  <c r="S1356" i="1"/>
  <c r="Y1355" i="1"/>
  <c r="X1355" i="1"/>
  <c r="U1355" i="1"/>
  <c r="T1355" i="1"/>
  <c r="S1355" i="1"/>
  <c r="R1355" i="1"/>
  <c r="AT1355" i="1" s="1"/>
  <c r="Q1355" i="1"/>
  <c r="AU1355" i="1" s="1"/>
  <c r="P1355" i="1"/>
  <c r="Y1354" i="1"/>
  <c r="X1354" i="1"/>
  <c r="U1354" i="1"/>
  <c r="T1354" i="1"/>
  <c r="S1354" i="1"/>
  <c r="R1354" i="1"/>
  <c r="AT1354" i="1" s="1"/>
  <c r="Q1354" i="1"/>
  <c r="AU1354" i="1" s="1"/>
  <c r="P1354" i="1"/>
  <c r="Y1600" i="1"/>
  <c r="U1600" i="1"/>
  <c r="T1600" i="1"/>
  <c r="S1600" i="1"/>
  <c r="R1600" i="1"/>
  <c r="AT1600" i="1" s="1"/>
  <c r="Q1600" i="1"/>
  <c r="AU1600" i="1" s="1"/>
  <c r="P1600" i="1"/>
  <c r="Y1348" i="1"/>
  <c r="X1348" i="1"/>
  <c r="U1348" i="1"/>
  <c r="T1348" i="1"/>
  <c r="S1348" i="1"/>
  <c r="R1348" i="1"/>
  <c r="AT1348" i="1" s="1"/>
  <c r="Q1348" i="1"/>
  <c r="AU1348" i="1" s="1"/>
  <c r="P1348" i="1"/>
  <c r="X1347" i="1"/>
  <c r="U1347" i="1"/>
  <c r="T1347" i="1"/>
  <c r="S1347" i="1"/>
  <c r="Y1346" i="1"/>
  <c r="X1346" i="1"/>
  <c r="U1346" i="1"/>
  <c r="T1346" i="1"/>
  <c r="S1346" i="1"/>
  <c r="R1346" i="1"/>
  <c r="AT1346" i="1" s="1"/>
  <c r="Q1346" i="1"/>
  <c r="AU1346" i="1" s="1"/>
  <c r="P1346" i="1"/>
  <c r="X1345" i="1"/>
  <c r="U1345" i="1"/>
  <c r="T1345" i="1"/>
  <c r="S1345" i="1"/>
  <c r="Y1344" i="1"/>
  <c r="X1344" i="1"/>
  <c r="U1344" i="1"/>
  <c r="T1344" i="1"/>
  <c r="S1344" i="1"/>
  <c r="R1344" i="1"/>
  <c r="AT1344" i="1" s="1"/>
  <c r="Q1344" i="1"/>
  <c r="AU1344" i="1" s="1"/>
  <c r="P1344" i="1"/>
  <c r="X1343" i="1"/>
  <c r="U1343" i="1"/>
  <c r="T1343" i="1"/>
  <c r="S1343" i="1"/>
  <c r="Y1372" i="1"/>
  <c r="X1372" i="1"/>
  <c r="U1372" i="1"/>
  <c r="T1372" i="1"/>
  <c r="S1372" i="1"/>
  <c r="R1372" i="1"/>
  <c r="AT1372" i="1" s="1"/>
  <c r="Q1372" i="1"/>
  <c r="AU1372" i="1" s="1"/>
  <c r="P1372" i="1"/>
  <c r="Y1371" i="1"/>
  <c r="X1371" i="1"/>
  <c r="U1371" i="1"/>
  <c r="T1371" i="1"/>
  <c r="S1371" i="1"/>
  <c r="R1371" i="1"/>
  <c r="AT1371" i="1" s="1"/>
  <c r="Q1371" i="1"/>
  <c r="AU1371" i="1" s="1"/>
  <c r="P1371" i="1"/>
  <c r="Y1370" i="1"/>
  <c r="X1370" i="1"/>
  <c r="U1370" i="1"/>
  <c r="T1370" i="1"/>
  <c r="S1370" i="1"/>
  <c r="R1370" i="1"/>
  <c r="AT1370" i="1" s="1"/>
  <c r="Q1370" i="1"/>
  <c r="AU1370" i="1" s="1"/>
  <c r="P1370" i="1"/>
  <c r="Y1369" i="1"/>
  <c r="X1369" i="1"/>
  <c r="Y1353" i="1"/>
  <c r="X1353" i="1"/>
  <c r="U1353" i="1"/>
  <c r="T1353" i="1"/>
  <c r="S1353" i="1"/>
  <c r="R1353" i="1"/>
  <c r="AT1353" i="1" s="1"/>
  <c r="Q1353" i="1"/>
  <c r="AU1353" i="1" s="1"/>
  <c r="P1353" i="1"/>
  <c r="Y1352" i="1"/>
  <c r="X1352" i="1"/>
  <c r="U1352" i="1"/>
  <c r="T1352" i="1"/>
  <c r="S1352" i="1"/>
  <c r="R1352" i="1"/>
  <c r="AT1352" i="1" s="1"/>
  <c r="Q1352" i="1"/>
  <c r="AU1352" i="1" s="1"/>
  <c r="P1352" i="1"/>
  <c r="Y1351" i="1"/>
  <c r="X1351" i="1"/>
  <c r="U1351" i="1"/>
  <c r="T1351" i="1"/>
  <c r="S1351" i="1"/>
  <c r="R1351" i="1"/>
  <c r="AT1351" i="1" s="1"/>
  <c r="Q1351" i="1"/>
  <c r="AU1351" i="1" s="1"/>
  <c r="P1351" i="1"/>
  <c r="Y1350" i="1"/>
  <c r="X1350" i="1"/>
  <c r="U1350" i="1"/>
  <c r="T1350" i="1"/>
  <c r="S1350" i="1"/>
  <c r="R1350" i="1"/>
  <c r="AT1350" i="1" s="1"/>
  <c r="Q1350" i="1"/>
  <c r="AU1350" i="1" s="1"/>
  <c r="P1350" i="1"/>
  <c r="Y1349" i="1"/>
  <c r="X1349" i="1"/>
  <c r="U1349" i="1"/>
  <c r="T1349" i="1"/>
  <c r="S1349" i="1"/>
  <c r="R1349" i="1"/>
  <c r="AT1349" i="1" s="1"/>
  <c r="Q1349" i="1"/>
  <c r="AU1349" i="1" s="1"/>
  <c r="P1349" i="1"/>
  <c r="Y1384" i="1"/>
  <c r="X1384" i="1"/>
  <c r="U1384" i="1"/>
  <c r="T1384" i="1"/>
  <c r="S1384" i="1"/>
  <c r="R1384" i="1"/>
  <c r="AT1384" i="1" s="1"/>
  <c r="Q1384" i="1"/>
  <c r="AU1384" i="1" s="1"/>
  <c r="P1384" i="1"/>
  <c r="Y1383" i="1"/>
  <c r="X1383" i="1"/>
  <c r="U1383" i="1"/>
  <c r="T1383" i="1"/>
  <c r="S1383" i="1"/>
  <c r="R1383" i="1"/>
  <c r="AT1383" i="1" s="1"/>
  <c r="Q1383" i="1"/>
  <c r="AU1383" i="1" s="1"/>
  <c r="P1383" i="1"/>
  <c r="S1331" i="1"/>
  <c r="T1331" i="1"/>
  <c r="U1331" i="1"/>
  <c r="X1331" i="1"/>
  <c r="P1332" i="1"/>
  <c r="Q1332" i="1"/>
  <c r="AU1332" i="1" s="1"/>
  <c r="R1332" i="1"/>
  <c r="AT1332" i="1" s="1"/>
  <c r="S1332" i="1"/>
  <c r="T1332" i="1"/>
  <c r="U1332" i="1"/>
  <c r="X1332" i="1"/>
  <c r="Y1332" i="1"/>
  <c r="P1333" i="1"/>
  <c r="Q1333" i="1"/>
  <c r="AU1333" i="1" s="1"/>
  <c r="R1333" i="1"/>
  <c r="AT1333" i="1" s="1"/>
  <c r="S1333" i="1"/>
  <c r="T1333" i="1"/>
  <c r="U1333" i="1"/>
  <c r="X1333" i="1"/>
  <c r="Y1333" i="1"/>
  <c r="P1334" i="1"/>
  <c r="Q1334" i="1"/>
  <c r="AU1334" i="1" s="1"/>
  <c r="R1334" i="1"/>
  <c r="AT1334" i="1" s="1"/>
  <c r="S1334" i="1"/>
  <c r="T1334" i="1"/>
  <c r="U1334" i="1"/>
  <c r="X1334" i="1"/>
  <c r="Y1334" i="1"/>
  <c r="P1335" i="1"/>
  <c r="Q1335" i="1"/>
  <c r="AU1335" i="1" s="1"/>
  <c r="R1335" i="1"/>
  <c r="AT1335" i="1" s="1"/>
  <c r="S1335" i="1"/>
  <c r="T1335" i="1"/>
  <c r="U1335" i="1"/>
  <c r="X1335" i="1"/>
  <c r="Y1335" i="1"/>
  <c r="S1336" i="1"/>
  <c r="T1336" i="1"/>
  <c r="U1336" i="1"/>
  <c r="X1336" i="1"/>
  <c r="P1337" i="1"/>
  <c r="Q1337" i="1"/>
  <c r="AU1337" i="1" s="1"/>
  <c r="R1337" i="1"/>
  <c r="AT1337" i="1" s="1"/>
  <c r="S1337" i="1"/>
  <c r="T1337" i="1"/>
  <c r="U1337" i="1"/>
  <c r="X1337" i="1"/>
  <c r="Y1337" i="1"/>
  <c r="P1338" i="1"/>
  <c r="Q1338" i="1"/>
  <c r="AU1338" i="1" s="1"/>
  <c r="R1338" i="1"/>
  <c r="AT1338" i="1" s="1"/>
  <c r="S1338" i="1"/>
  <c r="T1338" i="1"/>
  <c r="U1338" i="1"/>
  <c r="X1338" i="1"/>
  <c r="Y1338" i="1"/>
  <c r="S1339" i="1"/>
  <c r="T1339" i="1"/>
  <c r="U1339" i="1"/>
  <c r="X1339" i="1"/>
  <c r="B90" i="6"/>
  <c r="D90" i="6"/>
  <c r="E90" i="6"/>
  <c r="P1368" i="1"/>
  <c r="Q1368" i="1"/>
  <c r="AU1368" i="1" s="1"/>
  <c r="R1368" i="1"/>
  <c r="AT1368" i="1" s="1"/>
  <c r="S1368" i="1"/>
  <c r="T1368" i="1"/>
  <c r="U1368" i="1"/>
  <c r="X1368" i="1"/>
  <c r="Y1368" i="1"/>
  <c r="P1340" i="1"/>
  <c r="Q1340" i="1"/>
  <c r="AU1340" i="1" s="1"/>
  <c r="R1340" i="1"/>
  <c r="AT1340" i="1" s="1"/>
  <c r="S1340" i="1"/>
  <c r="T1340" i="1"/>
  <c r="U1340" i="1"/>
  <c r="X1340" i="1"/>
  <c r="Y1340" i="1"/>
  <c r="P1341" i="1"/>
  <c r="Q1341" i="1"/>
  <c r="AU1341" i="1" s="1"/>
  <c r="R1341" i="1"/>
  <c r="AT1341" i="1" s="1"/>
  <c r="S1341" i="1"/>
  <c r="T1341" i="1"/>
  <c r="U1341" i="1"/>
  <c r="X1341" i="1"/>
  <c r="Y1341" i="1"/>
  <c r="S1342" i="1"/>
  <c r="T1342" i="1"/>
  <c r="U1342" i="1"/>
  <c r="X1342" i="1"/>
  <c r="P1373" i="1"/>
  <c r="Q1373" i="1"/>
  <c r="AU1373" i="1" s="1"/>
  <c r="R1373" i="1"/>
  <c r="AT1373" i="1" s="1"/>
  <c r="S1373" i="1"/>
  <c r="T1373" i="1"/>
  <c r="U1373" i="1"/>
  <c r="X1373" i="1"/>
  <c r="Y1373" i="1"/>
  <c r="X1374" i="1"/>
  <c r="Y1374" i="1"/>
  <c r="P1375" i="1"/>
  <c r="Q1375" i="1"/>
  <c r="AU1375" i="1" s="1"/>
  <c r="R1375" i="1"/>
  <c r="AT1375" i="1" s="1"/>
  <c r="S1375" i="1"/>
  <c r="T1375" i="1"/>
  <c r="U1375" i="1"/>
  <c r="X1375" i="1"/>
  <c r="Y1375" i="1"/>
  <c r="P1376" i="1"/>
  <c r="K3400" i="33"/>
  <c r="Q1376" i="1"/>
  <c r="AU1376" i="1" s="1"/>
  <c r="J3399" i="33"/>
  <c r="R1376" i="1"/>
  <c r="AT1376" i="1" s="1"/>
  <c r="I3400" i="33"/>
  <c r="S1376" i="1"/>
  <c r="T1376" i="1"/>
  <c r="U1376" i="1"/>
  <c r="X1376" i="1"/>
  <c r="Y1376" i="1"/>
  <c r="P3400" i="33"/>
  <c r="P1377" i="1"/>
  <c r="Q1377" i="1"/>
  <c r="AU1377" i="1" s="1"/>
  <c r="R1377" i="1"/>
  <c r="AT1377" i="1" s="1"/>
  <c r="S1377" i="1"/>
  <c r="T1377" i="1"/>
  <c r="U1377" i="1"/>
  <c r="X1377" i="1"/>
  <c r="Y1377" i="1"/>
  <c r="P1378" i="1"/>
  <c r="Q1378" i="1"/>
  <c r="AU1378" i="1" s="1"/>
  <c r="R1378" i="1"/>
  <c r="AT1378" i="1" s="1"/>
  <c r="S1378" i="1"/>
  <c r="T1378" i="1"/>
  <c r="U1378" i="1"/>
  <c r="X1378" i="1"/>
  <c r="Y1378" i="1"/>
  <c r="P1379" i="1"/>
  <c r="Q1379" i="1"/>
  <c r="AU1379" i="1" s="1"/>
  <c r="R1379" i="1"/>
  <c r="AT1379" i="1" s="1"/>
  <c r="S1379" i="1"/>
  <c r="T1379" i="1"/>
  <c r="U1379" i="1"/>
  <c r="X1379" i="1"/>
  <c r="Y1379" i="1"/>
  <c r="P1380" i="1"/>
  <c r="Q1380" i="1"/>
  <c r="AU1380" i="1" s="1"/>
  <c r="R1380" i="1"/>
  <c r="AT1380" i="1" s="1"/>
  <c r="S1380" i="1"/>
  <c r="T1380" i="1"/>
  <c r="U1380" i="1"/>
  <c r="X1380" i="1"/>
  <c r="Y1380" i="1"/>
  <c r="P1381" i="1"/>
  <c r="K424" i="6" s="1"/>
  <c r="Q1381" i="1"/>
  <c r="R1381" i="1"/>
  <c r="S1381" i="1"/>
  <c r="T1381" i="1"/>
  <c r="U1381" i="1"/>
  <c r="X1381" i="1"/>
  <c r="Y1381" i="1"/>
  <c r="Y1366" i="1"/>
  <c r="X1366" i="1"/>
  <c r="U1366" i="1"/>
  <c r="T1366" i="1"/>
  <c r="S1366" i="1"/>
  <c r="R1366" i="1"/>
  <c r="AT1366" i="1" s="1"/>
  <c r="Q1366" i="1"/>
  <c r="AU1366" i="1" s="1"/>
  <c r="P1366" i="1"/>
  <c r="X1365" i="1"/>
  <c r="U1365" i="1"/>
  <c r="T1365" i="1"/>
  <c r="S1365" i="1"/>
  <c r="Y1364" i="1"/>
  <c r="X1364" i="1"/>
  <c r="U1364" i="1"/>
  <c r="T1364" i="1"/>
  <c r="S1364" i="1"/>
  <c r="R1364" i="1"/>
  <c r="AT1364" i="1" s="1"/>
  <c r="Q1364" i="1"/>
  <c r="AU1364" i="1" s="1"/>
  <c r="P1364" i="1"/>
  <c r="Y1367" i="1"/>
  <c r="X1367" i="1"/>
  <c r="U1367" i="1"/>
  <c r="T1367" i="1"/>
  <c r="S1367" i="1"/>
  <c r="R1367" i="1"/>
  <c r="AT1367" i="1" s="1"/>
  <c r="Q1367" i="1"/>
  <c r="AU1367" i="1" s="1"/>
  <c r="P1367" i="1"/>
  <c r="Y1296" i="1"/>
  <c r="X1296" i="1"/>
  <c r="U1296" i="1"/>
  <c r="T1296" i="1"/>
  <c r="S1296" i="1"/>
  <c r="R1296" i="1"/>
  <c r="AT1296" i="1" s="1"/>
  <c r="Q1296" i="1"/>
  <c r="AU1296" i="1" s="1"/>
  <c r="P1296" i="1"/>
  <c r="Y1295" i="1"/>
  <c r="X1295" i="1"/>
  <c r="U1295" i="1"/>
  <c r="T1295" i="1"/>
  <c r="S1295" i="1"/>
  <c r="R1295" i="1"/>
  <c r="AT1295" i="1" s="1"/>
  <c r="Q1295" i="1"/>
  <c r="AU1295" i="1" s="1"/>
  <c r="P1295" i="1"/>
  <c r="Y1294" i="1"/>
  <c r="X1294" i="1"/>
  <c r="U1294" i="1"/>
  <c r="T1294" i="1"/>
  <c r="S1294" i="1"/>
  <c r="R1294" i="1"/>
  <c r="AT1294" i="1" s="1"/>
  <c r="Q1294" i="1"/>
  <c r="AU1294" i="1" s="1"/>
  <c r="P1294" i="1"/>
  <c r="Y1293" i="1"/>
  <c r="X1293" i="1"/>
  <c r="U1293" i="1"/>
  <c r="T1293" i="1"/>
  <c r="S1293" i="1"/>
  <c r="R1293" i="1"/>
  <c r="AT1293" i="1" s="1"/>
  <c r="Q1293" i="1"/>
  <c r="AU1293" i="1" s="1"/>
  <c r="P1293" i="1"/>
  <c r="Y1291" i="1"/>
  <c r="X1291" i="1"/>
  <c r="U1291" i="1"/>
  <c r="T1291" i="1"/>
  <c r="S1291" i="1"/>
  <c r="R1291" i="1"/>
  <c r="AT1291" i="1" s="1"/>
  <c r="Q1291" i="1"/>
  <c r="AU1291" i="1" s="1"/>
  <c r="P1291" i="1"/>
  <c r="Y1290" i="1"/>
  <c r="X1290" i="1"/>
  <c r="U1290" i="1"/>
  <c r="T1290" i="1"/>
  <c r="S1290" i="1"/>
  <c r="R1290" i="1"/>
  <c r="AT1290" i="1" s="1"/>
  <c r="Q1290" i="1"/>
  <c r="AU1290" i="1" s="1"/>
  <c r="P1290" i="1"/>
  <c r="Y1289" i="1"/>
  <c r="X1289" i="1"/>
  <c r="U1289" i="1"/>
  <c r="T1289" i="1"/>
  <c r="S1289" i="1"/>
  <c r="R1289" i="1"/>
  <c r="AT1289" i="1" s="1"/>
  <c r="Q1289" i="1"/>
  <c r="AU1289" i="1" s="1"/>
  <c r="P1289" i="1"/>
  <c r="Y1288" i="1"/>
  <c r="X1288" i="1"/>
  <c r="U1288" i="1"/>
  <c r="T1288" i="1"/>
  <c r="S1288" i="1"/>
  <c r="R1288" i="1"/>
  <c r="AT1288" i="1" s="1"/>
  <c r="Q1288" i="1"/>
  <c r="AU1288" i="1" s="1"/>
  <c r="P1288" i="1"/>
  <c r="X1287" i="1"/>
  <c r="U1287" i="1"/>
  <c r="T1287" i="1"/>
  <c r="S1287" i="1"/>
  <c r="Y1275" i="1"/>
  <c r="X1275" i="1"/>
  <c r="U1275" i="1"/>
  <c r="T1275" i="1"/>
  <c r="S1275" i="1"/>
  <c r="R1275" i="1"/>
  <c r="AT1275" i="1" s="1"/>
  <c r="Q1275" i="1"/>
  <c r="AU1275" i="1" s="1"/>
  <c r="P1275" i="1"/>
  <c r="Y1308" i="1"/>
  <c r="X1308" i="1"/>
  <c r="U1308" i="1"/>
  <c r="T1308" i="1"/>
  <c r="S1308" i="1"/>
  <c r="R1308" i="1"/>
  <c r="AT1308" i="1" s="1"/>
  <c r="Q1308" i="1"/>
  <c r="AU1308" i="1" s="1"/>
  <c r="P1308" i="1"/>
  <c r="Y1307" i="1"/>
  <c r="X1307" i="1"/>
  <c r="U1307" i="1"/>
  <c r="T1307" i="1"/>
  <c r="S1307" i="1"/>
  <c r="R1307" i="1"/>
  <c r="AT1307" i="1" s="1"/>
  <c r="Q1307" i="1"/>
  <c r="AU1307" i="1" s="1"/>
  <c r="P1307" i="1"/>
  <c r="Y1306" i="1"/>
  <c r="X1306" i="1"/>
  <c r="U1306" i="1"/>
  <c r="T1306" i="1"/>
  <c r="S1306" i="1"/>
  <c r="R1306" i="1"/>
  <c r="AT1306" i="1" s="1"/>
  <c r="Q1306" i="1"/>
  <c r="AU1306" i="1" s="1"/>
  <c r="P1306" i="1"/>
  <c r="Y1305" i="1"/>
  <c r="X1305" i="1"/>
  <c r="U1305" i="1"/>
  <c r="T1305" i="1"/>
  <c r="S1305" i="1"/>
  <c r="R1305" i="1"/>
  <c r="AT1305" i="1" s="1"/>
  <c r="Q1305" i="1"/>
  <c r="AU1305" i="1" s="1"/>
  <c r="P1305" i="1"/>
  <c r="Y1324" i="1"/>
  <c r="X1324" i="1"/>
  <c r="U1324" i="1"/>
  <c r="T1324" i="1"/>
  <c r="S1324" i="1"/>
  <c r="R1324" i="1"/>
  <c r="AT1324" i="1" s="1"/>
  <c r="Q1324" i="1"/>
  <c r="AU1324" i="1" s="1"/>
  <c r="P1324" i="1"/>
  <c r="Y1282" i="1"/>
  <c r="X1282" i="1"/>
  <c r="U1282" i="1"/>
  <c r="T1282" i="1"/>
  <c r="S1282" i="1"/>
  <c r="R1282" i="1"/>
  <c r="AT1282" i="1" s="1"/>
  <c r="Q1282" i="1"/>
  <c r="AU1282" i="1" s="1"/>
  <c r="P1282" i="1"/>
  <c r="Y1281" i="1"/>
  <c r="X1281" i="1"/>
  <c r="U1281" i="1"/>
  <c r="T1281" i="1"/>
  <c r="S1281" i="1"/>
  <c r="Q1281" i="1"/>
  <c r="AU1281" i="1" s="1"/>
  <c r="P1281" i="1"/>
  <c r="Y1280" i="1"/>
  <c r="X1280" i="1"/>
  <c r="U1280" i="1"/>
  <c r="T1280" i="1"/>
  <c r="S1280" i="1"/>
  <c r="R1280" i="1"/>
  <c r="AT1280" i="1" s="1"/>
  <c r="Q1280" i="1"/>
  <c r="AU1280" i="1" s="1"/>
  <c r="P1280" i="1"/>
  <c r="Y1277" i="1"/>
  <c r="X1277" i="1"/>
  <c r="U1277" i="1"/>
  <c r="T1277" i="1"/>
  <c r="S1277" i="1"/>
  <c r="R1277" i="1"/>
  <c r="AT1277" i="1" s="1"/>
  <c r="Q1277" i="1"/>
  <c r="AU1277" i="1" s="1"/>
  <c r="P1277" i="1"/>
  <c r="X1276" i="1"/>
  <c r="U1276" i="1"/>
  <c r="T1276" i="1"/>
  <c r="S1276" i="1"/>
  <c r="X1279" i="1"/>
  <c r="U1279" i="1"/>
  <c r="T1279" i="1"/>
  <c r="S1279" i="1"/>
  <c r="X1278" i="1"/>
  <c r="U1278" i="1"/>
  <c r="T1278" i="1"/>
  <c r="S1278" i="1"/>
  <c r="Y1274" i="1"/>
  <c r="X1274" i="1"/>
  <c r="X1273" i="1"/>
  <c r="U1273" i="1"/>
  <c r="T1273" i="1"/>
  <c r="S1273" i="1"/>
  <c r="Y1320" i="1"/>
  <c r="X1320" i="1"/>
  <c r="U1320" i="1"/>
  <c r="T1320" i="1"/>
  <c r="S1320" i="1"/>
  <c r="R1320" i="1"/>
  <c r="AT1320" i="1" s="1"/>
  <c r="Q1320" i="1"/>
  <c r="AU1320" i="1" s="1"/>
  <c r="P1320" i="1"/>
  <c r="X1319" i="1"/>
  <c r="U1319" i="1"/>
  <c r="T1319" i="1"/>
  <c r="S1319" i="1"/>
  <c r="X1330" i="1"/>
  <c r="U1330" i="1"/>
  <c r="T1330" i="1"/>
  <c r="S1330" i="1"/>
  <c r="Y1323" i="1"/>
  <c r="X1323" i="1"/>
  <c r="U1323" i="1"/>
  <c r="T1323" i="1"/>
  <c r="S1323" i="1"/>
  <c r="R1323" i="1"/>
  <c r="AT1323" i="1" s="1"/>
  <c r="Q1323" i="1"/>
  <c r="AU1323" i="1" s="1"/>
  <c r="P1323" i="1"/>
  <c r="Y1322" i="1"/>
  <c r="X1322" i="1"/>
  <c r="U1322" i="1"/>
  <c r="T1322" i="1"/>
  <c r="S1322" i="1"/>
  <c r="Q1322" i="1"/>
  <c r="AU1322" i="1" s="1"/>
  <c r="P1322" i="1"/>
  <c r="Y1321" i="1"/>
  <c r="X1321" i="1"/>
  <c r="U1321" i="1"/>
  <c r="T1321" i="1"/>
  <c r="S1321" i="1"/>
  <c r="R1321" i="1"/>
  <c r="AT1321" i="1" s="1"/>
  <c r="Q1321" i="1"/>
  <c r="AU1321" i="1" s="1"/>
  <c r="P1321" i="1"/>
  <c r="Y1326" i="1"/>
  <c r="X1326" i="1"/>
  <c r="U1326" i="1"/>
  <c r="T1326" i="1"/>
  <c r="S1326" i="1"/>
  <c r="R1326" i="1"/>
  <c r="AT1326" i="1" s="1"/>
  <c r="Q1326" i="1"/>
  <c r="AU1326" i="1" s="1"/>
  <c r="P1326" i="1"/>
  <c r="Y1325" i="1"/>
  <c r="X1325" i="1"/>
  <c r="U1325" i="1"/>
  <c r="T1325" i="1"/>
  <c r="S1325" i="1"/>
  <c r="R1325" i="1"/>
  <c r="AT1325" i="1" s="1"/>
  <c r="Q1325" i="1"/>
  <c r="AU1325" i="1" s="1"/>
  <c r="P1325" i="1"/>
  <c r="X1329" i="1"/>
  <c r="U1329" i="1"/>
  <c r="T1329" i="1"/>
  <c r="S1329" i="1"/>
  <c r="Y1314" i="1"/>
  <c r="X1314" i="1"/>
  <c r="U1314" i="1"/>
  <c r="T1314" i="1"/>
  <c r="S1314" i="1"/>
  <c r="R1314" i="1"/>
  <c r="AT1314" i="1" s="1"/>
  <c r="Q1314" i="1"/>
  <c r="AU1314" i="1" s="1"/>
  <c r="P1314" i="1"/>
  <c r="Y1313" i="1"/>
  <c r="X1313" i="1"/>
  <c r="U1313" i="1"/>
  <c r="T1313" i="1"/>
  <c r="S1313" i="1"/>
  <c r="R1313" i="1"/>
  <c r="AT1313" i="1" s="1"/>
  <c r="Q1313" i="1"/>
  <c r="AU1313" i="1" s="1"/>
  <c r="P1313" i="1"/>
  <c r="Y1328" i="1"/>
  <c r="X1328" i="1"/>
  <c r="U1328" i="1"/>
  <c r="T1328" i="1"/>
  <c r="S1328" i="1"/>
  <c r="R1328" i="1"/>
  <c r="AT1328" i="1" s="1"/>
  <c r="Q1328" i="1"/>
  <c r="AU1328" i="1" s="1"/>
  <c r="P1328" i="1"/>
  <c r="Q1177" i="1"/>
  <c r="AU1177" i="1" s="1"/>
  <c r="T1178" i="1"/>
  <c r="X1258" i="1"/>
  <c r="U1258" i="1"/>
  <c r="T1258" i="1"/>
  <c r="S1258" i="1"/>
  <c r="X1257" i="1"/>
  <c r="U1257" i="1"/>
  <c r="T1257" i="1"/>
  <c r="S1257" i="1"/>
  <c r="Y1256" i="1"/>
  <c r="X1256" i="1"/>
  <c r="U1256" i="1"/>
  <c r="T1256" i="1"/>
  <c r="S1256" i="1"/>
  <c r="R1256" i="1"/>
  <c r="AT1256" i="1" s="1"/>
  <c r="Q1256" i="1"/>
  <c r="AU1256" i="1" s="1"/>
  <c r="P1256" i="1"/>
  <c r="X1255" i="1"/>
  <c r="U1255" i="1"/>
  <c r="T1255" i="1"/>
  <c r="S1255" i="1"/>
  <c r="Y1254" i="1"/>
  <c r="X1254" i="1"/>
  <c r="U1254" i="1"/>
  <c r="T1254" i="1"/>
  <c r="S1254" i="1"/>
  <c r="R1254" i="1"/>
  <c r="AT1254" i="1" s="1"/>
  <c r="Q1254" i="1"/>
  <c r="AU1254" i="1" s="1"/>
  <c r="P1254" i="1"/>
  <c r="Y1250" i="1"/>
  <c r="X1250" i="1"/>
  <c r="U1250" i="1"/>
  <c r="T1250" i="1"/>
  <c r="S1250" i="1"/>
  <c r="R1250" i="1"/>
  <c r="AT1250" i="1" s="1"/>
  <c r="Q1250" i="1"/>
  <c r="AU1250" i="1" s="1"/>
  <c r="P1250" i="1"/>
  <c r="Y1249" i="1"/>
  <c r="X1249" i="1"/>
  <c r="U1249" i="1"/>
  <c r="T1249" i="1"/>
  <c r="S1249" i="1"/>
  <c r="R1249" i="1"/>
  <c r="AT1249" i="1" s="1"/>
  <c r="Q1249" i="1"/>
  <c r="AU1249" i="1" s="1"/>
  <c r="P1249" i="1"/>
  <c r="X1248" i="1"/>
  <c r="U1248" i="1"/>
  <c r="T1248" i="1"/>
  <c r="S1248" i="1"/>
  <c r="Y1247" i="1"/>
  <c r="X1247" i="1"/>
  <c r="U1247" i="1"/>
  <c r="T1247" i="1"/>
  <c r="S1247" i="1"/>
  <c r="R1247" i="1"/>
  <c r="AT1247" i="1" s="1"/>
  <c r="Q1247" i="1"/>
  <c r="AU1247" i="1" s="1"/>
  <c r="P1247" i="1"/>
  <c r="X1246" i="1"/>
  <c r="U1246" i="1"/>
  <c r="T1246" i="1"/>
  <c r="S1246" i="1"/>
  <c r="Y1262" i="1"/>
  <c r="X1262" i="1"/>
  <c r="U1262" i="1"/>
  <c r="T1262" i="1"/>
  <c r="S1262" i="1"/>
  <c r="R1262" i="1"/>
  <c r="AT1262" i="1" s="1"/>
  <c r="Q1262" i="1"/>
  <c r="AU1262" i="1" s="1"/>
  <c r="P1262" i="1"/>
  <c r="Y1261" i="1"/>
  <c r="X1261" i="1"/>
  <c r="U1261" i="1"/>
  <c r="T1261" i="1"/>
  <c r="S1261" i="1"/>
  <c r="R1261" i="1"/>
  <c r="AT1261" i="1" s="1"/>
  <c r="Q1261" i="1"/>
  <c r="AU1261" i="1" s="1"/>
  <c r="P1261" i="1"/>
  <c r="Y1271" i="1"/>
  <c r="X1271" i="1"/>
  <c r="U1271" i="1"/>
  <c r="T1271" i="1"/>
  <c r="S1271" i="1"/>
  <c r="R1271" i="1"/>
  <c r="AT1271" i="1" s="1"/>
  <c r="Q1271" i="1"/>
  <c r="AU1271" i="1" s="1"/>
  <c r="P1271" i="1"/>
  <c r="Y1270" i="1"/>
  <c r="X1270" i="1"/>
  <c r="U1270" i="1"/>
  <c r="T1270" i="1"/>
  <c r="S1270" i="1"/>
  <c r="R1270" i="1"/>
  <c r="AT1270" i="1" s="1"/>
  <c r="Q1270" i="1"/>
  <c r="AU1270" i="1" s="1"/>
  <c r="P1270" i="1"/>
  <c r="X1269" i="1"/>
  <c r="U1269" i="1"/>
  <c r="T1269" i="1"/>
  <c r="S1269" i="1"/>
  <c r="Y1268" i="1"/>
  <c r="X1268" i="1"/>
  <c r="U1268" i="1"/>
  <c r="T1268" i="1"/>
  <c r="S1268" i="1"/>
  <c r="R1268" i="1"/>
  <c r="AT1268" i="1" s="1"/>
  <c r="Q1268" i="1"/>
  <c r="AU1268" i="1" s="1"/>
  <c r="P1268" i="1"/>
  <c r="Y1267" i="1"/>
  <c r="X1267" i="1"/>
  <c r="U1267" i="1"/>
  <c r="T1267" i="1"/>
  <c r="S1267" i="1"/>
  <c r="R1267" i="1"/>
  <c r="AT1267" i="1" s="1"/>
  <c r="Q1267" i="1"/>
  <c r="AU1267" i="1" s="1"/>
  <c r="P1267" i="1"/>
  <c r="Y1266" i="1"/>
  <c r="X1266" i="1"/>
  <c r="U1266" i="1"/>
  <c r="T1266" i="1"/>
  <c r="S1266" i="1"/>
  <c r="R1266" i="1"/>
  <c r="AT1266" i="1" s="1"/>
  <c r="Q1266" i="1"/>
  <c r="AU1266" i="1" s="1"/>
  <c r="P1266" i="1"/>
  <c r="Y1265" i="1"/>
  <c r="X1265" i="1"/>
  <c r="U1265" i="1"/>
  <c r="T1265" i="1"/>
  <c r="S1265" i="1"/>
  <c r="R1265" i="1"/>
  <c r="AT1265" i="1" s="1"/>
  <c r="Q1265" i="1"/>
  <c r="AU1265" i="1" s="1"/>
  <c r="P1265" i="1"/>
  <c r="Y1264" i="1"/>
  <c r="X1264" i="1"/>
  <c r="U1264" i="1"/>
  <c r="T1264" i="1"/>
  <c r="S1264" i="1"/>
  <c r="R1264" i="1"/>
  <c r="AT1264" i="1" s="1"/>
  <c r="Q1264" i="1"/>
  <c r="AU1264" i="1" s="1"/>
  <c r="P1264" i="1"/>
  <c r="X1260" i="1"/>
  <c r="U1260" i="1"/>
  <c r="T1260" i="1"/>
  <c r="S1260" i="1"/>
  <c r="Y1259" i="1"/>
  <c r="X1259" i="1"/>
  <c r="U1259" i="1"/>
  <c r="T1259" i="1"/>
  <c r="S1259" i="1"/>
  <c r="R1259" i="1"/>
  <c r="AT1259" i="1" s="1"/>
  <c r="Q1259" i="1"/>
  <c r="AU1259" i="1" s="1"/>
  <c r="P1259" i="1"/>
  <c r="Y1272" i="1"/>
  <c r="X1272" i="1"/>
  <c r="U1272" i="1"/>
  <c r="T1272" i="1"/>
  <c r="S1272" i="1"/>
  <c r="R1272" i="1"/>
  <c r="AT1272" i="1" s="1"/>
  <c r="Q1272" i="1"/>
  <c r="AU1272" i="1" s="1"/>
  <c r="P1272" i="1"/>
  <c r="Y1263" i="1"/>
  <c r="X1263" i="1"/>
  <c r="U1263" i="1"/>
  <c r="T1263" i="1"/>
  <c r="S1263" i="1"/>
  <c r="R1263" i="1"/>
  <c r="AT1263" i="1" s="1"/>
  <c r="Q1263" i="1"/>
  <c r="AU1263" i="1" s="1"/>
  <c r="P1263" i="1"/>
  <c r="Y1245" i="1"/>
  <c r="X1245" i="1"/>
  <c r="U1245" i="1"/>
  <c r="T1245" i="1"/>
  <c r="S1245" i="1"/>
  <c r="R1245" i="1"/>
  <c r="AT1245" i="1" s="1"/>
  <c r="P1245" i="1"/>
  <c r="Y1244" i="1"/>
  <c r="X1244" i="1"/>
  <c r="U1244" i="1"/>
  <c r="T1244" i="1"/>
  <c r="S1244" i="1"/>
  <c r="R1244" i="1"/>
  <c r="AT1244" i="1" s="1"/>
  <c r="Q1244" i="1"/>
  <c r="AU1244" i="1" s="1"/>
  <c r="P1244" i="1"/>
  <c r="Y1243" i="1"/>
  <c r="X1243" i="1"/>
  <c r="U1243" i="1"/>
  <c r="T1243" i="1"/>
  <c r="S1243" i="1"/>
  <c r="R1243" i="1"/>
  <c r="AT1243" i="1" s="1"/>
  <c r="Q1243" i="1"/>
  <c r="AU1243" i="1" s="1"/>
  <c r="P1243" i="1"/>
  <c r="Y1253" i="1"/>
  <c r="X1253" i="1"/>
  <c r="U1253" i="1"/>
  <c r="T1253" i="1"/>
  <c r="S1253" i="1"/>
  <c r="R1253" i="1"/>
  <c r="AT1253" i="1" s="1"/>
  <c r="Q1253" i="1"/>
  <c r="AU1253" i="1" s="1"/>
  <c r="P1253" i="1"/>
  <c r="Y1252" i="1"/>
  <c r="X1252" i="1"/>
  <c r="U1252" i="1"/>
  <c r="T1252" i="1"/>
  <c r="S1252" i="1"/>
  <c r="R1252" i="1"/>
  <c r="AT1252" i="1" s="1"/>
  <c r="Q1252" i="1"/>
  <c r="AU1252" i="1" s="1"/>
  <c r="P1252" i="1"/>
  <c r="Y1251" i="1"/>
  <c r="X1251" i="1"/>
  <c r="U1251" i="1"/>
  <c r="T1251" i="1"/>
  <c r="S1251" i="1"/>
  <c r="R1251" i="1"/>
  <c r="AT1251" i="1" s="1"/>
  <c r="Q1251" i="1"/>
  <c r="AU1251" i="1" s="1"/>
  <c r="P1251" i="1"/>
  <c r="X1310" i="1"/>
  <c r="U1310" i="1"/>
  <c r="T1310" i="1"/>
  <c r="S1310" i="1"/>
  <c r="X1309" i="1"/>
  <c r="U1309" i="1"/>
  <c r="T1309" i="1"/>
  <c r="S1309" i="1"/>
  <c r="X1318" i="1"/>
  <c r="U1318" i="1"/>
  <c r="T1318" i="1"/>
  <c r="S1318" i="1"/>
  <c r="Y1317" i="1"/>
  <c r="X1317" i="1"/>
  <c r="U1317" i="1"/>
  <c r="T1317" i="1"/>
  <c r="S1317" i="1"/>
  <c r="R1317" i="1"/>
  <c r="AT1317" i="1" s="1"/>
  <c r="Q1317" i="1"/>
  <c r="AU1317" i="1" s="1"/>
  <c r="P1317" i="1"/>
  <c r="Y1316" i="1"/>
  <c r="X1316" i="1"/>
  <c r="U1316" i="1"/>
  <c r="T1316" i="1"/>
  <c r="S1316" i="1"/>
  <c r="R1316" i="1"/>
  <c r="AT1316" i="1" s="1"/>
  <c r="Q1316" i="1"/>
  <c r="AU1316" i="1" s="1"/>
  <c r="P1316" i="1"/>
  <c r="X1315" i="1"/>
  <c r="U1315" i="1"/>
  <c r="T1315" i="1"/>
  <c r="S1315" i="1"/>
  <c r="Y1382" i="1"/>
  <c r="X1382" i="1"/>
  <c r="U1382" i="1"/>
  <c r="T1382" i="1"/>
  <c r="S1382" i="1"/>
  <c r="R1382" i="1"/>
  <c r="AT1382" i="1" s="1"/>
  <c r="Q1382" i="1"/>
  <c r="AU1382" i="1" s="1"/>
  <c r="P1382" i="1"/>
  <c r="Y1292" i="1"/>
  <c r="X1292" i="1"/>
  <c r="U1292" i="1"/>
  <c r="T1292" i="1"/>
  <c r="S1292" i="1"/>
  <c r="R1292" i="1"/>
  <c r="AT1292" i="1" s="1"/>
  <c r="Q1292" i="1"/>
  <c r="AU1292" i="1" s="1"/>
  <c r="P1292" i="1"/>
  <c r="X1327" i="1"/>
  <c r="U1327" i="1"/>
  <c r="T1327" i="1"/>
  <c r="S1327" i="1"/>
  <c r="Y1312" i="1"/>
  <c r="X1312" i="1"/>
  <c r="U1312" i="1"/>
  <c r="T1312" i="1"/>
  <c r="S1312" i="1"/>
  <c r="R1312" i="1"/>
  <c r="AT1312" i="1" s="1"/>
  <c r="Q1312" i="1"/>
  <c r="AU1312" i="1" s="1"/>
  <c r="P1312" i="1"/>
  <c r="X1311" i="1"/>
  <c r="U1311" i="1"/>
  <c r="T1311" i="1"/>
  <c r="S1311" i="1"/>
  <c r="Y1300" i="1"/>
  <c r="X1300" i="1"/>
  <c r="U1300" i="1"/>
  <c r="T1300" i="1"/>
  <c r="S1300" i="1"/>
  <c r="R1300" i="1"/>
  <c r="AT1300" i="1" s="1"/>
  <c r="Q1300" i="1"/>
  <c r="AU1300" i="1" s="1"/>
  <c r="P1300" i="1"/>
  <c r="Y1299" i="1"/>
  <c r="X1299" i="1"/>
  <c r="U1299" i="1"/>
  <c r="T1299" i="1"/>
  <c r="S1299" i="1"/>
  <c r="R1299" i="1"/>
  <c r="AT1299" i="1" s="1"/>
  <c r="Q1299" i="1"/>
  <c r="AU1299" i="1" s="1"/>
  <c r="P1299" i="1"/>
  <c r="Y1298" i="1"/>
  <c r="X1298" i="1"/>
  <c r="U1298" i="1"/>
  <c r="T1298" i="1"/>
  <c r="S1298" i="1"/>
  <c r="R1298" i="1"/>
  <c r="AT1298" i="1" s="1"/>
  <c r="Q1298" i="1"/>
  <c r="AU1298" i="1" s="1"/>
  <c r="P1298" i="1"/>
  <c r="Y1297" i="1"/>
  <c r="X1297" i="1"/>
  <c r="U1297" i="1"/>
  <c r="T1297" i="1"/>
  <c r="S1297" i="1"/>
  <c r="R1297" i="1"/>
  <c r="AT1297" i="1" s="1"/>
  <c r="Q1297" i="1"/>
  <c r="AU1297" i="1" s="1"/>
  <c r="P1297" i="1"/>
  <c r="X1238" i="1"/>
  <c r="W1238" i="1"/>
  <c r="U1238" i="1"/>
  <c r="T1238" i="1"/>
  <c r="S1238" i="1"/>
  <c r="X1237" i="1"/>
  <c r="W1237" i="1"/>
  <c r="U1237" i="1"/>
  <c r="T1237" i="1"/>
  <c r="S1237" i="1"/>
  <c r="Y1231" i="1"/>
  <c r="X1231" i="1"/>
  <c r="U1231" i="1"/>
  <c r="T1231" i="1"/>
  <c r="S1231" i="1"/>
  <c r="R1231" i="1"/>
  <c r="AT1231" i="1" s="1"/>
  <c r="Q1231" i="1"/>
  <c r="AU1231" i="1" s="1"/>
  <c r="P1231" i="1"/>
  <c r="Y1230" i="1"/>
  <c r="X1230" i="1"/>
  <c r="W1230" i="1"/>
  <c r="U1230" i="1"/>
  <c r="T1230" i="1"/>
  <c r="S1230" i="1"/>
  <c r="R1230" i="1"/>
  <c r="AT1230" i="1" s="1"/>
  <c r="Q1230" i="1"/>
  <c r="AU1230" i="1" s="1"/>
  <c r="P1230" i="1"/>
  <c r="X1229" i="1"/>
  <c r="W1229" i="1"/>
  <c r="U1229" i="1"/>
  <c r="T1229" i="1"/>
  <c r="S1229" i="1"/>
  <c r="Y1212" i="1"/>
  <c r="X1212" i="1"/>
  <c r="W1212" i="1"/>
  <c r="U1212" i="1"/>
  <c r="T1212" i="1"/>
  <c r="S1212" i="1"/>
  <c r="R1212" i="1"/>
  <c r="AT1212" i="1" s="1"/>
  <c r="Q1212" i="1"/>
  <c r="AU1212" i="1" s="1"/>
  <c r="P1212" i="1"/>
  <c r="Y1286" i="1"/>
  <c r="X1286" i="1"/>
  <c r="U1286" i="1"/>
  <c r="T1286" i="1"/>
  <c r="S1286" i="1"/>
  <c r="R1286" i="1"/>
  <c r="AT1286" i="1" s="1"/>
  <c r="Q1286" i="1"/>
  <c r="AU1286" i="1" s="1"/>
  <c r="P1286" i="1"/>
  <c r="Y1285" i="1"/>
  <c r="X1285" i="1"/>
  <c r="U1285" i="1"/>
  <c r="Y1284" i="1"/>
  <c r="X1284" i="1"/>
  <c r="U1284" i="1"/>
  <c r="T1284" i="1"/>
  <c r="S1284" i="1"/>
  <c r="R1284" i="1"/>
  <c r="AT1284" i="1" s="1"/>
  <c r="P1284" i="1"/>
  <c r="Y1283" i="1"/>
  <c r="X1283" i="1"/>
  <c r="U1283" i="1"/>
  <c r="T1283" i="1"/>
  <c r="S1283" i="1"/>
  <c r="R1283" i="1"/>
  <c r="AT1283" i="1" s="1"/>
  <c r="P1283" i="1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1602" i="1"/>
  <c r="Q1602" i="1"/>
  <c r="AU1602" i="1" s="1"/>
  <c r="R1602" i="1"/>
  <c r="AT1602" i="1" s="1"/>
  <c r="S1602" i="1"/>
  <c r="T1602" i="1"/>
  <c r="U1602" i="1"/>
  <c r="X1602" i="1"/>
  <c r="Y1602" i="1"/>
  <c r="R208" i="1"/>
  <c r="AT208" i="1" s="1"/>
  <c r="Y1302" i="1"/>
  <c r="X1302" i="1"/>
  <c r="U1302" i="1"/>
  <c r="T1302" i="1"/>
  <c r="S1302" i="1"/>
  <c r="R1302" i="1"/>
  <c r="AT1302" i="1" s="1"/>
  <c r="Q1302" i="1"/>
  <c r="AU1302" i="1" s="1"/>
  <c r="P1302" i="1"/>
  <c r="Y1301" i="1"/>
  <c r="X1301" i="1"/>
  <c r="U1301" i="1"/>
  <c r="T1301" i="1"/>
  <c r="S1301" i="1"/>
  <c r="R1301" i="1"/>
  <c r="AT1301" i="1" s="1"/>
  <c r="Q1301" i="1"/>
  <c r="AU1301" i="1" s="1"/>
  <c r="P1301" i="1"/>
  <c r="Y1234" i="1"/>
  <c r="X1234" i="1"/>
  <c r="U1234" i="1"/>
  <c r="T1234" i="1"/>
  <c r="S1234" i="1"/>
  <c r="R1234" i="1"/>
  <c r="AT1234" i="1" s="1"/>
  <c r="Q1234" i="1"/>
  <c r="AU1234" i="1" s="1"/>
  <c r="P1234" i="1"/>
  <c r="Y1233" i="1"/>
  <c r="X1233" i="1"/>
  <c r="X1211" i="1"/>
  <c r="W1211" i="1"/>
  <c r="U1211" i="1"/>
  <c r="T1211" i="1"/>
  <c r="S1211" i="1"/>
  <c r="X1217" i="1"/>
  <c r="W1217" i="1"/>
  <c r="U1217" i="1"/>
  <c r="T1217" i="1"/>
  <c r="S1217" i="1"/>
  <c r="X1216" i="1"/>
  <c r="W1216" i="1"/>
  <c r="U1216" i="1"/>
  <c r="T1216" i="1"/>
  <c r="S1216" i="1"/>
  <c r="X1215" i="1"/>
  <c r="W1215" i="1"/>
  <c r="U1215" i="1"/>
  <c r="T1215" i="1"/>
  <c r="S1215" i="1"/>
  <c r="X1214" i="1"/>
  <c r="W1214" i="1"/>
  <c r="U1214" i="1"/>
  <c r="T1214" i="1"/>
  <c r="S1214" i="1"/>
  <c r="X1225" i="1"/>
  <c r="W1225" i="1"/>
  <c r="U1225" i="1"/>
  <c r="T1225" i="1"/>
  <c r="S1225" i="1"/>
  <c r="Y1224" i="1"/>
  <c r="X1224" i="1"/>
  <c r="W1224" i="1"/>
  <c r="U1224" i="1"/>
  <c r="T1224" i="1"/>
  <c r="S1224" i="1"/>
  <c r="R1224" i="1"/>
  <c r="AT1224" i="1" s="1"/>
  <c r="Q1224" i="1"/>
  <c r="AU1224" i="1" s="1"/>
  <c r="P1224" i="1"/>
  <c r="Y1213" i="1"/>
  <c r="X1213" i="1"/>
  <c r="W1213" i="1"/>
  <c r="U1213" i="1"/>
  <c r="T1213" i="1"/>
  <c r="S1213" i="1"/>
  <c r="R1213" i="1"/>
  <c r="AT1213" i="1" s="1"/>
  <c r="Q1213" i="1"/>
  <c r="AU1213" i="1" s="1"/>
  <c r="P1213" i="1"/>
  <c r="Y1210" i="1"/>
  <c r="X1210" i="1"/>
  <c r="W1210" i="1"/>
  <c r="U1210" i="1"/>
  <c r="T1210" i="1"/>
  <c r="S1210" i="1"/>
  <c r="R1210" i="1"/>
  <c r="AT1210" i="1" s="1"/>
  <c r="Q1210" i="1"/>
  <c r="AU1210" i="1" s="1"/>
  <c r="P1210" i="1"/>
  <c r="Y1209" i="1"/>
  <c r="X1209" i="1"/>
  <c r="W1209" i="1"/>
  <c r="U1209" i="1"/>
  <c r="T1209" i="1"/>
  <c r="S1209" i="1"/>
  <c r="R1209" i="1"/>
  <c r="AT1209" i="1" s="1"/>
  <c r="Q1209" i="1"/>
  <c r="AU1209" i="1" s="1"/>
  <c r="P1209" i="1"/>
  <c r="Y1223" i="1"/>
  <c r="X1223" i="1"/>
  <c r="W1223" i="1"/>
  <c r="U1223" i="1"/>
  <c r="T1223" i="1"/>
  <c r="S1223" i="1"/>
  <c r="R1223" i="1"/>
  <c r="AT1223" i="1" s="1"/>
  <c r="Q1223" i="1"/>
  <c r="AU1223" i="1" s="1"/>
  <c r="P1223" i="1"/>
  <c r="Y1222" i="1"/>
  <c r="X1222" i="1"/>
  <c r="W1222" i="1"/>
  <c r="U1222" i="1"/>
  <c r="T1222" i="1"/>
  <c r="S1222" i="1"/>
  <c r="R1222" i="1"/>
  <c r="AT1222" i="1" s="1"/>
  <c r="Q1222" i="1"/>
  <c r="AU1222" i="1" s="1"/>
  <c r="P1222" i="1"/>
  <c r="P1175" i="1"/>
  <c r="Q1175" i="1"/>
  <c r="AU1175" i="1" s="1"/>
  <c r="R1175" i="1"/>
  <c r="AT1175" i="1" s="1"/>
  <c r="S1175" i="1"/>
  <c r="T1175" i="1"/>
  <c r="U1175" i="1"/>
  <c r="P1177" i="1"/>
  <c r="R1177" i="1"/>
  <c r="AT1177" i="1" s="1"/>
  <c r="S1177" i="1"/>
  <c r="T1177" i="1"/>
  <c r="U1177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402" i="1"/>
  <c r="W1024" i="1"/>
  <c r="W1025" i="1"/>
  <c r="W1026" i="1"/>
  <c r="W1027" i="1"/>
  <c r="W1028" i="1"/>
  <c r="W1403" i="1"/>
  <c r="W1404" i="1"/>
  <c r="W1029" i="1"/>
  <c r="W1030" i="1"/>
  <c r="W1031" i="1"/>
  <c r="W1032" i="1"/>
  <c r="W1033" i="1"/>
  <c r="W1034" i="1"/>
  <c r="W1035" i="1"/>
  <c r="W1036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21" i="1"/>
  <c r="W1122" i="1"/>
  <c r="W1123" i="1"/>
  <c r="W1124" i="1"/>
  <c r="W1125" i="1"/>
  <c r="W1126" i="1"/>
  <c r="W1113" i="1"/>
  <c r="W1114" i="1"/>
  <c r="W1115" i="1"/>
  <c r="W1116" i="1"/>
  <c r="W1117" i="1"/>
  <c r="W1127" i="1"/>
  <c r="W1128" i="1"/>
  <c r="W1118" i="1"/>
  <c r="W1119" i="1"/>
  <c r="W1120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8" i="1"/>
  <c r="W1144" i="1"/>
  <c r="W1149" i="1"/>
  <c r="W1145" i="1"/>
  <c r="W1146" i="1"/>
  <c r="W1147" i="1"/>
  <c r="W1185" i="1"/>
  <c r="W1186" i="1"/>
  <c r="W1187" i="1"/>
  <c r="W1188" i="1"/>
  <c r="W1189" i="1"/>
  <c r="W1190" i="1"/>
  <c r="W1205" i="1"/>
  <c r="W1206" i="1"/>
  <c r="W1207" i="1"/>
  <c r="W1208" i="1"/>
  <c r="W1150" i="1"/>
  <c r="W1151" i="1"/>
  <c r="W1155" i="1"/>
  <c r="W1156" i="1"/>
  <c r="W1157" i="1"/>
  <c r="W1158" i="1"/>
  <c r="W1152" i="1"/>
  <c r="W1153" i="1"/>
  <c r="W1154" i="1"/>
  <c r="W1159" i="1"/>
  <c r="W1191" i="1"/>
  <c r="W1176" i="1"/>
  <c r="W1192" i="1"/>
  <c r="W1174" i="1"/>
  <c r="W1175" i="1"/>
  <c r="W1177" i="1"/>
  <c r="W1178" i="1"/>
  <c r="W1179" i="1"/>
  <c r="W1193" i="1"/>
  <c r="W1173" i="1"/>
  <c r="W1164" i="1"/>
  <c r="W1165" i="1"/>
  <c r="W1196" i="1"/>
  <c r="W1183" i="1"/>
  <c r="W1184" i="1"/>
  <c r="W1169" i="1"/>
  <c r="W1170" i="1"/>
  <c r="W1171" i="1"/>
  <c r="W1172" i="1"/>
  <c r="W1198" i="1"/>
  <c r="W1199" i="1"/>
  <c r="W1194" i="1"/>
  <c r="W1195" i="1"/>
  <c r="W1161" i="1"/>
  <c r="W1162" i="1"/>
  <c r="W1163" i="1"/>
  <c r="W1160" i="1"/>
  <c r="W1200" i="1"/>
  <c r="W1201" i="1"/>
  <c r="W1232" i="1"/>
  <c r="W1166" i="1"/>
  <c r="W1167" i="1"/>
  <c r="W1168" i="1"/>
  <c r="W1239" i="1"/>
  <c r="W1202" i="1"/>
  <c r="W1203" i="1"/>
  <c r="W1204" i="1"/>
  <c r="W1197" i="1"/>
  <c r="W1180" i="1"/>
  <c r="W1181" i="1"/>
  <c r="W1182" i="1"/>
  <c r="W1235" i="1"/>
  <c r="W1236" i="1"/>
  <c r="W1226" i="1"/>
  <c r="W1227" i="1"/>
  <c r="W1228" i="1"/>
  <c r="W1218" i="1"/>
  <c r="W1219" i="1"/>
  <c r="W1220" i="1"/>
  <c r="W122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2" i="1"/>
  <c r="X1178" i="1"/>
  <c r="S1178" i="1"/>
  <c r="U1178" i="1"/>
  <c r="Q1179" i="1"/>
  <c r="AU1179" i="1" s="1"/>
  <c r="Q1173" i="1"/>
  <c r="AU1173" i="1" s="1"/>
  <c r="Q1196" i="1"/>
  <c r="AU1196" i="1" s="1"/>
  <c r="Q1184" i="1"/>
  <c r="AU1184" i="1" s="1"/>
  <c r="Q1169" i="1"/>
  <c r="AU1169" i="1" s="1"/>
  <c r="Q1170" i="1"/>
  <c r="AU1170" i="1" s="1"/>
  <c r="Q1171" i="1"/>
  <c r="AU1171" i="1" s="1"/>
  <c r="Q1198" i="1"/>
  <c r="AU1198" i="1" s="1"/>
  <c r="Q1199" i="1"/>
  <c r="AU1199" i="1" s="1"/>
  <c r="Q1194" i="1"/>
  <c r="AU1194" i="1" s="1"/>
  <c r="Q1195" i="1"/>
  <c r="AU1195" i="1" s="1"/>
  <c r="Q1161" i="1"/>
  <c r="AU1161" i="1" s="1"/>
  <c r="Q1163" i="1"/>
  <c r="AU1163" i="1" s="1"/>
  <c r="Q1200" i="1"/>
  <c r="AU1200" i="1" s="1"/>
  <c r="Q1232" i="1"/>
  <c r="AU1232" i="1" s="1"/>
  <c r="Q1167" i="1"/>
  <c r="AU1167" i="1" s="1"/>
  <c r="Q1239" i="1"/>
  <c r="AU1239" i="1" s="1"/>
  <c r="Q1202" i="1"/>
  <c r="AU1202" i="1" s="1"/>
  <c r="Q1203" i="1"/>
  <c r="AU1203" i="1" s="1"/>
  <c r="Q1204" i="1"/>
  <c r="AU1204" i="1" s="1"/>
  <c r="Q1197" i="1"/>
  <c r="AU1197" i="1" s="1"/>
  <c r="Q1180" i="1"/>
  <c r="AU1180" i="1" s="1"/>
  <c r="Q1181" i="1"/>
  <c r="AU1181" i="1" s="1"/>
  <c r="Q1182" i="1"/>
  <c r="AU1182" i="1" s="1"/>
  <c r="Q1240" i="1"/>
  <c r="AU1240" i="1" s="1"/>
  <c r="Q1241" i="1"/>
  <c r="AU1241" i="1" s="1"/>
  <c r="Q1242" i="1"/>
  <c r="AU1242" i="1" s="1"/>
  <c r="Q1235" i="1"/>
  <c r="AU1235" i="1" s="1"/>
  <c r="Q1236" i="1"/>
  <c r="AU1236" i="1" s="1"/>
  <c r="Q1227" i="1"/>
  <c r="AU1227" i="1" s="1"/>
  <c r="Q1218" i="1"/>
  <c r="AU1218" i="1" s="1"/>
  <c r="Q1219" i="1"/>
  <c r="AU1219" i="1" s="1"/>
  <c r="Q1220" i="1"/>
  <c r="AU1220" i="1" s="1"/>
  <c r="Q1221" i="1"/>
  <c r="AU1221" i="1" s="1"/>
  <c r="Q1303" i="1"/>
  <c r="AU1303" i="1" s="1"/>
  <c r="Q1304" i="1"/>
  <c r="AU1304" i="1" s="1"/>
  <c r="Y1304" i="1"/>
  <c r="X1304" i="1"/>
  <c r="U1304" i="1"/>
  <c r="T1304" i="1"/>
  <c r="S1304" i="1"/>
  <c r="R1304" i="1"/>
  <c r="AT1304" i="1" s="1"/>
  <c r="P1304" i="1"/>
  <c r="Y1303" i="1"/>
  <c r="X1303" i="1"/>
  <c r="U1303" i="1"/>
  <c r="T1303" i="1"/>
  <c r="S1303" i="1"/>
  <c r="R1303" i="1"/>
  <c r="AT1303" i="1" s="1"/>
  <c r="P1303" i="1"/>
  <c r="Y1221" i="1"/>
  <c r="X1221" i="1"/>
  <c r="U1221" i="1"/>
  <c r="T1221" i="1"/>
  <c r="S1221" i="1"/>
  <c r="R1221" i="1"/>
  <c r="AT1221" i="1" s="1"/>
  <c r="P1221" i="1"/>
  <c r="Y1220" i="1"/>
  <c r="X1220" i="1"/>
  <c r="U1220" i="1"/>
  <c r="T1220" i="1"/>
  <c r="S1220" i="1"/>
  <c r="R1220" i="1"/>
  <c r="AT1220" i="1" s="1"/>
  <c r="P1220" i="1"/>
  <c r="Y1219" i="1"/>
  <c r="X1219" i="1"/>
  <c r="U1219" i="1"/>
  <c r="T1219" i="1"/>
  <c r="S1219" i="1"/>
  <c r="R1219" i="1"/>
  <c r="AT1219" i="1" s="1"/>
  <c r="P1219" i="1"/>
  <c r="Y1218" i="1"/>
  <c r="X1218" i="1"/>
  <c r="U1218" i="1"/>
  <c r="T1218" i="1"/>
  <c r="S1218" i="1"/>
  <c r="R1218" i="1"/>
  <c r="AT1218" i="1" s="1"/>
  <c r="P1218" i="1"/>
  <c r="X1228" i="1"/>
  <c r="U1228" i="1"/>
  <c r="T1228" i="1"/>
  <c r="S1228" i="1"/>
  <c r="Y1227" i="1"/>
  <c r="X1227" i="1"/>
  <c r="U1227" i="1"/>
  <c r="T1227" i="1"/>
  <c r="S1227" i="1"/>
  <c r="R1227" i="1"/>
  <c r="AT1227" i="1" s="1"/>
  <c r="P1227" i="1"/>
  <c r="X1226" i="1"/>
  <c r="U1226" i="1"/>
  <c r="T1226" i="1"/>
  <c r="S1226" i="1"/>
  <c r="Y1236" i="1"/>
  <c r="X1236" i="1"/>
  <c r="U1236" i="1"/>
  <c r="T1236" i="1"/>
  <c r="S1236" i="1"/>
  <c r="R1236" i="1"/>
  <c r="AT1236" i="1" s="1"/>
  <c r="P1236" i="1"/>
  <c r="Y1235" i="1"/>
  <c r="X1235" i="1"/>
  <c r="U1235" i="1"/>
  <c r="T1235" i="1"/>
  <c r="S1235" i="1"/>
  <c r="R1235" i="1"/>
  <c r="AT1235" i="1" s="1"/>
  <c r="P1235" i="1"/>
  <c r="Y1242" i="1"/>
  <c r="X1242" i="1"/>
  <c r="U1242" i="1"/>
  <c r="T1242" i="1"/>
  <c r="S1242" i="1"/>
  <c r="R1242" i="1"/>
  <c r="AT1242" i="1" s="1"/>
  <c r="P1242" i="1"/>
  <c r="Y1241" i="1"/>
  <c r="X1241" i="1"/>
  <c r="U1241" i="1"/>
  <c r="T1241" i="1"/>
  <c r="S1241" i="1"/>
  <c r="R1241" i="1"/>
  <c r="AT1241" i="1" s="1"/>
  <c r="P1241" i="1"/>
  <c r="Y1240" i="1"/>
  <c r="X1240" i="1"/>
  <c r="U1240" i="1"/>
  <c r="T1240" i="1"/>
  <c r="S1240" i="1"/>
  <c r="R1240" i="1"/>
  <c r="AT1240" i="1" s="1"/>
  <c r="P1240" i="1"/>
  <c r="Y1182" i="1"/>
  <c r="X1182" i="1"/>
  <c r="U1182" i="1"/>
  <c r="T1182" i="1"/>
  <c r="S1182" i="1"/>
  <c r="R1182" i="1"/>
  <c r="AT1182" i="1" s="1"/>
  <c r="P1182" i="1"/>
  <c r="Y1181" i="1"/>
  <c r="X1181" i="1"/>
  <c r="U1181" i="1"/>
  <c r="T1181" i="1"/>
  <c r="S1181" i="1"/>
  <c r="R1181" i="1"/>
  <c r="AT1181" i="1" s="1"/>
  <c r="P1181" i="1"/>
  <c r="Y1180" i="1"/>
  <c r="X1180" i="1"/>
  <c r="U1180" i="1"/>
  <c r="T1180" i="1"/>
  <c r="S1180" i="1"/>
  <c r="R1180" i="1"/>
  <c r="AT1180" i="1" s="1"/>
  <c r="P1180" i="1"/>
  <c r="Y1197" i="1"/>
  <c r="X1197" i="1"/>
  <c r="U1197" i="1"/>
  <c r="T1197" i="1"/>
  <c r="S1197" i="1"/>
  <c r="R1197" i="1"/>
  <c r="AT1197" i="1" s="1"/>
  <c r="P1197" i="1"/>
  <c r="Y1194" i="1"/>
  <c r="X1194" i="1"/>
  <c r="U1194" i="1"/>
  <c r="T1194" i="1"/>
  <c r="S1194" i="1"/>
  <c r="R1194" i="1"/>
  <c r="AT1194" i="1" s="1"/>
  <c r="P1194" i="1"/>
  <c r="X1172" i="1"/>
  <c r="U1172" i="1"/>
  <c r="T1172" i="1"/>
  <c r="S1172" i="1"/>
  <c r="Y1199" i="1"/>
  <c r="X1199" i="1"/>
  <c r="U1199" i="1"/>
  <c r="T1199" i="1"/>
  <c r="S1199" i="1"/>
  <c r="R1199" i="1"/>
  <c r="AT1199" i="1" s="1"/>
  <c r="P1199" i="1"/>
  <c r="Y1198" i="1"/>
  <c r="X1198" i="1"/>
  <c r="U1198" i="1"/>
  <c r="T1198" i="1"/>
  <c r="S1198" i="1"/>
  <c r="R1198" i="1"/>
  <c r="AT1198" i="1" s="1"/>
  <c r="P1198" i="1"/>
  <c r="Y1171" i="1"/>
  <c r="X1171" i="1"/>
  <c r="U1171" i="1"/>
  <c r="T1171" i="1"/>
  <c r="S1171" i="1"/>
  <c r="R1171" i="1"/>
  <c r="AT1171" i="1" s="1"/>
  <c r="P1171" i="1"/>
  <c r="Y1170" i="1"/>
  <c r="X1170" i="1"/>
  <c r="U1170" i="1"/>
  <c r="T1170" i="1"/>
  <c r="S1170" i="1"/>
  <c r="R1170" i="1"/>
  <c r="AT1170" i="1" s="1"/>
  <c r="P1170" i="1"/>
  <c r="Y1169" i="1"/>
  <c r="X1169" i="1"/>
  <c r="U1169" i="1"/>
  <c r="T1169" i="1"/>
  <c r="S1169" i="1"/>
  <c r="R1169" i="1"/>
  <c r="AT1169" i="1" s="1"/>
  <c r="P1169" i="1"/>
  <c r="Y1184" i="1"/>
  <c r="X1184" i="1"/>
  <c r="U1184" i="1"/>
  <c r="T1184" i="1"/>
  <c r="S1184" i="1"/>
  <c r="R1184" i="1"/>
  <c r="AT1184" i="1" s="1"/>
  <c r="P1184" i="1"/>
  <c r="X1183" i="1"/>
  <c r="U1183" i="1"/>
  <c r="T1183" i="1"/>
  <c r="S1183" i="1"/>
  <c r="Y1196" i="1"/>
  <c r="X1196" i="1"/>
  <c r="U1196" i="1"/>
  <c r="T1196" i="1"/>
  <c r="S1196" i="1"/>
  <c r="R1196" i="1"/>
  <c r="AT1196" i="1" s="1"/>
  <c r="P1196" i="1"/>
  <c r="X1165" i="1"/>
  <c r="U1165" i="1"/>
  <c r="T1165" i="1"/>
  <c r="S1165" i="1"/>
  <c r="X1164" i="1"/>
  <c r="U1164" i="1"/>
  <c r="T1164" i="1"/>
  <c r="S1164" i="1"/>
  <c r="Y1173" i="1"/>
  <c r="X1173" i="1"/>
  <c r="U1173" i="1"/>
  <c r="T1173" i="1"/>
  <c r="S1173" i="1"/>
  <c r="R1173" i="1"/>
  <c r="AT1173" i="1" s="1"/>
  <c r="P1173" i="1"/>
  <c r="X1193" i="1"/>
  <c r="U1193" i="1"/>
  <c r="T1193" i="1"/>
  <c r="S1193" i="1"/>
  <c r="Y1179" i="1"/>
  <c r="X1179" i="1"/>
  <c r="U1179" i="1"/>
  <c r="T1179" i="1"/>
  <c r="S1179" i="1"/>
  <c r="R1179" i="1"/>
  <c r="AT1179" i="1" s="1"/>
  <c r="P1179" i="1"/>
  <c r="Y1177" i="1"/>
  <c r="X1177" i="1"/>
  <c r="Y1175" i="1"/>
  <c r="X1175" i="1"/>
  <c r="X1174" i="1"/>
  <c r="U1174" i="1"/>
  <c r="T1174" i="1"/>
  <c r="S1174" i="1"/>
  <c r="X1192" i="1"/>
  <c r="U1192" i="1"/>
  <c r="T1192" i="1"/>
  <c r="S1192" i="1"/>
  <c r="Y1176" i="1"/>
  <c r="X1176" i="1"/>
  <c r="U1176" i="1"/>
  <c r="T1176" i="1"/>
  <c r="S1176" i="1"/>
  <c r="R1176" i="1"/>
  <c r="AT1176" i="1" s="1"/>
  <c r="Q1176" i="1"/>
  <c r="AU1176" i="1" s="1"/>
  <c r="P1176" i="1"/>
  <c r="Y1191" i="1"/>
  <c r="X1191" i="1"/>
  <c r="Y1147" i="1"/>
  <c r="X1147" i="1"/>
  <c r="U1147" i="1"/>
  <c r="T1147" i="1"/>
  <c r="S1147" i="1"/>
  <c r="R1147" i="1"/>
  <c r="AT1147" i="1" s="1"/>
  <c r="Q1147" i="1"/>
  <c r="AU1147" i="1" s="1"/>
  <c r="P1147" i="1"/>
  <c r="X1146" i="1"/>
  <c r="U1146" i="1"/>
  <c r="T1146" i="1"/>
  <c r="S1146" i="1"/>
  <c r="Y1145" i="1"/>
  <c r="X1145" i="1"/>
  <c r="U1145" i="1"/>
  <c r="T1145" i="1"/>
  <c r="S1145" i="1"/>
  <c r="R1145" i="1"/>
  <c r="AT1145" i="1" s="1"/>
  <c r="Q1145" i="1"/>
  <c r="AU1145" i="1" s="1"/>
  <c r="P1145" i="1"/>
  <c r="Y1149" i="1"/>
  <c r="X1149" i="1"/>
  <c r="U1149" i="1"/>
  <c r="T1149" i="1"/>
  <c r="S1149" i="1"/>
  <c r="R1149" i="1"/>
  <c r="AT1149" i="1" s="1"/>
  <c r="Q1149" i="1"/>
  <c r="AU1149" i="1" s="1"/>
  <c r="P1149" i="1"/>
  <c r="Y1144" i="1"/>
  <c r="X1144" i="1"/>
  <c r="U1144" i="1"/>
  <c r="T1144" i="1"/>
  <c r="S1144" i="1"/>
  <c r="R1144" i="1"/>
  <c r="AT1144" i="1" s="1"/>
  <c r="Q1144" i="1"/>
  <c r="AU1144" i="1" s="1"/>
  <c r="P1144" i="1"/>
  <c r="X1148" i="1"/>
  <c r="U1148" i="1"/>
  <c r="T1148" i="1"/>
  <c r="S1148" i="1"/>
  <c r="Y1143" i="1"/>
  <c r="X1143" i="1"/>
  <c r="U1143" i="1"/>
  <c r="T1143" i="1"/>
  <c r="S1143" i="1"/>
  <c r="R1143" i="1"/>
  <c r="AT1143" i="1" s="1"/>
  <c r="Q1143" i="1"/>
  <c r="AU1143" i="1" s="1"/>
  <c r="P1143" i="1"/>
  <c r="Y1141" i="1"/>
  <c r="X1141" i="1"/>
  <c r="U1141" i="1"/>
  <c r="T1141" i="1"/>
  <c r="S1141" i="1"/>
  <c r="R1141" i="1"/>
  <c r="AT1141" i="1" s="1"/>
  <c r="Q1141" i="1"/>
  <c r="AU1141" i="1" s="1"/>
  <c r="P1141" i="1"/>
  <c r="Y1132" i="1"/>
  <c r="X1132" i="1"/>
  <c r="U1132" i="1"/>
  <c r="T1132" i="1"/>
  <c r="S1132" i="1"/>
  <c r="R1132" i="1"/>
  <c r="AT1132" i="1" s="1"/>
  <c r="Q1132" i="1"/>
  <c r="AU1132" i="1" s="1"/>
  <c r="P1132" i="1"/>
  <c r="Y1137" i="1"/>
  <c r="X1137" i="1"/>
  <c r="U1137" i="1"/>
  <c r="T1137" i="1"/>
  <c r="S1137" i="1"/>
  <c r="R1137" i="1"/>
  <c r="AT1137" i="1" s="1"/>
  <c r="Q1137" i="1"/>
  <c r="AU1137" i="1" s="1"/>
  <c r="P1137" i="1"/>
  <c r="Y1136" i="1"/>
  <c r="X1136" i="1"/>
  <c r="U1136" i="1"/>
  <c r="T1136" i="1"/>
  <c r="S1136" i="1"/>
  <c r="R1136" i="1"/>
  <c r="AT1136" i="1" s="1"/>
  <c r="Q1136" i="1"/>
  <c r="AU1136" i="1" s="1"/>
  <c r="P1136" i="1"/>
  <c r="X1131" i="1"/>
  <c r="U1131" i="1"/>
  <c r="T1131" i="1"/>
  <c r="S1131" i="1"/>
  <c r="P1190" i="1"/>
  <c r="Q1190" i="1"/>
  <c r="AU1190" i="1" s="1"/>
  <c r="R1190" i="1"/>
  <c r="AT1190" i="1" s="1"/>
  <c r="S1190" i="1"/>
  <c r="T1190" i="1"/>
  <c r="U1190" i="1"/>
  <c r="X1190" i="1"/>
  <c r="Y1190" i="1"/>
  <c r="P1205" i="1"/>
  <c r="Q1205" i="1"/>
  <c r="AU1205" i="1" s="1"/>
  <c r="R1205" i="1"/>
  <c r="AT1205" i="1" s="1"/>
  <c r="S1205" i="1"/>
  <c r="T1205" i="1"/>
  <c r="U1205" i="1"/>
  <c r="X1205" i="1"/>
  <c r="Y1205" i="1"/>
  <c r="P1206" i="1"/>
  <c r="Q1206" i="1"/>
  <c r="AU1206" i="1" s="1"/>
  <c r="R1206" i="1"/>
  <c r="AT1206" i="1" s="1"/>
  <c r="S1206" i="1"/>
  <c r="T1206" i="1"/>
  <c r="U1206" i="1"/>
  <c r="X1206" i="1"/>
  <c r="Y1206" i="1"/>
  <c r="P1207" i="1"/>
  <c r="Q1207" i="1"/>
  <c r="AU1207" i="1" s="1"/>
  <c r="R1207" i="1"/>
  <c r="AT1207" i="1" s="1"/>
  <c r="S1207" i="1"/>
  <c r="T1207" i="1"/>
  <c r="U1207" i="1"/>
  <c r="X1207" i="1"/>
  <c r="Y1207" i="1"/>
  <c r="P1208" i="1"/>
  <c r="Q1208" i="1"/>
  <c r="AU1208" i="1" s="1"/>
  <c r="R1208" i="1"/>
  <c r="AT1208" i="1" s="1"/>
  <c r="S1208" i="1"/>
  <c r="T1208" i="1"/>
  <c r="U1208" i="1"/>
  <c r="X1208" i="1"/>
  <c r="Y1208" i="1"/>
  <c r="S1150" i="1"/>
  <c r="T1150" i="1"/>
  <c r="U1150" i="1"/>
  <c r="X1150" i="1"/>
  <c r="P1151" i="1"/>
  <c r="Q1151" i="1"/>
  <c r="AU1151" i="1" s="1"/>
  <c r="R1151" i="1"/>
  <c r="AT1151" i="1" s="1"/>
  <c r="S1151" i="1"/>
  <c r="T1151" i="1"/>
  <c r="U1151" i="1"/>
  <c r="X1151" i="1"/>
  <c r="Y1151" i="1"/>
  <c r="S1155" i="1"/>
  <c r="T1155" i="1"/>
  <c r="U1155" i="1"/>
  <c r="X1155" i="1"/>
  <c r="P1156" i="1"/>
  <c r="Q1156" i="1"/>
  <c r="AU1156" i="1" s="1"/>
  <c r="R1156" i="1"/>
  <c r="AT1156" i="1" s="1"/>
  <c r="S1156" i="1"/>
  <c r="T1156" i="1"/>
  <c r="U1156" i="1"/>
  <c r="X1156" i="1"/>
  <c r="Y1156" i="1"/>
  <c r="S1157" i="1"/>
  <c r="T1157" i="1"/>
  <c r="U1157" i="1"/>
  <c r="X1157" i="1"/>
  <c r="P1187" i="1"/>
  <c r="Q1187" i="1"/>
  <c r="AU1187" i="1" s="1"/>
  <c r="R1187" i="1"/>
  <c r="AT1187" i="1" s="1"/>
  <c r="S1187" i="1"/>
  <c r="T1187" i="1"/>
  <c r="U1187" i="1"/>
  <c r="X1187" i="1"/>
  <c r="Y1187" i="1"/>
  <c r="P1188" i="1"/>
  <c r="Q1188" i="1"/>
  <c r="AU1188" i="1" s="1"/>
  <c r="R1188" i="1"/>
  <c r="AT1188" i="1" s="1"/>
  <c r="S1188" i="1"/>
  <c r="T1188" i="1"/>
  <c r="U1188" i="1"/>
  <c r="X1188" i="1"/>
  <c r="Y1188" i="1"/>
  <c r="P1189" i="1"/>
  <c r="Q1189" i="1"/>
  <c r="AU1189" i="1" s="1"/>
  <c r="R1189" i="1"/>
  <c r="AT1189" i="1" s="1"/>
  <c r="S1189" i="1"/>
  <c r="T1189" i="1"/>
  <c r="U1189" i="1"/>
  <c r="X1189" i="1"/>
  <c r="Y1189" i="1"/>
  <c r="P1158" i="1"/>
  <c r="Q1158" i="1"/>
  <c r="AU1158" i="1" s="1"/>
  <c r="R1158" i="1"/>
  <c r="AT1158" i="1" s="1"/>
  <c r="S1158" i="1"/>
  <c r="T1158" i="1"/>
  <c r="U1158" i="1"/>
  <c r="X1158" i="1"/>
  <c r="Y1158" i="1"/>
  <c r="S1152" i="1"/>
  <c r="T1152" i="1"/>
  <c r="U1152" i="1"/>
  <c r="X1152" i="1"/>
  <c r="S1153" i="1"/>
  <c r="T1153" i="1"/>
  <c r="U1153" i="1"/>
  <c r="X1153" i="1"/>
  <c r="P1154" i="1"/>
  <c r="Q1154" i="1"/>
  <c r="AU1154" i="1" s="1"/>
  <c r="R1154" i="1"/>
  <c r="AT1154" i="1" s="1"/>
  <c r="S1154" i="1"/>
  <c r="T1154" i="1"/>
  <c r="U1154" i="1"/>
  <c r="X1154" i="1"/>
  <c r="Y1154" i="1"/>
  <c r="X1112" i="1"/>
  <c r="Y1112" i="1"/>
  <c r="P1112" i="1"/>
  <c r="Q1112" i="1"/>
  <c r="AU1112" i="1" s="1"/>
  <c r="R1112" i="1"/>
  <c r="AT1112" i="1" s="1"/>
  <c r="S1112" i="1"/>
  <c r="T1112" i="1"/>
  <c r="U1112" i="1"/>
  <c r="P1111" i="1"/>
  <c r="Q1111" i="1"/>
  <c r="AU1111" i="1" s="1"/>
  <c r="R1111" i="1"/>
  <c r="AT1111" i="1" s="1"/>
  <c r="S1111" i="1"/>
  <c r="T1111" i="1"/>
  <c r="U1111" i="1"/>
  <c r="X1111" i="1"/>
  <c r="Y1111" i="1"/>
  <c r="P1185" i="1"/>
  <c r="Q1185" i="1"/>
  <c r="AU1185" i="1" s="1"/>
  <c r="R1185" i="1"/>
  <c r="AT1185" i="1" s="1"/>
  <c r="S1185" i="1"/>
  <c r="T1185" i="1"/>
  <c r="U1185" i="1"/>
  <c r="X1185" i="1"/>
  <c r="Y1185" i="1"/>
  <c r="P1186" i="1"/>
  <c r="Q1186" i="1"/>
  <c r="AU1186" i="1" s="1"/>
  <c r="R1186" i="1"/>
  <c r="AT1186" i="1" s="1"/>
  <c r="S1186" i="1"/>
  <c r="T1186" i="1"/>
  <c r="U1186" i="1"/>
  <c r="X1186" i="1"/>
  <c r="Y1186" i="1"/>
  <c r="P1091" i="1"/>
  <c r="Q1091" i="1"/>
  <c r="AU1091" i="1" s="1"/>
  <c r="R1091" i="1"/>
  <c r="AT1091" i="1" s="1"/>
  <c r="S1091" i="1"/>
  <c r="T1091" i="1"/>
  <c r="U1091" i="1"/>
  <c r="X1091" i="1"/>
  <c r="Y1091" i="1"/>
  <c r="P1092" i="1"/>
  <c r="Q1092" i="1"/>
  <c r="AU1092" i="1" s="1"/>
  <c r="R1092" i="1"/>
  <c r="AT1092" i="1" s="1"/>
  <c r="S1092" i="1"/>
  <c r="T1092" i="1"/>
  <c r="U1092" i="1"/>
  <c r="X1092" i="1"/>
  <c r="Y1092" i="1"/>
  <c r="P1129" i="1"/>
  <c r="Q1129" i="1"/>
  <c r="AU1129" i="1" s="1"/>
  <c r="R1129" i="1"/>
  <c r="AT1129" i="1" s="1"/>
  <c r="S1129" i="1"/>
  <c r="T1129" i="1"/>
  <c r="U1129" i="1"/>
  <c r="X1129" i="1"/>
  <c r="Y1129" i="1"/>
  <c r="P1130" i="1"/>
  <c r="Q1130" i="1"/>
  <c r="AU1130" i="1" s="1"/>
  <c r="R1130" i="1"/>
  <c r="AT1130" i="1" s="1"/>
  <c r="S1130" i="1"/>
  <c r="T1130" i="1"/>
  <c r="U1130" i="1"/>
  <c r="X1130" i="1"/>
  <c r="Y1130" i="1"/>
  <c r="P1110" i="1"/>
  <c r="Q1110" i="1"/>
  <c r="AU1110" i="1" s="1"/>
  <c r="R1110" i="1"/>
  <c r="AT1110" i="1" s="1"/>
  <c r="S1110" i="1"/>
  <c r="T1110" i="1"/>
  <c r="U1110" i="1"/>
  <c r="X1110" i="1"/>
  <c r="Y1110" i="1"/>
  <c r="P1159" i="1"/>
  <c r="Q1159" i="1"/>
  <c r="AU1159" i="1" s="1"/>
  <c r="R1159" i="1"/>
  <c r="AT1159" i="1" s="1"/>
  <c r="S1159" i="1"/>
  <c r="T1159" i="1"/>
  <c r="U1159" i="1"/>
  <c r="X1159" i="1"/>
  <c r="Y1159" i="1"/>
  <c r="X1109" i="1"/>
  <c r="Y1109" i="1"/>
  <c r="P1109" i="1"/>
  <c r="Q1109" i="1"/>
  <c r="AU1109" i="1" s="1"/>
  <c r="R1109" i="1"/>
  <c r="AT1109" i="1" s="1"/>
  <c r="S1109" i="1"/>
  <c r="T1109" i="1"/>
  <c r="U1109" i="1"/>
  <c r="Y1121" i="1"/>
  <c r="Y1122" i="1"/>
  <c r="Y1123" i="1"/>
  <c r="Y1124" i="1"/>
  <c r="Y1125" i="1"/>
  <c r="Y1126" i="1"/>
  <c r="X1119" i="1"/>
  <c r="X1120" i="1"/>
  <c r="X1121" i="1"/>
  <c r="X1122" i="1"/>
  <c r="X1123" i="1"/>
  <c r="X1124" i="1"/>
  <c r="X1125" i="1"/>
  <c r="X1126" i="1"/>
  <c r="U1121" i="1"/>
  <c r="U1122" i="1"/>
  <c r="U1123" i="1"/>
  <c r="U1124" i="1"/>
  <c r="U1125" i="1"/>
  <c r="U1126" i="1"/>
  <c r="T1121" i="1"/>
  <c r="T1122" i="1"/>
  <c r="T1123" i="1"/>
  <c r="T1124" i="1"/>
  <c r="T1125" i="1"/>
  <c r="T1126" i="1"/>
  <c r="S1121" i="1"/>
  <c r="S1122" i="1"/>
  <c r="S1123" i="1"/>
  <c r="S1124" i="1"/>
  <c r="S1125" i="1"/>
  <c r="S1126" i="1"/>
  <c r="R1120" i="1"/>
  <c r="AT1120" i="1" s="1"/>
  <c r="R1121" i="1"/>
  <c r="AT1121" i="1" s="1"/>
  <c r="R1122" i="1"/>
  <c r="AT1122" i="1" s="1"/>
  <c r="R1123" i="1"/>
  <c r="AT1123" i="1" s="1"/>
  <c r="R1124" i="1"/>
  <c r="AT1124" i="1" s="1"/>
  <c r="R1125" i="1"/>
  <c r="AT1125" i="1" s="1"/>
  <c r="R1126" i="1"/>
  <c r="AT1126" i="1" s="1"/>
  <c r="Q1121" i="1"/>
  <c r="AU1121" i="1" s="1"/>
  <c r="Q1122" i="1"/>
  <c r="AU1122" i="1" s="1"/>
  <c r="Q1123" i="1"/>
  <c r="AU1123" i="1" s="1"/>
  <c r="Q1124" i="1"/>
  <c r="AU1124" i="1" s="1"/>
  <c r="Q1125" i="1"/>
  <c r="AU1125" i="1" s="1"/>
  <c r="Q1126" i="1"/>
  <c r="AU1126" i="1" s="1"/>
  <c r="P1089" i="1"/>
  <c r="P1127" i="1"/>
  <c r="P1119" i="1"/>
  <c r="P1120" i="1"/>
  <c r="P1121" i="1"/>
  <c r="P1122" i="1"/>
  <c r="P1123" i="1"/>
  <c r="P1124" i="1"/>
  <c r="P1125" i="1"/>
  <c r="P1126" i="1"/>
  <c r="Y1030" i="1"/>
  <c r="X1030" i="1"/>
  <c r="U1030" i="1"/>
  <c r="T1030" i="1"/>
  <c r="S1030" i="1"/>
  <c r="R1030" i="1"/>
  <c r="AT1030" i="1" s="1"/>
  <c r="Q1030" i="1"/>
  <c r="AU1030" i="1" s="1"/>
  <c r="P1030" i="1"/>
  <c r="X1029" i="1"/>
  <c r="U1029" i="1"/>
  <c r="T1029" i="1"/>
  <c r="S1029" i="1"/>
  <c r="Y1404" i="1"/>
  <c r="X1404" i="1"/>
  <c r="U1404" i="1"/>
  <c r="T1404" i="1"/>
  <c r="S1404" i="1"/>
  <c r="R1404" i="1"/>
  <c r="AT1404" i="1" s="1"/>
  <c r="Q1404" i="1"/>
  <c r="AU1404" i="1" s="1"/>
  <c r="P1404" i="1"/>
  <c r="Y1403" i="1"/>
  <c r="X1403" i="1"/>
  <c r="U1403" i="1"/>
  <c r="T1403" i="1"/>
  <c r="S1403" i="1"/>
  <c r="R1403" i="1"/>
  <c r="AT1403" i="1" s="1"/>
  <c r="Q1403" i="1"/>
  <c r="AU1403" i="1" s="1"/>
  <c r="P1403" i="1"/>
  <c r="Y1027" i="1"/>
  <c r="X1027" i="1"/>
  <c r="U1027" i="1"/>
  <c r="T1027" i="1"/>
  <c r="S1027" i="1"/>
  <c r="R1027" i="1"/>
  <c r="AT1027" i="1" s="1"/>
  <c r="Q1027" i="1"/>
  <c r="AU1027" i="1" s="1"/>
  <c r="P1027" i="1"/>
  <c r="Y1026" i="1"/>
  <c r="X1026" i="1"/>
  <c r="U1026" i="1"/>
  <c r="T1026" i="1"/>
  <c r="S1026" i="1"/>
  <c r="R1026" i="1"/>
  <c r="AT1026" i="1" s="1"/>
  <c r="Q1026" i="1"/>
  <c r="AU1026" i="1" s="1"/>
  <c r="P1026" i="1"/>
  <c r="Y1025" i="1"/>
  <c r="X1025" i="1"/>
  <c r="U1025" i="1"/>
  <c r="T1025" i="1"/>
  <c r="S1025" i="1"/>
  <c r="R1025" i="1"/>
  <c r="AT1025" i="1" s="1"/>
  <c r="Q1025" i="1"/>
  <c r="AU1025" i="1" s="1"/>
  <c r="P1025" i="1"/>
  <c r="X1024" i="1"/>
  <c r="U1024" i="1"/>
  <c r="T1024" i="1"/>
  <c r="S1024" i="1"/>
  <c r="X1108" i="1"/>
  <c r="U1108" i="1"/>
  <c r="T1108" i="1"/>
  <c r="S1108" i="1"/>
  <c r="Y1028" i="1"/>
  <c r="X1028" i="1"/>
  <c r="U1028" i="1"/>
  <c r="T1028" i="1"/>
  <c r="S1028" i="1"/>
  <c r="R1028" i="1"/>
  <c r="AT1028" i="1" s="1"/>
  <c r="Q1028" i="1"/>
  <c r="AU1028" i="1" s="1"/>
  <c r="P1028" i="1"/>
  <c r="X1139" i="1"/>
  <c r="U1139" i="1"/>
  <c r="T1139" i="1"/>
  <c r="S1139" i="1"/>
  <c r="X1138" i="1"/>
  <c r="U1138" i="1"/>
  <c r="T1138" i="1"/>
  <c r="S1138" i="1"/>
  <c r="X1402" i="1"/>
  <c r="U1402" i="1"/>
  <c r="T1402" i="1"/>
  <c r="S1402" i="1"/>
  <c r="X1023" i="1"/>
  <c r="U1023" i="1"/>
  <c r="T1023" i="1"/>
  <c r="S1023" i="1"/>
  <c r="X1022" i="1"/>
  <c r="U1022" i="1"/>
  <c r="T1022" i="1"/>
  <c r="S1022" i="1"/>
  <c r="P1097" i="1"/>
  <c r="Q1097" i="1"/>
  <c r="AU1097" i="1" s="1"/>
  <c r="R1097" i="1"/>
  <c r="AT1097" i="1" s="1"/>
  <c r="S1097" i="1"/>
  <c r="T1097" i="1"/>
  <c r="U1097" i="1"/>
  <c r="X1097" i="1"/>
  <c r="Y1097" i="1"/>
  <c r="P1093" i="1"/>
  <c r="Q1093" i="1"/>
  <c r="AU1093" i="1" s="1"/>
  <c r="R1093" i="1"/>
  <c r="AT1093" i="1" s="1"/>
  <c r="S1093" i="1"/>
  <c r="T1093" i="1"/>
  <c r="U1093" i="1"/>
  <c r="X1093" i="1"/>
  <c r="Y1093" i="1"/>
  <c r="P1098" i="1"/>
  <c r="Q1098" i="1"/>
  <c r="AU1098" i="1" s="1"/>
  <c r="R1098" i="1"/>
  <c r="AT1098" i="1" s="1"/>
  <c r="S1098" i="1"/>
  <c r="T1098" i="1"/>
  <c r="U1098" i="1"/>
  <c r="X1098" i="1"/>
  <c r="Y1098" i="1"/>
  <c r="P1094" i="1"/>
  <c r="Q1094" i="1"/>
  <c r="AU1094" i="1" s="1"/>
  <c r="R1094" i="1"/>
  <c r="AT1094" i="1" s="1"/>
  <c r="S1094" i="1"/>
  <c r="T1094" i="1"/>
  <c r="U1094" i="1"/>
  <c r="X1094" i="1"/>
  <c r="Y1094" i="1"/>
  <c r="P1099" i="1"/>
  <c r="Q1099" i="1"/>
  <c r="AU1099" i="1" s="1"/>
  <c r="R1099" i="1"/>
  <c r="AT1099" i="1" s="1"/>
  <c r="S1099" i="1"/>
  <c r="T1099" i="1"/>
  <c r="U1099" i="1"/>
  <c r="X1099" i="1"/>
  <c r="Y1099" i="1"/>
  <c r="S1095" i="1"/>
  <c r="T1095" i="1"/>
  <c r="U1095" i="1"/>
  <c r="X1095" i="1"/>
  <c r="P1100" i="1"/>
  <c r="Q1100" i="1"/>
  <c r="AU1100" i="1" s="1"/>
  <c r="R1100" i="1"/>
  <c r="AT1100" i="1" s="1"/>
  <c r="S1100" i="1"/>
  <c r="T1100" i="1"/>
  <c r="U1100" i="1"/>
  <c r="X1100" i="1"/>
  <c r="Y1100" i="1"/>
  <c r="S1101" i="1"/>
  <c r="T1101" i="1"/>
  <c r="U1101" i="1"/>
  <c r="X1101" i="1"/>
  <c r="S1102" i="1"/>
  <c r="T1102" i="1"/>
  <c r="U1102" i="1"/>
  <c r="X1102" i="1"/>
  <c r="P1113" i="1"/>
  <c r="Q1113" i="1"/>
  <c r="AU1113" i="1" s="1"/>
  <c r="R1113" i="1"/>
  <c r="AT1113" i="1" s="1"/>
  <c r="S1113" i="1"/>
  <c r="T1113" i="1"/>
  <c r="U1113" i="1"/>
  <c r="X1113" i="1"/>
  <c r="Y1113" i="1"/>
  <c r="P1114" i="1"/>
  <c r="Q1114" i="1"/>
  <c r="AU1114" i="1" s="1"/>
  <c r="R1114" i="1"/>
  <c r="AT1114" i="1" s="1"/>
  <c r="S1114" i="1"/>
  <c r="T1114" i="1"/>
  <c r="U1114" i="1"/>
  <c r="X1114" i="1"/>
  <c r="Y1114" i="1"/>
  <c r="P1103" i="1"/>
  <c r="Q1103" i="1"/>
  <c r="AU1103" i="1" s="1"/>
  <c r="R1103" i="1"/>
  <c r="AT1103" i="1" s="1"/>
  <c r="S1103" i="1"/>
  <c r="T1103" i="1"/>
  <c r="U1103" i="1"/>
  <c r="X1103" i="1"/>
  <c r="Y1103" i="1"/>
  <c r="S1104" i="1"/>
  <c r="T1104" i="1"/>
  <c r="U1104" i="1"/>
  <c r="X1104" i="1"/>
  <c r="P1105" i="1"/>
  <c r="Q1105" i="1"/>
  <c r="AU1105" i="1" s="1"/>
  <c r="R1105" i="1"/>
  <c r="AT1105" i="1" s="1"/>
  <c r="S1105" i="1"/>
  <c r="T1105" i="1"/>
  <c r="U1105" i="1"/>
  <c r="X1105" i="1"/>
  <c r="Y1105" i="1"/>
  <c r="P1106" i="1"/>
  <c r="Q1106" i="1"/>
  <c r="AU1106" i="1" s="1"/>
  <c r="R1106" i="1"/>
  <c r="AT1106" i="1" s="1"/>
  <c r="S1106" i="1"/>
  <c r="T1106" i="1"/>
  <c r="U1106" i="1"/>
  <c r="X1106" i="1"/>
  <c r="Y1106" i="1"/>
  <c r="S1107" i="1"/>
  <c r="T1107" i="1"/>
  <c r="U1107" i="1"/>
  <c r="X1107" i="1"/>
  <c r="S1090" i="1"/>
  <c r="T1090" i="1"/>
  <c r="U1090" i="1"/>
  <c r="X1090" i="1"/>
  <c r="Q1089" i="1"/>
  <c r="AU1089" i="1" s="1"/>
  <c r="R1089" i="1"/>
  <c r="AT1089" i="1" s="1"/>
  <c r="S1089" i="1"/>
  <c r="T1089" i="1"/>
  <c r="U1089" i="1"/>
  <c r="X1089" i="1"/>
  <c r="Y1089" i="1"/>
  <c r="Q1127" i="1"/>
  <c r="AU1127" i="1" s="1"/>
  <c r="R1127" i="1"/>
  <c r="AT1127" i="1" s="1"/>
  <c r="S1127" i="1"/>
  <c r="T1127" i="1"/>
  <c r="U1127" i="1"/>
  <c r="X1127" i="1"/>
  <c r="Y1127" i="1"/>
  <c r="S1140" i="1"/>
  <c r="T1140" i="1"/>
  <c r="U1140" i="1"/>
  <c r="X1140" i="1"/>
  <c r="P1088" i="1"/>
  <c r="Q1088" i="1"/>
  <c r="AU1088" i="1" s="1"/>
  <c r="R1088" i="1"/>
  <c r="AT1088" i="1" s="1"/>
  <c r="S1088" i="1"/>
  <c r="T1088" i="1"/>
  <c r="U1088" i="1"/>
  <c r="X1088" i="1"/>
  <c r="Y1088" i="1"/>
  <c r="S1096" i="1"/>
  <c r="T1096" i="1"/>
  <c r="U1096" i="1"/>
  <c r="X1096" i="1"/>
  <c r="P1142" i="1"/>
  <c r="Q1142" i="1"/>
  <c r="AU1142" i="1" s="1"/>
  <c r="R1142" i="1"/>
  <c r="AT1142" i="1" s="1"/>
  <c r="S1142" i="1"/>
  <c r="T1142" i="1"/>
  <c r="U1142" i="1"/>
  <c r="X1142" i="1"/>
  <c r="Y1142" i="1"/>
  <c r="P1049" i="1"/>
  <c r="Q1049" i="1"/>
  <c r="AU1049" i="1" s="1"/>
  <c r="R1049" i="1"/>
  <c r="AT1049" i="1" s="1"/>
  <c r="S1049" i="1"/>
  <c r="T1049" i="1"/>
  <c r="U1049" i="1"/>
  <c r="X1049" i="1"/>
  <c r="Y1049" i="1"/>
  <c r="S1080" i="1"/>
  <c r="T1080" i="1"/>
  <c r="U1080" i="1"/>
  <c r="X1080" i="1"/>
  <c r="P1086" i="1"/>
  <c r="Q1086" i="1"/>
  <c r="AU1086" i="1" s="1"/>
  <c r="R1086" i="1"/>
  <c r="AT1086" i="1" s="1"/>
  <c r="S1086" i="1"/>
  <c r="T1086" i="1"/>
  <c r="U1086" i="1"/>
  <c r="X1086" i="1"/>
  <c r="Y1086" i="1"/>
  <c r="S1064" i="1"/>
  <c r="T1064" i="1"/>
  <c r="U1064" i="1"/>
  <c r="X1064" i="1"/>
  <c r="S1087" i="1"/>
  <c r="T1087" i="1"/>
  <c r="U1087" i="1"/>
  <c r="X1087" i="1"/>
  <c r="P1076" i="1"/>
  <c r="Q1076" i="1"/>
  <c r="AU1076" i="1" s="1"/>
  <c r="R1076" i="1"/>
  <c r="AT1076" i="1" s="1"/>
  <c r="S1076" i="1"/>
  <c r="T1076" i="1"/>
  <c r="U1076" i="1"/>
  <c r="X1076" i="1"/>
  <c r="Y1076" i="1"/>
  <c r="P1077" i="1"/>
  <c r="Q1077" i="1"/>
  <c r="AU1077" i="1" s="1"/>
  <c r="R1077" i="1"/>
  <c r="AT1077" i="1" s="1"/>
  <c r="S1077" i="1"/>
  <c r="T1077" i="1"/>
  <c r="U1077" i="1"/>
  <c r="X1077" i="1"/>
  <c r="Y1077" i="1"/>
  <c r="X1075" i="1"/>
  <c r="Y1075" i="1"/>
  <c r="P1075" i="1"/>
  <c r="Q1075" i="1"/>
  <c r="AU1075" i="1" s="1"/>
  <c r="R1075" i="1"/>
  <c r="AT1075" i="1" s="1"/>
  <c r="S1075" i="1"/>
  <c r="T1075" i="1"/>
  <c r="U1075" i="1"/>
  <c r="X1078" i="1"/>
  <c r="S1078" i="1"/>
  <c r="T1078" i="1"/>
  <c r="U1078" i="1"/>
  <c r="X1034" i="1"/>
  <c r="U1034" i="1"/>
  <c r="T1034" i="1"/>
  <c r="S1034" i="1"/>
  <c r="X1058" i="1"/>
  <c r="Y1057" i="1"/>
  <c r="X1057" i="1"/>
  <c r="Y1056" i="1"/>
  <c r="X1056" i="1"/>
  <c r="Y1021" i="1"/>
  <c r="X1021" i="1"/>
  <c r="X1020" i="1"/>
  <c r="Y1035" i="1"/>
  <c r="X1035" i="1"/>
  <c r="X1032" i="1"/>
  <c r="X1031" i="1"/>
  <c r="X1033" i="1"/>
  <c r="U1033" i="1"/>
  <c r="U1031" i="1"/>
  <c r="U1032" i="1"/>
  <c r="U1035" i="1"/>
  <c r="T1035" i="1"/>
  <c r="U1020" i="1"/>
  <c r="U1021" i="1"/>
  <c r="U1056" i="1"/>
  <c r="T1056" i="1"/>
  <c r="U1057" i="1"/>
  <c r="U1058" i="1"/>
  <c r="U1059" i="1"/>
  <c r="U1069" i="1"/>
  <c r="T1033" i="1"/>
  <c r="T1031" i="1"/>
  <c r="T1032" i="1"/>
  <c r="T1020" i="1"/>
  <c r="T1021" i="1"/>
  <c r="T1057" i="1"/>
  <c r="T1058" i="1"/>
  <c r="T1059" i="1"/>
  <c r="S1033" i="1"/>
  <c r="S1031" i="1"/>
  <c r="S1032" i="1"/>
  <c r="S1035" i="1"/>
  <c r="S1020" i="1"/>
  <c r="S1021" i="1"/>
  <c r="S1056" i="1"/>
  <c r="S1057" i="1"/>
  <c r="S1058" i="1"/>
  <c r="S1059" i="1"/>
  <c r="R1035" i="1"/>
  <c r="AT1035" i="1" s="1"/>
  <c r="R1021" i="1"/>
  <c r="AT1021" i="1" s="1"/>
  <c r="R1056" i="1"/>
  <c r="AT1056" i="1" s="1"/>
  <c r="R1057" i="1"/>
  <c r="AT1057" i="1" s="1"/>
  <c r="Q1035" i="1"/>
  <c r="AU1035" i="1" s="1"/>
  <c r="Q1021" i="1"/>
  <c r="AU1021" i="1" s="1"/>
  <c r="Q1056" i="1"/>
  <c r="AU1056" i="1" s="1"/>
  <c r="Q1057" i="1"/>
  <c r="AU1057" i="1" s="1"/>
  <c r="P1035" i="1"/>
  <c r="P1021" i="1"/>
  <c r="P1056" i="1"/>
  <c r="P1057" i="1"/>
  <c r="P1059" i="1"/>
  <c r="Y1062" i="1"/>
  <c r="X1062" i="1"/>
  <c r="X1061" i="1"/>
  <c r="X1060" i="1"/>
  <c r="Y1070" i="1"/>
  <c r="X1070" i="1"/>
  <c r="Y1069" i="1"/>
  <c r="X1069" i="1"/>
  <c r="Y1059" i="1"/>
  <c r="X1059" i="1"/>
  <c r="Y997" i="1"/>
  <c r="X997" i="1"/>
  <c r="X996" i="1"/>
  <c r="Y995" i="1"/>
  <c r="X995" i="1"/>
  <c r="Y994" i="1"/>
  <c r="X994" i="1"/>
  <c r="U1062" i="1"/>
  <c r="T1062" i="1"/>
  <c r="S1062" i="1"/>
  <c r="R1062" i="1"/>
  <c r="AT1062" i="1" s="1"/>
  <c r="Q1062" i="1"/>
  <c r="AU1062" i="1" s="1"/>
  <c r="P1062" i="1"/>
  <c r="U1061" i="1"/>
  <c r="T1061" i="1"/>
  <c r="S1061" i="1"/>
  <c r="U1060" i="1"/>
  <c r="T1060" i="1"/>
  <c r="S1060" i="1"/>
  <c r="U1070" i="1"/>
  <c r="T1070" i="1"/>
  <c r="S1070" i="1"/>
  <c r="R1070" i="1"/>
  <c r="AT1070" i="1" s="1"/>
  <c r="Q1070" i="1"/>
  <c r="AU1070" i="1" s="1"/>
  <c r="P1070" i="1"/>
  <c r="T1069" i="1"/>
  <c r="S1069" i="1"/>
  <c r="R1069" i="1"/>
  <c r="AT1069" i="1" s="1"/>
  <c r="Q1069" i="1"/>
  <c r="AU1069" i="1" s="1"/>
  <c r="P1069" i="1"/>
  <c r="R1059" i="1"/>
  <c r="AT1059" i="1" s="1"/>
  <c r="Q1059" i="1"/>
  <c r="AU1059" i="1" s="1"/>
  <c r="U997" i="1"/>
  <c r="T997" i="1"/>
  <c r="S997" i="1"/>
  <c r="R997" i="1"/>
  <c r="AT997" i="1" s="1"/>
  <c r="Q997" i="1"/>
  <c r="AU997" i="1" s="1"/>
  <c r="P997" i="1"/>
  <c r="U996" i="1"/>
  <c r="T996" i="1"/>
  <c r="S996" i="1"/>
  <c r="U995" i="1"/>
  <c r="T995" i="1"/>
  <c r="S995" i="1"/>
  <c r="R995" i="1"/>
  <c r="AT995" i="1" s="1"/>
  <c r="Q995" i="1"/>
  <c r="AU995" i="1" s="1"/>
  <c r="P995" i="1"/>
  <c r="U994" i="1"/>
  <c r="T994" i="1"/>
  <c r="S994" i="1"/>
  <c r="R994" i="1"/>
  <c r="AT994" i="1" s="1"/>
  <c r="Q994" i="1"/>
  <c r="AU994" i="1" s="1"/>
  <c r="P994" i="1"/>
  <c r="Y1048" i="1"/>
  <c r="X1048" i="1"/>
  <c r="X1047" i="1"/>
  <c r="X1044" i="1"/>
  <c r="Y1046" i="1"/>
  <c r="X1046" i="1"/>
  <c r="X1045" i="1"/>
  <c r="X1043" i="1"/>
  <c r="X1042" i="1"/>
  <c r="X1041" i="1"/>
  <c r="U1048" i="1"/>
  <c r="T1048" i="1"/>
  <c r="S1048" i="1"/>
  <c r="R1048" i="1"/>
  <c r="AT1048" i="1" s="1"/>
  <c r="Q1048" i="1"/>
  <c r="AU1048" i="1" s="1"/>
  <c r="P1048" i="1"/>
  <c r="U1047" i="1"/>
  <c r="T1047" i="1"/>
  <c r="S1047" i="1"/>
  <c r="U1044" i="1"/>
  <c r="T1044" i="1"/>
  <c r="S1044" i="1"/>
  <c r="U1046" i="1"/>
  <c r="T1046" i="1"/>
  <c r="S1046" i="1"/>
  <c r="R1046" i="1"/>
  <c r="AT1046" i="1" s="1"/>
  <c r="Q1046" i="1"/>
  <c r="AU1046" i="1" s="1"/>
  <c r="P1046" i="1"/>
  <c r="U1045" i="1"/>
  <c r="T1045" i="1"/>
  <c r="S1045" i="1"/>
  <c r="U1043" i="1"/>
  <c r="T1043" i="1"/>
  <c r="S1043" i="1"/>
  <c r="U1042" i="1"/>
  <c r="T1042" i="1"/>
  <c r="S1042" i="1"/>
  <c r="U1041" i="1"/>
  <c r="T1041" i="1"/>
  <c r="S1041" i="1"/>
  <c r="X1040" i="1"/>
  <c r="U1040" i="1"/>
  <c r="T1040" i="1"/>
  <c r="S1040" i="1"/>
  <c r="X1055" i="1"/>
  <c r="U1055" i="1"/>
  <c r="T1055" i="1"/>
  <c r="S1055" i="1"/>
  <c r="Y1054" i="1"/>
  <c r="X1054" i="1"/>
  <c r="U1054" i="1"/>
  <c r="T1054" i="1"/>
  <c r="S1054" i="1"/>
  <c r="R1054" i="1"/>
  <c r="AT1054" i="1" s="1"/>
  <c r="Q1054" i="1"/>
  <c r="AU1054" i="1" s="1"/>
  <c r="P1054" i="1"/>
  <c r="Y1052" i="1"/>
  <c r="X1052" i="1"/>
  <c r="U1052" i="1"/>
  <c r="T1052" i="1"/>
  <c r="S1052" i="1"/>
  <c r="R1052" i="1"/>
  <c r="AT1052" i="1" s="1"/>
  <c r="Q1052" i="1"/>
  <c r="AU1052" i="1" s="1"/>
  <c r="P1052" i="1"/>
  <c r="Y1051" i="1"/>
  <c r="X1051" i="1"/>
  <c r="U1051" i="1"/>
  <c r="T1051" i="1"/>
  <c r="S1051" i="1"/>
  <c r="R1051" i="1"/>
  <c r="AT1051" i="1" s="1"/>
  <c r="Q1051" i="1"/>
  <c r="AU1051" i="1" s="1"/>
  <c r="P1051" i="1"/>
  <c r="X1019" i="1"/>
  <c r="U1019" i="1"/>
  <c r="T1019" i="1"/>
  <c r="S1019" i="1"/>
  <c r="X1018" i="1"/>
  <c r="U1018" i="1"/>
  <c r="T1018" i="1"/>
  <c r="S1018" i="1"/>
  <c r="X1017" i="1"/>
  <c r="U1017" i="1"/>
  <c r="T1017" i="1"/>
  <c r="S1017" i="1"/>
  <c r="X1050" i="1"/>
  <c r="U1050" i="1"/>
  <c r="T1050" i="1"/>
  <c r="S1050" i="1"/>
  <c r="X1074" i="1"/>
  <c r="U1074" i="1"/>
  <c r="T1074" i="1"/>
  <c r="S1074" i="1"/>
  <c r="Y1063" i="1"/>
  <c r="X1063" i="1"/>
  <c r="U1063" i="1"/>
  <c r="T1063" i="1"/>
  <c r="S1063" i="1"/>
  <c r="R1063" i="1"/>
  <c r="AT1063" i="1" s="1"/>
  <c r="Q1063" i="1"/>
  <c r="AU1063" i="1" s="1"/>
  <c r="P1063" i="1"/>
  <c r="Y1037" i="1"/>
  <c r="X1036" i="1"/>
  <c r="U1036" i="1"/>
  <c r="T1036" i="1"/>
  <c r="S1036" i="1"/>
  <c r="X1016" i="1"/>
  <c r="U1016" i="1"/>
  <c r="T1016" i="1"/>
  <c r="S1016" i="1"/>
  <c r="X1039" i="1"/>
  <c r="U1039" i="1"/>
  <c r="T1039" i="1"/>
  <c r="S1039" i="1"/>
  <c r="Y1013" i="1"/>
  <c r="X1013" i="1"/>
  <c r="U1013" i="1"/>
  <c r="T1013" i="1"/>
  <c r="S1013" i="1"/>
  <c r="R1013" i="1"/>
  <c r="AT1013" i="1" s="1"/>
  <c r="Q1013" i="1"/>
  <c r="AU1013" i="1" s="1"/>
  <c r="P1013" i="1"/>
  <c r="Y1012" i="1"/>
  <c r="X1012" i="1"/>
  <c r="U1012" i="1"/>
  <c r="T1012" i="1"/>
  <c r="S1012" i="1"/>
  <c r="R1012" i="1"/>
  <c r="AT1012" i="1" s="1"/>
  <c r="Q1012" i="1"/>
  <c r="AU1012" i="1" s="1"/>
  <c r="P1012" i="1"/>
  <c r="X1011" i="1"/>
  <c r="U1011" i="1"/>
  <c r="T1011" i="1"/>
  <c r="S1011" i="1"/>
  <c r="X1010" i="1"/>
  <c r="U1010" i="1"/>
  <c r="T1010" i="1"/>
  <c r="S1010" i="1"/>
  <c r="V1037" i="1"/>
  <c r="Y982" i="1"/>
  <c r="X982" i="1"/>
  <c r="U982" i="1"/>
  <c r="T982" i="1"/>
  <c r="S982" i="1"/>
  <c r="R982" i="1"/>
  <c r="AT982" i="1" s="1"/>
  <c r="Q982" i="1"/>
  <c r="AU982" i="1" s="1"/>
  <c r="P982" i="1"/>
  <c r="X981" i="1"/>
  <c r="U981" i="1"/>
  <c r="T981" i="1"/>
  <c r="S981" i="1"/>
  <c r="X980" i="1"/>
  <c r="U980" i="1"/>
  <c r="T980" i="1"/>
  <c r="S980" i="1"/>
  <c r="X979" i="1"/>
  <c r="U979" i="1"/>
  <c r="T979" i="1"/>
  <c r="S979" i="1"/>
  <c r="Y986" i="1"/>
  <c r="X986" i="1"/>
  <c r="U986" i="1"/>
  <c r="T986" i="1"/>
  <c r="S986" i="1"/>
  <c r="R986" i="1"/>
  <c r="AT986" i="1" s="1"/>
  <c r="Q986" i="1"/>
  <c r="AU986" i="1" s="1"/>
  <c r="P986" i="1"/>
  <c r="Y985" i="1"/>
  <c r="X985" i="1"/>
  <c r="U985" i="1"/>
  <c r="T985" i="1"/>
  <c r="S985" i="1"/>
  <c r="R985" i="1"/>
  <c r="AT985" i="1" s="1"/>
  <c r="Q985" i="1"/>
  <c r="AU985" i="1" s="1"/>
  <c r="P985" i="1"/>
  <c r="Y984" i="1"/>
  <c r="X984" i="1"/>
  <c r="U984" i="1"/>
  <c r="T984" i="1"/>
  <c r="S984" i="1"/>
  <c r="R984" i="1"/>
  <c r="AT984" i="1" s="1"/>
  <c r="Q984" i="1"/>
  <c r="AU984" i="1" s="1"/>
  <c r="P984" i="1"/>
  <c r="X983" i="1"/>
  <c r="U983" i="1"/>
  <c r="T983" i="1"/>
  <c r="S983" i="1"/>
  <c r="P989" i="1"/>
  <c r="Q989" i="1"/>
  <c r="AU989" i="1" s="1"/>
  <c r="R989" i="1"/>
  <c r="AT989" i="1" s="1"/>
  <c r="S989" i="1"/>
  <c r="T989" i="1"/>
  <c r="U989" i="1"/>
  <c r="X989" i="1"/>
  <c r="Y989" i="1"/>
  <c r="S990" i="1"/>
  <c r="T990" i="1"/>
  <c r="U990" i="1"/>
  <c r="X990" i="1"/>
  <c r="U524" i="6"/>
  <c r="U525" i="6"/>
  <c r="X969" i="1"/>
  <c r="U969" i="1"/>
  <c r="T969" i="1"/>
  <c r="S969" i="1"/>
  <c r="Y1008" i="1"/>
  <c r="X1008" i="1"/>
  <c r="U1008" i="1"/>
  <c r="T1008" i="1"/>
  <c r="S1008" i="1"/>
  <c r="R1008" i="1"/>
  <c r="AT1008" i="1" s="1"/>
  <c r="Q1008" i="1"/>
  <c r="AU1008" i="1" s="1"/>
  <c r="P1008" i="1"/>
  <c r="X1007" i="1"/>
  <c r="U1007" i="1"/>
  <c r="T1007" i="1"/>
  <c r="S1007" i="1"/>
  <c r="X1006" i="1"/>
  <c r="U1006" i="1"/>
  <c r="T1006" i="1"/>
  <c r="S1006" i="1"/>
  <c r="Y972" i="1"/>
  <c r="X972" i="1"/>
  <c r="U972" i="1"/>
  <c r="T972" i="1"/>
  <c r="S972" i="1"/>
  <c r="R972" i="1"/>
  <c r="AT972" i="1" s="1"/>
  <c r="Q972" i="1"/>
  <c r="AU972" i="1" s="1"/>
  <c r="P972" i="1"/>
  <c r="Y971" i="1"/>
  <c r="X971" i="1"/>
  <c r="U971" i="1"/>
  <c r="T971" i="1"/>
  <c r="S971" i="1"/>
  <c r="R971" i="1"/>
  <c r="AT971" i="1" s="1"/>
  <c r="Q971" i="1"/>
  <c r="AU971" i="1" s="1"/>
  <c r="P971" i="1"/>
  <c r="X1053" i="1"/>
  <c r="U1053" i="1"/>
  <c r="T1053" i="1"/>
  <c r="S1053" i="1"/>
  <c r="X988" i="1"/>
  <c r="U988" i="1"/>
  <c r="T988" i="1"/>
  <c r="S988" i="1"/>
  <c r="X987" i="1"/>
  <c r="U987" i="1"/>
  <c r="T987" i="1"/>
  <c r="S987" i="1"/>
  <c r="X991" i="1"/>
  <c r="U991" i="1"/>
  <c r="T991" i="1"/>
  <c r="S991" i="1"/>
  <c r="Y993" i="1"/>
  <c r="X993" i="1"/>
  <c r="U993" i="1"/>
  <c r="T993" i="1"/>
  <c r="S993" i="1"/>
  <c r="R993" i="1"/>
  <c r="AT993" i="1" s="1"/>
  <c r="Q993" i="1"/>
  <c r="AU993" i="1" s="1"/>
  <c r="P993" i="1"/>
  <c r="Y992" i="1"/>
  <c r="X992" i="1"/>
  <c r="U992" i="1"/>
  <c r="T992" i="1"/>
  <c r="S992" i="1"/>
  <c r="R992" i="1"/>
  <c r="AT992" i="1" s="1"/>
  <c r="Q992" i="1"/>
  <c r="AU992" i="1" s="1"/>
  <c r="P992" i="1"/>
  <c r="X978" i="1"/>
  <c r="U978" i="1"/>
  <c r="T978" i="1"/>
  <c r="S978" i="1"/>
  <c r="X1038" i="1"/>
  <c r="U1038" i="1"/>
  <c r="T1038" i="1"/>
  <c r="S1038" i="1"/>
  <c r="X1009" i="1"/>
  <c r="U1009" i="1"/>
  <c r="T1009" i="1"/>
  <c r="S1009" i="1"/>
  <c r="X977" i="1"/>
  <c r="U977" i="1"/>
  <c r="T977" i="1"/>
  <c r="S977" i="1"/>
  <c r="Y968" i="1"/>
  <c r="X968" i="1"/>
  <c r="U968" i="1"/>
  <c r="T968" i="1"/>
  <c r="S968" i="1"/>
  <c r="R968" i="1"/>
  <c r="AT968" i="1" s="1"/>
  <c r="Q968" i="1"/>
  <c r="AU968" i="1" s="1"/>
  <c r="P968" i="1"/>
  <c r="Y954" i="1"/>
  <c r="X954" i="1"/>
  <c r="U954" i="1"/>
  <c r="T954" i="1"/>
  <c r="S954" i="1"/>
  <c r="R954" i="1"/>
  <c r="AT954" i="1" s="1"/>
  <c r="Q954" i="1"/>
  <c r="AU954" i="1" s="1"/>
  <c r="P954" i="1"/>
  <c r="X970" i="1"/>
  <c r="U970" i="1"/>
  <c r="T970" i="1"/>
  <c r="S970" i="1"/>
  <c r="X976" i="1"/>
  <c r="U976" i="1"/>
  <c r="T976" i="1"/>
  <c r="S976" i="1"/>
  <c r="X975" i="1"/>
  <c r="U975" i="1"/>
  <c r="T975" i="1"/>
  <c r="S975" i="1"/>
  <c r="Y974" i="1"/>
  <c r="X974" i="1"/>
  <c r="U974" i="1"/>
  <c r="T974" i="1"/>
  <c r="S974" i="1"/>
  <c r="R974" i="1"/>
  <c r="AT974" i="1" s="1"/>
  <c r="Q974" i="1"/>
  <c r="AU974" i="1" s="1"/>
  <c r="P974" i="1"/>
  <c r="Y973" i="1"/>
  <c r="X973" i="1"/>
  <c r="U973" i="1"/>
  <c r="T973" i="1"/>
  <c r="S973" i="1"/>
  <c r="R973" i="1"/>
  <c r="AT973" i="1" s="1"/>
  <c r="Q973" i="1"/>
  <c r="AU973" i="1" s="1"/>
  <c r="P973" i="1"/>
  <c r="Y966" i="1"/>
  <c r="X966" i="1"/>
  <c r="U966" i="1"/>
  <c r="T966" i="1"/>
  <c r="S966" i="1"/>
  <c r="R966" i="1"/>
  <c r="AT966" i="1" s="1"/>
  <c r="Q966" i="1"/>
  <c r="AU966" i="1" s="1"/>
  <c r="P966" i="1"/>
  <c r="X965" i="1"/>
  <c r="U965" i="1"/>
  <c r="T965" i="1"/>
  <c r="S965" i="1"/>
  <c r="Y967" i="1"/>
  <c r="X967" i="1"/>
  <c r="U967" i="1"/>
  <c r="T967" i="1"/>
  <c r="S967" i="1"/>
  <c r="R967" i="1"/>
  <c r="AT967" i="1" s="1"/>
  <c r="Q967" i="1"/>
  <c r="AU967" i="1" s="1"/>
  <c r="P967" i="1"/>
  <c r="Y964" i="1"/>
  <c r="X964" i="1"/>
  <c r="U964" i="1"/>
  <c r="T964" i="1"/>
  <c r="S964" i="1"/>
  <c r="R964" i="1"/>
  <c r="AT964" i="1" s="1"/>
  <c r="Q964" i="1"/>
  <c r="AU964" i="1" s="1"/>
  <c r="P964" i="1"/>
  <c r="X963" i="1"/>
  <c r="U963" i="1"/>
  <c r="T963" i="1"/>
  <c r="S963" i="1"/>
  <c r="Y958" i="1"/>
  <c r="X958" i="1"/>
  <c r="U958" i="1"/>
  <c r="T958" i="1"/>
  <c r="S958" i="1"/>
  <c r="R958" i="1"/>
  <c r="AT958" i="1" s="1"/>
  <c r="Q958" i="1"/>
  <c r="AU958" i="1" s="1"/>
  <c r="P958" i="1"/>
  <c r="Y957" i="1"/>
  <c r="X957" i="1"/>
  <c r="U957" i="1"/>
  <c r="T957" i="1"/>
  <c r="S957" i="1"/>
  <c r="R957" i="1"/>
  <c r="AT957" i="1" s="1"/>
  <c r="Q957" i="1"/>
  <c r="AU957" i="1" s="1"/>
  <c r="P957" i="1"/>
  <c r="Y956" i="1"/>
  <c r="X956" i="1"/>
  <c r="U956" i="1"/>
  <c r="T956" i="1"/>
  <c r="S956" i="1"/>
  <c r="R956" i="1"/>
  <c r="AT956" i="1" s="1"/>
  <c r="Q956" i="1"/>
  <c r="AU956" i="1" s="1"/>
  <c r="P956" i="1"/>
  <c r="Y955" i="1"/>
  <c r="X955" i="1"/>
  <c r="U955" i="1"/>
  <c r="T955" i="1"/>
  <c r="S955" i="1"/>
  <c r="R955" i="1"/>
  <c r="AT955" i="1" s="1"/>
  <c r="Q955" i="1"/>
  <c r="AU955" i="1" s="1"/>
  <c r="P955" i="1"/>
  <c r="Y960" i="1"/>
  <c r="X960" i="1"/>
  <c r="U960" i="1"/>
  <c r="T960" i="1"/>
  <c r="S960" i="1"/>
  <c r="R960" i="1"/>
  <c r="AT960" i="1" s="1"/>
  <c r="Q960" i="1"/>
  <c r="AU960" i="1" s="1"/>
  <c r="P960" i="1"/>
  <c r="X959" i="1"/>
  <c r="U959" i="1"/>
  <c r="T959" i="1"/>
  <c r="S959" i="1"/>
  <c r="X919" i="1"/>
  <c r="U919" i="1"/>
  <c r="T919" i="1"/>
  <c r="S919" i="1"/>
  <c r="Y1003" i="1"/>
  <c r="Y1004" i="1"/>
  <c r="Y918" i="1"/>
  <c r="X1003" i="1"/>
  <c r="X1004" i="1"/>
  <c r="X918" i="1"/>
  <c r="U1003" i="1"/>
  <c r="U1004" i="1"/>
  <c r="U918" i="1"/>
  <c r="U961" i="1"/>
  <c r="T1003" i="1"/>
  <c r="T1004" i="1"/>
  <c r="T918" i="1"/>
  <c r="T961" i="1"/>
  <c r="S1120" i="1"/>
  <c r="S1003" i="1"/>
  <c r="S1004" i="1"/>
  <c r="S918" i="1"/>
  <c r="S961" i="1"/>
  <c r="R1003" i="1"/>
  <c r="AT1003" i="1" s="1"/>
  <c r="R1004" i="1"/>
  <c r="AT1004" i="1" s="1"/>
  <c r="R918" i="1"/>
  <c r="AT918" i="1" s="1"/>
  <c r="Q1003" i="1"/>
  <c r="AU1003" i="1" s="1"/>
  <c r="Q1004" i="1"/>
  <c r="AU1004" i="1" s="1"/>
  <c r="Q918" i="1"/>
  <c r="AU918" i="1" s="1"/>
  <c r="P1003" i="1"/>
  <c r="P1004" i="1"/>
  <c r="P918" i="1"/>
  <c r="D138" i="7"/>
  <c r="Y1120" i="1"/>
  <c r="U1120" i="1"/>
  <c r="T1120" i="1"/>
  <c r="Q1120" i="1"/>
  <c r="AU1120" i="1" s="1"/>
  <c r="Y1119" i="1"/>
  <c r="U1119" i="1"/>
  <c r="T1119" i="1"/>
  <c r="S1119" i="1"/>
  <c r="R1119" i="1"/>
  <c r="AT1119" i="1" s="1"/>
  <c r="Q1119" i="1"/>
  <c r="AU1119" i="1" s="1"/>
  <c r="X1118" i="1"/>
  <c r="U1118" i="1"/>
  <c r="T1118" i="1"/>
  <c r="S1118" i="1"/>
  <c r="Y1000" i="1"/>
  <c r="X1000" i="1"/>
  <c r="U1000" i="1"/>
  <c r="T1000" i="1"/>
  <c r="S1000" i="1"/>
  <c r="R1000" i="1"/>
  <c r="AT1000" i="1" s="1"/>
  <c r="Q1000" i="1"/>
  <c r="AU1000" i="1" s="1"/>
  <c r="P1000" i="1"/>
  <c r="X999" i="1"/>
  <c r="U999" i="1"/>
  <c r="T999" i="1"/>
  <c r="S999" i="1"/>
  <c r="Y998" i="1"/>
  <c r="X998" i="1"/>
  <c r="U998" i="1"/>
  <c r="T998" i="1"/>
  <c r="S998" i="1"/>
  <c r="R998" i="1"/>
  <c r="AT998" i="1" s="1"/>
  <c r="Q998" i="1"/>
  <c r="AU998" i="1" s="1"/>
  <c r="P998" i="1"/>
  <c r="X962" i="1"/>
  <c r="U962" i="1"/>
  <c r="T962" i="1"/>
  <c r="S962" i="1"/>
  <c r="X961" i="1"/>
  <c r="Y917" i="1"/>
  <c r="X917" i="1"/>
  <c r="U917" i="1"/>
  <c r="T917" i="1"/>
  <c r="S917" i="1"/>
  <c r="R917" i="1"/>
  <c r="AT917" i="1" s="1"/>
  <c r="Q917" i="1"/>
  <c r="AU917" i="1" s="1"/>
  <c r="P917" i="1"/>
  <c r="Y916" i="1"/>
  <c r="X916" i="1"/>
  <c r="U916" i="1"/>
  <c r="T916" i="1"/>
  <c r="S916" i="1"/>
  <c r="R916" i="1"/>
  <c r="AT916" i="1" s="1"/>
  <c r="Q916" i="1"/>
  <c r="AU916" i="1" s="1"/>
  <c r="P916" i="1"/>
  <c r="X915" i="1"/>
  <c r="U915" i="1"/>
  <c r="T915" i="1"/>
  <c r="S915" i="1"/>
  <c r="Y933" i="1"/>
  <c r="X933" i="1"/>
  <c r="U933" i="1"/>
  <c r="T933" i="1"/>
  <c r="S933" i="1"/>
  <c r="R933" i="1"/>
  <c r="AT933" i="1" s="1"/>
  <c r="Q933" i="1"/>
  <c r="AU933" i="1" s="1"/>
  <c r="P933" i="1"/>
  <c r="Y932" i="1"/>
  <c r="X932" i="1"/>
  <c r="U932" i="1"/>
  <c r="T932" i="1"/>
  <c r="S932" i="1"/>
  <c r="R932" i="1"/>
  <c r="AT932" i="1" s="1"/>
  <c r="Q932" i="1"/>
  <c r="AU932" i="1" s="1"/>
  <c r="P932" i="1"/>
  <c r="Y931" i="1"/>
  <c r="X931" i="1"/>
  <c r="U931" i="1"/>
  <c r="T931" i="1"/>
  <c r="S931" i="1"/>
  <c r="R931" i="1"/>
  <c r="AT931" i="1" s="1"/>
  <c r="Q931" i="1"/>
  <c r="AU931" i="1" s="1"/>
  <c r="P931" i="1"/>
  <c r="Y930" i="1"/>
  <c r="X930" i="1"/>
  <c r="U930" i="1"/>
  <c r="T930" i="1"/>
  <c r="S930" i="1"/>
  <c r="R930" i="1"/>
  <c r="AT930" i="1" s="1"/>
  <c r="Q930" i="1"/>
  <c r="AU930" i="1" s="1"/>
  <c r="P930" i="1"/>
  <c r="Y929" i="1"/>
  <c r="X929" i="1"/>
  <c r="U929" i="1"/>
  <c r="T929" i="1"/>
  <c r="S929" i="1"/>
  <c r="R929" i="1"/>
  <c r="AT929" i="1" s="1"/>
  <c r="Q929" i="1"/>
  <c r="AU929" i="1" s="1"/>
  <c r="P929" i="1"/>
  <c r="Y928" i="1"/>
  <c r="X928" i="1"/>
  <c r="U928" i="1"/>
  <c r="T928" i="1"/>
  <c r="S928" i="1"/>
  <c r="R928" i="1"/>
  <c r="AT928" i="1" s="1"/>
  <c r="Q928" i="1"/>
  <c r="AU928" i="1" s="1"/>
  <c r="P928" i="1"/>
  <c r="X684" i="1"/>
  <c r="Y1601" i="1"/>
  <c r="X1601" i="1"/>
  <c r="X909" i="1"/>
  <c r="Y908" i="1"/>
  <c r="X908" i="1"/>
  <c r="Y907" i="1"/>
  <c r="X907" i="1"/>
  <c r="X906" i="1"/>
  <c r="Y914" i="1"/>
  <c r="X914" i="1"/>
  <c r="Y913" i="1"/>
  <c r="X913" i="1"/>
  <c r="Y880" i="1"/>
  <c r="X880" i="1"/>
  <c r="Y879" i="1"/>
  <c r="X879" i="1"/>
  <c r="Y912" i="1"/>
  <c r="X912" i="1"/>
  <c r="Y878" i="1"/>
  <c r="X878" i="1"/>
  <c r="Y1232" i="1"/>
  <c r="X1232" i="1"/>
  <c r="X1201" i="1"/>
  <c r="Y1200" i="1"/>
  <c r="X1200" i="1"/>
  <c r="X938" i="1"/>
  <c r="Y937" i="1"/>
  <c r="X937" i="1"/>
  <c r="Y936" i="1"/>
  <c r="X936" i="1"/>
  <c r="Y935" i="1"/>
  <c r="X935" i="1"/>
  <c r="X934" i="1"/>
  <c r="Y946" i="1"/>
  <c r="X946" i="1"/>
  <c r="Y945" i="1"/>
  <c r="X945" i="1"/>
  <c r="Y926" i="1"/>
  <c r="X926" i="1"/>
  <c r="Y925" i="1"/>
  <c r="X925" i="1"/>
  <c r="Y924" i="1"/>
  <c r="X924" i="1"/>
  <c r="X923" i="1"/>
  <c r="X922" i="1"/>
  <c r="X921" i="1"/>
  <c r="Y920" i="1"/>
  <c r="X920" i="1"/>
  <c r="Y887" i="1"/>
  <c r="X887" i="1"/>
  <c r="X886" i="1"/>
  <c r="Y885" i="1"/>
  <c r="X885" i="1"/>
  <c r="X884" i="1"/>
  <c r="X883" i="1"/>
  <c r="X882" i="1"/>
  <c r="Y881" i="1"/>
  <c r="X881" i="1"/>
  <c r="Y897" i="1"/>
  <c r="X897" i="1"/>
  <c r="Y911" i="1"/>
  <c r="X911" i="1"/>
  <c r="Y910" i="1"/>
  <c r="X910" i="1"/>
  <c r="Y1204" i="1"/>
  <c r="X1204" i="1"/>
  <c r="Y1203" i="1"/>
  <c r="X1203" i="1"/>
  <c r="Y1202" i="1"/>
  <c r="X1202" i="1"/>
  <c r="Y1015" i="1"/>
  <c r="X1015" i="1"/>
  <c r="Y1014" i="1"/>
  <c r="X1014" i="1"/>
  <c r="Y892" i="1"/>
  <c r="X892" i="1"/>
  <c r="Y891" i="1"/>
  <c r="X891" i="1"/>
  <c r="X890" i="1"/>
  <c r="X889" i="1"/>
  <c r="Y888" i="1"/>
  <c r="X888" i="1"/>
  <c r="Y1128" i="1"/>
  <c r="X1128" i="1"/>
  <c r="X944" i="1"/>
  <c r="X943" i="1"/>
  <c r="Y942" i="1"/>
  <c r="X942" i="1"/>
  <c r="Y941" i="1"/>
  <c r="X941" i="1"/>
  <c r="X940" i="1"/>
  <c r="Y1239" i="1"/>
  <c r="X1239" i="1"/>
  <c r="X1168" i="1"/>
  <c r="Y1167" i="1"/>
  <c r="X1167" i="1"/>
  <c r="X1166" i="1"/>
  <c r="Y1135" i="1"/>
  <c r="X1135" i="1"/>
  <c r="Y1134" i="1"/>
  <c r="X1134" i="1"/>
  <c r="Y1133" i="1"/>
  <c r="X1133" i="1"/>
  <c r="X1084" i="1"/>
  <c r="X1083" i="1"/>
  <c r="Y1081" i="1"/>
  <c r="X1081" i="1"/>
  <c r="X1082" i="1"/>
  <c r="Y953" i="1"/>
  <c r="X953" i="1"/>
  <c r="X952" i="1"/>
  <c r="Y1073" i="1"/>
  <c r="X1073" i="1"/>
  <c r="Y1072" i="1"/>
  <c r="X1072" i="1"/>
  <c r="X1071" i="1"/>
  <c r="Y1163" i="1"/>
  <c r="X1163" i="1"/>
  <c r="X1162" i="1"/>
  <c r="Y1161" i="1"/>
  <c r="X1161" i="1"/>
  <c r="Y1195" i="1"/>
  <c r="X1195" i="1"/>
  <c r="X1068" i="1"/>
  <c r="Y1067" i="1"/>
  <c r="X1067" i="1"/>
  <c r="Y1079" i="1"/>
  <c r="X1079" i="1"/>
  <c r="X1085" i="1"/>
  <c r="Y951" i="1"/>
  <c r="X951" i="1"/>
  <c r="Y950" i="1"/>
  <c r="X950" i="1"/>
  <c r="Y949" i="1"/>
  <c r="X949" i="1"/>
  <c r="Y948" i="1"/>
  <c r="X948" i="1"/>
  <c r="X947" i="1"/>
  <c r="X939" i="1"/>
  <c r="X905" i="1"/>
  <c r="Y904" i="1"/>
  <c r="X904" i="1"/>
  <c r="Y903" i="1"/>
  <c r="X903" i="1"/>
  <c r="Y902" i="1"/>
  <c r="X902" i="1"/>
  <c r="Y1005" i="1"/>
  <c r="X1005" i="1"/>
  <c r="Y1002" i="1"/>
  <c r="X1002" i="1"/>
  <c r="Y1001" i="1"/>
  <c r="X1001" i="1"/>
  <c r="X1160" i="1"/>
  <c r="Y1117" i="1"/>
  <c r="X1117" i="1"/>
  <c r="Y1116" i="1"/>
  <c r="X1116" i="1"/>
  <c r="X1115" i="1"/>
  <c r="Y1066" i="1"/>
  <c r="X1066" i="1"/>
  <c r="Y1065" i="1"/>
  <c r="X1065" i="1"/>
  <c r="X896" i="1"/>
  <c r="X895" i="1"/>
  <c r="Y894" i="1"/>
  <c r="X894" i="1"/>
  <c r="Y893" i="1"/>
  <c r="X893" i="1"/>
  <c r="X863" i="1"/>
  <c r="X862" i="1"/>
  <c r="X861" i="1"/>
  <c r="Y900" i="1"/>
  <c r="X900" i="1"/>
  <c r="Y860" i="1"/>
  <c r="X860" i="1"/>
  <c r="Y899" i="1"/>
  <c r="X899" i="1"/>
  <c r="Y898" i="1"/>
  <c r="X898" i="1"/>
  <c r="Y873" i="1"/>
  <c r="X873" i="1"/>
  <c r="Y872" i="1"/>
  <c r="X872" i="1"/>
  <c r="X871" i="1"/>
  <c r="Y870" i="1"/>
  <c r="X870" i="1"/>
  <c r="Y869" i="1"/>
  <c r="X869" i="1"/>
  <c r="Y868" i="1"/>
  <c r="X868" i="1"/>
  <c r="Y867" i="1"/>
  <c r="X867" i="1"/>
  <c r="Y866" i="1"/>
  <c r="X866" i="1"/>
  <c r="X865" i="1"/>
  <c r="Y864" i="1"/>
  <c r="X864" i="1"/>
  <c r="Y836" i="1"/>
  <c r="X836" i="1"/>
  <c r="Y835" i="1"/>
  <c r="X835" i="1"/>
  <c r="Y834" i="1"/>
  <c r="X834" i="1"/>
  <c r="Y833" i="1"/>
  <c r="X833" i="1"/>
  <c r="Y832" i="1"/>
  <c r="X832" i="1"/>
  <c r="Y831" i="1"/>
  <c r="X831" i="1"/>
  <c r="Y830" i="1"/>
  <c r="X830" i="1"/>
  <c r="Y829" i="1"/>
  <c r="X829" i="1"/>
  <c r="Y828" i="1"/>
  <c r="X828" i="1"/>
  <c r="Y827" i="1"/>
  <c r="X827" i="1"/>
  <c r="Y826" i="1"/>
  <c r="X826" i="1"/>
  <c r="Y825" i="1"/>
  <c r="X825" i="1"/>
  <c r="Y824" i="1"/>
  <c r="X824" i="1"/>
  <c r="Y823" i="1"/>
  <c r="X823" i="1"/>
  <c r="X822" i="1"/>
  <c r="Y813" i="1"/>
  <c r="X813" i="1"/>
  <c r="Y812" i="1"/>
  <c r="X812" i="1"/>
  <c r="Y811" i="1"/>
  <c r="X811" i="1"/>
  <c r="Y821" i="1"/>
  <c r="X821" i="1"/>
  <c r="Y820" i="1"/>
  <c r="X820" i="1"/>
  <c r="Y819" i="1"/>
  <c r="X819" i="1"/>
  <c r="Y818" i="1"/>
  <c r="X818" i="1"/>
  <c r="X817" i="1"/>
  <c r="Y844" i="1"/>
  <c r="X844" i="1"/>
  <c r="X927" i="1"/>
  <c r="Y877" i="1"/>
  <c r="X877" i="1"/>
  <c r="Y876" i="1"/>
  <c r="X876" i="1"/>
  <c r="X875" i="1"/>
  <c r="Y874" i="1"/>
  <c r="X874" i="1"/>
  <c r="Y845" i="1"/>
  <c r="X845" i="1"/>
  <c r="Y843" i="1"/>
  <c r="X843" i="1"/>
  <c r="Y842" i="1"/>
  <c r="X842" i="1"/>
  <c r="Y841" i="1"/>
  <c r="X841" i="1"/>
  <c r="X840" i="1"/>
  <c r="Y901" i="1"/>
  <c r="X901" i="1"/>
  <c r="Y839" i="1"/>
  <c r="X839" i="1"/>
  <c r="X838" i="1"/>
  <c r="X837" i="1"/>
  <c r="X805" i="1"/>
  <c r="Y804" i="1"/>
  <c r="X804" i="1"/>
  <c r="Y803" i="1"/>
  <c r="X803" i="1"/>
  <c r="X802" i="1"/>
  <c r="X810" i="1"/>
  <c r="X809" i="1"/>
  <c r="Y808" i="1"/>
  <c r="X808" i="1"/>
  <c r="X807" i="1"/>
  <c r="X806" i="1"/>
  <c r="Y857" i="1"/>
  <c r="X857" i="1"/>
  <c r="Y856" i="1"/>
  <c r="X856" i="1"/>
  <c r="Y855" i="1"/>
  <c r="X855" i="1"/>
  <c r="Y816" i="1"/>
  <c r="X816" i="1"/>
  <c r="Y815" i="1"/>
  <c r="X815" i="1"/>
  <c r="Y814" i="1"/>
  <c r="X814" i="1"/>
  <c r="Y854" i="1"/>
  <c r="X854" i="1"/>
  <c r="X853" i="1"/>
  <c r="Y852" i="1"/>
  <c r="X852" i="1"/>
  <c r="Y851" i="1"/>
  <c r="X851" i="1"/>
  <c r="X850" i="1"/>
  <c r="X849" i="1"/>
  <c r="X848" i="1"/>
  <c r="Y847" i="1"/>
  <c r="X847" i="1"/>
  <c r="X846" i="1"/>
  <c r="Y859" i="1"/>
  <c r="X859" i="1"/>
  <c r="Y858" i="1"/>
  <c r="X858" i="1"/>
  <c r="Y801" i="1"/>
  <c r="X801" i="1"/>
  <c r="Y800" i="1"/>
  <c r="X800" i="1"/>
  <c r="X799" i="1"/>
  <c r="Y798" i="1"/>
  <c r="X798" i="1"/>
  <c r="X797" i="1"/>
  <c r="X796" i="1"/>
  <c r="X795" i="1"/>
  <c r="Y794" i="1"/>
  <c r="X794" i="1"/>
  <c r="X793" i="1"/>
  <c r="X792" i="1"/>
  <c r="X791" i="1"/>
  <c r="Y790" i="1"/>
  <c r="X790" i="1"/>
  <c r="X789" i="1"/>
  <c r="Y788" i="1"/>
  <c r="X788" i="1"/>
  <c r="Y787" i="1"/>
  <c r="X787" i="1"/>
  <c r="Y786" i="1"/>
  <c r="X786" i="1"/>
  <c r="Y785" i="1"/>
  <c r="X785" i="1"/>
  <c r="Y784" i="1"/>
  <c r="X784" i="1"/>
  <c r="Y783" i="1"/>
  <c r="X783" i="1"/>
  <c r="X782" i="1"/>
  <c r="Y781" i="1"/>
  <c r="X781" i="1"/>
  <c r="Y780" i="1"/>
  <c r="X780" i="1"/>
  <c r="Y779" i="1"/>
  <c r="X779" i="1"/>
  <c r="X778" i="1"/>
  <c r="X777" i="1"/>
  <c r="X776" i="1"/>
  <c r="X775" i="1"/>
  <c r="Y774" i="1"/>
  <c r="X774" i="1"/>
  <c r="X773" i="1"/>
  <c r="Y772" i="1"/>
  <c r="X772" i="1"/>
  <c r="Y771" i="1"/>
  <c r="X771" i="1"/>
  <c r="X770" i="1"/>
  <c r="Y769" i="1"/>
  <c r="X769" i="1"/>
  <c r="Y768" i="1"/>
  <c r="X768" i="1"/>
  <c r="X767" i="1"/>
  <c r="Y766" i="1"/>
  <c r="X766" i="1"/>
  <c r="Y765" i="1"/>
  <c r="X765" i="1"/>
  <c r="Y753" i="1"/>
  <c r="X753" i="1"/>
  <c r="X752" i="1"/>
  <c r="Y751" i="1"/>
  <c r="X751" i="1"/>
  <c r="Y750" i="1"/>
  <c r="X750" i="1"/>
  <c r="Y749" i="1"/>
  <c r="X749" i="1"/>
  <c r="Y748" i="1"/>
  <c r="X748" i="1"/>
  <c r="Y747" i="1"/>
  <c r="X747" i="1"/>
  <c r="Y746" i="1"/>
  <c r="X746" i="1"/>
  <c r="X745" i="1"/>
  <c r="Y744" i="1"/>
  <c r="X744" i="1"/>
  <c r="Y764" i="1"/>
  <c r="X764" i="1"/>
  <c r="Y763" i="1"/>
  <c r="X763" i="1"/>
  <c r="X762" i="1"/>
  <c r="Y761" i="1"/>
  <c r="X761" i="1"/>
  <c r="X760" i="1"/>
  <c r="Y759" i="1"/>
  <c r="X759" i="1"/>
  <c r="X758" i="1"/>
  <c r="Y757" i="1"/>
  <c r="X757" i="1"/>
  <c r="X756" i="1"/>
  <c r="X755" i="1"/>
  <c r="Y754" i="1"/>
  <c r="X754" i="1"/>
  <c r="Y743" i="1"/>
  <c r="X743" i="1"/>
  <c r="Y742" i="1"/>
  <c r="X742" i="1"/>
  <c r="Y741" i="1"/>
  <c r="X741" i="1"/>
  <c r="X740" i="1"/>
  <c r="Y736" i="1"/>
  <c r="X736" i="1"/>
  <c r="Y721" i="1"/>
  <c r="X721" i="1"/>
  <c r="X716" i="1"/>
  <c r="X708" i="1"/>
  <c r="Y707" i="1"/>
  <c r="X707" i="1"/>
  <c r="Y706" i="1"/>
  <c r="X706" i="1"/>
  <c r="Y704" i="1"/>
  <c r="X704" i="1"/>
  <c r="Y703" i="1"/>
  <c r="X703" i="1"/>
  <c r="Y700" i="1"/>
  <c r="X700" i="1"/>
  <c r="X698" i="1"/>
  <c r="Y696" i="1"/>
  <c r="X696" i="1"/>
  <c r="Y693" i="1"/>
  <c r="X693" i="1"/>
  <c r="Y692" i="1"/>
  <c r="X692" i="1"/>
  <c r="X691" i="1"/>
  <c r="X686" i="1"/>
  <c r="X685" i="1"/>
  <c r="Y683" i="1"/>
  <c r="X683" i="1"/>
  <c r="Y682" i="1"/>
  <c r="X682" i="1"/>
  <c r="X680" i="1"/>
  <c r="X679" i="1"/>
  <c r="Y678" i="1"/>
  <c r="X678" i="1"/>
  <c r="X677" i="1"/>
  <c r="Y664" i="1"/>
  <c r="X664" i="1"/>
  <c r="Y663" i="1"/>
  <c r="X663" i="1"/>
  <c r="Y661" i="1"/>
  <c r="X661" i="1"/>
  <c r="Y660" i="1"/>
  <c r="X660" i="1"/>
  <c r="Y656" i="1"/>
  <c r="X656" i="1"/>
  <c r="X645" i="1"/>
  <c r="U684" i="1"/>
  <c r="T684" i="1"/>
  <c r="S684" i="1"/>
  <c r="U1601" i="1"/>
  <c r="T1601" i="1"/>
  <c r="S1601" i="1"/>
  <c r="R1601" i="1"/>
  <c r="AT1601" i="1" s="1"/>
  <c r="P1601" i="1"/>
  <c r="U909" i="1"/>
  <c r="T909" i="1"/>
  <c r="S909" i="1"/>
  <c r="U908" i="1"/>
  <c r="T908" i="1"/>
  <c r="S908" i="1"/>
  <c r="R908" i="1"/>
  <c r="AT908" i="1" s="1"/>
  <c r="Q908" i="1"/>
  <c r="AU908" i="1" s="1"/>
  <c r="P908" i="1"/>
  <c r="U907" i="1"/>
  <c r="T907" i="1"/>
  <c r="S907" i="1"/>
  <c r="R907" i="1"/>
  <c r="AT907" i="1" s="1"/>
  <c r="Q907" i="1"/>
  <c r="AU907" i="1" s="1"/>
  <c r="P907" i="1"/>
  <c r="U906" i="1"/>
  <c r="T906" i="1"/>
  <c r="S906" i="1"/>
  <c r="U914" i="1"/>
  <c r="T914" i="1"/>
  <c r="S914" i="1"/>
  <c r="R914" i="1"/>
  <c r="AT914" i="1" s="1"/>
  <c r="Q914" i="1"/>
  <c r="AU914" i="1" s="1"/>
  <c r="P914" i="1"/>
  <c r="U913" i="1"/>
  <c r="T913" i="1"/>
  <c r="S913" i="1"/>
  <c r="R913" i="1"/>
  <c r="AT913" i="1" s="1"/>
  <c r="Q913" i="1"/>
  <c r="AU913" i="1" s="1"/>
  <c r="P913" i="1"/>
  <c r="U880" i="1"/>
  <c r="T880" i="1"/>
  <c r="S880" i="1"/>
  <c r="R880" i="1"/>
  <c r="AT880" i="1" s="1"/>
  <c r="Q880" i="1"/>
  <c r="AU880" i="1" s="1"/>
  <c r="P880" i="1"/>
  <c r="U879" i="1"/>
  <c r="T879" i="1"/>
  <c r="S879" i="1"/>
  <c r="R879" i="1"/>
  <c r="AT879" i="1" s="1"/>
  <c r="Q879" i="1"/>
  <c r="AU879" i="1" s="1"/>
  <c r="P879" i="1"/>
  <c r="U912" i="1"/>
  <c r="T912" i="1"/>
  <c r="S912" i="1"/>
  <c r="R912" i="1"/>
  <c r="AT912" i="1" s="1"/>
  <c r="Q912" i="1"/>
  <c r="AU912" i="1" s="1"/>
  <c r="P912" i="1"/>
  <c r="U878" i="1"/>
  <c r="T878" i="1"/>
  <c r="S878" i="1"/>
  <c r="R878" i="1"/>
  <c r="AT878" i="1" s="1"/>
  <c r="Q878" i="1"/>
  <c r="AU878" i="1" s="1"/>
  <c r="P878" i="1"/>
  <c r="U1232" i="1"/>
  <c r="T1232" i="1"/>
  <c r="S1232" i="1"/>
  <c r="R1232" i="1"/>
  <c r="AT1232" i="1" s="1"/>
  <c r="P1232" i="1"/>
  <c r="U1201" i="1"/>
  <c r="T1201" i="1"/>
  <c r="S1201" i="1"/>
  <c r="U1200" i="1"/>
  <c r="T1200" i="1"/>
  <c r="S1200" i="1"/>
  <c r="R1200" i="1"/>
  <c r="AT1200" i="1" s="1"/>
  <c r="P1200" i="1"/>
  <c r="U938" i="1"/>
  <c r="T938" i="1"/>
  <c r="S938" i="1"/>
  <c r="U937" i="1"/>
  <c r="T937" i="1"/>
  <c r="S937" i="1"/>
  <c r="R937" i="1"/>
  <c r="AT937" i="1" s="1"/>
  <c r="Q937" i="1"/>
  <c r="AU937" i="1" s="1"/>
  <c r="P937" i="1"/>
  <c r="U936" i="1"/>
  <c r="T936" i="1"/>
  <c r="S936" i="1"/>
  <c r="R936" i="1"/>
  <c r="AT936" i="1" s="1"/>
  <c r="Q936" i="1"/>
  <c r="AU936" i="1" s="1"/>
  <c r="P936" i="1"/>
  <c r="U935" i="1"/>
  <c r="T935" i="1"/>
  <c r="S935" i="1"/>
  <c r="R935" i="1"/>
  <c r="AT935" i="1" s="1"/>
  <c r="Q935" i="1"/>
  <c r="AU935" i="1" s="1"/>
  <c r="P935" i="1"/>
  <c r="U934" i="1"/>
  <c r="T934" i="1"/>
  <c r="S934" i="1"/>
  <c r="U946" i="1"/>
  <c r="T946" i="1"/>
  <c r="S946" i="1"/>
  <c r="R946" i="1"/>
  <c r="AT946" i="1" s="1"/>
  <c r="Q946" i="1"/>
  <c r="AU946" i="1" s="1"/>
  <c r="P946" i="1"/>
  <c r="U945" i="1"/>
  <c r="T945" i="1"/>
  <c r="S945" i="1"/>
  <c r="R945" i="1"/>
  <c r="AT945" i="1" s="1"/>
  <c r="Q945" i="1"/>
  <c r="AU945" i="1" s="1"/>
  <c r="P945" i="1"/>
  <c r="U926" i="1"/>
  <c r="T926" i="1"/>
  <c r="S926" i="1"/>
  <c r="R926" i="1"/>
  <c r="AT926" i="1" s="1"/>
  <c r="Q926" i="1"/>
  <c r="AU926" i="1" s="1"/>
  <c r="P926" i="1"/>
  <c r="U925" i="1"/>
  <c r="T925" i="1"/>
  <c r="S925" i="1"/>
  <c r="R925" i="1"/>
  <c r="AT925" i="1" s="1"/>
  <c r="Q925" i="1"/>
  <c r="AU925" i="1" s="1"/>
  <c r="P925" i="1"/>
  <c r="U924" i="1"/>
  <c r="T924" i="1"/>
  <c r="S924" i="1"/>
  <c r="R924" i="1"/>
  <c r="AT924" i="1" s="1"/>
  <c r="Q924" i="1"/>
  <c r="AU924" i="1" s="1"/>
  <c r="P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R920" i="1"/>
  <c r="AT920" i="1" s="1"/>
  <c r="Q920" i="1"/>
  <c r="AU920" i="1" s="1"/>
  <c r="P920" i="1"/>
  <c r="U887" i="1"/>
  <c r="T887" i="1"/>
  <c r="S887" i="1"/>
  <c r="R887" i="1"/>
  <c r="AT887" i="1" s="1"/>
  <c r="Q887" i="1"/>
  <c r="AU887" i="1" s="1"/>
  <c r="P887" i="1"/>
  <c r="U886" i="1"/>
  <c r="T886" i="1"/>
  <c r="S886" i="1"/>
  <c r="U885" i="1"/>
  <c r="T885" i="1"/>
  <c r="S885" i="1"/>
  <c r="R885" i="1"/>
  <c r="AT885" i="1" s="1"/>
  <c r="Q885" i="1"/>
  <c r="AU885" i="1" s="1"/>
  <c r="P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R881" i="1"/>
  <c r="AT881" i="1" s="1"/>
  <c r="Q881" i="1"/>
  <c r="AU881" i="1" s="1"/>
  <c r="P881" i="1"/>
  <c r="U897" i="1"/>
  <c r="T897" i="1"/>
  <c r="S897" i="1"/>
  <c r="R897" i="1"/>
  <c r="AT897" i="1" s="1"/>
  <c r="Q897" i="1"/>
  <c r="AU897" i="1" s="1"/>
  <c r="P897" i="1"/>
  <c r="U911" i="1"/>
  <c r="T911" i="1"/>
  <c r="S911" i="1"/>
  <c r="R911" i="1"/>
  <c r="AT911" i="1" s="1"/>
  <c r="Q911" i="1"/>
  <c r="AU911" i="1" s="1"/>
  <c r="P911" i="1"/>
  <c r="U910" i="1"/>
  <c r="T910" i="1"/>
  <c r="S910" i="1"/>
  <c r="R910" i="1"/>
  <c r="AT910" i="1" s="1"/>
  <c r="Q910" i="1"/>
  <c r="AU910" i="1" s="1"/>
  <c r="P910" i="1"/>
  <c r="U1204" i="1"/>
  <c r="T1204" i="1"/>
  <c r="S1204" i="1"/>
  <c r="R1204" i="1"/>
  <c r="AT1204" i="1" s="1"/>
  <c r="P1204" i="1"/>
  <c r="U1203" i="1"/>
  <c r="T1203" i="1"/>
  <c r="S1203" i="1"/>
  <c r="R1203" i="1"/>
  <c r="AT1203" i="1" s="1"/>
  <c r="P1203" i="1"/>
  <c r="U1202" i="1"/>
  <c r="T1202" i="1"/>
  <c r="S1202" i="1"/>
  <c r="R1202" i="1"/>
  <c r="AT1202" i="1" s="1"/>
  <c r="P1202" i="1"/>
  <c r="U1015" i="1"/>
  <c r="T1015" i="1"/>
  <c r="S1015" i="1"/>
  <c r="R1015" i="1"/>
  <c r="AT1015" i="1" s="1"/>
  <c r="Q1015" i="1"/>
  <c r="AU1015" i="1" s="1"/>
  <c r="P1015" i="1"/>
  <c r="U1014" i="1"/>
  <c r="T1014" i="1"/>
  <c r="S1014" i="1"/>
  <c r="R1014" i="1"/>
  <c r="AT1014" i="1" s="1"/>
  <c r="Q1014" i="1"/>
  <c r="AU1014" i="1" s="1"/>
  <c r="P1014" i="1"/>
  <c r="U892" i="1"/>
  <c r="T892" i="1"/>
  <c r="S892" i="1"/>
  <c r="R892" i="1"/>
  <c r="AT892" i="1" s="1"/>
  <c r="Q892" i="1"/>
  <c r="AU892" i="1" s="1"/>
  <c r="P892" i="1"/>
  <c r="U891" i="1"/>
  <c r="T891" i="1"/>
  <c r="S891" i="1"/>
  <c r="R891" i="1"/>
  <c r="AT891" i="1" s="1"/>
  <c r="Q891" i="1"/>
  <c r="AU891" i="1" s="1"/>
  <c r="P891" i="1"/>
  <c r="U890" i="1"/>
  <c r="T890" i="1"/>
  <c r="S890" i="1"/>
  <c r="U889" i="1"/>
  <c r="T889" i="1"/>
  <c r="S889" i="1"/>
  <c r="U888" i="1"/>
  <c r="T888" i="1"/>
  <c r="S888" i="1"/>
  <c r="R888" i="1"/>
  <c r="AT888" i="1" s="1"/>
  <c r="Q888" i="1"/>
  <c r="AU888" i="1" s="1"/>
  <c r="P888" i="1"/>
  <c r="U1128" i="1"/>
  <c r="T1128" i="1"/>
  <c r="S1128" i="1"/>
  <c r="R1128" i="1"/>
  <c r="AT1128" i="1" s="1"/>
  <c r="Q1128" i="1"/>
  <c r="AU1128" i="1" s="1"/>
  <c r="P1128" i="1"/>
  <c r="U944" i="1"/>
  <c r="T944" i="1"/>
  <c r="S944" i="1"/>
  <c r="U943" i="1"/>
  <c r="T943" i="1"/>
  <c r="S943" i="1"/>
  <c r="U942" i="1"/>
  <c r="T942" i="1"/>
  <c r="S942" i="1"/>
  <c r="R942" i="1"/>
  <c r="AT942" i="1" s="1"/>
  <c r="Q942" i="1"/>
  <c r="AU942" i="1" s="1"/>
  <c r="P942" i="1"/>
  <c r="U941" i="1"/>
  <c r="T941" i="1"/>
  <c r="S941" i="1"/>
  <c r="R941" i="1"/>
  <c r="AT941" i="1" s="1"/>
  <c r="Q941" i="1"/>
  <c r="AU941" i="1" s="1"/>
  <c r="P941" i="1"/>
  <c r="U940" i="1"/>
  <c r="T940" i="1"/>
  <c r="S940" i="1"/>
  <c r="U1239" i="1"/>
  <c r="T1239" i="1"/>
  <c r="S1239" i="1"/>
  <c r="R1239" i="1"/>
  <c r="AT1239" i="1" s="1"/>
  <c r="P1239" i="1"/>
  <c r="U1168" i="1"/>
  <c r="T1168" i="1"/>
  <c r="S1168" i="1"/>
  <c r="U1167" i="1"/>
  <c r="T1167" i="1"/>
  <c r="S1167" i="1"/>
  <c r="R1167" i="1"/>
  <c r="AT1167" i="1" s="1"/>
  <c r="P1167" i="1"/>
  <c r="U1166" i="1"/>
  <c r="T1166" i="1"/>
  <c r="S1166" i="1"/>
  <c r="U1135" i="1"/>
  <c r="T1135" i="1"/>
  <c r="S1135" i="1"/>
  <c r="R1135" i="1"/>
  <c r="AT1135" i="1" s="1"/>
  <c r="Q1135" i="1"/>
  <c r="AU1135" i="1" s="1"/>
  <c r="P1135" i="1"/>
  <c r="U1134" i="1"/>
  <c r="T1134" i="1"/>
  <c r="S1134" i="1"/>
  <c r="R1134" i="1"/>
  <c r="AT1134" i="1" s="1"/>
  <c r="Q1134" i="1"/>
  <c r="AU1134" i="1" s="1"/>
  <c r="P1134" i="1"/>
  <c r="U1133" i="1"/>
  <c r="T1133" i="1"/>
  <c r="S1133" i="1"/>
  <c r="R1133" i="1"/>
  <c r="AT1133" i="1" s="1"/>
  <c r="Q1133" i="1"/>
  <c r="AU1133" i="1" s="1"/>
  <c r="P1133" i="1"/>
  <c r="U1084" i="1"/>
  <c r="T1084" i="1"/>
  <c r="S1084" i="1"/>
  <c r="U1083" i="1"/>
  <c r="T1083" i="1"/>
  <c r="S1083" i="1"/>
  <c r="U1081" i="1"/>
  <c r="T1081" i="1"/>
  <c r="S1081" i="1"/>
  <c r="R1081" i="1"/>
  <c r="AT1081" i="1" s="1"/>
  <c r="Q1081" i="1"/>
  <c r="AU1081" i="1" s="1"/>
  <c r="P1081" i="1"/>
  <c r="U1082" i="1"/>
  <c r="T1082" i="1"/>
  <c r="S1082" i="1"/>
  <c r="U953" i="1"/>
  <c r="T953" i="1"/>
  <c r="S953" i="1"/>
  <c r="R953" i="1"/>
  <c r="AT953" i="1" s="1"/>
  <c r="Q953" i="1"/>
  <c r="AU953" i="1" s="1"/>
  <c r="P953" i="1"/>
  <c r="U952" i="1"/>
  <c r="T952" i="1"/>
  <c r="S952" i="1"/>
  <c r="U1073" i="1"/>
  <c r="T1073" i="1"/>
  <c r="S1073" i="1"/>
  <c r="R1073" i="1"/>
  <c r="AT1073" i="1" s="1"/>
  <c r="Q1073" i="1"/>
  <c r="AU1073" i="1" s="1"/>
  <c r="P1073" i="1"/>
  <c r="U1072" i="1"/>
  <c r="T1072" i="1"/>
  <c r="S1072" i="1"/>
  <c r="R1072" i="1"/>
  <c r="AT1072" i="1" s="1"/>
  <c r="Q1072" i="1"/>
  <c r="AU1072" i="1" s="1"/>
  <c r="P1072" i="1"/>
  <c r="U1071" i="1"/>
  <c r="T1071" i="1"/>
  <c r="S1071" i="1"/>
  <c r="U1163" i="1"/>
  <c r="T1163" i="1"/>
  <c r="S1163" i="1"/>
  <c r="R1163" i="1"/>
  <c r="AT1163" i="1" s="1"/>
  <c r="P1163" i="1"/>
  <c r="U1162" i="1"/>
  <c r="T1162" i="1"/>
  <c r="S1162" i="1"/>
  <c r="U1161" i="1"/>
  <c r="T1161" i="1"/>
  <c r="S1161" i="1"/>
  <c r="R1161" i="1"/>
  <c r="AT1161" i="1" s="1"/>
  <c r="P1161" i="1"/>
  <c r="U1195" i="1"/>
  <c r="T1195" i="1"/>
  <c r="S1195" i="1"/>
  <c r="R1195" i="1"/>
  <c r="AT1195" i="1" s="1"/>
  <c r="P1195" i="1"/>
  <c r="U1068" i="1"/>
  <c r="T1068" i="1"/>
  <c r="S1068" i="1"/>
  <c r="U1067" i="1"/>
  <c r="T1067" i="1"/>
  <c r="S1067" i="1"/>
  <c r="R1067" i="1"/>
  <c r="AT1067" i="1" s="1"/>
  <c r="Q1067" i="1"/>
  <c r="AU1067" i="1" s="1"/>
  <c r="P1067" i="1"/>
  <c r="U1079" i="1"/>
  <c r="T1079" i="1"/>
  <c r="S1079" i="1"/>
  <c r="R1079" i="1"/>
  <c r="AT1079" i="1" s="1"/>
  <c r="Q1079" i="1"/>
  <c r="AU1079" i="1" s="1"/>
  <c r="P1079" i="1"/>
  <c r="U1085" i="1"/>
  <c r="T1085" i="1"/>
  <c r="S1085" i="1"/>
  <c r="U951" i="1"/>
  <c r="T951" i="1"/>
  <c r="S951" i="1"/>
  <c r="R951" i="1"/>
  <c r="AT951" i="1" s="1"/>
  <c r="Q951" i="1"/>
  <c r="AU951" i="1" s="1"/>
  <c r="P951" i="1"/>
  <c r="U950" i="1"/>
  <c r="T950" i="1"/>
  <c r="S950" i="1"/>
  <c r="R950" i="1"/>
  <c r="AT950" i="1" s="1"/>
  <c r="Q950" i="1"/>
  <c r="AU950" i="1" s="1"/>
  <c r="P950" i="1"/>
  <c r="U949" i="1"/>
  <c r="T949" i="1"/>
  <c r="S949" i="1"/>
  <c r="R949" i="1"/>
  <c r="AT949" i="1" s="1"/>
  <c r="Q949" i="1"/>
  <c r="AU949" i="1" s="1"/>
  <c r="P949" i="1"/>
  <c r="U948" i="1"/>
  <c r="T948" i="1"/>
  <c r="S948" i="1"/>
  <c r="R948" i="1"/>
  <c r="AT948" i="1" s="1"/>
  <c r="Q948" i="1"/>
  <c r="AU948" i="1" s="1"/>
  <c r="P948" i="1"/>
  <c r="U947" i="1"/>
  <c r="T947" i="1"/>
  <c r="S947" i="1"/>
  <c r="U939" i="1"/>
  <c r="T939" i="1"/>
  <c r="S939" i="1"/>
  <c r="U905" i="1"/>
  <c r="T905" i="1"/>
  <c r="S905" i="1"/>
  <c r="U904" i="1"/>
  <c r="T904" i="1"/>
  <c r="S904" i="1"/>
  <c r="R904" i="1"/>
  <c r="AT904" i="1" s="1"/>
  <c r="Q904" i="1"/>
  <c r="AU904" i="1" s="1"/>
  <c r="P904" i="1"/>
  <c r="U903" i="1"/>
  <c r="T903" i="1"/>
  <c r="S903" i="1"/>
  <c r="R903" i="1"/>
  <c r="AT903" i="1" s="1"/>
  <c r="Q903" i="1"/>
  <c r="AU903" i="1" s="1"/>
  <c r="P903" i="1"/>
  <c r="U902" i="1"/>
  <c r="T902" i="1"/>
  <c r="S902" i="1"/>
  <c r="R902" i="1"/>
  <c r="AT902" i="1" s="1"/>
  <c r="Q902" i="1"/>
  <c r="AU902" i="1" s="1"/>
  <c r="P902" i="1"/>
  <c r="U1005" i="1"/>
  <c r="T1005" i="1"/>
  <c r="S1005" i="1"/>
  <c r="R1005" i="1"/>
  <c r="AT1005" i="1" s="1"/>
  <c r="Q1005" i="1"/>
  <c r="AU1005" i="1" s="1"/>
  <c r="P1005" i="1"/>
  <c r="U1002" i="1"/>
  <c r="T1002" i="1"/>
  <c r="S1002" i="1"/>
  <c r="R1002" i="1"/>
  <c r="AT1002" i="1" s="1"/>
  <c r="Q1002" i="1"/>
  <c r="AU1002" i="1" s="1"/>
  <c r="P1002" i="1"/>
  <c r="U1001" i="1"/>
  <c r="T1001" i="1"/>
  <c r="S1001" i="1"/>
  <c r="R1001" i="1"/>
  <c r="AT1001" i="1" s="1"/>
  <c r="Q1001" i="1"/>
  <c r="AU1001" i="1" s="1"/>
  <c r="P1001" i="1"/>
  <c r="U1160" i="1"/>
  <c r="T1160" i="1"/>
  <c r="S1160" i="1"/>
  <c r="U1117" i="1"/>
  <c r="T1117" i="1"/>
  <c r="S1117" i="1"/>
  <c r="R1117" i="1"/>
  <c r="AT1117" i="1" s="1"/>
  <c r="Q1117" i="1"/>
  <c r="AU1117" i="1" s="1"/>
  <c r="P1117" i="1"/>
  <c r="U1116" i="1"/>
  <c r="T1116" i="1"/>
  <c r="S1116" i="1"/>
  <c r="R1116" i="1"/>
  <c r="AT1116" i="1" s="1"/>
  <c r="Q1116" i="1"/>
  <c r="AU1116" i="1" s="1"/>
  <c r="P1116" i="1"/>
  <c r="U1115" i="1"/>
  <c r="T1115" i="1"/>
  <c r="S1115" i="1"/>
  <c r="U1066" i="1"/>
  <c r="T1066" i="1"/>
  <c r="S1066" i="1"/>
  <c r="R1066" i="1"/>
  <c r="AT1066" i="1" s="1"/>
  <c r="Q1066" i="1"/>
  <c r="AU1066" i="1" s="1"/>
  <c r="P1066" i="1"/>
  <c r="U1065" i="1"/>
  <c r="T1065" i="1"/>
  <c r="S1065" i="1"/>
  <c r="R1065" i="1"/>
  <c r="AT1065" i="1" s="1"/>
  <c r="Q1065" i="1"/>
  <c r="AU1065" i="1" s="1"/>
  <c r="P1065" i="1"/>
  <c r="U896" i="1"/>
  <c r="T896" i="1"/>
  <c r="S896" i="1"/>
  <c r="U895" i="1"/>
  <c r="T895" i="1"/>
  <c r="S895" i="1"/>
  <c r="U894" i="1"/>
  <c r="T894" i="1"/>
  <c r="S894" i="1"/>
  <c r="R894" i="1"/>
  <c r="AT894" i="1" s="1"/>
  <c r="Q894" i="1"/>
  <c r="AU894" i="1" s="1"/>
  <c r="P894" i="1"/>
  <c r="U893" i="1"/>
  <c r="T893" i="1"/>
  <c r="S893" i="1"/>
  <c r="R893" i="1"/>
  <c r="AT893" i="1" s="1"/>
  <c r="Q893" i="1"/>
  <c r="AU893" i="1" s="1"/>
  <c r="P893" i="1"/>
  <c r="U863" i="1"/>
  <c r="T863" i="1"/>
  <c r="S863" i="1"/>
  <c r="U862" i="1"/>
  <c r="T862" i="1"/>
  <c r="S862" i="1"/>
  <c r="U861" i="1"/>
  <c r="T861" i="1"/>
  <c r="S861" i="1"/>
  <c r="U900" i="1"/>
  <c r="T900" i="1"/>
  <c r="S900" i="1"/>
  <c r="R900" i="1"/>
  <c r="AT900" i="1" s="1"/>
  <c r="Q900" i="1"/>
  <c r="AU900" i="1" s="1"/>
  <c r="P900" i="1"/>
  <c r="U860" i="1"/>
  <c r="T860" i="1"/>
  <c r="S860" i="1"/>
  <c r="R860" i="1"/>
  <c r="AT860" i="1" s="1"/>
  <c r="Q860" i="1"/>
  <c r="AU860" i="1" s="1"/>
  <c r="P860" i="1"/>
  <c r="U899" i="1"/>
  <c r="T899" i="1"/>
  <c r="S899" i="1"/>
  <c r="R899" i="1"/>
  <c r="AT899" i="1" s="1"/>
  <c r="Q899" i="1"/>
  <c r="AU899" i="1" s="1"/>
  <c r="P899" i="1"/>
  <c r="U898" i="1"/>
  <c r="T898" i="1"/>
  <c r="S898" i="1"/>
  <c r="R898" i="1"/>
  <c r="AT898" i="1" s="1"/>
  <c r="Q898" i="1"/>
  <c r="AU898" i="1" s="1"/>
  <c r="P898" i="1"/>
  <c r="U873" i="1"/>
  <c r="T873" i="1"/>
  <c r="S873" i="1"/>
  <c r="R873" i="1"/>
  <c r="AT873" i="1" s="1"/>
  <c r="Q873" i="1"/>
  <c r="AU873" i="1" s="1"/>
  <c r="P873" i="1"/>
  <c r="U872" i="1"/>
  <c r="T872" i="1"/>
  <c r="S872" i="1"/>
  <c r="R872" i="1"/>
  <c r="AT872" i="1" s="1"/>
  <c r="Q872" i="1"/>
  <c r="AU872" i="1" s="1"/>
  <c r="P872" i="1"/>
  <c r="U871" i="1"/>
  <c r="T871" i="1"/>
  <c r="S871" i="1"/>
  <c r="U870" i="1"/>
  <c r="T870" i="1"/>
  <c r="S870" i="1"/>
  <c r="R870" i="1"/>
  <c r="AT870" i="1" s="1"/>
  <c r="Q870" i="1"/>
  <c r="AU870" i="1" s="1"/>
  <c r="P870" i="1"/>
  <c r="U869" i="1"/>
  <c r="T869" i="1"/>
  <c r="S869" i="1"/>
  <c r="R869" i="1"/>
  <c r="AT869" i="1" s="1"/>
  <c r="Q869" i="1"/>
  <c r="AU869" i="1" s="1"/>
  <c r="P869" i="1"/>
  <c r="U868" i="1"/>
  <c r="T868" i="1"/>
  <c r="S868" i="1"/>
  <c r="R868" i="1"/>
  <c r="AT868" i="1" s="1"/>
  <c r="Q868" i="1"/>
  <c r="AU868" i="1" s="1"/>
  <c r="P868" i="1"/>
  <c r="U867" i="1"/>
  <c r="T867" i="1"/>
  <c r="S867" i="1"/>
  <c r="R867" i="1"/>
  <c r="AT867" i="1" s="1"/>
  <c r="Q867" i="1"/>
  <c r="AU867" i="1" s="1"/>
  <c r="P867" i="1"/>
  <c r="U866" i="1"/>
  <c r="T866" i="1"/>
  <c r="S866" i="1"/>
  <c r="R866" i="1"/>
  <c r="AT866" i="1" s="1"/>
  <c r="Q866" i="1"/>
  <c r="AU866" i="1" s="1"/>
  <c r="P866" i="1"/>
  <c r="U865" i="1"/>
  <c r="T865" i="1"/>
  <c r="S865" i="1"/>
  <c r="U864" i="1"/>
  <c r="T864" i="1"/>
  <c r="S864" i="1"/>
  <c r="R864" i="1"/>
  <c r="AT864" i="1" s="1"/>
  <c r="Q864" i="1"/>
  <c r="AU864" i="1" s="1"/>
  <c r="P864" i="1"/>
  <c r="U836" i="1"/>
  <c r="T836" i="1"/>
  <c r="S836" i="1"/>
  <c r="R836" i="1"/>
  <c r="AT836" i="1" s="1"/>
  <c r="Q836" i="1"/>
  <c r="AU836" i="1" s="1"/>
  <c r="P836" i="1"/>
  <c r="U835" i="1"/>
  <c r="T835" i="1"/>
  <c r="S835" i="1"/>
  <c r="R835" i="1"/>
  <c r="AT835" i="1" s="1"/>
  <c r="Q835" i="1"/>
  <c r="AU835" i="1" s="1"/>
  <c r="P835" i="1"/>
  <c r="U834" i="1"/>
  <c r="T834" i="1"/>
  <c r="S834" i="1"/>
  <c r="R834" i="1"/>
  <c r="AT834" i="1" s="1"/>
  <c r="Q834" i="1"/>
  <c r="AU834" i="1" s="1"/>
  <c r="P834" i="1"/>
  <c r="U833" i="1"/>
  <c r="T833" i="1"/>
  <c r="S833" i="1"/>
  <c r="R833" i="1"/>
  <c r="AT833" i="1" s="1"/>
  <c r="Q833" i="1"/>
  <c r="AU833" i="1" s="1"/>
  <c r="P833" i="1"/>
  <c r="U832" i="1"/>
  <c r="T832" i="1"/>
  <c r="S832" i="1"/>
  <c r="R832" i="1"/>
  <c r="AT832" i="1" s="1"/>
  <c r="Q832" i="1"/>
  <c r="AU832" i="1" s="1"/>
  <c r="P832" i="1"/>
  <c r="U831" i="1"/>
  <c r="T831" i="1"/>
  <c r="S831" i="1"/>
  <c r="R831" i="1"/>
  <c r="AT831" i="1" s="1"/>
  <c r="Q831" i="1"/>
  <c r="AU831" i="1" s="1"/>
  <c r="P831" i="1"/>
  <c r="U830" i="1"/>
  <c r="T830" i="1"/>
  <c r="S830" i="1"/>
  <c r="R830" i="1"/>
  <c r="AT830" i="1" s="1"/>
  <c r="Q830" i="1"/>
  <c r="AU830" i="1" s="1"/>
  <c r="P830" i="1"/>
  <c r="U829" i="1"/>
  <c r="T829" i="1"/>
  <c r="S829" i="1"/>
  <c r="R829" i="1"/>
  <c r="AT829" i="1" s="1"/>
  <c r="Q829" i="1"/>
  <c r="AU829" i="1" s="1"/>
  <c r="P829" i="1"/>
  <c r="U828" i="1"/>
  <c r="T828" i="1"/>
  <c r="S828" i="1"/>
  <c r="R828" i="1"/>
  <c r="AT828" i="1" s="1"/>
  <c r="Q828" i="1"/>
  <c r="AU828" i="1" s="1"/>
  <c r="P828" i="1"/>
  <c r="U827" i="1"/>
  <c r="T827" i="1"/>
  <c r="S827" i="1"/>
  <c r="R827" i="1"/>
  <c r="AT827" i="1" s="1"/>
  <c r="Q827" i="1"/>
  <c r="AU827" i="1" s="1"/>
  <c r="P827" i="1"/>
  <c r="U826" i="1"/>
  <c r="T826" i="1"/>
  <c r="S826" i="1"/>
  <c r="R826" i="1"/>
  <c r="AT826" i="1" s="1"/>
  <c r="Q826" i="1"/>
  <c r="AU826" i="1" s="1"/>
  <c r="P826" i="1"/>
  <c r="U825" i="1"/>
  <c r="T825" i="1"/>
  <c r="S825" i="1"/>
  <c r="R825" i="1"/>
  <c r="AT825" i="1" s="1"/>
  <c r="Q825" i="1"/>
  <c r="AU825" i="1" s="1"/>
  <c r="P825" i="1"/>
  <c r="U824" i="1"/>
  <c r="T824" i="1"/>
  <c r="S824" i="1"/>
  <c r="R824" i="1"/>
  <c r="AT824" i="1" s="1"/>
  <c r="Q824" i="1"/>
  <c r="AU824" i="1" s="1"/>
  <c r="P824" i="1"/>
  <c r="U823" i="1"/>
  <c r="T823" i="1"/>
  <c r="S823" i="1"/>
  <c r="R823" i="1"/>
  <c r="AT823" i="1" s="1"/>
  <c r="Q823" i="1"/>
  <c r="AU823" i="1" s="1"/>
  <c r="P823" i="1"/>
  <c r="U822" i="1"/>
  <c r="T822" i="1"/>
  <c r="S822" i="1"/>
  <c r="U813" i="1"/>
  <c r="T813" i="1"/>
  <c r="S813" i="1"/>
  <c r="R813" i="1"/>
  <c r="AT813" i="1" s="1"/>
  <c r="Q813" i="1"/>
  <c r="AU813" i="1" s="1"/>
  <c r="P813" i="1"/>
  <c r="U812" i="1"/>
  <c r="T812" i="1"/>
  <c r="S812" i="1"/>
  <c r="R812" i="1"/>
  <c r="AT812" i="1" s="1"/>
  <c r="Q812" i="1"/>
  <c r="AU812" i="1" s="1"/>
  <c r="P812" i="1"/>
  <c r="U811" i="1"/>
  <c r="T811" i="1"/>
  <c r="S811" i="1"/>
  <c r="R811" i="1"/>
  <c r="AT811" i="1" s="1"/>
  <c r="Q811" i="1"/>
  <c r="AU811" i="1" s="1"/>
  <c r="P811" i="1"/>
  <c r="U821" i="1"/>
  <c r="T821" i="1"/>
  <c r="S821" i="1"/>
  <c r="R821" i="1"/>
  <c r="AT821" i="1" s="1"/>
  <c r="Q821" i="1"/>
  <c r="AU821" i="1" s="1"/>
  <c r="P821" i="1"/>
  <c r="U820" i="1"/>
  <c r="T820" i="1"/>
  <c r="S820" i="1"/>
  <c r="R820" i="1"/>
  <c r="AT820" i="1" s="1"/>
  <c r="Q820" i="1"/>
  <c r="AU820" i="1" s="1"/>
  <c r="P820" i="1"/>
  <c r="U819" i="1"/>
  <c r="T819" i="1"/>
  <c r="S819" i="1"/>
  <c r="R819" i="1"/>
  <c r="AT819" i="1" s="1"/>
  <c r="Q819" i="1"/>
  <c r="AU819" i="1" s="1"/>
  <c r="P819" i="1"/>
  <c r="U818" i="1"/>
  <c r="T818" i="1"/>
  <c r="S818" i="1"/>
  <c r="R818" i="1"/>
  <c r="AT818" i="1" s="1"/>
  <c r="Q818" i="1"/>
  <c r="AU818" i="1" s="1"/>
  <c r="P818" i="1"/>
  <c r="U817" i="1"/>
  <c r="T817" i="1"/>
  <c r="S817" i="1"/>
  <c r="U844" i="1"/>
  <c r="T844" i="1"/>
  <c r="S844" i="1"/>
  <c r="R844" i="1"/>
  <c r="AT844" i="1" s="1"/>
  <c r="Q844" i="1"/>
  <c r="AU844" i="1" s="1"/>
  <c r="P844" i="1"/>
  <c r="U927" i="1"/>
  <c r="T927" i="1"/>
  <c r="S927" i="1"/>
  <c r="U877" i="1"/>
  <c r="T877" i="1"/>
  <c r="S877" i="1"/>
  <c r="U876" i="1"/>
  <c r="T876" i="1"/>
  <c r="S876" i="1"/>
  <c r="R876" i="1"/>
  <c r="AT876" i="1" s="1"/>
  <c r="Q876" i="1"/>
  <c r="AU876" i="1" s="1"/>
  <c r="P876" i="1"/>
  <c r="U875" i="1"/>
  <c r="T875" i="1"/>
  <c r="S875" i="1"/>
  <c r="U874" i="1"/>
  <c r="T874" i="1"/>
  <c r="S874" i="1"/>
  <c r="R874" i="1"/>
  <c r="AT874" i="1" s="1"/>
  <c r="Q874" i="1"/>
  <c r="AU874" i="1" s="1"/>
  <c r="P874" i="1"/>
  <c r="U845" i="1"/>
  <c r="T845" i="1"/>
  <c r="S845" i="1"/>
  <c r="R845" i="1"/>
  <c r="AT845" i="1" s="1"/>
  <c r="Q845" i="1"/>
  <c r="AU845" i="1" s="1"/>
  <c r="P845" i="1"/>
  <c r="U843" i="1"/>
  <c r="T843" i="1"/>
  <c r="S843" i="1"/>
  <c r="R843" i="1"/>
  <c r="AT843" i="1" s="1"/>
  <c r="Q843" i="1"/>
  <c r="AU843" i="1" s="1"/>
  <c r="P843" i="1"/>
  <c r="U842" i="1"/>
  <c r="T842" i="1"/>
  <c r="S842" i="1"/>
  <c r="R842" i="1"/>
  <c r="AT842" i="1" s="1"/>
  <c r="Q842" i="1"/>
  <c r="AU842" i="1" s="1"/>
  <c r="P842" i="1"/>
  <c r="U841" i="1"/>
  <c r="T841" i="1"/>
  <c r="S841" i="1"/>
  <c r="R841" i="1"/>
  <c r="AT841" i="1" s="1"/>
  <c r="Q841" i="1"/>
  <c r="AU841" i="1" s="1"/>
  <c r="P841" i="1"/>
  <c r="U840" i="1"/>
  <c r="T840" i="1"/>
  <c r="S840" i="1"/>
  <c r="U901" i="1"/>
  <c r="T901" i="1"/>
  <c r="S901" i="1"/>
  <c r="R901" i="1"/>
  <c r="AT901" i="1" s="1"/>
  <c r="Q901" i="1"/>
  <c r="AU901" i="1" s="1"/>
  <c r="P901" i="1"/>
  <c r="U839" i="1"/>
  <c r="T839" i="1"/>
  <c r="S839" i="1"/>
  <c r="R839" i="1"/>
  <c r="AT839" i="1" s="1"/>
  <c r="Q839" i="1"/>
  <c r="AU839" i="1" s="1"/>
  <c r="P839" i="1"/>
  <c r="U838" i="1"/>
  <c r="T838" i="1"/>
  <c r="S838" i="1"/>
  <c r="U837" i="1"/>
  <c r="T837" i="1"/>
  <c r="S837" i="1"/>
  <c r="U805" i="1"/>
  <c r="T805" i="1"/>
  <c r="S805" i="1"/>
  <c r="U804" i="1"/>
  <c r="T804" i="1"/>
  <c r="S804" i="1"/>
  <c r="R804" i="1"/>
  <c r="AT804" i="1" s="1"/>
  <c r="Q804" i="1"/>
  <c r="AU804" i="1" s="1"/>
  <c r="P804" i="1"/>
  <c r="U803" i="1"/>
  <c r="T803" i="1"/>
  <c r="S803" i="1"/>
  <c r="R803" i="1"/>
  <c r="AT803" i="1" s="1"/>
  <c r="Q803" i="1"/>
  <c r="AU803" i="1" s="1"/>
  <c r="P803" i="1"/>
  <c r="U802" i="1"/>
  <c r="T802" i="1"/>
  <c r="S802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57" i="1"/>
  <c r="T857" i="1"/>
  <c r="S857" i="1"/>
  <c r="R857" i="1"/>
  <c r="AT857" i="1" s="1"/>
  <c r="Q857" i="1"/>
  <c r="AU857" i="1" s="1"/>
  <c r="P857" i="1"/>
  <c r="U856" i="1"/>
  <c r="T856" i="1"/>
  <c r="S856" i="1"/>
  <c r="R856" i="1"/>
  <c r="AT856" i="1" s="1"/>
  <c r="Q856" i="1"/>
  <c r="AU856" i="1" s="1"/>
  <c r="P856" i="1"/>
  <c r="U855" i="1"/>
  <c r="T855" i="1"/>
  <c r="S855" i="1"/>
  <c r="R855" i="1"/>
  <c r="AT855" i="1" s="1"/>
  <c r="Q855" i="1"/>
  <c r="AU855" i="1" s="1"/>
  <c r="P855" i="1"/>
  <c r="U816" i="1"/>
  <c r="T816" i="1"/>
  <c r="S816" i="1"/>
  <c r="R816" i="1"/>
  <c r="AT816" i="1" s="1"/>
  <c r="Q816" i="1"/>
  <c r="AU816" i="1" s="1"/>
  <c r="P816" i="1"/>
  <c r="U815" i="1"/>
  <c r="T815" i="1"/>
  <c r="S815" i="1"/>
  <c r="R815" i="1"/>
  <c r="AT815" i="1" s="1"/>
  <c r="Q815" i="1"/>
  <c r="AU815" i="1" s="1"/>
  <c r="P815" i="1"/>
  <c r="U814" i="1"/>
  <c r="T814" i="1"/>
  <c r="S814" i="1"/>
  <c r="R814" i="1"/>
  <c r="AT814" i="1" s="1"/>
  <c r="Q814" i="1"/>
  <c r="AU814" i="1" s="1"/>
  <c r="P814" i="1"/>
  <c r="U854" i="1"/>
  <c r="T854" i="1"/>
  <c r="S854" i="1"/>
  <c r="R854" i="1"/>
  <c r="AT854" i="1" s="1"/>
  <c r="Q854" i="1"/>
  <c r="AU854" i="1" s="1"/>
  <c r="P854" i="1"/>
  <c r="U853" i="1"/>
  <c r="T853" i="1"/>
  <c r="S853" i="1"/>
  <c r="U852" i="1"/>
  <c r="T852" i="1"/>
  <c r="S852" i="1"/>
  <c r="R852" i="1"/>
  <c r="AT852" i="1" s="1"/>
  <c r="Q852" i="1"/>
  <c r="AU852" i="1" s="1"/>
  <c r="P852" i="1"/>
  <c r="U851" i="1"/>
  <c r="T851" i="1"/>
  <c r="S851" i="1"/>
  <c r="R851" i="1"/>
  <c r="AT851" i="1" s="1"/>
  <c r="Q851" i="1"/>
  <c r="AU851" i="1" s="1"/>
  <c r="P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R847" i="1"/>
  <c r="AT847" i="1" s="1"/>
  <c r="Q847" i="1"/>
  <c r="AU847" i="1" s="1"/>
  <c r="P847" i="1"/>
  <c r="U846" i="1"/>
  <c r="T846" i="1"/>
  <c r="S846" i="1"/>
  <c r="U859" i="1"/>
  <c r="T859" i="1"/>
  <c r="S859" i="1"/>
  <c r="R859" i="1"/>
  <c r="AT859" i="1" s="1"/>
  <c r="Q859" i="1"/>
  <c r="AU859" i="1" s="1"/>
  <c r="P859" i="1"/>
  <c r="U858" i="1"/>
  <c r="T858" i="1"/>
  <c r="S858" i="1"/>
  <c r="R858" i="1"/>
  <c r="AT858" i="1" s="1"/>
  <c r="Q858" i="1"/>
  <c r="AU858" i="1" s="1"/>
  <c r="P858" i="1"/>
  <c r="U801" i="1"/>
  <c r="T801" i="1"/>
  <c r="S801" i="1"/>
  <c r="R801" i="1"/>
  <c r="AT801" i="1" s="1"/>
  <c r="Q801" i="1"/>
  <c r="AU801" i="1" s="1"/>
  <c r="P801" i="1"/>
  <c r="U800" i="1"/>
  <c r="T800" i="1"/>
  <c r="S800" i="1"/>
  <c r="R800" i="1"/>
  <c r="AT800" i="1" s="1"/>
  <c r="Q800" i="1"/>
  <c r="AU800" i="1" s="1"/>
  <c r="P800" i="1"/>
  <c r="U799" i="1"/>
  <c r="T799" i="1"/>
  <c r="S799" i="1"/>
  <c r="U798" i="1"/>
  <c r="T798" i="1"/>
  <c r="S798" i="1"/>
  <c r="R798" i="1"/>
  <c r="AT798" i="1" s="1"/>
  <c r="Q798" i="1"/>
  <c r="AU798" i="1" s="1"/>
  <c r="P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R794" i="1"/>
  <c r="AT794" i="1" s="1"/>
  <c r="Q794" i="1"/>
  <c r="AU794" i="1" s="1"/>
  <c r="P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R790" i="1"/>
  <c r="AT790" i="1" s="1"/>
  <c r="Q790" i="1"/>
  <c r="AU790" i="1" s="1"/>
  <c r="P790" i="1"/>
  <c r="U789" i="1"/>
  <c r="T789" i="1"/>
  <c r="S789" i="1"/>
  <c r="U788" i="1"/>
  <c r="T788" i="1"/>
  <c r="S788" i="1"/>
  <c r="R788" i="1"/>
  <c r="AT788" i="1" s="1"/>
  <c r="Q788" i="1"/>
  <c r="AU788" i="1" s="1"/>
  <c r="P788" i="1"/>
  <c r="U787" i="1"/>
  <c r="T787" i="1"/>
  <c r="S787" i="1"/>
  <c r="R787" i="1"/>
  <c r="AT787" i="1" s="1"/>
  <c r="Q787" i="1"/>
  <c r="AU787" i="1" s="1"/>
  <c r="P787" i="1"/>
  <c r="U786" i="1"/>
  <c r="T786" i="1"/>
  <c r="S786" i="1"/>
  <c r="R786" i="1"/>
  <c r="AT786" i="1" s="1"/>
  <c r="Q786" i="1"/>
  <c r="AU786" i="1" s="1"/>
  <c r="P786" i="1"/>
  <c r="U785" i="1"/>
  <c r="T785" i="1"/>
  <c r="S785" i="1"/>
  <c r="R785" i="1"/>
  <c r="AT785" i="1" s="1"/>
  <c r="Q785" i="1"/>
  <c r="AU785" i="1" s="1"/>
  <c r="P785" i="1"/>
  <c r="U784" i="1"/>
  <c r="T784" i="1"/>
  <c r="S784" i="1"/>
  <c r="R784" i="1"/>
  <c r="AT784" i="1" s="1"/>
  <c r="Q784" i="1"/>
  <c r="AU784" i="1" s="1"/>
  <c r="P784" i="1"/>
  <c r="U783" i="1"/>
  <c r="T783" i="1"/>
  <c r="S783" i="1"/>
  <c r="R783" i="1"/>
  <c r="AT783" i="1" s="1"/>
  <c r="Q783" i="1"/>
  <c r="AU783" i="1" s="1"/>
  <c r="P783" i="1"/>
  <c r="U782" i="1"/>
  <c r="T782" i="1"/>
  <c r="S782" i="1"/>
  <c r="U781" i="1"/>
  <c r="T781" i="1"/>
  <c r="S781" i="1"/>
  <c r="R781" i="1"/>
  <c r="AT781" i="1" s="1"/>
  <c r="Q781" i="1"/>
  <c r="AU781" i="1" s="1"/>
  <c r="P781" i="1"/>
  <c r="U780" i="1"/>
  <c r="T780" i="1"/>
  <c r="S780" i="1"/>
  <c r="R780" i="1"/>
  <c r="AT780" i="1" s="1"/>
  <c r="Q780" i="1"/>
  <c r="AU780" i="1" s="1"/>
  <c r="P780" i="1"/>
  <c r="U779" i="1"/>
  <c r="T779" i="1"/>
  <c r="S779" i="1"/>
  <c r="R779" i="1"/>
  <c r="AT779" i="1" s="1"/>
  <c r="Q779" i="1"/>
  <c r="AU779" i="1" s="1"/>
  <c r="P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R774" i="1"/>
  <c r="AT774" i="1" s="1"/>
  <c r="Q774" i="1"/>
  <c r="AU774" i="1" s="1"/>
  <c r="P774" i="1"/>
  <c r="U773" i="1"/>
  <c r="T773" i="1"/>
  <c r="S773" i="1"/>
  <c r="U772" i="1"/>
  <c r="T772" i="1"/>
  <c r="S772" i="1"/>
  <c r="R772" i="1"/>
  <c r="AT772" i="1" s="1"/>
  <c r="Q772" i="1"/>
  <c r="AU772" i="1" s="1"/>
  <c r="P772" i="1"/>
  <c r="U771" i="1"/>
  <c r="T771" i="1"/>
  <c r="S771" i="1"/>
  <c r="R771" i="1"/>
  <c r="AT771" i="1" s="1"/>
  <c r="Q771" i="1"/>
  <c r="AU771" i="1" s="1"/>
  <c r="P771" i="1"/>
  <c r="U770" i="1"/>
  <c r="T770" i="1"/>
  <c r="S770" i="1"/>
  <c r="U769" i="1"/>
  <c r="T769" i="1"/>
  <c r="S769" i="1"/>
  <c r="R769" i="1"/>
  <c r="AT769" i="1" s="1"/>
  <c r="Q769" i="1"/>
  <c r="AU769" i="1" s="1"/>
  <c r="P769" i="1"/>
  <c r="U768" i="1"/>
  <c r="T768" i="1"/>
  <c r="S768" i="1"/>
  <c r="R768" i="1"/>
  <c r="AT768" i="1" s="1"/>
  <c r="Q768" i="1"/>
  <c r="AU768" i="1" s="1"/>
  <c r="P768" i="1"/>
  <c r="U767" i="1"/>
  <c r="T767" i="1"/>
  <c r="S767" i="1"/>
  <c r="U765" i="1"/>
  <c r="T765" i="1"/>
  <c r="S765" i="1"/>
  <c r="R765" i="1"/>
  <c r="AT765" i="1" s="1"/>
  <c r="Q765" i="1"/>
  <c r="AU765" i="1" s="1"/>
  <c r="P765" i="1"/>
  <c r="U753" i="1"/>
  <c r="T753" i="1"/>
  <c r="S753" i="1"/>
  <c r="R753" i="1"/>
  <c r="AT753" i="1" s="1"/>
  <c r="Q753" i="1"/>
  <c r="AU753" i="1" s="1"/>
  <c r="P753" i="1"/>
  <c r="U751" i="1"/>
  <c r="T751" i="1"/>
  <c r="S751" i="1"/>
  <c r="R751" i="1"/>
  <c r="AT751" i="1" s="1"/>
  <c r="Q751" i="1"/>
  <c r="AU751" i="1" s="1"/>
  <c r="P751" i="1"/>
  <c r="U750" i="1"/>
  <c r="T750" i="1"/>
  <c r="S750" i="1"/>
  <c r="R750" i="1"/>
  <c r="AT750" i="1" s="1"/>
  <c r="Q750" i="1"/>
  <c r="AU750" i="1" s="1"/>
  <c r="P750" i="1"/>
  <c r="U749" i="1"/>
  <c r="T749" i="1"/>
  <c r="S749" i="1"/>
  <c r="R749" i="1"/>
  <c r="AT749" i="1" s="1"/>
  <c r="Q749" i="1"/>
  <c r="AU749" i="1" s="1"/>
  <c r="P749" i="1"/>
  <c r="U748" i="1"/>
  <c r="T748" i="1"/>
  <c r="S748" i="1"/>
  <c r="R748" i="1"/>
  <c r="AT748" i="1" s="1"/>
  <c r="Q748" i="1"/>
  <c r="AU748" i="1" s="1"/>
  <c r="P748" i="1"/>
  <c r="U747" i="1"/>
  <c r="T747" i="1"/>
  <c r="S747" i="1"/>
  <c r="R747" i="1"/>
  <c r="AT747" i="1" s="1"/>
  <c r="Q747" i="1"/>
  <c r="AU747" i="1" s="1"/>
  <c r="P747" i="1"/>
  <c r="U746" i="1"/>
  <c r="T746" i="1"/>
  <c r="S746" i="1"/>
  <c r="R746" i="1"/>
  <c r="AT746" i="1" s="1"/>
  <c r="Q746" i="1"/>
  <c r="AU746" i="1" s="1"/>
  <c r="P746" i="1"/>
  <c r="U745" i="1"/>
  <c r="T745" i="1"/>
  <c r="S745" i="1"/>
  <c r="U744" i="1"/>
  <c r="T744" i="1"/>
  <c r="S744" i="1"/>
  <c r="R744" i="1"/>
  <c r="AT744" i="1" s="1"/>
  <c r="Q744" i="1"/>
  <c r="AU744" i="1" s="1"/>
  <c r="P744" i="1"/>
  <c r="U764" i="1"/>
  <c r="T764" i="1"/>
  <c r="S764" i="1"/>
  <c r="R764" i="1"/>
  <c r="AT764" i="1" s="1"/>
  <c r="Q764" i="1"/>
  <c r="AU764" i="1" s="1"/>
  <c r="P764" i="1"/>
  <c r="U763" i="1"/>
  <c r="T763" i="1"/>
  <c r="S763" i="1"/>
  <c r="R763" i="1"/>
  <c r="AT763" i="1" s="1"/>
  <c r="Q763" i="1"/>
  <c r="AU763" i="1" s="1"/>
  <c r="P763" i="1"/>
  <c r="U762" i="1"/>
  <c r="T762" i="1"/>
  <c r="S762" i="1"/>
  <c r="U761" i="1"/>
  <c r="T761" i="1"/>
  <c r="S761" i="1"/>
  <c r="R761" i="1"/>
  <c r="AT761" i="1" s="1"/>
  <c r="Q761" i="1"/>
  <c r="AU761" i="1" s="1"/>
  <c r="P761" i="1"/>
  <c r="U760" i="1"/>
  <c r="T760" i="1"/>
  <c r="S760" i="1"/>
  <c r="U759" i="1"/>
  <c r="T759" i="1"/>
  <c r="S759" i="1"/>
  <c r="R759" i="1"/>
  <c r="AT759" i="1" s="1"/>
  <c r="Q759" i="1"/>
  <c r="AU759" i="1" s="1"/>
  <c r="P759" i="1"/>
  <c r="U758" i="1"/>
  <c r="T758" i="1"/>
  <c r="S758" i="1"/>
  <c r="U757" i="1"/>
  <c r="T757" i="1"/>
  <c r="S757" i="1"/>
  <c r="R757" i="1"/>
  <c r="AT757" i="1" s="1"/>
  <c r="Q757" i="1"/>
  <c r="AU757" i="1" s="1"/>
  <c r="P757" i="1"/>
  <c r="U756" i="1"/>
  <c r="T756" i="1"/>
  <c r="S756" i="1"/>
  <c r="U755" i="1"/>
  <c r="T755" i="1"/>
  <c r="S755" i="1"/>
  <c r="U754" i="1"/>
  <c r="T754" i="1"/>
  <c r="S754" i="1"/>
  <c r="R754" i="1"/>
  <c r="AT754" i="1" s="1"/>
  <c r="Q754" i="1"/>
  <c r="AU754" i="1" s="1"/>
  <c r="P754" i="1"/>
  <c r="U743" i="1"/>
  <c r="T743" i="1"/>
  <c r="S743" i="1"/>
  <c r="R743" i="1"/>
  <c r="AT743" i="1" s="1"/>
  <c r="Q743" i="1"/>
  <c r="AU743" i="1" s="1"/>
  <c r="P743" i="1"/>
  <c r="U742" i="1"/>
  <c r="T742" i="1"/>
  <c r="S742" i="1"/>
  <c r="R742" i="1"/>
  <c r="AT742" i="1" s="1"/>
  <c r="Q742" i="1"/>
  <c r="AU742" i="1" s="1"/>
  <c r="P742" i="1"/>
  <c r="U741" i="1"/>
  <c r="T741" i="1"/>
  <c r="S741" i="1"/>
  <c r="R741" i="1"/>
  <c r="AT741" i="1" s="1"/>
  <c r="Q741" i="1"/>
  <c r="AU741" i="1" s="1"/>
  <c r="P741" i="1"/>
  <c r="U740" i="1"/>
  <c r="T740" i="1"/>
  <c r="S740" i="1"/>
  <c r="U736" i="1"/>
  <c r="T736" i="1"/>
  <c r="S736" i="1"/>
  <c r="R736" i="1"/>
  <c r="AT736" i="1" s="1"/>
  <c r="Q736" i="1"/>
  <c r="AU736" i="1" s="1"/>
  <c r="P736" i="1"/>
  <c r="U721" i="1"/>
  <c r="T721" i="1"/>
  <c r="S721" i="1"/>
  <c r="R721" i="1"/>
  <c r="AT721" i="1" s="1"/>
  <c r="Q721" i="1"/>
  <c r="AU721" i="1" s="1"/>
  <c r="P721" i="1"/>
  <c r="U716" i="1"/>
  <c r="T716" i="1"/>
  <c r="S716" i="1"/>
  <c r="U708" i="1"/>
  <c r="T708" i="1"/>
  <c r="S708" i="1"/>
  <c r="U707" i="1"/>
  <c r="T707" i="1"/>
  <c r="S707" i="1"/>
  <c r="R707" i="1"/>
  <c r="AT707" i="1" s="1"/>
  <c r="Q707" i="1"/>
  <c r="AU707" i="1" s="1"/>
  <c r="P707" i="1"/>
  <c r="U706" i="1"/>
  <c r="T706" i="1"/>
  <c r="S706" i="1"/>
  <c r="R706" i="1"/>
  <c r="AT706" i="1" s="1"/>
  <c r="Q706" i="1"/>
  <c r="AU706" i="1" s="1"/>
  <c r="P706" i="1"/>
  <c r="U704" i="1"/>
  <c r="T704" i="1"/>
  <c r="S704" i="1"/>
  <c r="R704" i="1"/>
  <c r="AT704" i="1" s="1"/>
  <c r="Q704" i="1"/>
  <c r="AU704" i="1" s="1"/>
  <c r="P704" i="1"/>
  <c r="U703" i="1"/>
  <c r="T703" i="1"/>
  <c r="S703" i="1"/>
  <c r="R703" i="1"/>
  <c r="AT703" i="1" s="1"/>
  <c r="Q703" i="1"/>
  <c r="AU703" i="1" s="1"/>
  <c r="P703" i="1"/>
  <c r="U700" i="1"/>
  <c r="T700" i="1"/>
  <c r="S700" i="1"/>
  <c r="R700" i="1"/>
  <c r="AT700" i="1" s="1"/>
  <c r="Q700" i="1"/>
  <c r="AU700" i="1" s="1"/>
  <c r="P700" i="1"/>
  <c r="U698" i="1"/>
  <c r="T698" i="1"/>
  <c r="S698" i="1"/>
  <c r="U696" i="1"/>
  <c r="T696" i="1"/>
  <c r="S696" i="1"/>
  <c r="R696" i="1"/>
  <c r="AT696" i="1" s="1"/>
  <c r="Q696" i="1"/>
  <c r="AU696" i="1" s="1"/>
  <c r="P696" i="1"/>
  <c r="U693" i="1"/>
  <c r="T693" i="1"/>
  <c r="S693" i="1"/>
  <c r="R693" i="1"/>
  <c r="AT693" i="1" s="1"/>
  <c r="Q693" i="1"/>
  <c r="AU693" i="1" s="1"/>
  <c r="P693" i="1"/>
  <c r="U692" i="1"/>
  <c r="T692" i="1"/>
  <c r="S692" i="1"/>
  <c r="R692" i="1"/>
  <c r="AT692" i="1" s="1"/>
  <c r="Q692" i="1"/>
  <c r="AU692" i="1" s="1"/>
  <c r="P692" i="1"/>
  <c r="U691" i="1"/>
  <c r="T691" i="1"/>
  <c r="S691" i="1"/>
  <c r="U686" i="1"/>
  <c r="T686" i="1"/>
  <c r="S686" i="1"/>
  <c r="U685" i="1"/>
  <c r="T685" i="1"/>
  <c r="S685" i="1"/>
  <c r="U683" i="1"/>
  <c r="T683" i="1"/>
  <c r="S683" i="1"/>
  <c r="R683" i="1"/>
  <c r="AT683" i="1" s="1"/>
  <c r="Q683" i="1"/>
  <c r="AU683" i="1" s="1"/>
  <c r="P683" i="1"/>
  <c r="U682" i="1"/>
  <c r="T682" i="1"/>
  <c r="S682" i="1"/>
  <c r="R682" i="1"/>
  <c r="AT682" i="1" s="1"/>
  <c r="Q682" i="1"/>
  <c r="AU682" i="1" s="1"/>
  <c r="P682" i="1"/>
  <c r="U680" i="1"/>
  <c r="T680" i="1"/>
  <c r="S680" i="1"/>
  <c r="U679" i="1"/>
  <c r="T679" i="1"/>
  <c r="S679" i="1"/>
  <c r="U678" i="1"/>
  <c r="T678" i="1"/>
  <c r="S678" i="1"/>
  <c r="R678" i="1"/>
  <c r="AT678" i="1" s="1"/>
  <c r="Q678" i="1"/>
  <c r="AU678" i="1" s="1"/>
  <c r="P678" i="1"/>
  <c r="U677" i="1"/>
  <c r="T677" i="1"/>
  <c r="S677" i="1"/>
  <c r="U664" i="1"/>
  <c r="T664" i="1"/>
  <c r="S664" i="1"/>
  <c r="R664" i="1"/>
  <c r="AT664" i="1" s="1"/>
  <c r="Q664" i="1"/>
  <c r="AU664" i="1" s="1"/>
  <c r="P664" i="1"/>
  <c r="U663" i="1"/>
  <c r="T663" i="1"/>
  <c r="S663" i="1"/>
  <c r="R663" i="1"/>
  <c r="AT663" i="1" s="1"/>
  <c r="Q663" i="1"/>
  <c r="AU663" i="1" s="1"/>
  <c r="P663" i="1"/>
  <c r="U661" i="1"/>
  <c r="T661" i="1"/>
  <c r="S661" i="1"/>
  <c r="R661" i="1"/>
  <c r="AT661" i="1" s="1"/>
  <c r="Q661" i="1"/>
  <c r="AU661" i="1" s="1"/>
  <c r="P661" i="1"/>
  <c r="U660" i="1"/>
  <c r="T660" i="1"/>
  <c r="S660" i="1"/>
  <c r="R660" i="1"/>
  <c r="AT660" i="1" s="1"/>
  <c r="Q660" i="1"/>
  <c r="AU660" i="1" s="1"/>
  <c r="P660" i="1"/>
  <c r="U656" i="1"/>
  <c r="T656" i="1"/>
  <c r="S656" i="1"/>
  <c r="R656" i="1"/>
  <c r="AT656" i="1" s="1"/>
  <c r="U645" i="1"/>
  <c r="T645" i="1"/>
  <c r="S645" i="1"/>
  <c r="Y555" i="1"/>
  <c r="X555" i="1"/>
  <c r="U555" i="1"/>
  <c r="T555" i="1"/>
  <c r="S555" i="1"/>
  <c r="R555" i="1"/>
  <c r="AT555" i="1" s="1"/>
  <c r="Q555" i="1"/>
  <c r="AU555" i="1" s="1"/>
  <c r="P555" i="1"/>
  <c r="X739" i="1"/>
  <c r="Y738" i="1"/>
  <c r="X738" i="1"/>
  <c r="X737" i="1"/>
  <c r="X735" i="1"/>
  <c r="X734" i="1"/>
  <c r="Y733" i="1"/>
  <c r="X733" i="1"/>
  <c r="Y732" i="1"/>
  <c r="X732" i="1"/>
  <c r="Y731" i="1"/>
  <c r="X731" i="1"/>
  <c r="Y730" i="1"/>
  <c r="X730" i="1"/>
  <c r="Y729" i="1"/>
  <c r="X729" i="1"/>
  <c r="X728" i="1"/>
  <c r="Y727" i="1"/>
  <c r="X727" i="1"/>
  <c r="Y726" i="1"/>
  <c r="X726" i="1"/>
  <c r="Y725" i="1"/>
  <c r="X725" i="1"/>
  <c r="Y724" i="1"/>
  <c r="X724" i="1"/>
  <c r="X723" i="1"/>
  <c r="Y722" i="1"/>
  <c r="X722" i="1"/>
  <c r="Y720" i="1"/>
  <c r="X720" i="1"/>
  <c r="Y719" i="1"/>
  <c r="X719" i="1"/>
  <c r="Y718" i="1"/>
  <c r="X718" i="1"/>
  <c r="Y717" i="1"/>
  <c r="X717" i="1"/>
  <c r="Y715" i="1"/>
  <c r="X715" i="1"/>
  <c r="X714" i="1"/>
  <c r="Y713" i="1"/>
  <c r="X713" i="1"/>
  <c r="Y712" i="1"/>
  <c r="X712" i="1"/>
  <c r="Y711" i="1"/>
  <c r="X711" i="1"/>
  <c r="Y710" i="1"/>
  <c r="X710" i="1"/>
  <c r="X709" i="1"/>
  <c r="Y705" i="1"/>
  <c r="X705" i="1"/>
  <c r="Y702" i="1"/>
  <c r="X702" i="1"/>
  <c r="Y701" i="1"/>
  <c r="X701" i="1"/>
  <c r="X699" i="1"/>
  <c r="X697" i="1"/>
  <c r="X695" i="1"/>
  <c r="Y694" i="1"/>
  <c r="X694" i="1"/>
  <c r="Y690" i="1"/>
  <c r="X690" i="1"/>
  <c r="Y689" i="1"/>
  <c r="X689" i="1"/>
  <c r="Y688" i="1"/>
  <c r="X688" i="1"/>
  <c r="X687" i="1"/>
  <c r="Y681" i="1"/>
  <c r="X681" i="1"/>
  <c r="X676" i="1"/>
  <c r="Y675" i="1"/>
  <c r="X675" i="1"/>
  <c r="Y674" i="1"/>
  <c r="X674" i="1"/>
  <c r="X673" i="1"/>
  <c r="Y672" i="1"/>
  <c r="X672" i="1"/>
  <c r="Y671" i="1"/>
  <c r="X671" i="1"/>
  <c r="X670" i="1"/>
  <c r="X669" i="1"/>
  <c r="X668" i="1"/>
  <c r="Y667" i="1"/>
  <c r="X667" i="1"/>
  <c r="Y666" i="1"/>
  <c r="X666" i="1"/>
  <c r="X665" i="1"/>
  <c r="X662" i="1"/>
  <c r="Y659" i="1"/>
  <c r="X659" i="1"/>
  <c r="Y658" i="1"/>
  <c r="X658" i="1"/>
  <c r="X657" i="1"/>
  <c r="Y655" i="1"/>
  <c r="X655" i="1"/>
  <c r="Y654" i="1"/>
  <c r="X654" i="1"/>
  <c r="Y653" i="1"/>
  <c r="X653" i="1"/>
  <c r="Y652" i="1"/>
  <c r="X652" i="1"/>
  <c r="Y651" i="1"/>
  <c r="X651" i="1"/>
  <c r="X650" i="1"/>
  <c r="Y649" i="1"/>
  <c r="X649" i="1"/>
  <c r="Y648" i="1"/>
  <c r="X648" i="1"/>
  <c r="Y647" i="1"/>
  <c r="X647" i="1"/>
  <c r="Y646" i="1"/>
  <c r="X646" i="1"/>
  <c r="Y644" i="1"/>
  <c r="X644" i="1"/>
  <c r="X643" i="1"/>
  <c r="X642" i="1"/>
  <c r="Y641" i="1"/>
  <c r="X641" i="1"/>
  <c r="X640" i="1"/>
  <c r="X639" i="1"/>
  <c r="Y638" i="1"/>
  <c r="X638" i="1"/>
  <c r="X637" i="1"/>
  <c r="X636" i="1"/>
  <c r="Y635" i="1"/>
  <c r="X635" i="1"/>
  <c r="X634" i="1"/>
  <c r="X633" i="1"/>
  <c r="X632" i="1"/>
  <c r="X631" i="1"/>
  <c r="Y630" i="1"/>
  <c r="X630" i="1"/>
  <c r="Y629" i="1"/>
  <c r="X629" i="1"/>
  <c r="X628" i="1"/>
  <c r="Y627" i="1"/>
  <c r="X627" i="1"/>
  <c r="X626" i="1"/>
  <c r="Y625" i="1"/>
  <c r="X625" i="1"/>
  <c r="Y624" i="1"/>
  <c r="X624" i="1"/>
  <c r="X623" i="1"/>
  <c r="Y622" i="1"/>
  <c r="X622" i="1"/>
  <c r="X621" i="1"/>
  <c r="X620" i="1"/>
  <c r="Y619" i="1"/>
  <c r="X619" i="1"/>
  <c r="Y618" i="1"/>
  <c r="X618" i="1"/>
  <c r="Y617" i="1"/>
  <c r="X617" i="1"/>
  <c r="X616" i="1"/>
  <c r="Y615" i="1"/>
  <c r="X615" i="1"/>
  <c r="Y614" i="1"/>
  <c r="X614" i="1"/>
  <c r="X613" i="1"/>
  <c r="X612" i="1"/>
  <c r="X611" i="1"/>
  <c r="X610" i="1"/>
  <c r="Y609" i="1"/>
  <c r="X609" i="1"/>
  <c r="X608" i="1"/>
  <c r="Y607" i="1"/>
  <c r="X607" i="1"/>
  <c r="Y606" i="1"/>
  <c r="X606" i="1"/>
  <c r="Y605" i="1"/>
  <c r="X605" i="1"/>
  <c r="Y604" i="1"/>
  <c r="X604" i="1"/>
  <c r="Y603" i="1"/>
  <c r="X603" i="1"/>
  <c r="Y602" i="1"/>
  <c r="X602" i="1"/>
  <c r="X601" i="1"/>
  <c r="Y600" i="1"/>
  <c r="X600" i="1"/>
  <c r="Y599" i="1"/>
  <c r="X599" i="1"/>
  <c r="Y598" i="1"/>
  <c r="X598" i="1"/>
  <c r="Y597" i="1"/>
  <c r="X597" i="1"/>
  <c r="Y596" i="1"/>
  <c r="X596" i="1"/>
  <c r="Y595" i="1"/>
  <c r="X595" i="1"/>
  <c r="Y594" i="1"/>
  <c r="X594" i="1"/>
  <c r="X593" i="1"/>
  <c r="Y592" i="1"/>
  <c r="X592" i="1"/>
  <c r="Y591" i="1"/>
  <c r="X591" i="1"/>
  <c r="X590" i="1"/>
  <c r="X589" i="1"/>
  <c r="X588" i="1"/>
  <c r="X587" i="1"/>
  <c r="X586" i="1"/>
  <c r="Y585" i="1"/>
  <c r="X585" i="1"/>
  <c r="X584" i="1"/>
  <c r="Y583" i="1"/>
  <c r="X583" i="1"/>
  <c r="X582" i="1"/>
  <c r="Y581" i="1"/>
  <c r="X581" i="1"/>
  <c r="X580" i="1"/>
  <c r="Y579" i="1"/>
  <c r="X579" i="1"/>
  <c r="Y578" i="1"/>
  <c r="X578" i="1"/>
  <c r="X577" i="1"/>
  <c r="Y576" i="1"/>
  <c r="X576" i="1"/>
  <c r="X575" i="1"/>
  <c r="Y574" i="1"/>
  <c r="X574" i="1"/>
  <c r="Y573" i="1"/>
  <c r="X573" i="1"/>
  <c r="X572" i="1"/>
  <c r="Y571" i="1"/>
  <c r="X571" i="1"/>
  <c r="Y570" i="1"/>
  <c r="X570" i="1"/>
  <c r="Y569" i="1"/>
  <c r="X569" i="1"/>
  <c r="X568" i="1"/>
  <c r="Y567" i="1"/>
  <c r="X567" i="1"/>
  <c r="X566" i="1"/>
  <c r="X565" i="1"/>
  <c r="Y564" i="1"/>
  <c r="X564" i="1"/>
  <c r="X563" i="1"/>
  <c r="Y562" i="1"/>
  <c r="X562" i="1"/>
  <c r="Y561" i="1"/>
  <c r="X561" i="1"/>
  <c r="X560" i="1"/>
  <c r="Y559" i="1"/>
  <c r="X559" i="1"/>
  <c r="Y558" i="1"/>
  <c r="X558" i="1"/>
  <c r="X557" i="1"/>
  <c r="Y556" i="1"/>
  <c r="X556" i="1"/>
  <c r="X554" i="1"/>
  <c r="X553" i="1"/>
  <c r="X552" i="1"/>
  <c r="X551" i="1"/>
  <c r="Y550" i="1"/>
  <c r="X550" i="1"/>
  <c r="X549" i="1"/>
  <c r="Y548" i="1"/>
  <c r="X548" i="1"/>
  <c r="X547" i="1"/>
  <c r="Y546" i="1"/>
  <c r="X546" i="1"/>
  <c r="Y545" i="1"/>
  <c r="X545" i="1"/>
  <c r="Y544" i="1"/>
  <c r="X544" i="1"/>
  <c r="Y543" i="1"/>
  <c r="X543" i="1"/>
  <c r="X542" i="1"/>
  <c r="Y541" i="1"/>
  <c r="X541" i="1"/>
  <c r="X540" i="1"/>
  <c r="Y539" i="1"/>
  <c r="X539" i="1"/>
  <c r="X538" i="1"/>
  <c r="X537" i="1"/>
  <c r="X536" i="1"/>
  <c r="X535" i="1"/>
  <c r="Y534" i="1"/>
  <c r="X534" i="1"/>
  <c r="Y533" i="1"/>
  <c r="X533" i="1"/>
  <c r="Y532" i="1"/>
  <c r="X532" i="1"/>
  <c r="X531" i="1"/>
  <c r="X530" i="1"/>
  <c r="Y529" i="1"/>
  <c r="X529" i="1"/>
  <c r="Y528" i="1"/>
  <c r="X528" i="1"/>
  <c r="X527" i="1"/>
  <c r="X526" i="1"/>
  <c r="Y525" i="1"/>
  <c r="X525" i="1"/>
  <c r="X524" i="1"/>
  <c r="Y523" i="1"/>
  <c r="X523" i="1"/>
  <c r="X522" i="1"/>
  <c r="Y521" i="1"/>
  <c r="X521" i="1"/>
  <c r="X520" i="1"/>
  <c r="X519" i="1"/>
  <c r="Y518" i="1"/>
  <c r="X518" i="1"/>
  <c r="X517" i="1"/>
  <c r="Y516" i="1"/>
  <c r="X516" i="1"/>
  <c r="Y515" i="1"/>
  <c r="X515" i="1"/>
  <c r="X514" i="1"/>
  <c r="Y513" i="1"/>
  <c r="X513" i="1"/>
  <c r="Y512" i="1"/>
  <c r="X512" i="1"/>
  <c r="Y511" i="1"/>
  <c r="X511" i="1"/>
  <c r="Y510" i="1"/>
  <c r="X510" i="1"/>
  <c r="Y509" i="1"/>
  <c r="X509" i="1"/>
  <c r="X508" i="1"/>
  <c r="Y507" i="1"/>
  <c r="X507" i="1"/>
  <c r="Y506" i="1"/>
  <c r="X506" i="1"/>
  <c r="Y505" i="1"/>
  <c r="X505" i="1"/>
  <c r="Y504" i="1"/>
  <c r="X504" i="1"/>
  <c r="Y503" i="1"/>
  <c r="X503" i="1"/>
  <c r="Y502" i="1"/>
  <c r="X502" i="1"/>
  <c r="X501" i="1"/>
  <c r="X500" i="1"/>
  <c r="X499" i="1"/>
  <c r="Y498" i="1"/>
  <c r="X498" i="1"/>
  <c r="X497" i="1"/>
  <c r="Y496" i="1"/>
  <c r="X496" i="1"/>
  <c r="Y495" i="1"/>
  <c r="X495" i="1"/>
  <c r="X494" i="1"/>
  <c r="Y493" i="1"/>
  <c r="X493" i="1"/>
  <c r="X492" i="1"/>
  <c r="Y491" i="1"/>
  <c r="X491" i="1"/>
  <c r="X490" i="1"/>
  <c r="X489" i="1"/>
  <c r="Y488" i="1"/>
  <c r="X488" i="1"/>
  <c r="Y487" i="1"/>
  <c r="X487" i="1"/>
  <c r="Y486" i="1"/>
  <c r="X486" i="1"/>
  <c r="X485" i="1"/>
  <c r="X484" i="1"/>
  <c r="Y483" i="1"/>
  <c r="X483" i="1"/>
  <c r="Y482" i="1"/>
  <c r="X482" i="1"/>
  <c r="Y481" i="1"/>
  <c r="X481" i="1"/>
  <c r="X480" i="1"/>
  <c r="Y479" i="1"/>
  <c r="X479" i="1"/>
  <c r="X478" i="1"/>
  <c r="Y477" i="1"/>
  <c r="X477" i="1"/>
  <c r="X476" i="1"/>
  <c r="Y475" i="1"/>
  <c r="X475" i="1"/>
  <c r="X474" i="1"/>
  <c r="Y473" i="1"/>
  <c r="X473" i="1"/>
  <c r="X472" i="1"/>
  <c r="X471" i="1"/>
  <c r="Y470" i="1"/>
  <c r="X470" i="1"/>
  <c r="Y469" i="1"/>
  <c r="X469" i="1"/>
  <c r="Y468" i="1"/>
  <c r="X468" i="1"/>
  <c r="X467" i="1"/>
  <c r="Y466" i="1"/>
  <c r="X466" i="1"/>
  <c r="X465" i="1"/>
  <c r="Y464" i="1"/>
  <c r="X464" i="1"/>
  <c r="Y463" i="1"/>
  <c r="X463" i="1"/>
  <c r="Y462" i="1"/>
  <c r="X462" i="1"/>
  <c r="X461" i="1"/>
  <c r="Y460" i="1"/>
  <c r="X460" i="1"/>
  <c r="X459" i="1"/>
  <c r="X458" i="1"/>
  <c r="X457" i="1"/>
  <c r="Y456" i="1"/>
  <c r="X456" i="1"/>
  <c r="X455" i="1"/>
  <c r="Y454" i="1"/>
  <c r="X454" i="1"/>
  <c r="Y453" i="1"/>
  <c r="X453" i="1"/>
  <c r="X452" i="1"/>
  <c r="X451" i="1"/>
  <c r="X450" i="1"/>
  <c r="Y449" i="1"/>
  <c r="X449" i="1"/>
  <c r="X448" i="1"/>
  <c r="X447" i="1"/>
  <c r="X446" i="1"/>
  <c r="Y445" i="1"/>
  <c r="X445" i="1"/>
  <c r="Y444" i="1"/>
  <c r="X444" i="1"/>
  <c r="X443" i="1"/>
  <c r="Y442" i="1"/>
  <c r="X442" i="1"/>
  <c r="X441" i="1"/>
  <c r="X440" i="1"/>
  <c r="X439" i="1"/>
  <c r="X438" i="1"/>
  <c r="X437" i="1"/>
  <c r="X436" i="1"/>
  <c r="Y435" i="1"/>
  <c r="X435" i="1"/>
  <c r="Y434" i="1"/>
  <c r="X434" i="1"/>
  <c r="Y433" i="1"/>
  <c r="X433" i="1"/>
  <c r="Y432" i="1"/>
  <c r="X432" i="1"/>
  <c r="Y431" i="1"/>
  <c r="X431" i="1"/>
  <c r="X430" i="1"/>
  <c r="Y429" i="1"/>
  <c r="X429" i="1"/>
  <c r="X428" i="1"/>
  <c r="Y427" i="1"/>
  <c r="X427" i="1"/>
  <c r="Y426" i="1"/>
  <c r="X426" i="1"/>
  <c r="Y425" i="1"/>
  <c r="X425" i="1"/>
  <c r="Y424" i="1"/>
  <c r="X424" i="1"/>
  <c r="Y423" i="1"/>
  <c r="X423" i="1"/>
  <c r="X422" i="1"/>
  <c r="X421" i="1"/>
  <c r="X420" i="1"/>
  <c r="Y419" i="1"/>
  <c r="X419" i="1"/>
  <c r="X418" i="1"/>
  <c r="X417" i="1"/>
  <c r="X416" i="1"/>
  <c r="X415" i="1"/>
  <c r="Y414" i="1"/>
  <c r="X414" i="1"/>
  <c r="X413" i="1"/>
  <c r="Y412" i="1"/>
  <c r="X412" i="1"/>
  <c r="Y411" i="1"/>
  <c r="X411" i="1"/>
  <c r="X410" i="1"/>
  <c r="X409" i="1"/>
  <c r="Y408" i="1"/>
  <c r="X408" i="1"/>
  <c r="Y407" i="1"/>
  <c r="X407" i="1"/>
  <c r="Y406" i="1"/>
  <c r="X406" i="1"/>
  <c r="Y405" i="1"/>
  <c r="X405" i="1"/>
  <c r="Y404" i="1"/>
  <c r="X404" i="1"/>
  <c r="X403" i="1"/>
  <c r="Y402" i="1"/>
  <c r="X402" i="1"/>
  <c r="Y401" i="1"/>
  <c r="X401" i="1"/>
  <c r="Y400" i="1"/>
  <c r="X400" i="1"/>
  <c r="Y399" i="1"/>
  <c r="X399" i="1"/>
  <c r="X398" i="1"/>
  <c r="X397" i="1"/>
  <c r="X396" i="1"/>
  <c r="Y395" i="1"/>
  <c r="X395" i="1"/>
  <c r="X394" i="1"/>
  <c r="Y393" i="1"/>
  <c r="X393" i="1"/>
  <c r="X392" i="1"/>
  <c r="X391" i="1"/>
  <c r="X390" i="1"/>
  <c r="Y389" i="1"/>
  <c r="X389" i="1"/>
  <c r="Y388" i="1"/>
  <c r="X388" i="1"/>
  <c r="X387" i="1"/>
  <c r="Y386" i="1"/>
  <c r="X386" i="1"/>
  <c r="X385" i="1"/>
  <c r="Y384" i="1"/>
  <c r="X384" i="1"/>
  <c r="X383" i="1"/>
  <c r="X382" i="1"/>
  <c r="X381" i="1"/>
  <c r="Y380" i="1"/>
  <c r="X380" i="1"/>
  <c r="X379" i="1"/>
  <c r="Y378" i="1"/>
  <c r="X378" i="1"/>
  <c r="X377" i="1"/>
  <c r="X376" i="1"/>
  <c r="Y375" i="1"/>
  <c r="X375" i="1"/>
  <c r="Y374" i="1"/>
  <c r="X374" i="1"/>
  <c r="X373" i="1"/>
  <c r="Y372" i="1"/>
  <c r="X372" i="1"/>
  <c r="X371" i="1"/>
  <c r="Y370" i="1"/>
  <c r="X370" i="1"/>
  <c r="Y369" i="1"/>
  <c r="X369" i="1"/>
  <c r="Y368" i="1"/>
  <c r="X368" i="1"/>
  <c r="X367" i="1"/>
  <c r="Y366" i="1"/>
  <c r="X366" i="1"/>
  <c r="Y365" i="1"/>
  <c r="X365" i="1"/>
  <c r="Y364" i="1"/>
  <c r="X364" i="1"/>
  <c r="Y363" i="1"/>
  <c r="X363" i="1"/>
  <c r="Y362" i="1"/>
  <c r="X362" i="1"/>
  <c r="Y361" i="1"/>
  <c r="X361" i="1"/>
  <c r="X360" i="1"/>
  <c r="X359" i="1"/>
  <c r="Y358" i="1"/>
  <c r="X358" i="1"/>
  <c r="X357" i="1"/>
  <c r="Y356" i="1"/>
  <c r="X356" i="1"/>
  <c r="X355" i="1"/>
  <c r="X354" i="1"/>
  <c r="Y353" i="1"/>
  <c r="X353" i="1"/>
  <c r="Y352" i="1"/>
  <c r="X352" i="1"/>
  <c r="X351" i="1"/>
  <c r="Y350" i="1"/>
  <c r="X350" i="1"/>
  <c r="Y349" i="1"/>
  <c r="X349" i="1"/>
  <c r="X348" i="1"/>
  <c r="X347" i="1"/>
  <c r="Y346" i="1"/>
  <c r="X346" i="1"/>
  <c r="X345" i="1"/>
  <c r="X344" i="1"/>
  <c r="Y343" i="1"/>
  <c r="X343" i="1"/>
  <c r="X342" i="1"/>
  <c r="X341" i="1"/>
  <c r="Y340" i="1"/>
  <c r="X340" i="1"/>
  <c r="Y339" i="1"/>
  <c r="X339" i="1"/>
  <c r="Y338" i="1"/>
  <c r="X338" i="1"/>
  <c r="X337" i="1"/>
  <c r="Y336" i="1"/>
  <c r="X336" i="1"/>
  <c r="Y335" i="1"/>
  <c r="X335" i="1"/>
  <c r="Y334" i="1"/>
  <c r="X334" i="1"/>
  <c r="Y333" i="1"/>
  <c r="X333" i="1"/>
  <c r="X332" i="1"/>
  <c r="X331" i="1"/>
  <c r="X330" i="1"/>
  <c r="Y329" i="1"/>
  <c r="X329" i="1"/>
  <c r="Y328" i="1"/>
  <c r="X328" i="1"/>
  <c r="X327" i="1"/>
  <c r="Y326" i="1"/>
  <c r="X326" i="1"/>
  <c r="X325" i="1"/>
  <c r="X324" i="1"/>
  <c r="X323" i="1"/>
  <c r="X322" i="1"/>
  <c r="Y321" i="1"/>
  <c r="X321" i="1"/>
  <c r="X320" i="1"/>
  <c r="Y319" i="1"/>
  <c r="X319" i="1"/>
  <c r="X318" i="1"/>
  <c r="Y317" i="1"/>
  <c r="X317" i="1"/>
  <c r="X316" i="1"/>
  <c r="Y315" i="1"/>
  <c r="X315" i="1"/>
  <c r="Y314" i="1"/>
  <c r="X314" i="1"/>
  <c r="X313" i="1"/>
  <c r="Y312" i="1"/>
  <c r="X312" i="1"/>
  <c r="X311" i="1"/>
  <c r="Y310" i="1"/>
  <c r="X310" i="1"/>
  <c r="X309" i="1"/>
  <c r="X308" i="1"/>
  <c r="Y307" i="1"/>
  <c r="X307" i="1"/>
  <c r="X306" i="1"/>
  <c r="Y305" i="1"/>
  <c r="X305" i="1"/>
  <c r="X304" i="1"/>
  <c r="Y303" i="1"/>
  <c r="X303" i="1"/>
  <c r="Y302" i="1"/>
  <c r="X302" i="1"/>
  <c r="Y301" i="1"/>
  <c r="X301" i="1"/>
  <c r="Y300" i="1"/>
  <c r="X300" i="1"/>
  <c r="Y299" i="1"/>
  <c r="X299" i="1"/>
  <c r="Y298" i="1"/>
  <c r="X298" i="1"/>
  <c r="Y297" i="1"/>
  <c r="X297" i="1"/>
  <c r="X296" i="1"/>
  <c r="X295" i="1"/>
  <c r="X294" i="1"/>
  <c r="Y293" i="1"/>
  <c r="X293" i="1"/>
  <c r="Y292" i="1"/>
  <c r="X292" i="1"/>
  <c r="Y291" i="1"/>
  <c r="X291" i="1"/>
  <c r="Y290" i="1"/>
  <c r="X290" i="1"/>
  <c r="Y289" i="1"/>
  <c r="X289" i="1"/>
  <c r="Y288" i="1"/>
  <c r="X288" i="1"/>
  <c r="Y287" i="1"/>
  <c r="X287" i="1"/>
  <c r="Y286" i="1"/>
  <c r="X286" i="1"/>
  <c r="Y285" i="1"/>
  <c r="X285" i="1"/>
  <c r="Y284" i="1"/>
  <c r="X284" i="1"/>
  <c r="Y283" i="1"/>
  <c r="X283" i="1"/>
  <c r="Y282" i="1"/>
  <c r="X282" i="1"/>
  <c r="X281" i="1"/>
  <c r="X280" i="1"/>
  <c r="X279" i="1"/>
  <c r="Y278" i="1"/>
  <c r="X278" i="1"/>
  <c r="Y277" i="1"/>
  <c r="X277" i="1"/>
  <c r="X276" i="1"/>
  <c r="X275" i="1"/>
  <c r="Y274" i="1"/>
  <c r="X274" i="1"/>
  <c r="X273" i="1"/>
  <c r="X272" i="1"/>
  <c r="Y271" i="1"/>
  <c r="X271" i="1"/>
  <c r="Y270" i="1"/>
  <c r="X270" i="1"/>
  <c r="X269" i="1"/>
  <c r="Y268" i="1"/>
  <c r="X268" i="1"/>
  <c r="X267" i="1"/>
  <c r="X266" i="1"/>
  <c r="Y265" i="1"/>
  <c r="X265" i="1"/>
  <c r="X264" i="1"/>
  <c r="Y263" i="1"/>
  <c r="X263" i="1"/>
  <c r="Y262" i="1"/>
  <c r="X262" i="1"/>
  <c r="Y261" i="1"/>
  <c r="X261" i="1"/>
  <c r="Y260" i="1"/>
  <c r="X260" i="1"/>
  <c r="Y259" i="1"/>
  <c r="X259" i="1"/>
  <c r="X258" i="1"/>
  <c r="X257" i="1"/>
  <c r="Y256" i="1"/>
  <c r="X256" i="1"/>
  <c r="Y255" i="1"/>
  <c r="X255" i="1"/>
  <c r="Y254" i="1"/>
  <c r="X254" i="1"/>
  <c r="Y253" i="1"/>
  <c r="X253" i="1"/>
  <c r="X252" i="1"/>
  <c r="Y251" i="1"/>
  <c r="X251" i="1"/>
  <c r="Y250" i="1"/>
  <c r="X250" i="1"/>
  <c r="Y249" i="1"/>
  <c r="X249" i="1"/>
  <c r="Y248" i="1"/>
  <c r="X248" i="1"/>
  <c r="X247" i="1"/>
  <c r="Y246" i="1"/>
  <c r="X246" i="1"/>
  <c r="Y245" i="1"/>
  <c r="X245" i="1"/>
  <c r="X244" i="1"/>
  <c r="Y243" i="1"/>
  <c r="X243" i="1"/>
  <c r="Y242" i="1"/>
  <c r="X242" i="1"/>
  <c r="Y241" i="1"/>
  <c r="X241" i="1"/>
  <c r="Y240" i="1"/>
  <c r="X240" i="1"/>
  <c r="Y239" i="1"/>
  <c r="X239" i="1"/>
  <c r="Y238" i="1"/>
  <c r="X238" i="1"/>
  <c r="X237" i="1"/>
  <c r="Y236" i="1"/>
  <c r="X236" i="1"/>
  <c r="X235" i="1"/>
  <c r="Y234" i="1"/>
  <c r="X234" i="1"/>
  <c r="X233" i="1"/>
  <c r="X232" i="1"/>
  <c r="Y231" i="1"/>
  <c r="X231" i="1"/>
  <c r="Y230" i="1"/>
  <c r="X230" i="1"/>
  <c r="Y229" i="1"/>
  <c r="X229" i="1"/>
  <c r="Y228" i="1"/>
  <c r="X228" i="1"/>
  <c r="X227" i="1"/>
  <c r="X226" i="1"/>
  <c r="Y225" i="1"/>
  <c r="X225" i="1"/>
  <c r="X224" i="1"/>
  <c r="Y223" i="1"/>
  <c r="X223" i="1"/>
  <c r="Y222" i="1"/>
  <c r="X222" i="1"/>
  <c r="Y221" i="1"/>
  <c r="X221" i="1"/>
  <c r="Y220" i="1"/>
  <c r="X220" i="1"/>
  <c r="Y219" i="1"/>
  <c r="X219" i="1"/>
  <c r="Y218" i="1"/>
  <c r="X218" i="1"/>
  <c r="Y217" i="1"/>
  <c r="X217" i="1"/>
  <c r="Y216" i="1"/>
  <c r="X216" i="1"/>
  <c r="Y215" i="1"/>
  <c r="X215" i="1"/>
  <c r="Y214" i="1"/>
  <c r="X214" i="1"/>
  <c r="Y213" i="1"/>
  <c r="X213" i="1"/>
  <c r="Y212" i="1"/>
  <c r="X212" i="1"/>
  <c r="X211" i="1"/>
  <c r="Y210" i="1"/>
  <c r="X210" i="1"/>
  <c r="Y209" i="1"/>
  <c r="X209" i="1"/>
  <c r="Y208" i="1"/>
  <c r="X208" i="1"/>
  <c r="Y207" i="1"/>
  <c r="X207" i="1"/>
  <c r="Y206" i="1"/>
  <c r="X206" i="1"/>
  <c r="Y205" i="1"/>
  <c r="X205" i="1"/>
  <c r="X204" i="1"/>
  <c r="Y203" i="1"/>
  <c r="X203" i="1"/>
  <c r="X202" i="1"/>
  <c r="Y201" i="1"/>
  <c r="X201" i="1"/>
  <c r="Y200" i="1"/>
  <c r="X200" i="1"/>
  <c r="X199" i="1"/>
  <c r="X198" i="1"/>
  <c r="Y197" i="1"/>
  <c r="X197" i="1"/>
  <c r="Y196" i="1"/>
  <c r="X196" i="1"/>
  <c r="X195" i="1"/>
  <c r="Y194" i="1"/>
  <c r="X194" i="1"/>
  <c r="X193" i="1"/>
  <c r="Y192" i="1"/>
  <c r="X192" i="1"/>
  <c r="Y191" i="1"/>
  <c r="X191" i="1"/>
  <c r="Y190" i="1"/>
  <c r="X190" i="1"/>
  <c r="Y189" i="1"/>
  <c r="X189" i="1"/>
  <c r="X188" i="1"/>
  <c r="X187" i="1"/>
  <c r="X186" i="1"/>
  <c r="X185" i="1"/>
  <c r="Y184" i="1"/>
  <c r="X184" i="1"/>
  <c r="X183" i="1"/>
  <c r="X182" i="1"/>
  <c r="Y181" i="1"/>
  <c r="X181" i="1"/>
  <c r="X180" i="1"/>
  <c r="X179" i="1"/>
  <c r="X178" i="1"/>
  <c r="X177" i="1"/>
  <c r="Y176" i="1"/>
  <c r="X176" i="1"/>
  <c r="Y175" i="1"/>
  <c r="X175" i="1"/>
  <c r="X174" i="1"/>
  <c r="X173" i="1"/>
  <c r="Y172" i="1"/>
  <c r="X172" i="1"/>
  <c r="X171" i="1"/>
  <c r="X170" i="1"/>
  <c r="Y169" i="1"/>
  <c r="X169" i="1"/>
  <c r="X168" i="1"/>
  <c r="Y167" i="1"/>
  <c r="X167" i="1"/>
  <c r="X166" i="1"/>
  <c r="X165" i="1"/>
  <c r="X164" i="1"/>
  <c r="X163" i="1"/>
  <c r="Y162" i="1"/>
  <c r="X162" i="1"/>
  <c r="Y161" i="1"/>
  <c r="X161" i="1"/>
  <c r="Y160" i="1"/>
  <c r="X160" i="1"/>
  <c r="X159" i="1"/>
  <c r="Y158" i="1"/>
  <c r="X158" i="1"/>
  <c r="Y157" i="1"/>
  <c r="X157" i="1"/>
  <c r="Y156" i="1"/>
  <c r="X156" i="1"/>
  <c r="X155" i="1"/>
  <c r="Y154" i="1"/>
  <c r="X154" i="1"/>
  <c r="Y153" i="1"/>
  <c r="X153" i="1"/>
  <c r="Y152" i="1"/>
  <c r="X152" i="1"/>
  <c r="X151" i="1"/>
  <c r="X150" i="1"/>
  <c r="X149" i="1"/>
  <c r="Y148" i="1"/>
  <c r="X148" i="1"/>
  <c r="Y147" i="1"/>
  <c r="X147" i="1"/>
  <c r="Y146" i="1"/>
  <c r="X146" i="1"/>
  <c r="Y145" i="1"/>
  <c r="X145" i="1"/>
  <c r="Y144" i="1"/>
  <c r="X144" i="1"/>
  <c r="Y143" i="1"/>
  <c r="X143" i="1"/>
  <c r="Y142" i="1"/>
  <c r="X142" i="1"/>
  <c r="Y141" i="1"/>
  <c r="X141" i="1"/>
  <c r="Y140" i="1"/>
  <c r="X140" i="1"/>
  <c r="Y139" i="1"/>
  <c r="X139" i="1"/>
  <c r="X138" i="1"/>
  <c r="Y137" i="1"/>
  <c r="X137" i="1"/>
  <c r="Y136" i="1"/>
  <c r="X136" i="1"/>
  <c r="X135" i="1"/>
  <c r="Y134" i="1"/>
  <c r="X134" i="1"/>
  <c r="X133" i="1"/>
  <c r="Y132" i="1"/>
  <c r="X132" i="1"/>
  <c r="Y131" i="1"/>
  <c r="X131" i="1"/>
  <c r="X130" i="1"/>
  <c r="Y129" i="1"/>
  <c r="X129" i="1"/>
  <c r="X128" i="1"/>
  <c r="X127" i="1"/>
  <c r="Y126" i="1"/>
  <c r="X126" i="1"/>
  <c r="Y125" i="1"/>
  <c r="X125" i="1"/>
  <c r="Y124" i="1"/>
  <c r="X124" i="1"/>
  <c r="Y123" i="1"/>
  <c r="X123" i="1"/>
  <c r="Y122" i="1"/>
  <c r="X122" i="1"/>
  <c r="Y121" i="1"/>
  <c r="X121" i="1"/>
  <c r="X120" i="1"/>
  <c r="X119" i="1"/>
  <c r="Y118" i="1"/>
  <c r="X118" i="1"/>
  <c r="X117" i="1"/>
  <c r="Y116" i="1"/>
  <c r="X116" i="1"/>
  <c r="Y115" i="1"/>
  <c r="X115" i="1"/>
  <c r="Y114" i="1"/>
  <c r="X114" i="1"/>
  <c r="X113" i="1"/>
  <c r="X112" i="1"/>
  <c r="Y111" i="1"/>
  <c r="X111" i="1"/>
  <c r="X110" i="1"/>
  <c r="X109" i="1"/>
  <c r="X108" i="1"/>
  <c r="Y107" i="1"/>
  <c r="X107" i="1"/>
  <c r="Y106" i="1"/>
  <c r="X106" i="1"/>
  <c r="X105" i="1"/>
  <c r="Y104" i="1"/>
  <c r="X104" i="1"/>
  <c r="X103" i="1"/>
  <c r="X102" i="1"/>
  <c r="X101" i="1"/>
  <c r="X100" i="1"/>
  <c r="Y99" i="1"/>
  <c r="X99" i="1"/>
  <c r="X98" i="1"/>
  <c r="Y97" i="1"/>
  <c r="X97" i="1"/>
  <c r="Y96" i="1"/>
  <c r="X96" i="1"/>
  <c r="Y95" i="1"/>
  <c r="X95" i="1"/>
  <c r="X94" i="1"/>
  <c r="X93" i="1"/>
  <c r="Y92" i="1"/>
  <c r="X92" i="1"/>
  <c r="Y91" i="1"/>
  <c r="X91" i="1"/>
  <c r="Y90" i="1"/>
  <c r="X90" i="1"/>
  <c r="Y89" i="1"/>
  <c r="X89" i="1"/>
  <c r="X88" i="1"/>
  <c r="X87" i="1"/>
  <c r="Y86" i="1"/>
  <c r="X86" i="1"/>
  <c r="X85" i="1"/>
  <c r="X84" i="1"/>
  <c r="X83" i="1"/>
  <c r="Y82" i="1"/>
  <c r="X82" i="1"/>
  <c r="X81" i="1"/>
  <c r="X80" i="1"/>
  <c r="X79" i="1"/>
  <c r="Y78" i="1"/>
  <c r="X78" i="1"/>
  <c r="X77" i="1"/>
  <c r="X76" i="1"/>
  <c r="X75" i="1"/>
  <c r="X74" i="1"/>
  <c r="X73" i="1"/>
  <c r="X72" i="1"/>
  <c r="X71" i="1"/>
  <c r="Y70" i="1"/>
  <c r="X70" i="1"/>
  <c r="X69" i="1"/>
  <c r="Y68" i="1"/>
  <c r="X68" i="1"/>
  <c r="X67" i="1"/>
  <c r="Y66" i="1"/>
  <c r="X66" i="1"/>
  <c r="Y65" i="1"/>
  <c r="X65" i="1"/>
  <c r="Y64" i="1"/>
  <c r="X64" i="1"/>
  <c r="X63" i="1"/>
  <c r="X62" i="1"/>
  <c r="Y61" i="1"/>
  <c r="X61" i="1"/>
  <c r="X60" i="1"/>
  <c r="Y59" i="1"/>
  <c r="X59" i="1"/>
  <c r="X58" i="1"/>
  <c r="Y57" i="1"/>
  <c r="X57" i="1"/>
  <c r="Y56" i="1"/>
  <c r="X56" i="1"/>
  <c r="X55" i="1"/>
  <c r="Y54" i="1"/>
  <c r="X54" i="1"/>
  <c r="Y53" i="1"/>
  <c r="X53" i="1"/>
  <c r="Y52" i="1"/>
  <c r="X52" i="1"/>
  <c r="Y51" i="1"/>
  <c r="X51" i="1"/>
  <c r="X50" i="1"/>
  <c r="X49" i="1"/>
  <c r="X48" i="1"/>
  <c r="X47" i="1"/>
  <c r="Y46" i="1"/>
  <c r="X46" i="1"/>
  <c r="X45" i="1"/>
  <c r="X44" i="1"/>
  <c r="Y43" i="1"/>
  <c r="X43" i="1"/>
  <c r="Y42" i="1"/>
  <c r="X42" i="1"/>
  <c r="Y41" i="1"/>
  <c r="X41" i="1"/>
  <c r="X40" i="1"/>
  <c r="Y39" i="1"/>
  <c r="X39" i="1"/>
  <c r="Y38" i="1"/>
  <c r="X38" i="1"/>
  <c r="Y37" i="1"/>
  <c r="X37" i="1"/>
  <c r="Y36" i="1"/>
  <c r="X36" i="1"/>
  <c r="X35" i="1"/>
  <c r="X34" i="1"/>
  <c r="X33" i="1"/>
  <c r="Y32" i="1"/>
  <c r="X32" i="1"/>
  <c r="Y31" i="1"/>
  <c r="X31" i="1"/>
  <c r="Y30" i="1"/>
  <c r="X30" i="1"/>
  <c r="X29" i="1"/>
  <c r="Y28" i="1"/>
  <c r="X28" i="1"/>
  <c r="X27" i="1"/>
  <c r="X26" i="1"/>
  <c r="Y25" i="1"/>
  <c r="X25" i="1"/>
  <c r="X24" i="1"/>
  <c r="X23" i="1"/>
  <c r="X22" i="1"/>
  <c r="Y21" i="1"/>
  <c r="X21" i="1"/>
  <c r="Y20" i="1"/>
  <c r="X20" i="1"/>
  <c r="X19" i="1"/>
  <c r="Y18" i="1"/>
  <c r="X18" i="1"/>
  <c r="Y17" i="1"/>
  <c r="X17" i="1"/>
  <c r="X16" i="1"/>
  <c r="X15" i="1"/>
  <c r="Y14" i="1"/>
  <c r="X14" i="1"/>
  <c r="Y13" i="1"/>
  <c r="X13" i="1"/>
  <c r="Y12" i="1"/>
  <c r="X12" i="1"/>
  <c r="Y11" i="1"/>
  <c r="X11" i="1"/>
  <c r="X10" i="1"/>
  <c r="Y9" i="1"/>
  <c r="X9" i="1"/>
  <c r="X8" i="1"/>
  <c r="X7" i="1"/>
  <c r="Y6" i="1"/>
  <c r="X6" i="1"/>
  <c r="X5" i="1"/>
  <c r="Y4" i="1"/>
  <c r="X4" i="1"/>
  <c r="X3" i="1"/>
  <c r="U739" i="1"/>
  <c r="T739" i="1"/>
  <c r="S739" i="1"/>
  <c r="U738" i="1"/>
  <c r="T738" i="1"/>
  <c r="S738" i="1"/>
  <c r="R738" i="1"/>
  <c r="AT738" i="1" s="1"/>
  <c r="Q738" i="1"/>
  <c r="AU738" i="1" s="1"/>
  <c r="P738" i="1"/>
  <c r="U737" i="1"/>
  <c r="T737" i="1"/>
  <c r="S737" i="1"/>
  <c r="U735" i="1"/>
  <c r="T735" i="1"/>
  <c r="S735" i="1"/>
  <c r="U734" i="1"/>
  <c r="T734" i="1"/>
  <c r="S734" i="1"/>
  <c r="U733" i="1"/>
  <c r="T733" i="1"/>
  <c r="S733" i="1"/>
  <c r="R733" i="1"/>
  <c r="AT733" i="1" s="1"/>
  <c r="Q733" i="1"/>
  <c r="AU733" i="1" s="1"/>
  <c r="P733" i="1"/>
  <c r="U732" i="1"/>
  <c r="T732" i="1"/>
  <c r="S732" i="1"/>
  <c r="R732" i="1"/>
  <c r="AT732" i="1" s="1"/>
  <c r="Q732" i="1"/>
  <c r="AU732" i="1" s="1"/>
  <c r="P732" i="1"/>
  <c r="U731" i="1"/>
  <c r="T731" i="1"/>
  <c r="S731" i="1"/>
  <c r="R731" i="1"/>
  <c r="AT731" i="1" s="1"/>
  <c r="Q731" i="1"/>
  <c r="AU731" i="1" s="1"/>
  <c r="P731" i="1"/>
  <c r="U730" i="1"/>
  <c r="T730" i="1"/>
  <c r="S730" i="1"/>
  <c r="R730" i="1"/>
  <c r="AT730" i="1" s="1"/>
  <c r="Q730" i="1"/>
  <c r="AU730" i="1" s="1"/>
  <c r="P730" i="1"/>
  <c r="U729" i="1"/>
  <c r="T729" i="1"/>
  <c r="S729" i="1"/>
  <c r="R729" i="1"/>
  <c r="AT729" i="1" s="1"/>
  <c r="Q729" i="1"/>
  <c r="AU729" i="1" s="1"/>
  <c r="P729" i="1"/>
  <c r="U728" i="1"/>
  <c r="T728" i="1"/>
  <c r="S728" i="1"/>
  <c r="U727" i="1"/>
  <c r="T727" i="1"/>
  <c r="S727" i="1"/>
  <c r="R727" i="1"/>
  <c r="AT727" i="1" s="1"/>
  <c r="Q727" i="1"/>
  <c r="AU727" i="1" s="1"/>
  <c r="P727" i="1"/>
  <c r="U726" i="1"/>
  <c r="T726" i="1"/>
  <c r="S726" i="1"/>
  <c r="R726" i="1"/>
  <c r="AT726" i="1" s="1"/>
  <c r="Q726" i="1"/>
  <c r="AU726" i="1" s="1"/>
  <c r="P726" i="1"/>
  <c r="U725" i="1"/>
  <c r="T725" i="1"/>
  <c r="S725" i="1"/>
  <c r="R725" i="1"/>
  <c r="AT725" i="1" s="1"/>
  <c r="Q725" i="1"/>
  <c r="AU725" i="1" s="1"/>
  <c r="P725" i="1"/>
  <c r="U724" i="1"/>
  <c r="T724" i="1"/>
  <c r="S724" i="1"/>
  <c r="R724" i="1"/>
  <c r="AT724" i="1" s="1"/>
  <c r="Q724" i="1"/>
  <c r="AU724" i="1" s="1"/>
  <c r="P724" i="1"/>
  <c r="U723" i="1"/>
  <c r="T723" i="1"/>
  <c r="S723" i="1"/>
  <c r="U722" i="1"/>
  <c r="T722" i="1"/>
  <c r="S722" i="1"/>
  <c r="R722" i="1"/>
  <c r="AT722" i="1" s="1"/>
  <c r="Q722" i="1"/>
  <c r="AU722" i="1" s="1"/>
  <c r="P722" i="1"/>
  <c r="U720" i="1"/>
  <c r="T720" i="1"/>
  <c r="S720" i="1"/>
  <c r="R720" i="1"/>
  <c r="AT720" i="1" s="1"/>
  <c r="Q720" i="1"/>
  <c r="AU720" i="1" s="1"/>
  <c r="P720" i="1"/>
  <c r="U719" i="1"/>
  <c r="T719" i="1"/>
  <c r="S719" i="1"/>
  <c r="R719" i="1"/>
  <c r="AT719" i="1" s="1"/>
  <c r="Q719" i="1"/>
  <c r="AU719" i="1" s="1"/>
  <c r="P719" i="1"/>
  <c r="U718" i="1"/>
  <c r="T718" i="1"/>
  <c r="S718" i="1"/>
  <c r="R718" i="1"/>
  <c r="AT718" i="1" s="1"/>
  <c r="Q718" i="1"/>
  <c r="AU718" i="1" s="1"/>
  <c r="P718" i="1"/>
  <c r="U717" i="1"/>
  <c r="T717" i="1"/>
  <c r="S717" i="1"/>
  <c r="R717" i="1"/>
  <c r="AT717" i="1" s="1"/>
  <c r="Q717" i="1"/>
  <c r="AU717" i="1" s="1"/>
  <c r="P717" i="1"/>
  <c r="U715" i="1"/>
  <c r="T715" i="1"/>
  <c r="S715" i="1"/>
  <c r="R715" i="1"/>
  <c r="AT715" i="1" s="1"/>
  <c r="Q715" i="1"/>
  <c r="AU715" i="1" s="1"/>
  <c r="P715" i="1"/>
  <c r="U714" i="1"/>
  <c r="T714" i="1"/>
  <c r="S714" i="1"/>
  <c r="U713" i="1"/>
  <c r="T713" i="1"/>
  <c r="S713" i="1"/>
  <c r="R713" i="1"/>
  <c r="AT713" i="1" s="1"/>
  <c r="Q713" i="1"/>
  <c r="AU713" i="1" s="1"/>
  <c r="P713" i="1"/>
  <c r="U712" i="1"/>
  <c r="T712" i="1"/>
  <c r="S712" i="1"/>
  <c r="R712" i="1"/>
  <c r="AT712" i="1" s="1"/>
  <c r="Q712" i="1"/>
  <c r="AU712" i="1" s="1"/>
  <c r="P712" i="1"/>
  <c r="U711" i="1"/>
  <c r="T711" i="1"/>
  <c r="S711" i="1"/>
  <c r="R711" i="1"/>
  <c r="AT711" i="1" s="1"/>
  <c r="Q711" i="1"/>
  <c r="AU711" i="1" s="1"/>
  <c r="P711" i="1"/>
  <c r="U710" i="1"/>
  <c r="T710" i="1"/>
  <c r="S710" i="1"/>
  <c r="R710" i="1"/>
  <c r="AT710" i="1" s="1"/>
  <c r="Q710" i="1"/>
  <c r="AU710" i="1" s="1"/>
  <c r="P710" i="1"/>
  <c r="U709" i="1"/>
  <c r="T709" i="1"/>
  <c r="S709" i="1"/>
  <c r="U705" i="1"/>
  <c r="T705" i="1"/>
  <c r="S705" i="1"/>
  <c r="R705" i="1"/>
  <c r="AT705" i="1" s="1"/>
  <c r="Q705" i="1"/>
  <c r="AU705" i="1" s="1"/>
  <c r="P705" i="1"/>
  <c r="U699" i="1"/>
  <c r="T699" i="1"/>
  <c r="S699" i="1"/>
  <c r="U697" i="1"/>
  <c r="T697" i="1"/>
  <c r="S697" i="1"/>
  <c r="U695" i="1"/>
  <c r="T695" i="1"/>
  <c r="S695" i="1"/>
  <c r="U694" i="1"/>
  <c r="T694" i="1"/>
  <c r="S694" i="1"/>
  <c r="R694" i="1"/>
  <c r="AT694" i="1" s="1"/>
  <c r="Q694" i="1"/>
  <c r="AU694" i="1" s="1"/>
  <c r="P694" i="1"/>
  <c r="U690" i="1"/>
  <c r="T690" i="1"/>
  <c r="S690" i="1"/>
  <c r="R690" i="1"/>
  <c r="AT690" i="1" s="1"/>
  <c r="Q690" i="1"/>
  <c r="AU690" i="1" s="1"/>
  <c r="P690" i="1"/>
  <c r="U689" i="1"/>
  <c r="T689" i="1"/>
  <c r="S689" i="1"/>
  <c r="R689" i="1"/>
  <c r="AT689" i="1" s="1"/>
  <c r="Q689" i="1"/>
  <c r="AU689" i="1" s="1"/>
  <c r="P689" i="1"/>
  <c r="U688" i="1"/>
  <c r="T688" i="1"/>
  <c r="S688" i="1"/>
  <c r="R688" i="1"/>
  <c r="AT688" i="1" s="1"/>
  <c r="Q688" i="1"/>
  <c r="AU688" i="1" s="1"/>
  <c r="P688" i="1"/>
  <c r="U687" i="1"/>
  <c r="T687" i="1"/>
  <c r="S687" i="1"/>
  <c r="U681" i="1"/>
  <c r="T681" i="1"/>
  <c r="S681" i="1"/>
  <c r="R681" i="1"/>
  <c r="AT681" i="1" s="1"/>
  <c r="Q681" i="1"/>
  <c r="AU681" i="1" s="1"/>
  <c r="P681" i="1"/>
  <c r="U676" i="1"/>
  <c r="T676" i="1"/>
  <c r="S676" i="1"/>
  <c r="U675" i="1"/>
  <c r="T675" i="1"/>
  <c r="S675" i="1"/>
  <c r="R675" i="1"/>
  <c r="AT675" i="1" s="1"/>
  <c r="Q675" i="1"/>
  <c r="AU675" i="1" s="1"/>
  <c r="P675" i="1"/>
  <c r="U674" i="1"/>
  <c r="T674" i="1"/>
  <c r="S674" i="1"/>
  <c r="R674" i="1"/>
  <c r="AT674" i="1" s="1"/>
  <c r="Q674" i="1"/>
  <c r="AU674" i="1" s="1"/>
  <c r="P674" i="1"/>
  <c r="U673" i="1"/>
  <c r="T673" i="1"/>
  <c r="S673" i="1"/>
  <c r="U672" i="1"/>
  <c r="T672" i="1"/>
  <c r="S672" i="1"/>
  <c r="R672" i="1"/>
  <c r="AT672" i="1" s="1"/>
  <c r="Q672" i="1"/>
  <c r="AU672" i="1" s="1"/>
  <c r="P672" i="1"/>
  <c r="U671" i="1"/>
  <c r="T671" i="1"/>
  <c r="S671" i="1"/>
  <c r="R671" i="1"/>
  <c r="AT671" i="1" s="1"/>
  <c r="Q671" i="1"/>
  <c r="AU671" i="1" s="1"/>
  <c r="P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R667" i="1"/>
  <c r="AT667" i="1" s="1"/>
  <c r="Q667" i="1"/>
  <c r="AU667" i="1" s="1"/>
  <c r="P667" i="1"/>
  <c r="U666" i="1"/>
  <c r="T666" i="1"/>
  <c r="S666" i="1"/>
  <c r="R666" i="1"/>
  <c r="AT666" i="1" s="1"/>
  <c r="Q666" i="1"/>
  <c r="AU666" i="1" s="1"/>
  <c r="P666" i="1"/>
  <c r="U665" i="1"/>
  <c r="T665" i="1"/>
  <c r="S665" i="1"/>
  <c r="U662" i="1"/>
  <c r="T662" i="1"/>
  <c r="S662" i="1"/>
  <c r="U659" i="1"/>
  <c r="T659" i="1"/>
  <c r="S659" i="1"/>
  <c r="R659" i="1"/>
  <c r="AT659" i="1" s="1"/>
  <c r="Q659" i="1"/>
  <c r="AU659" i="1" s="1"/>
  <c r="P659" i="1"/>
  <c r="U658" i="1"/>
  <c r="T658" i="1"/>
  <c r="S658" i="1"/>
  <c r="R658" i="1"/>
  <c r="AT658" i="1" s="1"/>
  <c r="Q658" i="1"/>
  <c r="AU658" i="1" s="1"/>
  <c r="P658" i="1"/>
  <c r="U657" i="1"/>
  <c r="T657" i="1"/>
  <c r="S657" i="1"/>
  <c r="U655" i="1"/>
  <c r="T655" i="1"/>
  <c r="S655" i="1"/>
  <c r="R655" i="1"/>
  <c r="AT655" i="1" s="1"/>
  <c r="U654" i="1"/>
  <c r="T654" i="1"/>
  <c r="S654" i="1"/>
  <c r="R654" i="1"/>
  <c r="AT654" i="1" s="1"/>
  <c r="Q654" i="1"/>
  <c r="AU654" i="1" s="1"/>
  <c r="P654" i="1"/>
  <c r="U653" i="1"/>
  <c r="T653" i="1"/>
  <c r="S653" i="1"/>
  <c r="R653" i="1"/>
  <c r="AT653" i="1" s="1"/>
  <c r="Q653" i="1"/>
  <c r="AU653" i="1" s="1"/>
  <c r="P653" i="1"/>
  <c r="U652" i="1"/>
  <c r="T652" i="1"/>
  <c r="S652" i="1"/>
  <c r="R652" i="1"/>
  <c r="AT652" i="1" s="1"/>
  <c r="Q652" i="1"/>
  <c r="AU652" i="1" s="1"/>
  <c r="P652" i="1"/>
  <c r="U651" i="1"/>
  <c r="T651" i="1"/>
  <c r="S651" i="1"/>
  <c r="R651" i="1"/>
  <c r="AT651" i="1" s="1"/>
  <c r="Q651" i="1"/>
  <c r="AU651" i="1" s="1"/>
  <c r="P651" i="1"/>
  <c r="U650" i="1"/>
  <c r="T650" i="1"/>
  <c r="S650" i="1"/>
  <c r="U649" i="1"/>
  <c r="T649" i="1"/>
  <c r="S649" i="1"/>
  <c r="R649" i="1"/>
  <c r="AT649" i="1" s="1"/>
  <c r="Q649" i="1"/>
  <c r="AU649" i="1" s="1"/>
  <c r="P649" i="1"/>
  <c r="U648" i="1"/>
  <c r="T648" i="1"/>
  <c r="S648" i="1"/>
  <c r="R648" i="1"/>
  <c r="AT648" i="1" s="1"/>
  <c r="Q648" i="1"/>
  <c r="AU648" i="1" s="1"/>
  <c r="P648" i="1"/>
  <c r="U647" i="1"/>
  <c r="T647" i="1"/>
  <c r="S647" i="1"/>
  <c r="R647" i="1"/>
  <c r="AT647" i="1" s="1"/>
  <c r="Q647" i="1"/>
  <c r="AU647" i="1" s="1"/>
  <c r="P647" i="1"/>
  <c r="U646" i="1"/>
  <c r="T646" i="1"/>
  <c r="S646" i="1"/>
  <c r="R646" i="1"/>
  <c r="AT646" i="1" s="1"/>
  <c r="Q646" i="1"/>
  <c r="AU646" i="1" s="1"/>
  <c r="P646" i="1"/>
  <c r="U644" i="1"/>
  <c r="T644" i="1"/>
  <c r="S644" i="1"/>
  <c r="R644" i="1"/>
  <c r="AT644" i="1" s="1"/>
  <c r="Q644" i="1"/>
  <c r="AU644" i="1" s="1"/>
  <c r="P644" i="1"/>
  <c r="U643" i="1"/>
  <c r="T643" i="1"/>
  <c r="S643" i="1"/>
  <c r="U642" i="1"/>
  <c r="T642" i="1"/>
  <c r="S642" i="1"/>
  <c r="U641" i="1"/>
  <c r="T641" i="1"/>
  <c r="S641" i="1"/>
  <c r="R641" i="1"/>
  <c r="AT641" i="1" s="1"/>
  <c r="Q641" i="1"/>
  <c r="AU641" i="1" s="1"/>
  <c r="P641" i="1"/>
  <c r="U640" i="1"/>
  <c r="T640" i="1"/>
  <c r="S640" i="1"/>
  <c r="U639" i="1"/>
  <c r="T639" i="1"/>
  <c r="S639" i="1"/>
  <c r="U638" i="1"/>
  <c r="T638" i="1"/>
  <c r="S638" i="1"/>
  <c r="R638" i="1"/>
  <c r="AT638" i="1" s="1"/>
  <c r="Q638" i="1"/>
  <c r="AU638" i="1" s="1"/>
  <c r="P638" i="1"/>
  <c r="U637" i="1"/>
  <c r="T637" i="1"/>
  <c r="S637" i="1"/>
  <c r="U636" i="1"/>
  <c r="T636" i="1"/>
  <c r="S636" i="1"/>
  <c r="U635" i="1"/>
  <c r="T635" i="1"/>
  <c r="S635" i="1"/>
  <c r="R635" i="1"/>
  <c r="AT635" i="1" s="1"/>
  <c r="Q635" i="1"/>
  <c r="AU635" i="1" s="1"/>
  <c r="P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R630" i="1"/>
  <c r="AT630" i="1" s="1"/>
  <c r="Q630" i="1"/>
  <c r="AU630" i="1" s="1"/>
  <c r="P630" i="1"/>
  <c r="U629" i="1"/>
  <c r="T629" i="1"/>
  <c r="S629" i="1"/>
  <c r="R629" i="1"/>
  <c r="AT629" i="1" s="1"/>
  <c r="Q629" i="1"/>
  <c r="AU629" i="1" s="1"/>
  <c r="P629" i="1"/>
  <c r="U628" i="1"/>
  <c r="T628" i="1"/>
  <c r="S628" i="1"/>
  <c r="U627" i="1"/>
  <c r="T627" i="1"/>
  <c r="S627" i="1"/>
  <c r="R627" i="1"/>
  <c r="AT627" i="1" s="1"/>
  <c r="Q627" i="1"/>
  <c r="AU627" i="1" s="1"/>
  <c r="P627" i="1"/>
  <c r="U626" i="1"/>
  <c r="T626" i="1"/>
  <c r="S626" i="1"/>
  <c r="U625" i="1"/>
  <c r="T625" i="1"/>
  <c r="S625" i="1"/>
  <c r="R625" i="1"/>
  <c r="AT625" i="1" s="1"/>
  <c r="Q625" i="1"/>
  <c r="AU625" i="1" s="1"/>
  <c r="P625" i="1"/>
  <c r="U624" i="1"/>
  <c r="T624" i="1"/>
  <c r="S624" i="1"/>
  <c r="R624" i="1"/>
  <c r="AT624" i="1" s="1"/>
  <c r="Q624" i="1"/>
  <c r="AU624" i="1" s="1"/>
  <c r="P624" i="1"/>
  <c r="U623" i="1"/>
  <c r="T623" i="1"/>
  <c r="S623" i="1"/>
  <c r="U622" i="1"/>
  <c r="T622" i="1"/>
  <c r="S622" i="1"/>
  <c r="R622" i="1"/>
  <c r="AT622" i="1" s="1"/>
  <c r="Q622" i="1"/>
  <c r="AU622" i="1" s="1"/>
  <c r="P622" i="1"/>
  <c r="U621" i="1"/>
  <c r="T621" i="1"/>
  <c r="S621" i="1"/>
  <c r="U620" i="1"/>
  <c r="T620" i="1"/>
  <c r="S620" i="1"/>
  <c r="U619" i="1"/>
  <c r="T619" i="1"/>
  <c r="S619" i="1"/>
  <c r="R619" i="1"/>
  <c r="AT619" i="1" s="1"/>
  <c r="Q619" i="1"/>
  <c r="AU619" i="1" s="1"/>
  <c r="P619" i="1"/>
  <c r="U618" i="1"/>
  <c r="T618" i="1"/>
  <c r="S618" i="1"/>
  <c r="R618" i="1"/>
  <c r="AT618" i="1" s="1"/>
  <c r="Q618" i="1"/>
  <c r="AU618" i="1" s="1"/>
  <c r="P618" i="1"/>
  <c r="U617" i="1"/>
  <c r="T617" i="1"/>
  <c r="S617" i="1"/>
  <c r="R617" i="1"/>
  <c r="AT617" i="1" s="1"/>
  <c r="Q617" i="1"/>
  <c r="AU617" i="1" s="1"/>
  <c r="P617" i="1"/>
  <c r="U616" i="1"/>
  <c r="T616" i="1"/>
  <c r="S616" i="1"/>
  <c r="U615" i="1"/>
  <c r="T615" i="1"/>
  <c r="S615" i="1"/>
  <c r="R615" i="1"/>
  <c r="AT615" i="1" s="1"/>
  <c r="Q615" i="1"/>
  <c r="AU615" i="1" s="1"/>
  <c r="P615" i="1"/>
  <c r="U614" i="1"/>
  <c r="T614" i="1"/>
  <c r="S614" i="1"/>
  <c r="R614" i="1"/>
  <c r="AT614" i="1" s="1"/>
  <c r="Q614" i="1"/>
  <c r="AU614" i="1" s="1"/>
  <c r="P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R609" i="1"/>
  <c r="AT609" i="1" s="1"/>
  <c r="Q609" i="1"/>
  <c r="AU609" i="1" s="1"/>
  <c r="P609" i="1"/>
  <c r="U608" i="1"/>
  <c r="T608" i="1"/>
  <c r="S608" i="1"/>
  <c r="U607" i="1"/>
  <c r="T607" i="1"/>
  <c r="S607" i="1"/>
  <c r="R607" i="1"/>
  <c r="AT607" i="1" s="1"/>
  <c r="Q607" i="1"/>
  <c r="AU607" i="1" s="1"/>
  <c r="P607" i="1"/>
  <c r="U606" i="1"/>
  <c r="T606" i="1"/>
  <c r="S606" i="1"/>
  <c r="R606" i="1"/>
  <c r="AT606" i="1" s="1"/>
  <c r="Q606" i="1"/>
  <c r="AU606" i="1" s="1"/>
  <c r="P606" i="1"/>
  <c r="U605" i="1"/>
  <c r="T605" i="1"/>
  <c r="S605" i="1"/>
  <c r="R605" i="1"/>
  <c r="AT605" i="1" s="1"/>
  <c r="Q605" i="1"/>
  <c r="AU605" i="1" s="1"/>
  <c r="P605" i="1"/>
  <c r="U604" i="1"/>
  <c r="T604" i="1"/>
  <c r="S604" i="1"/>
  <c r="R604" i="1"/>
  <c r="AT604" i="1" s="1"/>
  <c r="Q604" i="1"/>
  <c r="AU604" i="1" s="1"/>
  <c r="P604" i="1"/>
  <c r="U603" i="1"/>
  <c r="T603" i="1"/>
  <c r="S603" i="1"/>
  <c r="R603" i="1"/>
  <c r="AT603" i="1" s="1"/>
  <c r="Q603" i="1"/>
  <c r="AU603" i="1" s="1"/>
  <c r="P603" i="1"/>
  <c r="U602" i="1"/>
  <c r="T602" i="1"/>
  <c r="S602" i="1"/>
  <c r="R602" i="1"/>
  <c r="AT602" i="1" s="1"/>
  <c r="Q602" i="1"/>
  <c r="AU602" i="1" s="1"/>
  <c r="P602" i="1"/>
  <c r="U601" i="1"/>
  <c r="T601" i="1"/>
  <c r="S601" i="1"/>
  <c r="U600" i="1"/>
  <c r="T600" i="1"/>
  <c r="S600" i="1"/>
  <c r="R600" i="1"/>
  <c r="AT600" i="1" s="1"/>
  <c r="Q600" i="1"/>
  <c r="AU600" i="1" s="1"/>
  <c r="P600" i="1"/>
  <c r="U599" i="1"/>
  <c r="T599" i="1"/>
  <c r="S599" i="1"/>
  <c r="R599" i="1"/>
  <c r="AT599" i="1" s="1"/>
  <c r="Q599" i="1"/>
  <c r="AU599" i="1" s="1"/>
  <c r="P599" i="1"/>
  <c r="U598" i="1"/>
  <c r="T598" i="1"/>
  <c r="S598" i="1"/>
  <c r="R598" i="1"/>
  <c r="AT598" i="1" s="1"/>
  <c r="Q598" i="1"/>
  <c r="AU598" i="1" s="1"/>
  <c r="P598" i="1"/>
  <c r="U597" i="1"/>
  <c r="T597" i="1"/>
  <c r="S597" i="1"/>
  <c r="R597" i="1"/>
  <c r="AT597" i="1" s="1"/>
  <c r="Q597" i="1"/>
  <c r="AU597" i="1" s="1"/>
  <c r="P597" i="1"/>
  <c r="U596" i="1"/>
  <c r="T596" i="1"/>
  <c r="S596" i="1"/>
  <c r="R596" i="1"/>
  <c r="AT596" i="1" s="1"/>
  <c r="Q596" i="1"/>
  <c r="AU596" i="1" s="1"/>
  <c r="P596" i="1"/>
  <c r="U595" i="1"/>
  <c r="T595" i="1"/>
  <c r="S595" i="1"/>
  <c r="R595" i="1"/>
  <c r="AT595" i="1" s="1"/>
  <c r="Q595" i="1"/>
  <c r="AU595" i="1" s="1"/>
  <c r="P595" i="1"/>
  <c r="U594" i="1"/>
  <c r="T594" i="1"/>
  <c r="S594" i="1"/>
  <c r="R594" i="1"/>
  <c r="AT594" i="1" s="1"/>
  <c r="Q594" i="1"/>
  <c r="AU594" i="1" s="1"/>
  <c r="P594" i="1"/>
  <c r="U593" i="1"/>
  <c r="T593" i="1"/>
  <c r="S593" i="1"/>
  <c r="U592" i="1"/>
  <c r="T592" i="1"/>
  <c r="S592" i="1"/>
  <c r="R592" i="1"/>
  <c r="AT592" i="1" s="1"/>
  <c r="Q592" i="1"/>
  <c r="AU592" i="1" s="1"/>
  <c r="P592" i="1"/>
  <c r="U591" i="1"/>
  <c r="T591" i="1"/>
  <c r="S591" i="1"/>
  <c r="R591" i="1"/>
  <c r="AT591" i="1" s="1"/>
  <c r="Q591" i="1"/>
  <c r="AU591" i="1" s="1"/>
  <c r="P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R585" i="1"/>
  <c r="AT585" i="1" s="1"/>
  <c r="Q585" i="1"/>
  <c r="AU585" i="1" s="1"/>
  <c r="P585" i="1"/>
  <c r="U584" i="1"/>
  <c r="T584" i="1"/>
  <c r="S584" i="1"/>
  <c r="U583" i="1"/>
  <c r="T583" i="1"/>
  <c r="S583" i="1"/>
  <c r="R583" i="1"/>
  <c r="AT583" i="1" s="1"/>
  <c r="Q583" i="1"/>
  <c r="AU583" i="1" s="1"/>
  <c r="P583" i="1"/>
  <c r="U582" i="1"/>
  <c r="T582" i="1"/>
  <c r="S582" i="1"/>
  <c r="U581" i="1"/>
  <c r="T581" i="1"/>
  <c r="S581" i="1"/>
  <c r="R581" i="1"/>
  <c r="AT581" i="1" s="1"/>
  <c r="Q581" i="1"/>
  <c r="AU581" i="1" s="1"/>
  <c r="P581" i="1"/>
  <c r="U580" i="1"/>
  <c r="T580" i="1"/>
  <c r="S580" i="1"/>
  <c r="U579" i="1"/>
  <c r="T579" i="1"/>
  <c r="S579" i="1"/>
  <c r="R579" i="1"/>
  <c r="AT579" i="1" s="1"/>
  <c r="Q579" i="1"/>
  <c r="AU579" i="1" s="1"/>
  <c r="P579" i="1"/>
  <c r="U578" i="1"/>
  <c r="T578" i="1"/>
  <c r="S578" i="1"/>
  <c r="R578" i="1"/>
  <c r="AT578" i="1" s="1"/>
  <c r="Q578" i="1"/>
  <c r="AU578" i="1" s="1"/>
  <c r="P578" i="1"/>
  <c r="U577" i="1"/>
  <c r="T577" i="1"/>
  <c r="S577" i="1"/>
  <c r="U576" i="1"/>
  <c r="T576" i="1"/>
  <c r="S576" i="1"/>
  <c r="R576" i="1"/>
  <c r="AT576" i="1" s="1"/>
  <c r="Q576" i="1"/>
  <c r="AU576" i="1" s="1"/>
  <c r="P576" i="1"/>
  <c r="U575" i="1"/>
  <c r="T575" i="1"/>
  <c r="S575" i="1"/>
  <c r="U574" i="1"/>
  <c r="T574" i="1"/>
  <c r="S574" i="1"/>
  <c r="R574" i="1"/>
  <c r="AT574" i="1" s="1"/>
  <c r="Q574" i="1"/>
  <c r="AU574" i="1" s="1"/>
  <c r="P574" i="1"/>
  <c r="U573" i="1"/>
  <c r="T573" i="1"/>
  <c r="S573" i="1"/>
  <c r="R573" i="1"/>
  <c r="AT573" i="1" s="1"/>
  <c r="Q573" i="1"/>
  <c r="AU573" i="1" s="1"/>
  <c r="P573" i="1"/>
  <c r="U572" i="1"/>
  <c r="T572" i="1"/>
  <c r="S572" i="1"/>
  <c r="U570" i="1"/>
  <c r="T570" i="1"/>
  <c r="S570" i="1"/>
  <c r="R570" i="1"/>
  <c r="AT570" i="1" s="1"/>
  <c r="Q570" i="1"/>
  <c r="AU570" i="1" s="1"/>
  <c r="P570" i="1"/>
  <c r="U569" i="1"/>
  <c r="T569" i="1"/>
  <c r="S569" i="1"/>
  <c r="R569" i="1"/>
  <c r="AT569" i="1" s="1"/>
  <c r="Q569" i="1"/>
  <c r="AU569" i="1" s="1"/>
  <c r="P569" i="1"/>
  <c r="U568" i="1"/>
  <c r="T568" i="1"/>
  <c r="S568" i="1"/>
  <c r="U567" i="1"/>
  <c r="T567" i="1"/>
  <c r="S567" i="1"/>
  <c r="R567" i="1"/>
  <c r="AT567" i="1" s="1"/>
  <c r="Q567" i="1"/>
  <c r="AU567" i="1" s="1"/>
  <c r="P567" i="1"/>
  <c r="U566" i="1"/>
  <c r="T566" i="1"/>
  <c r="S566" i="1"/>
  <c r="U565" i="1"/>
  <c r="T565" i="1"/>
  <c r="S565" i="1"/>
  <c r="U564" i="1"/>
  <c r="T564" i="1"/>
  <c r="S564" i="1"/>
  <c r="R564" i="1"/>
  <c r="AT564" i="1" s="1"/>
  <c r="Q564" i="1"/>
  <c r="AU564" i="1" s="1"/>
  <c r="P564" i="1"/>
  <c r="U563" i="1"/>
  <c r="T563" i="1"/>
  <c r="S563" i="1"/>
  <c r="U562" i="1"/>
  <c r="T562" i="1"/>
  <c r="S562" i="1"/>
  <c r="R562" i="1"/>
  <c r="AT562" i="1" s="1"/>
  <c r="Q562" i="1"/>
  <c r="AU562" i="1" s="1"/>
  <c r="P562" i="1"/>
  <c r="U561" i="1"/>
  <c r="T561" i="1"/>
  <c r="S561" i="1"/>
  <c r="R561" i="1"/>
  <c r="AT561" i="1" s="1"/>
  <c r="Q561" i="1"/>
  <c r="AU561" i="1" s="1"/>
  <c r="P561" i="1"/>
  <c r="U560" i="1"/>
  <c r="T560" i="1"/>
  <c r="S560" i="1"/>
  <c r="U559" i="1"/>
  <c r="T559" i="1"/>
  <c r="S559" i="1"/>
  <c r="R559" i="1"/>
  <c r="AT559" i="1" s="1"/>
  <c r="Q559" i="1"/>
  <c r="AU559" i="1" s="1"/>
  <c r="P559" i="1"/>
  <c r="U558" i="1"/>
  <c r="T558" i="1"/>
  <c r="S558" i="1"/>
  <c r="R558" i="1"/>
  <c r="AT558" i="1" s="1"/>
  <c r="Q558" i="1"/>
  <c r="AU558" i="1" s="1"/>
  <c r="P558" i="1"/>
  <c r="U557" i="1"/>
  <c r="T557" i="1"/>
  <c r="S557" i="1"/>
  <c r="U556" i="1"/>
  <c r="T556" i="1"/>
  <c r="S556" i="1"/>
  <c r="R556" i="1"/>
  <c r="AT556" i="1" s="1"/>
  <c r="Q556" i="1"/>
  <c r="AU556" i="1" s="1"/>
  <c r="P556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R550" i="1"/>
  <c r="AT550" i="1" s="1"/>
  <c r="Q550" i="1"/>
  <c r="AU550" i="1" s="1"/>
  <c r="P550" i="1"/>
  <c r="U549" i="1"/>
  <c r="T549" i="1"/>
  <c r="S549" i="1"/>
  <c r="U548" i="1"/>
  <c r="T548" i="1"/>
  <c r="S548" i="1"/>
  <c r="R548" i="1"/>
  <c r="AT548" i="1" s="1"/>
  <c r="Q548" i="1"/>
  <c r="AU548" i="1" s="1"/>
  <c r="P548" i="1"/>
  <c r="U547" i="1"/>
  <c r="T547" i="1"/>
  <c r="S547" i="1"/>
  <c r="U546" i="1"/>
  <c r="T546" i="1"/>
  <c r="S546" i="1"/>
  <c r="R546" i="1"/>
  <c r="AT546" i="1" s="1"/>
  <c r="Q546" i="1"/>
  <c r="AU546" i="1" s="1"/>
  <c r="P546" i="1"/>
  <c r="U545" i="1"/>
  <c r="T545" i="1"/>
  <c r="S545" i="1"/>
  <c r="R545" i="1"/>
  <c r="AT545" i="1" s="1"/>
  <c r="Q545" i="1"/>
  <c r="AU545" i="1" s="1"/>
  <c r="P545" i="1"/>
  <c r="U544" i="1"/>
  <c r="T544" i="1"/>
  <c r="S544" i="1"/>
  <c r="R544" i="1"/>
  <c r="AT544" i="1" s="1"/>
  <c r="Q544" i="1"/>
  <c r="AU544" i="1" s="1"/>
  <c r="P544" i="1"/>
  <c r="U543" i="1"/>
  <c r="T543" i="1"/>
  <c r="S543" i="1"/>
  <c r="R543" i="1"/>
  <c r="AT543" i="1" s="1"/>
  <c r="Q543" i="1"/>
  <c r="AU543" i="1" s="1"/>
  <c r="P543" i="1"/>
  <c r="U542" i="1"/>
  <c r="T542" i="1"/>
  <c r="S542" i="1"/>
  <c r="U541" i="1"/>
  <c r="T541" i="1"/>
  <c r="S541" i="1"/>
  <c r="R541" i="1"/>
  <c r="AT541" i="1" s="1"/>
  <c r="Q541" i="1"/>
  <c r="AU541" i="1" s="1"/>
  <c r="P541" i="1"/>
  <c r="U540" i="1"/>
  <c r="T540" i="1"/>
  <c r="S540" i="1"/>
  <c r="U539" i="1"/>
  <c r="T539" i="1"/>
  <c r="S539" i="1"/>
  <c r="R539" i="1"/>
  <c r="AT539" i="1" s="1"/>
  <c r="Q539" i="1"/>
  <c r="AU539" i="1" s="1"/>
  <c r="P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R534" i="1"/>
  <c r="AT534" i="1" s="1"/>
  <c r="Q534" i="1"/>
  <c r="AU534" i="1" s="1"/>
  <c r="P534" i="1"/>
  <c r="U533" i="1"/>
  <c r="T533" i="1"/>
  <c r="S533" i="1"/>
  <c r="R533" i="1"/>
  <c r="AT533" i="1" s="1"/>
  <c r="Q533" i="1"/>
  <c r="AU533" i="1" s="1"/>
  <c r="P533" i="1"/>
  <c r="U532" i="1"/>
  <c r="T532" i="1"/>
  <c r="S532" i="1"/>
  <c r="R532" i="1"/>
  <c r="AT532" i="1" s="1"/>
  <c r="Q532" i="1"/>
  <c r="AU532" i="1" s="1"/>
  <c r="P532" i="1"/>
  <c r="U531" i="1"/>
  <c r="T531" i="1"/>
  <c r="S531" i="1"/>
  <c r="U530" i="1"/>
  <c r="T530" i="1"/>
  <c r="S530" i="1"/>
  <c r="U529" i="1"/>
  <c r="T529" i="1"/>
  <c r="S529" i="1"/>
  <c r="R529" i="1"/>
  <c r="AT529" i="1" s="1"/>
  <c r="Q529" i="1"/>
  <c r="AU529" i="1" s="1"/>
  <c r="P529" i="1"/>
  <c r="U528" i="1"/>
  <c r="T528" i="1"/>
  <c r="S528" i="1"/>
  <c r="R528" i="1"/>
  <c r="AT528" i="1" s="1"/>
  <c r="Q528" i="1"/>
  <c r="AU528" i="1" s="1"/>
  <c r="P528" i="1"/>
  <c r="U527" i="1"/>
  <c r="T527" i="1"/>
  <c r="S527" i="1"/>
  <c r="U526" i="1"/>
  <c r="T526" i="1"/>
  <c r="S526" i="1"/>
  <c r="U525" i="1"/>
  <c r="T525" i="1"/>
  <c r="S525" i="1"/>
  <c r="R525" i="1"/>
  <c r="AT525" i="1" s="1"/>
  <c r="Q525" i="1"/>
  <c r="AU525" i="1" s="1"/>
  <c r="P525" i="1"/>
  <c r="U524" i="1"/>
  <c r="T524" i="1"/>
  <c r="S524" i="1"/>
  <c r="U523" i="1"/>
  <c r="T523" i="1"/>
  <c r="S523" i="1"/>
  <c r="R523" i="1"/>
  <c r="AT523" i="1" s="1"/>
  <c r="Q523" i="1"/>
  <c r="AU523" i="1" s="1"/>
  <c r="P523" i="1"/>
  <c r="U522" i="1"/>
  <c r="T522" i="1"/>
  <c r="S522" i="1"/>
  <c r="U521" i="1"/>
  <c r="T521" i="1"/>
  <c r="S521" i="1"/>
  <c r="R521" i="1"/>
  <c r="AT521" i="1" s="1"/>
  <c r="Q521" i="1"/>
  <c r="AU521" i="1" s="1"/>
  <c r="P521" i="1"/>
  <c r="U520" i="1"/>
  <c r="T520" i="1"/>
  <c r="S520" i="1"/>
  <c r="U519" i="1"/>
  <c r="T519" i="1"/>
  <c r="S519" i="1"/>
  <c r="U518" i="1"/>
  <c r="T518" i="1"/>
  <c r="S518" i="1"/>
  <c r="R518" i="1"/>
  <c r="AT518" i="1" s="1"/>
  <c r="Q518" i="1"/>
  <c r="AU518" i="1" s="1"/>
  <c r="P518" i="1"/>
  <c r="U517" i="1"/>
  <c r="T517" i="1"/>
  <c r="S517" i="1"/>
  <c r="U516" i="1"/>
  <c r="T516" i="1"/>
  <c r="S516" i="1"/>
  <c r="R516" i="1"/>
  <c r="AT516" i="1" s="1"/>
  <c r="Q516" i="1"/>
  <c r="AU516" i="1" s="1"/>
  <c r="P516" i="1"/>
  <c r="U515" i="1"/>
  <c r="T515" i="1"/>
  <c r="S515" i="1"/>
  <c r="R515" i="1"/>
  <c r="AT515" i="1" s="1"/>
  <c r="Q515" i="1"/>
  <c r="AU515" i="1" s="1"/>
  <c r="P515" i="1"/>
  <c r="U514" i="1"/>
  <c r="T514" i="1"/>
  <c r="S514" i="1"/>
  <c r="U513" i="1"/>
  <c r="T513" i="1"/>
  <c r="S513" i="1"/>
  <c r="R513" i="1"/>
  <c r="AT513" i="1" s="1"/>
  <c r="Q513" i="1"/>
  <c r="AU513" i="1" s="1"/>
  <c r="P513" i="1"/>
  <c r="U512" i="1"/>
  <c r="T512" i="1"/>
  <c r="S512" i="1"/>
  <c r="R512" i="1"/>
  <c r="AT512" i="1" s="1"/>
  <c r="Q512" i="1"/>
  <c r="AU512" i="1" s="1"/>
  <c r="P512" i="1"/>
  <c r="U511" i="1"/>
  <c r="T511" i="1"/>
  <c r="S511" i="1"/>
  <c r="R511" i="1"/>
  <c r="AT511" i="1" s="1"/>
  <c r="Q511" i="1"/>
  <c r="AU511" i="1" s="1"/>
  <c r="P511" i="1"/>
  <c r="U510" i="1"/>
  <c r="T510" i="1"/>
  <c r="S510" i="1"/>
  <c r="R510" i="1"/>
  <c r="AT510" i="1" s="1"/>
  <c r="Q510" i="1"/>
  <c r="AU510" i="1" s="1"/>
  <c r="P510" i="1"/>
  <c r="U509" i="1"/>
  <c r="T509" i="1"/>
  <c r="S509" i="1"/>
  <c r="R509" i="1"/>
  <c r="AT509" i="1" s="1"/>
  <c r="Q509" i="1"/>
  <c r="AU509" i="1" s="1"/>
  <c r="P509" i="1"/>
  <c r="U508" i="1"/>
  <c r="T508" i="1"/>
  <c r="S508" i="1"/>
  <c r="U507" i="1"/>
  <c r="T507" i="1"/>
  <c r="S507" i="1"/>
  <c r="R507" i="1"/>
  <c r="AT507" i="1" s="1"/>
  <c r="Q507" i="1"/>
  <c r="AU507" i="1" s="1"/>
  <c r="P507" i="1"/>
  <c r="U506" i="1"/>
  <c r="T506" i="1"/>
  <c r="S506" i="1"/>
  <c r="R506" i="1"/>
  <c r="AT506" i="1" s="1"/>
  <c r="Q506" i="1"/>
  <c r="AU506" i="1" s="1"/>
  <c r="P506" i="1"/>
  <c r="U505" i="1"/>
  <c r="T505" i="1"/>
  <c r="S505" i="1"/>
  <c r="R505" i="1"/>
  <c r="AT505" i="1" s="1"/>
  <c r="Q505" i="1"/>
  <c r="AU505" i="1" s="1"/>
  <c r="P505" i="1"/>
  <c r="U504" i="1"/>
  <c r="T504" i="1"/>
  <c r="S504" i="1"/>
  <c r="R504" i="1"/>
  <c r="AT504" i="1" s="1"/>
  <c r="Q504" i="1"/>
  <c r="AU504" i="1" s="1"/>
  <c r="P504" i="1"/>
  <c r="U503" i="1"/>
  <c r="T503" i="1"/>
  <c r="S503" i="1"/>
  <c r="R503" i="1"/>
  <c r="AT503" i="1" s="1"/>
  <c r="Q503" i="1"/>
  <c r="AU503" i="1" s="1"/>
  <c r="P503" i="1"/>
  <c r="U502" i="1"/>
  <c r="T502" i="1"/>
  <c r="S502" i="1"/>
  <c r="R502" i="1"/>
  <c r="AT502" i="1" s="1"/>
  <c r="Q502" i="1"/>
  <c r="AU502" i="1" s="1"/>
  <c r="P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R498" i="1"/>
  <c r="AT498" i="1" s="1"/>
  <c r="Q498" i="1"/>
  <c r="AU498" i="1" s="1"/>
  <c r="P498" i="1"/>
  <c r="U497" i="1"/>
  <c r="T497" i="1"/>
  <c r="S497" i="1"/>
  <c r="U496" i="1"/>
  <c r="T496" i="1"/>
  <c r="S496" i="1"/>
  <c r="R496" i="1"/>
  <c r="AT496" i="1" s="1"/>
  <c r="Q496" i="1"/>
  <c r="AU496" i="1" s="1"/>
  <c r="P496" i="1"/>
  <c r="U495" i="1"/>
  <c r="T495" i="1"/>
  <c r="S495" i="1"/>
  <c r="R495" i="1"/>
  <c r="AT495" i="1" s="1"/>
  <c r="Q495" i="1"/>
  <c r="AU495" i="1" s="1"/>
  <c r="P495" i="1"/>
  <c r="U494" i="1"/>
  <c r="T494" i="1"/>
  <c r="S494" i="1"/>
  <c r="U493" i="1"/>
  <c r="T493" i="1"/>
  <c r="S493" i="1"/>
  <c r="R493" i="1"/>
  <c r="AT493" i="1" s="1"/>
  <c r="Q493" i="1"/>
  <c r="AU493" i="1" s="1"/>
  <c r="P493" i="1"/>
  <c r="U492" i="1"/>
  <c r="T492" i="1"/>
  <c r="S492" i="1"/>
  <c r="U491" i="1"/>
  <c r="T491" i="1"/>
  <c r="S491" i="1"/>
  <c r="R491" i="1"/>
  <c r="AT491" i="1" s="1"/>
  <c r="Q491" i="1"/>
  <c r="AU491" i="1" s="1"/>
  <c r="P491" i="1"/>
  <c r="U490" i="1"/>
  <c r="T490" i="1"/>
  <c r="S490" i="1"/>
  <c r="U489" i="1"/>
  <c r="T489" i="1"/>
  <c r="S489" i="1"/>
  <c r="U488" i="1"/>
  <c r="T488" i="1"/>
  <c r="S488" i="1"/>
  <c r="R488" i="1"/>
  <c r="AT488" i="1" s="1"/>
  <c r="Q488" i="1"/>
  <c r="AU488" i="1" s="1"/>
  <c r="P488" i="1"/>
  <c r="U487" i="1"/>
  <c r="T487" i="1"/>
  <c r="S487" i="1"/>
  <c r="R487" i="1"/>
  <c r="AT487" i="1" s="1"/>
  <c r="Q487" i="1"/>
  <c r="AU487" i="1" s="1"/>
  <c r="P487" i="1"/>
  <c r="U486" i="1"/>
  <c r="T486" i="1"/>
  <c r="S486" i="1"/>
  <c r="R486" i="1"/>
  <c r="AT486" i="1" s="1"/>
  <c r="Q486" i="1"/>
  <c r="AU486" i="1" s="1"/>
  <c r="P486" i="1"/>
  <c r="U485" i="1"/>
  <c r="T485" i="1"/>
  <c r="S485" i="1"/>
  <c r="U484" i="1"/>
  <c r="T484" i="1"/>
  <c r="S484" i="1"/>
  <c r="U483" i="1"/>
  <c r="T483" i="1"/>
  <c r="S483" i="1"/>
  <c r="R483" i="1"/>
  <c r="AT483" i="1" s="1"/>
  <c r="Q483" i="1"/>
  <c r="AU483" i="1" s="1"/>
  <c r="P483" i="1"/>
  <c r="U482" i="1"/>
  <c r="T482" i="1"/>
  <c r="S482" i="1"/>
  <c r="R482" i="1"/>
  <c r="AT482" i="1" s="1"/>
  <c r="Q482" i="1"/>
  <c r="AU482" i="1" s="1"/>
  <c r="P482" i="1"/>
  <c r="U481" i="1"/>
  <c r="T481" i="1"/>
  <c r="S481" i="1"/>
  <c r="R481" i="1"/>
  <c r="AT481" i="1" s="1"/>
  <c r="Q481" i="1"/>
  <c r="AU481" i="1" s="1"/>
  <c r="P481" i="1"/>
  <c r="U480" i="1"/>
  <c r="T480" i="1"/>
  <c r="S480" i="1"/>
  <c r="U479" i="1"/>
  <c r="T479" i="1"/>
  <c r="S479" i="1"/>
  <c r="R479" i="1"/>
  <c r="AT479" i="1" s="1"/>
  <c r="Q479" i="1"/>
  <c r="AU479" i="1" s="1"/>
  <c r="P479" i="1"/>
  <c r="U478" i="1"/>
  <c r="T478" i="1"/>
  <c r="S478" i="1"/>
  <c r="U477" i="1"/>
  <c r="T477" i="1"/>
  <c r="S477" i="1"/>
  <c r="R477" i="1"/>
  <c r="AT477" i="1" s="1"/>
  <c r="Q477" i="1"/>
  <c r="AU477" i="1" s="1"/>
  <c r="P477" i="1"/>
  <c r="U476" i="1"/>
  <c r="T476" i="1"/>
  <c r="S476" i="1"/>
  <c r="U475" i="1"/>
  <c r="T475" i="1"/>
  <c r="S475" i="1"/>
  <c r="R475" i="1"/>
  <c r="AT475" i="1" s="1"/>
  <c r="Q475" i="1"/>
  <c r="AU475" i="1" s="1"/>
  <c r="P475" i="1"/>
  <c r="U474" i="1"/>
  <c r="T474" i="1"/>
  <c r="S474" i="1"/>
  <c r="U473" i="1"/>
  <c r="T473" i="1"/>
  <c r="S473" i="1"/>
  <c r="R473" i="1"/>
  <c r="AT473" i="1" s="1"/>
  <c r="Q473" i="1"/>
  <c r="AU473" i="1" s="1"/>
  <c r="P473" i="1"/>
  <c r="U472" i="1"/>
  <c r="T472" i="1"/>
  <c r="S472" i="1"/>
  <c r="U471" i="1"/>
  <c r="T471" i="1"/>
  <c r="S471" i="1"/>
  <c r="U470" i="1"/>
  <c r="T470" i="1"/>
  <c r="S470" i="1"/>
  <c r="R470" i="1"/>
  <c r="AT470" i="1" s="1"/>
  <c r="Q470" i="1"/>
  <c r="AU470" i="1" s="1"/>
  <c r="P470" i="1"/>
  <c r="U469" i="1"/>
  <c r="T469" i="1"/>
  <c r="S469" i="1"/>
  <c r="R469" i="1"/>
  <c r="AT469" i="1" s="1"/>
  <c r="Q469" i="1"/>
  <c r="AU469" i="1" s="1"/>
  <c r="P469" i="1"/>
  <c r="U468" i="1"/>
  <c r="T468" i="1"/>
  <c r="S468" i="1"/>
  <c r="R468" i="1"/>
  <c r="AT468" i="1" s="1"/>
  <c r="Q468" i="1"/>
  <c r="AU468" i="1" s="1"/>
  <c r="P468" i="1"/>
  <c r="U467" i="1"/>
  <c r="T467" i="1"/>
  <c r="S467" i="1"/>
  <c r="U466" i="1"/>
  <c r="T466" i="1"/>
  <c r="S466" i="1"/>
  <c r="R466" i="1"/>
  <c r="AT466" i="1" s="1"/>
  <c r="Q466" i="1"/>
  <c r="AU466" i="1" s="1"/>
  <c r="P466" i="1"/>
  <c r="U465" i="1"/>
  <c r="T465" i="1"/>
  <c r="S465" i="1"/>
  <c r="U464" i="1"/>
  <c r="T464" i="1"/>
  <c r="S464" i="1"/>
  <c r="R464" i="1"/>
  <c r="AT464" i="1" s="1"/>
  <c r="Q464" i="1"/>
  <c r="AU464" i="1" s="1"/>
  <c r="P464" i="1"/>
  <c r="U463" i="1"/>
  <c r="T463" i="1"/>
  <c r="S463" i="1"/>
  <c r="R463" i="1"/>
  <c r="AT463" i="1" s="1"/>
  <c r="Q463" i="1"/>
  <c r="AU463" i="1" s="1"/>
  <c r="P463" i="1"/>
  <c r="U462" i="1"/>
  <c r="T462" i="1"/>
  <c r="S462" i="1"/>
  <c r="R462" i="1"/>
  <c r="AT462" i="1" s="1"/>
  <c r="Q462" i="1"/>
  <c r="AU462" i="1" s="1"/>
  <c r="P462" i="1"/>
  <c r="U461" i="1"/>
  <c r="T461" i="1"/>
  <c r="S461" i="1"/>
  <c r="U460" i="1"/>
  <c r="T460" i="1"/>
  <c r="S460" i="1"/>
  <c r="R460" i="1"/>
  <c r="AT460" i="1" s="1"/>
  <c r="Q460" i="1"/>
  <c r="AU460" i="1" s="1"/>
  <c r="P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R456" i="1"/>
  <c r="AT456" i="1" s="1"/>
  <c r="Q456" i="1"/>
  <c r="AU456" i="1" s="1"/>
  <c r="P456" i="1"/>
  <c r="U455" i="1"/>
  <c r="T455" i="1"/>
  <c r="S455" i="1"/>
  <c r="U454" i="1"/>
  <c r="T454" i="1"/>
  <c r="S454" i="1"/>
  <c r="R454" i="1"/>
  <c r="AT454" i="1" s="1"/>
  <c r="Q454" i="1"/>
  <c r="AU454" i="1" s="1"/>
  <c r="P454" i="1"/>
  <c r="U453" i="1"/>
  <c r="T453" i="1"/>
  <c r="S453" i="1"/>
  <c r="R453" i="1"/>
  <c r="AT453" i="1" s="1"/>
  <c r="Q453" i="1"/>
  <c r="AU453" i="1" s="1"/>
  <c r="P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R449" i="1"/>
  <c r="AT449" i="1" s="1"/>
  <c r="Q449" i="1"/>
  <c r="AU449" i="1" s="1"/>
  <c r="P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R445" i="1"/>
  <c r="AT445" i="1" s="1"/>
  <c r="Q445" i="1"/>
  <c r="AU445" i="1" s="1"/>
  <c r="P445" i="1"/>
  <c r="U444" i="1"/>
  <c r="T444" i="1"/>
  <c r="S444" i="1"/>
  <c r="R444" i="1"/>
  <c r="AT444" i="1" s="1"/>
  <c r="Q444" i="1"/>
  <c r="AU444" i="1" s="1"/>
  <c r="P444" i="1"/>
  <c r="U443" i="1"/>
  <c r="T443" i="1"/>
  <c r="S443" i="1"/>
  <c r="U442" i="1"/>
  <c r="T442" i="1"/>
  <c r="S442" i="1"/>
  <c r="R442" i="1"/>
  <c r="AT442" i="1" s="1"/>
  <c r="Q442" i="1"/>
  <c r="AU442" i="1" s="1"/>
  <c r="P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R435" i="1"/>
  <c r="AT435" i="1" s="1"/>
  <c r="Q435" i="1"/>
  <c r="AU435" i="1" s="1"/>
  <c r="P435" i="1"/>
  <c r="U434" i="1"/>
  <c r="T434" i="1"/>
  <c r="S434" i="1"/>
  <c r="R434" i="1"/>
  <c r="AT434" i="1" s="1"/>
  <c r="Q434" i="1"/>
  <c r="AU434" i="1" s="1"/>
  <c r="P434" i="1"/>
  <c r="U433" i="1"/>
  <c r="T433" i="1"/>
  <c r="S433" i="1"/>
  <c r="R433" i="1"/>
  <c r="AT433" i="1" s="1"/>
  <c r="Q433" i="1"/>
  <c r="AU433" i="1" s="1"/>
  <c r="P433" i="1"/>
  <c r="U432" i="1"/>
  <c r="T432" i="1"/>
  <c r="S432" i="1"/>
  <c r="R432" i="1"/>
  <c r="AT432" i="1" s="1"/>
  <c r="Q432" i="1"/>
  <c r="AU432" i="1" s="1"/>
  <c r="P432" i="1"/>
  <c r="U431" i="1"/>
  <c r="T431" i="1"/>
  <c r="S431" i="1"/>
  <c r="R431" i="1"/>
  <c r="AT431" i="1" s="1"/>
  <c r="Q431" i="1"/>
  <c r="AU431" i="1" s="1"/>
  <c r="P431" i="1"/>
  <c r="U430" i="1"/>
  <c r="T430" i="1"/>
  <c r="S430" i="1"/>
  <c r="U429" i="1"/>
  <c r="T429" i="1"/>
  <c r="S429" i="1"/>
  <c r="R429" i="1"/>
  <c r="AT429" i="1" s="1"/>
  <c r="Q429" i="1"/>
  <c r="AU429" i="1" s="1"/>
  <c r="P429" i="1"/>
  <c r="U428" i="1"/>
  <c r="T428" i="1"/>
  <c r="S428" i="1"/>
  <c r="U427" i="1"/>
  <c r="T427" i="1"/>
  <c r="S427" i="1"/>
  <c r="R427" i="1"/>
  <c r="AT427" i="1" s="1"/>
  <c r="Q427" i="1"/>
  <c r="AU427" i="1" s="1"/>
  <c r="P427" i="1"/>
  <c r="U426" i="1"/>
  <c r="T426" i="1"/>
  <c r="S426" i="1"/>
  <c r="R426" i="1"/>
  <c r="AT426" i="1" s="1"/>
  <c r="Q426" i="1"/>
  <c r="AU426" i="1" s="1"/>
  <c r="P426" i="1"/>
  <c r="U425" i="1"/>
  <c r="T425" i="1"/>
  <c r="S425" i="1"/>
  <c r="R425" i="1"/>
  <c r="AT425" i="1" s="1"/>
  <c r="Q425" i="1"/>
  <c r="AU425" i="1" s="1"/>
  <c r="P425" i="1"/>
  <c r="U424" i="1"/>
  <c r="T424" i="1"/>
  <c r="S424" i="1"/>
  <c r="R424" i="1"/>
  <c r="AT424" i="1" s="1"/>
  <c r="Q424" i="1"/>
  <c r="AU424" i="1" s="1"/>
  <c r="P424" i="1"/>
  <c r="U423" i="1"/>
  <c r="T423" i="1"/>
  <c r="S423" i="1"/>
  <c r="R423" i="1"/>
  <c r="AT423" i="1" s="1"/>
  <c r="Q423" i="1"/>
  <c r="AU423" i="1" s="1"/>
  <c r="P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R419" i="1"/>
  <c r="AT419" i="1" s="1"/>
  <c r="Q419" i="1"/>
  <c r="AU419" i="1" s="1"/>
  <c r="P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R414" i="1"/>
  <c r="AT414" i="1" s="1"/>
  <c r="Q414" i="1"/>
  <c r="AU414" i="1" s="1"/>
  <c r="P414" i="1"/>
  <c r="U413" i="1"/>
  <c r="T413" i="1"/>
  <c r="S413" i="1"/>
  <c r="U412" i="1"/>
  <c r="T412" i="1"/>
  <c r="S412" i="1"/>
  <c r="R412" i="1"/>
  <c r="AT412" i="1" s="1"/>
  <c r="Q412" i="1"/>
  <c r="AU412" i="1" s="1"/>
  <c r="P412" i="1"/>
  <c r="U411" i="1"/>
  <c r="T411" i="1"/>
  <c r="S411" i="1"/>
  <c r="R411" i="1"/>
  <c r="AT411" i="1" s="1"/>
  <c r="Q411" i="1"/>
  <c r="AU411" i="1" s="1"/>
  <c r="P411" i="1"/>
  <c r="U410" i="1"/>
  <c r="T410" i="1"/>
  <c r="S410" i="1"/>
  <c r="U409" i="1"/>
  <c r="T409" i="1"/>
  <c r="S409" i="1"/>
  <c r="U408" i="1"/>
  <c r="T408" i="1"/>
  <c r="S408" i="1"/>
  <c r="R408" i="1"/>
  <c r="AT408" i="1" s="1"/>
  <c r="Q408" i="1"/>
  <c r="AU408" i="1" s="1"/>
  <c r="P408" i="1"/>
  <c r="U407" i="1"/>
  <c r="T407" i="1"/>
  <c r="S407" i="1"/>
  <c r="R407" i="1"/>
  <c r="AT407" i="1" s="1"/>
  <c r="Q407" i="1"/>
  <c r="AU407" i="1" s="1"/>
  <c r="P407" i="1"/>
  <c r="U406" i="1"/>
  <c r="T406" i="1"/>
  <c r="S406" i="1"/>
  <c r="R406" i="1"/>
  <c r="AT406" i="1" s="1"/>
  <c r="Q406" i="1"/>
  <c r="AU406" i="1" s="1"/>
  <c r="P406" i="1"/>
  <c r="U405" i="1"/>
  <c r="T405" i="1"/>
  <c r="S405" i="1"/>
  <c r="R405" i="1"/>
  <c r="AT405" i="1" s="1"/>
  <c r="Q405" i="1"/>
  <c r="AU405" i="1" s="1"/>
  <c r="P405" i="1"/>
  <c r="U404" i="1"/>
  <c r="T404" i="1"/>
  <c r="S404" i="1"/>
  <c r="R404" i="1"/>
  <c r="AT404" i="1" s="1"/>
  <c r="Q404" i="1"/>
  <c r="AU404" i="1" s="1"/>
  <c r="P404" i="1"/>
  <c r="U403" i="1"/>
  <c r="T403" i="1"/>
  <c r="S403" i="1"/>
  <c r="U402" i="1"/>
  <c r="T402" i="1"/>
  <c r="S402" i="1"/>
  <c r="R402" i="1"/>
  <c r="AT402" i="1" s="1"/>
  <c r="Q402" i="1"/>
  <c r="AU402" i="1" s="1"/>
  <c r="P402" i="1"/>
  <c r="U401" i="1"/>
  <c r="T401" i="1"/>
  <c r="S401" i="1"/>
  <c r="R401" i="1"/>
  <c r="AT401" i="1" s="1"/>
  <c r="Q401" i="1"/>
  <c r="AU401" i="1" s="1"/>
  <c r="P401" i="1"/>
  <c r="U400" i="1"/>
  <c r="T400" i="1"/>
  <c r="S400" i="1"/>
  <c r="R400" i="1"/>
  <c r="AT400" i="1" s="1"/>
  <c r="Q400" i="1"/>
  <c r="AU400" i="1" s="1"/>
  <c r="P400" i="1"/>
  <c r="U399" i="1"/>
  <c r="T399" i="1"/>
  <c r="S399" i="1"/>
  <c r="R399" i="1"/>
  <c r="AT399" i="1" s="1"/>
  <c r="Q399" i="1"/>
  <c r="AU399" i="1" s="1"/>
  <c r="P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R395" i="1"/>
  <c r="AT395" i="1" s="1"/>
  <c r="Q395" i="1"/>
  <c r="AU395" i="1" s="1"/>
  <c r="P395" i="1"/>
  <c r="U394" i="1"/>
  <c r="T394" i="1"/>
  <c r="S394" i="1"/>
  <c r="U393" i="1"/>
  <c r="T393" i="1"/>
  <c r="S393" i="1"/>
  <c r="R393" i="1"/>
  <c r="AT393" i="1" s="1"/>
  <c r="Q393" i="1"/>
  <c r="AU393" i="1" s="1"/>
  <c r="P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R389" i="1"/>
  <c r="AT389" i="1" s="1"/>
  <c r="Q389" i="1"/>
  <c r="AU389" i="1" s="1"/>
  <c r="P389" i="1"/>
  <c r="U388" i="1"/>
  <c r="T388" i="1"/>
  <c r="S388" i="1"/>
  <c r="R388" i="1"/>
  <c r="AT388" i="1" s="1"/>
  <c r="Q388" i="1"/>
  <c r="AU388" i="1" s="1"/>
  <c r="P388" i="1"/>
  <c r="U387" i="1"/>
  <c r="T387" i="1"/>
  <c r="S387" i="1"/>
  <c r="U386" i="1"/>
  <c r="T386" i="1"/>
  <c r="S386" i="1"/>
  <c r="R386" i="1"/>
  <c r="AT386" i="1" s="1"/>
  <c r="Q386" i="1"/>
  <c r="AU386" i="1" s="1"/>
  <c r="P386" i="1"/>
  <c r="U385" i="1"/>
  <c r="T385" i="1"/>
  <c r="S385" i="1"/>
  <c r="U384" i="1"/>
  <c r="T384" i="1"/>
  <c r="S384" i="1"/>
  <c r="R384" i="1"/>
  <c r="AT384" i="1" s="1"/>
  <c r="Q384" i="1"/>
  <c r="AU384" i="1" s="1"/>
  <c r="P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R380" i="1"/>
  <c r="AT380" i="1" s="1"/>
  <c r="Q380" i="1"/>
  <c r="AU380" i="1" s="1"/>
  <c r="P380" i="1"/>
  <c r="U379" i="1"/>
  <c r="T379" i="1"/>
  <c r="S379" i="1"/>
  <c r="U378" i="1"/>
  <c r="T378" i="1"/>
  <c r="S378" i="1"/>
  <c r="R378" i="1"/>
  <c r="AT378" i="1" s="1"/>
  <c r="Q378" i="1"/>
  <c r="AU378" i="1" s="1"/>
  <c r="P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R374" i="1"/>
  <c r="AT374" i="1" s="1"/>
  <c r="Q374" i="1"/>
  <c r="AU374" i="1" s="1"/>
  <c r="P374" i="1"/>
  <c r="U373" i="1"/>
  <c r="T373" i="1"/>
  <c r="S373" i="1"/>
  <c r="U372" i="1"/>
  <c r="T372" i="1"/>
  <c r="S372" i="1"/>
  <c r="R372" i="1"/>
  <c r="AT372" i="1" s="1"/>
  <c r="Q372" i="1"/>
  <c r="AU372" i="1" s="1"/>
  <c r="P372" i="1"/>
  <c r="U371" i="1"/>
  <c r="T371" i="1"/>
  <c r="S371" i="1"/>
  <c r="U370" i="1"/>
  <c r="T370" i="1"/>
  <c r="S370" i="1"/>
  <c r="R370" i="1"/>
  <c r="AT370" i="1" s="1"/>
  <c r="Q370" i="1"/>
  <c r="AU370" i="1" s="1"/>
  <c r="P370" i="1"/>
  <c r="U369" i="1"/>
  <c r="T369" i="1"/>
  <c r="S369" i="1"/>
  <c r="R369" i="1"/>
  <c r="AT369" i="1" s="1"/>
  <c r="Q369" i="1"/>
  <c r="AU369" i="1" s="1"/>
  <c r="P369" i="1"/>
  <c r="U368" i="1"/>
  <c r="T368" i="1"/>
  <c r="S368" i="1"/>
  <c r="R368" i="1"/>
  <c r="AT368" i="1" s="1"/>
  <c r="Q368" i="1"/>
  <c r="AU368" i="1" s="1"/>
  <c r="P368" i="1"/>
  <c r="U367" i="1"/>
  <c r="T367" i="1"/>
  <c r="S367" i="1"/>
  <c r="U366" i="1"/>
  <c r="T366" i="1"/>
  <c r="S366" i="1"/>
  <c r="R366" i="1"/>
  <c r="AT366" i="1" s="1"/>
  <c r="Q366" i="1"/>
  <c r="AU366" i="1" s="1"/>
  <c r="P366" i="1"/>
  <c r="U365" i="1"/>
  <c r="T365" i="1"/>
  <c r="S365" i="1"/>
  <c r="R365" i="1"/>
  <c r="AT365" i="1" s="1"/>
  <c r="Q365" i="1"/>
  <c r="AU365" i="1" s="1"/>
  <c r="P365" i="1"/>
  <c r="U364" i="1"/>
  <c r="T364" i="1"/>
  <c r="S364" i="1"/>
  <c r="R364" i="1"/>
  <c r="AT364" i="1" s="1"/>
  <c r="Q364" i="1"/>
  <c r="AU364" i="1" s="1"/>
  <c r="P364" i="1"/>
  <c r="U363" i="1"/>
  <c r="T363" i="1"/>
  <c r="S363" i="1"/>
  <c r="R363" i="1"/>
  <c r="AT363" i="1" s="1"/>
  <c r="Q363" i="1"/>
  <c r="AU363" i="1" s="1"/>
  <c r="P363" i="1"/>
  <c r="U362" i="1"/>
  <c r="T362" i="1"/>
  <c r="S362" i="1"/>
  <c r="R362" i="1"/>
  <c r="AT362" i="1" s="1"/>
  <c r="Q362" i="1"/>
  <c r="AU362" i="1" s="1"/>
  <c r="P362" i="1"/>
  <c r="U361" i="1"/>
  <c r="T361" i="1"/>
  <c r="S361" i="1"/>
  <c r="R361" i="1"/>
  <c r="AT361" i="1" s="1"/>
  <c r="Q361" i="1"/>
  <c r="AU361" i="1" s="1"/>
  <c r="P361" i="1"/>
  <c r="U360" i="1"/>
  <c r="T360" i="1"/>
  <c r="S360" i="1"/>
  <c r="U359" i="1"/>
  <c r="T359" i="1"/>
  <c r="S359" i="1"/>
  <c r="U358" i="1"/>
  <c r="T358" i="1"/>
  <c r="S358" i="1"/>
  <c r="R358" i="1"/>
  <c r="AT358" i="1" s="1"/>
  <c r="Q358" i="1"/>
  <c r="AU358" i="1" s="1"/>
  <c r="P358" i="1"/>
  <c r="U357" i="1"/>
  <c r="T357" i="1"/>
  <c r="S357" i="1"/>
  <c r="U356" i="1"/>
  <c r="T356" i="1"/>
  <c r="S356" i="1"/>
  <c r="R356" i="1"/>
  <c r="AT356" i="1" s="1"/>
  <c r="Q356" i="1"/>
  <c r="AU356" i="1" s="1"/>
  <c r="P356" i="1"/>
  <c r="U355" i="1"/>
  <c r="T355" i="1"/>
  <c r="S355" i="1"/>
  <c r="U354" i="1"/>
  <c r="T354" i="1"/>
  <c r="S354" i="1"/>
  <c r="U353" i="1"/>
  <c r="T353" i="1"/>
  <c r="S353" i="1"/>
  <c r="R353" i="1"/>
  <c r="AT353" i="1" s="1"/>
  <c r="Q353" i="1"/>
  <c r="AU353" i="1" s="1"/>
  <c r="P353" i="1"/>
  <c r="U352" i="1"/>
  <c r="T352" i="1"/>
  <c r="S352" i="1"/>
  <c r="R352" i="1"/>
  <c r="AT352" i="1" s="1"/>
  <c r="Q352" i="1"/>
  <c r="AU352" i="1" s="1"/>
  <c r="P352" i="1"/>
  <c r="U351" i="1"/>
  <c r="T351" i="1"/>
  <c r="S351" i="1"/>
  <c r="U350" i="1"/>
  <c r="T350" i="1"/>
  <c r="S350" i="1"/>
  <c r="R350" i="1"/>
  <c r="AT350" i="1" s="1"/>
  <c r="Q350" i="1"/>
  <c r="AU350" i="1" s="1"/>
  <c r="P350" i="1"/>
  <c r="U349" i="1"/>
  <c r="T349" i="1"/>
  <c r="S349" i="1"/>
  <c r="R349" i="1"/>
  <c r="AT349" i="1" s="1"/>
  <c r="Q349" i="1"/>
  <c r="AU349" i="1" s="1"/>
  <c r="P349" i="1"/>
  <c r="U348" i="1"/>
  <c r="T348" i="1"/>
  <c r="S348" i="1"/>
  <c r="U347" i="1"/>
  <c r="T347" i="1"/>
  <c r="S347" i="1"/>
  <c r="U346" i="1"/>
  <c r="T346" i="1"/>
  <c r="S346" i="1"/>
  <c r="R346" i="1"/>
  <c r="AT346" i="1" s="1"/>
  <c r="Q346" i="1"/>
  <c r="AU346" i="1" s="1"/>
  <c r="P346" i="1"/>
  <c r="U345" i="1"/>
  <c r="T345" i="1"/>
  <c r="S345" i="1"/>
  <c r="U344" i="1"/>
  <c r="T344" i="1"/>
  <c r="S344" i="1"/>
  <c r="U343" i="1"/>
  <c r="T343" i="1"/>
  <c r="S343" i="1"/>
  <c r="R343" i="1"/>
  <c r="AT343" i="1" s="1"/>
  <c r="Q343" i="1"/>
  <c r="AU343" i="1" s="1"/>
  <c r="P343" i="1"/>
  <c r="U342" i="1"/>
  <c r="T342" i="1"/>
  <c r="S342" i="1"/>
  <c r="U341" i="1"/>
  <c r="T341" i="1"/>
  <c r="S341" i="1"/>
  <c r="U340" i="1"/>
  <c r="T340" i="1"/>
  <c r="S340" i="1"/>
  <c r="R340" i="1"/>
  <c r="AT340" i="1" s="1"/>
  <c r="Q340" i="1"/>
  <c r="AU340" i="1" s="1"/>
  <c r="P340" i="1"/>
  <c r="U339" i="1"/>
  <c r="T339" i="1"/>
  <c r="S339" i="1"/>
  <c r="R339" i="1"/>
  <c r="AT339" i="1" s="1"/>
  <c r="Q339" i="1"/>
  <c r="AU339" i="1" s="1"/>
  <c r="P339" i="1"/>
  <c r="U338" i="1"/>
  <c r="T338" i="1"/>
  <c r="S338" i="1"/>
  <c r="R338" i="1"/>
  <c r="AT338" i="1" s="1"/>
  <c r="Q338" i="1"/>
  <c r="AU338" i="1" s="1"/>
  <c r="P338" i="1"/>
  <c r="U337" i="1"/>
  <c r="T337" i="1"/>
  <c r="S337" i="1"/>
  <c r="U336" i="1"/>
  <c r="T336" i="1"/>
  <c r="S336" i="1"/>
  <c r="R336" i="1"/>
  <c r="AT336" i="1" s="1"/>
  <c r="Q336" i="1"/>
  <c r="AU336" i="1" s="1"/>
  <c r="P336" i="1"/>
  <c r="U335" i="1"/>
  <c r="T335" i="1"/>
  <c r="S335" i="1"/>
  <c r="R335" i="1"/>
  <c r="AT335" i="1" s="1"/>
  <c r="Q335" i="1"/>
  <c r="AU335" i="1" s="1"/>
  <c r="P335" i="1"/>
  <c r="U334" i="1"/>
  <c r="T334" i="1"/>
  <c r="S334" i="1"/>
  <c r="R334" i="1"/>
  <c r="AT334" i="1" s="1"/>
  <c r="Q334" i="1"/>
  <c r="AU334" i="1" s="1"/>
  <c r="P334" i="1"/>
  <c r="U333" i="1"/>
  <c r="T333" i="1"/>
  <c r="S333" i="1"/>
  <c r="R333" i="1"/>
  <c r="AT333" i="1" s="1"/>
  <c r="Q333" i="1"/>
  <c r="AU333" i="1" s="1"/>
  <c r="P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R329" i="1"/>
  <c r="AT329" i="1" s="1"/>
  <c r="Q329" i="1"/>
  <c r="AU329" i="1" s="1"/>
  <c r="P329" i="1"/>
  <c r="U328" i="1"/>
  <c r="T328" i="1"/>
  <c r="S328" i="1"/>
  <c r="R328" i="1"/>
  <c r="AT328" i="1" s="1"/>
  <c r="Q328" i="1"/>
  <c r="AU328" i="1" s="1"/>
  <c r="P328" i="1"/>
  <c r="U327" i="1"/>
  <c r="T327" i="1"/>
  <c r="S327" i="1"/>
  <c r="U326" i="1"/>
  <c r="T326" i="1"/>
  <c r="S326" i="1"/>
  <c r="R326" i="1"/>
  <c r="AT326" i="1" s="1"/>
  <c r="Q326" i="1"/>
  <c r="AU326" i="1" s="1"/>
  <c r="P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R321" i="1"/>
  <c r="AT321" i="1" s="1"/>
  <c r="Q321" i="1"/>
  <c r="AU321" i="1" s="1"/>
  <c r="P321" i="1"/>
  <c r="U320" i="1"/>
  <c r="T320" i="1"/>
  <c r="S320" i="1"/>
  <c r="U319" i="1"/>
  <c r="T319" i="1"/>
  <c r="S319" i="1"/>
  <c r="R319" i="1"/>
  <c r="AT319" i="1" s="1"/>
  <c r="Q319" i="1"/>
  <c r="AU319" i="1" s="1"/>
  <c r="P319" i="1"/>
  <c r="U318" i="1"/>
  <c r="T318" i="1"/>
  <c r="S318" i="1"/>
  <c r="U317" i="1"/>
  <c r="T317" i="1"/>
  <c r="S317" i="1"/>
  <c r="R317" i="1"/>
  <c r="AT317" i="1" s="1"/>
  <c r="Q317" i="1"/>
  <c r="AU317" i="1" s="1"/>
  <c r="P317" i="1"/>
  <c r="U316" i="1"/>
  <c r="T316" i="1"/>
  <c r="S316" i="1"/>
  <c r="U315" i="1"/>
  <c r="T315" i="1"/>
  <c r="S315" i="1"/>
  <c r="R315" i="1"/>
  <c r="AT315" i="1" s="1"/>
  <c r="Q315" i="1"/>
  <c r="AU315" i="1" s="1"/>
  <c r="P315" i="1"/>
  <c r="U314" i="1"/>
  <c r="T314" i="1"/>
  <c r="S314" i="1"/>
  <c r="R314" i="1"/>
  <c r="AT314" i="1" s="1"/>
  <c r="Q314" i="1"/>
  <c r="AU314" i="1" s="1"/>
  <c r="P314" i="1"/>
  <c r="U313" i="1"/>
  <c r="T313" i="1"/>
  <c r="S313" i="1"/>
  <c r="U312" i="1"/>
  <c r="T312" i="1"/>
  <c r="S312" i="1"/>
  <c r="R312" i="1"/>
  <c r="AT312" i="1" s="1"/>
  <c r="Q312" i="1"/>
  <c r="AU312" i="1" s="1"/>
  <c r="P312" i="1"/>
  <c r="U311" i="1"/>
  <c r="T311" i="1"/>
  <c r="S311" i="1"/>
  <c r="U310" i="1"/>
  <c r="T310" i="1"/>
  <c r="S310" i="1"/>
  <c r="R310" i="1"/>
  <c r="AT310" i="1" s="1"/>
  <c r="Q310" i="1"/>
  <c r="AU310" i="1" s="1"/>
  <c r="P310" i="1"/>
  <c r="U309" i="1"/>
  <c r="T309" i="1"/>
  <c r="S309" i="1"/>
  <c r="U308" i="1"/>
  <c r="T308" i="1"/>
  <c r="S308" i="1"/>
  <c r="U307" i="1"/>
  <c r="T307" i="1"/>
  <c r="S307" i="1"/>
  <c r="R307" i="1"/>
  <c r="AT307" i="1" s="1"/>
  <c r="Q307" i="1"/>
  <c r="AU307" i="1" s="1"/>
  <c r="P307" i="1"/>
  <c r="U306" i="1"/>
  <c r="T306" i="1"/>
  <c r="S306" i="1"/>
  <c r="U305" i="1"/>
  <c r="T305" i="1"/>
  <c r="S305" i="1"/>
  <c r="R305" i="1"/>
  <c r="AT305" i="1" s="1"/>
  <c r="Q305" i="1"/>
  <c r="AU305" i="1" s="1"/>
  <c r="P305" i="1"/>
  <c r="U304" i="1"/>
  <c r="T304" i="1"/>
  <c r="S304" i="1"/>
  <c r="U303" i="1"/>
  <c r="T303" i="1"/>
  <c r="S303" i="1"/>
  <c r="R303" i="1"/>
  <c r="AT303" i="1" s="1"/>
  <c r="Q303" i="1"/>
  <c r="AU303" i="1" s="1"/>
  <c r="P303" i="1"/>
  <c r="U302" i="1"/>
  <c r="T302" i="1"/>
  <c r="S302" i="1"/>
  <c r="R302" i="1"/>
  <c r="AT302" i="1" s="1"/>
  <c r="Q302" i="1"/>
  <c r="AU302" i="1" s="1"/>
  <c r="P302" i="1"/>
  <c r="U301" i="1"/>
  <c r="T301" i="1"/>
  <c r="S301" i="1"/>
  <c r="R301" i="1"/>
  <c r="AT301" i="1" s="1"/>
  <c r="Q301" i="1"/>
  <c r="AU301" i="1" s="1"/>
  <c r="P301" i="1"/>
  <c r="U300" i="1"/>
  <c r="T300" i="1"/>
  <c r="S300" i="1"/>
  <c r="R300" i="1"/>
  <c r="AT300" i="1" s="1"/>
  <c r="Q300" i="1"/>
  <c r="AU300" i="1" s="1"/>
  <c r="P300" i="1"/>
  <c r="U299" i="1"/>
  <c r="T299" i="1"/>
  <c r="S299" i="1"/>
  <c r="R299" i="1"/>
  <c r="AT299" i="1" s="1"/>
  <c r="Q299" i="1"/>
  <c r="AU299" i="1" s="1"/>
  <c r="P299" i="1"/>
  <c r="U298" i="1"/>
  <c r="T298" i="1"/>
  <c r="S298" i="1"/>
  <c r="R298" i="1"/>
  <c r="AT298" i="1" s="1"/>
  <c r="Q298" i="1"/>
  <c r="AU298" i="1" s="1"/>
  <c r="P298" i="1"/>
  <c r="U297" i="1"/>
  <c r="T297" i="1"/>
  <c r="S297" i="1"/>
  <c r="R297" i="1"/>
  <c r="AT297" i="1" s="1"/>
  <c r="Q297" i="1"/>
  <c r="AU297" i="1" s="1"/>
  <c r="P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R293" i="1"/>
  <c r="AT293" i="1" s="1"/>
  <c r="Q293" i="1"/>
  <c r="AU293" i="1" s="1"/>
  <c r="P293" i="1"/>
  <c r="U292" i="1"/>
  <c r="T292" i="1"/>
  <c r="S292" i="1"/>
  <c r="R292" i="1"/>
  <c r="AT292" i="1" s="1"/>
  <c r="Q292" i="1"/>
  <c r="AU292" i="1" s="1"/>
  <c r="P292" i="1"/>
  <c r="U291" i="1"/>
  <c r="T291" i="1"/>
  <c r="S291" i="1"/>
  <c r="R291" i="1"/>
  <c r="AT291" i="1" s="1"/>
  <c r="Q291" i="1"/>
  <c r="AU291" i="1" s="1"/>
  <c r="P291" i="1"/>
  <c r="U290" i="1"/>
  <c r="T290" i="1"/>
  <c r="S290" i="1"/>
  <c r="R290" i="1"/>
  <c r="AT290" i="1" s="1"/>
  <c r="Q290" i="1"/>
  <c r="AU290" i="1" s="1"/>
  <c r="P290" i="1"/>
  <c r="U289" i="1"/>
  <c r="T289" i="1"/>
  <c r="S289" i="1"/>
  <c r="R289" i="1"/>
  <c r="AT289" i="1" s="1"/>
  <c r="Q289" i="1"/>
  <c r="AU289" i="1" s="1"/>
  <c r="P289" i="1"/>
  <c r="U288" i="1"/>
  <c r="T288" i="1"/>
  <c r="S288" i="1"/>
  <c r="R288" i="1"/>
  <c r="AT288" i="1" s="1"/>
  <c r="Q288" i="1"/>
  <c r="AU288" i="1" s="1"/>
  <c r="P288" i="1"/>
  <c r="U287" i="1"/>
  <c r="T287" i="1"/>
  <c r="S287" i="1"/>
  <c r="R287" i="1"/>
  <c r="AT287" i="1" s="1"/>
  <c r="Q287" i="1"/>
  <c r="AU287" i="1" s="1"/>
  <c r="P287" i="1"/>
  <c r="U286" i="1"/>
  <c r="T286" i="1"/>
  <c r="S286" i="1"/>
  <c r="R286" i="1"/>
  <c r="AT286" i="1" s="1"/>
  <c r="Q286" i="1"/>
  <c r="AU286" i="1" s="1"/>
  <c r="P286" i="1"/>
  <c r="U285" i="1"/>
  <c r="T285" i="1"/>
  <c r="S285" i="1"/>
  <c r="R285" i="1"/>
  <c r="AT285" i="1" s="1"/>
  <c r="Q285" i="1"/>
  <c r="AU285" i="1" s="1"/>
  <c r="P285" i="1"/>
  <c r="U284" i="1"/>
  <c r="T284" i="1"/>
  <c r="S284" i="1"/>
  <c r="R284" i="1"/>
  <c r="AT284" i="1" s="1"/>
  <c r="Q284" i="1"/>
  <c r="AU284" i="1" s="1"/>
  <c r="P284" i="1"/>
  <c r="U283" i="1"/>
  <c r="T283" i="1"/>
  <c r="S283" i="1"/>
  <c r="R283" i="1"/>
  <c r="AT283" i="1" s="1"/>
  <c r="Q283" i="1"/>
  <c r="AU283" i="1" s="1"/>
  <c r="P283" i="1"/>
  <c r="U282" i="1"/>
  <c r="T282" i="1"/>
  <c r="S282" i="1"/>
  <c r="R282" i="1"/>
  <c r="AT282" i="1" s="1"/>
  <c r="Q282" i="1"/>
  <c r="AU282" i="1" s="1"/>
  <c r="P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R278" i="1"/>
  <c r="AT278" i="1" s="1"/>
  <c r="Q278" i="1"/>
  <c r="AU278" i="1" s="1"/>
  <c r="P278" i="1"/>
  <c r="U277" i="1"/>
  <c r="T277" i="1"/>
  <c r="S277" i="1"/>
  <c r="R277" i="1"/>
  <c r="AT277" i="1" s="1"/>
  <c r="Q277" i="1"/>
  <c r="AU277" i="1" s="1"/>
  <c r="P277" i="1"/>
  <c r="U276" i="1"/>
  <c r="T276" i="1"/>
  <c r="S276" i="1"/>
  <c r="U275" i="1"/>
  <c r="T275" i="1"/>
  <c r="S275" i="1"/>
  <c r="U274" i="1"/>
  <c r="T274" i="1"/>
  <c r="S274" i="1"/>
  <c r="R274" i="1"/>
  <c r="AT274" i="1" s="1"/>
  <c r="Q274" i="1"/>
  <c r="AU274" i="1" s="1"/>
  <c r="P274" i="1"/>
  <c r="U273" i="1"/>
  <c r="T273" i="1"/>
  <c r="S273" i="1"/>
  <c r="U272" i="1"/>
  <c r="T272" i="1"/>
  <c r="S272" i="1"/>
  <c r="U271" i="1"/>
  <c r="T271" i="1"/>
  <c r="S271" i="1"/>
  <c r="R271" i="1"/>
  <c r="AT271" i="1" s="1"/>
  <c r="Q271" i="1"/>
  <c r="AU271" i="1" s="1"/>
  <c r="P271" i="1"/>
  <c r="U270" i="1"/>
  <c r="T270" i="1"/>
  <c r="S270" i="1"/>
  <c r="R270" i="1"/>
  <c r="AT270" i="1" s="1"/>
  <c r="Q270" i="1"/>
  <c r="AU270" i="1" s="1"/>
  <c r="P270" i="1"/>
  <c r="U269" i="1"/>
  <c r="T269" i="1"/>
  <c r="S269" i="1"/>
  <c r="U268" i="1"/>
  <c r="T268" i="1"/>
  <c r="S268" i="1"/>
  <c r="R268" i="1"/>
  <c r="AT268" i="1" s="1"/>
  <c r="Q268" i="1"/>
  <c r="AU268" i="1" s="1"/>
  <c r="P268" i="1"/>
  <c r="U267" i="1"/>
  <c r="T267" i="1"/>
  <c r="S267" i="1"/>
  <c r="U266" i="1"/>
  <c r="T266" i="1"/>
  <c r="S266" i="1"/>
  <c r="U265" i="1"/>
  <c r="T265" i="1"/>
  <c r="S265" i="1"/>
  <c r="R265" i="1"/>
  <c r="AT265" i="1" s="1"/>
  <c r="Q265" i="1"/>
  <c r="AU265" i="1" s="1"/>
  <c r="P265" i="1"/>
  <c r="U264" i="1"/>
  <c r="T264" i="1"/>
  <c r="S264" i="1"/>
  <c r="U263" i="1"/>
  <c r="T263" i="1"/>
  <c r="S263" i="1"/>
  <c r="R263" i="1"/>
  <c r="AT263" i="1" s="1"/>
  <c r="Q263" i="1"/>
  <c r="AU263" i="1" s="1"/>
  <c r="P263" i="1"/>
  <c r="U262" i="1"/>
  <c r="T262" i="1"/>
  <c r="S262" i="1"/>
  <c r="R262" i="1"/>
  <c r="AT262" i="1" s="1"/>
  <c r="Q262" i="1"/>
  <c r="AU262" i="1" s="1"/>
  <c r="P262" i="1"/>
  <c r="U261" i="1"/>
  <c r="T261" i="1"/>
  <c r="S261" i="1"/>
  <c r="R261" i="1"/>
  <c r="AT261" i="1" s="1"/>
  <c r="Q261" i="1"/>
  <c r="AU261" i="1" s="1"/>
  <c r="P261" i="1"/>
  <c r="U260" i="1"/>
  <c r="T260" i="1"/>
  <c r="S260" i="1"/>
  <c r="R260" i="1"/>
  <c r="AT260" i="1" s="1"/>
  <c r="Q260" i="1"/>
  <c r="AU260" i="1" s="1"/>
  <c r="P260" i="1"/>
  <c r="U259" i="1"/>
  <c r="T259" i="1"/>
  <c r="S259" i="1"/>
  <c r="R259" i="1"/>
  <c r="AT259" i="1" s="1"/>
  <c r="Q259" i="1"/>
  <c r="AU259" i="1" s="1"/>
  <c r="P259" i="1"/>
  <c r="U258" i="1"/>
  <c r="T258" i="1"/>
  <c r="S258" i="1"/>
  <c r="U257" i="1"/>
  <c r="T257" i="1"/>
  <c r="S257" i="1"/>
  <c r="U256" i="1"/>
  <c r="T256" i="1"/>
  <c r="S256" i="1"/>
  <c r="R256" i="1"/>
  <c r="AT256" i="1" s="1"/>
  <c r="Q256" i="1"/>
  <c r="AU256" i="1" s="1"/>
  <c r="P256" i="1"/>
  <c r="U255" i="1"/>
  <c r="T255" i="1"/>
  <c r="S255" i="1"/>
  <c r="R255" i="1"/>
  <c r="AT255" i="1" s="1"/>
  <c r="Q255" i="1"/>
  <c r="AU255" i="1" s="1"/>
  <c r="P255" i="1"/>
  <c r="U254" i="1"/>
  <c r="T254" i="1"/>
  <c r="S254" i="1"/>
  <c r="R254" i="1"/>
  <c r="AT254" i="1" s="1"/>
  <c r="Q254" i="1"/>
  <c r="AU254" i="1" s="1"/>
  <c r="P254" i="1"/>
  <c r="U253" i="1"/>
  <c r="T253" i="1"/>
  <c r="S253" i="1"/>
  <c r="R253" i="1"/>
  <c r="AT253" i="1" s="1"/>
  <c r="Q253" i="1"/>
  <c r="AU253" i="1" s="1"/>
  <c r="P253" i="1"/>
  <c r="U252" i="1"/>
  <c r="T252" i="1"/>
  <c r="S252" i="1"/>
  <c r="U251" i="1"/>
  <c r="T251" i="1"/>
  <c r="S251" i="1"/>
  <c r="R251" i="1"/>
  <c r="AT251" i="1" s="1"/>
  <c r="Q251" i="1"/>
  <c r="AU251" i="1" s="1"/>
  <c r="P251" i="1"/>
  <c r="U250" i="1"/>
  <c r="T250" i="1"/>
  <c r="S250" i="1"/>
  <c r="R250" i="1"/>
  <c r="AT250" i="1" s="1"/>
  <c r="Q250" i="1"/>
  <c r="AU250" i="1" s="1"/>
  <c r="P250" i="1"/>
  <c r="U249" i="1"/>
  <c r="T249" i="1"/>
  <c r="S249" i="1"/>
  <c r="R249" i="1"/>
  <c r="AT249" i="1" s="1"/>
  <c r="Q249" i="1"/>
  <c r="AU249" i="1" s="1"/>
  <c r="P249" i="1"/>
  <c r="U248" i="1"/>
  <c r="T248" i="1"/>
  <c r="S248" i="1"/>
  <c r="R248" i="1"/>
  <c r="AT248" i="1" s="1"/>
  <c r="Q248" i="1"/>
  <c r="AU248" i="1" s="1"/>
  <c r="P248" i="1"/>
  <c r="U247" i="1"/>
  <c r="T247" i="1"/>
  <c r="S247" i="1"/>
  <c r="U246" i="1"/>
  <c r="T246" i="1"/>
  <c r="S246" i="1"/>
  <c r="R246" i="1"/>
  <c r="AT246" i="1" s="1"/>
  <c r="Q246" i="1"/>
  <c r="AU246" i="1" s="1"/>
  <c r="P246" i="1"/>
  <c r="U245" i="1"/>
  <c r="T245" i="1"/>
  <c r="S245" i="1"/>
  <c r="R245" i="1"/>
  <c r="AT245" i="1" s="1"/>
  <c r="Q245" i="1"/>
  <c r="AU245" i="1" s="1"/>
  <c r="P245" i="1"/>
  <c r="U244" i="1"/>
  <c r="T244" i="1"/>
  <c r="S244" i="1"/>
  <c r="U243" i="1"/>
  <c r="T243" i="1"/>
  <c r="S243" i="1"/>
  <c r="R243" i="1"/>
  <c r="AT243" i="1" s="1"/>
  <c r="Q243" i="1"/>
  <c r="AU243" i="1" s="1"/>
  <c r="P243" i="1"/>
  <c r="U242" i="1"/>
  <c r="T242" i="1"/>
  <c r="S242" i="1"/>
  <c r="R242" i="1"/>
  <c r="AT242" i="1" s="1"/>
  <c r="Q242" i="1"/>
  <c r="AU242" i="1" s="1"/>
  <c r="P242" i="1"/>
  <c r="U241" i="1"/>
  <c r="T241" i="1"/>
  <c r="S241" i="1"/>
  <c r="R241" i="1"/>
  <c r="AT241" i="1" s="1"/>
  <c r="Q241" i="1"/>
  <c r="AU241" i="1" s="1"/>
  <c r="P241" i="1"/>
  <c r="U240" i="1"/>
  <c r="T240" i="1"/>
  <c r="S240" i="1"/>
  <c r="R240" i="1"/>
  <c r="AT240" i="1" s="1"/>
  <c r="Q240" i="1"/>
  <c r="AU240" i="1" s="1"/>
  <c r="P240" i="1"/>
  <c r="U239" i="1"/>
  <c r="T239" i="1"/>
  <c r="S239" i="1"/>
  <c r="R239" i="1"/>
  <c r="AT239" i="1" s="1"/>
  <c r="Q239" i="1"/>
  <c r="AU239" i="1" s="1"/>
  <c r="P239" i="1"/>
  <c r="U238" i="1"/>
  <c r="T238" i="1"/>
  <c r="S238" i="1"/>
  <c r="R238" i="1"/>
  <c r="AT238" i="1" s="1"/>
  <c r="Q238" i="1"/>
  <c r="AU238" i="1" s="1"/>
  <c r="P238" i="1"/>
  <c r="U237" i="1"/>
  <c r="T237" i="1"/>
  <c r="S237" i="1"/>
  <c r="U236" i="1"/>
  <c r="T236" i="1"/>
  <c r="S236" i="1"/>
  <c r="R236" i="1"/>
  <c r="AT236" i="1" s="1"/>
  <c r="Q236" i="1"/>
  <c r="AU236" i="1" s="1"/>
  <c r="P236" i="1"/>
  <c r="U235" i="1"/>
  <c r="T235" i="1"/>
  <c r="S235" i="1"/>
  <c r="U234" i="1"/>
  <c r="T234" i="1"/>
  <c r="S234" i="1"/>
  <c r="R234" i="1"/>
  <c r="AT234" i="1" s="1"/>
  <c r="Q234" i="1"/>
  <c r="AU234" i="1" s="1"/>
  <c r="P234" i="1"/>
  <c r="U233" i="1"/>
  <c r="T233" i="1"/>
  <c r="S233" i="1"/>
  <c r="U232" i="1"/>
  <c r="T232" i="1"/>
  <c r="S232" i="1"/>
  <c r="U231" i="1"/>
  <c r="T231" i="1"/>
  <c r="S231" i="1"/>
  <c r="R231" i="1"/>
  <c r="AT231" i="1" s="1"/>
  <c r="Q231" i="1"/>
  <c r="AU231" i="1" s="1"/>
  <c r="P231" i="1"/>
  <c r="U230" i="1"/>
  <c r="T230" i="1"/>
  <c r="S230" i="1"/>
  <c r="R230" i="1"/>
  <c r="AT230" i="1" s="1"/>
  <c r="Q230" i="1"/>
  <c r="AU230" i="1" s="1"/>
  <c r="P230" i="1"/>
  <c r="U229" i="1"/>
  <c r="T229" i="1"/>
  <c r="S229" i="1"/>
  <c r="R229" i="1"/>
  <c r="AT229" i="1" s="1"/>
  <c r="Q229" i="1"/>
  <c r="AU229" i="1" s="1"/>
  <c r="P229" i="1"/>
  <c r="U228" i="1"/>
  <c r="T228" i="1"/>
  <c r="S228" i="1"/>
  <c r="R228" i="1"/>
  <c r="AT228" i="1" s="1"/>
  <c r="Q228" i="1"/>
  <c r="AU228" i="1" s="1"/>
  <c r="P228" i="1"/>
  <c r="U227" i="1"/>
  <c r="T227" i="1"/>
  <c r="S227" i="1"/>
  <c r="U226" i="1"/>
  <c r="T226" i="1"/>
  <c r="S226" i="1"/>
  <c r="U225" i="1"/>
  <c r="T225" i="1"/>
  <c r="S225" i="1"/>
  <c r="R225" i="1"/>
  <c r="AT225" i="1" s="1"/>
  <c r="Q225" i="1"/>
  <c r="AU225" i="1" s="1"/>
  <c r="P225" i="1"/>
  <c r="U224" i="1"/>
  <c r="T224" i="1"/>
  <c r="S224" i="1"/>
  <c r="U223" i="1"/>
  <c r="T223" i="1"/>
  <c r="S223" i="1"/>
  <c r="R223" i="1"/>
  <c r="AT223" i="1" s="1"/>
  <c r="Q223" i="1"/>
  <c r="AU223" i="1" s="1"/>
  <c r="P223" i="1"/>
  <c r="U222" i="1"/>
  <c r="T222" i="1"/>
  <c r="S222" i="1"/>
  <c r="R222" i="1"/>
  <c r="AT222" i="1" s="1"/>
  <c r="Q222" i="1"/>
  <c r="AU222" i="1" s="1"/>
  <c r="P222" i="1"/>
  <c r="U221" i="1"/>
  <c r="T221" i="1"/>
  <c r="S221" i="1"/>
  <c r="R221" i="1"/>
  <c r="AT221" i="1" s="1"/>
  <c r="Q221" i="1"/>
  <c r="AU221" i="1" s="1"/>
  <c r="P221" i="1"/>
  <c r="U220" i="1"/>
  <c r="T220" i="1"/>
  <c r="S220" i="1"/>
  <c r="R220" i="1"/>
  <c r="AT220" i="1" s="1"/>
  <c r="Q220" i="1"/>
  <c r="AU220" i="1" s="1"/>
  <c r="P220" i="1"/>
  <c r="U219" i="1"/>
  <c r="T219" i="1"/>
  <c r="S219" i="1"/>
  <c r="R219" i="1"/>
  <c r="AT219" i="1" s="1"/>
  <c r="Q219" i="1"/>
  <c r="AU219" i="1" s="1"/>
  <c r="P219" i="1"/>
  <c r="U218" i="1"/>
  <c r="T218" i="1"/>
  <c r="S218" i="1"/>
  <c r="R218" i="1"/>
  <c r="AT218" i="1" s="1"/>
  <c r="Q218" i="1"/>
  <c r="AU218" i="1" s="1"/>
  <c r="P218" i="1"/>
  <c r="U217" i="1"/>
  <c r="T217" i="1"/>
  <c r="S217" i="1"/>
  <c r="R217" i="1"/>
  <c r="AT217" i="1" s="1"/>
  <c r="Q217" i="1"/>
  <c r="AU217" i="1" s="1"/>
  <c r="P217" i="1"/>
  <c r="U216" i="1"/>
  <c r="T216" i="1"/>
  <c r="S216" i="1"/>
  <c r="R216" i="1"/>
  <c r="AT216" i="1" s="1"/>
  <c r="Q216" i="1"/>
  <c r="AU216" i="1" s="1"/>
  <c r="P216" i="1"/>
  <c r="U215" i="1"/>
  <c r="T215" i="1"/>
  <c r="S215" i="1"/>
  <c r="R215" i="1"/>
  <c r="AT215" i="1" s="1"/>
  <c r="Q215" i="1"/>
  <c r="AU215" i="1" s="1"/>
  <c r="P215" i="1"/>
  <c r="U214" i="1"/>
  <c r="T214" i="1"/>
  <c r="S214" i="1"/>
  <c r="R214" i="1"/>
  <c r="AT214" i="1" s="1"/>
  <c r="Q214" i="1"/>
  <c r="AU214" i="1" s="1"/>
  <c r="P214" i="1"/>
  <c r="U213" i="1"/>
  <c r="T213" i="1"/>
  <c r="S213" i="1"/>
  <c r="R213" i="1"/>
  <c r="AT213" i="1" s="1"/>
  <c r="Q213" i="1"/>
  <c r="AU213" i="1" s="1"/>
  <c r="P213" i="1"/>
  <c r="U212" i="1"/>
  <c r="T212" i="1"/>
  <c r="S212" i="1"/>
  <c r="R212" i="1"/>
  <c r="AT212" i="1" s="1"/>
  <c r="Q212" i="1"/>
  <c r="AU212" i="1" s="1"/>
  <c r="P212" i="1"/>
  <c r="U211" i="1"/>
  <c r="T211" i="1"/>
  <c r="S211" i="1"/>
  <c r="U210" i="1"/>
  <c r="T210" i="1"/>
  <c r="S210" i="1"/>
  <c r="R210" i="1"/>
  <c r="AT210" i="1" s="1"/>
  <c r="Q210" i="1"/>
  <c r="AU210" i="1" s="1"/>
  <c r="P210" i="1"/>
  <c r="U209" i="1"/>
  <c r="T209" i="1"/>
  <c r="S209" i="1"/>
  <c r="R209" i="1"/>
  <c r="AT209" i="1" s="1"/>
  <c r="Q209" i="1"/>
  <c r="AU209" i="1" s="1"/>
  <c r="P209" i="1"/>
  <c r="U208" i="1"/>
  <c r="T208" i="1"/>
  <c r="S208" i="1"/>
  <c r="Q208" i="1"/>
  <c r="AU208" i="1" s="1"/>
  <c r="P208" i="1"/>
  <c r="U207" i="1"/>
  <c r="T207" i="1"/>
  <c r="S207" i="1"/>
  <c r="R207" i="1"/>
  <c r="AT207" i="1" s="1"/>
  <c r="Q207" i="1"/>
  <c r="AU207" i="1" s="1"/>
  <c r="P207" i="1"/>
  <c r="U206" i="1"/>
  <c r="T206" i="1"/>
  <c r="S206" i="1"/>
  <c r="R206" i="1"/>
  <c r="AT206" i="1" s="1"/>
  <c r="Q206" i="1"/>
  <c r="AU206" i="1" s="1"/>
  <c r="P206" i="1"/>
  <c r="U205" i="1"/>
  <c r="T205" i="1"/>
  <c r="S205" i="1"/>
  <c r="R205" i="1"/>
  <c r="AT205" i="1" s="1"/>
  <c r="Q205" i="1"/>
  <c r="AU205" i="1" s="1"/>
  <c r="P205" i="1"/>
  <c r="U204" i="1"/>
  <c r="T204" i="1"/>
  <c r="S204" i="1"/>
  <c r="U203" i="1"/>
  <c r="T203" i="1"/>
  <c r="S203" i="1"/>
  <c r="R203" i="1"/>
  <c r="AT203" i="1" s="1"/>
  <c r="Q203" i="1"/>
  <c r="AU203" i="1" s="1"/>
  <c r="P203" i="1"/>
  <c r="U202" i="1"/>
  <c r="T202" i="1"/>
  <c r="S202" i="1"/>
  <c r="U201" i="1"/>
  <c r="T201" i="1"/>
  <c r="S201" i="1"/>
  <c r="R201" i="1"/>
  <c r="AT201" i="1" s="1"/>
  <c r="Q201" i="1"/>
  <c r="AU201" i="1" s="1"/>
  <c r="P201" i="1"/>
  <c r="U200" i="1"/>
  <c r="T200" i="1"/>
  <c r="S200" i="1"/>
  <c r="R200" i="1"/>
  <c r="AT200" i="1" s="1"/>
  <c r="Q200" i="1"/>
  <c r="AU200" i="1" s="1"/>
  <c r="P200" i="1"/>
  <c r="U199" i="1"/>
  <c r="T199" i="1"/>
  <c r="S199" i="1"/>
  <c r="U198" i="1"/>
  <c r="T198" i="1"/>
  <c r="S198" i="1"/>
  <c r="U197" i="1"/>
  <c r="T197" i="1"/>
  <c r="S197" i="1"/>
  <c r="R197" i="1"/>
  <c r="AT197" i="1" s="1"/>
  <c r="Q197" i="1"/>
  <c r="AU197" i="1" s="1"/>
  <c r="P197" i="1"/>
  <c r="U196" i="1"/>
  <c r="T196" i="1"/>
  <c r="S196" i="1"/>
  <c r="R196" i="1"/>
  <c r="AT196" i="1" s="1"/>
  <c r="Q196" i="1"/>
  <c r="AU196" i="1" s="1"/>
  <c r="P196" i="1"/>
  <c r="U195" i="1"/>
  <c r="T195" i="1"/>
  <c r="S195" i="1"/>
  <c r="U194" i="1"/>
  <c r="T194" i="1"/>
  <c r="S194" i="1"/>
  <c r="R194" i="1"/>
  <c r="AT194" i="1" s="1"/>
  <c r="Q194" i="1"/>
  <c r="AU194" i="1" s="1"/>
  <c r="P194" i="1"/>
  <c r="U193" i="1"/>
  <c r="T193" i="1"/>
  <c r="S193" i="1"/>
  <c r="U192" i="1"/>
  <c r="T192" i="1"/>
  <c r="S192" i="1"/>
  <c r="R192" i="1"/>
  <c r="AT192" i="1" s="1"/>
  <c r="Q192" i="1"/>
  <c r="AU192" i="1" s="1"/>
  <c r="P192" i="1"/>
  <c r="U191" i="1"/>
  <c r="T191" i="1"/>
  <c r="S191" i="1"/>
  <c r="R191" i="1"/>
  <c r="AT191" i="1" s="1"/>
  <c r="Q191" i="1"/>
  <c r="AU191" i="1" s="1"/>
  <c r="P191" i="1"/>
  <c r="U190" i="1"/>
  <c r="T190" i="1"/>
  <c r="S190" i="1"/>
  <c r="R190" i="1"/>
  <c r="AT190" i="1" s="1"/>
  <c r="Q190" i="1"/>
  <c r="AU190" i="1" s="1"/>
  <c r="P190" i="1"/>
  <c r="U189" i="1"/>
  <c r="T189" i="1"/>
  <c r="S189" i="1"/>
  <c r="R189" i="1"/>
  <c r="AT189" i="1" s="1"/>
  <c r="Q189" i="1"/>
  <c r="AU189" i="1" s="1"/>
  <c r="P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R184" i="1"/>
  <c r="AT184" i="1" s="1"/>
  <c r="Q184" i="1"/>
  <c r="AU184" i="1" s="1"/>
  <c r="P184" i="1"/>
  <c r="U183" i="1"/>
  <c r="T183" i="1"/>
  <c r="S183" i="1"/>
  <c r="U182" i="1"/>
  <c r="T182" i="1"/>
  <c r="S182" i="1"/>
  <c r="U181" i="1"/>
  <c r="T181" i="1"/>
  <c r="S181" i="1"/>
  <c r="R181" i="1"/>
  <c r="AT181" i="1" s="1"/>
  <c r="Q181" i="1"/>
  <c r="AU181" i="1" s="1"/>
  <c r="P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R176" i="1"/>
  <c r="AT176" i="1" s="1"/>
  <c r="Q176" i="1"/>
  <c r="AU176" i="1" s="1"/>
  <c r="P176" i="1"/>
  <c r="U175" i="1"/>
  <c r="T175" i="1"/>
  <c r="S175" i="1"/>
  <c r="R175" i="1"/>
  <c r="AT175" i="1" s="1"/>
  <c r="Q175" i="1"/>
  <c r="AU175" i="1" s="1"/>
  <c r="P175" i="1"/>
  <c r="U174" i="1"/>
  <c r="T174" i="1"/>
  <c r="S174" i="1"/>
  <c r="U173" i="1"/>
  <c r="T173" i="1"/>
  <c r="S173" i="1"/>
  <c r="U172" i="1"/>
  <c r="T172" i="1"/>
  <c r="S172" i="1"/>
  <c r="R172" i="1"/>
  <c r="AT172" i="1" s="1"/>
  <c r="Q172" i="1"/>
  <c r="AU172" i="1" s="1"/>
  <c r="P172" i="1"/>
  <c r="U171" i="1"/>
  <c r="T171" i="1"/>
  <c r="S171" i="1"/>
  <c r="U170" i="1"/>
  <c r="T170" i="1"/>
  <c r="S170" i="1"/>
  <c r="U169" i="1"/>
  <c r="T169" i="1"/>
  <c r="S169" i="1"/>
  <c r="R169" i="1"/>
  <c r="AT169" i="1" s="1"/>
  <c r="Q169" i="1"/>
  <c r="AU169" i="1" s="1"/>
  <c r="P169" i="1"/>
  <c r="U168" i="1"/>
  <c r="T168" i="1"/>
  <c r="S168" i="1"/>
  <c r="U167" i="1"/>
  <c r="T167" i="1"/>
  <c r="S167" i="1"/>
  <c r="R167" i="1"/>
  <c r="AT167" i="1" s="1"/>
  <c r="Q167" i="1"/>
  <c r="AU167" i="1" s="1"/>
  <c r="P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R162" i="1"/>
  <c r="AT162" i="1" s="1"/>
  <c r="Q162" i="1"/>
  <c r="AU162" i="1" s="1"/>
  <c r="P162" i="1"/>
  <c r="U161" i="1"/>
  <c r="T161" i="1"/>
  <c r="S161" i="1"/>
  <c r="R161" i="1"/>
  <c r="AT161" i="1" s="1"/>
  <c r="Q161" i="1"/>
  <c r="AU161" i="1" s="1"/>
  <c r="P161" i="1"/>
  <c r="U160" i="1"/>
  <c r="T160" i="1"/>
  <c r="S160" i="1"/>
  <c r="R160" i="1"/>
  <c r="AT160" i="1" s="1"/>
  <c r="Q160" i="1"/>
  <c r="AU160" i="1" s="1"/>
  <c r="P160" i="1"/>
  <c r="U159" i="1"/>
  <c r="T159" i="1"/>
  <c r="S159" i="1"/>
  <c r="U158" i="1"/>
  <c r="T158" i="1"/>
  <c r="S158" i="1"/>
  <c r="R158" i="1"/>
  <c r="AT158" i="1" s="1"/>
  <c r="Q158" i="1"/>
  <c r="AU158" i="1" s="1"/>
  <c r="P158" i="1"/>
  <c r="U157" i="1"/>
  <c r="T157" i="1"/>
  <c r="S157" i="1"/>
  <c r="R157" i="1"/>
  <c r="AT157" i="1" s="1"/>
  <c r="Q157" i="1"/>
  <c r="AU157" i="1" s="1"/>
  <c r="P157" i="1"/>
  <c r="U156" i="1"/>
  <c r="T156" i="1"/>
  <c r="S156" i="1"/>
  <c r="R156" i="1"/>
  <c r="AT156" i="1" s="1"/>
  <c r="Q156" i="1"/>
  <c r="AU156" i="1" s="1"/>
  <c r="P156" i="1"/>
  <c r="U155" i="1"/>
  <c r="T155" i="1"/>
  <c r="S155" i="1"/>
  <c r="U154" i="1"/>
  <c r="T154" i="1"/>
  <c r="S154" i="1"/>
  <c r="R154" i="1"/>
  <c r="AT154" i="1" s="1"/>
  <c r="Q154" i="1"/>
  <c r="AU154" i="1" s="1"/>
  <c r="P154" i="1"/>
  <c r="U153" i="1"/>
  <c r="T153" i="1"/>
  <c r="S153" i="1"/>
  <c r="R153" i="1"/>
  <c r="AT153" i="1" s="1"/>
  <c r="Q153" i="1"/>
  <c r="AU153" i="1" s="1"/>
  <c r="P153" i="1"/>
  <c r="U152" i="1"/>
  <c r="T152" i="1"/>
  <c r="S152" i="1"/>
  <c r="R152" i="1"/>
  <c r="AT152" i="1" s="1"/>
  <c r="Q152" i="1"/>
  <c r="AU152" i="1" s="1"/>
  <c r="P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R148" i="1"/>
  <c r="AT148" i="1" s="1"/>
  <c r="Q148" i="1"/>
  <c r="AU148" i="1" s="1"/>
  <c r="P148" i="1"/>
  <c r="U147" i="1"/>
  <c r="T147" i="1"/>
  <c r="S147" i="1"/>
  <c r="R147" i="1"/>
  <c r="AT147" i="1" s="1"/>
  <c r="Q147" i="1"/>
  <c r="AU147" i="1" s="1"/>
  <c r="P147" i="1"/>
  <c r="U146" i="1"/>
  <c r="T146" i="1"/>
  <c r="S146" i="1"/>
  <c r="R146" i="1"/>
  <c r="AT146" i="1" s="1"/>
  <c r="Q146" i="1"/>
  <c r="AU146" i="1" s="1"/>
  <c r="P146" i="1"/>
  <c r="U145" i="1"/>
  <c r="T145" i="1"/>
  <c r="S145" i="1"/>
  <c r="R145" i="1"/>
  <c r="AT145" i="1" s="1"/>
  <c r="Q145" i="1"/>
  <c r="AU145" i="1" s="1"/>
  <c r="P145" i="1"/>
  <c r="U144" i="1"/>
  <c r="T144" i="1"/>
  <c r="S144" i="1"/>
  <c r="R144" i="1"/>
  <c r="AT144" i="1" s="1"/>
  <c r="Q144" i="1"/>
  <c r="AU144" i="1" s="1"/>
  <c r="P144" i="1"/>
  <c r="U143" i="1"/>
  <c r="T143" i="1"/>
  <c r="S143" i="1"/>
  <c r="R143" i="1"/>
  <c r="AT143" i="1" s="1"/>
  <c r="Q143" i="1"/>
  <c r="AU143" i="1" s="1"/>
  <c r="P143" i="1"/>
  <c r="U142" i="1"/>
  <c r="T142" i="1"/>
  <c r="S142" i="1"/>
  <c r="R142" i="1"/>
  <c r="AT142" i="1" s="1"/>
  <c r="Q142" i="1"/>
  <c r="AU142" i="1" s="1"/>
  <c r="P142" i="1"/>
  <c r="U141" i="1"/>
  <c r="T141" i="1"/>
  <c r="S141" i="1"/>
  <c r="R141" i="1"/>
  <c r="AT141" i="1" s="1"/>
  <c r="Q141" i="1"/>
  <c r="AU141" i="1" s="1"/>
  <c r="P141" i="1"/>
  <c r="U140" i="1"/>
  <c r="T140" i="1"/>
  <c r="S140" i="1"/>
  <c r="R140" i="1"/>
  <c r="AT140" i="1" s="1"/>
  <c r="Q140" i="1"/>
  <c r="AU140" i="1" s="1"/>
  <c r="P140" i="1"/>
  <c r="U139" i="1"/>
  <c r="T139" i="1"/>
  <c r="S139" i="1"/>
  <c r="R139" i="1"/>
  <c r="AT139" i="1" s="1"/>
  <c r="Q139" i="1"/>
  <c r="AU139" i="1" s="1"/>
  <c r="P139" i="1"/>
  <c r="U138" i="1"/>
  <c r="T138" i="1"/>
  <c r="S138" i="1"/>
  <c r="U137" i="1"/>
  <c r="T137" i="1"/>
  <c r="S137" i="1"/>
  <c r="R137" i="1"/>
  <c r="AT137" i="1" s="1"/>
  <c r="Q137" i="1"/>
  <c r="AU137" i="1" s="1"/>
  <c r="P137" i="1"/>
  <c r="U136" i="1"/>
  <c r="T136" i="1"/>
  <c r="S136" i="1"/>
  <c r="R136" i="1"/>
  <c r="AT136" i="1" s="1"/>
  <c r="Q136" i="1"/>
  <c r="AU136" i="1" s="1"/>
  <c r="P136" i="1"/>
  <c r="U135" i="1"/>
  <c r="T135" i="1"/>
  <c r="S135" i="1"/>
  <c r="U134" i="1"/>
  <c r="T134" i="1"/>
  <c r="S134" i="1"/>
  <c r="R134" i="1"/>
  <c r="AT134" i="1" s="1"/>
  <c r="Q134" i="1"/>
  <c r="AU134" i="1" s="1"/>
  <c r="P134" i="1"/>
  <c r="U133" i="1"/>
  <c r="T133" i="1"/>
  <c r="S133" i="1"/>
  <c r="U132" i="1"/>
  <c r="T132" i="1"/>
  <c r="S132" i="1"/>
  <c r="R132" i="1"/>
  <c r="AT132" i="1" s="1"/>
  <c r="Q132" i="1"/>
  <c r="AU132" i="1" s="1"/>
  <c r="P132" i="1"/>
  <c r="U131" i="1"/>
  <c r="T131" i="1"/>
  <c r="S131" i="1"/>
  <c r="R131" i="1"/>
  <c r="AT131" i="1" s="1"/>
  <c r="Q131" i="1"/>
  <c r="AU131" i="1" s="1"/>
  <c r="P131" i="1"/>
  <c r="U130" i="1"/>
  <c r="T130" i="1"/>
  <c r="S130" i="1"/>
  <c r="U129" i="1"/>
  <c r="T129" i="1"/>
  <c r="S129" i="1"/>
  <c r="R129" i="1"/>
  <c r="AT129" i="1" s="1"/>
  <c r="Q129" i="1"/>
  <c r="AU129" i="1" s="1"/>
  <c r="P129" i="1"/>
  <c r="U128" i="1"/>
  <c r="T128" i="1"/>
  <c r="S128" i="1"/>
  <c r="U127" i="1"/>
  <c r="T127" i="1"/>
  <c r="S127" i="1"/>
  <c r="U126" i="1"/>
  <c r="T126" i="1"/>
  <c r="S126" i="1"/>
  <c r="R126" i="1"/>
  <c r="AT126" i="1" s="1"/>
  <c r="Q126" i="1"/>
  <c r="AU126" i="1" s="1"/>
  <c r="P126" i="1"/>
  <c r="U125" i="1"/>
  <c r="T125" i="1"/>
  <c r="S125" i="1"/>
  <c r="R125" i="1"/>
  <c r="AT125" i="1" s="1"/>
  <c r="Q125" i="1"/>
  <c r="AU125" i="1" s="1"/>
  <c r="P125" i="1"/>
  <c r="U124" i="1"/>
  <c r="T124" i="1"/>
  <c r="S124" i="1"/>
  <c r="R124" i="1"/>
  <c r="AT124" i="1" s="1"/>
  <c r="Q124" i="1"/>
  <c r="AU124" i="1" s="1"/>
  <c r="P124" i="1"/>
  <c r="U123" i="1"/>
  <c r="T123" i="1"/>
  <c r="S123" i="1"/>
  <c r="R123" i="1"/>
  <c r="AT123" i="1" s="1"/>
  <c r="Q123" i="1"/>
  <c r="AU123" i="1" s="1"/>
  <c r="P123" i="1"/>
  <c r="U122" i="1"/>
  <c r="T122" i="1"/>
  <c r="S122" i="1"/>
  <c r="R122" i="1"/>
  <c r="AT122" i="1" s="1"/>
  <c r="Q122" i="1"/>
  <c r="AU122" i="1" s="1"/>
  <c r="P122" i="1"/>
  <c r="U121" i="1"/>
  <c r="T121" i="1"/>
  <c r="S121" i="1"/>
  <c r="R121" i="1"/>
  <c r="AT121" i="1" s="1"/>
  <c r="Q121" i="1"/>
  <c r="AU121" i="1" s="1"/>
  <c r="P121" i="1"/>
  <c r="U120" i="1"/>
  <c r="T120" i="1"/>
  <c r="S120" i="1"/>
  <c r="U119" i="1"/>
  <c r="T119" i="1"/>
  <c r="S119" i="1"/>
  <c r="U118" i="1"/>
  <c r="T118" i="1"/>
  <c r="S118" i="1"/>
  <c r="R118" i="1"/>
  <c r="AT118" i="1" s="1"/>
  <c r="Q118" i="1"/>
  <c r="AU118" i="1" s="1"/>
  <c r="P118" i="1"/>
  <c r="U117" i="1"/>
  <c r="T117" i="1"/>
  <c r="S117" i="1"/>
  <c r="U116" i="1"/>
  <c r="T116" i="1"/>
  <c r="S116" i="1"/>
  <c r="R116" i="1"/>
  <c r="AT116" i="1" s="1"/>
  <c r="Q116" i="1"/>
  <c r="AU116" i="1" s="1"/>
  <c r="P116" i="1"/>
  <c r="U115" i="1"/>
  <c r="T115" i="1"/>
  <c r="S115" i="1"/>
  <c r="R115" i="1"/>
  <c r="AT115" i="1" s="1"/>
  <c r="Q115" i="1"/>
  <c r="AU115" i="1" s="1"/>
  <c r="P115" i="1"/>
  <c r="U114" i="1"/>
  <c r="T114" i="1"/>
  <c r="S114" i="1"/>
  <c r="R114" i="1"/>
  <c r="AT114" i="1" s="1"/>
  <c r="Q114" i="1"/>
  <c r="AU114" i="1" s="1"/>
  <c r="P114" i="1"/>
  <c r="U113" i="1"/>
  <c r="T113" i="1"/>
  <c r="S113" i="1"/>
  <c r="U112" i="1"/>
  <c r="T112" i="1"/>
  <c r="S112" i="1"/>
  <c r="U111" i="1"/>
  <c r="T111" i="1"/>
  <c r="S111" i="1"/>
  <c r="R111" i="1"/>
  <c r="AT111" i="1" s="1"/>
  <c r="Q111" i="1"/>
  <c r="AU111" i="1" s="1"/>
  <c r="P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R107" i="1"/>
  <c r="AT107" i="1" s="1"/>
  <c r="Q107" i="1"/>
  <c r="AU107" i="1" s="1"/>
  <c r="P107" i="1"/>
  <c r="U106" i="1"/>
  <c r="T106" i="1"/>
  <c r="S106" i="1"/>
  <c r="R106" i="1"/>
  <c r="AT106" i="1" s="1"/>
  <c r="Q106" i="1"/>
  <c r="AU106" i="1" s="1"/>
  <c r="P106" i="1"/>
  <c r="U105" i="1"/>
  <c r="T105" i="1"/>
  <c r="S105" i="1"/>
  <c r="U104" i="1"/>
  <c r="T104" i="1"/>
  <c r="S104" i="1"/>
  <c r="R104" i="1"/>
  <c r="AT104" i="1" s="1"/>
  <c r="Q104" i="1"/>
  <c r="AU104" i="1" s="1"/>
  <c r="P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R99" i="1"/>
  <c r="AT99" i="1" s="1"/>
  <c r="Q99" i="1"/>
  <c r="AU99" i="1" s="1"/>
  <c r="P99" i="1"/>
  <c r="U98" i="1"/>
  <c r="T98" i="1"/>
  <c r="S98" i="1"/>
  <c r="U97" i="1"/>
  <c r="T97" i="1"/>
  <c r="S97" i="1"/>
  <c r="R97" i="1"/>
  <c r="AT97" i="1" s="1"/>
  <c r="Q97" i="1"/>
  <c r="AU97" i="1" s="1"/>
  <c r="P97" i="1"/>
  <c r="U96" i="1"/>
  <c r="T96" i="1"/>
  <c r="S96" i="1"/>
  <c r="R96" i="1"/>
  <c r="AT96" i="1" s="1"/>
  <c r="Q96" i="1"/>
  <c r="AU96" i="1" s="1"/>
  <c r="P96" i="1"/>
  <c r="U95" i="1"/>
  <c r="T95" i="1"/>
  <c r="S95" i="1"/>
  <c r="R95" i="1"/>
  <c r="AT95" i="1" s="1"/>
  <c r="Q95" i="1"/>
  <c r="AU95" i="1" s="1"/>
  <c r="P95" i="1"/>
  <c r="U94" i="1"/>
  <c r="T94" i="1"/>
  <c r="S94" i="1"/>
  <c r="U93" i="1"/>
  <c r="T93" i="1"/>
  <c r="S93" i="1"/>
  <c r="U92" i="1"/>
  <c r="T92" i="1"/>
  <c r="S92" i="1"/>
  <c r="R92" i="1"/>
  <c r="AT92" i="1" s="1"/>
  <c r="Q92" i="1"/>
  <c r="AU92" i="1" s="1"/>
  <c r="P92" i="1"/>
  <c r="U91" i="1"/>
  <c r="T91" i="1"/>
  <c r="S91" i="1"/>
  <c r="R91" i="1"/>
  <c r="AT91" i="1" s="1"/>
  <c r="Q91" i="1"/>
  <c r="AU91" i="1" s="1"/>
  <c r="P91" i="1"/>
  <c r="U90" i="1"/>
  <c r="T90" i="1"/>
  <c r="S90" i="1"/>
  <c r="R90" i="1"/>
  <c r="AT90" i="1" s="1"/>
  <c r="Q90" i="1"/>
  <c r="AU90" i="1" s="1"/>
  <c r="P90" i="1"/>
  <c r="U89" i="1"/>
  <c r="T89" i="1"/>
  <c r="S89" i="1"/>
  <c r="R89" i="1"/>
  <c r="AT89" i="1" s="1"/>
  <c r="Q89" i="1"/>
  <c r="AU89" i="1" s="1"/>
  <c r="P89" i="1"/>
  <c r="U88" i="1"/>
  <c r="T88" i="1"/>
  <c r="S88" i="1"/>
  <c r="U87" i="1"/>
  <c r="T87" i="1"/>
  <c r="S87" i="1"/>
  <c r="U86" i="1"/>
  <c r="T86" i="1"/>
  <c r="S86" i="1"/>
  <c r="R86" i="1"/>
  <c r="AT86" i="1" s="1"/>
  <c r="Q86" i="1"/>
  <c r="AU86" i="1" s="1"/>
  <c r="P86" i="1"/>
  <c r="U85" i="1"/>
  <c r="T85" i="1"/>
  <c r="S85" i="1"/>
  <c r="U84" i="1"/>
  <c r="T84" i="1"/>
  <c r="S84" i="1"/>
  <c r="U83" i="1"/>
  <c r="T83" i="1"/>
  <c r="S83" i="1"/>
  <c r="U82" i="1"/>
  <c r="T82" i="1"/>
  <c r="S82" i="1"/>
  <c r="R82" i="1"/>
  <c r="AT82" i="1" s="1"/>
  <c r="Q82" i="1"/>
  <c r="AU82" i="1" s="1"/>
  <c r="P82" i="1"/>
  <c r="U81" i="1"/>
  <c r="T81" i="1"/>
  <c r="S81" i="1"/>
  <c r="U80" i="1"/>
  <c r="T80" i="1"/>
  <c r="S80" i="1"/>
  <c r="U79" i="1"/>
  <c r="T79" i="1"/>
  <c r="S79" i="1"/>
  <c r="U78" i="1"/>
  <c r="T78" i="1"/>
  <c r="S78" i="1"/>
  <c r="R78" i="1"/>
  <c r="AT78" i="1" s="1"/>
  <c r="Q78" i="1"/>
  <c r="AU78" i="1" s="1"/>
  <c r="P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R70" i="1"/>
  <c r="AT70" i="1" s="1"/>
  <c r="Q70" i="1"/>
  <c r="AU70" i="1" s="1"/>
  <c r="P70" i="1"/>
  <c r="U69" i="1"/>
  <c r="T69" i="1"/>
  <c r="S69" i="1"/>
  <c r="U68" i="1"/>
  <c r="T68" i="1"/>
  <c r="S68" i="1"/>
  <c r="R68" i="1"/>
  <c r="AT68" i="1" s="1"/>
  <c r="Q68" i="1"/>
  <c r="AU68" i="1" s="1"/>
  <c r="P68" i="1"/>
  <c r="U67" i="1"/>
  <c r="T67" i="1"/>
  <c r="S67" i="1"/>
  <c r="U66" i="1"/>
  <c r="T66" i="1"/>
  <c r="S66" i="1"/>
  <c r="R66" i="1"/>
  <c r="AT66" i="1" s="1"/>
  <c r="Q66" i="1"/>
  <c r="AU66" i="1" s="1"/>
  <c r="P66" i="1"/>
  <c r="U65" i="1"/>
  <c r="T65" i="1"/>
  <c r="S65" i="1"/>
  <c r="R65" i="1"/>
  <c r="AT65" i="1" s="1"/>
  <c r="Q65" i="1"/>
  <c r="AU65" i="1" s="1"/>
  <c r="P65" i="1"/>
  <c r="U64" i="1"/>
  <c r="T64" i="1"/>
  <c r="S64" i="1"/>
  <c r="R64" i="1"/>
  <c r="AT64" i="1" s="1"/>
  <c r="Q64" i="1"/>
  <c r="AU64" i="1" s="1"/>
  <c r="P64" i="1"/>
  <c r="U63" i="1"/>
  <c r="T63" i="1"/>
  <c r="S63" i="1"/>
  <c r="U62" i="1"/>
  <c r="T62" i="1"/>
  <c r="S62" i="1"/>
  <c r="U61" i="1"/>
  <c r="T61" i="1"/>
  <c r="S61" i="1"/>
  <c r="R61" i="1"/>
  <c r="AT61" i="1" s="1"/>
  <c r="Q61" i="1"/>
  <c r="AU61" i="1" s="1"/>
  <c r="P61" i="1"/>
  <c r="U60" i="1"/>
  <c r="T60" i="1"/>
  <c r="S60" i="1"/>
  <c r="U59" i="1"/>
  <c r="T59" i="1"/>
  <c r="S59" i="1"/>
  <c r="R59" i="1"/>
  <c r="AT59" i="1" s="1"/>
  <c r="Q59" i="1"/>
  <c r="AU59" i="1" s="1"/>
  <c r="P59" i="1"/>
  <c r="U58" i="1"/>
  <c r="T58" i="1"/>
  <c r="S58" i="1"/>
  <c r="U57" i="1"/>
  <c r="T57" i="1"/>
  <c r="S57" i="1"/>
  <c r="R57" i="1"/>
  <c r="AT57" i="1" s="1"/>
  <c r="Q57" i="1"/>
  <c r="AU57" i="1" s="1"/>
  <c r="P57" i="1"/>
  <c r="U56" i="1"/>
  <c r="T56" i="1"/>
  <c r="S56" i="1"/>
  <c r="R56" i="1"/>
  <c r="AT56" i="1" s="1"/>
  <c r="Q56" i="1"/>
  <c r="AU56" i="1" s="1"/>
  <c r="P56" i="1"/>
  <c r="U55" i="1"/>
  <c r="T55" i="1"/>
  <c r="S55" i="1"/>
  <c r="U54" i="1"/>
  <c r="T54" i="1"/>
  <c r="S54" i="1"/>
  <c r="R54" i="1"/>
  <c r="AT54" i="1" s="1"/>
  <c r="Q54" i="1"/>
  <c r="AU54" i="1" s="1"/>
  <c r="P54" i="1"/>
  <c r="U53" i="1"/>
  <c r="T53" i="1"/>
  <c r="S53" i="1"/>
  <c r="R53" i="1"/>
  <c r="AT53" i="1" s="1"/>
  <c r="Q53" i="1"/>
  <c r="AU53" i="1" s="1"/>
  <c r="P53" i="1"/>
  <c r="U52" i="1"/>
  <c r="T52" i="1"/>
  <c r="S52" i="1"/>
  <c r="R52" i="1"/>
  <c r="AT52" i="1" s="1"/>
  <c r="Q52" i="1"/>
  <c r="AU52" i="1" s="1"/>
  <c r="P52" i="1"/>
  <c r="U51" i="1"/>
  <c r="T51" i="1"/>
  <c r="S51" i="1"/>
  <c r="R51" i="1"/>
  <c r="AT51" i="1" s="1"/>
  <c r="Q51" i="1"/>
  <c r="AU51" i="1" s="1"/>
  <c r="P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R46" i="1"/>
  <c r="AT46" i="1" s="1"/>
  <c r="Q46" i="1"/>
  <c r="AU46" i="1" s="1"/>
  <c r="P46" i="1"/>
  <c r="U45" i="1"/>
  <c r="T45" i="1"/>
  <c r="S45" i="1"/>
  <c r="U44" i="1"/>
  <c r="T44" i="1"/>
  <c r="S44" i="1"/>
  <c r="U43" i="1"/>
  <c r="T43" i="1"/>
  <c r="S43" i="1"/>
  <c r="R43" i="1"/>
  <c r="AT43" i="1" s="1"/>
  <c r="Q43" i="1"/>
  <c r="AU43" i="1" s="1"/>
  <c r="P43" i="1"/>
  <c r="U42" i="1"/>
  <c r="T42" i="1"/>
  <c r="S42" i="1"/>
  <c r="R42" i="1"/>
  <c r="AT42" i="1" s="1"/>
  <c r="Q42" i="1"/>
  <c r="AU42" i="1" s="1"/>
  <c r="P42" i="1"/>
  <c r="U41" i="1"/>
  <c r="T41" i="1"/>
  <c r="S41" i="1"/>
  <c r="R41" i="1"/>
  <c r="AT41" i="1" s="1"/>
  <c r="Q41" i="1"/>
  <c r="AU41" i="1" s="1"/>
  <c r="P41" i="1"/>
  <c r="U40" i="1"/>
  <c r="T40" i="1"/>
  <c r="S40" i="1"/>
  <c r="U39" i="1"/>
  <c r="T39" i="1"/>
  <c r="S39" i="1"/>
  <c r="R39" i="1"/>
  <c r="AT39" i="1" s="1"/>
  <c r="Q39" i="1"/>
  <c r="AU39" i="1" s="1"/>
  <c r="P39" i="1"/>
  <c r="U38" i="1"/>
  <c r="T38" i="1"/>
  <c r="S38" i="1"/>
  <c r="R38" i="1"/>
  <c r="AT38" i="1" s="1"/>
  <c r="Q38" i="1"/>
  <c r="AU38" i="1" s="1"/>
  <c r="P38" i="1"/>
  <c r="U37" i="1"/>
  <c r="T37" i="1"/>
  <c r="S37" i="1"/>
  <c r="R37" i="1"/>
  <c r="AT37" i="1" s="1"/>
  <c r="Q37" i="1"/>
  <c r="AU37" i="1" s="1"/>
  <c r="P37" i="1"/>
  <c r="U36" i="1"/>
  <c r="T36" i="1"/>
  <c r="S36" i="1"/>
  <c r="R36" i="1"/>
  <c r="AT36" i="1" s="1"/>
  <c r="Q36" i="1"/>
  <c r="AU36" i="1" s="1"/>
  <c r="P36" i="1"/>
  <c r="U35" i="1"/>
  <c r="T35" i="1"/>
  <c r="S35" i="1"/>
  <c r="U34" i="1"/>
  <c r="T34" i="1"/>
  <c r="S34" i="1"/>
  <c r="U33" i="1"/>
  <c r="T33" i="1"/>
  <c r="S33" i="1"/>
  <c r="U32" i="1"/>
  <c r="T32" i="1"/>
  <c r="S32" i="1"/>
  <c r="R32" i="1"/>
  <c r="AT32" i="1" s="1"/>
  <c r="Q32" i="1"/>
  <c r="AU32" i="1" s="1"/>
  <c r="P32" i="1"/>
  <c r="U31" i="1"/>
  <c r="T31" i="1"/>
  <c r="S31" i="1"/>
  <c r="R31" i="1"/>
  <c r="AT31" i="1" s="1"/>
  <c r="Q31" i="1"/>
  <c r="AU31" i="1" s="1"/>
  <c r="P31" i="1"/>
  <c r="U30" i="1"/>
  <c r="T30" i="1"/>
  <c r="S30" i="1"/>
  <c r="R30" i="1"/>
  <c r="AT30" i="1" s="1"/>
  <c r="Q30" i="1"/>
  <c r="AU30" i="1" s="1"/>
  <c r="P30" i="1"/>
  <c r="U29" i="1"/>
  <c r="T29" i="1"/>
  <c r="S29" i="1"/>
  <c r="U28" i="1"/>
  <c r="T28" i="1"/>
  <c r="S28" i="1"/>
  <c r="R28" i="1"/>
  <c r="AT28" i="1" s="1"/>
  <c r="Q28" i="1"/>
  <c r="AU28" i="1" s="1"/>
  <c r="P28" i="1"/>
  <c r="U27" i="1"/>
  <c r="T27" i="1"/>
  <c r="S27" i="1"/>
  <c r="U26" i="1"/>
  <c r="T26" i="1"/>
  <c r="S26" i="1"/>
  <c r="U25" i="1"/>
  <c r="T25" i="1"/>
  <c r="S25" i="1"/>
  <c r="R25" i="1"/>
  <c r="AT25" i="1" s="1"/>
  <c r="Q25" i="1"/>
  <c r="AU25" i="1" s="1"/>
  <c r="P25" i="1"/>
  <c r="U24" i="1"/>
  <c r="T24" i="1"/>
  <c r="S24" i="1"/>
  <c r="U23" i="1"/>
  <c r="T23" i="1"/>
  <c r="S23" i="1"/>
  <c r="U22" i="1"/>
  <c r="T22" i="1"/>
  <c r="S22" i="1"/>
  <c r="U21" i="1"/>
  <c r="T21" i="1"/>
  <c r="S21" i="1"/>
  <c r="R21" i="1"/>
  <c r="AT21" i="1" s="1"/>
  <c r="Q21" i="1"/>
  <c r="AU21" i="1" s="1"/>
  <c r="P21" i="1"/>
  <c r="U20" i="1"/>
  <c r="T20" i="1"/>
  <c r="S20" i="1"/>
  <c r="R20" i="1"/>
  <c r="AT20" i="1" s="1"/>
  <c r="Q20" i="1"/>
  <c r="AU20" i="1" s="1"/>
  <c r="P20" i="1"/>
  <c r="U19" i="1"/>
  <c r="T19" i="1"/>
  <c r="S19" i="1"/>
  <c r="U18" i="1"/>
  <c r="T18" i="1"/>
  <c r="S18" i="1"/>
  <c r="R18" i="1"/>
  <c r="AT18" i="1" s="1"/>
  <c r="Q18" i="1"/>
  <c r="AU18" i="1" s="1"/>
  <c r="P18" i="1"/>
  <c r="U17" i="1"/>
  <c r="T17" i="1"/>
  <c r="S17" i="1"/>
  <c r="R17" i="1"/>
  <c r="AT17" i="1" s="1"/>
  <c r="Q17" i="1"/>
  <c r="AU17" i="1" s="1"/>
  <c r="P17" i="1"/>
  <c r="U16" i="1"/>
  <c r="T16" i="1"/>
  <c r="S16" i="1"/>
  <c r="U15" i="1"/>
  <c r="T15" i="1"/>
  <c r="S15" i="1"/>
  <c r="U14" i="1"/>
  <c r="T14" i="1"/>
  <c r="S14" i="1"/>
  <c r="R14" i="1"/>
  <c r="AT14" i="1" s="1"/>
  <c r="Q14" i="1"/>
  <c r="AU14" i="1" s="1"/>
  <c r="P14" i="1"/>
  <c r="U13" i="1"/>
  <c r="T13" i="1"/>
  <c r="S13" i="1"/>
  <c r="R13" i="1"/>
  <c r="AT13" i="1" s="1"/>
  <c r="Q13" i="1"/>
  <c r="AU13" i="1" s="1"/>
  <c r="P13" i="1"/>
  <c r="U12" i="1"/>
  <c r="T12" i="1"/>
  <c r="S12" i="1"/>
  <c r="R12" i="1"/>
  <c r="AT12" i="1" s="1"/>
  <c r="Q12" i="1"/>
  <c r="AU12" i="1" s="1"/>
  <c r="P12" i="1"/>
  <c r="U11" i="1"/>
  <c r="T11" i="1"/>
  <c r="S11" i="1"/>
  <c r="R11" i="1"/>
  <c r="AT11" i="1" s="1"/>
  <c r="Q11" i="1"/>
  <c r="AU11" i="1" s="1"/>
  <c r="P11" i="1"/>
  <c r="U10" i="1"/>
  <c r="T10" i="1"/>
  <c r="S10" i="1"/>
  <c r="U9" i="1"/>
  <c r="T9" i="1"/>
  <c r="S9" i="1"/>
  <c r="R9" i="1"/>
  <c r="AT9" i="1" s="1"/>
  <c r="Q9" i="1"/>
  <c r="AU9" i="1" s="1"/>
  <c r="P9" i="1"/>
  <c r="U8" i="1"/>
  <c r="T8" i="1"/>
  <c r="S8" i="1"/>
  <c r="U7" i="1"/>
  <c r="T7" i="1"/>
  <c r="S7" i="1"/>
  <c r="U6" i="1"/>
  <c r="T6" i="1"/>
  <c r="S6" i="1"/>
  <c r="R6" i="1"/>
  <c r="AT6" i="1" s="1"/>
  <c r="Q6" i="1"/>
  <c r="AU6" i="1" s="1"/>
  <c r="P6" i="1"/>
  <c r="U5" i="1"/>
  <c r="T5" i="1"/>
  <c r="S5" i="1"/>
  <c r="U4" i="1"/>
  <c r="T4" i="1"/>
  <c r="S4" i="1"/>
  <c r="R4" i="1"/>
  <c r="AT4" i="1" s="1"/>
  <c r="Q4" i="1"/>
  <c r="AU4" i="1" s="1"/>
  <c r="P4" i="1"/>
  <c r="U3" i="1"/>
  <c r="T3" i="1"/>
  <c r="S3" i="1"/>
  <c r="X2" i="1"/>
  <c r="U2" i="1"/>
  <c r="T2" i="1"/>
  <c r="S2" i="1"/>
  <c r="B524" i="6"/>
  <c r="N524" i="6"/>
  <c r="B525" i="6"/>
  <c r="N525" i="6"/>
  <c r="N564" i="6"/>
  <c r="N526" i="6"/>
  <c r="N540" i="6"/>
  <c r="N529" i="6"/>
  <c r="N528" i="6"/>
  <c r="N527" i="6"/>
  <c r="N542" i="6"/>
  <c r="N541" i="6"/>
  <c r="N539" i="6"/>
  <c r="N538" i="6"/>
  <c r="V752" i="1"/>
  <c r="V766" i="1"/>
  <c r="E566" i="6"/>
  <c r="B566" i="6"/>
  <c r="E570" i="6"/>
  <c r="B570" i="6"/>
  <c r="E573" i="6"/>
  <c r="B573" i="6"/>
  <c r="N558" i="6"/>
  <c r="E558" i="6"/>
  <c r="B558" i="6"/>
  <c r="E561" i="6"/>
  <c r="B561" i="6"/>
  <c r="E564" i="6"/>
  <c r="B564" i="6"/>
  <c r="V701" i="1"/>
  <c r="V702" i="1"/>
  <c r="V571" i="1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91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62" i="6"/>
  <c r="B563" i="6"/>
  <c r="B559" i="6"/>
  <c r="B560" i="6"/>
  <c r="B556" i="6"/>
  <c r="B557" i="6"/>
  <c r="B571" i="6"/>
  <c r="B572" i="6"/>
  <c r="B568" i="6"/>
  <c r="B569" i="6"/>
  <c r="B565" i="6"/>
  <c r="B567" i="6"/>
  <c r="D91" i="6"/>
  <c r="E91" i="6"/>
  <c r="E13" i="7"/>
  <c r="F73" i="7" s="1"/>
  <c r="E556" i="6"/>
  <c r="E557" i="6"/>
  <c r="N5" i="12"/>
  <c r="N6" i="12" s="1"/>
  <c r="L5" i="12"/>
  <c r="L6" i="12" s="1"/>
  <c r="M5" i="12"/>
  <c r="E571" i="6"/>
  <c r="E572" i="6"/>
  <c r="E568" i="6"/>
  <c r="E569" i="6"/>
  <c r="E560" i="6"/>
  <c r="E559" i="6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N562" i="6"/>
  <c r="N563" i="6"/>
  <c r="E562" i="6"/>
  <c r="E563" i="6"/>
  <c r="E565" i="6"/>
  <c r="E567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H45" i="7"/>
  <c r="D81" i="7" s="1"/>
  <c r="H44" i="7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G12" i="7"/>
  <c r="C73" i="7" s="1"/>
  <c r="G8" i="7"/>
  <c r="C72" i="7" s="1"/>
  <c r="G4" i="7"/>
  <c r="C71" i="7" s="1"/>
  <c r="D62" i="7"/>
  <c r="I85" i="7" s="1"/>
  <c r="D58" i="7"/>
  <c r="D54" i="7"/>
  <c r="I83" i="7" s="1"/>
  <c r="D50" i="7"/>
  <c r="I82" i="7" s="1"/>
  <c r="D46" i="7"/>
  <c r="I81" i="7" s="1"/>
  <c r="D42" i="7"/>
  <c r="D38" i="7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4" i="6"/>
  <c r="M574" i="6"/>
  <c r="G574" i="6"/>
  <c r="V1191" i="1"/>
  <c r="V1369" i="1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AO43" i="1" l="1"/>
  <c r="AQ43" i="1" s="1"/>
  <c r="AO54" i="1"/>
  <c r="AQ54" i="1" s="1"/>
  <c r="AO59" i="1"/>
  <c r="AQ59" i="1" s="1"/>
  <c r="AO89" i="1"/>
  <c r="AQ89" i="1" s="1"/>
  <c r="AO121" i="1"/>
  <c r="AQ121" i="1" s="1"/>
  <c r="AO125" i="1"/>
  <c r="AQ125" i="1" s="1"/>
  <c r="AO140" i="1"/>
  <c r="AQ140" i="1" s="1"/>
  <c r="AO144" i="1"/>
  <c r="AQ144" i="1" s="1"/>
  <c r="AO148" i="1"/>
  <c r="AQ148" i="1" s="1"/>
  <c r="AO158" i="1"/>
  <c r="AQ158" i="1" s="1"/>
  <c r="AO169" i="1"/>
  <c r="AQ169" i="1" s="1"/>
  <c r="AO175" i="1"/>
  <c r="AQ175" i="1" s="1"/>
  <c r="AO181" i="1"/>
  <c r="AQ181" i="1" s="1"/>
  <c r="AO192" i="1"/>
  <c r="AQ192" i="1" s="1"/>
  <c r="AO197" i="1"/>
  <c r="AQ197" i="1" s="1"/>
  <c r="AO207" i="1"/>
  <c r="AQ207" i="1" s="1"/>
  <c r="AO229" i="1"/>
  <c r="AQ229" i="1" s="1"/>
  <c r="AO234" i="1"/>
  <c r="AQ234" i="1" s="1"/>
  <c r="AO239" i="1"/>
  <c r="AQ239" i="1" s="1"/>
  <c r="AO243" i="1"/>
  <c r="AQ243" i="1" s="1"/>
  <c r="AO248" i="1"/>
  <c r="AQ248" i="1" s="1"/>
  <c r="AO283" i="1"/>
  <c r="AQ283" i="1" s="1"/>
  <c r="AO287" i="1"/>
  <c r="AQ287" i="1" s="1"/>
  <c r="AO291" i="1"/>
  <c r="AQ291" i="1" s="1"/>
  <c r="AO305" i="1"/>
  <c r="AQ305" i="1" s="1"/>
  <c r="AO321" i="1"/>
  <c r="AQ321" i="1" s="1"/>
  <c r="AO333" i="1"/>
  <c r="AQ333" i="1" s="1"/>
  <c r="AO353" i="1"/>
  <c r="AQ353" i="1" s="1"/>
  <c r="AO368" i="1"/>
  <c r="AQ368" i="1" s="1"/>
  <c r="AO378" i="1"/>
  <c r="AQ378" i="1" s="1"/>
  <c r="AO384" i="1"/>
  <c r="AQ384" i="1" s="1"/>
  <c r="AO389" i="1"/>
  <c r="AQ389" i="1" s="1"/>
  <c r="AO395" i="1"/>
  <c r="AQ395" i="1" s="1"/>
  <c r="AO405" i="1"/>
  <c r="AQ405" i="1" s="1"/>
  <c r="AO426" i="1"/>
  <c r="AQ426" i="1" s="1"/>
  <c r="AO431" i="1"/>
  <c r="AQ431" i="1" s="1"/>
  <c r="AO435" i="1"/>
  <c r="AQ435" i="1" s="1"/>
  <c r="AO442" i="1"/>
  <c r="AQ442" i="1" s="1"/>
  <c r="AO464" i="1"/>
  <c r="AQ464" i="1" s="1"/>
  <c r="AO469" i="1"/>
  <c r="AQ469" i="1" s="1"/>
  <c r="AO495" i="1"/>
  <c r="AQ495" i="1" s="1"/>
  <c r="AO505" i="1"/>
  <c r="AQ505" i="1" s="1"/>
  <c r="AO541" i="1"/>
  <c r="AQ541" i="1" s="1"/>
  <c r="AO558" i="1"/>
  <c r="AQ558" i="1" s="1"/>
  <c r="AO573" i="1"/>
  <c r="AQ573" i="1" s="1"/>
  <c r="AO578" i="1"/>
  <c r="AQ578" i="1" s="1"/>
  <c r="AO583" i="1"/>
  <c r="AQ583" i="1" s="1"/>
  <c r="AO603" i="1"/>
  <c r="AQ603" i="1" s="1"/>
  <c r="AO607" i="1"/>
  <c r="AQ607" i="1" s="1"/>
  <c r="AO618" i="1"/>
  <c r="AQ618" i="1" s="1"/>
  <c r="AO651" i="1"/>
  <c r="AQ651" i="1" s="1"/>
  <c r="AO655" i="1"/>
  <c r="AQ655" i="1" s="1"/>
  <c r="AO671" i="1"/>
  <c r="AQ671" i="1" s="1"/>
  <c r="AO701" i="1"/>
  <c r="AQ701" i="1" s="1"/>
  <c r="AO715" i="1"/>
  <c r="AQ715" i="1" s="1"/>
  <c r="AO720" i="1"/>
  <c r="AQ720" i="1" s="1"/>
  <c r="AO730" i="1"/>
  <c r="AQ730" i="1" s="1"/>
  <c r="AO678" i="1"/>
  <c r="AQ678" i="1" s="1"/>
  <c r="AO706" i="1"/>
  <c r="AQ706" i="1" s="1"/>
  <c r="AO736" i="1"/>
  <c r="AQ736" i="1" s="1"/>
  <c r="AO759" i="1"/>
  <c r="AQ759" i="1" s="1"/>
  <c r="AO764" i="1"/>
  <c r="AQ764" i="1" s="1"/>
  <c r="AO772" i="1"/>
  <c r="AQ772" i="1" s="1"/>
  <c r="AO783" i="1"/>
  <c r="AQ783" i="1" s="1"/>
  <c r="AO787" i="1"/>
  <c r="AQ787" i="1" s="1"/>
  <c r="AO859" i="1"/>
  <c r="AQ859" i="1" s="1"/>
  <c r="AO851" i="1"/>
  <c r="AQ851" i="1" s="1"/>
  <c r="AO842" i="1"/>
  <c r="AQ842" i="1" s="1"/>
  <c r="AO823" i="1"/>
  <c r="AQ823" i="1" s="1"/>
  <c r="AO827" i="1"/>
  <c r="AQ827" i="1" s="1"/>
  <c r="AO831" i="1"/>
  <c r="AQ831" i="1" s="1"/>
  <c r="AO835" i="1"/>
  <c r="AQ835" i="1" s="1"/>
  <c r="AO899" i="1"/>
  <c r="AQ899" i="1" s="1"/>
  <c r="AO948" i="1"/>
  <c r="AQ948" i="1" s="1"/>
  <c r="AO1161" i="1"/>
  <c r="AQ1161" i="1" s="1"/>
  <c r="AO1073" i="1"/>
  <c r="AQ1073" i="1" s="1"/>
  <c r="AO925" i="1"/>
  <c r="AQ925" i="1" s="1"/>
  <c r="AO1200" i="1"/>
  <c r="AQ1200" i="1" s="1"/>
  <c r="AO928" i="1"/>
  <c r="AQ928" i="1" s="1"/>
  <c r="AO929" i="1"/>
  <c r="AQ929" i="1" s="1"/>
  <c r="AO930" i="1"/>
  <c r="AQ930" i="1" s="1"/>
  <c r="AO931" i="1"/>
  <c r="AQ931" i="1" s="1"/>
  <c r="AO932" i="1"/>
  <c r="AQ932" i="1" s="1"/>
  <c r="AO933" i="1"/>
  <c r="AQ933" i="1" s="1"/>
  <c r="AO1003" i="1"/>
  <c r="AQ1003" i="1" s="1"/>
  <c r="AO960" i="1"/>
  <c r="AQ960" i="1" s="1"/>
  <c r="AO955" i="1"/>
  <c r="AQ955" i="1" s="1"/>
  <c r="AO956" i="1"/>
  <c r="AQ956" i="1" s="1"/>
  <c r="AO957" i="1"/>
  <c r="AQ957" i="1" s="1"/>
  <c r="AO958" i="1"/>
  <c r="AQ958" i="1" s="1"/>
  <c r="AO966" i="1"/>
  <c r="AQ966" i="1" s="1"/>
  <c r="AO973" i="1"/>
  <c r="AQ973" i="1" s="1"/>
  <c r="AO974" i="1"/>
  <c r="AQ974" i="1" s="1"/>
  <c r="AO1051" i="1"/>
  <c r="AQ1051" i="1" s="1"/>
  <c r="AO1052" i="1"/>
  <c r="AQ1052" i="1" s="1"/>
  <c r="AO1054" i="1"/>
  <c r="AQ1054" i="1" s="1"/>
  <c r="AO1048" i="1"/>
  <c r="AQ1048" i="1" s="1"/>
  <c r="AO994" i="1"/>
  <c r="AQ994" i="1" s="1"/>
  <c r="AO1035" i="1"/>
  <c r="AQ1035" i="1" s="1"/>
  <c r="AO1122" i="1"/>
  <c r="AQ1122" i="1" s="1"/>
  <c r="AO1109" i="1"/>
  <c r="AQ1109" i="1" s="1"/>
  <c r="AO1112" i="1"/>
  <c r="AQ1112" i="1" s="1"/>
  <c r="AO1196" i="1"/>
  <c r="AQ1196" i="1" s="1"/>
  <c r="AO1171" i="1"/>
  <c r="AQ1171" i="1" s="1"/>
  <c r="AO1197" i="1"/>
  <c r="AQ1197" i="1" s="1"/>
  <c r="AO1236" i="1"/>
  <c r="AQ1236" i="1" s="1"/>
  <c r="AO1222" i="1"/>
  <c r="AQ1222" i="1" s="1"/>
  <c r="AO1264" i="1"/>
  <c r="AQ1264" i="1" s="1"/>
  <c r="AO1265" i="1"/>
  <c r="AQ1265" i="1" s="1"/>
  <c r="AO1266" i="1"/>
  <c r="AQ1266" i="1" s="1"/>
  <c r="AO1267" i="1"/>
  <c r="AQ1267" i="1" s="1"/>
  <c r="AO1268" i="1"/>
  <c r="AQ1268" i="1" s="1"/>
  <c r="AO1247" i="1"/>
  <c r="AQ1247" i="1" s="1"/>
  <c r="AO1256" i="1"/>
  <c r="AQ1256" i="1" s="1"/>
  <c r="AO1376" i="1"/>
  <c r="AQ1376" i="1" s="1"/>
  <c r="AO1338" i="1"/>
  <c r="AQ1338" i="1" s="1"/>
  <c r="AO1337" i="1"/>
  <c r="AQ1337" i="1" s="1"/>
  <c r="AO1357" i="1"/>
  <c r="AQ1357" i="1" s="1"/>
  <c r="AO1358" i="1"/>
  <c r="AQ1358" i="1" s="1"/>
  <c r="AO1359" i="1"/>
  <c r="AQ1359" i="1" s="1"/>
  <c r="AO1360" i="1"/>
  <c r="AQ1360" i="1" s="1"/>
  <c r="AO1361" i="1"/>
  <c r="AQ1361" i="1" s="1"/>
  <c r="AO1362" i="1"/>
  <c r="AQ1362" i="1" s="1"/>
  <c r="AO1363" i="1"/>
  <c r="AQ1363" i="1" s="1"/>
  <c r="AO1406" i="1"/>
  <c r="AQ1406" i="1" s="1"/>
  <c r="I3505" i="33"/>
  <c r="AT1398" i="1"/>
  <c r="AO1399" i="1"/>
  <c r="AQ1399" i="1" s="1"/>
  <c r="AO1310" i="1"/>
  <c r="AQ1310" i="1" s="1"/>
  <c r="AO1427" i="1"/>
  <c r="AQ1427" i="1" s="1"/>
  <c r="AO1431" i="1"/>
  <c r="AQ1431" i="1" s="1"/>
  <c r="I1114" i="33"/>
  <c r="AT27" i="1"/>
  <c r="I1165" i="33"/>
  <c r="AT26" i="1"/>
  <c r="AO24" i="1"/>
  <c r="AQ24" i="1" s="1"/>
  <c r="I1219" i="33"/>
  <c r="AT5" i="1"/>
  <c r="J1220" i="33"/>
  <c r="AU71" i="1"/>
  <c r="I1258" i="33"/>
  <c r="AT113" i="1"/>
  <c r="I1322" i="33"/>
  <c r="AT85" i="1"/>
  <c r="AO88" i="1"/>
  <c r="AQ88" i="1" s="1"/>
  <c r="J1326" i="33"/>
  <c r="AU193" i="1"/>
  <c r="AO73" i="1"/>
  <c r="AQ73" i="1" s="1"/>
  <c r="AO108" i="1"/>
  <c r="AQ108" i="1" s="1"/>
  <c r="AO149" i="1"/>
  <c r="AQ149" i="1" s="1"/>
  <c r="I1377" i="33"/>
  <c r="AT49" i="1"/>
  <c r="I1389" i="33"/>
  <c r="AT128" i="1"/>
  <c r="I1394" i="33"/>
  <c r="AT151" i="1"/>
  <c r="I1402" i="33"/>
  <c r="AT110" i="1"/>
  <c r="I1404" i="33"/>
  <c r="AT135" i="1"/>
  <c r="I1431" i="33"/>
  <c r="AT226" i="1"/>
  <c r="I1440" i="33"/>
  <c r="AT84" i="1"/>
  <c r="I1420" i="33"/>
  <c r="AT155" i="1"/>
  <c r="I1457" i="33"/>
  <c r="AT83" i="1"/>
  <c r="I1532" i="33"/>
  <c r="AT252" i="1"/>
  <c r="I1547" i="33"/>
  <c r="AT224" i="1"/>
  <c r="I1603" i="33"/>
  <c r="AT202" i="1"/>
  <c r="I1656" i="33"/>
  <c r="AT269" i="1"/>
  <c r="I1696" i="33"/>
  <c r="AT235" i="1"/>
  <c r="I1714" i="33"/>
  <c r="AT320" i="1"/>
  <c r="I1786" i="33"/>
  <c r="AT360" i="1"/>
  <c r="I1812" i="33"/>
  <c r="AT313" i="1"/>
  <c r="I1824" i="33"/>
  <c r="AT367" i="1"/>
  <c r="I1838" i="33"/>
  <c r="AT354" i="1"/>
  <c r="I1842" i="33"/>
  <c r="AT7" i="1"/>
  <c r="I1866" i="33"/>
  <c r="AT309" i="1"/>
  <c r="I1878" i="33"/>
  <c r="AT371" i="1"/>
  <c r="I1879" i="33"/>
  <c r="AT318" i="1"/>
  <c r="I1913" i="33"/>
  <c r="AT391" i="1"/>
  <c r="I1927" i="33"/>
  <c r="AT377" i="1"/>
  <c r="I1929" i="33"/>
  <c r="AT344" i="1"/>
  <c r="I1962" i="33"/>
  <c r="AT398" i="1"/>
  <c r="I1978" i="33"/>
  <c r="AT322" i="1"/>
  <c r="I1986" i="33"/>
  <c r="AT396" i="1"/>
  <c r="AO403" i="1"/>
  <c r="AQ403" i="1" s="1"/>
  <c r="J2006" i="33"/>
  <c r="AU413" i="1"/>
  <c r="J2008" i="33"/>
  <c r="AU355" i="1"/>
  <c r="J2017" i="33"/>
  <c r="AU397" i="1"/>
  <c r="J2023" i="33"/>
  <c r="AU421" i="1"/>
  <c r="J2056" i="33"/>
  <c r="AU324" i="1"/>
  <c r="AO436" i="1"/>
  <c r="AQ436" i="1" s="1"/>
  <c r="AO418" i="1"/>
  <c r="AQ418" i="1" s="1"/>
  <c r="AO443" i="1"/>
  <c r="AQ443" i="1" s="1"/>
  <c r="AO447" i="1"/>
  <c r="AQ447" i="1" s="1"/>
  <c r="J2133" i="33"/>
  <c r="AU517" i="1"/>
  <c r="J2142" i="33"/>
  <c r="AU441" i="1"/>
  <c r="J2162" i="33"/>
  <c r="AU490" i="1"/>
  <c r="J2164" i="33"/>
  <c r="AU451" i="1"/>
  <c r="J2173" i="33"/>
  <c r="AU492" i="1"/>
  <c r="J2206" i="33"/>
  <c r="AU535" i="1"/>
  <c r="J2214" i="33"/>
  <c r="AU461" i="1"/>
  <c r="J2219" i="33"/>
  <c r="AU538" i="1"/>
  <c r="J2228" i="33"/>
  <c r="AU553" i="1"/>
  <c r="AO524" i="1"/>
  <c r="AQ524" i="1" s="1"/>
  <c r="AO478" i="1"/>
  <c r="AQ478" i="1" s="1"/>
  <c r="J2263" i="33"/>
  <c r="AU540" i="1"/>
  <c r="J2269" i="33"/>
  <c r="AU522" i="1"/>
  <c r="J2306" i="33"/>
  <c r="AU554" i="1"/>
  <c r="AO560" i="1"/>
  <c r="AQ560" i="1" s="1"/>
  <c r="J2330" i="33"/>
  <c r="AU531" i="1"/>
  <c r="AO575" i="1"/>
  <c r="AQ575" i="1" s="1"/>
  <c r="J2348" i="33"/>
  <c r="AU527" i="1"/>
  <c r="J2360" i="33"/>
  <c r="AU612" i="1"/>
  <c r="J2382" i="33"/>
  <c r="AU501" i="1"/>
  <c r="AO723" i="1"/>
  <c r="AQ723" i="1" s="1"/>
  <c r="AO621" i="1"/>
  <c r="AQ621" i="1" s="1"/>
  <c r="J2418" i="33"/>
  <c r="AU448" i="1"/>
  <c r="J2422" i="33"/>
  <c r="AU632" i="1"/>
  <c r="J2444" i="33"/>
  <c r="AU634" i="1"/>
  <c r="AO616" i="1"/>
  <c r="AQ616" i="1" s="1"/>
  <c r="I2509" i="33"/>
  <c r="AT601" i="1"/>
  <c r="I2531" i="33"/>
  <c r="AT665" i="1"/>
  <c r="I2646" i="33"/>
  <c r="AT637" i="1"/>
  <c r="I2654" i="33"/>
  <c r="AT697" i="1"/>
  <c r="I2657" i="33"/>
  <c r="AT776" i="1"/>
  <c r="I2667" i="33"/>
  <c r="AT745" i="1"/>
  <c r="I2668" i="33"/>
  <c r="AT789" i="1"/>
  <c r="I2673" i="33"/>
  <c r="AT840" i="1"/>
  <c r="I2695" i="33"/>
  <c r="AT782" i="1"/>
  <c r="I2696" i="33"/>
  <c r="AT691" i="1"/>
  <c r="I2737" i="33"/>
  <c r="AT686" i="1"/>
  <c r="I2741" i="33"/>
  <c r="AT875" i="1"/>
  <c r="I2745" i="33"/>
  <c r="AT792" i="1"/>
  <c r="I2757" i="33"/>
  <c r="AT846" i="1"/>
  <c r="I2775" i="33"/>
  <c r="AT762" i="1"/>
  <c r="AO1421" i="1"/>
  <c r="AQ1421" i="1" s="1"/>
  <c r="AO940" i="1"/>
  <c r="AQ940" i="1" s="1"/>
  <c r="J2818" i="33"/>
  <c r="AU687" i="1"/>
  <c r="J2825" i="33"/>
  <c r="AU1058" i="1"/>
  <c r="J2863" i="33"/>
  <c r="AU905" i="1"/>
  <c r="AO889" i="1"/>
  <c r="AQ889" i="1" s="1"/>
  <c r="AO740" i="1"/>
  <c r="AQ740" i="1" s="1"/>
  <c r="AO1087" i="1"/>
  <c r="AQ1087" i="1" s="1"/>
  <c r="AO1422" i="1"/>
  <c r="AQ1422" i="1" s="1"/>
  <c r="AO1388" i="1"/>
  <c r="AQ1388" i="1" s="1"/>
  <c r="J2889" i="33"/>
  <c r="AU865" i="1"/>
  <c r="AO684" i="1"/>
  <c r="AQ684" i="1" s="1"/>
  <c r="AO1071" i="1"/>
  <c r="AQ1071" i="1" s="1"/>
  <c r="AO848" i="1"/>
  <c r="AQ848" i="1" s="1"/>
  <c r="AO850" i="1"/>
  <c r="AQ850" i="1" s="1"/>
  <c r="AO947" i="1"/>
  <c r="AQ947" i="1" s="1"/>
  <c r="AO1192" i="1"/>
  <c r="AQ1192" i="1" s="1"/>
  <c r="AO943" i="1"/>
  <c r="AQ943" i="1" s="1"/>
  <c r="J2959" i="33"/>
  <c r="AU1006" i="1"/>
  <c r="AO991" i="1"/>
  <c r="AQ991" i="1" s="1"/>
  <c r="J2965" i="33"/>
  <c r="AU959" i="1"/>
  <c r="J2971" i="33"/>
  <c r="AU896" i="1"/>
  <c r="J2985" i="33"/>
  <c r="AU863" i="1"/>
  <c r="I3026" i="33"/>
  <c r="AT922" i="1"/>
  <c r="I3084" i="33"/>
  <c r="AT1074" i="1"/>
  <c r="AO915" i="1"/>
  <c r="AQ915" i="1" s="1"/>
  <c r="AO1104" i="1"/>
  <c r="AQ1104" i="1" s="1"/>
  <c r="AO1038" i="1"/>
  <c r="AQ1038" i="1" s="1"/>
  <c r="AO1139" i="1"/>
  <c r="AQ1139" i="1" s="1"/>
  <c r="AO1061" i="1"/>
  <c r="AQ1061" i="1" s="1"/>
  <c r="AO969" i="1"/>
  <c r="AQ969" i="1" s="1"/>
  <c r="AO983" i="1"/>
  <c r="AQ983" i="1" s="1"/>
  <c r="AO1414" i="1"/>
  <c r="AQ1414" i="1" s="1"/>
  <c r="J3280" i="33"/>
  <c r="AU1095" i="1"/>
  <c r="AO1031" i="1"/>
  <c r="AQ1031" i="1" s="1"/>
  <c r="J3296" i="33"/>
  <c r="AU1255" i="1"/>
  <c r="AO1248" i="1"/>
  <c r="AQ1248" i="1" s="1"/>
  <c r="J3314" i="33"/>
  <c r="AU1022" i="1"/>
  <c r="AO1216" i="1"/>
  <c r="AQ1216" i="1" s="1"/>
  <c r="AO1043" i="1"/>
  <c r="AQ1043" i="1" s="1"/>
  <c r="J3344" i="33"/>
  <c r="AU1115" i="1"/>
  <c r="J3367" i="33"/>
  <c r="AU999" i="1"/>
  <c r="AO1042" i="1"/>
  <c r="AQ1042" i="1" s="1"/>
  <c r="J3377" i="33"/>
  <c r="AU1033" i="1"/>
  <c r="J3379" i="33"/>
  <c r="AU1238" i="1"/>
  <c r="AO1174" i="1"/>
  <c r="AQ1174" i="1" s="1"/>
  <c r="J3386" i="33"/>
  <c r="AU1036" i="1"/>
  <c r="I3432" i="33"/>
  <c r="AT1150" i="1"/>
  <c r="I3445" i="33"/>
  <c r="AT1193" i="1"/>
  <c r="J3467" i="33"/>
  <c r="AU1260" i="1"/>
  <c r="J3498" i="33"/>
  <c r="AU1165" i="1"/>
  <c r="J3500" i="33"/>
  <c r="AU1140" i="1"/>
  <c r="AO1183" i="1"/>
  <c r="AQ1183" i="1" s="1"/>
  <c r="J3540" i="33"/>
  <c r="AU1269" i="1"/>
  <c r="AO1311" i="1"/>
  <c r="AQ1311" i="1" s="1"/>
  <c r="J3574" i="33"/>
  <c r="AU1020" i="1"/>
  <c r="J3616" i="33"/>
  <c r="AU1217" i="1"/>
  <c r="AO1319" i="1"/>
  <c r="AQ1319" i="1" s="1"/>
  <c r="I3643" i="33"/>
  <c r="AT1339" i="1"/>
  <c r="AO13" i="1"/>
  <c r="AQ13" i="1" s="1"/>
  <c r="AO18" i="1"/>
  <c r="AQ18" i="1" s="1"/>
  <c r="AO39" i="1"/>
  <c r="AQ39" i="1" s="1"/>
  <c r="AO65" i="1"/>
  <c r="AQ65" i="1" s="1"/>
  <c r="AO70" i="1"/>
  <c r="AQ70" i="1" s="1"/>
  <c r="AO99" i="1"/>
  <c r="AQ99" i="1" s="1"/>
  <c r="AO111" i="1"/>
  <c r="AQ111" i="1" s="1"/>
  <c r="AO116" i="1"/>
  <c r="AQ116" i="1" s="1"/>
  <c r="AO131" i="1"/>
  <c r="AQ131" i="1" s="1"/>
  <c r="AO136" i="1"/>
  <c r="AQ136" i="1" s="1"/>
  <c r="AO154" i="1"/>
  <c r="AQ154" i="1" s="1"/>
  <c r="AO203" i="1"/>
  <c r="AQ203" i="1" s="1"/>
  <c r="AO212" i="1"/>
  <c r="AQ212" i="1" s="1"/>
  <c r="AO216" i="1"/>
  <c r="AQ216" i="1" s="1"/>
  <c r="AO220" i="1"/>
  <c r="AQ220" i="1" s="1"/>
  <c r="AO253" i="1"/>
  <c r="AQ253" i="1" s="1"/>
  <c r="AO262" i="1"/>
  <c r="AQ262" i="1" s="1"/>
  <c r="AO278" i="1"/>
  <c r="AQ278" i="1" s="1"/>
  <c r="AO297" i="1"/>
  <c r="AQ297" i="1" s="1"/>
  <c r="AO301" i="1"/>
  <c r="AQ301" i="1" s="1"/>
  <c r="AO328" i="1"/>
  <c r="AQ328" i="1" s="1"/>
  <c r="AO338" i="1"/>
  <c r="AQ338" i="1" s="1"/>
  <c r="AO343" i="1"/>
  <c r="AQ343" i="1" s="1"/>
  <c r="AO349" i="1"/>
  <c r="AQ349" i="1" s="1"/>
  <c r="AO364" i="1"/>
  <c r="AQ364" i="1" s="1"/>
  <c r="AO401" i="1"/>
  <c r="AQ401" i="1" s="1"/>
  <c r="AO454" i="1"/>
  <c r="AQ454" i="1" s="1"/>
  <c r="AO460" i="1"/>
  <c r="AQ460" i="1" s="1"/>
  <c r="AO475" i="1"/>
  <c r="AQ475" i="1" s="1"/>
  <c r="AO510" i="1"/>
  <c r="AQ510" i="1" s="1"/>
  <c r="AO525" i="1"/>
  <c r="AQ525" i="1" s="1"/>
  <c r="AO546" i="1"/>
  <c r="AQ546" i="1" s="1"/>
  <c r="AO569" i="1"/>
  <c r="AQ569" i="1" s="1"/>
  <c r="AO595" i="1"/>
  <c r="AQ595" i="1" s="1"/>
  <c r="AO599" i="1"/>
  <c r="AQ599" i="1" s="1"/>
  <c r="AO614" i="1"/>
  <c r="AQ614" i="1" s="1"/>
  <c r="AO624" i="1"/>
  <c r="AQ624" i="1" s="1"/>
  <c r="AO629" i="1"/>
  <c r="AQ629" i="1" s="1"/>
  <c r="AO635" i="1"/>
  <c r="AQ635" i="1" s="1"/>
  <c r="AO641" i="1"/>
  <c r="AQ641" i="1" s="1"/>
  <c r="AO647" i="1"/>
  <c r="AQ647" i="1" s="1"/>
  <c r="AO666" i="1"/>
  <c r="AQ666" i="1" s="1"/>
  <c r="AO690" i="1"/>
  <c r="AQ690" i="1" s="1"/>
  <c r="AO711" i="1"/>
  <c r="AQ711" i="1" s="1"/>
  <c r="AO726" i="1"/>
  <c r="AQ726" i="1" s="1"/>
  <c r="AO661" i="1"/>
  <c r="AQ661" i="1" s="1"/>
  <c r="AO754" i="1"/>
  <c r="AQ754" i="1" s="1"/>
  <c r="AO748" i="1"/>
  <c r="AQ748" i="1" s="1"/>
  <c r="AO768" i="1"/>
  <c r="AQ768" i="1" s="1"/>
  <c r="AO779" i="1"/>
  <c r="AQ779" i="1" s="1"/>
  <c r="AO815" i="1"/>
  <c r="AQ815" i="1" s="1"/>
  <c r="AO857" i="1"/>
  <c r="AQ857" i="1" s="1"/>
  <c r="AO839" i="1"/>
  <c r="AQ839" i="1" s="1"/>
  <c r="AO876" i="1"/>
  <c r="AQ876" i="1" s="1"/>
  <c r="AO818" i="1"/>
  <c r="AQ818" i="1" s="1"/>
  <c r="AO811" i="1"/>
  <c r="AQ811" i="1" s="1"/>
  <c r="AO867" i="1"/>
  <c r="AQ867" i="1" s="1"/>
  <c r="AO893" i="1"/>
  <c r="AQ893" i="1" s="1"/>
  <c r="AO1066" i="1"/>
  <c r="AQ1066" i="1" s="1"/>
  <c r="AO1001" i="1"/>
  <c r="AQ1001" i="1" s="1"/>
  <c r="AO903" i="1"/>
  <c r="AQ903" i="1" s="1"/>
  <c r="AO1079" i="1"/>
  <c r="AQ1079" i="1" s="1"/>
  <c r="AO1167" i="1"/>
  <c r="AQ1167" i="1" s="1"/>
  <c r="AO942" i="1"/>
  <c r="AQ942" i="1" s="1"/>
  <c r="AO1015" i="1"/>
  <c r="AQ1015" i="1" s="1"/>
  <c r="AO910" i="1"/>
  <c r="AQ910" i="1" s="1"/>
  <c r="AO920" i="1"/>
  <c r="AQ920" i="1" s="1"/>
  <c r="AO935" i="1"/>
  <c r="AQ935" i="1" s="1"/>
  <c r="AO879" i="1"/>
  <c r="AQ879" i="1" s="1"/>
  <c r="AO998" i="1"/>
  <c r="AQ998" i="1" s="1"/>
  <c r="AO1069" i="1"/>
  <c r="AQ1069" i="1" s="1"/>
  <c r="AO1077" i="1"/>
  <c r="AQ1077" i="1" s="1"/>
  <c r="AO1076" i="1"/>
  <c r="AQ1076" i="1" s="1"/>
  <c r="AO1086" i="1"/>
  <c r="AQ1086" i="1" s="1"/>
  <c r="AO1088" i="1"/>
  <c r="AQ1088" i="1" s="1"/>
  <c r="AO1121" i="1"/>
  <c r="AQ1121" i="1" s="1"/>
  <c r="AO1136" i="1"/>
  <c r="AQ1136" i="1" s="1"/>
  <c r="AO1137" i="1"/>
  <c r="AQ1137" i="1" s="1"/>
  <c r="AO1132" i="1"/>
  <c r="AQ1132" i="1" s="1"/>
  <c r="AO1141" i="1"/>
  <c r="AQ1141" i="1" s="1"/>
  <c r="AO1143" i="1"/>
  <c r="AQ1143" i="1" s="1"/>
  <c r="AO1147" i="1"/>
  <c r="AQ1147" i="1" s="1"/>
  <c r="AO1173" i="1"/>
  <c r="AQ1173" i="1" s="1"/>
  <c r="AO1170" i="1"/>
  <c r="AQ1170" i="1" s="1"/>
  <c r="AO1194" i="1"/>
  <c r="AQ1194" i="1" s="1"/>
  <c r="AO1235" i="1"/>
  <c r="AQ1235" i="1" s="1"/>
  <c r="AO1304" i="1"/>
  <c r="AQ1304" i="1" s="1"/>
  <c r="AO1223" i="1"/>
  <c r="AQ1223" i="1" s="1"/>
  <c r="AO1284" i="1"/>
  <c r="AQ1284" i="1" s="1"/>
  <c r="AO1312" i="1"/>
  <c r="AQ1312" i="1" s="1"/>
  <c r="AO1316" i="1"/>
  <c r="AQ1316" i="1" s="1"/>
  <c r="AO1317" i="1"/>
  <c r="AQ1317" i="1" s="1"/>
  <c r="AO1341" i="1"/>
  <c r="AQ1341" i="1" s="1"/>
  <c r="AO1340" i="1"/>
  <c r="AQ1340" i="1" s="1"/>
  <c r="AO1368" i="1"/>
  <c r="AQ1368" i="1" s="1"/>
  <c r="AO1369" i="1"/>
  <c r="AQ1369" i="1" s="1"/>
  <c r="AO1370" i="1"/>
  <c r="AQ1370" i="1" s="1"/>
  <c r="AO1371" i="1"/>
  <c r="AQ1371" i="1" s="1"/>
  <c r="AO1372" i="1"/>
  <c r="AQ1372" i="1" s="1"/>
  <c r="AO1346" i="1"/>
  <c r="AQ1346" i="1" s="1"/>
  <c r="AO1407" i="1"/>
  <c r="AQ1407" i="1" s="1"/>
  <c r="AO1411" i="1"/>
  <c r="AQ1411" i="1" s="1"/>
  <c r="AO1415" i="1"/>
  <c r="AQ1415" i="1" s="1"/>
  <c r="J3504" i="33"/>
  <c r="AU1398" i="1"/>
  <c r="AO1391" i="1"/>
  <c r="AQ1391" i="1" s="1"/>
  <c r="AO1420" i="1"/>
  <c r="AQ1420" i="1" s="1"/>
  <c r="AO1428" i="1"/>
  <c r="AQ1428" i="1" s="1"/>
  <c r="AO1441" i="1"/>
  <c r="AQ1441" i="1" s="1"/>
  <c r="AO1279" i="1"/>
  <c r="AQ1279" i="1" s="1"/>
  <c r="J1114" i="33"/>
  <c r="AU27" i="1"/>
  <c r="J1133" i="33"/>
  <c r="AU10" i="1"/>
  <c r="I1135" i="33"/>
  <c r="AT19" i="1"/>
  <c r="I1143" i="33"/>
  <c r="AT50" i="1"/>
  <c r="I1148" i="33"/>
  <c r="AT100" i="1"/>
  <c r="I1163" i="33"/>
  <c r="AT29" i="1"/>
  <c r="J1165" i="33"/>
  <c r="AU26" i="1"/>
  <c r="AO94" i="1"/>
  <c r="AQ94" i="1" s="1"/>
  <c r="J1195" i="33"/>
  <c r="AU3" i="1"/>
  <c r="I1204" i="33"/>
  <c r="AT35" i="1"/>
  <c r="AO112" i="1"/>
  <c r="AQ112" i="1" s="1"/>
  <c r="J1219" i="33"/>
  <c r="AU5" i="1"/>
  <c r="I1248" i="33"/>
  <c r="AT80" i="1"/>
  <c r="AO105" i="1"/>
  <c r="AQ105" i="1" s="1"/>
  <c r="J1281" i="33"/>
  <c r="AU102" i="1"/>
  <c r="AO75" i="1"/>
  <c r="AQ75" i="1" s="1"/>
  <c r="AO74" i="1"/>
  <c r="AQ74" i="1" s="1"/>
  <c r="AO76" i="1"/>
  <c r="AQ76" i="1" s="1"/>
  <c r="AO40" i="1"/>
  <c r="AQ40" i="1" s="1"/>
  <c r="I1178" i="33"/>
  <c r="AT103" i="1"/>
  <c r="J1322" i="33"/>
  <c r="AU85" i="1"/>
  <c r="I1330" i="33"/>
  <c r="AT119" i="1"/>
  <c r="I1364" i="33"/>
  <c r="AT48" i="1"/>
  <c r="I1366" i="33"/>
  <c r="AT33" i="1"/>
  <c r="AO186" i="1"/>
  <c r="AQ186" i="1" s="1"/>
  <c r="AO198" i="1"/>
  <c r="AQ198" i="1" s="1"/>
  <c r="AO275" i="1"/>
  <c r="AQ275" i="1" s="1"/>
  <c r="J1431" i="33"/>
  <c r="AU226" i="1"/>
  <c r="AO247" i="1"/>
  <c r="AQ247" i="1" s="1"/>
  <c r="J1447" i="33"/>
  <c r="AU155" i="1"/>
  <c r="J1457" i="33"/>
  <c r="AU83" i="1"/>
  <c r="AO87" i="1"/>
  <c r="AQ87" i="1" s="1"/>
  <c r="AO120" i="1"/>
  <c r="AQ120" i="1" s="1"/>
  <c r="AO211" i="1"/>
  <c r="AQ211" i="1" s="1"/>
  <c r="AO185" i="1"/>
  <c r="AQ185" i="1" s="1"/>
  <c r="J1534" i="33"/>
  <c r="AU252" i="1"/>
  <c r="J1547" i="33"/>
  <c r="AU224" i="1"/>
  <c r="I1190" i="33"/>
  <c r="AT72" i="1"/>
  <c r="AO178" i="1"/>
  <c r="AQ178" i="1" s="1"/>
  <c r="J1591" i="33"/>
  <c r="AU258" i="1"/>
  <c r="AO164" i="1"/>
  <c r="AQ164" i="1" s="1"/>
  <c r="J1603" i="33"/>
  <c r="AU202" i="1"/>
  <c r="AO188" i="1"/>
  <c r="AQ188" i="1" s="1"/>
  <c r="J1656" i="33"/>
  <c r="AU269" i="1"/>
  <c r="AO163" i="1"/>
  <c r="AQ163" i="1" s="1"/>
  <c r="AO264" i="1"/>
  <c r="AQ264" i="1" s="1"/>
  <c r="J1696" i="33"/>
  <c r="AU235" i="1"/>
  <c r="AO227" i="1"/>
  <c r="AQ227" i="1" s="1"/>
  <c r="J1712" i="33"/>
  <c r="AU320" i="1"/>
  <c r="AO332" i="1"/>
  <c r="AQ332" i="1" s="1"/>
  <c r="AO272" i="1"/>
  <c r="AQ272" i="1" s="1"/>
  <c r="AO331" i="1"/>
  <c r="AQ331" i="1" s="1"/>
  <c r="AO325" i="1"/>
  <c r="AQ325" i="1" s="1"/>
  <c r="J1784" i="33"/>
  <c r="AU273" i="1"/>
  <c r="AO180" i="1"/>
  <c r="AQ180" i="1" s="1"/>
  <c r="J1788" i="33"/>
  <c r="AU360" i="1"/>
  <c r="J1824" i="33"/>
  <c r="AU367" i="1"/>
  <c r="J1838" i="33"/>
  <c r="AU354" i="1"/>
  <c r="J1842" i="33"/>
  <c r="AU7" i="1"/>
  <c r="J1854" i="33"/>
  <c r="AU348" i="1"/>
  <c r="J1880" i="33"/>
  <c r="AU318" i="1"/>
  <c r="J1914" i="33"/>
  <c r="AU391" i="1"/>
  <c r="AO422" i="1"/>
  <c r="AQ422" i="1" s="1"/>
  <c r="J1927" i="33"/>
  <c r="AU377" i="1"/>
  <c r="J1929" i="33"/>
  <c r="AU344" i="1"/>
  <c r="AO308" i="1"/>
  <c r="AQ308" i="1" s="1"/>
  <c r="AO382" i="1"/>
  <c r="AQ382" i="1" s="1"/>
  <c r="AO385" i="1"/>
  <c r="AQ385" i="1" s="1"/>
  <c r="J1987" i="33"/>
  <c r="AU396" i="1"/>
  <c r="I2030" i="33"/>
  <c r="AT467" i="1"/>
  <c r="I2050" i="33"/>
  <c r="AT390" i="1"/>
  <c r="I2061" i="33"/>
  <c r="AT416" i="1"/>
  <c r="I2085" i="33"/>
  <c r="AT471" i="1"/>
  <c r="I2095" i="33"/>
  <c r="AT446" i="1"/>
  <c r="I2099" i="33"/>
  <c r="AT428" i="1"/>
  <c r="I2158" i="33"/>
  <c r="AT439" i="1"/>
  <c r="I2183" i="33"/>
  <c r="AT474" i="1"/>
  <c r="I2187" i="33"/>
  <c r="AT489" i="1"/>
  <c r="I2191" i="33"/>
  <c r="AT485" i="1"/>
  <c r="I2203" i="33"/>
  <c r="AT549" i="1"/>
  <c r="I2210" i="33"/>
  <c r="AT547" i="1"/>
  <c r="I2222" i="33"/>
  <c r="AT499" i="1"/>
  <c r="I2267" i="33"/>
  <c r="AT480" i="1"/>
  <c r="I2276" i="33"/>
  <c r="AT508" i="1"/>
  <c r="I2341" i="33"/>
  <c r="AT566" i="1"/>
  <c r="I2393" i="33"/>
  <c r="AT520" i="1"/>
  <c r="I2400" i="33"/>
  <c r="AT590" i="1"/>
  <c r="I2404" i="33"/>
  <c r="AT636" i="1"/>
  <c r="I2435" i="33"/>
  <c r="AT514" i="1"/>
  <c r="I2447" i="33"/>
  <c r="AT557" i="1"/>
  <c r="AO631" i="1"/>
  <c r="AQ631" i="1" s="1"/>
  <c r="AO587" i="1"/>
  <c r="AQ587" i="1" s="1"/>
  <c r="AO934" i="1"/>
  <c r="AQ934" i="1" s="1"/>
  <c r="J2507" i="33"/>
  <c r="AU601" i="1"/>
  <c r="J2531" i="33"/>
  <c r="AU665" i="1"/>
  <c r="AO737" i="1"/>
  <c r="AQ737" i="1" s="1"/>
  <c r="AO728" i="1"/>
  <c r="AQ728" i="1" s="1"/>
  <c r="AO542" i="1"/>
  <c r="AQ542" i="1" s="1"/>
  <c r="AO695" i="1"/>
  <c r="AQ695" i="1" s="1"/>
  <c r="AO734" i="1"/>
  <c r="AQ734" i="1" s="1"/>
  <c r="AO756" i="1"/>
  <c r="AQ756" i="1" s="1"/>
  <c r="J2654" i="33"/>
  <c r="AU697" i="1"/>
  <c r="J2657" i="33"/>
  <c r="AU776" i="1"/>
  <c r="J2665" i="33"/>
  <c r="AU745" i="1"/>
  <c r="AO938" i="1"/>
  <c r="AQ938" i="1" s="1"/>
  <c r="J2695" i="33"/>
  <c r="AU782" i="1"/>
  <c r="J2697" i="33"/>
  <c r="AU691" i="1"/>
  <c r="AO791" i="1"/>
  <c r="AQ791" i="1" s="1"/>
  <c r="AO1392" i="1"/>
  <c r="AQ1392" i="1" s="1"/>
  <c r="J2741" i="33"/>
  <c r="AU875" i="1"/>
  <c r="J2745" i="33"/>
  <c r="AU792" i="1"/>
  <c r="J2757" i="33"/>
  <c r="AU846" i="1"/>
  <c r="AO805" i="1"/>
  <c r="AQ805" i="1" s="1"/>
  <c r="J2774" i="33"/>
  <c r="AU762" i="1"/>
  <c r="I2837" i="33"/>
  <c r="AT1055" i="1"/>
  <c r="I2849" i="33"/>
  <c r="AT871" i="1"/>
  <c r="I2854" i="33"/>
  <c r="AT770" i="1"/>
  <c r="I2872" i="33"/>
  <c r="AT849" i="1"/>
  <c r="I2970" i="33"/>
  <c r="AT1009" i="1"/>
  <c r="AO895" i="1"/>
  <c r="AQ895" i="1" s="1"/>
  <c r="AO1010" i="1"/>
  <c r="AQ1010" i="1" s="1"/>
  <c r="AO988" i="1"/>
  <c r="AQ988" i="1" s="1"/>
  <c r="J3026" i="33"/>
  <c r="AU922" i="1"/>
  <c r="AO1007" i="1"/>
  <c r="AQ1007" i="1" s="1"/>
  <c r="AO990" i="1"/>
  <c r="AQ990" i="1" s="1"/>
  <c r="J3081" i="33"/>
  <c r="AU1074" i="1"/>
  <c r="AO884" i="1"/>
  <c r="AQ884" i="1" s="1"/>
  <c r="AO944" i="1"/>
  <c r="AQ944" i="1" s="1"/>
  <c r="J3122" i="33"/>
  <c r="AU1211" i="1"/>
  <c r="AO1017" i="1"/>
  <c r="AQ1017" i="1" s="1"/>
  <c r="J3131" i="33"/>
  <c r="AU1082" i="1"/>
  <c r="I2853" i="33"/>
  <c r="AT716" i="1"/>
  <c r="AO980" i="1"/>
  <c r="AQ980" i="1" s="1"/>
  <c r="AO1084" i="1"/>
  <c r="AQ1084" i="1" s="1"/>
  <c r="AO778" i="1"/>
  <c r="AQ778" i="1" s="1"/>
  <c r="I3175" i="33"/>
  <c r="AT1053" i="1"/>
  <c r="I3177" i="33"/>
  <c r="AT1019" i="1"/>
  <c r="I3209" i="33"/>
  <c r="AT1107" i="1"/>
  <c r="I3227" i="33"/>
  <c r="AT1068" i="1"/>
  <c r="I3248" i="33"/>
  <c r="AT1047" i="1"/>
  <c r="I3267" i="33"/>
  <c r="AT1044" i="1"/>
  <c r="I3310" i="33"/>
  <c r="AT1050" i="1"/>
  <c r="I3326" i="33"/>
  <c r="AT1080" i="1"/>
  <c r="I3341" i="33"/>
  <c r="AT1118" i="1"/>
  <c r="I3350" i="33"/>
  <c r="AT1108" i="1"/>
  <c r="I3353" i="33"/>
  <c r="AT1172" i="1"/>
  <c r="AO1040" i="1"/>
  <c r="AQ1040" i="1" s="1"/>
  <c r="J3432" i="33"/>
  <c r="AU1150" i="1"/>
  <c r="J3446" i="33"/>
  <c r="AU1193" i="1"/>
  <c r="AO1390" i="1"/>
  <c r="AQ1390" i="1" s="1"/>
  <c r="AO1138" i="1"/>
  <c r="AQ1138" i="1" s="1"/>
  <c r="I3471" i="33"/>
  <c r="AT1152" i="1"/>
  <c r="I3495" i="33"/>
  <c r="AT1164" i="1"/>
  <c r="I3507" i="33"/>
  <c r="AT1153" i="1"/>
  <c r="I3527" i="33"/>
  <c r="AT1228" i="1"/>
  <c r="I3535" i="33"/>
  <c r="AT1214" i="1"/>
  <c r="I3553" i="33"/>
  <c r="AT1257" i="1"/>
  <c r="I3573" i="33"/>
  <c r="AT1229" i="1"/>
  <c r="I3625" i="33"/>
  <c r="AT1315" i="1"/>
  <c r="AO1258" i="1"/>
  <c r="AQ1258" i="1" s="1"/>
  <c r="J3644" i="33"/>
  <c r="AU1339" i="1"/>
  <c r="AO1356" i="1"/>
  <c r="AQ1356" i="1" s="1"/>
  <c r="AO1402" i="1"/>
  <c r="AQ1402" i="1" s="1"/>
  <c r="AO1273" i="1"/>
  <c r="AQ1273" i="1" s="1"/>
  <c r="AO9" i="1"/>
  <c r="AQ9" i="1" s="1"/>
  <c r="AO30" i="1"/>
  <c r="AQ30" i="1" s="1"/>
  <c r="AO51" i="1"/>
  <c r="AQ51" i="1" s="1"/>
  <c r="AO78" i="1"/>
  <c r="AQ78" i="1" s="1"/>
  <c r="AO90" i="1"/>
  <c r="AQ90" i="1" s="1"/>
  <c r="AO95" i="1"/>
  <c r="AQ95" i="1" s="1"/>
  <c r="AO106" i="1"/>
  <c r="AQ106" i="1" s="1"/>
  <c r="AO122" i="1"/>
  <c r="AQ122" i="1" s="1"/>
  <c r="AO126" i="1"/>
  <c r="AQ126" i="1" s="1"/>
  <c r="AO141" i="1"/>
  <c r="AQ141" i="1" s="1"/>
  <c r="AO145" i="1"/>
  <c r="AQ145" i="1" s="1"/>
  <c r="AO176" i="1"/>
  <c r="AQ176" i="1" s="1"/>
  <c r="AO189" i="1"/>
  <c r="AQ189" i="1" s="1"/>
  <c r="AO208" i="1"/>
  <c r="AQ208" i="1" s="1"/>
  <c r="AO225" i="1"/>
  <c r="AQ225" i="1" s="1"/>
  <c r="AO230" i="1"/>
  <c r="AQ230" i="1" s="1"/>
  <c r="AO240" i="1"/>
  <c r="AQ240" i="1" s="1"/>
  <c r="AO249" i="1"/>
  <c r="AQ249" i="1" s="1"/>
  <c r="AO268" i="1"/>
  <c r="AQ268" i="1" s="1"/>
  <c r="AO284" i="1"/>
  <c r="AQ284" i="1" s="1"/>
  <c r="AO288" i="1"/>
  <c r="AQ288" i="1" s="1"/>
  <c r="AO292" i="1"/>
  <c r="AQ292" i="1" s="1"/>
  <c r="AO312" i="1"/>
  <c r="AQ312" i="1" s="1"/>
  <c r="AO317" i="1"/>
  <c r="AQ317" i="1" s="1"/>
  <c r="AO334" i="1"/>
  <c r="AQ334" i="1" s="1"/>
  <c r="AO369" i="1"/>
  <c r="AQ369" i="1" s="1"/>
  <c r="AO374" i="1"/>
  <c r="AQ374" i="1" s="1"/>
  <c r="AO406" i="1"/>
  <c r="AQ406" i="1" s="1"/>
  <c r="AO411" i="1"/>
  <c r="AQ411" i="1" s="1"/>
  <c r="AO423" i="1"/>
  <c r="AQ423" i="1" s="1"/>
  <c r="AO427" i="1"/>
  <c r="AQ427" i="1" s="1"/>
  <c r="AO432" i="1"/>
  <c r="AQ432" i="1" s="1"/>
  <c r="AO449" i="1"/>
  <c r="AQ449" i="1" s="1"/>
  <c r="AO470" i="1"/>
  <c r="AQ470" i="1" s="1"/>
  <c r="AO481" i="1"/>
  <c r="AQ481" i="1" s="1"/>
  <c r="AO486" i="1"/>
  <c r="AQ486" i="1" s="1"/>
  <c r="AO491" i="1"/>
  <c r="AQ491" i="1" s="1"/>
  <c r="AO496" i="1"/>
  <c r="AQ496" i="1" s="1"/>
  <c r="AO502" i="1"/>
  <c r="AQ502" i="1" s="1"/>
  <c r="AO506" i="1"/>
  <c r="AQ506" i="1" s="1"/>
  <c r="AO515" i="1"/>
  <c r="AQ515" i="1" s="1"/>
  <c r="AO559" i="1"/>
  <c r="AQ559" i="1" s="1"/>
  <c r="AO564" i="1"/>
  <c r="AQ564" i="1" s="1"/>
  <c r="AO574" i="1"/>
  <c r="AQ574" i="1" s="1"/>
  <c r="AO579" i="1"/>
  <c r="AQ579" i="1" s="1"/>
  <c r="AO591" i="1"/>
  <c r="AQ591" i="1" s="1"/>
  <c r="AO604" i="1"/>
  <c r="AQ604" i="1" s="1"/>
  <c r="AO619" i="1"/>
  <c r="AQ619" i="1" s="1"/>
  <c r="AO652" i="1"/>
  <c r="AQ652" i="1" s="1"/>
  <c r="AO672" i="1"/>
  <c r="AQ672" i="1" s="1"/>
  <c r="AO681" i="1"/>
  <c r="AQ681" i="1" s="1"/>
  <c r="AO702" i="1"/>
  <c r="AQ702" i="1" s="1"/>
  <c r="AO717" i="1"/>
  <c r="AQ717" i="1" s="1"/>
  <c r="AO722" i="1"/>
  <c r="AQ722" i="1" s="1"/>
  <c r="AO731" i="1"/>
  <c r="AQ731" i="1" s="1"/>
  <c r="AO700" i="1"/>
  <c r="AQ700" i="1" s="1"/>
  <c r="AO707" i="1"/>
  <c r="AQ707" i="1" s="1"/>
  <c r="AO744" i="1"/>
  <c r="AQ744" i="1" s="1"/>
  <c r="AO753" i="1"/>
  <c r="AQ753" i="1" s="1"/>
  <c r="AO784" i="1"/>
  <c r="AQ784" i="1" s="1"/>
  <c r="AO788" i="1"/>
  <c r="AQ788" i="1" s="1"/>
  <c r="AO794" i="1"/>
  <c r="AQ794" i="1" s="1"/>
  <c r="AO800" i="1"/>
  <c r="AQ800" i="1" s="1"/>
  <c r="AO852" i="1"/>
  <c r="AQ852" i="1" s="1"/>
  <c r="AO803" i="1"/>
  <c r="AQ803" i="1" s="1"/>
  <c r="AO843" i="1"/>
  <c r="AQ843" i="1" s="1"/>
  <c r="AO824" i="1"/>
  <c r="AQ824" i="1" s="1"/>
  <c r="AO828" i="1"/>
  <c r="AQ828" i="1" s="1"/>
  <c r="AO832" i="1"/>
  <c r="AQ832" i="1" s="1"/>
  <c r="AO836" i="1"/>
  <c r="AQ836" i="1" s="1"/>
  <c r="AO872" i="1"/>
  <c r="AQ872" i="1" s="1"/>
  <c r="AO860" i="1"/>
  <c r="AQ860" i="1" s="1"/>
  <c r="AO949" i="1"/>
  <c r="AQ949" i="1" s="1"/>
  <c r="AO1133" i="1"/>
  <c r="AQ1133" i="1" s="1"/>
  <c r="AO926" i="1"/>
  <c r="AQ926" i="1" s="1"/>
  <c r="AO907" i="1"/>
  <c r="AQ907" i="1" s="1"/>
  <c r="AO984" i="1"/>
  <c r="AQ984" i="1" s="1"/>
  <c r="AO985" i="1"/>
  <c r="AQ985" i="1" s="1"/>
  <c r="AO986" i="1"/>
  <c r="AQ986" i="1" s="1"/>
  <c r="AO995" i="1"/>
  <c r="AQ995" i="1" s="1"/>
  <c r="AO1030" i="1"/>
  <c r="AQ1030" i="1" s="1"/>
  <c r="AO1159" i="1"/>
  <c r="AQ1159" i="1" s="1"/>
  <c r="AO1110" i="1"/>
  <c r="AQ1110" i="1" s="1"/>
  <c r="AO1130" i="1"/>
  <c r="AQ1130" i="1" s="1"/>
  <c r="AO1129" i="1"/>
  <c r="AQ1129" i="1" s="1"/>
  <c r="AO1092" i="1"/>
  <c r="AQ1092" i="1" s="1"/>
  <c r="AO1091" i="1"/>
  <c r="AQ1091" i="1" s="1"/>
  <c r="AO1186" i="1"/>
  <c r="AQ1186" i="1" s="1"/>
  <c r="AO1185" i="1"/>
  <c r="AQ1185" i="1" s="1"/>
  <c r="AO1111" i="1"/>
  <c r="AQ1111" i="1" s="1"/>
  <c r="AO1154" i="1"/>
  <c r="AQ1154" i="1" s="1"/>
  <c r="AO1158" i="1"/>
  <c r="AQ1158" i="1" s="1"/>
  <c r="AO1189" i="1"/>
  <c r="AQ1189" i="1" s="1"/>
  <c r="AO1188" i="1"/>
  <c r="AQ1188" i="1" s="1"/>
  <c r="AO1187" i="1"/>
  <c r="AQ1187" i="1" s="1"/>
  <c r="AO1151" i="1"/>
  <c r="AQ1151" i="1" s="1"/>
  <c r="AO1169" i="1"/>
  <c r="AQ1169" i="1" s="1"/>
  <c r="AO1242" i="1"/>
  <c r="AQ1242" i="1" s="1"/>
  <c r="AO1303" i="1"/>
  <c r="AQ1303" i="1" s="1"/>
  <c r="AO1209" i="1"/>
  <c r="AQ1209" i="1" s="1"/>
  <c r="AO1283" i="1"/>
  <c r="AQ1283" i="1" s="1"/>
  <c r="AO1328" i="1"/>
  <c r="AQ1328" i="1" s="1"/>
  <c r="AO1313" i="1"/>
  <c r="AQ1313" i="1" s="1"/>
  <c r="AO1314" i="1"/>
  <c r="AQ1314" i="1" s="1"/>
  <c r="AO1288" i="1"/>
  <c r="AQ1288" i="1" s="1"/>
  <c r="AO1289" i="1"/>
  <c r="AQ1289" i="1" s="1"/>
  <c r="AO1290" i="1"/>
  <c r="AQ1290" i="1" s="1"/>
  <c r="AO1291" i="1"/>
  <c r="AQ1291" i="1" s="1"/>
  <c r="AO1293" i="1"/>
  <c r="AQ1293" i="1" s="1"/>
  <c r="AO1294" i="1"/>
  <c r="AQ1294" i="1" s="1"/>
  <c r="AO1295" i="1"/>
  <c r="AQ1295" i="1" s="1"/>
  <c r="AO1296" i="1"/>
  <c r="AQ1296" i="1" s="1"/>
  <c r="AO1367" i="1"/>
  <c r="AQ1367" i="1" s="1"/>
  <c r="AO1364" i="1"/>
  <c r="AQ1364" i="1" s="1"/>
  <c r="AO1408" i="1"/>
  <c r="AQ1408" i="1" s="1"/>
  <c r="AO1412" i="1"/>
  <c r="AQ1412" i="1" s="1"/>
  <c r="AO1416" i="1"/>
  <c r="AQ1416" i="1" s="1"/>
  <c r="AO1387" i="1"/>
  <c r="AQ1387" i="1" s="1"/>
  <c r="AO1318" i="1"/>
  <c r="AQ1318" i="1" s="1"/>
  <c r="AO1429" i="1"/>
  <c r="AQ1429" i="1" s="1"/>
  <c r="J1134" i="33"/>
  <c r="AU19" i="1"/>
  <c r="J1144" i="33"/>
  <c r="AU50" i="1"/>
  <c r="J1149" i="33"/>
  <c r="AU100" i="1"/>
  <c r="J1164" i="33"/>
  <c r="AU29" i="1"/>
  <c r="I1186" i="33"/>
  <c r="AT58" i="1"/>
  <c r="J1206" i="33"/>
  <c r="AU35" i="1"/>
  <c r="AO71" i="1"/>
  <c r="AQ71" i="1" s="1"/>
  <c r="I1238" i="33"/>
  <c r="AT8" i="1"/>
  <c r="I1241" i="33"/>
  <c r="AT23" i="1"/>
  <c r="I1247" i="33"/>
  <c r="AT45" i="1"/>
  <c r="J1248" i="33"/>
  <c r="AU80" i="1"/>
  <c r="AO193" i="1"/>
  <c r="AQ193" i="1" s="1"/>
  <c r="J1368" i="33"/>
  <c r="AU34" i="1"/>
  <c r="I1381" i="33"/>
  <c r="AT127" i="1"/>
  <c r="I1383" i="33"/>
  <c r="AT47" i="1"/>
  <c r="I1407" i="33"/>
  <c r="AT150" i="1"/>
  <c r="I1417" i="33"/>
  <c r="AT183" i="1"/>
  <c r="I1463" i="33"/>
  <c r="AT168" i="1"/>
  <c r="I1515" i="33"/>
  <c r="AT165" i="1"/>
  <c r="I1545" i="33"/>
  <c r="AT204" i="1"/>
  <c r="I1551" i="33"/>
  <c r="AT15" i="1"/>
  <c r="J1188" i="33"/>
  <c r="AU72" i="1"/>
  <c r="I1605" i="33"/>
  <c r="AT244" i="1"/>
  <c r="I1624" i="33"/>
  <c r="AT280" i="1"/>
  <c r="I1639" i="33"/>
  <c r="AT237" i="1"/>
  <c r="I1655" i="33"/>
  <c r="AT257" i="1"/>
  <c r="I1661" i="33"/>
  <c r="AT281" i="1"/>
  <c r="I1683" i="33"/>
  <c r="AT233" i="1"/>
  <c r="I1709" i="33"/>
  <c r="AT296" i="1"/>
  <c r="I1753" i="33"/>
  <c r="AT294" i="1"/>
  <c r="I1826" i="33"/>
  <c r="AT342" i="1"/>
  <c r="I1835" i="33"/>
  <c r="AT304" i="1"/>
  <c r="I1843" i="33"/>
  <c r="AT381" i="1"/>
  <c r="I1857" i="33"/>
  <c r="AT409" i="1"/>
  <c r="I1869" i="33"/>
  <c r="AT327" i="1"/>
  <c r="I1896" i="33"/>
  <c r="AT359" i="1"/>
  <c r="I1899" i="33"/>
  <c r="AT410" i="1"/>
  <c r="I1947" i="33"/>
  <c r="AT345" i="1"/>
  <c r="I1972" i="33"/>
  <c r="AT323" i="1"/>
  <c r="I1980" i="33"/>
  <c r="AT376" i="1"/>
  <c r="I1995" i="33"/>
  <c r="AT375" i="1"/>
  <c r="AO413" i="1"/>
  <c r="AQ413" i="1" s="1"/>
  <c r="AO355" i="1"/>
  <c r="AQ355" i="1" s="1"/>
  <c r="AO397" i="1"/>
  <c r="AQ397" i="1" s="1"/>
  <c r="AO421" i="1"/>
  <c r="AQ421" i="1" s="1"/>
  <c r="J2030" i="33"/>
  <c r="AU467" i="1"/>
  <c r="J2050" i="33"/>
  <c r="AU390" i="1"/>
  <c r="AO324" i="1"/>
  <c r="AQ324" i="1" s="1"/>
  <c r="J2061" i="33"/>
  <c r="AU416" i="1"/>
  <c r="J2072" i="33"/>
  <c r="AU437" i="1"/>
  <c r="J2085" i="33"/>
  <c r="AU471" i="1"/>
  <c r="J2095" i="33"/>
  <c r="AU446" i="1"/>
  <c r="J2099" i="33"/>
  <c r="AU428" i="1"/>
  <c r="J2121" i="33"/>
  <c r="AU438" i="1"/>
  <c r="AO517" i="1"/>
  <c r="AQ517" i="1" s="1"/>
  <c r="AO441" i="1"/>
  <c r="AQ441" i="1" s="1"/>
  <c r="J2161" i="33"/>
  <c r="AU439" i="1"/>
  <c r="AO490" i="1"/>
  <c r="AQ490" i="1" s="1"/>
  <c r="AO451" i="1"/>
  <c r="AQ451" i="1" s="1"/>
  <c r="AO476" i="1"/>
  <c r="AQ476" i="1" s="1"/>
  <c r="AO492" i="1"/>
  <c r="AQ492" i="1" s="1"/>
  <c r="J2187" i="33"/>
  <c r="AU489" i="1"/>
  <c r="J2191" i="33"/>
  <c r="AU485" i="1"/>
  <c r="AO535" i="1"/>
  <c r="AQ535" i="1" s="1"/>
  <c r="J2212" i="33"/>
  <c r="AU547" i="1"/>
  <c r="AO461" i="1"/>
  <c r="AQ461" i="1" s="1"/>
  <c r="AO538" i="1"/>
  <c r="AQ538" i="1" s="1"/>
  <c r="J2222" i="33"/>
  <c r="AU499" i="1"/>
  <c r="AO553" i="1"/>
  <c r="AQ553" i="1" s="1"/>
  <c r="AO540" i="1"/>
  <c r="AQ540" i="1" s="1"/>
  <c r="J2267" i="33"/>
  <c r="AU480" i="1"/>
  <c r="AO522" i="1"/>
  <c r="AQ522" i="1" s="1"/>
  <c r="J2278" i="33"/>
  <c r="AU508" i="1"/>
  <c r="AO554" i="1"/>
  <c r="AQ554" i="1" s="1"/>
  <c r="AO531" i="1"/>
  <c r="AQ531" i="1" s="1"/>
  <c r="J2341" i="33"/>
  <c r="AU566" i="1"/>
  <c r="J2343" i="33"/>
  <c r="AU589" i="1"/>
  <c r="AO527" i="1"/>
  <c r="AQ527" i="1" s="1"/>
  <c r="AO612" i="1"/>
  <c r="AQ612" i="1" s="1"/>
  <c r="AO501" i="1"/>
  <c r="AQ501" i="1" s="1"/>
  <c r="AO494" i="1"/>
  <c r="AQ494" i="1" s="1"/>
  <c r="J2393" i="33"/>
  <c r="AU520" i="1"/>
  <c r="AO633" i="1"/>
  <c r="AQ633" i="1" s="1"/>
  <c r="J2405" i="33"/>
  <c r="AU636" i="1"/>
  <c r="J2414" i="33"/>
  <c r="AU611" i="1"/>
  <c r="AO448" i="1"/>
  <c r="AQ448" i="1" s="1"/>
  <c r="AO632" i="1"/>
  <c r="AQ632" i="1" s="1"/>
  <c r="J2435" i="33"/>
  <c r="AU514" i="1"/>
  <c r="J2437" i="33"/>
  <c r="AU608" i="1"/>
  <c r="AO634" i="1"/>
  <c r="AQ634" i="1" s="1"/>
  <c r="J2447" i="33"/>
  <c r="AU557" i="1"/>
  <c r="J2462" i="33"/>
  <c r="AU662" i="1"/>
  <c r="I2516" i="33"/>
  <c r="AT584" i="1"/>
  <c r="I2527" i="33"/>
  <c r="AT657" i="1"/>
  <c r="I2595" i="33"/>
  <c r="AT739" i="1"/>
  <c r="I2602" i="33"/>
  <c r="AT1083" i="1"/>
  <c r="I2620" i="33"/>
  <c r="AT709" i="1"/>
  <c r="I2622" i="33"/>
  <c r="AT640" i="1"/>
  <c r="I2670" i="33"/>
  <c r="AT817" i="1"/>
  <c r="I2682" i="33"/>
  <c r="AT809" i="1"/>
  <c r="I2694" i="33"/>
  <c r="AT1085" i="1"/>
  <c r="I2720" i="33"/>
  <c r="AT645" i="1"/>
  <c r="I2725" i="33"/>
  <c r="AT669" i="1"/>
  <c r="I2742" i="33"/>
  <c r="AT807" i="1"/>
  <c r="I2748" i="33"/>
  <c r="AT767" i="1"/>
  <c r="I2750" i="33"/>
  <c r="AT822" i="1"/>
  <c r="I2755" i="33"/>
  <c r="AT777" i="1"/>
  <c r="I2760" i="33"/>
  <c r="AT796" i="1"/>
  <c r="I2764" i="33"/>
  <c r="AT797" i="1"/>
  <c r="J2805" i="33"/>
  <c r="AU981" i="1"/>
  <c r="AO687" i="1"/>
  <c r="AQ687" i="1" s="1"/>
  <c r="AO1058" i="1"/>
  <c r="AQ1058" i="1" s="1"/>
  <c r="J2836" i="33"/>
  <c r="AU1055" i="1"/>
  <c r="J2850" i="33"/>
  <c r="AU871" i="1"/>
  <c r="J2854" i="33"/>
  <c r="AU770" i="1"/>
  <c r="AO905" i="1"/>
  <c r="AQ905" i="1" s="1"/>
  <c r="J2872" i="33"/>
  <c r="AU849" i="1"/>
  <c r="AO865" i="1"/>
  <c r="AQ865" i="1" s="1"/>
  <c r="AO1006" i="1"/>
  <c r="AQ1006" i="1" s="1"/>
  <c r="AO959" i="1"/>
  <c r="AQ959" i="1" s="1"/>
  <c r="J2969" i="33"/>
  <c r="AU1009" i="1"/>
  <c r="AO896" i="1"/>
  <c r="AQ896" i="1" s="1"/>
  <c r="AO863" i="1"/>
  <c r="AQ863" i="1" s="1"/>
  <c r="I3027" i="33"/>
  <c r="AT1090" i="1"/>
  <c r="I3031" i="33"/>
  <c r="AT862" i="1"/>
  <c r="I3053" i="33"/>
  <c r="AT987" i="1"/>
  <c r="I3054" i="33"/>
  <c r="AT1102" i="1"/>
  <c r="I3059" i="33"/>
  <c r="AT965" i="1"/>
  <c r="I3085" i="33"/>
  <c r="AT1011" i="1"/>
  <c r="J2853" i="33"/>
  <c r="AU716" i="1"/>
  <c r="I3146" i="33"/>
  <c r="AT963" i="1"/>
  <c r="I3148" i="33"/>
  <c r="AT962" i="1"/>
  <c r="J3175" i="33"/>
  <c r="AU1053" i="1"/>
  <c r="J3177" i="33"/>
  <c r="AU1019" i="1"/>
  <c r="J3209" i="33"/>
  <c r="AU1107" i="1"/>
  <c r="J3224" i="33"/>
  <c r="AU1068" i="1"/>
  <c r="J3251" i="33"/>
  <c r="AU1047" i="1"/>
  <c r="J3273" i="33"/>
  <c r="AU1044" i="1"/>
  <c r="AO1095" i="1"/>
  <c r="AQ1095" i="1" s="1"/>
  <c r="J3282" i="33"/>
  <c r="AU978" i="1"/>
  <c r="AO1255" i="1"/>
  <c r="AQ1255" i="1" s="1"/>
  <c r="J3309" i="33"/>
  <c r="AU1050" i="1"/>
  <c r="AO1022" i="1"/>
  <c r="AQ1022" i="1" s="1"/>
  <c r="J3329" i="33"/>
  <c r="AU1080" i="1"/>
  <c r="AO1115" i="1"/>
  <c r="AQ1115" i="1" s="1"/>
  <c r="J3353" i="33"/>
  <c r="AU1172" i="1"/>
  <c r="I3360" i="33"/>
  <c r="AT1160" i="1"/>
  <c r="AO999" i="1"/>
  <c r="AQ999" i="1" s="1"/>
  <c r="J3370" i="33"/>
  <c r="AU1168" i="1"/>
  <c r="AO1033" i="1"/>
  <c r="AQ1033" i="1" s="1"/>
  <c r="AO1238" i="1"/>
  <c r="AQ1238" i="1" s="1"/>
  <c r="AO1036" i="1"/>
  <c r="AQ1036" i="1" s="1"/>
  <c r="AO1278" i="1"/>
  <c r="AQ1278" i="1" s="1"/>
  <c r="I3403" i="33"/>
  <c r="AT1157" i="1"/>
  <c r="I3408" i="33"/>
  <c r="AT1237" i="1"/>
  <c r="I3411" i="33"/>
  <c r="AT1246" i="1"/>
  <c r="AO1260" i="1"/>
  <c r="AQ1260" i="1" s="1"/>
  <c r="J3495" i="33"/>
  <c r="AU1164" i="1"/>
  <c r="AO1165" i="1"/>
  <c r="AQ1165" i="1" s="1"/>
  <c r="AO1140" i="1"/>
  <c r="AQ1140" i="1" s="1"/>
  <c r="AO1201" i="1"/>
  <c r="AQ1201" i="1" s="1"/>
  <c r="J3527" i="33"/>
  <c r="AU1228" i="1"/>
  <c r="AO1269" i="1"/>
  <c r="AQ1269" i="1" s="1"/>
  <c r="J3555" i="33"/>
  <c r="AU1257" i="1"/>
  <c r="J3573" i="33"/>
  <c r="AU1229" i="1"/>
  <c r="AO1020" i="1"/>
  <c r="AQ1020" i="1" s="1"/>
  <c r="AO1217" i="1"/>
  <c r="AQ1217" i="1" s="1"/>
  <c r="I3641" i="33"/>
  <c r="AT1330" i="1"/>
  <c r="AO263" i="1"/>
  <c r="AQ263" i="1" s="1"/>
  <c r="AO307" i="1"/>
  <c r="AQ307" i="1" s="1"/>
  <c r="AO329" i="1"/>
  <c r="AQ329" i="1" s="1"/>
  <c r="AO386" i="1"/>
  <c r="AQ386" i="1" s="1"/>
  <c r="AO466" i="1"/>
  <c r="AQ466" i="1" s="1"/>
  <c r="AO570" i="1"/>
  <c r="AQ570" i="1" s="1"/>
  <c r="AO609" i="1"/>
  <c r="AQ609" i="1" s="1"/>
  <c r="AO630" i="1"/>
  <c r="AQ630" i="1" s="1"/>
  <c r="AO667" i="1"/>
  <c r="AQ667" i="1" s="1"/>
  <c r="AO727" i="1"/>
  <c r="AQ727" i="1" s="1"/>
  <c r="AO663" i="1"/>
  <c r="AQ663" i="1" s="1"/>
  <c r="AO692" i="1"/>
  <c r="AQ692" i="1" s="1"/>
  <c r="AO741" i="1"/>
  <c r="AQ741" i="1" s="1"/>
  <c r="AO761" i="1"/>
  <c r="AQ761" i="1" s="1"/>
  <c r="AO749" i="1"/>
  <c r="AQ749" i="1" s="1"/>
  <c r="AO769" i="1"/>
  <c r="AQ769" i="1" s="1"/>
  <c r="AO774" i="1"/>
  <c r="AQ774" i="1" s="1"/>
  <c r="AO780" i="1"/>
  <c r="AQ780" i="1" s="1"/>
  <c r="AO847" i="1"/>
  <c r="AQ847" i="1" s="1"/>
  <c r="AO816" i="1"/>
  <c r="AQ816" i="1" s="1"/>
  <c r="AO901" i="1"/>
  <c r="AQ901" i="1" s="1"/>
  <c r="AO877" i="1"/>
  <c r="AQ877" i="1" s="1"/>
  <c r="AO819" i="1"/>
  <c r="AQ819" i="1" s="1"/>
  <c r="AO812" i="1"/>
  <c r="AQ812" i="1" s="1"/>
  <c r="AO868" i="1"/>
  <c r="AQ868" i="1" s="1"/>
  <c r="AO894" i="1"/>
  <c r="AQ894" i="1" s="1"/>
  <c r="AO1002" i="1"/>
  <c r="AQ1002" i="1" s="1"/>
  <c r="AO904" i="1"/>
  <c r="AQ904" i="1" s="1"/>
  <c r="AO1067" i="1"/>
  <c r="AQ1067" i="1" s="1"/>
  <c r="AO1163" i="1"/>
  <c r="AQ1163" i="1" s="1"/>
  <c r="AO953" i="1"/>
  <c r="AQ953" i="1" s="1"/>
  <c r="AO891" i="1"/>
  <c r="AQ891" i="1" s="1"/>
  <c r="AO1202" i="1"/>
  <c r="AQ1202" i="1" s="1"/>
  <c r="AO911" i="1"/>
  <c r="AQ911" i="1" s="1"/>
  <c r="AO936" i="1"/>
  <c r="AQ936" i="1" s="1"/>
  <c r="AO1232" i="1"/>
  <c r="AQ1232" i="1" s="1"/>
  <c r="AO880" i="1"/>
  <c r="AQ880" i="1" s="1"/>
  <c r="AO1120" i="1"/>
  <c r="AQ1120" i="1" s="1"/>
  <c r="AO1070" i="1"/>
  <c r="AQ1070" i="1" s="1"/>
  <c r="AO1021" i="1"/>
  <c r="AQ1021" i="1" s="1"/>
  <c r="AO1106" i="1"/>
  <c r="AQ1106" i="1" s="1"/>
  <c r="AO1105" i="1"/>
  <c r="AQ1105" i="1" s="1"/>
  <c r="AO1099" i="1"/>
  <c r="AQ1099" i="1" s="1"/>
  <c r="AO1094" i="1"/>
  <c r="AQ1094" i="1" s="1"/>
  <c r="AO1098" i="1"/>
  <c r="AQ1098" i="1" s="1"/>
  <c r="AO1093" i="1"/>
  <c r="AQ1093" i="1" s="1"/>
  <c r="AO1097" i="1"/>
  <c r="AQ1097" i="1" s="1"/>
  <c r="AO1191" i="1"/>
  <c r="AQ1191" i="1" s="1"/>
  <c r="AO1176" i="1"/>
  <c r="AQ1176" i="1" s="1"/>
  <c r="AO1184" i="1"/>
  <c r="AQ1184" i="1" s="1"/>
  <c r="AO1241" i="1"/>
  <c r="AQ1241" i="1" s="1"/>
  <c r="AO1227" i="1"/>
  <c r="AQ1227" i="1" s="1"/>
  <c r="AO1221" i="1"/>
  <c r="AQ1221" i="1" s="1"/>
  <c r="AO1210" i="1"/>
  <c r="AQ1210" i="1" s="1"/>
  <c r="AO1230" i="1"/>
  <c r="AQ1230" i="1" s="1"/>
  <c r="AO1231" i="1"/>
  <c r="AQ1231" i="1" s="1"/>
  <c r="AO1274" i="1"/>
  <c r="AQ1274" i="1" s="1"/>
  <c r="AO1375" i="1"/>
  <c r="AQ1375" i="1" s="1"/>
  <c r="AO1374" i="1"/>
  <c r="AQ1374" i="1" s="1"/>
  <c r="AO1409" i="1"/>
  <c r="AQ1409" i="1" s="1"/>
  <c r="AO1413" i="1"/>
  <c r="AQ1413" i="1" s="1"/>
  <c r="AO1417" i="1"/>
  <c r="AQ1417" i="1" s="1"/>
  <c r="AO1397" i="1"/>
  <c r="AQ1397" i="1" s="1"/>
  <c r="AO1393" i="1"/>
  <c r="AQ1393" i="1" s="1"/>
  <c r="AO1386" i="1"/>
  <c r="AQ1386" i="1" s="1"/>
  <c r="AO27" i="1"/>
  <c r="AQ27" i="1" s="1"/>
  <c r="AO10" i="1"/>
  <c r="AQ10" i="1" s="1"/>
  <c r="AO26" i="1"/>
  <c r="AQ26" i="1" s="1"/>
  <c r="J1183" i="33"/>
  <c r="AU58" i="1"/>
  <c r="AO3" i="1"/>
  <c r="AQ3" i="1" s="1"/>
  <c r="I1150" i="33"/>
  <c r="AT93" i="1"/>
  <c r="I1216" i="33"/>
  <c r="AT98" i="1"/>
  <c r="AO5" i="1"/>
  <c r="AQ5" i="1" s="1"/>
  <c r="J1239" i="33"/>
  <c r="AU8" i="1"/>
  <c r="J1244" i="33"/>
  <c r="AU45" i="1"/>
  <c r="AO113" i="1"/>
  <c r="AQ113" i="1" s="1"/>
  <c r="AO102" i="1"/>
  <c r="AQ102" i="1" s="1"/>
  <c r="AO85" i="1"/>
  <c r="AQ85" i="1" s="1"/>
  <c r="I1334" i="33"/>
  <c r="AT195" i="1"/>
  <c r="AO49" i="1"/>
  <c r="AQ49" i="1" s="1"/>
  <c r="J1381" i="33"/>
  <c r="AU127" i="1"/>
  <c r="J1383" i="33"/>
  <c r="AU47" i="1"/>
  <c r="AO128" i="1"/>
  <c r="AQ128" i="1" s="1"/>
  <c r="AO151" i="1"/>
  <c r="AQ151" i="1" s="1"/>
  <c r="AO110" i="1"/>
  <c r="AQ110" i="1" s="1"/>
  <c r="AO135" i="1"/>
  <c r="AQ135" i="1" s="1"/>
  <c r="J1407" i="33"/>
  <c r="AU150" i="1"/>
  <c r="J1417" i="33"/>
  <c r="AU183" i="1"/>
  <c r="AO226" i="1"/>
  <c r="AQ226" i="1" s="1"/>
  <c r="AO84" i="1"/>
  <c r="AQ84" i="1" s="1"/>
  <c r="AO155" i="1"/>
  <c r="AQ155" i="1" s="1"/>
  <c r="AO83" i="1"/>
  <c r="AQ83" i="1" s="1"/>
  <c r="AO187" i="1"/>
  <c r="AQ187" i="1" s="1"/>
  <c r="J1515" i="33"/>
  <c r="AU165" i="1"/>
  <c r="AO252" i="1"/>
  <c r="AQ252" i="1" s="1"/>
  <c r="AO224" i="1"/>
  <c r="AQ224" i="1" s="1"/>
  <c r="J1552" i="33"/>
  <c r="AU15" i="1"/>
  <c r="AO258" i="1"/>
  <c r="AQ258" i="1" s="1"/>
  <c r="AO202" i="1"/>
  <c r="AQ202" i="1" s="1"/>
  <c r="J1607" i="33"/>
  <c r="AU244" i="1"/>
  <c r="J1609" i="33"/>
  <c r="AU232" i="1"/>
  <c r="J1611" i="33"/>
  <c r="AU182" i="1"/>
  <c r="J1625" i="33"/>
  <c r="AU280" i="1"/>
  <c r="J1639" i="33"/>
  <c r="AU237" i="1"/>
  <c r="AO269" i="1"/>
  <c r="AQ269" i="1" s="1"/>
  <c r="J1683" i="33"/>
  <c r="AU233" i="1"/>
  <c r="AO235" i="1"/>
  <c r="AQ235" i="1" s="1"/>
  <c r="J1709" i="33"/>
  <c r="AU296" i="1"/>
  <c r="J1710" i="33"/>
  <c r="AU279" i="1"/>
  <c r="AO320" i="1"/>
  <c r="AQ320" i="1" s="1"/>
  <c r="J1753" i="33"/>
  <c r="AU294" i="1"/>
  <c r="AO273" i="1"/>
  <c r="AQ273" i="1" s="1"/>
  <c r="AO360" i="1"/>
  <c r="AQ360" i="1" s="1"/>
  <c r="J1794" i="33"/>
  <c r="AU379" i="1"/>
  <c r="AO313" i="1"/>
  <c r="AQ313" i="1" s="1"/>
  <c r="J1821" i="33"/>
  <c r="AU536" i="1"/>
  <c r="AO367" i="1"/>
  <c r="AQ367" i="1" s="1"/>
  <c r="J1837" i="33"/>
  <c r="AU304" i="1"/>
  <c r="AO354" i="1"/>
  <c r="AQ354" i="1" s="1"/>
  <c r="J1840" i="33"/>
  <c r="AU306" i="1"/>
  <c r="AO7" i="1"/>
  <c r="AQ7" i="1" s="1"/>
  <c r="AO348" i="1"/>
  <c r="AQ348" i="1" s="1"/>
  <c r="J1855" i="33"/>
  <c r="AU409" i="1"/>
  <c r="AO309" i="1"/>
  <c r="AQ309" i="1" s="1"/>
  <c r="J1869" i="33"/>
  <c r="AU327" i="1"/>
  <c r="AO371" i="1"/>
  <c r="AQ371" i="1" s="1"/>
  <c r="AO318" i="1"/>
  <c r="AQ318" i="1" s="1"/>
  <c r="J1895" i="33"/>
  <c r="AU359" i="1"/>
  <c r="J1899" i="33"/>
  <c r="AU410" i="1"/>
  <c r="AO391" i="1"/>
  <c r="AQ391" i="1" s="1"/>
  <c r="AO377" i="1"/>
  <c r="AQ377" i="1" s="1"/>
  <c r="AO344" i="1"/>
  <c r="AQ344" i="1" s="1"/>
  <c r="J1949" i="33"/>
  <c r="AU345" i="1"/>
  <c r="AO398" i="1"/>
  <c r="AQ398" i="1" s="1"/>
  <c r="AO322" i="1"/>
  <c r="AQ322" i="1" s="1"/>
  <c r="J1981" i="33"/>
  <c r="AU376" i="1"/>
  <c r="AO396" i="1"/>
  <c r="AQ396" i="1" s="1"/>
  <c r="J1995" i="33"/>
  <c r="AU375" i="1"/>
  <c r="I2059" i="33"/>
  <c r="AT417" i="1"/>
  <c r="I2093" i="33"/>
  <c r="AT452" i="1"/>
  <c r="I2097" i="33"/>
  <c r="AT459" i="1"/>
  <c r="I2112" i="33"/>
  <c r="AT450" i="1"/>
  <c r="I2117" i="33"/>
  <c r="AT430" i="1"/>
  <c r="I2149" i="33"/>
  <c r="AT472" i="1"/>
  <c r="I2152" i="33"/>
  <c r="AT458" i="1"/>
  <c r="I2156" i="33"/>
  <c r="AT484" i="1"/>
  <c r="I2194" i="33"/>
  <c r="AT500" i="1"/>
  <c r="I2200" i="33"/>
  <c r="AT565" i="1"/>
  <c r="I1874" i="33"/>
  <c r="AT347" i="1"/>
  <c r="I2289" i="33"/>
  <c r="AT563" i="1"/>
  <c r="I2295" i="33"/>
  <c r="AT530" i="1"/>
  <c r="I2315" i="33"/>
  <c r="AT572" i="1"/>
  <c r="I2367" i="33"/>
  <c r="AT593" i="1"/>
  <c r="I2374" i="33"/>
  <c r="AT580" i="1"/>
  <c r="I2387" i="33"/>
  <c r="AT642" i="1"/>
  <c r="I2392" i="33"/>
  <c r="AT586" i="1"/>
  <c r="I2440" i="33"/>
  <c r="AT668" i="1"/>
  <c r="AO601" i="1"/>
  <c r="AQ601" i="1" s="1"/>
  <c r="J2516" i="33"/>
  <c r="AU584" i="1"/>
  <c r="J2530" i="33"/>
  <c r="AU657" i="1"/>
  <c r="AO665" i="1"/>
  <c r="AQ665" i="1" s="1"/>
  <c r="J2593" i="33"/>
  <c r="AU680" i="1"/>
  <c r="J2596" i="33"/>
  <c r="AU739" i="1"/>
  <c r="J2602" i="33"/>
  <c r="AU1083" i="1"/>
  <c r="J2620" i="33"/>
  <c r="AU709" i="1"/>
  <c r="J2622" i="33"/>
  <c r="AU640" i="1"/>
  <c r="J2636" i="33"/>
  <c r="AU628" i="1"/>
  <c r="AO637" i="1"/>
  <c r="AQ637" i="1" s="1"/>
  <c r="AO697" i="1"/>
  <c r="AQ697" i="1" s="1"/>
  <c r="AO776" i="1"/>
  <c r="AQ776" i="1" s="1"/>
  <c r="AO745" i="1"/>
  <c r="AQ745" i="1" s="1"/>
  <c r="AO789" i="1"/>
  <c r="AQ789" i="1" s="1"/>
  <c r="J2670" i="33"/>
  <c r="AU817" i="1"/>
  <c r="AO840" i="1"/>
  <c r="AQ840" i="1" s="1"/>
  <c r="J2680" i="33"/>
  <c r="AU670" i="1"/>
  <c r="J2682" i="33"/>
  <c r="AU809" i="1"/>
  <c r="AO782" i="1"/>
  <c r="AQ782" i="1" s="1"/>
  <c r="AO691" i="1"/>
  <c r="AQ691" i="1" s="1"/>
  <c r="J2718" i="33"/>
  <c r="AU679" i="1"/>
  <c r="J2719" i="33"/>
  <c r="AU645" i="1"/>
  <c r="AO686" i="1"/>
  <c r="AQ686" i="1" s="1"/>
  <c r="AO875" i="1"/>
  <c r="AQ875" i="1" s="1"/>
  <c r="J2742" i="33"/>
  <c r="AU807" i="1"/>
  <c r="AO792" i="1"/>
  <c r="AQ792" i="1" s="1"/>
  <c r="J2747" i="33"/>
  <c r="AU767" i="1"/>
  <c r="J2749" i="33"/>
  <c r="AU822" i="1"/>
  <c r="AO846" i="1"/>
  <c r="AQ846" i="1" s="1"/>
  <c r="J2759" i="33"/>
  <c r="AU796" i="1"/>
  <c r="J2768" i="33"/>
  <c r="AU797" i="1"/>
  <c r="AO799" i="1"/>
  <c r="AQ799" i="1" s="1"/>
  <c r="AO762" i="1"/>
  <c r="AQ762" i="1" s="1"/>
  <c r="J2777" i="33"/>
  <c r="AU952" i="1"/>
  <c r="J2788" i="33"/>
  <c r="AU877" i="1"/>
  <c r="I2798" i="33"/>
  <c r="AT837" i="1"/>
  <c r="I2847" i="33"/>
  <c r="AT923" i="1"/>
  <c r="I2860" i="33"/>
  <c r="AT886" i="1"/>
  <c r="I2873" i="33"/>
  <c r="AT810" i="1"/>
  <c r="I2893" i="33"/>
  <c r="AT1146" i="1"/>
  <c r="I2899" i="33"/>
  <c r="AT906" i="1"/>
  <c r="I2915" i="33"/>
  <c r="AT685" i="1"/>
  <c r="I2920" i="33"/>
  <c r="AT806" i="1"/>
  <c r="I2941" i="33"/>
  <c r="AT793" i="1"/>
  <c r="J3025" i="33"/>
  <c r="AU853" i="1"/>
  <c r="AO922" i="1"/>
  <c r="AQ922" i="1" s="1"/>
  <c r="J3028" i="33"/>
  <c r="AU1090" i="1"/>
  <c r="J3039" i="33"/>
  <c r="AU802" i="1"/>
  <c r="J3055" i="33"/>
  <c r="AU1102" i="1"/>
  <c r="J3059" i="33"/>
  <c r="AU965" i="1"/>
  <c r="AO1074" i="1"/>
  <c r="AQ1074" i="1" s="1"/>
  <c r="AO1211" i="1"/>
  <c r="AQ1211" i="1" s="1"/>
  <c r="AO1082" i="1"/>
  <c r="AQ1082" i="1" s="1"/>
  <c r="J3147" i="33"/>
  <c r="AU962" i="1"/>
  <c r="I3174" i="33"/>
  <c r="AT1101" i="1"/>
  <c r="I3190" i="33"/>
  <c r="AT909" i="1"/>
  <c r="I3204" i="33"/>
  <c r="AT1032" i="1"/>
  <c r="I3207" i="33"/>
  <c r="AT970" i="1"/>
  <c r="I3254" i="33"/>
  <c r="AT979" i="1"/>
  <c r="I3274" i="33"/>
  <c r="AT1131" i="1"/>
  <c r="I3291" i="33"/>
  <c r="AT1045" i="1"/>
  <c r="I3306" i="33"/>
  <c r="AT1166" i="1"/>
  <c r="I3308" i="33"/>
  <c r="AT1029" i="1"/>
  <c r="I3318" i="33"/>
  <c r="AT1023" i="1"/>
  <c r="I3322" i="33"/>
  <c r="AT1024" i="1"/>
  <c r="I3324" i="33"/>
  <c r="AT996" i="1"/>
  <c r="I3332" i="33"/>
  <c r="AT1148" i="1"/>
  <c r="I3356" i="33"/>
  <c r="AT1155" i="1"/>
  <c r="J3360" i="33"/>
  <c r="AU1160" i="1"/>
  <c r="I3392" i="33"/>
  <c r="AT1034" i="1"/>
  <c r="J3402" i="33"/>
  <c r="AU1157" i="1"/>
  <c r="J3404" i="33"/>
  <c r="AU1237" i="1"/>
  <c r="J3411" i="33"/>
  <c r="AU1246" i="1"/>
  <c r="AO1150" i="1"/>
  <c r="AQ1150" i="1" s="1"/>
  <c r="AO1193" i="1"/>
  <c r="AQ1193" i="1" s="1"/>
  <c r="AO1410" i="1"/>
  <c r="AQ1410" i="1" s="1"/>
  <c r="I3464" i="33"/>
  <c r="AT1096" i="1"/>
  <c r="I3493" i="33"/>
  <c r="AT1226" i="1"/>
  <c r="I3526" i="33"/>
  <c r="AT626" i="1"/>
  <c r="I3564" i="33"/>
  <c r="AT1394" i="1"/>
  <c r="I3658" i="33"/>
  <c r="AT1276" i="1"/>
  <c r="I3618" i="33"/>
  <c r="AT1309" i="1"/>
  <c r="J3641" i="33"/>
  <c r="AU1330" i="1"/>
  <c r="AO1339" i="1"/>
  <c r="AQ1339" i="1" s="1"/>
  <c r="AO1225" i="1"/>
  <c r="AQ1225" i="1" s="1"/>
  <c r="AO1287" i="1"/>
  <c r="AQ1287" i="1" s="1"/>
  <c r="AO25" i="1"/>
  <c r="AQ25" i="1" s="1"/>
  <c r="AO66" i="1"/>
  <c r="AQ66" i="1" s="1"/>
  <c r="AO160" i="1"/>
  <c r="AQ160" i="1" s="1"/>
  <c r="AO194" i="1"/>
  <c r="AQ194" i="1" s="1"/>
  <c r="AO213" i="1"/>
  <c r="AQ213" i="1" s="1"/>
  <c r="AO236" i="1"/>
  <c r="AQ236" i="1" s="1"/>
  <c r="AO259" i="1"/>
  <c r="AQ259" i="1" s="1"/>
  <c r="AO298" i="1"/>
  <c r="AQ298" i="1" s="1"/>
  <c r="AO350" i="1"/>
  <c r="AQ350" i="1" s="1"/>
  <c r="AO521" i="1"/>
  <c r="AQ521" i="1" s="1"/>
  <c r="AO543" i="1"/>
  <c r="AQ543" i="1" s="1"/>
  <c r="AO585" i="1"/>
  <c r="AQ585" i="1" s="1"/>
  <c r="AO658" i="1"/>
  <c r="AQ658" i="1" s="1"/>
  <c r="AO20" i="1"/>
  <c r="AQ20" i="1" s="1"/>
  <c r="AO31" i="1"/>
  <c r="AQ31" i="1" s="1"/>
  <c r="AO41" i="1"/>
  <c r="AQ41" i="1" s="1"/>
  <c r="AO46" i="1"/>
  <c r="AQ46" i="1" s="1"/>
  <c r="AO52" i="1"/>
  <c r="AQ52" i="1" s="1"/>
  <c r="AO86" i="1"/>
  <c r="AQ86" i="1" s="1"/>
  <c r="AO91" i="1"/>
  <c r="AQ91" i="1" s="1"/>
  <c r="AO96" i="1"/>
  <c r="AQ96" i="1" s="1"/>
  <c r="AO107" i="1"/>
  <c r="AQ107" i="1" s="1"/>
  <c r="AO118" i="1"/>
  <c r="AQ118" i="1" s="1"/>
  <c r="AO123" i="1"/>
  <c r="AQ123" i="1" s="1"/>
  <c r="AO142" i="1"/>
  <c r="AQ142" i="1" s="1"/>
  <c r="AO146" i="1"/>
  <c r="AQ146" i="1" s="1"/>
  <c r="AO156" i="1"/>
  <c r="AQ156" i="1" s="1"/>
  <c r="AO172" i="1"/>
  <c r="AQ172" i="1" s="1"/>
  <c r="AO184" i="1"/>
  <c r="AQ184" i="1" s="1"/>
  <c r="AO190" i="1"/>
  <c r="AQ190" i="1" s="1"/>
  <c r="AO200" i="1"/>
  <c r="AQ200" i="1" s="1"/>
  <c r="AO205" i="1"/>
  <c r="AQ205" i="1" s="1"/>
  <c r="AO209" i="1"/>
  <c r="AQ209" i="1" s="1"/>
  <c r="AO231" i="1"/>
  <c r="AQ231" i="1" s="1"/>
  <c r="AO241" i="1"/>
  <c r="AQ241" i="1" s="1"/>
  <c r="AO250" i="1"/>
  <c r="AQ250" i="1" s="1"/>
  <c r="AO285" i="1"/>
  <c r="AQ285" i="1" s="1"/>
  <c r="AO289" i="1"/>
  <c r="AQ289" i="1" s="1"/>
  <c r="AO293" i="1"/>
  <c r="AQ293" i="1" s="1"/>
  <c r="AO335" i="1"/>
  <c r="AQ335" i="1" s="1"/>
  <c r="AO356" i="1"/>
  <c r="AQ356" i="1" s="1"/>
  <c r="AO370" i="1"/>
  <c r="AQ370" i="1" s="1"/>
  <c r="AO375" i="1"/>
  <c r="AQ375" i="1" s="1"/>
  <c r="AO407" i="1"/>
  <c r="AQ407" i="1" s="1"/>
  <c r="AO412" i="1"/>
  <c r="AQ412" i="1" s="1"/>
  <c r="AO424" i="1"/>
  <c r="AQ424" i="1" s="1"/>
  <c r="AO433" i="1"/>
  <c r="AQ433" i="1" s="1"/>
  <c r="AO456" i="1"/>
  <c r="AQ456" i="1" s="1"/>
  <c r="AO462" i="1"/>
  <c r="AQ462" i="1" s="1"/>
  <c r="AO477" i="1"/>
  <c r="AQ477" i="1" s="1"/>
  <c r="AO482" i="1"/>
  <c r="AQ482" i="1" s="1"/>
  <c r="AO487" i="1"/>
  <c r="AQ487" i="1" s="1"/>
  <c r="AO503" i="1"/>
  <c r="AQ503" i="1" s="1"/>
  <c r="AO507" i="1"/>
  <c r="AQ507" i="1" s="1"/>
  <c r="AO516" i="1"/>
  <c r="AQ516" i="1" s="1"/>
  <c r="AO548" i="1"/>
  <c r="AQ548" i="1" s="1"/>
  <c r="AO592" i="1"/>
  <c r="AQ592" i="1" s="1"/>
  <c r="AO605" i="1"/>
  <c r="AQ605" i="1" s="1"/>
  <c r="AO653" i="1"/>
  <c r="AQ653" i="1" s="1"/>
  <c r="AO705" i="1"/>
  <c r="AQ705" i="1" s="1"/>
  <c r="AO718" i="1"/>
  <c r="AQ718" i="1" s="1"/>
  <c r="AO732" i="1"/>
  <c r="AQ732" i="1" s="1"/>
  <c r="AO555" i="1"/>
  <c r="AQ555" i="1" s="1"/>
  <c r="AO682" i="1"/>
  <c r="AQ682" i="1" s="1"/>
  <c r="AO703" i="1"/>
  <c r="AQ703" i="1" s="1"/>
  <c r="AO765" i="1"/>
  <c r="AQ765" i="1" s="1"/>
  <c r="AO785" i="1"/>
  <c r="AQ785" i="1" s="1"/>
  <c r="AO801" i="1"/>
  <c r="AQ801" i="1" s="1"/>
  <c r="AO804" i="1"/>
  <c r="AQ804" i="1" s="1"/>
  <c r="AO845" i="1"/>
  <c r="AQ845" i="1" s="1"/>
  <c r="AO825" i="1"/>
  <c r="AQ825" i="1" s="1"/>
  <c r="AO829" i="1"/>
  <c r="AQ829" i="1" s="1"/>
  <c r="AO833" i="1"/>
  <c r="AQ833" i="1" s="1"/>
  <c r="AO864" i="1"/>
  <c r="AQ864" i="1" s="1"/>
  <c r="AO873" i="1"/>
  <c r="AQ873" i="1" s="1"/>
  <c r="AO900" i="1"/>
  <c r="AQ900" i="1" s="1"/>
  <c r="AO1116" i="1"/>
  <c r="AQ1116" i="1" s="1"/>
  <c r="AO950" i="1"/>
  <c r="AQ950" i="1" s="1"/>
  <c r="AO1134" i="1"/>
  <c r="AQ1134" i="1" s="1"/>
  <c r="AO1239" i="1"/>
  <c r="AQ1239" i="1" s="1"/>
  <c r="AO885" i="1"/>
  <c r="AQ885" i="1" s="1"/>
  <c r="AO945" i="1"/>
  <c r="AQ945" i="1" s="1"/>
  <c r="AO908" i="1"/>
  <c r="AQ908" i="1" s="1"/>
  <c r="AO916" i="1"/>
  <c r="AQ916" i="1" s="1"/>
  <c r="AO917" i="1"/>
  <c r="AQ917" i="1" s="1"/>
  <c r="AO964" i="1"/>
  <c r="AQ964" i="1" s="1"/>
  <c r="AO967" i="1"/>
  <c r="AQ967" i="1" s="1"/>
  <c r="AO954" i="1"/>
  <c r="AQ954" i="1" s="1"/>
  <c r="AO968" i="1"/>
  <c r="AQ968" i="1" s="1"/>
  <c r="AO992" i="1"/>
  <c r="AQ992" i="1" s="1"/>
  <c r="AO993" i="1"/>
  <c r="AQ993" i="1" s="1"/>
  <c r="AO971" i="1"/>
  <c r="AQ971" i="1" s="1"/>
  <c r="AO972" i="1"/>
  <c r="AQ972" i="1" s="1"/>
  <c r="AO1008" i="1"/>
  <c r="AQ1008" i="1" s="1"/>
  <c r="AO1037" i="1"/>
  <c r="AQ1037" i="1" s="1"/>
  <c r="AO1063" i="1"/>
  <c r="AQ1063" i="1" s="1"/>
  <c r="AO1046" i="1"/>
  <c r="AQ1046" i="1" s="1"/>
  <c r="AO1089" i="1"/>
  <c r="AQ1089" i="1" s="1"/>
  <c r="AO1126" i="1"/>
  <c r="AQ1126" i="1" s="1"/>
  <c r="AO1240" i="1"/>
  <c r="AQ1240" i="1" s="1"/>
  <c r="AO1220" i="1"/>
  <c r="AQ1220" i="1" s="1"/>
  <c r="AO1213" i="1"/>
  <c r="AQ1213" i="1" s="1"/>
  <c r="AO1285" i="1"/>
  <c r="AQ1285" i="1" s="1"/>
  <c r="AO1286" i="1"/>
  <c r="AQ1286" i="1" s="1"/>
  <c r="AO1245" i="1"/>
  <c r="AQ1245" i="1" s="1"/>
  <c r="AO1263" i="1"/>
  <c r="AQ1263" i="1" s="1"/>
  <c r="AO1272" i="1"/>
  <c r="AQ1272" i="1" s="1"/>
  <c r="AO1259" i="1"/>
  <c r="AQ1259" i="1" s="1"/>
  <c r="AO1270" i="1"/>
  <c r="AQ1270" i="1" s="1"/>
  <c r="AO1271" i="1"/>
  <c r="AQ1271" i="1" s="1"/>
  <c r="AO1261" i="1"/>
  <c r="AQ1261" i="1" s="1"/>
  <c r="AO1262" i="1"/>
  <c r="AQ1262" i="1" s="1"/>
  <c r="AO1249" i="1"/>
  <c r="AQ1249" i="1" s="1"/>
  <c r="AO1250" i="1"/>
  <c r="AQ1250" i="1" s="1"/>
  <c r="AO1254" i="1"/>
  <c r="AQ1254" i="1" s="1"/>
  <c r="I424" i="6"/>
  <c r="AT1381" i="1"/>
  <c r="AO1335" i="1"/>
  <c r="AQ1335" i="1" s="1"/>
  <c r="AO1334" i="1"/>
  <c r="AQ1334" i="1" s="1"/>
  <c r="AO1333" i="1"/>
  <c r="AQ1333" i="1" s="1"/>
  <c r="AO1332" i="1"/>
  <c r="AQ1332" i="1" s="1"/>
  <c r="AO1600" i="1"/>
  <c r="AQ1600" i="1" s="1"/>
  <c r="AO1354" i="1"/>
  <c r="AQ1354" i="1" s="1"/>
  <c r="AO1355" i="1"/>
  <c r="AQ1355" i="1" s="1"/>
  <c r="AO1418" i="1"/>
  <c r="AQ1418" i="1" s="1"/>
  <c r="AO1398" i="1"/>
  <c r="AQ1398" i="1" s="1"/>
  <c r="AO1396" i="1"/>
  <c r="AQ1396" i="1" s="1"/>
  <c r="AO1389" i="1"/>
  <c r="AQ1389" i="1" s="1"/>
  <c r="AO1423" i="1"/>
  <c r="AQ1423" i="1" s="1"/>
  <c r="AO19" i="1"/>
  <c r="AQ19" i="1" s="1"/>
  <c r="I1138" i="33"/>
  <c r="AT16" i="1"/>
  <c r="AO50" i="1"/>
  <c r="AQ50" i="1" s="1"/>
  <c r="AO100" i="1"/>
  <c r="AQ100" i="1" s="1"/>
  <c r="I1155" i="33"/>
  <c r="AT79" i="1"/>
  <c r="I1160" i="33"/>
  <c r="AT130" i="1"/>
  <c r="AO29" i="1"/>
  <c r="AQ29" i="1" s="1"/>
  <c r="I1169" i="33"/>
  <c r="AT101" i="1"/>
  <c r="I1172" i="33"/>
  <c r="AT60" i="1"/>
  <c r="AO35" i="1"/>
  <c r="AQ35" i="1" s="1"/>
  <c r="J1174" i="33"/>
  <c r="AU98" i="1"/>
  <c r="I1230" i="33"/>
  <c r="AT138" i="1"/>
  <c r="AO80" i="1"/>
  <c r="AQ80" i="1" s="1"/>
  <c r="J1262" i="33"/>
  <c r="AU22" i="1"/>
  <c r="I1284" i="33"/>
  <c r="AT159" i="1"/>
  <c r="I1291" i="33"/>
  <c r="AT81" i="1"/>
  <c r="I1307" i="33"/>
  <c r="AT117" i="1"/>
  <c r="AO103" i="1"/>
  <c r="AQ103" i="1" s="1"/>
  <c r="AO119" i="1"/>
  <c r="AQ119" i="1" s="1"/>
  <c r="J1341" i="33"/>
  <c r="AU55" i="1"/>
  <c r="AO48" i="1"/>
  <c r="AQ48" i="1" s="1"/>
  <c r="AO33" i="1"/>
  <c r="AQ33" i="1" s="1"/>
  <c r="AO34" i="1"/>
  <c r="AQ34" i="1" s="1"/>
  <c r="I1416" i="33"/>
  <c r="AT170" i="1"/>
  <c r="I1436" i="33"/>
  <c r="AT173" i="1"/>
  <c r="I1469" i="33"/>
  <c r="AT171" i="1"/>
  <c r="I1500" i="33"/>
  <c r="AT67" i="1"/>
  <c r="I1502" i="33"/>
  <c r="AT166" i="1"/>
  <c r="I1509" i="33"/>
  <c r="AT267" i="1"/>
  <c r="I1514" i="33"/>
  <c r="AT69" i="1"/>
  <c r="I1587" i="33"/>
  <c r="AT199" i="1"/>
  <c r="I1631" i="33"/>
  <c r="AT62" i="1"/>
  <c r="I1686" i="33"/>
  <c r="AT266" i="1"/>
  <c r="I1764" i="33"/>
  <c r="AT2" i="1"/>
  <c r="I1775" i="33"/>
  <c r="AT276" i="1"/>
  <c r="I1798" i="33"/>
  <c r="AT337" i="1"/>
  <c r="I1800" i="33"/>
  <c r="AT373" i="1"/>
  <c r="I1850" i="33"/>
  <c r="AT351" i="1"/>
  <c r="I1909" i="33"/>
  <c r="AT394" i="1"/>
  <c r="I1966" i="33"/>
  <c r="AT420" i="1"/>
  <c r="AO467" i="1"/>
  <c r="AQ467" i="1" s="1"/>
  <c r="J2037" i="33"/>
  <c r="AU415" i="1"/>
  <c r="AO390" i="1"/>
  <c r="AQ390" i="1" s="1"/>
  <c r="AO416" i="1"/>
  <c r="AQ416" i="1" s="1"/>
  <c r="AO437" i="1"/>
  <c r="AQ437" i="1" s="1"/>
  <c r="AO440" i="1"/>
  <c r="AQ440" i="1" s="1"/>
  <c r="AO471" i="1"/>
  <c r="AQ471" i="1" s="1"/>
  <c r="J2090" i="33"/>
  <c r="AU452" i="1"/>
  <c r="AO446" i="1"/>
  <c r="AQ446" i="1" s="1"/>
  <c r="J2098" i="33"/>
  <c r="AU459" i="1"/>
  <c r="AO428" i="1"/>
  <c r="AQ428" i="1" s="1"/>
  <c r="AO438" i="1"/>
  <c r="AQ438" i="1" s="1"/>
  <c r="J2149" i="33"/>
  <c r="AU472" i="1"/>
  <c r="J2154" i="33"/>
  <c r="AU497" i="1"/>
  <c r="J2156" i="33"/>
  <c r="AU484" i="1"/>
  <c r="AO439" i="1"/>
  <c r="AQ439" i="1" s="1"/>
  <c r="AO457" i="1"/>
  <c r="AQ457" i="1" s="1"/>
  <c r="AO474" i="1"/>
  <c r="AQ474" i="1" s="1"/>
  <c r="AO489" i="1"/>
  <c r="AQ489" i="1" s="1"/>
  <c r="J2188" i="33"/>
  <c r="AU775" i="1"/>
  <c r="AO485" i="1"/>
  <c r="AQ485" i="1" s="1"/>
  <c r="J2193" i="33"/>
  <c r="AU500" i="1"/>
  <c r="J2200" i="33"/>
  <c r="AU565" i="1"/>
  <c r="AO549" i="1"/>
  <c r="AQ549" i="1" s="1"/>
  <c r="AO547" i="1"/>
  <c r="AQ547" i="1" s="1"/>
  <c r="AO499" i="1"/>
  <c r="AQ499" i="1" s="1"/>
  <c r="AO519" i="1"/>
  <c r="AQ519" i="1" s="1"/>
  <c r="AO465" i="1"/>
  <c r="AQ465" i="1" s="1"/>
  <c r="J2260" i="33"/>
  <c r="AU551" i="1"/>
  <c r="AO480" i="1"/>
  <c r="AQ480" i="1" s="1"/>
  <c r="AO508" i="1"/>
  <c r="AQ508" i="1" s="1"/>
  <c r="J2284" i="33"/>
  <c r="AU526" i="1"/>
  <c r="J1874" i="33"/>
  <c r="AU347" i="1"/>
  <c r="J2292" i="33"/>
  <c r="AU530" i="1"/>
  <c r="AO577" i="1"/>
  <c r="AQ577" i="1" s="1"/>
  <c r="J2308" i="33"/>
  <c r="AU582" i="1"/>
  <c r="J2314" i="33"/>
  <c r="AU572" i="1"/>
  <c r="J2325" i="33"/>
  <c r="AU537" i="1"/>
  <c r="AO566" i="1"/>
  <c r="AQ566" i="1" s="1"/>
  <c r="AO589" i="1"/>
  <c r="AQ589" i="1" s="1"/>
  <c r="J2351" i="33"/>
  <c r="AU882" i="1"/>
  <c r="J2368" i="33"/>
  <c r="AU593" i="1"/>
  <c r="J2371" i="33"/>
  <c r="AU580" i="1"/>
  <c r="J2378" i="33"/>
  <c r="AU568" i="1"/>
  <c r="J2392" i="33"/>
  <c r="AU586" i="1"/>
  <c r="AO520" i="1"/>
  <c r="AQ520" i="1" s="1"/>
  <c r="AO590" i="1"/>
  <c r="AQ590" i="1" s="1"/>
  <c r="AO636" i="1"/>
  <c r="AQ636" i="1" s="1"/>
  <c r="AO611" i="1"/>
  <c r="AQ611" i="1" s="1"/>
  <c r="AO514" i="1"/>
  <c r="AQ514" i="1" s="1"/>
  <c r="AO608" i="1"/>
  <c r="AQ608" i="1" s="1"/>
  <c r="J2440" i="33"/>
  <c r="AU668" i="1"/>
  <c r="AO557" i="1"/>
  <c r="AQ557" i="1" s="1"/>
  <c r="AO613" i="1"/>
  <c r="AQ613" i="1" s="1"/>
  <c r="AO662" i="1"/>
  <c r="AQ662" i="1" s="1"/>
  <c r="I2471" i="33"/>
  <c r="AT639" i="1"/>
  <c r="I2485" i="33"/>
  <c r="AT610" i="1"/>
  <c r="I2502" i="33"/>
  <c r="AT676" i="1"/>
  <c r="I2513" i="33"/>
  <c r="AT552" i="1"/>
  <c r="I2515" i="33"/>
  <c r="AT620" i="1"/>
  <c r="I2544" i="33"/>
  <c r="AT643" i="1"/>
  <c r="I2558" i="33"/>
  <c r="AT673" i="1"/>
  <c r="I2611" i="33"/>
  <c r="AT758" i="1"/>
  <c r="I2619" i="33"/>
  <c r="AT714" i="1"/>
  <c r="I2625" i="33"/>
  <c r="AT773" i="1"/>
  <c r="I2661" i="33"/>
  <c r="AT755" i="1"/>
  <c r="I2699" i="33"/>
  <c r="AT838" i="1"/>
  <c r="I2703" i="33"/>
  <c r="AT677" i="1"/>
  <c r="I2732" i="33"/>
  <c r="AT708" i="1"/>
  <c r="I2783" i="33"/>
  <c r="AT883" i="1"/>
  <c r="J2797" i="33"/>
  <c r="AU837" i="1"/>
  <c r="AO981" i="1"/>
  <c r="AQ981" i="1" s="1"/>
  <c r="J2826" i="33"/>
  <c r="AU975" i="1"/>
  <c r="AO1055" i="1"/>
  <c r="AQ1055" i="1" s="1"/>
  <c r="J2839" i="33"/>
  <c r="AU919" i="1"/>
  <c r="J2842" i="33"/>
  <c r="AU795" i="1"/>
  <c r="AO871" i="1"/>
  <c r="AQ871" i="1" s="1"/>
  <c r="AO770" i="1"/>
  <c r="AQ770" i="1" s="1"/>
  <c r="J2860" i="33"/>
  <c r="AU886" i="1"/>
  <c r="AO849" i="1"/>
  <c r="AQ849" i="1" s="1"/>
  <c r="J2875" i="33"/>
  <c r="AU810" i="1"/>
  <c r="J2879" i="33"/>
  <c r="AU1078" i="1"/>
  <c r="J2893" i="33"/>
  <c r="AU1146" i="1"/>
  <c r="J2915" i="33"/>
  <c r="AU685" i="1"/>
  <c r="J2916" i="33"/>
  <c r="AU939" i="1"/>
  <c r="J2919" i="33"/>
  <c r="AU927" i="1"/>
  <c r="J2921" i="33"/>
  <c r="AU806" i="1"/>
  <c r="J2939" i="33"/>
  <c r="AU793" i="1"/>
  <c r="AO890" i="1"/>
  <c r="AQ890" i="1" s="1"/>
  <c r="AO1009" i="1"/>
  <c r="AQ1009" i="1" s="1"/>
  <c r="I2988" i="33"/>
  <c r="AT1060" i="1"/>
  <c r="I2999" i="33"/>
  <c r="AT977" i="1"/>
  <c r="I3116" i="33"/>
  <c r="AT976" i="1"/>
  <c r="I3125" i="33"/>
  <c r="AT1016" i="1"/>
  <c r="AO716" i="1"/>
  <c r="AQ716" i="1" s="1"/>
  <c r="I3151" i="33"/>
  <c r="AT1064" i="1"/>
  <c r="J3174" i="33"/>
  <c r="AU1101" i="1"/>
  <c r="AO1053" i="1"/>
  <c r="AQ1053" i="1" s="1"/>
  <c r="AO1019" i="1"/>
  <c r="AQ1019" i="1" s="1"/>
  <c r="J3189" i="33"/>
  <c r="AU909" i="1"/>
  <c r="AO1345" i="1"/>
  <c r="AQ1345" i="1" s="1"/>
  <c r="AO1107" i="1"/>
  <c r="AQ1107" i="1" s="1"/>
  <c r="AO1068" i="1"/>
  <c r="AQ1068" i="1" s="1"/>
  <c r="AO1047" i="1"/>
  <c r="AQ1047" i="1" s="1"/>
  <c r="AO1044" i="1"/>
  <c r="AQ1044" i="1" s="1"/>
  <c r="J3276" i="33"/>
  <c r="AU1131" i="1"/>
  <c r="AO978" i="1"/>
  <c r="AQ978" i="1" s="1"/>
  <c r="J3289" i="33"/>
  <c r="AU1045" i="1"/>
  <c r="J3306" i="33"/>
  <c r="AU1166" i="1"/>
  <c r="J3308" i="33"/>
  <c r="AU1029" i="1"/>
  <c r="AO1050" i="1"/>
  <c r="AQ1050" i="1" s="1"/>
  <c r="J3318" i="33"/>
  <c r="AU1023" i="1"/>
  <c r="J3322" i="33"/>
  <c r="AU1024" i="1"/>
  <c r="J3324" i="33"/>
  <c r="AU996" i="1"/>
  <c r="AO1080" i="1"/>
  <c r="AQ1080" i="1" s="1"/>
  <c r="J3335" i="33"/>
  <c r="AU1148" i="1"/>
  <c r="AO1118" i="1"/>
  <c r="AQ1118" i="1" s="1"/>
  <c r="AO1108" i="1"/>
  <c r="AQ1108" i="1" s="1"/>
  <c r="AO1172" i="1"/>
  <c r="AQ1172" i="1" s="1"/>
  <c r="J3356" i="33"/>
  <c r="AU1155" i="1"/>
  <c r="AO1168" i="1"/>
  <c r="AQ1168" i="1" s="1"/>
  <c r="J3464" i="33"/>
  <c r="AU1096" i="1"/>
  <c r="AO1152" i="1"/>
  <c r="AQ1152" i="1" s="1"/>
  <c r="J3493" i="33"/>
  <c r="AU1226" i="1"/>
  <c r="AO1164" i="1"/>
  <c r="AQ1164" i="1" s="1"/>
  <c r="AO1327" i="1"/>
  <c r="AQ1327" i="1" s="1"/>
  <c r="AO1342" i="1"/>
  <c r="AQ1342" i="1" s="1"/>
  <c r="AO1153" i="1"/>
  <c r="AQ1153" i="1" s="1"/>
  <c r="J3526" i="33"/>
  <c r="AU626" i="1"/>
  <c r="AO1228" i="1"/>
  <c r="AQ1228" i="1" s="1"/>
  <c r="AO1365" i="1"/>
  <c r="AQ1365" i="1" s="1"/>
  <c r="AO1214" i="1"/>
  <c r="AQ1214" i="1" s="1"/>
  <c r="AO1257" i="1"/>
  <c r="AQ1257" i="1" s="1"/>
  <c r="J3567" i="33"/>
  <c r="AU1394" i="1"/>
  <c r="AO1229" i="1"/>
  <c r="AQ1229" i="1" s="1"/>
  <c r="J3578" i="33"/>
  <c r="AU1215" i="1"/>
  <c r="J3658" i="33"/>
  <c r="AU1276" i="1"/>
  <c r="J3620" i="33"/>
  <c r="AU1309" i="1"/>
  <c r="AO1315" i="1"/>
  <c r="AQ1315" i="1" s="1"/>
  <c r="I3634" i="33"/>
  <c r="AT1331" i="1"/>
  <c r="I3638" i="33"/>
  <c r="AT1039" i="1"/>
  <c r="AO14" i="1"/>
  <c r="AQ14" i="1" s="1"/>
  <c r="AO61" i="1"/>
  <c r="AQ61" i="1" s="1"/>
  <c r="AO132" i="1"/>
  <c r="AQ132" i="1" s="1"/>
  <c r="AO221" i="1"/>
  <c r="AQ221" i="1" s="1"/>
  <c r="AO245" i="1"/>
  <c r="AQ245" i="1" s="1"/>
  <c r="AO254" i="1"/>
  <c r="AQ254" i="1" s="1"/>
  <c r="AO274" i="1"/>
  <c r="AQ274" i="1" s="1"/>
  <c r="AO339" i="1"/>
  <c r="AQ339" i="1" s="1"/>
  <c r="AO361" i="1"/>
  <c r="AQ361" i="1" s="1"/>
  <c r="AO402" i="1"/>
  <c r="AQ402" i="1" s="1"/>
  <c r="AO511" i="1"/>
  <c r="AQ511" i="1" s="1"/>
  <c r="AO532" i="1"/>
  <c r="AQ532" i="1" s="1"/>
  <c r="AO600" i="1"/>
  <c r="AQ600" i="1" s="1"/>
  <c r="AO625" i="1"/>
  <c r="AQ625" i="1" s="1"/>
  <c r="AO648" i="1"/>
  <c r="AQ648" i="1" s="1"/>
  <c r="AO712" i="1"/>
  <c r="AQ712" i="1" s="1"/>
  <c r="AO738" i="1"/>
  <c r="AQ738" i="1" s="1"/>
  <c r="AO161" i="1"/>
  <c r="AQ161" i="1" s="1"/>
  <c r="AO222" i="1"/>
  <c r="AQ222" i="1" s="1"/>
  <c r="AO561" i="1"/>
  <c r="AQ561" i="1" s="1"/>
  <c r="AO649" i="1"/>
  <c r="AQ649" i="1" s="1"/>
  <c r="AO664" i="1"/>
  <c r="AQ664" i="1" s="1"/>
  <c r="AO757" i="1"/>
  <c r="AQ757" i="1" s="1"/>
  <c r="AO750" i="1"/>
  <c r="AQ750" i="1" s="1"/>
  <c r="AO790" i="1"/>
  <c r="AQ790" i="1" s="1"/>
  <c r="AO808" i="1"/>
  <c r="AQ808" i="1" s="1"/>
  <c r="AO813" i="1"/>
  <c r="AQ813" i="1" s="1"/>
  <c r="AO1203" i="1"/>
  <c r="AQ1203" i="1" s="1"/>
  <c r="AO878" i="1"/>
  <c r="AQ878" i="1" s="1"/>
  <c r="AO1056" i="1"/>
  <c r="AQ1056" i="1" s="1"/>
  <c r="AO1125" i="1"/>
  <c r="AQ1125" i="1" s="1"/>
  <c r="AO1144" i="1"/>
  <c r="AQ1144" i="1" s="1"/>
  <c r="AO1149" i="1"/>
  <c r="AQ1149" i="1" s="1"/>
  <c r="AO1145" i="1"/>
  <c r="AQ1145" i="1" s="1"/>
  <c r="AO1175" i="1"/>
  <c r="AQ1175" i="1" s="1"/>
  <c r="AO1182" i="1"/>
  <c r="AQ1182" i="1" s="1"/>
  <c r="AO1219" i="1"/>
  <c r="AQ1219" i="1" s="1"/>
  <c r="AO1224" i="1"/>
  <c r="AQ1224" i="1" s="1"/>
  <c r="AO1233" i="1"/>
  <c r="AQ1233" i="1" s="1"/>
  <c r="AO1234" i="1"/>
  <c r="AQ1234" i="1" s="1"/>
  <c r="AO1301" i="1"/>
  <c r="AQ1301" i="1" s="1"/>
  <c r="AO1302" i="1"/>
  <c r="AQ1302" i="1" s="1"/>
  <c r="AO1212" i="1"/>
  <c r="AQ1212" i="1" s="1"/>
  <c r="AO1297" i="1"/>
  <c r="AQ1297" i="1" s="1"/>
  <c r="AO1298" i="1"/>
  <c r="AQ1298" i="1" s="1"/>
  <c r="AO1299" i="1"/>
  <c r="AQ1299" i="1" s="1"/>
  <c r="AO1300" i="1"/>
  <c r="AQ1300" i="1" s="1"/>
  <c r="AO1292" i="1"/>
  <c r="AQ1292" i="1" s="1"/>
  <c r="AO1382" i="1"/>
  <c r="AQ1382" i="1" s="1"/>
  <c r="AO1251" i="1"/>
  <c r="AQ1251" i="1" s="1"/>
  <c r="AO1252" i="1"/>
  <c r="AQ1252" i="1" s="1"/>
  <c r="AO1253" i="1"/>
  <c r="AQ1253" i="1" s="1"/>
  <c r="AO1243" i="1"/>
  <c r="AQ1243" i="1" s="1"/>
  <c r="AO1244" i="1"/>
  <c r="AQ1244" i="1" s="1"/>
  <c r="AO1322" i="1"/>
  <c r="AQ1322" i="1" s="1"/>
  <c r="AO1323" i="1"/>
  <c r="AQ1323" i="1" s="1"/>
  <c r="AO1320" i="1"/>
  <c r="AQ1320" i="1" s="1"/>
  <c r="J424" i="6"/>
  <c r="AU1381" i="1"/>
  <c r="AO1373" i="1"/>
  <c r="AQ1373" i="1" s="1"/>
  <c r="AO1344" i="1"/>
  <c r="AQ1344" i="1" s="1"/>
  <c r="AO1348" i="1"/>
  <c r="AQ1348" i="1" s="1"/>
  <c r="AO1385" i="1"/>
  <c r="AQ1385" i="1" s="1"/>
  <c r="AO1395" i="1"/>
  <c r="AQ1395" i="1" s="1"/>
  <c r="AO1424" i="1"/>
  <c r="AQ1424" i="1" s="1"/>
  <c r="J1140" i="33"/>
  <c r="AU16" i="1"/>
  <c r="J1157" i="33"/>
  <c r="AU79" i="1"/>
  <c r="I1166" i="33"/>
  <c r="AT24" i="1"/>
  <c r="J1169" i="33"/>
  <c r="AU101" i="1"/>
  <c r="J1170" i="33"/>
  <c r="AU60" i="1"/>
  <c r="AO58" i="1"/>
  <c r="AQ58" i="1" s="1"/>
  <c r="J1228" i="33"/>
  <c r="AU138" i="1"/>
  <c r="AO8" i="1"/>
  <c r="AQ8" i="1" s="1"/>
  <c r="AO23" i="1"/>
  <c r="AQ23" i="1" s="1"/>
  <c r="AO45" i="1"/>
  <c r="AQ45" i="1" s="1"/>
  <c r="J1285" i="33"/>
  <c r="AU159" i="1"/>
  <c r="J1291" i="33"/>
  <c r="AU81" i="1"/>
  <c r="AO44" i="1"/>
  <c r="AQ44" i="1" s="1"/>
  <c r="J1307" i="33"/>
  <c r="AU117" i="1"/>
  <c r="I1324" i="33"/>
  <c r="AT88" i="1"/>
  <c r="I1339" i="33"/>
  <c r="AT73" i="1"/>
  <c r="I1348" i="33"/>
  <c r="AT108" i="1"/>
  <c r="AO127" i="1"/>
  <c r="AQ127" i="1" s="1"/>
  <c r="AO47" i="1"/>
  <c r="AQ47" i="1" s="1"/>
  <c r="AO150" i="1"/>
  <c r="AQ150" i="1" s="1"/>
  <c r="J1416" i="33"/>
  <c r="AU170" i="1"/>
  <c r="AO183" i="1"/>
  <c r="AQ183" i="1" s="1"/>
  <c r="J1434" i="33"/>
  <c r="AU173" i="1"/>
  <c r="AO168" i="1"/>
  <c r="AQ168" i="1" s="1"/>
  <c r="J1471" i="33"/>
  <c r="AU171" i="1"/>
  <c r="J1502" i="33"/>
  <c r="AU166" i="1"/>
  <c r="J1508" i="33"/>
  <c r="AU267" i="1"/>
  <c r="J1514" i="33"/>
  <c r="AU69" i="1"/>
  <c r="AO165" i="1"/>
  <c r="AQ165" i="1" s="1"/>
  <c r="AO174" i="1"/>
  <c r="AQ174" i="1" s="1"/>
  <c r="AO204" i="1"/>
  <c r="AQ204" i="1" s="1"/>
  <c r="AO15" i="1"/>
  <c r="AQ15" i="1" s="1"/>
  <c r="J1576" i="33"/>
  <c r="AU341" i="1"/>
  <c r="J1588" i="33"/>
  <c r="AU199" i="1"/>
  <c r="AO244" i="1"/>
  <c r="AQ244" i="1" s="1"/>
  <c r="AO232" i="1"/>
  <c r="AQ232" i="1" s="1"/>
  <c r="AO182" i="1"/>
  <c r="AQ182" i="1" s="1"/>
  <c r="AO280" i="1"/>
  <c r="AQ280" i="1" s="1"/>
  <c r="J1632" i="33"/>
  <c r="AU62" i="1"/>
  <c r="AO237" i="1"/>
  <c r="AQ237" i="1" s="1"/>
  <c r="J1646" i="33"/>
  <c r="AU63" i="1"/>
  <c r="AO257" i="1"/>
  <c r="AQ257" i="1" s="1"/>
  <c r="AO281" i="1"/>
  <c r="AQ281" i="1" s="1"/>
  <c r="J1678" i="33"/>
  <c r="AU177" i="1"/>
  <c r="AO233" i="1"/>
  <c r="AQ233" i="1" s="1"/>
  <c r="AO296" i="1"/>
  <c r="AQ296" i="1" s="1"/>
  <c r="AO279" i="1"/>
  <c r="AQ279" i="1" s="1"/>
  <c r="AO311" i="1"/>
  <c r="AQ311" i="1" s="1"/>
  <c r="AO330" i="1"/>
  <c r="AQ330" i="1" s="1"/>
  <c r="J1740" i="33"/>
  <c r="AU295" i="1"/>
  <c r="AO294" i="1"/>
  <c r="AQ294" i="1" s="1"/>
  <c r="J1764" i="33"/>
  <c r="AU2" i="1"/>
  <c r="J1776" i="33"/>
  <c r="AU276" i="1"/>
  <c r="AO379" i="1"/>
  <c r="AQ379" i="1" s="1"/>
  <c r="J1800" i="33"/>
  <c r="AU373" i="1"/>
  <c r="AO536" i="1"/>
  <c r="AQ536" i="1" s="1"/>
  <c r="AO342" i="1"/>
  <c r="AQ342" i="1" s="1"/>
  <c r="AO304" i="1"/>
  <c r="AQ304" i="1" s="1"/>
  <c r="AO306" i="1"/>
  <c r="AQ306" i="1" s="1"/>
  <c r="AO381" i="1"/>
  <c r="AQ381" i="1" s="1"/>
  <c r="J1850" i="33"/>
  <c r="AU351" i="1"/>
  <c r="AO409" i="1"/>
  <c r="AQ409" i="1" s="1"/>
  <c r="AO327" i="1"/>
  <c r="AQ327" i="1" s="1"/>
  <c r="J1884" i="33"/>
  <c r="AU357" i="1"/>
  <c r="AO359" i="1"/>
  <c r="AQ359" i="1" s="1"/>
  <c r="AO410" i="1"/>
  <c r="AQ410" i="1" s="1"/>
  <c r="J1909" i="33"/>
  <c r="AU394" i="1"/>
  <c r="AO383" i="1"/>
  <c r="AQ383" i="1" s="1"/>
  <c r="AO345" i="1"/>
  <c r="AQ345" i="1" s="1"/>
  <c r="AO323" i="1"/>
  <c r="AQ323" i="1" s="1"/>
  <c r="AO376" i="1"/>
  <c r="AQ376" i="1" s="1"/>
  <c r="J1983" i="33"/>
  <c r="AU392" i="1"/>
  <c r="I2002" i="33"/>
  <c r="AT403" i="1"/>
  <c r="I2069" i="33"/>
  <c r="AT436" i="1"/>
  <c r="I2087" i="33"/>
  <c r="AT418" i="1"/>
  <c r="I2102" i="33"/>
  <c r="AT443" i="1"/>
  <c r="I2231" i="33"/>
  <c r="AT524" i="1"/>
  <c r="I2337" i="33"/>
  <c r="AT575" i="1"/>
  <c r="I2410" i="33"/>
  <c r="AT621" i="1"/>
  <c r="I2466" i="33"/>
  <c r="AT616" i="1"/>
  <c r="J2479" i="33"/>
  <c r="AU639" i="1"/>
  <c r="J2483" i="33"/>
  <c r="AU650" i="1"/>
  <c r="J2485" i="33"/>
  <c r="AU610" i="1"/>
  <c r="J2504" i="33"/>
  <c r="AU676" i="1"/>
  <c r="J2510" i="33"/>
  <c r="AU552" i="1"/>
  <c r="AO584" i="1"/>
  <c r="AQ584" i="1" s="1"/>
  <c r="AO657" i="1"/>
  <c r="AQ657" i="1" s="1"/>
  <c r="J2557" i="33"/>
  <c r="AU735" i="1"/>
  <c r="J2558" i="33"/>
  <c r="AU673" i="1"/>
  <c r="J2580" i="33"/>
  <c r="AU699" i="1"/>
  <c r="AO680" i="1"/>
  <c r="AQ680" i="1" s="1"/>
  <c r="AO739" i="1"/>
  <c r="AQ739" i="1" s="1"/>
  <c r="AO1083" i="1"/>
  <c r="AQ1083" i="1" s="1"/>
  <c r="J2611" i="33"/>
  <c r="AU758" i="1"/>
  <c r="J2619" i="33"/>
  <c r="AU714" i="1"/>
  <c r="AO709" i="1"/>
  <c r="AQ709" i="1" s="1"/>
  <c r="AO640" i="1"/>
  <c r="AQ640" i="1" s="1"/>
  <c r="AO628" i="1"/>
  <c r="AQ628" i="1" s="1"/>
  <c r="J2661" i="33"/>
  <c r="AU755" i="1"/>
  <c r="AO817" i="1"/>
  <c r="AQ817" i="1" s="1"/>
  <c r="AO670" i="1"/>
  <c r="AQ670" i="1" s="1"/>
  <c r="AO809" i="1"/>
  <c r="AQ809" i="1" s="1"/>
  <c r="AO1085" i="1"/>
  <c r="AQ1085" i="1" s="1"/>
  <c r="AO679" i="1"/>
  <c r="AQ679" i="1" s="1"/>
  <c r="AO645" i="1"/>
  <c r="AQ645" i="1" s="1"/>
  <c r="AO669" i="1"/>
  <c r="AQ669" i="1" s="1"/>
  <c r="AO807" i="1"/>
  <c r="AQ807" i="1" s="1"/>
  <c r="AO767" i="1"/>
  <c r="AQ767" i="1" s="1"/>
  <c r="AO822" i="1"/>
  <c r="AQ822" i="1" s="1"/>
  <c r="AO777" i="1"/>
  <c r="AQ777" i="1" s="1"/>
  <c r="AO796" i="1"/>
  <c r="AQ796" i="1" s="1"/>
  <c r="AO797" i="1"/>
  <c r="AQ797" i="1" s="1"/>
  <c r="AO952" i="1"/>
  <c r="AQ952" i="1" s="1"/>
  <c r="J2783" i="33"/>
  <c r="AU883" i="1"/>
  <c r="I2814" i="33"/>
  <c r="AT940" i="1"/>
  <c r="I2866" i="33"/>
  <c r="AT889" i="1"/>
  <c r="I2882" i="33"/>
  <c r="AT1087" i="1"/>
  <c r="I2888" i="33"/>
  <c r="AT1388" i="1"/>
  <c r="I2892" i="33"/>
  <c r="AT684" i="1"/>
  <c r="I2909" i="33"/>
  <c r="AT1071" i="1"/>
  <c r="I2942" i="33"/>
  <c r="AT1192" i="1"/>
  <c r="I2964" i="33"/>
  <c r="AT991" i="1"/>
  <c r="I2986" i="33"/>
  <c r="AT808" i="1"/>
  <c r="J2989" i="33"/>
  <c r="AU1060" i="1"/>
  <c r="J2997" i="33"/>
  <c r="AU977" i="1"/>
  <c r="AO853" i="1"/>
  <c r="AQ853" i="1" s="1"/>
  <c r="AO1090" i="1"/>
  <c r="AQ1090" i="1" s="1"/>
  <c r="AO862" i="1"/>
  <c r="AQ862" i="1" s="1"/>
  <c r="AO802" i="1"/>
  <c r="AQ802" i="1" s="1"/>
  <c r="J3040" i="33"/>
  <c r="AU961" i="1"/>
  <c r="AO987" i="1"/>
  <c r="AQ987" i="1" s="1"/>
  <c r="AO1102" i="1"/>
  <c r="AQ1102" i="1" s="1"/>
  <c r="AO965" i="1"/>
  <c r="AQ965" i="1" s="1"/>
  <c r="AO1011" i="1"/>
  <c r="AQ1011" i="1" s="1"/>
  <c r="AO1018" i="1"/>
  <c r="AQ1018" i="1" s="1"/>
  <c r="AO1343" i="1"/>
  <c r="AQ1343" i="1" s="1"/>
  <c r="J3116" i="33"/>
  <c r="AU976" i="1"/>
  <c r="J3126" i="33"/>
  <c r="AU1016" i="1"/>
  <c r="AO963" i="1"/>
  <c r="AQ963" i="1" s="1"/>
  <c r="AO962" i="1"/>
  <c r="AQ962" i="1" s="1"/>
  <c r="J3151" i="33"/>
  <c r="AU1064" i="1"/>
  <c r="I3173" i="33"/>
  <c r="AT915" i="1"/>
  <c r="I3184" i="33"/>
  <c r="AT1104" i="1"/>
  <c r="I3215" i="33"/>
  <c r="AT1061" i="1"/>
  <c r="I3220" i="33"/>
  <c r="AT969" i="1"/>
  <c r="I3247" i="33"/>
  <c r="AT983" i="1"/>
  <c r="I3304" i="33"/>
  <c r="AT1248" i="1"/>
  <c r="I3320" i="33"/>
  <c r="AT1216" i="1"/>
  <c r="I3339" i="33"/>
  <c r="AT1043" i="1"/>
  <c r="AO1160" i="1"/>
  <c r="AQ1160" i="1" s="1"/>
  <c r="I3372" i="33"/>
  <c r="AT1042" i="1"/>
  <c r="I3382" i="33"/>
  <c r="AT1174" i="1"/>
  <c r="AO1157" i="1"/>
  <c r="AQ1157" i="1" s="1"/>
  <c r="AO1237" i="1"/>
  <c r="AQ1237" i="1" s="1"/>
  <c r="AO1246" i="1"/>
  <c r="AQ1246" i="1" s="1"/>
  <c r="J3414" i="33"/>
  <c r="AU1178" i="1"/>
  <c r="J3416" i="33"/>
  <c r="AU1041" i="1"/>
  <c r="J3424" i="33"/>
  <c r="AU1162" i="1"/>
  <c r="I3523" i="33"/>
  <c r="AT1183" i="1"/>
  <c r="I3563" i="33"/>
  <c r="AT1311" i="1"/>
  <c r="I3617" i="33"/>
  <c r="AT1319" i="1"/>
  <c r="J3634" i="33"/>
  <c r="AU1331" i="1"/>
  <c r="J3640" i="33"/>
  <c r="AU1039" i="1"/>
  <c r="AO1330" i="1"/>
  <c r="AQ1330" i="1" s="1"/>
  <c r="AO4" i="1"/>
  <c r="AQ4" i="1" s="1"/>
  <c r="AO36" i="1"/>
  <c r="AQ36" i="1" s="1"/>
  <c r="AO56" i="1"/>
  <c r="AQ56" i="1" s="1"/>
  <c r="AO137" i="1"/>
  <c r="AQ137" i="1" s="1"/>
  <c r="AO217" i="1"/>
  <c r="AQ217" i="1" s="1"/>
  <c r="AO302" i="1"/>
  <c r="AQ302" i="1" s="1"/>
  <c r="AO365" i="1"/>
  <c r="AQ365" i="1" s="1"/>
  <c r="AO380" i="1"/>
  <c r="AQ380" i="1" s="1"/>
  <c r="AO444" i="1"/>
  <c r="AQ444" i="1" s="1"/>
  <c r="AO596" i="1"/>
  <c r="AQ596" i="1" s="1"/>
  <c r="AO615" i="1"/>
  <c r="AQ615" i="1" s="1"/>
  <c r="AO694" i="1"/>
  <c r="AQ694" i="1" s="1"/>
  <c r="AO57" i="1"/>
  <c r="AQ57" i="1" s="1"/>
  <c r="AO218" i="1"/>
  <c r="AQ218" i="1" s="1"/>
  <c r="AO255" i="1"/>
  <c r="AQ255" i="1" s="1"/>
  <c r="AO299" i="1"/>
  <c r="AQ299" i="1" s="1"/>
  <c r="AO314" i="1"/>
  <c r="AQ314" i="1" s="1"/>
  <c r="AO340" i="1"/>
  <c r="AQ340" i="1" s="1"/>
  <c r="AO366" i="1"/>
  <c r="AQ366" i="1" s="1"/>
  <c r="AO393" i="1"/>
  <c r="AQ393" i="1" s="1"/>
  <c r="AO419" i="1"/>
  <c r="AQ419" i="1" s="1"/>
  <c r="AO493" i="1"/>
  <c r="AQ493" i="1" s="1"/>
  <c r="AO512" i="1"/>
  <c r="AQ512" i="1" s="1"/>
  <c r="AO533" i="1"/>
  <c r="AQ533" i="1" s="1"/>
  <c r="AO544" i="1"/>
  <c r="AQ544" i="1" s="1"/>
  <c r="AO556" i="1"/>
  <c r="AQ556" i="1" s="1"/>
  <c r="AO576" i="1"/>
  <c r="AQ576" i="1" s="1"/>
  <c r="AO597" i="1"/>
  <c r="AQ597" i="1" s="1"/>
  <c r="AO644" i="1"/>
  <c r="AQ644" i="1" s="1"/>
  <c r="AO659" i="1"/>
  <c r="AQ659" i="1" s="1"/>
  <c r="AO674" i="1"/>
  <c r="AQ674" i="1" s="1"/>
  <c r="AO656" i="1"/>
  <c r="AQ656" i="1" s="1"/>
  <c r="AO693" i="1"/>
  <c r="AQ693" i="1" s="1"/>
  <c r="AO742" i="1"/>
  <c r="AQ742" i="1" s="1"/>
  <c r="AO746" i="1"/>
  <c r="AQ746" i="1" s="1"/>
  <c r="AO781" i="1"/>
  <c r="AQ781" i="1" s="1"/>
  <c r="AO854" i="1"/>
  <c r="AQ854" i="1" s="1"/>
  <c r="AO855" i="1"/>
  <c r="AQ855" i="1" s="1"/>
  <c r="AO820" i="1"/>
  <c r="AQ820" i="1" s="1"/>
  <c r="AO869" i="1"/>
  <c r="AQ869" i="1" s="1"/>
  <c r="AO1005" i="1"/>
  <c r="AQ1005" i="1" s="1"/>
  <c r="AO1128" i="1"/>
  <c r="AQ1128" i="1" s="1"/>
  <c r="AO892" i="1"/>
  <c r="AQ892" i="1" s="1"/>
  <c r="AO897" i="1"/>
  <c r="AQ897" i="1" s="1"/>
  <c r="AO937" i="1"/>
  <c r="AQ937" i="1" s="1"/>
  <c r="AO913" i="1"/>
  <c r="AQ913" i="1" s="1"/>
  <c r="AO1000" i="1"/>
  <c r="AQ1000" i="1" s="1"/>
  <c r="AO997" i="1"/>
  <c r="AQ997" i="1" s="1"/>
  <c r="AO1049" i="1"/>
  <c r="AQ1049" i="1" s="1"/>
  <c r="AO1142" i="1"/>
  <c r="AQ1142" i="1" s="1"/>
  <c r="AO1127" i="1"/>
  <c r="AQ1127" i="1" s="1"/>
  <c r="AO6" i="1"/>
  <c r="AQ6" i="1" s="1"/>
  <c r="AO21" i="1"/>
  <c r="AQ21" i="1" s="1"/>
  <c r="AO32" i="1"/>
  <c r="AQ32" i="1" s="1"/>
  <c r="AO42" i="1"/>
  <c r="AQ42" i="1" s="1"/>
  <c r="AO53" i="1"/>
  <c r="AQ53" i="1" s="1"/>
  <c r="AO68" i="1"/>
  <c r="AQ68" i="1" s="1"/>
  <c r="AO92" i="1"/>
  <c r="AQ92" i="1" s="1"/>
  <c r="AO97" i="1"/>
  <c r="AQ97" i="1" s="1"/>
  <c r="AO124" i="1"/>
  <c r="AQ124" i="1" s="1"/>
  <c r="AO129" i="1"/>
  <c r="AQ129" i="1" s="1"/>
  <c r="AO134" i="1"/>
  <c r="AQ134" i="1" s="1"/>
  <c r="AO139" i="1"/>
  <c r="AQ139" i="1" s="1"/>
  <c r="AO143" i="1"/>
  <c r="AQ143" i="1" s="1"/>
  <c r="AO147" i="1"/>
  <c r="AQ147" i="1" s="1"/>
  <c r="AO157" i="1"/>
  <c r="AQ157" i="1" s="1"/>
  <c r="AO191" i="1"/>
  <c r="AQ191" i="1" s="1"/>
  <c r="AO196" i="1"/>
  <c r="AQ196" i="1" s="1"/>
  <c r="AO201" i="1"/>
  <c r="AQ201" i="1" s="1"/>
  <c r="AO206" i="1"/>
  <c r="AQ206" i="1" s="1"/>
  <c r="AO210" i="1"/>
  <c r="AQ210" i="1" s="1"/>
  <c r="AO228" i="1"/>
  <c r="AQ228" i="1" s="1"/>
  <c r="AO238" i="1"/>
  <c r="AQ238" i="1" s="1"/>
  <c r="AO242" i="1"/>
  <c r="AQ242" i="1" s="1"/>
  <c r="AO251" i="1"/>
  <c r="AQ251" i="1" s="1"/>
  <c r="AO265" i="1"/>
  <c r="AQ265" i="1" s="1"/>
  <c r="AO282" i="1"/>
  <c r="AQ282" i="1" s="1"/>
  <c r="AO286" i="1"/>
  <c r="AQ286" i="1" s="1"/>
  <c r="AO290" i="1"/>
  <c r="AQ290" i="1" s="1"/>
  <c r="AO326" i="1"/>
  <c r="AQ326" i="1" s="1"/>
  <c r="AO336" i="1"/>
  <c r="AQ336" i="1" s="1"/>
  <c r="AO352" i="1"/>
  <c r="AQ352" i="1" s="1"/>
  <c r="AO388" i="1"/>
  <c r="AQ388" i="1" s="1"/>
  <c r="AO404" i="1"/>
  <c r="AQ404" i="1" s="1"/>
  <c r="AO408" i="1"/>
  <c r="AQ408" i="1" s="1"/>
  <c r="AO425" i="1"/>
  <c r="AQ425" i="1" s="1"/>
  <c r="AO434" i="1"/>
  <c r="AQ434" i="1" s="1"/>
  <c r="AO463" i="1"/>
  <c r="AQ463" i="1" s="1"/>
  <c r="AO468" i="1"/>
  <c r="AQ468" i="1" s="1"/>
  <c r="AO473" i="1"/>
  <c r="AQ473" i="1" s="1"/>
  <c r="AO483" i="1"/>
  <c r="AQ483" i="1" s="1"/>
  <c r="AO488" i="1"/>
  <c r="AQ488" i="1" s="1"/>
  <c r="AO504" i="1"/>
  <c r="AQ504" i="1" s="1"/>
  <c r="AO523" i="1"/>
  <c r="AQ523" i="1" s="1"/>
  <c r="AO567" i="1"/>
  <c r="AQ567" i="1" s="1"/>
  <c r="AO602" i="1"/>
  <c r="AQ602" i="1" s="1"/>
  <c r="AO606" i="1"/>
  <c r="AQ606" i="1" s="1"/>
  <c r="AO617" i="1"/>
  <c r="AQ617" i="1" s="1"/>
  <c r="AO622" i="1"/>
  <c r="AQ622" i="1" s="1"/>
  <c r="AO627" i="1"/>
  <c r="AQ627" i="1" s="1"/>
  <c r="AO654" i="1"/>
  <c r="AQ654" i="1" s="1"/>
  <c r="AO719" i="1"/>
  <c r="AQ719" i="1" s="1"/>
  <c r="AO729" i="1"/>
  <c r="AQ729" i="1" s="1"/>
  <c r="AO733" i="1"/>
  <c r="AQ733" i="1" s="1"/>
  <c r="AO683" i="1"/>
  <c r="AQ683" i="1" s="1"/>
  <c r="AO704" i="1"/>
  <c r="AQ704" i="1" s="1"/>
  <c r="AO721" i="1"/>
  <c r="AQ721" i="1" s="1"/>
  <c r="AO763" i="1"/>
  <c r="AQ763" i="1" s="1"/>
  <c r="AO766" i="1"/>
  <c r="AQ766" i="1" s="1"/>
  <c r="AO771" i="1"/>
  <c r="AQ771" i="1" s="1"/>
  <c r="AO786" i="1"/>
  <c r="AQ786" i="1" s="1"/>
  <c r="AO858" i="1"/>
  <c r="AQ858" i="1" s="1"/>
  <c r="AO841" i="1"/>
  <c r="AQ841" i="1" s="1"/>
  <c r="AO874" i="1"/>
  <c r="AQ874" i="1" s="1"/>
  <c r="AO844" i="1"/>
  <c r="AQ844" i="1" s="1"/>
  <c r="AO826" i="1"/>
  <c r="AQ826" i="1" s="1"/>
  <c r="AO830" i="1"/>
  <c r="AQ830" i="1" s="1"/>
  <c r="AO834" i="1"/>
  <c r="AQ834" i="1" s="1"/>
  <c r="AO898" i="1"/>
  <c r="AQ898" i="1" s="1"/>
  <c r="AO1117" i="1"/>
  <c r="AQ1117" i="1" s="1"/>
  <c r="AO951" i="1"/>
  <c r="AQ951" i="1" s="1"/>
  <c r="AO1195" i="1"/>
  <c r="AQ1195" i="1" s="1"/>
  <c r="AO1072" i="1"/>
  <c r="AQ1072" i="1" s="1"/>
  <c r="AO1081" i="1"/>
  <c r="AQ1081" i="1" s="1"/>
  <c r="AO1135" i="1"/>
  <c r="AQ1135" i="1" s="1"/>
  <c r="AO924" i="1"/>
  <c r="AQ924" i="1" s="1"/>
  <c r="AO946" i="1"/>
  <c r="AQ946" i="1" s="1"/>
  <c r="AO918" i="1"/>
  <c r="AQ918" i="1" s="1"/>
  <c r="AO982" i="1"/>
  <c r="AQ982" i="1" s="1"/>
  <c r="AO1028" i="1"/>
  <c r="AQ1028" i="1" s="1"/>
  <c r="AO1025" i="1"/>
  <c r="AQ1025" i="1" s="1"/>
  <c r="AO1026" i="1"/>
  <c r="AQ1026" i="1" s="1"/>
  <c r="AO1027" i="1"/>
  <c r="AQ1027" i="1" s="1"/>
  <c r="AO1403" i="1"/>
  <c r="AQ1403" i="1" s="1"/>
  <c r="AO1404" i="1"/>
  <c r="AQ1404" i="1" s="1"/>
  <c r="AO1124" i="1"/>
  <c r="AQ1124" i="1" s="1"/>
  <c r="AO1156" i="1"/>
  <c r="AQ1156" i="1" s="1"/>
  <c r="AO1208" i="1"/>
  <c r="AQ1208" i="1" s="1"/>
  <c r="AO1207" i="1"/>
  <c r="AQ1207" i="1" s="1"/>
  <c r="AO1206" i="1"/>
  <c r="AQ1206" i="1" s="1"/>
  <c r="AO1205" i="1"/>
  <c r="AQ1205" i="1" s="1"/>
  <c r="AO1190" i="1"/>
  <c r="AQ1190" i="1" s="1"/>
  <c r="AO1179" i="1"/>
  <c r="AQ1179" i="1" s="1"/>
  <c r="AO1199" i="1"/>
  <c r="AQ1199" i="1" s="1"/>
  <c r="AO1181" i="1"/>
  <c r="AQ1181" i="1" s="1"/>
  <c r="AO1218" i="1"/>
  <c r="AQ1218" i="1" s="1"/>
  <c r="AO1325" i="1"/>
  <c r="AQ1325" i="1" s="1"/>
  <c r="AO1326" i="1"/>
  <c r="AQ1326" i="1" s="1"/>
  <c r="AO1321" i="1"/>
  <c r="AQ1321" i="1" s="1"/>
  <c r="AO1281" i="1"/>
  <c r="AQ1281" i="1" s="1"/>
  <c r="AO1282" i="1"/>
  <c r="AQ1282" i="1" s="1"/>
  <c r="AO1324" i="1"/>
  <c r="AQ1324" i="1" s="1"/>
  <c r="AO1305" i="1"/>
  <c r="AQ1305" i="1" s="1"/>
  <c r="AO1306" i="1"/>
  <c r="AQ1306" i="1" s="1"/>
  <c r="AO1307" i="1"/>
  <c r="AQ1307" i="1" s="1"/>
  <c r="AO1308" i="1"/>
  <c r="AQ1308" i="1" s="1"/>
  <c r="AO1275" i="1"/>
  <c r="AQ1275" i="1" s="1"/>
  <c r="AO1366" i="1"/>
  <c r="AQ1366" i="1" s="1"/>
  <c r="AO1419" i="1"/>
  <c r="AQ1419" i="1" s="1"/>
  <c r="AO1401" i="1"/>
  <c r="AQ1401" i="1" s="1"/>
  <c r="AO1425" i="1"/>
  <c r="AQ1425" i="1" s="1"/>
  <c r="J1167" i="33"/>
  <c r="AU24" i="1"/>
  <c r="I1192" i="33"/>
  <c r="AT94" i="1"/>
  <c r="AO93" i="1"/>
  <c r="AQ93" i="1" s="1"/>
  <c r="AO98" i="1"/>
  <c r="AQ98" i="1" s="1"/>
  <c r="I1251" i="33"/>
  <c r="AT105" i="1"/>
  <c r="AO22" i="1"/>
  <c r="AQ22" i="1" s="1"/>
  <c r="I1288" i="33"/>
  <c r="AT75" i="1"/>
  <c r="J1323" i="33"/>
  <c r="AU88" i="1"/>
  <c r="AO195" i="1"/>
  <c r="AQ195" i="1" s="1"/>
  <c r="AO55" i="1"/>
  <c r="AQ55" i="1" s="1"/>
  <c r="J1348" i="33"/>
  <c r="AU108" i="1"/>
  <c r="AO133" i="1"/>
  <c r="AQ133" i="1" s="1"/>
  <c r="I1385" i="33"/>
  <c r="AT186" i="1"/>
  <c r="I1410" i="33"/>
  <c r="AT198" i="1"/>
  <c r="I1358" i="33"/>
  <c r="AT275" i="1"/>
  <c r="I1437" i="33"/>
  <c r="AT247" i="1"/>
  <c r="I1494" i="33"/>
  <c r="AT120" i="1"/>
  <c r="I1504" i="33"/>
  <c r="AT211" i="1"/>
  <c r="I1599" i="33"/>
  <c r="AT164" i="1"/>
  <c r="I1666" i="33"/>
  <c r="AT163" i="1"/>
  <c r="I1721" i="33"/>
  <c r="AT332" i="1"/>
  <c r="I1759" i="33"/>
  <c r="AT331" i="1"/>
  <c r="I1766" i="33"/>
  <c r="AT325" i="1"/>
  <c r="I1785" i="33"/>
  <c r="AT180" i="1"/>
  <c r="I1915" i="33"/>
  <c r="AT422" i="1"/>
  <c r="I1931" i="33"/>
  <c r="AT308" i="1"/>
  <c r="I1941" i="33"/>
  <c r="AT382" i="1"/>
  <c r="I1963" i="33"/>
  <c r="AT385" i="1"/>
  <c r="AO415" i="1"/>
  <c r="AQ415" i="1" s="1"/>
  <c r="AO417" i="1"/>
  <c r="AQ417" i="1" s="1"/>
  <c r="J2069" i="33"/>
  <c r="AU436" i="1"/>
  <c r="AO452" i="1"/>
  <c r="AQ452" i="1" s="1"/>
  <c r="AO459" i="1"/>
  <c r="AQ459" i="1" s="1"/>
  <c r="J2103" i="33"/>
  <c r="AU443" i="1"/>
  <c r="AO450" i="1"/>
  <c r="AQ450" i="1" s="1"/>
  <c r="AO430" i="1"/>
  <c r="AQ430" i="1" s="1"/>
  <c r="AO455" i="1"/>
  <c r="AQ455" i="1" s="1"/>
  <c r="AO472" i="1"/>
  <c r="AQ472" i="1" s="1"/>
  <c r="AO458" i="1"/>
  <c r="AQ458" i="1" s="1"/>
  <c r="AO497" i="1"/>
  <c r="AQ497" i="1" s="1"/>
  <c r="AO484" i="1"/>
  <c r="AQ484" i="1" s="1"/>
  <c r="AO775" i="1"/>
  <c r="AQ775" i="1" s="1"/>
  <c r="AO500" i="1"/>
  <c r="AQ500" i="1" s="1"/>
  <c r="AO565" i="1"/>
  <c r="AQ565" i="1" s="1"/>
  <c r="J2232" i="33"/>
  <c r="AU524" i="1"/>
  <c r="J2240" i="33"/>
  <c r="AU478" i="1"/>
  <c r="AO551" i="1"/>
  <c r="AQ551" i="1" s="1"/>
  <c r="AO526" i="1"/>
  <c r="AQ526" i="1" s="1"/>
  <c r="AO347" i="1"/>
  <c r="AQ347" i="1" s="1"/>
  <c r="AO563" i="1"/>
  <c r="AQ563" i="1" s="1"/>
  <c r="AO530" i="1"/>
  <c r="AQ530" i="1" s="1"/>
  <c r="AO582" i="1"/>
  <c r="AQ582" i="1" s="1"/>
  <c r="AO572" i="1"/>
  <c r="AQ572" i="1" s="1"/>
  <c r="J2323" i="33"/>
  <c r="AU560" i="1"/>
  <c r="AO537" i="1"/>
  <c r="AQ537" i="1" s="1"/>
  <c r="J2337" i="33"/>
  <c r="AU575" i="1"/>
  <c r="AO882" i="1"/>
  <c r="AQ882" i="1" s="1"/>
  <c r="AO593" i="1"/>
  <c r="AQ593" i="1" s="1"/>
  <c r="AO580" i="1"/>
  <c r="AQ580" i="1" s="1"/>
  <c r="AO588" i="1"/>
  <c r="AQ588" i="1" s="1"/>
  <c r="AO568" i="1"/>
  <c r="AQ568" i="1" s="1"/>
  <c r="AO642" i="1"/>
  <c r="AQ642" i="1" s="1"/>
  <c r="J2391" i="33"/>
  <c r="AU723" i="1"/>
  <c r="AO586" i="1"/>
  <c r="AQ586" i="1" s="1"/>
  <c r="J2409" i="33"/>
  <c r="AU621" i="1"/>
  <c r="AO668" i="1"/>
  <c r="AQ668" i="1" s="1"/>
  <c r="J2466" i="33"/>
  <c r="AU616" i="1"/>
  <c r="I2488" i="33"/>
  <c r="AT631" i="1"/>
  <c r="I2492" i="33"/>
  <c r="AT934" i="1"/>
  <c r="I2572" i="33"/>
  <c r="AT542" i="1"/>
  <c r="I2608" i="33"/>
  <c r="AT695" i="1"/>
  <c r="I2652" i="33"/>
  <c r="AT756" i="1"/>
  <c r="I2683" i="33"/>
  <c r="AT938" i="1"/>
  <c r="I2711" i="33"/>
  <c r="AT791" i="1"/>
  <c r="I2758" i="33"/>
  <c r="AT805" i="1"/>
  <c r="AO837" i="1"/>
  <c r="AQ837" i="1" s="1"/>
  <c r="J2812" i="33"/>
  <c r="AU940" i="1"/>
  <c r="AO975" i="1"/>
  <c r="AQ975" i="1" s="1"/>
  <c r="AO919" i="1"/>
  <c r="AQ919" i="1" s="1"/>
  <c r="AO795" i="1"/>
  <c r="AQ795" i="1" s="1"/>
  <c r="AO861" i="1"/>
  <c r="AQ861" i="1" s="1"/>
  <c r="AO923" i="1"/>
  <c r="AQ923" i="1" s="1"/>
  <c r="AO886" i="1"/>
  <c r="AQ886" i="1" s="1"/>
  <c r="J2866" i="33"/>
  <c r="AU889" i="1"/>
  <c r="J2867" i="33"/>
  <c r="AU740" i="1"/>
  <c r="AO810" i="1"/>
  <c r="AQ810" i="1" s="1"/>
  <c r="AO1078" i="1"/>
  <c r="AQ1078" i="1" s="1"/>
  <c r="J2883" i="33"/>
  <c r="AU1087" i="1"/>
  <c r="J2892" i="33"/>
  <c r="AU684" i="1"/>
  <c r="AO1146" i="1"/>
  <c r="AQ1146" i="1" s="1"/>
  <c r="AO906" i="1"/>
  <c r="AQ906" i="1" s="1"/>
  <c r="J2910" i="33"/>
  <c r="AU1071" i="1"/>
  <c r="AO685" i="1"/>
  <c r="AQ685" i="1" s="1"/>
  <c r="AO939" i="1"/>
  <c r="AQ939" i="1" s="1"/>
  <c r="AO927" i="1"/>
  <c r="AQ927" i="1" s="1"/>
  <c r="AO806" i="1"/>
  <c r="AQ806" i="1" s="1"/>
  <c r="J2924" i="33"/>
  <c r="AU848" i="1"/>
  <c r="J2928" i="33"/>
  <c r="AU947" i="1"/>
  <c r="AO793" i="1"/>
  <c r="AQ793" i="1" s="1"/>
  <c r="J2944" i="33"/>
  <c r="AU1192" i="1"/>
  <c r="J2946" i="33"/>
  <c r="AU943" i="1"/>
  <c r="J2964" i="33"/>
  <c r="AU991" i="1"/>
  <c r="J2986" i="33"/>
  <c r="AU808" i="1"/>
  <c r="I3035" i="33"/>
  <c r="AT1007" i="1"/>
  <c r="I3074" i="33"/>
  <c r="AT990" i="1"/>
  <c r="I3090" i="33"/>
  <c r="AT884" i="1"/>
  <c r="I3104" i="33"/>
  <c r="AT944" i="1"/>
  <c r="I3128" i="33"/>
  <c r="AT1017" i="1"/>
  <c r="I3139" i="33"/>
  <c r="AT980" i="1"/>
  <c r="I3159" i="33"/>
  <c r="AT1084" i="1"/>
  <c r="I3164" i="33"/>
  <c r="AT778" i="1"/>
  <c r="J3173" i="33"/>
  <c r="AU915" i="1"/>
  <c r="AO1101" i="1"/>
  <c r="AQ1101" i="1" s="1"/>
  <c r="J3183" i="33"/>
  <c r="AU1104" i="1"/>
  <c r="AO909" i="1"/>
  <c r="AQ909" i="1" s="1"/>
  <c r="J3198" i="33"/>
  <c r="AU1038" i="1"/>
  <c r="AO1032" i="1"/>
  <c r="AQ1032" i="1" s="1"/>
  <c r="AO970" i="1"/>
  <c r="AQ970" i="1" s="1"/>
  <c r="J3215" i="33"/>
  <c r="AU1061" i="1"/>
  <c r="J3222" i="33"/>
  <c r="AU969" i="1"/>
  <c r="J3243" i="33"/>
  <c r="AU983" i="1"/>
  <c r="AO979" i="1"/>
  <c r="AQ979" i="1" s="1"/>
  <c r="J3256" i="33"/>
  <c r="AU1414" i="1"/>
  <c r="AO1131" i="1"/>
  <c r="AQ1131" i="1" s="1"/>
  <c r="J3287" i="33"/>
  <c r="AU1031" i="1"/>
  <c r="AO1045" i="1"/>
  <c r="AQ1045" i="1" s="1"/>
  <c r="J3304" i="33"/>
  <c r="AU1248" i="1"/>
  <c r="AO1166" i="1"/>
  <c r="AQ1166" i="1" s="1"/>
  <c r="AO1029" i="1"/>
  <c r="AQ1029" i="1" s="1"/>
  <c r="AO1023" i="1"/>
  <c r="AQ1023" i="1" s="1"/>
  <c r="J3319" i="33"/>
  <c r="AU1216" i="1"/>
  <c r="AO1024" i="1"/>
  <c r="AQ1024" i="1" s="1"/>
  <c r="AO996" i="1"/>
  <c r="AQ996" i="1" s="1"/>
  <c r="AO1148" i="1"/>
  <c r="AQ1148" i="1" s="1"/>
  <c r="AO1155" i="1"/>
  <c r="AQ1155" i="1" s="1"/>
  <c r="J3375" i="33"/>
  <c r="AU1042" i="1"/>
  <c r="J3381" i="33"/>
  <c r="AU1174" i="1"/>
  <c r="AO1034" i="1"/>
  <c r="AQ1034" i="1" s="1"/>
  <c r="I3448" i="33"/>
  <c r="AT1138" i="1"/>
  <c r="AO1096" i="1"/>
  <c r="AQ1096" i="1" s="1"/>
  <c r="AO1226" i="1"/>
  <c r="AQ1226" i="1" s="1"/>
  <c r="AO1329" i="1"/>
  <c r="AQ1329" i="1" s="1"/>
  <c r="AO626" i="1"/>
  <c r="AQ626" i="1" s="1"/>
  <c r="J3563" i="33"/>
  <c r="AU1311" i="1"/>
  <c r="AO1394" i="1"/>
  <c r="AQ1394" i="1" s="1"/>
  <c r="AO1215" i="1"/>
  <c r="AQ1215" i="1" s="1"/>
  <c r="AO1276" i="1"/>
  <c r="AQ1276" i="1" s="1"/>
  <c r="J3617" i="33"/>
  <c r="AU1319" i="1"/>
  <c r="AO1309" i="1"/>
  <c r="AQ1309" i="1" s="1"/>
  <c r="I3648" i="33"/>
  <c r="AT1356" i="1"/>
  <c r="I3657" i="33"/>
  <c r="AT1402" i="1"/>
  <c r="AO11" i="1"/>
  <c r="AQ11" i="1" s="1"/>
  <c r="AO37" i="1"/>
  <c r="AQ37" i="1" s="1"/>
  <c r="AO114" i="1"/>
  <c r="AQ114" i="1" s="1"/>
  <c r="AO152" i="1"/>
  <c r="AQ152" i="1" s="1"/>
  <c r="AO167" i="1"/>
  <c r="AQ167" i="1" s="1"/>
  <c r="AO214" i="1"/>
  <c r="AQ214" i="1" s="1"/>
  <c r="AO246" i="1"/>
  <c r="AQ246" i="1" s="1"/>
  <c r="AO260" i="1"/>
  <c r="AQ260" i="1" s="1"/>
  <c r="AO270" i="1"/>
  <c r="AQ270" i="1" s="1"/>
  <c r="AO303" i="1"/>
  <c r="AQ303" i="1" s="1"/>
  <c r="AO319" i="1"/>
  <c r="AQ319" i="1" s="1"/>
  <c r="AO346" i="1"/>
  <c r="AQ346" i="1" s="1"/>
  <c r="AO362" i="1"/>
  <c r="AQ362" i="1" s="1"/>
  <c r="AO399" i="1"/>
  <c r="AQ399" i="1" s="1"/>
  <c r="AO429" i="1"/>
  <c r="AQ429" i="1" s="1"/>
  <c r="AO445" i="1"/>
  <c r="AQ445" i="1" s="1"/>
  <c r="AO498" i="1"/>
  <c r="AQ498" i="1" s="1"/>
  <c r="AO528" i="1"/>
  <c r="AQ528" i="1" s="1"/>
  <c r="AO539" i="1"/>
  <c r="AQ539" i="1" s="1"/>
  <c r="AO571" i="1"/>
  <c r="AQ571" i="1" s="1"/>
  <c r="AO581" i="1"/>
  <c r="AQ581" i="1" s="1"/>
  <c r="AO638" i="1"/>
  <c r="AQ638" i="1" s="1"/>
  <c r="AO688" i="1"/>
  <c r="AQ688" i="1" s="1"/>
  <c r="AO713" i="1"/>
  <c r="AQ713" i="1" s="1"/>
  <c r="AO724" i="1"/>
  <c r="AQ724" i="1" s="1"/>
  <c r="AO12" i="1"/>
  <c r="AQ12" i="1" s="1"/>
  <c r="AO17" i="1"/>
  <c r="AQ17" i="1" s="1"/>
  <c r="AO28" i="1"/>
  <c r="AQ28" i="1" s="1"/>
  <c r="AO38" i="1"/>
  <c r="AQ38" i="1" s="1"/>
  <c r="AO64" i="1"/>
  <c r="AQ64" i="1" s="1"/>
  <c r="AO82" i="1"/>
  <c r="AQ82" i="1" s="1"/>
  <c r="AO104" i="1"/>
  <c r="AQ104" i="1" s="1"/>
  <c r="AO115" i="1"/>
  <c r="AQ115" i="1" s="1"/>
  <c r="AO153" i="1"/>
  <c r="AQ153" i="1" s="1"/>
  <c r="AO162" i="1"/>
  <c r="AQ162" i="1" s="1"/>
  <c r="AO215" i="1"/>
  <c r="AQ215" i="1" s="1"/>
  <c r="AO219" i="1"/>
  <c r="AQ219" i="1" s="1"/>
  <c r="AO223" i="1"/>
  <c r="AQ223" i="1" s="1"/>
  <c r="AO256" i="1"/>
  <c r="AQ256" i="1" s="1"/>
  <c r="AO261" i="1"/>
  <c r="AQ261" i="1" s="1"/>
  <c r="AO271" i="1"/>
  <c r="AQ271" i="1" s="1"/>
  <c r="AO277" i="1"/>
  <c r="AQ277" i="1" s="1"/>
  <c r="AO300" i="1"/>
  <c r="AQ300" i="1" s="1"/>
  <c r="AO310" i="1"/>
  <c r="AQ310" i="1" s="1"/>
  <c r="AO315" i="1"/>
  <c r="AQ315" i="1" s="1"/>
  <c r="AO358" i="1"/>
  <c r="AQ358" i="1" s="1"/>
  <c r="AO363" i="1"/>
  <c r="AQ363" i="1" s="1"/>
  <c r="AO372" i="1"/>
  <c r="AQ372" i="1" s="1"/>
  <c r="AO400" i="1"/>
  <c r="AQ400" i="1" s="1"/>
  <c r="AO414" i="1"/>
  <c r="AQ414" i="1" s="1"/>
  <c r="AO453" i="1"/>
  <c r="AQ453" i="1" s="1"/>
  <c r="AO479" i="1"/>
  <c r="AQ479" i="1" s="1"/>
  <c r="AO509" i="1"/>
  <c r="AQ509" i="1" s="1"/>
  <c r="AO513" i="1"/>
  <c r="AQ513" i="1" s="1"/>
  <c r="AO518" i="1"/>
  <c r="AQ518" i="1" s="1"/>
  <c r="AO529" i="1"/>
  <c r="AQ529" i="1" s="1"/>
  <c r="AO534" i="1"/>
  <c r="AQ534" i="1" s="1"/>
  <c r="AO545" i="1"/>
  <c r="AQ545" i="1" s="1"/>
  <c r="AO550" i="1"/>
  <c r="AQ550" i="1" s="1"/>
  <c r="AO562" i="1"/>
  <c r="AQ562" i="1" s="1"/>
  <c r="AO594" i="1"/>
  <c r="AQ594" i="1" s="1"/>
  <c r="AO598" i="1"/>
  <c r="AQ598" i="1" s="1"/>
  <c r="AO646" i="1"/>
  <c r="AQ646" i="1" s="1"/>
  <c r="AO675" i="1"/>
  <c r="AQ675" i="1" s="1"/>
  <c r="AO689" i="1"/>
  <c r="AQ689" i="1" s="1"/>
  <c r="AO710" i="1"/>
  <c r="AQ710" i="1" s="1"/>
  <c r="AO725" i="1"/>
  <c r="AQ725" i="1" s="1"/>
  <c r="AO660" i="1"/>
  <c r="AQ660" i="1" s="1"/>
  <c r="AO696" i="1"/>
  <c r="AQ696" i="1" s="1"/>
  <c r="AO743" i="1"/>
  <c r="AQ743" i="1" s="1"/>
  <c r="AO747" i="1"/>
  <c r="AQ747" i="1" s="1"/>
  <c r="AO751" i="1"/>
  <c r="AQ751" i="1" s="1"/>
  <c r="AO798" i="1"/>
  <c r="AQ798" i="1" s="1"/>
  <c r="AO814" i="1"/>
  <c r="AQ814" i="1" s="1"/>
  <c r="AO856" i="1"/>
  <c r="AQ856" i="1" s="1"/>
  <c r="AO821" i="1"/>
  <c r="AQ821" i="1" s="1"/>
  <c r="AO866" i="1"/>
  <c r="AQ866" i="1" s="1"/>
  <c r="AO870" i="1"/>
  <c r="AQ870" i="1" s="1"/>
  <c r="AO1065" i="1"/>
  <c r="AQ1065" i="1" s="1"/>
  <c r="AO902" i="1"/>
  <c r="AQ902" i="1" s="1"/>
  <c r="AO941" i="1"/>
  <c r="AQ941" i="1" s="1"/>
  <c r="AO888" i="1"/>
  <c r="AQ888" i="1" s="1"/>
  <c r="AO1014" i="1"/>
  <c r="AQ1014" i="1" s="1"/>
  <c r="AO1204" i="1"/>
  <c r="AQ1204" i="1" s="1"/>
  <c r="AO881" i="1"/>
  <c r="AQ881" i="1" s="1"/>
  <c r="AO887" i="1"/>
  <c r="AQ887" i="1" s="1"/>
  <c r="AO912" i="1"/>
  <c r="AQ912" i="1" s="1"/>
  <c r="AO914" i="1"/>
  <c r="AQ914" i="1" s="1"/>
  <c r="AO1601" i="1"/>
  <c r="AQ1601" i="1" s="1"/>
  <c r="AO1119" i="1"/>
  <c r="AQ1119" i="1" s="1"/>
  <c r="AO1004" i="1"/>
  <c r="AQ1004" i="1" s="1"/>
  <c r="AO989" i="1"/>
  <c r="AQ989" i="1" s="1"/>
  <c r="AO1012" i="1"/>
  <c r="AQ1012" i="1" s="1"/>
  <c r="AO1013" i="1"/>
  <c r="AQ1013" i="1" s="1"/>
  <c r="AO1059" i="1"/>
  <c r="AQ1059" i="1" s="1"/>
  <c r="AO1062" i="1"/>
  <c r="AQ1062" i="1" s="1"/>
  <c r="AO1057" i="1"/>
  <c r="AQ1057" i="1" s="1"/>
  <c r="AO1075" i="1"/>
  <c r="AQ1075" i="1" s="1"/>
  <c r="AO1103" i="1"/>
  <c r="AQ1103" i="1" s="1"/>
  <c r="AO1114" i="1"/>
  <c r="AQ1114" i="1" s="1"/>
  <c r="AO1113" i="1"/>
  <c r="AQ1113" i="1" s="1"/>
  <c r="AO1100" i="1"/>
  <c r="AQ1100" i="1" s="1"/>
  <c r="AO1123" i="1"/>
  <c r="AQ1123" i="1" s="1"/>
  <c r="AO1177" i="1"/>
  <c r="AQ1177" i="1" s="1"/>
  <c r="AO1198" i="1"/>
  <c r="AQ1198" i="1" s="1"/>
  <c r="AO1180" i="1"/>
  <c r="AQ1180" i="1" s="1"/>
  <c r="AO1602" i="1"/>
  <c r="AQ1602" i="1" s="1"/>
  <c r="AO1277" i="1"/>
  <c r="AQ1277" i="1" s="1"/>
  <c r="AO1280" i="1"/>
  <c r="AQ1280" i="1" s="1"/>
  <c r="AO1381" i="1"/>
  <c r="AQ1381" i="1" s="1"/>
  <c r="AO1380" i="1"/>
  <c r="AQ1380" i="1" s="1"/>
  <c r="AO1379" i="1"/>
  <c r="AQ1379" i="1" s="1"/>
  <c r="AO1378" i="1"/>
  <c r="AQ1378" i="1" s="1"/>
  <c r="AO1377" i="1"/>
  <c r="AQ1377" i="1" s="1"/>
  <c r="AO1383" i="1"/>
  <c r="AQ1383" i="1" s="1"/>
  <c r="AO1384" i="1"/>
  <c r="AQ1384" i="1" s="1"/>
  <c r="AO1349" i="1"/>
  <c r="AQ1349" i="1" s="1"/>
  <c r="AO1350" i="1"/>
  <c r="AQ1350" i="1" s="1"/>
  <c r="AO1351" i="1"/>
  <c r="AQ1351" i="1" s="1"/>
  <c r="AO1352" i="1"/>
  <c r="AQ1352" i="1" s="1"/>
  <c r="AO1353" i="1"/>
  <c r="AQ1353" i="1" s="1"/>
  <c r="AO1405" i="1"/>
  <c r="AQ1405" i="1" s="1"/>
  <c r="AO1400" i="1"/>
  <c r="AQ1400" i="1" s="1"/>
  <c r="AO1426" i="1"/>
  <c r="AQ1426" i="1" s="1"/>
  <c r="AO1430" i="1"/>
  <c r="AQ1430" i="1" s="1"/>
  <c r="AO1603" i="1"/>
  <c r="AQ1603" i="1" s="1"/>
  <c r="AO16" i="1"/>
  <c r="AQ16" i="1" s="1"/>
  <c r="AO79" i="1"/>
  <c r="AQ79" i="1" s="1"/>
  <c r="AO130" i="1"/>
  <c r="AQ130" i="1" s="1"/>
  <c r="AO101" i="1"/>
  <c r="AQ101" i="1" s="1"/>
  <c r="AO60" i="1"/>
  <c r="AQ60" i="1" s="1"/>
  <c r="AO72" i="1"/>
  <c r="AQ72" i="1" s="1"/>
  <c r="J1191" i="33"/>
  <c r="AU94" i="1"/>
  <c r="AO77" i="1"/>
  <c r="AQ77" i="1" s="1"/>
  <c r="I1220" i="33"/>
  <c r="AT71" i="1"/>
  <c r="AO138" i="1"/>
  <c r="AQ138" i="1" s="1"/>
  <c r="J1253" i="33"/>
  <c r="AU105" i="1"/>
  <c r="AO159" i="1"/>
  <c r="AQ159" i="1" s="1"/>
  <c r="J1289" i="33"/>
  <c r="AU75" i="1"/>
  <c r="AO81" i="1"/>
  <c r="AQ81" i="1" s="1"/>
  <c r="J1293" i="33"/>
  <c r="AU74" i="1"/>
  <c r="J1301" i="33"/>
  <c r="AU76" i="1"/>
  <c r="AO117" i="1"/>
  <c r="AQ117" i="1" s="1"/>
  <c r="J1316" i="33"/>
  <c r="AU40" i="1"/>
  <c r="AO170" i="1"/>
  <c r="AQ170" i="1" s="1"/>
  <c r="J1360" i="33"/>
  <c r="AU275" i="1"/>
  <c r="AO173" i="1"/>
  <c r="AQ173" i="1" s="1"/>
  <c r="J1438" i="33"/>
  <c r="AU247" i="1"/>
  <c r="AO171" i="1"/>
  <c r="AQ171" i="1" s="1"/>
  <c r="J1494" i="33"/>
  <c r="AU120" i="1"/>
  <c r="AO67" i="1"/>
  <c r="AQ67" i="1" s="1"/>
  <c r="AO166" i="1"/>
  <c r="AQ166" i="1" s="1"/>
  <c r="J1505" i="33"/>
  <c r="AU211" i="1"/>
  <c r="AO267" i="1"/>
  <c r="AQ267" i="1" s="1"/>
  <c r="AO69" i="1"/>
  <c r="AQ69" i="1" s="1"/>
  <c r="AO179" i="1"/>
  <c r="AQ179" i="1" s="1"/>
  <c r="AO341" i="1"/>
  <c r="AQ341" i="1" s="1"/>
  <c r="J1578" i="33"/>
  <c r="AU178" i="1"/>
  <c r="AO199" i="1"/>
  <c r="AQ199" i="1" s="1"/>
  <c r="J1601" i="33"/>
  <c r="AU164" i="1"/>
  <c r="AO62" i="1"/>
  <c r="AQ62" i="1" s="1"/>
  <c r="J1633" i="33"/>
  <c r="AU188" i="1"/>
  <c r="AO63" i="1"/>
  <c r="AQ63" i="1" s="1"/>
  <c r="AO109" i="1"/>
  <c r="AQ109" i="1" s="1"/>
  <c r="AO177" i="1"/>
  <c r="AQ177" i="1" s="1"/>
  <c r="AO266" i="1"/>
  <c r="AQ266" i="1" s="1"/>
  <c r="J1689" i="33"/>
  <c r="AU264" i="1"/>
  <c r="J1704" i="33"/>
  <c r="AU227" i="1"/>
  <c r="AO316" i="1"/>
  <c r="AQ316" i="1" s="1"/>
  <c r="AO295" i="1"/>
  <c r="AQ295" i="1" s="1"/>
  <c r="J1759" i="33"/>
  <c r="AU331" i="1"/>
  <c r="AO2" i="1"/>
  <c r="AQ2" i="1" s="1"/>
  <c r="AO276" i="1"/>
  <c r="AQ276" i="1" s="1"/>
  <c r="J1785" i="33"/>
  <c r="AU180" i="1"/>
  <c r="AO337" i="1"/>
  <c r="AQ337" i="1" s="1"/>
  <c r="AO373" i="1"/>
  <c r="AQ373" i="1" s="1"/>
  <c r="AO387" i="1"/>
  <c r="AQ387" i="1" s="1"/>
  <c r="AO351" i="1"/>
  <c r="AQ351" i="1" s="1"/>
  <c r="AO357" i="1"/>
  <c r="AQ357" i="1" s="1"/>
  <c r="AO394" i="1"/>
  <c r="AQ394" i="1" s="1"/>
  <c r="J1915" i="33"/>
  <c r="AU422" i="1"/>
  <c r="J1931" i="33"/>
  <c r="AU308" i="1"/>
  <c r="J1939" i="33"/>
  <c r="AU382" i="1"/>
  <c r="J1963" i="33"/>
  <c r="AU385" i="1"/>
  <c r="AO420" i="1"/>
  <c r="AQ420" i="1" s="1"/>
  <c r="AO392" i="1"/>
  <c r="AQ392" i="1" s="1"/>
  <c r="I2008" i="33"/>
  <c r="AT355" i="1"/>
  <c r="I2016" i="33"/>
  <c r="AT397" i="1"/>
  <c r="I2140" i="33"/>
  <c r="AT441" i="1"/>
  <c r="I2162" i="33"/>
  <c r="AT490" i="1"/>
  <c r="I2163" i="33"/>
  <c r="AT451" i="1"/>
  <c r="I2166" i="33"/>
  <c r="AT476" i="1"/>
  <c r="I2173" i="33"/>
  <c r="AT492" i="1"/>
  <c r="I2206" i="33"/>
  <c r="AT535" i="1"/>
  <c r="I2214" i="33"/>
  <c r="AT461" i="1"/>
  <c r="I2217" i="33"/>
  <c r="AT538" i="1"/>
  <c r="I2306" i="33"/>
  <c r="AT554" i="1"/>
  <c r="I2348" i="33"/>
  <c r="AT527" i="1"/>
  <c r="I2357" i="33"/>
  <c r="AT612" i="1"/>
  <c r="I2380" i="33"/>
  <c r="AT501" i="1"/>
  <c r="I2397" i="33"/>
  <c r="AT633" i="1"/>
  <c r="I2418" i="33"/>
  <c r="AT448" i="1"/>
  <c r="I2421" i="33"/>
  <c r="AT632" i="1"/>
  <c r="AO623" i="1"/>
  <c r="AQ623" i="1" s="1"/>
  <c r="AO639" i="1"/>
  <c r="AQ639" i="1" s="1"/>
  <c r="AO650" i="1"/>
  <c r="AQ650" i="1" s="1"/>
  <c r="AO610" i="1"/>
  <c r="AQ610" i="1" s="1"/>
  <c r="J2489" i="33"/>
  <c r="AU587" i="1"/>
  <c r="J2494" i="33"/>
  <c r="AU934" i="1"/>
  <c r="AO676" i="1"/>
  <c r="AQ676" i="1" s="1"/>
  <c r="AO552" i="1"/>
  <c r="AQ552" i="1" s="1"/>
  <c r="AO620" i="1"/>
  <c r="AQ620" i="1" s="1"/>
  <c r="AO698" i="1"/>
  <c r="AQ698" i="1" s="1"/>
  <c r="AO643" i="1"/>
  <c r="AQ643" i="1" s="1"/>
  <c r="J2550" i="33"/>
  <c r="AU737" i="1"/>
  <c r="AO735" i="1"/>
  <c r="AQ735" i="1" s="1"/>
  <c r="AO673" i="1"/>
  <c r="AQ673" i="1" s="1"/>
  <c r="J2566" i="33"/>
  <c r="AU728" i="1"/>
  <c r="J2572" i="33"/>
  <c r="AU542" i="1"/>
  <c r="AO699" i="1"/>
  <c r="AQ699" i="1" s="1"/>
  <c r="J2603" i="33"/>
  <c r="AU695" i="1"/>
  <c r="AO758" i="1"/>
  <c r="AQ758" i="1" s="1"/>
  <c r="J2612" i="33"/>
  <c r="AU734" i="1"/>
  <c r="AO714" i="1"/>
  <c r="AQ714" i="1" s="1"/>
  <c r="AO773" i="1"/>
  <c r="AQ773" i="1" s="1"/>
  <c r="J2652" i="33"/>
  <c r="AU756" i="1"/>
  <c r="AO755" i="1"/>
  <c r="AQ755" i="1" s="1"/>
  <c r="AO760" i="1"/>
  <c r="AQ760" i="1" s="1"/>
  <c r="AO838" i="1"/>
  <c r="AQ838" i="1" s="1"/>
  <c r="AO677" i="1"/>
  <c r="AQ677" i="1" s="1"/>
  <c r="J2711" i="33"/>
  <c r="AU791" i="1"/>
  <c r="AO708" i="1"/>
  <c r="AQ708" i="1" s="1"/>
  <c r="J2758" i="33"/>
  <c r="AU805" i="1"/>
  <c r="AO883" i="1"/>
  <c r="AQ883" i="1" s="1"/>
  <c r="I2817" i="33"/>
  <c r="AT687" i="1"/>
  <c r="I2821" i="33"/>
  <c r="AT1058" i="1"/>
  <c r="I2865" i="33"/>
  <c r="AT905" i="1"/>
  <c r="I2959" i="33"/>
  <c r="AT1006" i="1"/>
  <c r="I2967" i="33"/>
  <c r="AT959" i="1"/>
  <c r="I2971" i="33"/>
  <c r="AT896" i="1"/>
  <c r="I2985" i="33"/>
  <c r="AT863" i="1"/>
  <c r="AO1060" i="1"/>
  <c r="AQ1060" i="1" s="1"/>
  <c r="AO977" i="1"/>
  <c r="AQ977" i="1" s="1"/>
  <c r="J3019" i="33"/>
  <c r="AU1010" i="1"/>
  <c r="J3020" i="33"/>
  <c r="AU988" i="1"/>
  <c r="AO961" i="1"/>
  <c r="AQ961" i="1" s="1"/>
  <c r="AO921" i="1"/>
  <c r="AQ921" i="1" s="1"/>
  <c r="J3071" i="33"/>
  <c r="AU990" i="1"/>
  <c r="J3106" i="33"/>
  <c r="AU944" i="1"/>
  <c r="AO976" i="1"/>
  <c r="AQ976" i="1" s="1"/>
  <c r="AO1016" i="1"/>
  <c r="AQ1016" i="1" s="1"/>
  <c r="J3127" i="33"/>
  <c r="AU1017" i="1"/>
  <c r="J3139" i="33"/>
  <c r="AU980" i="1"/>
  <c r="AO1064" i="1"/>
  <c r="AQ1064" i="1" s="1"/>
  <c r="J3158" i="33"/>
  <c r="AU1084" i="1"/>
  <c r="J3163" i="33"/>
  <c r="AU778" i="1"/>
  <c r="I3279" i="33"/>
  <c r="AT1095" i="1"/>
  <c r="I3296" i="33"/>
  <c r="AT1255" i="1"/>
  <c r="I3314" i="33"/>
  <c r="AT1022" i="1"/>
  <c r="I3344" i="33"/>
  <c r="AT1115" i="1"/>
  <c r="I3368" i="33"/>
  <c r="AT999" i="1"/>
  <c r="I3378" i="33"/>
  <c r="AT1033" i="1"/>
  <c r="I3388" i="33"/>
  <c r="AT1036" i="1"/>
  <c r="AO1178" i="1"/>
  <c r="AQ1178" i="1" s="1"/>
  <c r="AO1041" i="1"/>
  <c r="AQ1041" i="1" s="1"/>
  <c r="AO1162" i="1"/>
  <c r="AQ1162" i="1" s="1"/>
  <c r="J3429" i="33"/>
  <c r="AU1040" i="1"/>
  <c r="J3449" i="33"/>
  <c r="AU1138" i="1"/>
  <c r="AO1347" i="1"/>
  <c r="AQ1347" i="1" s="1"/>
  <c r="I3498" i="33"/>
  <c r="AT1165" i="1"/>
  <c r="I3540" i="33"/>
  <c r="AT1269" i="1"/>
  <c r="I3574" i="33"/>
  <c r="AT1020" i="1"/>
  <c r="I3615" i="33"/>
  <c r="AT1217" i="1"/>
  <c r="J3631" i="33"/>
  <c r="AU1258" i="1"/>
  <c r="AO1331" i="1"/>
  <c r="AQ1331" i="1" s="1"/>
  <c r="AO1039" i="1"/>
  <c r="AQ1039" i="1" s="1"/>
  <c r="J3649" i="33"/>
  <c r="AU1356" i="1"/>
  <c r="J3657" i="33"/>
  <c r="AU1402" i="1"/>
  <c r="AO1336" i="1"/>
  <c r="AQ1336" i="1" s="1"/>
  <c r="P424" i="6"/>
  <c r="P1153" i="33"/>
  <c r="P1165" i="33"/>
  <c r="P1193" i="33"/>
  <c r="P1228" i="33"/>
  <c r="P1244" i="33"/>
  <c r="P1290" i="33"/>
  <c r="P1291" i="33"/>
  <c r="P1307" i="33"/>
  <c r="P1336" i="33"/>
  <c r="P1366" i="33"/>
  <c r="P1371" i="33"/>
  <c r="P2031" i="33"/>
  <c r="P2051" i="33"/>
  <c r="P2085" i="33"/>
  <c r="P2086" i="33"/>
  <c r="P2099" i="33"/>
  <c r="P2100" i="33"/>
  <c r="P2112" i="33"/>
  <c r="P2129" i="33"/>
  <c r="P2166" i="33"/>
  <c r="P2204" i="33"/>
  <c r="P2206" i="33"/>
  <c r="P2214" i="33"/>
  <c r="P2236" i="33"/>
  <c r="P2292" i="33"/>
  <c r="P2337" i="33"/>
  <c r="P2341" i="33"/>
  <c r="P2350" i="33"/>
  <c r="P2359" i="33"/>
  <c r="P2383" i="33"/>
  <c r="P2398" i="33"/>
  <c r="P2422" i="33"/>
  <c r="P2462" i="33"/>
  <c r="P2466" i="33"/>
  <c r="P2822" i="33"/>
  <c r="P2845" i="33"/>
  <c r="P2854" i="33"/>
  <c r="P2866" i="33"/>
  <c r="P2875" i="33"/>
  <c r="P2888" i="33"/>
  <c r="P2907" i="33"/>
  <c r="P2915" i="33"/>
  <c r="P2921" i="33"/>
  <c r="P2926" i="33"/>
  <c r="P2944" i="33"/>
  <c r="P2957" i="33"/>
  <c r="P2959" i="33"/>
  <c r="P2985" i="33"/>
  <c r="P2853" i="33"/>
  <c r="P3177" i="33"/>
  <c r="P3209" i="33"/>
  <c r="P3284" i="33"/>
  <c r="P3306" i="33"/>
  <c r="P3325" i="33"/>
  <c r="P3334" i="33"/>
  <c r="P3353" i="33"/>
  <c r="P3370" i="33"/>
  <c r="P3374" i="33"/>
  <c r="P3388" i="33"/>
  <c r="P3464" i="33"/>
  <c r="P3467" i="33"/>
  <c r="P3492" i="33"/>
  <c r="P3495" i="33"/>
  <c r="P3564" i="33"/>
  <c r="P3623" i="33"/>
  <c r="P1248" i="33"/>
  <c r="P1381" i="33"/>
  <c r="P1432" i="33"/>
  <c r="P1436" i="33"/>
  <c r="P1424" i="33"/>
  <c r="P1458" i="33"/>
  <c r="P1461" i="33"/>
  <c r="P1465" i="33"/>
  <c r="P1505" i="33"/>
  <c r="P1512" i="33"/>
  <c r="P1514" i="33"/>
  <c r="P1515" i="33"/>
  <c r="P1533" i="33"/>
  <c r="P1589" i="33"/>
  <c r="P1687" i="33"/>
  <c r="P1696" i="33"/>
  <c r="P1710" i="33"/>
  <c r="P1759" i="33"/>
  <c r="P1783" i="33"/>
  <c r="P1785" i="33"/>
  <c r="P1842" i="33"/>
  <c r="P1865" i="33"/>
  <c r="P1899" i="33"/>
  <c r="P1927" i="33"/>
  <c r="P1964" i="33"/>
  <c r="P2478" i="33"/>
  <c r="P2506" i="33"/>
  <c r="P2603" i="33"/>
  <c r="P2611" i="33"/>
  <c r="P2620" i="33"/>
  <c r="P2623" i="33"/>
  <c r="P2637" i="33"/>
  <c r="P2651" i="33"/>
  <c r="P2656" i="33"/>
  <c r="P2661" i="33"/>
  <c r="P2690" i="33"/>
  <c r="P2695" i="33"/>
  <c r="P2710" i="33"/>
  <c r="P2717" i="33"/>
  <c r="P2724" i="33"/>
  <c r="P2730" i="33"/>
  <c r="P2746" i="33"/>
  <c r="P2757" i="33"/>
  <c r="P2758" i="33"/>
  <c r="P2760" i="33"/>
  <c r="P2785" i="33"/>
  <c r="P3045" i="33"/>
  <c r="P3085" i="33"/>
  <c r="P3095" i="33"/>
  <c r="P3403" i="33"/>
  <c r="P3425" i="33"/>
  <c r="P3638" i="33"/>
  <c r="P3641" i="33"/>
  <c r="P1114" i="33"/>
  <c r="P1169" i="33"/>
  <c r="P1189" i="33"/>
  <c r="P1198" i="33"/>
  <c r="P1240" i="33"/>
  <c r="P1284" i="33"/>
  <c r="P1348" i="33"/>
  <c r="P1368" i="33"/>
  <c r="P2003" i="33"/>
  <c r="P2008" i="33"/>
  <c r="P2017" i="33"/>
  <c r="P2060" i="33"/>
  <c r="P2061" i="33"/>
  <c r="P2092" i="33"/>
  <c r="P2095" i="33"/>
  <c r="P2125" i="33"/>
  <c r="P2151" i="33"/>
  <c r="P2159" i="33"/>
  <c r="P2162" i="33"/>
  <c r="P2190" i="33"/>
  <c r="P2191" i="33"/>
  <c r="P2234" i="33"/>
  <c r="P2267" i="33"/>
  <c r="P2320" i="33"/>
  <c r="P2407" i="33"/>
  <c r="P2408" i="33"/>
  <c r="P2447" i="33"/>
  <c r="P2804" i="33"/>
  <c r="P2818" i="33"/>
  <c r="P2832" i="33"/>
  <c r="P2841" i="33"/>
  <c r="P2870" i="33"/>
  <c r="P2882" i="33"/>
  <c r="P2916" i="33"/>
  <c r="P2928" i="33"/>
  <c r="P2937" i="33"/>
  <c r="P3183" i="33"/>
  <c r="P3201" i="33"/>
  <c r="P3210" i="33"/>
  <c r="P3244" i="33"/>
  <c r="P3249" i="33"/>
  <c r="P3274" i="33"/>
  <c r="P3277" i="33"/>
  <c r="P3292" i="33"/>
  <c r="P3293" i="33"/>
  <c r="P3308" i="33"/>
  <c r="P3320" i="33"/>
  <c r="P3322" i="33"/>
  <c r="P3381" i="33"/>
  <c r="P3497" i="33"/>
  <c r="P3498" i="33"/>
  <c r="P3526" i="33"/>
  <c r="P3527" i="33"/>
  <c r="P3553" i="33"/>
  <c r="P3573" i="33"/>
  <c r="P3574" i="33"/>
  <c r="P3576" i="33"/>
  <c r="P3617" i="33"/>
  <c r="P1146" i="33"/>
  <c r="P1206" i="33"/>
  <c r="P1316" i="33"/>
  <c r="P1322" i="33"/>
  <c r="P1401" i="33"/>
  <c r="P1407" i="33"/>
  <c r="P1411" i="33"/>
  <c r="P1459" i="33"/>
  <c r="P1469" i="33"/>
  <c r="P1501" i="33"/>
  <c r="P1510" i="33"/>
  <c r="P1543" i="33"/>
  <c r="P1547" i="33"/>
  <c r="P1554" i="33"/>
  <c r="P1603" i="33"/>
  <c r="P1609" i="33"/>
  <c r="P1656" i="33"/>
  <c r="P1663" i="33"/>
  <c r="P1713" i="33"/>
  <c r="P1717" i="33"/>
  <c r="P1837" i="33"/>
  <c r="P1838" i="33"/>
  <c r="P1846" i="33"/>
  <c r="P1878" i="33"/>
  <c r="P1915" i="33"/>
  <c r="P1930" i="33"/>
  <c r="P1931" i="33"/>
  <c r="P1940" i="33"/>
  <c r="P1973" i="33"/>
  <c r="P2488" i="33"/>
  <c r="P2514" i="33"/>
  <c r="P2516" i="33"/>
  <c r="P2565" i="33"/>
  <c r="P2571" i="33"/>
  <c r="P2662" i="33"/>
  <c r="P2672" i="33"/>
  <c r="P2701" i="33"/>
  <c r="P2738" i="33"/>
  <c r="P2745" i="33"/>
  <c r="P2749" i="33"/>
  <c r="P2775" i="33"/>
  <c r="P2779" i="33"/>
  <c r="P2992" i="33"/>
  <c r="P3008" i="33"/>
  <c r="P3019" i="33"/>
  <c r="P3027" i="33"/>
  <c r="P3042" i="33"/>
  <c r="P3076" i="33"/>
  <c r="P3084" i="33"/>
  <c r="P3161" i="33"/>
  <c r="P3432" i="33"/>
  <c r="P3445" i="33"/>
  <c r="P3629" i="33"/>
  <c r="P3634" i="33"/>
  <c r="P3646" i="33"/>
  <c r="P1131" i="33"/>
  <c r="P1139" i="33"/>
  <c r="P1161" i="33"/>
  <c r="P1183" i="33"/>
  <c r="P1208" i="33"/>
  <c r="P1219" i="33"/>
  <c r="P1254" i="33"/>
  <c r="P1298" i="33"/>
  <c r="P1300" i="33"/>
  <c r="P1325" i="33"/>
  <c r="P1340" i="33"/>
  <c r="P1338" i="33"/>
  <c r="P1364" i="33"/>
  <c r="P1373" i="33"/>
  <c r="P2069" i="33"/>
  <c r="P2082" i="33"/>
  <c r="P2164" i="33"/>
  <c r="P2187" i="33"/>
  <c r="P2200" i="33"/>
  <c r="P2217" i="33"/>
  <c r="P2259" i="33"/>
  <c r="P2262" i="33"/>
  <c r="P2285" i="33"/>
  <c r="P2304" i="33"/>
  <c r="P2306" i="33"/>
  <c r="P2309" i="33"/>
  <c r="P2347" i="33"/>
  <c r="P2348" i="33"/>
  <c r="P2389" i="33"/>
  <c r="P2392" i="33"/>
  <c r="P2393" i="33"/>
  <c r="P2418" i="33"/>
  <c r="P2435" i="33"/>
  <c r="P2440" i="33"/>
  <c r="P2444" i="33"/>
  <c r="P2798" i="33"/>
  <c r="P2815" i="33"/>
  <c r="P2836" i="33"/>
  <c r="P2879" i="33"/>
  <c r="P2889" i="33"/>
  <c r="P2892" i="33"/>
  <c r="P2893" i="33"/>
  <c r="P2923" i="33"/>
  <c r="P2968" i="33"/>
  <c r="P2971" i="33"/>
  <c r="P3173" i="33"/>
  <c r="P3174" i="33"/>
  <c r="P3175" i="33"/>
  <c r="P3188" i="33"/>
  <c r="P3205" i="33"/>
  <c r="P3256" i="33"/>
  <c r="P3314" i="33"/>
  <c r="P3318" i="33"/>
  <c r="P3324" i="33"/>
  <c r="P3338" i="33"/>
  <c r="P3344" i="33"/>
  <c r="P3355" i="33"/>
  <c r="P3378" i="33"/>
  <c r="P3471" i="33"/>
  <c r="P3499" i="33"/>
  <c r="P3522" i="33"/>
  <c r="P3539" i="33"/>
  <c r="P3563" i="33"/>
  <c r="P3619" i="33"/>
  <c r="P3504" i="33"/>
  <c r="P1220" i="33"/>
  <c r="P1263" i="33"/>
  <c r="P1395" i="33"/>
  <c r="P1404" i="33"/>
  <c r="P1415" i="33"/>
  <c r="P1417" i="33"/>
  <c r="P1437" i="33"/>
  <c r="P1495" i="33"/>
  <c r="P1576" i="33"/>
  <c r="P1601" i="33"/>
  <c r="P1610" i="33"/>
  <c r="P1639" i="33"/>
  <c r="P1671" i="33"/>
  <c r="P1678" i="33"/>
  <c r="P1683" i="33"/>
  <c r="P1709" i="33"/>
  <c r="P1753" i="33"/>
  <c r="P1754" i="33"/>
  <c r="P1776" i="33"/>
  <c r="P1787" i="33"/>
  <c r="P1800" i="33"/>
  <c r="P1817" i="33"/>
  <c r="P1824" i="33"/>
  <c r="P1843" i="33"/>
  <c r="P1850" i="33"/>
  <c r="P1853" i="33"/>
  <c r="P1869" i="33"/>
  <c r="P1879" i="33"/>
  <c r="P1882" i="33"/>
  <c r="P1949" i="33"/>
  <c r="P1962" i="33"/>
  <c r="P1963" i="33"/>
  <c r="P1974" i="33"/>
  <c r="P2485" i="33"/>
  <c r="P2489" i="33"/>
  <c r="P2493" i="33"/>
  <c r="P2523" i="33"/>
  <c r="P2531" i="33"/>
  <c r="P2533" i="33"/>
  <c r="P2544" i="33"/>
  <c r="P2552" i="33"/>
  <c r="P2558" i="33"/>
  <c r="P2579" i="33"/>
  <c r="P2599" i="33"/>
  <c r="P2613" i="33"/>
  <c r="P2647" i="33"/>
  <c r="P2668" i="33"/>
  <c r="P2673" i="33"/>
  <c r="P2682" i="33"/>
  <c r="P2685" i="33"/>
  <c r="P2741" i="33"/>
  <c r="P3006" i="33"/>
  <c r="P3021" i="33"/>
  <c r="P3026" i="33"/>
  <c r="P3100" i="33"/>
  <c r="P3117" i="33"/>
  <c r="P3124" i="33"/>
  <c r="P3139" i="33"/>
  <c r="P3406" i="33"/>
  <c r="P3428" i="33"/>
  <c r="P3647" i="33"/>
  <c r="P3657" i="33"/>
  <c r="P1764" i="33"/>
  <c r="P2886" i="33"/>
  <c r="K2885" i="33"/>
  <c r="I2885" i="33"/>
  <c r="P336" i="6"/>
  <c r="P337" i="6"/>
  <c r="I336" i="6"/>
  <c r="I337" i="6"/>
  <c r="J337" i="6"/>
  <c r="J336" i="6"/>
  <c r="K337" i="6"/>
  <c r="K336" i="6"/>
  <c r="R106" i="36"/>
  <c r="I377" i="6"/>
  <c r="J377" i="6"/>
  <c r="P377" i="6"/>
  <c r="J329" i="6"/>
  <c r="K207" i="6"/>
  <c r="K209" i="6"/>
  <c r="P296" i="6"/>
  <c r="P146" i="6"/>
  <c r="I223" i="6"/>
  <c r="P3660" i="33"/>
  <c r="K142" i="6"/>
  <c r="I143" i="6"/>
  <c r="I329" i="6"/>
  <c r="J207" i="6"/>
  <c r="J209" i="6"/>
  <c r="K146" i="6"/>
  <c r="J223" i="6"/>
  <c r="K377" i="6"/>
  <c r="P140" i="6"/>
  <c r="I207" i="6"/>
  <c r="I209" i="6"/>
  <c r="I148" i="6"/>
  <c r="J146" i="6"/>
  <c r="P210" i="6"/>
  <c r="K297" i="6"/>
  <c r="P297" i="6"/>
  <c r="P223" i="6"/>
  <c r="K223" i="6"/>
  <c r="I3652" i="33"/>
  <c r="I94" i="6"/>
  <c r="K145" i="6"/>
  <c r="P171" i="6"/>
  <c r="J149" i="6"/>
  <c r="I146" i="6"/>
  <c r="K210" i="6"/>
  <c r="J297" i="6"/>
  <c r="J168" i="6"/>
  <c r="P134" i="6"/>
  <c r="J96" i="6"/>
  <c r="J3656" i="33"/>
  <c r="P145" i="6"/>
  <c r="P152" i="6"/>
  <c r="K129" i="6"/>
  <c r="K193" i="6"/>
  <c r="K171" i="6"/>
  <c r="K149" i="6"/>
  <c r="J210" i="6"/>
  <c r="I297" i="6"/>
  <c r="I168" i="6"/>
  <c r="I135" i="6"/>
  <c r="I211" i="6"/>
  <c r="K3653" i="33"/>
  <c r="K94" i="6"/>
  <c r="J157" i="6"/>
  <c r="J130" i="6"/>
  <c r="J193" i="6"/>
  <c r="J171" i="6"/>
  <c r="I296" i="6"/>
  <c r="P149" i="6"/>
  <c r="I210" i="6"/>
  <c r="J137" i="6"/>
  <c r="J211" i="6"/>
  <c r="P95" i="6"/>
  <c r="P3655" i="33"/>
  <c r="K157" i="6"/>
  <c r="P329" i="6"/>
  <c r="I127" i="6"/>
  <c r="I193" i="6"/>
  <c r="I171" i="6"/>
  <c r="J296" i="6"/>
  <c r="K211" i="6"/>
  <c r="I142" i="6"/>
  <c r="I152" i="6"/>
  <c r="K329" i="6"/>
  <c r="P208" i="6"/>
  <c r="P209" i="6"/>
  <c r="K296" i="6"/>
  <c r="P211" i="6"/>
  <c r="J141" i="6"/>
  <c r="K375" i="6"/>
  <c r="K374" i="6"/>
  <c r="K376" i="6"/>
  <c r="P375" i="6"/>
  <c r="P374" i="6"/>
  <c r="P376" i="6"/>
  <c r="J374" i="6"/>
  <c r="J375" i="6"/>
  <c r="J376" i="6"/>
  <c r="I374" i="6"/>
  <c r="I375" i="6"/>
  <c r="I376" i="6"/>
  <c r="P204" i="6"/>
  <c r="P200" i="6"/>
  <c r="P201" i="6"/>
  <c r="P202" i="6"/>
  <c r="P203" i="6"/>
  <c r="P2794" i="33"/>
  <c r="P347" i="6"/>
  <c r="P348" i="6"/>
  <c r="P349" i="6"/>
  <c r="I347" i="6"/>
  <c r="I349" i="6"/>
  <c r="I348" i="6"/>
  <c r="J349" i="6"/>
  <c r="J347" i="6"/>
  <c r="J348" i="6"/>
  <c r="K2792" i="33"/>
  <c r="K349" i="6"/>
  <c r="K347" i="6"/>
  <c r="K348" i="6"/>
  <c r="J346" i="6"/>
  <c r="J343" i="6"/>
  <c r="J344" i="6"/>
  <c r="J345" i="6"/>
  <c r="I343" i="6"/>
  <c r="I344" i="6"/>
  <c r="I346" i="6"/>
  <c r="I345" i="6"/>
  <c r="P343" i="6"/>
  <c r="P346" i="6"/>
  <c r="P344" i="6"/>
  <c r="P345" i="6"/>
  <c r="K343" i="6"/>
  <c r="K344" i="6"/>
  <c r="K346" i="6"/>
  <c r="K345" i="6"/>
  <c r="P144" i="6"/>
  <c r="J93" i="6"/>
  <c r="I327" i="6"/>
  <c r="I328" i="6"/>
  <c r="J328" i="6"/>
  <c r="J327" i="6"/>
  <c r="K328" i="6"/>
  <c r="K327" i="6"/>
  <c r="P327" i="6"/>
  <c r="P328" i="6"/>
  <c r="I3584" i="33"/>
  <c r="J3582" i="33"/>
  <c r="K3584" i="33"/>
  <c r="P3582" i="33"/>
  <c r="P3649" i="33"/>
  <c r="P3650" i="33"/>
  <c r="K2329" i="33"/>
  <c r="I3534" i="33"/>
  <c r="J97" i="6"/>
  <c r="K3537" i="33"/>
  <c r="I3626" i="33"/>
  <c r="N565" i="6"/>
  <c r="I304" i="6"/>
  <c r="I305" i="6"/>
  <c r="K304" i="6"/>
  <c r="K305" i="6"/>
  <c r="P305" i="6"/>
  <c r="P304" i="6"/>
  <c r="J304" i="6"/>
  <c r="J305" i="6"/>
  <c r="P2564" i="33"/>
  <c r="J3652" i="33"/>
  <c r="K3502" i="33"/>
  <c r="J95" i="6"/>
  <c r="P3628" i="33"/>
  <c r="I3506" i="33"/>
  <c r="P3632" i="33"/>
  <c r="P3630" i="33"/>
  <c r="I3311" i="33"/>
  <c r="I281" i="6"/>
  <c r="I280" i="6"/>
  <c r="K281" i="6"/>
  <c r="K280" i="6"/>
  <c r="P281" i="6"/>
  <c r="P280" i="6"/>
  <c r="J280" i="6"/>
  <c r="J281" i="6"/>
  <c r="P186" i="6"/>
  <c r="P187" i="6"/>
  <c r="P188" i="6"/>
  <c r="P189" i="6"/>
  <c r="P190" i="6"/>
  <c r="P191" i="6"/>
  <c r="P192" i="6"/>
  <c r="P193" i="6"/>
  <c r="P272" i="6"/>
  <c r="P271" i="6"/>
  <c r="J271" i="6"/>
  <c r="J272" i="6"/>
  <c r="I272" i="6"/>
  <c r="I271" i="6"/>
  <c r="K272" i="6"/>
  <c r="K271" i="6"/>
  <c r="K269" i="6"/>
  <c r="P269" i="6"/>
  <c r="J269" i="6"/>
  <c r="I269" i="6"/>
  <c r="J267" i="6"/>
  <c r="J266" i="6"/>
  <c r="J268" i="6"/>
  <c r="I266" i="6"/>
  <c r="I268" i="6"/>
  <c r="I267" i="6"/>
  <c r="K266" i="6"/>
  <c r="K267" i="6"/>
  <c r="K268" i="6"/>
  <c r="P266" i="6"/>
  <c r="P267" i="6"/>
  <c r="P268" i="6"/>
  <c r="P138" i="6"/>
  <c r="P141" i="6"/>
  <c r="P142" i="6"/>
  <c r="P139" i="6"/>
  <c r="P262" i="6"/>
  <c r="P261" i="6"/>
  <c r="P263" i="6"/>
  <c r="P265" i="6"/>
  <c r="P264" i="6"/>
  <c r="I3108" i="33"/>
  <c r="I254" i="6"/>
  <c r="I255" i="6"/>
  <c r="K3111" i="33"/>
  <c r="K254" i="6"/>
  <c r="K255" i="6"/>
  <c r="P3111" i="33"/>
  <c r="P255" i="6"/>
  <c r="P254" i="6"/>
  <c r="J254" i="6"/>
  <c r="J255" i="6"/>
  <c r="K258" i="6"/>
  <c r="K257" i="6"/>
  <c r="K259" i="6"/>
  <c r="K260" i="6"/>
  <c r="K256" i="6"/>
  <c r="J260" i="6"/>
  <c r="J256" i="6"/>
  <c r="J257" i="6"/>
  <c r="J259" i="6"/>
  <c r="J258" i="6"/>
  <c r="I257" i="6"/>
  <c r="I258" i="6"/>
  <c r="I256" i="6"/>
  <c r="I259" i="6"/>
  <c r="I260" i="6"/>
  <c r="P259" i="6"/>
  <c r="P260" i="6"/>
  <c r="P256" i="6"/>
  <c r="P257" i="6"/>
  <c r="P258" i="6"/>
  <c r="K3637" i="33"/>
  <c r="K219" i="6"/>
  <c r="I219" i="6"/>
  <c r="J219" i="6"/>
  <c r="I3076" i="33"/>
  <c r="K244" i="6"/>
  <c r="K247" i="6"/>
  <c r="K243" i="6"/>
  <c r="K242" i="6"/>
  <c r="K245" i="6"/>
  <c r="K246" i="6"/>
  <c r="P247" i="6"/>
  <c r="P245" i="6"/>
  <c r="P243" i="6"/>
  <c r="P242" i="6"/>
  <c r="P246" i="6"/>
  <c r="P244" i="6"/>
  <c r="J242" i="6"/>
  <c r="J244" i="6"/>
  <c r="J245" i="6"/>
  <c r="J246" i="6"/>
  <c r="J243" i="6"/>
  <c r="J247" i="6"/>
  <c r="I244" i="6"/>
  <c r="I246" i="6"/>
  <c r="I242" i="6"/>
  <c r="I243" i="6"/>
  <c r="I247" i="6"/>
  <c r="I245" i="6"/>
  <c r="K241" i="6"/>
  <c r="K238" i="6"/>
  <c r="K240" i="6"/>
  <c r="K239" i="6"/>
  <c r="I241" i="6"/>
  <c r="I238" i="6"/>
  <c r="I240" i="6"/>
  <c r="I239" i="6"/>
  <c r="P241" i="6"/>
  <c r="P239" i="6"/>
  <c r="P238" i="6"/>
  <c r="P240" i="6"/>
  <c r="J241" i="6"/>
  <c r="J240" i="6"/>
  <c r="J239" i="6"/>
  <c r="J238" i="6"/>
  <c r="J94" i="6"/>
  <c r="I3623" i="33"/>
  <c r="P3631" i="33"/>
  <c r="K561" i="6"/>
  <c r="F115" i="7"/>
  <c r="E115" i="7"/>
  <c r="F117" i="7"/>
  <c r="E117" i="7"/>
  <c r="K560" i="6"/>
  <c r="N560" i="6" s="1"/>
  <c r="L57" i="7"/>
  <c r="O57" i="7" s="1"/>
  <c r="K573" i="6"/>
  <c r="K572" i="6"/>
  <c r="N572" i="6" s="1"/>
  <c r="K571" i="6"/>
  <c r="H115" i="7" s="1"/>
  <c r="K559" i="6"/>
  <c r="N559" i="6" s="1"/>
  <c r="K568" i="6"/>
  <c r="N568" i="6" s="1"/>
  <c r="K570" i="6"/>
  <c r="N570" i="6" s="1"/>
  <c r="K569" i="6"/>
  <c r="N569" i="6" s="1"/>
  <c r="I124" i="7"/>
  <c r="H12" i="7"/>
  <c r="D73" i="7" s="1"/>
  <c r="E125" i="7" s="1"/>
  <c r="I125" i="7"/>
  <c r="H4" i="7"/>
  <c r="D71" i="7" s="1"/>
  <c r="E123" i="7" s="1"/>
  <c r="L3" i="7"/>
  <c r="I9" i="7"/>
  <c r="J72" i="7" s="1"/>
  <c r="K72" i="7" s="1"/>
  <c r="I2212" i="33"/>
  <c r="E131" i="7"/>
  <c r="E135" i="7"/>
  <c r="E129" i="7"/>
  <c r="E132" i="7"/>
  <c r="E130" i="7"/>
  <c r="E128" i="7"/>
  <c r="E137" i="7"/>
  <c r="P216" i="6"/>
  <c r="P217" i="6"/>
  <c r="K217" i="6"/>
  <c r="K216" i="6"/>
  <c r="J216" i="6"/>
  <c r="J217" i="6"/>
  <c r="I217" i="6"/>
  <c r="I216" i="6"/>
  <c r="K206" i="6"/>
  <c r="P206" i="6"/>
  <c r="I206" i="6"/>
  <c r="J206" i="6"/>
  <c r="J3538" i="33"/>
  <c r="I224" i="6"/>
  <c r="I225" i="6"/>
  <c r="I226" i="6"/>
  <c r="J225" i="6"/>
  <c r="J226" i="6"/>
  <c r="J224" i="6"/>
  <c r="K225" i="6"/>
  <c r="K226" i="6"/>
  <c r="K224" i="6"/>
  <c r="P226" i="6"/>
  <c r="P224" i="6"/>
  <c r="P225" i="6"/>
  <c r="P220" i="6"/>
  <c r="P221" i="6"/>
  <c r="P222" i="6"/>
  <c r="P218" i="6"/>
  <c r="I220" i="6"/>
  <c r="I222" i="6"/>
  <c r="I221" i="6"/>
  <c r="I218" i="6"/>
  <c r="J222" i="6"/>
  <c r="J220" i="6"/>
  <c r="J221" i="6"/>
  <c r="J218" i="6"/>
  <c r="K221" i="6"/>
  <c r="K220" i="6"/>
  <c r="K222" i="6"/>
  <c r="K218" i="6"/>
  <c r="P219" i="6"/>
  <c r="I215" i="6"/>
  <c r="J215" i="6"/>
  <c r="P215" i="6"/>
  <c r="K215" i="6"/>
  <c r="P3452" i="33"/>
  <c r="P213" i="6"/>
  <c r="P214" i="6"/>
  <c r="I3454" i="33"/>
  <c r="I213" i="6"/>
  <c r="I214" i="6"/>
  <c r="J3454" i="33"/>
  <c r="J214" i="6"/>
  <c r="J213" i="6"/>
  <c r="K214" i="6"/>
  <c r="K213" i="6"/>
  <c r="J140" i="6"/>
  <c r="I3367" i="33"/>
  <c r="J139" i="6"/>
  <c r="J142" i="6"/>
  <c r="J212" i="6"/>
  <c r="P212" i="6"/>
  <c r="I212" i="6"/>
  <c r="K212" i="6"/>
  <c r="J3646" i="33"/>
  <c r="P2349" i="33"/>
  <c r="I138" i="6"/>
  <c r="J3645" i="33"/>
  <c r="I3650" i="33"/>
  <c r="I139" i="6"/>
  <c r="I3649" i="33"/>
  <c r="P3658" i="33"/>
  <c r="P3633" i="33"/>
  <c r="K3539" i="33"/>
  <c r="K3616" i="33"/>
  <c r="J3244" i="33"/>
  <c r="P3521" i="33"/>
  <c r="K3540" i="33"/>
  <c r="I3097" i="33"/>
  <c r="I3647" i="33"/>
  <c r="J138" i="6"/>
  <c r="K3538" i="33"/>
  <c r="K3639" i="33"/>
  <c r="I3099" i="33"/>
  <c r="P3620" i="33"/>
  <c r="P3622" i="33"/>
  <c r="K2133" i="33"/>
  <c r="P3466" i="33"/>
  <c r="K208" i="6"/>
  <c r="J208" i="6"/>
  <c r="I208" i="6"/>
  <c r="P207" i="6"/>
  <c r="I3410" i="33"/>
  <c r="K96" i="6"/>
  <c r="J3283" i="33"/>
  <c r="J3270" i="33"/>
  <c r="J2828" i="33"/>
  <c r="K143" i="6"/>
  <c r="J3622" i="33"/>
  <c r="P183" i="6"/>
  <c r="P184" i="6"/>
  <c r="P185" i="6"/>
  <c r="K185" i="6"/>
  <c r="K183" i="6"/>
  <c r="K184" i="6"/>
  <c r="J180" i="6"/>
  <c r="J181" i="6"/>
  <c r="J182" i="6"/>
  <c r="J183" i="6"/>
  <c r="J184" i="6"/>
  <c r="J185" i="6"/>
  <c r="I182" i="6"/>
  <c r="I183" i="6"/>
  <c r="I184" i="6"/>
  <c r="I185" i="6"/>
  <c r="I181" i="6"/>
  <c r="J3568" i="33"/>
  <c r="J3565" i="33"/>
  <c r="P1224" i="33"/>
  <c r="K3005" i="33"/>
  <c r="K3620" i="33"/>
  <c r="I3192" i="33"/>
  <c r="J3638" i="33"/>
  <c r="J3195" i="33"/>
  <c r="K2735" i="33"/>
  <c r="J147" i="6"/>
  <c r="K3194" i="33"/>
  <c r="P3195" i="33"/>
  <c r="I2735" i="33"/>
  <c r="J2734" i="33"/>
  <c r="P1154" i="33"/>
  <c r="K1371" i="33"/>
  <c r="K197" i="6"/>
  <c r="I3338" i="33"/>
  <c r="J199" i="6"/>
  <c r="I199" i="6"/>
  <c r="J196" i="6"/>
  <c r="J197" i="6"/>
  <c r="K196" i="6"/>
  <c r="I197" i="6"/>
  <c r="J195" i="6"/>
  <c r="P195" i="6"/>
  <c r="I198" i="6"/>
  <c r="P199" i="6"/>
  <c r="K195" i="6"/>
  <c r="I195" i="6"/>
  <c r="K199" i="6"/>
  <c r="P198" i="6"/>
  <c r="P196" i="6"/>
  <c r="J198" i="6"/>
  <c r="K198" i="6"/>
  <c r="P197" i="6"/>
  <c r="I196" i="6"/>
  <c r="K1442" i="33"/>
  <c r="J3447" i="33"/>
  <c r="I3447" i="33"/>
  <c r="J25" i="7"/>
  <c r="G76" i="7" s="1"/>
  <c r="H76" i="7" s="1"/>
  <c r="J2310" i="33"/>
  <c r="P3447" i="33"/>
  <c r="I3532" i="33"/>
  <c r="K1610" i="33"/>
  <c r="P3461" i="33"/>
  <c r="I3460" i="33"/>
  <c r="J3457" i="33"/>
  <c r="K3458" i="33"/>
  <c r="I1253" i="33"/>
  <c r="K3622" i="33"/>
  <c r="K3619" i="33"/>
  <c r="P1546" i="33"/>
  <c r="I3525" i="33"/>
  <c r="K2355" i="33"/>
  <c r="K3568" i="33"/>
  <c r="J2471" i="33"/>
  <c r="K3354" i="33"/>
  <c r="I2233" i="33"/>
  <c r="J2474" i="33"/>
  <c r="I3524" i="33"/>
  <c r="K3447" i="33"/>
  <c r="K3533" i="33"/>
  <c r="I3533" i="33"/>
  <c r="I3531" i="33"/>
  <c r="P97" i="6"/>
  <c r="I3405" i="33"/>
  <c r="K1369" i="33"/>
  <c r="K3621" i="33"/>
  <c r="P2761" i="33"/>
  <c r="K3188" i="33"/>
  <c r="K3566" i="33"/>
  <c r="K3578" i="33"/>
  <c r="J3639" i="33"/>
  <c r="K3659" i="33"/>
  <c r="P3087" i="33"/>
  <c r="K3576" i="33"/>
  <c r="K2860" i="33"/>
  <c r="K3522" i="33"/>
  <c r="P1545" i="33"/>
  <c r="P2723" i="33"/>
  <c r="J1882" i="33"/>
  <c r="J3635" i="33"/>
  <c r="K3520" i="33"/>
  <c r="P1608" i="33"/>
  <c r="J1883" i="33"/>
  <c r="J3636" i="33"/>
  <c r="K3565" i="33"/>
  <c r="J3637" i="33"/>
  <c r="K3494" i="33"/>
  <c r="K3660" i="33"/>
  <c r="I1289" i="33"/>
  <c r="P2670" i="33"/>
  <c r="P1819" i="33"/>
  <c r="K3564" i="33"/>
  <c r="K2878" i="33"/>
  <c r="K3627" i="33"/>
  <c r="J3022" i="33"/>
  <c r="K168" i="6"/>
  <c r="P168" i="6"/>
  <c r="I147" i="6"/>
  <c r="P2636" i="33"/>
  <c r="J3154" i="33"/>
  <c r="J2563" i="33"/>
  <c r="K2148" i="33"/>
  <c r="P1711" i="33"/>
  <c r="K1199" i="33"/>
  <c r="K2833" i="33"/>
  <c r="J1648" i="33"/>
  <c r="K3207" i="33"/>
  <c r="I3219" i="33"/>
  <c r="K2730" i="33"/>
  <c r="I1323" i="33"/>
  <c r="I2810" i="33"/>
  <c r="K2881" i="33"/>
  <c r="J1910" i="33"/>
  <c r="K2386" i="33"/>
  <c r="K1338" i="33"/>
  <c r="J1575" i="33"/>
  <c r="K3493" i="33"/>
  <c r="P147" i="6"/>
  <c r="K147" i="6"/>
  <c r="K3531" i="33"/>
  <c r="J3065" i="33"/>
  <c r="I2938" i="33"/>
  <c r="P94" i="6"/>
  <c r="I3621" i="33"/>
  <c r="P3656" i="33"/>
  <c r="J3537" i="33"/>
  <c r="K3326" i="33"/>
  <c r="I3289" i="33"/>
  <c r="J2743" i="33"/>
  <c r="P3457" i="33"/>
  <c r="K3350" i="33"/>
  <c r="J3063" i="33"/>
  <c r="P3459" i="33"/>
  <c r="K3329" i="33"/>
  <c r="J3056" i="33"/>
  <c r="I3333" i="33"/>
  <c r="I3252" i="33"/>
  <c r="I3229" i="33"/>
  <c r="J1589" i="33"/>
  <c r="P1158" i="33"/>
  <c r="K186" i="6"/>
  <c r="K187" i="6"/>
  <c r="K188" i="6"/>
  <c r="K189" i="6"/>
  <c r="K190" i="6"/>
  <c r="K191" i="6"/>
  <c r="K192" i="6"/>
  <c r="I186" i="6"/>
  <c r="I190" i="6"/>
  <c r="I192" i="6"/>
  <c r="I187" i="6"/>
  <c r="I188" i="6"/>
  <c r="I189" i="6"/>
  <c r="I191" i="6"/>
  <c r="J186" i="6"/>
  <c r="J187" i="6"/>
  <c r="J192" i="6"/>
  <c r="J188" i="6"/>
  <c r="J189" i="6"/>
  <c r="J190" i="6"/>
  <c r="J191" i="6"/>
  <c r="P3106" i="33"/>
  <c r="J3229" i="33"/>
  <c r="J2923" i="33"/>
  <c r="J2120" i="33"/>
  <c r="P2884" i="33"/>
  <c r="K2181" i="33"/>
  <c r="P3654" i="33"/>
  <c r="P3456" i="33"/>
  <c r="J3448" i="33"/>
  <c r="P2917" i="33"/>
  <c r="J3410" i="33"/>
  <c r="J3302" i="33"/>
  <c r="P2711" i="33"/>
  <c r="J2506" i="33"/>
  <c r="P2608" i="33"/>
  <c r="I3567" i="33"/>
  <c r="I2762" i="33"/>
  <c r="K3312" i="33"/>
  <c r="P3070" i="33"/>
  <c r="I2280" i="33"/>
  <c r="J1930" i="33"/>
  <c r="K2166" i="33"/>
  <c r="I2051" i="33"/>
  <c r="P1494" i="33"/>
  <c r="I2031" i="33"/>
  <c r="J21" i="7"/>
  <c r="G75" i="7" s="1"/>
  <c r="H75" i="7" s="1"/>
  <c r="P2883" i="33"/>
  <c r="J3536" i="33"/>
  <c r="K2612" i="33"/>
  <c r="K3074" i="33"/>
  <c r="I180" i="6"/>
  <c r="K3647" i="33"/>
  <c r="P2088" i="33"/>
  <c r="K138" i="6"/>
  <c r="I93" i="6"/>
  <c r="I1928" i="33"/>
  <c r="J3499" i="33"/>
  <c r="K180" i="6"/>
  <c r="K181" i="6"/>
  <c r="K182" i="6"/>
  <c r="K140" i="6"/>
  <c r="I2656" i="33"/>
  <c r="I95" i="6"/>
  <c r="P180" i="6"/>
  <c r="P181" i="6"/>
  <c r="P182" i="6"/>
  <c r="I1390" i="33"/>
  <c r="I3654" i="33"/>
  <c r="J3279" i="33"/>
  <c r="K141" i="6"/>
  <c r="K3633" i="33"/>
  <c r="K3076" i="33"/>
  <c r="K3650" i="33"/>
  <c r="J3295" i="33"/>
  <c r="P2943" i="33"/>
  <c r="J3615" i="33"/>
  <c r="P2233" i="33"/>
  <c r="J1288" i="33"/>
  <c r="J3217" i="33"/>
  <c r="J3223" i="33"/>
  <c r="P2895" i="33"/>
  <c r="I3162" i="33"/>
  <c r="I3659" i="33"/>
  <c r="K3150" i="33"/>
  <c r="K2999" i="33"/>
  <c r="P2839" i="33"/>
  <c r="P2413" i="33"/>
  <c r="I3158" i="33"/>
  <c r="I3660" i="33"/>
  <c r="P3565" i="33"/>
  <c r="I3129" i="33"/>
  <c r="K3004" i="33"/>
  <c r="J3257" i="33"/>
  <c r="P2294" i="33"/>
  <c r="J2231" i="33"/>
  <c r="I2712" i="33"/>
  <c r="K3043" i="33"/>
  <c r="I3072" i="33"/>
  <c r="P2740" i="33"/>
  <c r="I3127" i="33"/>
  <c r="P2940" i="33"/>
  <c r="I3088" i="33"/>
  <c r="I2575" i="33"/>
  <c r="K1682" i="33"/>
  <c r="K1415" i="33"/>
  <c r="K3048" i="33"/>
  <c r="P1130" i="33"/>
  <c r="P3578" i="33"/>
  <c r="J3305" i="33"/>
  <c r="J3212" i="33"/>
  <c r="I3033" i="33"/>
  <c r="P2894" i="33"/>
  <c r="K2560" i="33"/>
  <c r="J2100" i="33"/>
  <c r="P3577" i="33"/>
  <c r="K3040" i="33"/>
  <c r="K3413" i="33"/>
  <c r="I3449" i="33"/>
  <c r="J3199" i="33"/>
  <c r="J3214" i="33"/>
  <c r="P2840" i="33"/>
  <c r="J1254" i="33"/>
  <c r="J1290" i="33"/>
  <c r="K1672" i="33"/>
  <c r="P2799" i="33"/>
  <c r="P2310" i="33"/>
  <c r="K2997" i="33"/>
  <c r="I2600" i="33"/>
  <c r="I1964" i="33"/>
  <c r="J3188" i="33"/>
  <c r="J2342" i="33"/>
  <c r="J2046" i="33"/>
  <c r="P2806" i="33"/>
  <c r="I3003" i="33"/>
  <c r="P3496" i="33"/>
  <c r="J3566" i="33"/>
  <c r="J175" i="6"/>
  <c r="I174" i="6"/>
  <c r="P172" i="6"/>
  <c r="K175" i="6"/>
  <c r="V1285" i="1"/>
  <c r="P178" i="6"/>
  <c r="P177" i="6"/>
  <c r="P179" i="6"/>
  <c r="P176" i="6"/>
  <c r="J174" i="6"/>
  <c r="P175" i="6"/>
  <c r="I173" i="6"/>
  <c r="K174" i="6"/>
  <c r="J173" i="6"/>
  <c r="P174" i="6"/>
  <c r="I172" i="6"/>
  <c r="K173" i="6"/>
  <c r="J172" i="6"/>
  <c r="P173" i="6"/>
  <c r="I179" i="6"/>
  <c r="I176" i="6"/>
  <c r="I178" i="6"/>
  <c r="I177" i="6"/>
  <c r="K172" i="6"/>
  <c r="I175" i="6"/>
  <c r="J178" i="6"/>
  <c r="J179" i="6"/>
  <c r="J176" i="6"/>
  <c r="J177" i="6"/>
  <c r="K177" i="6"/>
  <c r="K178" i="6"/>
  <c r="K179" i="6"/>
  <c r="K176" i="6"/>
  <c r="I1758" i="33"/>
  <c r="I170" i="6"/>
  <c r="I2483" i="33"/>
  <c r="I2482" i="33"/>
  <c r="K2596" i="33"/>
  <c r="K2595" i="33"/>
  <c r="J2898" i="33"/>
  <c r="J2903" i="33"/>
  <c r="J2907" i="33"/>
  <c r="J2906" i="33"/>
  <c r="J2937" i="33"/>
  <c r="J2941" i="33"/>
  <c r="K3028" i="33"/>
  <c r="K3029" i="33"/>
  <c r="K3407" i="33"/>
  <c r="K3408" i="33"/>
  <c r="K1152" i="33"/>
  <c r="K1156" i="33"/>
  <c r="K1155" i="33"/>
  <c r="P1151" i="33"/>
  <c r="P1212" i="33"/>
  <c r="P1211" i="33"/>
  <c r="P1552" i="33"/>
  <c r="P1553" i="33"/>
  <c r="J1669" i="33"/>
  <c r="J1672" i="33"/>
  <c r="J1671" i="33"/>
  <c r="J1719" i="33"/>
  <c r="J1718" i="33"/>
  <c r="J1717" i="33"/>
  <c r="P1836" i="33"/>
  <c r="P1835" i="33"/>
  <c r="P1857" i="33"/>
  <c r="P1856" i="33"/>
  <c r="P1855" i="33"/>
  <c r="P1897" i="33"/>
  <c r="P1895" i="33"/>
  <c r="K2147" i="33"/>
  <c r="K2146" i="33"/>
  <c r="K2199" i="33"/>
  <c r="K2200" i="33"/>
  <c r="K2289" i="33"/>
  <c r="K2290" i="33"/>
  <c r="I2322" i="33"/>
  <c r="I2323" i="33"/>
  <c r="I2321" i="33"/>
  <c r="I2320" i="33"/>
  <c r="J2544" i="33"/>
  <c r="J2545" i="33"/>
  <c r="P2592" i="33"/>
  <c r="P2593" i="33"/>
  <c r="P2594" i="33"/>
  <c r="P2622" i="33"/>
  <c r="P2621" i="33"/>
  <c r="J2663" i="33"/>
  <c r="J2662" i="33"/>
  <c r="J2702" i="33"/>
  <c r="J2703" i="33"/>
  <c r="P2742" i="33"/>
  <c r="P2744" i="33"/>
  <c r="P2743" i="33"/>
  <c r="K2875" i="33"/>
  <c r="K2873" i="33"/>
  <c r="K2899" i="33"/>
  <c r="K2897" i="33"/>
  <c r="K2904" i="33"/>
  <c r="K2903" i="33"/>
  <c r="K2894" i="33"/>
  <c r="K2901" i="33"/>
  <c r="K2900" i="33"/>
  <c r="K2921" i="33"/>
  <c r="K2920" i="33"/>
  <c r="I2945" i="33"/>
  <c r="I2946" i="33"/>
  <c r="J2995" i="33"/>
  <c r="J2994" i="33"/>
  <c r="J3000" i="33"/>
  <c r="J3006" i="33"/>
  <c r="J3001" i="33"/>
  <c r="P3058" i="33"/>
  <c r="P3060" i="33"/>
  <c r="P3056" i="33"/>
  <c r="P3057" i="33"/>
  <c r="P3059" i="33"/>
  <c r="I3243" i="33"/>
  <c r="I3244" i="33"/>
  <c r="P3411" i="33"/>
  <c r="P3410" i="33"/>
  <c r="J3452" i="33"/>
  <c r="J3453" i="33"/>
  <c r="J3451" i="33"/>
  <c r="J3450" i="33"/>
  <c r="K2308" i="33"/>
  <c r="J1738" i="33"/>
  <c r="K2832" i="33"/>
  <c r="P3402" i="33"/>
  <c r="I1679" i="33"/>
  <c r="I1677" i="33"/>
  <c r="J2152" i="33"/>
  <c r="J2151" i="33"/>
  <c r="P2211" i="33"/>
  <c r="P2210" i="33"/>
  <c r="J2375" i="33"/>
  <c r="J2376" i="33"/>
  <c r="K2524" i="33"/>
  <c r="K2523" i="33"/>
  <c r="K2762" i="33"/>
  <c r="K2760" i="33"/>
  <c r="J2412" i="33"/>
  <c r="J2413" i="33"/>
  <c r="K3052" i="33"/>
  <c r="K3053" i="33"/>
  <c r="J3205" i="33"/>
  <c r="J3204" i="33"/>
  <c r="J3206" i="33"/>
  <c r="K3411" i="33"/>
  <c r="K3410" i="33"/>
  <c r="J2367" i="33"/>
  <c r="P1216" i="33"/>
  <c r="P1174" i="33"/>
  <c r="I1302" i="33"/>
  <c r="I1301" i="33"/>
  <c r="I1299" i="33"/>
  <c r="I1300" i="33"/>
  <c r="I1374" i="33"/>
  <c r="I1373" i="33"/>
  <c r="I1372" i="33"/>
  <c r="J1585" i="33"/>
  <c r="J1586" i="33"/>
  <c r="J1587" i="33"/>
  <c r="P1623" i="33"/>
  <c r="P1622" i="33"/>
  <c r="P1624" i="33"/>
  <c r="P1621" i="33"/>
  <c r="P1620" i="33"/>
  <c r="P1825" i="33"/>
  <c r="P1826" i="33"/>
  <c r="P1923" i="33"/>
  <c r="P1922" i="33"/>
  <c r="P1920" i="33"/>
  <c r="P1921" i="33"/>
  <c r="P1979" i="33"/>
  <c r="P1981" i="33"/>
  <c r="P1980" i="33"/>
  <c r="K2154" i="33"/>
  <c r="K2153" i="33"/>
  <c r="K1873" i="33"/>
  <c r="K2288" i="33"/>
  <c r="K1874" i="33"/>
  <c r="J2534" i="33"/>
  <c r="J2535" i="33"/>
  <c r="J2625" i="33"/>
  <c r="J2623" i="33"/>
  <c r="J2624" i="33"/>
  <c r="P2679" i="33"/>
  <c r="P2678" i="33"/>
  <c r="P2725" i="33"/>
  <c r="P2722" i="33"/>
  <c r="P2753" i="33"/>
  <c r="P2755" i="33"/>
  <c r="P2781" i="33"/>
  <c r="P2782" i="33"/>
  <c r="K2839" i="33"/>
  <c r="K2841" i="33"/>
  <c r="I2867" i="33"/>
  <c r="I2868" i="33"/>
  <c r="K2919" i="33"/>
  <c r="K2918" i="33"/>
  <c r="K2938" i="33"/>
  <c r="K2939" i="33"/>
  <c r="P3024" i="33"/>
  <c r="P3023" i="33"/>
  <c r="P3022" i="33"/>
  <c r="J3047" i="33"/>
  <c r="J3044" i="33"/>
  <c r="P3092" i="33"/>
  <c r="P3094" i="33"/>
  <c r="P3093" i="33"/>
  <c r="P3408" i="33"/>
  <c r="P3404" i="33"/>
  <c r="P3407" i="33"/>
  <c r="K2876" i="33"/>
  <c r="K3403" i="33"/>
  <c r="I2464" i="33"/>
  <c r="P1661" i="33"/>
  <c r="J2353" i="33"/>
  <c r="I3222" i="33"/>
  <c r="P2527" i="33"/>
  <c r="J1507" i="33"/>
  <c r="I1717" i="33"/>
  <c r="I1718" i="33"/>
  <c r="K1923" i="33"/>
  <c r="K1922" i="33"/>
  <c r="J2124" i="33"/>
  <c r="J2126" i="33"/>
  <c r="K2670" i="33"/>
  <c r="K2672" i="33"/>
  <c r="K2782" i="33"/>
  <c r="K2781" i="33"/>
  <c r="P2850" i="33"/>
  <c r="P2852" i="33"/>
  <c r="P2848" i="33"/>
  <c r="K3086" i="33"/>
  <c r="K3087" i="33"/>
  <c r="P3268" i="33"/>
  <c r="P3267" i="33"/>
  <c r="P3350" i="33"/>
  <c r="P3349" i="33"/>
  <c r="J3389" i="33"/>
  <c r="J3390" i="33"/>
  <c r="J1873" i="33"/>
  <c r="I1249" i="33"/>
  <c r="I1254" i="33"/>
  <c r="I1293" i="33"/>
  <c r="I1294" i="33"/>
  <c r="J1500" i="33"/>
  <c r="J1499" i="33"/>
  <c r="P1655" i="33"/>
  <c r="P1654" i="33"/>
  <c r="J1686" i="33"/>
  <c r="J1685" i="33"/>
  <c r="P1734" i="33"/>
  <c r="P1735" i="33"/>
  <c r="P1794" i="33"/>
  <c r="P1793" i="33"/>
  <c r="P1792" i="33"/>
  <c r="P1795" i="33"/>
  <c r="P1971" i="33"/>
  <c r="P1970" i="33"/>
  <c r="K2114" i="33"/>
  <c r="K2112" i="33"/>
  <c r="K2116" i="33"/>
  <c r="K2156" i="33"/>
  <c r="K2155" i="33"/>
  <c r="I2239" i="33"/>
  <c r="I2237" i="33"/>
  <c r="K2314" i="33"/>
  <c r="K2313" i="33"/>
  <c r="K2315" i="33"/>
  <c r="K2373" i="33"/>
  <c r="K2372" i="33"/>
  <c r="K2371" i="33"/>
  <c r="J2561" i="33"/>
  <c r="J2562" i="33"/>
  <c r="P2596" i="33"/>
  <c r="P2595" i="33"/>
  <c r="P2715" i="33"/>
  <c r="P2718" i="33"/>
  <c r="P2716" i="33"/>
  <c r="I2923" i="33"/>
  <c r="I2924" i="33"/>
  <c r="J3150" i="33"/>
  <c r="J3152" i="33"/>
  <c r="J3153" i="33"/>
  <c r="J3149" i="33"/>
  <c r="I3199" i="33"/>
  <c r="I3198" i="33"/>
  <c r="I3257" i="33"/>
  <c r="I3256" i="33"/>
  <c r="K3336" i="33"/>
  <c r="K3332" i="33"/>
  <c r="J1775" i="33"/>
  <c r="J2876" i="33"/>
  <c r="K2117" i="33"/>
  <c r="I1340" i="33"/>
  <c r="K2895" i="33"/>
  <c r="K2115" i="33"/>
  <c r="J3332" i="33"/>
  <c r="P2601" i="33"/>
  <c r="K2190" i="33"/>
  <c r="P1662" i="33"/>
  <c r="J3045" i="33"/>
  <c r="I2238" i="33"/>
  <c r="J2873" i="33"/>
  <c r="K2189" i="33"/>
  <c r="P1737" i="33"/>
  <c r="P1214" i="33"/>
  <c r="I2701" i="33"/>
  <c r="K2896" i="33"/>
  <c r="K2525" i="33"/>
  <c r="P2256" i="33"/>
  <c r="P2254" i="33"/>
  <c r="I2557" i="33"/>
  <c r="I2553" i="33"/>
  <c r="I2555" i="33"/>
  <c r="K2636" i="33"/>
  <c r="K2638" i="33"/>
  <c r="K2637" i="33"/>
  <c r="K2680" i="33"/>
  <c r="K2678" i="33"/>
  <c r="J2847" i="33"/>
  <c r="J2846" i="33"/>
  <c r="I2997" i="33"/>
  <c r="I2994" i="33"/>
  <c r="I3001" i="33"/>
  <c r="P3230" i="33"/>
  <c r="P3227" i="33"/>
  <c r="P3312" i="33"/>
  <c r="P3313" i="33"/>
  <c r="J3190" i="33"/>
  <c r="K1203" i="33"/>
  <c r="K1200" i="33"/>
  <c r="P1262" i="33"/>
  <c r="P1264" i="33"/>
  <c r="I1352" i="33"/>
  <c r="I1345" i="33"/>
  <c r="I1346" i="33"/>
  <c r="I1350" i="33"/>
  <c r="I1347" i="33"/>
  <c r="P1383" i="33"/>
  <c r="P1382" i="33"/>
  <c r="J1525" i="33"/>
  <c r="J1526" i="33"/>
  <c r="J1524" i="33"/>
  <c r="J1523" i="33"/>
  <c r="J1796" i="33"/>
  <c r="J1798" i="33"/>
  <c r="J1797" i="33"/>
  <c r="P1841" i="33"/>
  <c r="P1840" i="33"/>
  <c r="J1966" i="33"/>
  <c r="J1964" i="33"/>
  <c r="J1965" i="33"/>
  <c r="K2038" i="33"/>
  <c r="K2037" i="33"/>
  <c r="K2092" i="33"/>
  <c r="K2091" i="33"/>
  <c r="K2093" i="33"/>
  <c r="K2090" i="33"/>
  <c r="K2124" i="33"/>
  <c r="K2125" i="33"/>
  <c r="K2126" i="33"/>
  <c r="I2235" i="33"/>
  <c r="I2232" i="33"/>
  <c r="I2234" i="33"/>
  <c r="K2296" i="33"/>
  <c r="K2291" i="33"/>
  <c r="K2366" i="33"/>
  <c r="K2367" i="33"/>
  <c r="P2525" i="33"/>
  <c r="P2529" i="33"/>
  <c r="P2530" i="33"/>
  <c r="P2526" i="33"/>
  <c r="J2698" i="33"/>
  <c r="J2701" i="33"/>
  <c r="I2813" i="33"/>
  <c r="I2815" i="33"/>
  <c r="I2809" i="33"/>
  <c r="I2816" i="33"/>
  <c r="I2812" i="33"/>
  <c r="K2412" i="33"/>
  <c r="K2413" i="33"/>
  <c r="K2845" i="33"/>
  <c r="I2925" i="33"/>
  <c r="I2926" i="33"/>
  <c r="K3204" i="33"/>
  <c r="K3205" i="33"/>
  <c r="K3203" i="33"/>
  <c r="K3253" i="33"/>
  <c r="K3252" i="33"/>
  <c r="K3254" i="33"/>
  <c r="I3287" i="33"/>
  <c r="I3286" i="33"/>
  <c r="P3362" i="33"/>
  <c r="P3360" i="33"/>
  <c r="I3384" i="33"/>
  <c r="I3381" i="33"/>
  <c r="I1349" i="33"/>
  <c r="I3124" i="33"/>
  <c r="J2533" i="33"/>
  <c r="P1972" i="33"/>
  <c r="J1166" i="33"/>
  <c r="P1969" i="33"/>
  <c r="I2811" i="33"/>
  <c r="P1736" i="33"/>
  <c r="J2874" i="33"/>
  <c r="I2411" i="33"/>
  <c r="P1845" i="33"/>
  <c r="I2702" i="33"/>
  <c r="K2874" i="33"/>
  <c r="K1229" i="33"/>
  <c r="I3223" i="33"/>
  <c r="I2101" i="33"/>
  <c r="P3326" i="33"/>
  <c r="P2694" i="33"/>
  <c r="K2294" i="33"/>
  <c r="J1968" i="33"/>
  <c r="P1844" i="33"/>
  <c r="J1510" i="33"/>
  <c r="K2387" i="33"/>
  <c r="P3346" i="33"/>
  <c r="I3221" i="33"/>
  <c r="I3284" i="33"/>
  <c r="K1839" i="33"/>
  <c r="I3217" i="33"/>
  <c r="I1354" i="33"/>
  <c r="J1509" i="33"/>
  <c r="I2992" i="33"/>
  <c r="P2750" i="33"/>
  <c r="P2598" i="33"/>
  <c r="P2522" i="33"/>
  <c r="K2378" i="33"/>
  <c r="K2293" i="33"/>
  <c r="K2098" i="33"/>
  <c r="P1839" i="33"/>
  <c r="P1733" i="33"/>
  <c r="J1501" i="33"/>
  <c r="K1332" i="33"/>
  <c r="P1176" i="33"/>
  <c r="K1153" i="33"/>
  <c r="J3413" i="33"/>
  <c r="I3210" i="33"/>
  <c r="J2699" i="33"/>
  <c r="P2776" i="33"/>
  <c r="I2503" i="33"/>
  <c r="K2594" i="33"/>
  <c r="J2097" i="33"/>
  <c r="K3333" i="33"/>
  <c r="I2887" i="33"/>
  <c r="K2906" i="33"/>
  <c r="I3218" i="33"/>
  <c r="I1576" i="33"/>
  <c r="I1575" i="33"/>
  <c r="P2277" i="33"/>
  <c r="P2282" i="33"/>
  <c r="J2386" i="33"/>
  <c r="J2388" i="33"/>
  <c r="P2458" i="33"/>
  <c r="P2457" i="33"/>
  <c r="I3040" i="33"/>
  <c r="I3042" i="33"/>
  <c r="I3041" i="33"/>
  <c r="J3253" i="33"/>
  <c r="J3254" i="33"/>
  <c r="P3328" i="33"/>
  <c r="P3327" i="33"/>
  <c r="P2808" i="33"/>
  <c r="K2747" i="33"/>
  <c r="K135" i="6"/>
  <c r="K137" i="6"/>
  <c r="K1140" i="33"/>
  <c r="K1141" i="33"/>
  <c r="K1138" i="33"/>
  <c r="K1171" i="33"/>
  <c r="K1173" i="33"/>
  <c r="K1170" i="33"/>
  <c r="K1172" i="33"/>
  <c r="K1223" i="33"/>
  <c r="K1227" i="33"/>
  <c r="K1224" i="33"/>
  <c r="K1228" i="33"/>
  <c r="K1225" i="33"/>
  <c r="P1544" i="33"/>
  <c r="P1542" i="33"/>
  <c r="P1607" i="33"/>
  <c r="P1605" i="33"/>
  <c r="P1606" i="33"/>
  <c r="J1630" i="33"/>
  <c r="J1631" i="33"/>
  <c r="P1816" i="33"/>
  <c r="P1820" i="33"/>
  <c r="P1823" i="33"/>
  <c r="P1822" i="33"/>
  <c r="J1846" i="33"/>
  <c r="J1848" i="33"/>
  <c r="J1847" i="33"/>
  <c r="J1984" i="33"/>
  <c r="J1982" i="33"/>
  <c r="K2151" i="33"/>
  <c r="K2152" i="33"/>
  <c r="K2193" i="33"/>
  <c r="K2194" i="33"/>
  <c r="K2286" i="33"/>
  <c r="K2284" i="33"/>
  <c r="K2310" i="33"/>
  <c r="K2307" i="33"/>
  <c r="K2356" i="33"/>
  <c r="K2352" i="33"/>
  <c r="K2376" i="33"/>
  <c r="K2375" i="33"/>
  <c r="J2469" i="33"/>
  <c r="J2477" i="33"/>
  <c r="J2481" i="33"/>
  <c r="J2468" i="33"/>
  <c r="J2478" i="33"/>
  <c r="J2480" i="33"/>
  <c r="J2475" i="33"/>
  <c r="J2473" i="33"/>
  <c r="J2515" i="33"/>
  <c r="J2514" i="33"/>
  <c r="J2555" i="33"/>
  <c r="J2554" i="33"/>
  <c r="J2553" i="33"/>
  <c r="P2719" i="33"/>
  <c r="P2720" i="33"/>
  <c r="P2747" i="33"/>
  <c r="P2748" i="33"/>
  <c r="I2793" i="33"/>
  <c r="I2792" i="33"/>
  <c r="K2827" i="33"/>
  <c r="K2831" i="33"/>
  <c r="K2847" i="33"/>
  <c r="K2846" i="33"/>
  <c r="I2927" i="33"/>
  <c r="I2928" i="33"/>
  <c r="P3039" i="33"/>
  <c r="P3038" i="33"/>
  <c r="P3054" i="33"/>
  <c r="P3055" i="33"/>
  <c r="I3201" i="33"/>
  <c r="I3200" i="33"/>
  <c r="I3213" i="33"/>
  <c r="I3216" i="33"/>
  <c r="K3275" i="33"/>
  <c r="K3276" i="33"/>
  <c r="K3274" i="33"/>
  <c r="I3305" i="33"/>
  <c r="I3303" i="33"/>
  <c r="I3302" i="33"/>
  <c r="K1843" i="33"/>
  <c r="P2756" i="33"/>
  <c r="K2192" i="33"/>
  <c r="J1522" i="33"/>
  <c r="P3363" i="33"/>
  <c r="P3229" i="33"/>
  <c r="P3064" i="33"/>
  <c r="I2728" i="33"/>
  <c r="P2752" i="33"/>
  <c r="I2100" i="33"/>
  <c r="P1177" i="33"/>
  <c r="P3361" i="33"/>
  <c r="J3048" i="33"/>
  <c r="I1250" i="33"/>
  <c r="P2778" i="33"/>
  <c r="I3285" i="33"/>
  <c r="K3390" i="33"/>
  <c r="P2403" i="33"/>
  <c r="I3450" i="33"/>
  <c r="J3155" i="33"/>
  <c r="K2113" i="33"/>
  <c r="P1898" i="33"/>
  <c r="J2482" i="33"/>
  <c r="K2292" i="33"/>
  <c r="J3292" i="33"/>
  <c r="P2969" i="33"/>
  <c r="J2841" i="33"/>
  <c r="P2721" i="33"/>
  <c r="P2680" i="33"/>
  <c r="J2581" i="33"/>
  <c r="J2472" i="33"/>
  <c r="K2349" i="33"/>
  <c r="I2236" i="33"/>
  <c r="K2150" i="33"/>
  <c r="P1896" i="33"/>
  <c r="P1814" i="33"/>
  <c r="J1720" i="33"/>
  <c r="P1611" i="33"/>
  <c r="J1415" i="33"/>
  <c r="K1201" i="33"/>
  <c r="J3412" i="33"/>
  <c r="I3196" i="33"/>
  <c r="P1541" i="33"/>
  <c r="J2940" i="33"/>
  <c r="P3226" i="33"/>
  <c r="I1588" i="33"/>
  <c r="I2556" i="33"/>
  <c r="J2093" i="33"/>
  <c r="J2996" i="33"/>
  <c r="K3392" i="33"/>
  <c r="P3409" i="33"/>
  <c r="J3415" i="33"/>
  <c r="J3392" i="33"/>
  <c r="K2749" i="33"/>
  <c r="J1370" i="33"/>
  <c r="J1369" i="33"/>
  <c r="I1524" i="33"/>
  <c r="I1525" i="33"/>
  <c r="K3022" i="33"/>
  <c r="K3023" i="33"/>
  <c r="I3118" i="33"/>
  <c r="I3117" i="33"/>
  <c r="J2897" i="33"/>
  <c r="K1540" i="33"/>
  <c r="K1159" i="33"/>
  <c r="K1158" i="33"/>
  <c r="I1209" i="33"/>
  <c r="I1207" i="33"/>
  <c r="I1208" i="33"/>
  <c r="K1336" i="33"/>
  <c r="K1337" i="33"/>
  <c r="K1333" i="33"/>
  <c r="J1470" i="33"/>
  <c r="J1472" i="33"/>
  <c r="P1539" i="33"/>
  <c r="P1540" i="33"/>
  <c r="P1538" i="33"/>
  <c r="J1649" i="33"/>
  <c r="J1647" i="33"/>
  <c r="J1650" i="33"/>
  <c r="J1679" i="33"/>
  <c r="J1677" i="33"/>
  <c r="J1682" i="33"/>
  <c r="J1680" i="33"/>
  <c r="J1681" i="33"/>
  <c r="P1730" i="33"/>
  <c r="P1731" i="33"/>
  <c r="P1948" i="33"/>
  <c r="P1947" i="33"/>
  <c r="K2058" i="33"/>
  <c r="K2059" i="33"/>
  <c r="I2088" i="33"/>
  <c r="I2086" i="33"/>
  <c r="I2129" i="33"/>
  <c r="I2128" i="33"/>
  <c r="I2127" i="33"/>
  <c r="J2501" i="33"/>
  <c r="J2505" i="33"/>
  <c r="J2502" i="33"/>
  <c r="J2503" i="33"/>
  <c r="P2602" i="33"/>
  <c r="P2597" i="33"/>
  <c r="P2600" i="33"/>
  <c r="P2692" i="33"/>
  <c r="P2689" i="33"/>
  <c r="P2691" i="33"/>
  <c r="P2693" i="33"/>
  <c r="J2727" i="33"/>
  <c r="J2532" i="33"/>
  <c r="J2728" i="33"/>
  <c r="J2731" i="33"/>
  <c r="J2730" i="33"/>
  <c r="P2768" i="33"/>
  <c r="P2765" i="33"/>
  <c r="P2767" i="33"/>
  <c r="K2799" i="33"/>
  <c r="K2797" i="33"/>
  <c r="K2798" i="33"/>
  <c r="I2912" i="33"/>
  <c r="I2911" i="33"/>
  <c r="I2910" i="33"/>
  <c r="I2914" i="33"/>
  <c r="I2913" i="33"/>
  <c r="I2963" i="33"/>
  <c r="I2962" i="33"/>
  <c r="P3145" i="33"/>
  <c r="P3146" i="33"/>
  <c r="I3319" i="33"/>
  <c r="I3321" i="33"/>
  <c r="I3373" i="33"/>
  <c r="I3375" i="33"/>
  <c r="I3374" i="33"/>
  <c r="I3245" i="33"/>
  <c r="K1231" i="33"/>
  <c r="J2618" i="33"/>
  <c r="K1232" i="33"/>
  <c r="I1344" i="33"/>
  <c r="K2826" i="33"/>
  <c r="J1468" i="33"/>
  <c r="I1356" i="33"/>
  <c r="J2700" i="33"/>
  <c r="K2295" i="33"/>
  <c r="J1739" i="33"/>
  <c r="J1168" i="33"/>
  <c r="J2560" i="33"/>
  <c r="P3062" i="33"/>
  <c r="I2733" i="33"/>
  <c r="K2325" i="33"/>
  <c r="I2989" i="33"/>
  <c r="I2409" i="33"/>
  <c r="I2103" i="33"/>
  <c r="K1161" i="33"/>
  <c r="K3290" i="33"/>
  <c r="I1325" i="33"/>
  <c r="P3063" i="33"/>
  <c r="I3214" i="33"/>
  <c r="K1837" i="33"/>
  <c r="K2097" i="33"/>
  <c r="K3391" i="33"/>
  <c r="I3453" i="33"/>
  <c r="P3086" i="33"/>
  <c r="J2513" i="33"/>
  <c r="K1142" i="33"/>
  <c r="P3231" i="33"/>
  <c r="P2956" i="33"/>
  <c r="J2833" i="33"/>
  <c r="P2726" i="33"/>
  <c r="P2671" i="33"/>
  <c r="J2579" i="33"/>
  <c r="J2476" i="33"/>
  <c r="K2353" i="33"/>
  <c r="I2241" i="33"/>
  <c r="K2145" i="33"/>
  <c r="I2089" i="33"/>
  <c r="J1881" i="33"/>
  <c r="P1815" i="33"/>
  <c r="P1551" i="33"/>
  <c r="I1252" i="33"/>
  <c r="K1202" i="33"/>
  <c r="P2209" i="33"/>
  <c r="P3405" i="33"/>
  <c r="I3197" i="33"/>
  <c r="K2260" i="33"/>
  <c r="I2408" i="33"/>
  <c r="K2354" i="33"/>
  <c r="I1522" i="33"/>
  <c r="I2545" i="33"/>
  <c r="P2030" i="33"/>
  <c r="K3355" i="33"/>
  <c r="P3025" i="33"/>
  <c r="P2754" i="33"/>
  <c r="I3246" i="33"/>
  <c r="K3190" i="33"/>
  <c r="K1776" i="33"/>
  <c r="K1775" i="33"/>
  <c r="P2156" i="33"/>
  <c r="P2155" i="33"/>
  <c r="P1200" i="33"/>
  <c r="I1667" i="33"/>
  <c r="I1722" i="33"/>
  <c r="P2797" i="33"/>
  <c r="J3651" i="33"/>
  <c r="J3303" i="33"/>
  <c r="J2236" i="33"/>
  <c r="I2576" i="33"/>
  <c r="I2567" i="33"/>
  <c r="I141" i="6"/>
  <c r="I3107" i="33"/>
  <c r="P2903" i="33"/>
  <c r="J1249" i="33"/>
  <c r="I2494" i="33"/>
  <c r="I1359" i="33"/>
  <c r="K2618" i="33"/>
  <c r="I3157" i="33"/>
  <c r="I140" i="6"/>
  <c r="P2293" i="33"/>
  <c r="P3291" i="33"/>
  <c r="P3046" i="33"/>
  <c r="P3333" i="33"/>
  <c r="J3196" i="33"/>
  <c r="K3044" i="33"/>
  <c r="J2945" i="33"/>
  <c r="I3163" i="33"/>
  <c r="I2486" i="33"/>
  <c r="P2881" i="33"/>
  <c r="K2555" i="33"/>
  <c r="I2570" i="33"/>
  <c r="K3042" i="33"/>
  <c r="P3332" i="33"/>
  <c r="K3416" i="33"/>
  <c r="P143" i="6"/>
  <c r="J2868" i="33"/>
  <c r="K2470" i="33"/>
  <c r="P3520" i="33"/>
  <c r="K2475" i="33"/>
  <c r="I2491" i="33"/>
  <c r="I3651" i="33"/>
  <c r="I167" i="6"/>
  <c r="P166" i="6"/>
  <c r="K165" i="6"/>
  <c r="J165" i="6"/>
  <c r="P170" i="6"/>
  <c r="K170" i="6"/>
  <c r="J170" i="6"/>
  <c r="J167" i="6"/>
  <c r="P165" i="6"/>
  <c r="I164" i="6"/>
  <c r="K167" i="6"/>
  <c r="J164" i="6"/>
  <c r="P167" i="6"/>
  <c r="K164" i="6"/>
  <c r="I166" i="6"/>
  <c r="P164" i="6"/>
  <c r="J166" i="6"/>
  <c r="I165" i="6"/>
  <c r="K166" i="6"/>
  <c r="H8" i="7"/>
  <c r="D72" i="7" s="1"/>
  <c r="B78" i="7"/>
  <c r="B80" i="7"/>
  <c r="E80" i="7" s="1"/>
  <c r="B72" i="7"/>
  <c r="P2199" i="33"/>
  <c r="P1285" i="33"/>
  <c r="P163" i="6"/>
  <c r="I1387" i="33"/>
  <c r="I1936" i="33"/>
  <c r="J3197" i="33"/>
  <c r="P3204" i="33"/>
  <c r="I3100" i="33"/>
  <c r="K3002" i="33"/>
  <c r="P1226" i="33"/>
  <c r="K1669" i="33"/>
  <c r="K1671" i="33"/>
  <c r="J2465" i="33"/>
  <c r="P1341" i="33"/>
  <c r="P2152" i="33"/>
  <c r="K3414" i="33"/>
  <c r="K163" i="6"/>
  <c r="J163" i="6"/>
  <c r="I163" i="6"/>
  <c r="P1680" i="33"/>
  <c r="L16" i="7"/>
  <c r="O16" i="7" s="1"/>
  <c r="B94" i="7"/>
  <c r="J17" i="7"/>
  <c r="G74" i="7" s="1"/>
  <c r="H74" i="7" s="1"/>
  <c r="I13" i="7"/>
  <c r="J73" i="7" s="1"/>
  <c r="K73" i="7" s="1"/>
  <c r="B82" i="7"/>
  <c r="B74" i="7"/>
  <c r="P1359" i="33"/>
  <c r="P1360" i="33"/>
  <c r="I2459" i="33"/>
  <c r="I2458" i="33"/>
  <c r="K1897" i="33"/>
  <c r="K1896" i="33"/>
  <c r="I2474" i="33"/>
  <c r="I2478" i="33"/>
  <c r="K2726" i="33"/>
  <c r="K2722" i="33"/>
  <c r="J2799" i="33"/>
  <c r="J2798" i="33"/>
  <c r="K3055" i="33"/>
  <c r="K3054" i="33"/>
  <c r="K3360" i="33"/>
  <c r="K3362" i="33"/>
  <c r="K133" i="6"/>
  <c r="K132" i="6"/>
  <c r="K1154" i="33"/>
  <c r="K1157" i="33"/>
  <c r="K1130" i="33"/>
  <c r="K1129" i="33"/>
  <c r="I1193" i="33"/>
  <c r="I1191" i="33"/>
  <c r="P1175" i="33"/>
  <c r="P1215" i="33"/>
  <c r="P1213" i="33"/>
  <c r="K1233" i="33"/>
  <c r="K1226" i="33"/>
  <c r="K1287" i="33"/>
  <c r="K1284" i="33"/>
  <c r="I1353" i="33"/>
  <c r="I1355" i="33"/>
  <c r="J1435" i="33"/>
  <c r="J1436" i="33"/>
  <c r="P1813" i="33"/>
  <c r="P1821" i="33"/>
  <c r="K2328" i="33"/>
  <c r="K2326" i="33"/>
  <c r="I2390" i="33"/>
  <c r="I2389" i="33"/>
  <c r="I2391" i="33"/>
  <c r="J2732" i="33"/>
  <c r="J2729" i="33"/>
  <c r="J2733" i="33"/>
  <c r="P2762" i="33"/>
  <c r="P2759" i="33"/>
  <c r="P2766" i="33"/>
  <c r="P2763" i="33"/>
  <c r="P2777" i="33"/>
  <c r="P2780" i="33"/>
  <c r="J2784" i="33"/>
  <c r="J2785" i="33"/>
  <c r="K2829" i="33"/>
  <c r="K2828" i="33"/>
  <c r="K2877" i="33"/>
  <c r="K2879" i="33"/>
  <c r="I2884" i="33"/>
  <c r="I2883" i="33"/>
  <c r="K2902" i="33"/>
  <c r="K2898" i="33"/>
  <c r="K2940" i="33"/>
  <c r="K2937" i="33"/>
  <c r="J2992" i="33"/>
  <c r="J2991" i="33"/>
  <c r="J2990" i="33"/>
  <c r="J2988" i="33"/>
  <c r="J3004" i="33"/>
  <c r="J3005" i="33"/>
  <c r="J2998" i="33"/>
  <c r="J3002" i="33"/>
  <c r="P3065" i="33"/>
  <c r="P3061" i="33"/>
  <c r="J3117" i="33"/>
  <c r="J3118" i="33"/>
  <c r="J3124" i="33"/>
  <c r="J3125" i="33"/>
  <c r="P3147" i="33"/>
  <c r="P3148" i="33"/>
  <c r="I3185" i="33"/>
  <c r="I3183" i="33"/>
  <c r="I3212" i="33"/>
  <c r="I3211" i="33"/>
  <c r="K3292" i="33"/>
  <c r="K3291" i="33"/>
  <c r="K3335" i="33"/>
  <c r="K3334" i="33"/>
  <c r="I3385" i="33"/>
  <c r="I3383" i="33"/>
  <c r="J3426" i="33"/>
  <c r="J3425" i="33"/>
  <c r="K1685" i="33"/>
  <c r="K1686" i="33"/>
  <c r="K1796" i="33"/>
  <c r="K1798" i="33"/>
  <c r="P2115" i="33"/>
  <c r="P2113" i="33"/>
  <c r="P2193" i="33"/>
  <c r="P2192" i="33"/>
  <c r="J2884" i="33"/>
  <c r="J2882" i="33"/>
  <c r="I3018" i="33"/>
  <c r="I3019" i="33"/>
  <c r="P3289" i="33"/>
  <c r="P3290" i="33"/>
  <c r="K1221" i="33"/>
  <c r="K2388" i="33"/>
  <c r="J1985" i="33"/>
  <c r="P1150" i="33"/>
  <c r="I1290" i="33"/>
  <c r="P1625" i="33"/>
  <c r="P2638" i="33"/>
  <c r="J2556" i="33"/>
  <c r="P2524" i="33"/>
  <c r="J2470" i="33"/>
  <c r="I2465" i="33"/>
  <c r="K2374" i="33"/>
  <c r="K2351" i="33"/>
  <c r="I2240" i="33"/>
  <c r="K2094" i="33"/>
  <c r="P1827" i="33"/>
  <c r="P1818" i="33"/>
  <c r="J1670" i="33"/>
  <c r="J1469" i="33"/>
  <c r="I1351" i="33"/>
  <c r="K1334" i="33"/>
  <c r="K1285" i="33"/>
  <c r="K1222" i="33"/>
  <c r="K1160" i="33"/>
  <c r="K1546" i="33"/>
  <c r="J2101" i="33"/>
  <c r="K2259" i="33"/>
  <c r="I2467" i="33"/>
  <c r="P2764" i="33"/>
  <c r="J1967" i="33"/>
  <c r="K136" i="6"/>
  <c r="K2743" i="33"/>
  <c r="K2600" i="33"/>
  <c r="P2463" i="33"/>
  <c r="P2305" i="33"/>
  <c r="P1791" i="33"/>
  <c r="K2907" i="33"/>
  <c r="J2559" i="33"/>
  <c r="K2842" i="33"/>
  <c r="K2905" i="33"/>
  <c r="P2528" i="33"/>
  <c r="K2917" i="33"/>
  <c r="I2908" i="33"/>
  <c r="K2840" i="33"/>
  <c r="I1425" i="33"/>
  <c r="J2927" i="33"/>
  <c r="J1986" i="33"/>
  <c r="L49" i="7"/>
  <c r="O49" i="7" s="1"/>
  <c r="J3249" i="33"/>
  <c r="J3269" i="33"/>
  <c r="K1590" i="33"/>
  <c r="P2264" i="33"/>
  <c r="J2048" i="33"/>
  <c r="K1393" i="33"/>
  <c r="P2823" i="33"/>
  <c r="J3268" i="33"/>
  <c r="I3058" i="33"/>
  <c r="J2159" i="33"/>
  <c r="I3056" i="33"/>
  <c r="P2163" i="33"/>
  <c r="J2806" i="33"/>
  <c r="P3295" i="33"/>
  <c r="J3325" i="33"/>
  <c r="P3387" i="33"/>
  <c r="J2837" i="33"/>
  <c r="K2646" i="33"/>
  <c r="I3409" i="33"/>
  <c r="I3029" i="33"/>
  <c r="I2726" i="33"/>
  <c r="J2275" i="33"/>
  <c r="J2852" i="33"/>
  <c r="I3030" i="33"/>
  <c r="P2819" i="33"/>
  <c r="J2653" i="33"/>
  <c r="J1143" i="33"/>
  <c r="K2119" i="33"/>
  <c r="P3101" i="33"/>
  <c r="I2114" i="33"/>
  <c r="P3427" i="33"/>
  <c r="J1620" i="33"/>
  <c r="J3431" i="33"/>
  <c r="I3389" i="33"/>
  <c r="J3148" i="33"/>
  <c r="J3057" i="33"/>
  <c r="P3077" i="33"/>
  <c r="I3206" i="33"/>
  <c r="I2939" i="33"/>
  <c r="P2686" i="33"/>
  <c r="P1438" i="33"/>
  <c r="J3461" i="33"/>
  <c r="P1758" i="33"/>
  <c r="J3027" i="33"/>
  <c r="J1604" i="33"/>
  <c r="I2461" i="33"/>
  <c r="I2281" i="33"/>
  <c r="P1409" i="33"/>
  <c r="P2576" i="33"/>
  <c r="K2022" i="33"/>
  <c r="P1357" i="33"/>
  <c r="J134" i="6"/>
  <c r="J1420" i="33"/>
  <c r="K3230" i="33"/>
  <c r="K3340" i="33"/>
  <c r="K3313" i="33"/>
  <c r="I3391" i="33"/>
  <c r="J3054" i="33"/>
  <c r="I2937" i="33"/>
  <c r="K3295" i="33"/>
  <c r="K3266" i="33"/>
  <c r="V1298" i="1"/>
  <c r="K2417" i="33"/>
  <c r="J3456" i="33"/>
  <c r="J3029" i="33"/>
  <c r="K2416" i="33"/>
  <c r="P1604" i="33"/>
  <c r="K3378" i="33"/>
  <c r="J1835" i="33"/>
  <c r="K3471" i="33"/>
  <c r="P1961" i="33"/>
  <c r="I2115" i="33"/>
  <c r="P1466" i="33"/>
  <c r="P1317" i="33"/>
  <c r="J3082" i="33"/>
  <c r="K3272" i="33"/>
  <c r="K3342" i="33"/>
  <c r="I2940" i="33"/>
  <c r="I1245" i="33"/>
  <c r="J3403" i="33"/>
  <c r="J3023" i="33"/>
  <c r="K3371" i="33"/>
  <c r="P1513" i="33"/>
  <c r="P2677" i="33"/>
  <c r="I2869" i="33"/>
  <c r="P3429" i="33"/>
  <c r="J3430" i="33"/>
  <c r="J1424" i="33"/>
  <c r="P1936" i="33"/>
  <c r="I3494" i="33"/>
  <c r="I2185" i="33"/>
  <c r="I2898" i="33"/>
  <c r="J1458" i="33"/>
  <c r="J2522" i="33"/>
  <c r="P1460" i="33"/>
  <c r="I3327" i="33"/>
  <c r="J3460" i="33"/>
  <c r="K3469" i="33"/>
  <c r="K2344" i="33"/>
  <c r="J3024" i="33"/>
  <c r="P2487" i="33"/>
  <c r="P1941" i="33"/>
  <c r="I1234" i="33"/>
  <c r="I3492" i="33"/>
  <c r="I1188" i="33"/>
  <c r="P3018" i="33"/>
  <c r="K3270" i="33"/>
  <c r="K3264" i="33"/>
  <c r="K3343" i="33"/>
  <c r="P2573" i="33"/>
  <c r="P3081" i="33"/>
  <c r="J2775" i="33"/>
  <c r="I2274" i="33"/>
  <c r="J2655" i="33"/>
  <c r="J1925" i="33"/>
  <c r="I1239" i="33"/>
  <c r="K2141" i="33"/>
  <c r="K2345" i="33"/>
  <c r="K1330" i="33"/>
  <c r="I3328" i="33"/>
  <c r="J3458" i="33"/>
  <c r="P2486" i="33"/>
  <c r="P1318" i="33"/>
  <c r="I2277" i="33"/>
  <c r="I1185" i="33"/>
  <c r="P3431" i="33"/>
  <c r="P3007" i="33"/>
  <c r="P2498" i="33"/>
  <c r="J1382" i="33"/>
  <c r="P2712" i="33"/>
  <c r="K2016" i="33"/>
  <c r="J1430" i="33"/>
  <c r="J1554" i="33"/>
  <c r="P1784" i="33"/>
  <c r="I1242" i="33"/>
  <c r="K2271" i="33"/>
  <c r="J1716" i="33"/>
  <c r="P1504" i="33"/>
  <c r="I3253" i="33"/>
  <c r="P3009" i="33"/>
  <c r="I3329" i="33"/>
  <c r="I3325" i="33"/>
  <c r="K1204" i="33"/>
  <c r="K1205" i="33"/>
  <c r="J1296" i="33"/>
  <c r="J1298" i="33"/>
  <c r="J1366" i="33"/>
  <c r="J1365" i="33"/>
  <c r="K1430" i="33"/>
  <c r="K1432" i="33"/>
  <c r="I1735" i="33"/>
  <c r="I1733" i="33"/>
  <c r="I1793" i="33"/>
  <c r="I1792" i="33"/>
  <c r="I1816" i="33"/>
  <c r="I1822" i="33"/>
  <c r="K1978" i="33"/>
  <c r="K1976" i="33"/>
  <c r="P2056" i="33"/>
  <c r="P2055" i="33"/>
  <c r="J2081" i="33"/>
  <c r="J2082" i="33"/>
  <c r="P2141" i="33"/>
  <c r="P2140" i="33"/>
  <c r="J2179" i="33"/>
  <c r="J2177" i="33"/>
  <c r="J2182" i="33"/>
  <c r="J2181" i="33"/>
  <c r="J2184" i="33"/>
  <c r="P2227" i="33"/>
  <c r="P2228" i="33"/>
  <c r="P2229" i="33"/>
  <c r="P2271" i="33"/>
  <c r="P2269" i="33"/>
  <c r="P2333" i="33"/>
  <c r="P2329" i="33"/>
  <c r="P2334" i="33"/>
  <c r="P2336" i="33"/>
  <c r="P2335" i="33"/>
  <c r="P2331" i="33"/>
  <c r="P2381" i="33"/>
  <c r="P2380" i="33"/>
  <c r="J2400" i="33"/>
  <c r="J2401" i="33"/>
  <c r="J2461" i="33"/>
  <c r="J2460" i="33"/>
  <c r="J2459" i="33"/>
  <c r="I2523" i="33"/>
  <c r="I2529" i="33"/>
  <c r="I2524" i="33"/>
  <c r="I2528" i="33"/>
  <c r="I2525" i="33"/>
  <c r="I2593" i="33"/>
  <c r="I2594" i="33"/>
  <c r="I2599" i="33"/>
  <c r="I2601" i="33"/>
  <c r="I2598" i="33"/>
  <c r="I2638" i="33"/>
  <c r="I2636" i="33"/>
  <c r="K2666" i="33"/>
  <c r="K2667" i="33"/>
  <c r="I2747" i="33"/>
  <c r="I2746" i="33"/>
  <c r="I2756" i="33"/>
  <c r="I2754" i="33"/>
  <c r="I2752" i="33"/>
  <c r="K2771" i="33"/>
  <c r="K2770" i="33"/>
  <c r="K2772" i="33"/>
  <c r="K2769" i="33"/>
  <c r="I2778" i="33"/>
  <c r="I2776" i="33"/>
  <c r="I2780" i="33"/>
  <c r="J2808" i="33"/>
  <c r="J2800" i="33"/>
  <c r="J2807" i="33"/>
  <c r="J2801" i="33"/>
  <c r="P2864" i="33"/>
  <c r="P2865" i="33"/>
  <c r="J2869" i="33"/>
  <c r="J2871" i="33"/>
  <c r="J2956" i="33"/>
  <c r="J2957" i="33"/>
  <c r="P2967" i="33"/>
  <c r="P2965" i="33"/>
  <c r="P2966" i="33"/>
  <c r="I3023" i="33"/>
  <c r="I3022" i="33"/>
  <c r="I3039" i="33"/>
  <c r="I3038" i="33"/>
  <c r="K3084" i="33"/>
  <c r="K3083" i="33"/>
  <c r="I3093" i="33"/>
  <c r="I3095" i="33"/>
  <c r="K3120" i="33"/>
  <c r="K3121" i="33"/>
  <c r="J3311" i="33"/>
  <c r="J3310" i="33"/>
  <c r="J3313" i="33"/>
  <c r="J3340" i="33"/>
  <c r="J3341" i="33"/>
  <c r="J3348" i="33"/>
  <c r="J3349" i="33"/>
  <c r="P2219" i="33"/>
  <c r="K1447" i="33"/>
  <c r="I2637" i="33"/>
  <c r="K97" i="6"/>
  <c r="I1662" i="33"/>
  <c r="I1552" i="33"/>
  <c r="J2804" i="33"/>
  <c r="I1817" i="33"/>
  <c r="J1246" i="33"/>
  <c r="J2870" i="33"/>
  <c r="J3351" i="33"/>
  <c r="I3094" i="33"/>
  <c r="P2891" i="33"/>
  <c r="J3281" i="33"/>
  <c r="I3147" i="33"/>
  <c r="P3280" i="33"/>
  <c r="I1949" i="33"/>
  <c r="J2210" i="33"/>
  <c r="I2779" i="33"/>
  <c r="I2596" i="33"/>
  <c r="I2721" i="33"/>
  <c r="I1813" i="33"/>
  <c r="I2759" i="33"/>
  <c r="I2522" i="33"/>
  <c r="K3652" i="33"/>
  <c r="I1236" i="33"/>
  <c r="I1663" i="33"/>
  <c r="K2228" i="33"/>
  <c r="J1148" i="33"/>
  <c r="J2436" i="33"/>
  <c r="J2209" i="33"/>
  <c r="I1818" i="33"/>
  <c r="I1495" i="33"/>
  <c r="I1176" i="33"/>
  <c r="P2821" i="33"/>
  <c r="I3092" i="33"/>
  <c r="I3363" i="33"/>
  <c r="P2862" i="33"/>
  <c r="K3082" i="33"/>
  <c r="P2490" i="33"/>
  <c r="K1131" i="33"/>
  <c r="I2279" i="33"/>
  <c r="K2021" i="33"/>
  <c r="P1358" i="33"/>
  <c r="J1193" i="33"/>
  <c r="I1505" i="33"/>
  <c r="P2194" i="33"/>
  <c r="K1977" i="33"/>
  <c r="I2749" i="33"/>
  <c r="J2223" i="33"/>
  <c r="P2230" i="33"/>
  <c r="P3468" i="33"/>
  <c r="P2920" i="33"/>
  <c r="K1585" i="33"/>
  <c r="J2411" i="33"/>
  <c r="I2487" i="33"/>
  <c r="I1723" i="33"/>
  <c r="P3501" i="33"/>
  <c r="P3502" i="33"/>
  <c r="J3507" i="33"/>
  <c r="J3506" i="33"/>
  <c r="J3531" i="33"/>
  <c r="J3533" i="33"/>
  <c r="J3532" i="33"/>
  <c r="P3540" i="33"/>
  <c r="P3538" i="33"/>
  <c r="P3536" i="33"/>
  <c r="P3616" i="33"/>
  <c r="P3615" i="33"/>
  <c r="K3643" i="33"/>
  <c r="K3642" i="33"/>
  <c r="K3646" i="33"/>
  <c r="K3645" i="33"/>
  <c r="J2802" i="33"/>
  <c r="P3377" i="33"/>
  <c r="I2621" i="33"/>
  <c r="P3537" i="33"/>
  <c r="K2740" i="33"/>
  <c r="K1459" i="33"/>
  <c r="J2958" i="33"/>
  <c r="K3081" i="33"/>
  <c r="J3346" i="33"/>
  <c r="K1423" i="33"/>
  <c r="I1654" i="33"/>
  <c r="P3500" i="33"/>
  <c r="P1140" i="33"/>
  <c r="P1142" i="33"/>
  <c r="P1138" i="33"/>
  <c r="P1141" i="33"/>
  <c r="P1155" i="33"/>
  <c r="P1156" i="33"/>
  <c r="P1160" i="33"/>
  <c r="P1159" i="33"/>
  <c r="P1172" i="33"/>
  <c r="P1170" i="33"/>
  <c r="P1171" i="33"/>
  <c r="P1188" i="33"/>
  <c r="P1190" i="33"/>
  <c r="P1199" i="33"/>
  <c r="P1202" i="33"/>
  <c r="P1201" i="33"/>
  <c r="P1203" i="33"/>
  <c r="J1209" i="33"/>
  <c r="J1207" i="33"/>
  <c r="P1232" i="33"/>
  <c r="P1223" i="33"/>
  <c r="P1221" i="33"/>
  <c r="P1222" i="33"/>
  <c r="P1229" i="33"/>
  <c r="P1231" i="33"/>
  <c r="P1225" i="33"/>
  <c r="P1227" i="33"/>
  <c r="P1233" i="33"/>
  <c r="P1230" i="33"/>
  <c r="J1251" i="33"/>
  <c r="J1250" i="33"/>
  <c r="J1252" i="33"/>
  <c r="P1287" i="33"/>
  <c r="P1286" i="33"/>
  <c r="J1292" i="33"/>
  <c r="J1294" i="33"/>
  <c r="J1302" i="33"/>
  <c r="J1300" i="33"/>
  <c r="J1299" i="33"/>
  <c r="I1317" i="33"/>
  <c r="I1316" i="33"/>
  <c r="I1318" i="33"/>
  <c r="J1325" i="33"/>
  <c r="J1324" i="33"/>
  <c r="P1333" i="33"/>
  <c r="P1337" i="33"/>
  <c r="J1340" i="33"/>
  <c r="J1339" i="33"/>
  <c r="J1350" i="33"/>
  <c r="J1354" i="33"/>
  <c r="J1353" i="33"/>
  <c r="J1349" i="33"/>
  <c r="J1352" i="33"/>
  <c r="J1345" i="33"/>
  <c r="J1347" i="33"/>
  <c r="J1346" i="33"/>
  <c r="J1344" i="33"/>
  <c r="P1369" i="33"/>
  <c r="P1370" i="33"/>
  <c r="J1372" i="33"/>
  <c r="J1373" i="33"/>
  <c r="J1374" i="33"/>
  <c r="I1386" i="33"/>
  <c r="I1384" i="33"/>
  <c r="I1360" i="33"/>
  <c r="I1357" i="33"/>
  <c r="K1434" i="33"/>
  <c r="K1436" i="33"/>
  <c r="I1439" i="33"/>
  <c r="I1438" i="33"/>
  <c r="I1467" i="33"/>
  <c r="I1464" i="33"/>
  <c r="K1471" i="33"/>
  <c r="K1469" i="33"/>
  <c r="K1510" i="33"/>
  <c r="K1509" i="33"/>
  <c r="K1507" i="33"/>
  <c r="I1512" i="33"/>
  <c r="I1513" i="33"/>
  <c r="I1511" i="33"/>
  <c r="K1526" i="33"/>
  <c r="K1524" i="33"/>
  <c r="K1522" i="33"/>
  <c r="K1523" i="33"/>
  <c r="K1525" i="33"/>
  <c r="K1576" i="33"/>
  <c r="K1575" i="33"/>
  <c r="I1578" i="33"/>
  <c r="I1577" i="33"/>
  <c r="I1579" i="33"/>
  <c r="I1600" i="33"/>
  <c r="I1598" i="33"/>
  <c r="I1601" i="33"/>
  <c r="K1630" i="33"/>
  <c r="K1632" i="33"/>
  <c r="K1631" i="33"/>
  <c r="I1634" i="33"/>
  <c r="I1633" i="33"/>
  <c r="I1635" i="33"/>
  <c r="K1648" i="33"/>
  <c r="K1649" i="33"/>
  <c r="K1650" i="33"/>
  <c r="K1646" i="33"/>
  <c r="K1678" i="33"/>
  <c r="K1679" i="33"/>
  <c r="K1677" i="33"/>
  <c r="I1687" i="33"/>
  <c r="I1689" i="33"/>
  <c r="I1688" i="33"/>
  <c r="I1705" i="33"/>
  <c r="I1703" i="33"/>
  <c r="I1704" i="33"/>
  <c r="K1717" i="33"/>
  <c r="K1720" i="33"/>
  <c r="K1719" i="33"/>
  <c r="K1718" i="33"/>
  <c r="K1740" i="33"/>
  <c r="K1739" i="33"/>
  <c r="I1754" i="33"/>
  <c r="I1756" i="33"/>
  <c r="I1755" i="33"/>
  <c r="K1847" i="33"/>
  <c r="K1848" i="33"/>
  <c r="K1881" i="33"/>
  <c r="K1882" i="33"/>
  <c r="K1884" i="33"/>
  <c r="K1883" i="33"/>
  <c r="K1910" i="33"/>
  <c r="K1909" i="33"/>
  <c r="I1937" i="33"/>
  <c r="I1939" i="33"/>
  <c r="I1940" i="33"/>
  <c r="K1968" i="33"/>
  <c r="K1965" i="33"/>
  <c r="K1966" i="33"/>
  <c r="K1967" i="33"/>
  <c r="K1983" i="33"/>
  <c r="K1982" i="33"/>
  <c r="K1984" i="33"/>
  <c r="J2003" i="33"/>
  <c r="J2002" i="33"/>
  <c r="P2038" i="33"/>
  <c r="P2037" i="33"/>
  <c r="P2058" i="33"/>
  <c r="P2059" i="33"/>
  <c r="J2088" i="33"/>
  <c r="J2087" i="33"/>
  <c r="J2089" i="33"/>
  <c r="J2086" i="33"/>
  <c r="P2090" i="33"/>
  <c r="P2091" i="33"/>
  <c r="P2093" i="33"/>
  <c r="P2094" i="33"/>
  <c r="P2098" i="33"/>
  <c r="P2096" i="33"/>
  <c r="P2097" i="33"/>
  <c r="P2114" i="33"/>
  <c r="P2116" i="33"/>
  <c r="P2118" i="33"/>
  <c r="P2117" i="33"/>
  <c r="P2126" i="33"/>
  <c r="P2124" i="33"/>
  <c r="J2129" i="33"/>
  <c r="J2128" i="33"/>
  <c r="J2127" i="33"/>
  <c r="P2146" i="33"/>
  <c r="P2149" i="33"/>
  <c r="P2148" i="33"/>
  <c r="P2150" i="33"/>
  <c r="P2145" i="33"/>
  <c r="P2147" i="33"/>
  <c r="P2154" i="33"/>
  <c r="P2153" i="33"/>
  <c r="P2188" i="33"/>
  <c r="P2189" i="33"/>
  <c r="J2233" i="33"/>
  <c r="J2235" i="33"/>
  <c r="J2234" i="33"/>
  <c r="J2239" i="33"/>
  <c r="J2238" i="33"/>
  <c r="P2258" i="33"/>
  <c r="P2260" i="33"/>
  <c r="P2284" i="33"/>
  <c r="P2286" i="33"/>
  <c r="P2288" i="33"/>
  <c r="P1873" i="33"/>
  <c r="P1874" i="33"/>
  <c r="P2290" i="33"/>
  <c r="P2289" i="33"/>
  <c r="P2295" i="33"/>
  <c r="P2296" i="33"/>
  <c r="P2291" i="33"/>
  <c r="P2307" i="33"/>
  <c r="P2308" i="33"/>
  <c r="P2316" i="33"/>
  <c r="P2313" i="33"/>
  <c r="P2314" i="33"/>
  <c r="P2315" i="33"/>
  <c r="P2325" i="33"/>
  <c r="P2327" i="33"/>
  <c r="P2328" i="33"/>
  <c r="P2355" i="33"/>
  <c r="P2352" i="33"/>
  <c r="P2354" i="33"/>
  <c r="P2351" i="33"/>
  <c r="P2356" i="33"/>
  <c r="P2353" i="33"/>
  <c r="P2368" i="33"/>
  <c r="P2366" i="33"/>
  <c r="P2367" i="33"/>
  <c r="P2372" i="33"/>
  <c r="P2371" i="33"/>
  <c r="P2375" i="33"/>
  <c r="P2376" i="33"/>
  <c r="P2377" i="33"/>
  <c r="P2378" i="33"/>
  <c r="P2385" i="33"/>
  <c r="P2386" i="33"/>
  <c r="P2388" i="33"/>
  <c r="P2387" i="33"/>
  <c r="J2390" i="33"/>
  <c r="J2389" i="33"/>
  <c r="J2467" i="33"/>
  <c r="J2464" i="33"/>
  <c r="K2476" i="33"/>
  <c r="K2472" i="33"/>
  <c r="K2469" i="33"/>
  <c r="K2468" i="33"/>
  <c r="K2478" i="33"/>
  <c r="K2477" i="33"/>
  <c r="I2490" i="33"/>
  <c r="I2489" i="33"/>
  <c r="I2497" i="33"/>
  <c r="I2498" i="33"/>
  <c r="I2499" i="33"/>
  <c r="I2496" i="33"/>
  <c r="I2493" i="33"/>
  <c r="I2500" i="33"/>
  <c r="I2495" i="33"/>
  <c r="K2505" i="33"/>
  <c r="K2501" i="33"/>
  <c r="K2511" i="33"/>
  <c r="K2510" i="33"/>
  <c r="K2513" i="33"/>
  <c r="K2512" i="33"/>
  <c r="K2514" i="33"/>
  <c r="K2515" i="33"/>
  <c r="K2534" i="33"/>
  <c r="K2535" i="33"/>
  <c r="K2545" i="33"/>
  <c r="K2544" i="33"/>
  <c r="I2552" i="33"/>
  <c r="I2549" i="33"/>
  <c r="I2550" i="33"/>
  <c r="K2554" i="33"/>
  <c r="K2557" i="33"/>
  <c r="K2553" i="33"/>
  <c r="K2561" i="33"/>
  <c r="K2559" i="33"/>
  <c r="K2563" i="33"/>
  <c r="K2562" i="33"/>
  <c r="I2566" i="33"/>
  <c r="I2564" i="33"/>
  <c r="I2565" i="33"/>
  <c r="I2574" i="33"/>
  <c r="I2573" i="33"/>
  <c r="I2568" i="33"/>
  <c r="I2571" i="33"/>
  <c r="I2569" i="33"/>
  <c r="K2580" i="33"/>
  <c r="K2579" i="33"/>
  <c r="K2581" i="33"/>
  <c r="I2604" i="33"/>
  <c r="I2606" i="33"/>
  <c r="I2603" i="33"/>
  <c r="I2610" i="33"/>
  <c r="I2605" i="33"/>
  <c r="I2607" i="33"/>
  <c r="I2609" i="33"/>
  <c r="I2614" i="33"/>
  <c r="I2612" i="33"/>
  <c r="K2625" i="33"/>
  <c r="K2623" i="33"/>
  <c r="I2651" i="33"/>
  <c r="I2650" i="33"/>
  <c r="I2649" i="33"/>
  <c r="I2648" i="33"/>
  <c r="K2662" i="33"/>
  <c r="K2663" i="33"/>
  <c r="I2684" i="33"/>
  <c r="I2685" i="33"/>
  <c r="I2686" i="33"/>
  <c r="K2698" i="33"/>
  <c r="K2699" i="33"/>
  <c r="K2700" i="33"/>
  <c r="K2703" i="33"/>
  <c r="K2702" i="33"/>
  <c r="I2713" i="33"/>
  <c r="I2710" i="33"/>
  <c r="I2714" i="33"/>
  <c r="K2728" i="33"/>
  <c r="K2733" i="33"/>
  <c r="K2731" i="33"/>
  <c r="K2732" i="33"/>
  <c r="K2727" i="33"/>
  <c r="I2734" i="33"/>
  <c r="I2736" i="33"/>
  <c r="K2783" i="33"/>
  <c r="K2785" i="33"/>
  <c r="J2791" i="33"/>
  <c r="J2793" i="33"/>
  <c r="J2792" i="33"/>
  <c r="J2810" i="33"/>
  <c r="J2815" i="33"/>
  <c r="J2814" i="33"/>
  <c r="J2811" i="33"/>
  <c r="J2816" i="33"/>
  <c r="J2809" i="33"/>
  <c r="P2826" i="33"/>
  <c r="P2831" i="33"/>
  <c r="P2829" i="33"/>
  <c r="P2828" i="33"/>
  <c r="P2830" i="33"/>
  <c r="P2833" i="33"/>
  <c r="P2827" i="33"/>
  <c r="P2842" i="33"/>
  <c r="P2843" i="33"/>
  <c r="P2847" i="33"/>
  <c r="P2846" i="33"/>
  <c r="P2861" i="33"/>
  <c r="P2860" i="33"/>
  <c r="P2874" i="33"/>
  <c r="P2873" i="33"/>
  <c r="P2880" i="33"/>
  <c r="P2876" i="33"/>
  <c r="P2877" i="33"/>
  <c r="P2878" i="33"/>
  <c r="J2887" i="33"/>
  <c r="J2888" i="33"/>
  <c r="P2900" i="33"/>
  <c r="P2901" i="33"/>
  <c r="P2896" i="33"/>
  <c r="P2899" i="33"/>
  <c r="P2902" i="33"/>
  <c r="P2904" i="33"/>
  <c r="P2906" i="33"/>
  <c r="P2897" i="33"/>
  <c r="P2898" i="33"/>
  <c r="P2905" i="33"/>
  <c r="J2908" i="33"/>
  <c r="J2912" i="33"/>
  <c r="J2914" i="33"/>
  <c r="J2909" i="33"/>
  <c r="J2911" i="33"/>
  <c r="J2913" i="33"/>
  <c r="P2919" i="33"/>
  <c r="P2918" i="33"/>
  <c r="J2926" i="33"/>
  <c r="J2925" i="33"/>
  <c r="P2941" i="33"/>
  <c r="P2939" i="33"/>
  <c r="P2938" i="33"/>
  <c r="J2943" i="33"/>
  <c r="J2942" i="33"/>
  <c r="J2963" i="33"/>
  <c r="J2962" i="33"/>
  <c r="K2988" i="33"/>
  <c r="K2990" i="33"/>
  <c r="K2989" i="33"/>
  <c r="K2991" i="33"/>
  <c r="K2995" i="33"/>
  <c r="K3001" i="33"/>
  <c r="K3000" i="33"/>
  <c r="K2998" i="33"/>
  <c r="K3003" i="33"/>
  <c r="K3006" i="33"/>
  <c r="K2994" i="33"/>
  <c r="I3009" i="33"/>
  <c r="I3008" i="33"/>
  <c r="I3007" i="33"/>
  <c r="I3020" i="33"/>
  <c r="I3021" i="33"/>
  <c r="I3032" i="33"/>
  <c r="I3034" i="33"/>
  <c r="K3046" i="33"/>
  <c r="K3045" i="33"/>
  <c r="I3071" i="33"/>
  <c r="I3070" i="33"/>
  <c r="I3075" i="33"/>
  <c r="I3077" i="33"/>
  <c r="I3073" i="33"/>
  <c r="I3091" i="33"/>
  <c r="I3089" i="33"/>
  <c r="I3106" i="33"/>
  <c r="I3102" i="33"/>
  <c r="I3098" i="33"/>
  <c r="I3096" i="33"/>
  <c r="I3101" i="33"/>
  <c r="I3105" i="33"/>
  <c r="I3103" i="33"/>
  <c r="K3116" i="33"/>
  <c r="K3117" i="33"/>
  <c r="K3118" i="33"/>
  <c r="K3126" i="33"/>
  <c r="K3125" i="33"/>
  <c r="K3124" i="33"/>
  <c r="K3155" i="33"/>
  <c r="K3154" i="33"/>
  <c r="K3153" i="33"/>
  <c r="K3152" i="33"/>
  <c r="K3149" i="33"/>
  <c r="I3161" i="33"/>
  <c r="I3160" i="33"/>
  <c r="I3156" i="33"/>
  <c r="J3185" i="33"/>
  <c r="J3184" i="33"/>
  <c r="P3190" i="33"/>
  <c r="P3189" i="33"/>
  <c r="J3200" i="33"/>
  <c r="J3201" i="33"/>
  <c r="P3206" i="33"/>
  <c r="P3203" i="33"/>
  <c r="P3208" i="33"/>
  <c r="P3207" i="33"/>
  <c r="J3211" i="33"/>
  <c r="J3210" i="33"/>
  <c r="J3213" i="33"/>
  <c r="J3216" i="33"/>
  <c r="J3221" i="33"/>
  <c r="J3220" i="33"/>
  <c r="J3218" i="33"/>
  <c r="J3219" i="33"/>
  <c r="J3247" i="33"/>
  <c r="J3245" i="33"/>
  <c r="J3246" i="33"/>
  <c r="P3254" i="33"/>
  <c r="P3253" i="33"/>
  <c r="P3252" i="33"/>
  <c r="P3275" i="33"/>
  <c r="P3276" i="33"/>
  <c r="J3285" i="33"/>
  <c r="J3286" i="33"/>
  <c r="J3284" i="33"/>
  <c r="J3321" i="33"/>
  <c r="J3320" i="33"/>
  <c r="P3336" i="33"/>
  <c r="P3335" i="33"/>
  <c r="J3338" i="33"/>
  <c r="J3339" i="33"/>
  <c r="P3354" i="33"/>
  <c r="P3356" i="33"/>
  <c r="J3374" i="33"/>
  <c r="J3373" i="33"/>
  <c r="J3372" i="33"/>
  <c r="J3385" i="33"/>
  <c r="J3383" i="33"/>
  <c r="J3382" i="33"/>
  <c r="J3384" i="33"/>
  <c r="P3389" i="33"/>
  <c r="P3391" i="33"/>
  <c r="P3390" i="33"/>
  <c r="P3392" i="33"/>
  <c r="K3425" i="33"/>
  <c r="K3424" i="33"/>
  <c r="K3426" i="33"/>
  <c r="I3428" i="33"/>
  <c r="I3427" i="33"/>
  <c r="I3429" i="33"/>
  <c r="K3452" i="33"/>
  <c r="K3454" i="33"/>
  <c r="K3450" i="33"/>
  <c r="K3453" i="33"/>
  <c r="K3451" i="33"/>
  <c r="J1330" i="33"/>
  <c r="J1328" i="33"/>
  <c r="I1609" i="33"/>
  <c r="I1608" i="33"/>
  <c r="I1711" i="33"/>
  <c r="I1710" i="33"/>
  <c r="K1783" i="33"/>
  <c r="K1784" i="33"/>
  <c r="I1841" i="33"/>
  <c r="I1840" i="33"/>
  <c r="I1923" i="33"/>
  <c r="I1921" i="33"/>
  <c r="I1920" i="33"/>
  <c r="I1973" i="33"/>
  <c r="I1970" i="33"/>
  <c r="P2021" i="33"/>
  <c r="P2022" i="33"/>
  <c r="J2122" i="33"/>
  <c r="J2123" i="33"/>
  <c r="J2205" i="33"/>
  <c r="J2204" i="33"/>
  <c r="J2201" i="33"/>
  <c r="J3267" i="33"/>
  <c r="J3265" i="33"/>
  <c r="J3272" i="33"/>
  <c r="J3264" i="33"/>
  <c r="J3327" i="33"/>
  <c r="J3328" i="33"/>
  <c r="J3326" i="33"/>
  <c r="P3380" i="33"/>
  <c r="P3379" i="33"/>
  <c r="I3407" i="33"/>
  <c r="I3406" i="33"/>
  <c r="I3404" i="33"/>
  <c r="K3431" i="33"/>
  <c r="K3430" i="33"/>
  <c r="J3497" i="33"/>
  <c r="J3496" i="33"/>
  <c r="J3534" i="33"/>
  <c r="J3535" i="33"/>
  <c r="J3623" i="33"/>
  <c r="J3627" i="33"/>
  <c r="J3624" i="33"/>
  <c r="J3625" i="33"/>
  <c r="J3626" i="33"/>
  <c r="K3656" i="33"/>
  <c r="K93" i="6"/>
  <c r="K3655" i="33"/>
  <c r="K1911" i="33"/>
  <c r="J1245" i="33"/>
  <c r="J2838" i="33"/>
  <c r="J3343" i="33"/>
  <c r="J2457" i="33"/>
  <c r="I2672" i="33"/>
  <c r="J2029" i="33"/>
  <c r="I3361" i="33"/>
  <c r="I3052" i="33"/>
  <c r="P2384" i="33"/>
  <c r="K2656" i="33"/>
  <c r="J3553" i="33"/>
  <c r="J2463" i="33"/>
  <c r="J3342" i="33"/>
  <c r="I2671" i="33"/>
  <c r="J2415" i="33"/>
  <c r="I3025" i="33"/>
  <c r="J2803" i="33"/>
  <c r="J3347" i="33"/>
  <c r="K2773" i="33"/>
  <c r="I2777" i="33"/>
  <c r="J1513" i="33"/>
  <c r="J1512" i="33"/>
  <c r="I2891" i="33"/>
  <c r="I2889" i="33"/>
  <c r="P3151" i="33"/>
  <c r="P3152" i="33"/>
  <c r="J1240" i="33"/>
  <c r="J1243" i="33"/>
  <c r="I1263" i="33"/>
  <c r="I1262" i="33"/>
  <c r="I1264" i="33"/>
  <c r="J1182" i="33"/>
  <c r="J1178" i="33"/>
  <c r="J1363" i="33"/>
  <c r="J1361" i="33"/>
  <c r="J1364" i="33"/>
  <c r="J1362" i="33"/>
  <c r="K1401" i="33"/>
  <c r="K1402" i="33"/>
  <c r="I1610" i="33"/>
  <c r="I1611" i="33"/>
  <c r="K1788" i="33"/>
  <c r="K1787" i="33"/>
  <c r="K1812" i="33"/>
  <c r="K1810" i="33"/>
  <c r="K1878" i="33"/>
  <c r="K1877" i="33"/>
  <c r="K1927" i="33"/>
  <c r="K1926" i="33"/>
  <c r="K1962" i="33"/>
  <c r="K1961" i="33"/>
  <c r="P2005" i="33"/>
  <c r="P2006" i="33"/>
  <c r="P2133" i="33"/>
  <c r="P2135" i="33"/>
  <c r="P2134" i="33"/>
  <c r="P2174" i="33"/>
  <c r="P2176" i="33"/>
  <c r="P2172" i="33"/>
  <c r="J2225" i="33"/>
  <c r="J2224" i="33"/>
  <c r="J2255" i="33"/>
  <c r="J2254" i="33"/>
  <c r="J2257" i="33"/>
  <c r="J2276" i="33"/>
  <c r="J2279" i="33"/>
  <c r="J2283" i="33"/>
  <c r="J2305" i="33"/>
  <c r="J2304" i="33"/>
  <c r="J2303" i="33"/>
  <c r="J2346" i="33"/>
  <c r="J2345" i="33"/>
  <c r="P2360" i="33"/>
  <c r="P2358" i="33"/>
  <c r="P2357" i="33"/>
  <c r="J2407" i="33"/>
  <c r="J2406" i="33"/>
  <c r="J2403" i="33"/>
  <c r="P2416" i="33"/>
  <c r="P2419" i="33"/>
  <c r="P2420" i="33"/>
  <c r="P2417" i="33"/>
  <c r="K2507" i="33"/>
  <c r="K2509" i="33"/>
  <c r="K2508" i="33"/>
  <c r="K2668" i="33"/>
  <c r="K2669" i="33"/>
  <c r="K2675" i="33"/>
  <c r="K2673" i="33"/>
  <c r="I2680" i="33"/>
  <c r="I2678" i="33"/>
  <c r="I2679" i="33"/>
  <c r="I2693" i="33"/>
  <c r="I2692" i="33"/>
  <c r="I2689" i="33"/>
  <c r="I2690" i="33"/>
  <c r="I2691" i="33"/>
  <c r="K2697" i="33"/>
  <c r="K2696" i="33"/>
  <c r="I2716" i="33"/>
  <c r="I2717" i="33"/>
  <c r="I2724" i="33"/>
  <c r="I2722" i="33"/>
  <c r="I2744" i="33"/>
  <c r="I2743" i="33"/>
  <c r="I2765" i="33"/>
  <c r="I2763" i="33"/>
  <c r="I2766" i="33"/>
  <c r="K2774" i="33"/>
  <c r="K2775" i="33"/>
  <c r="I2790" i="33"/>
  <c r="I2788" i="33"/>
  <c r="I2787" i="33"/>
  <c r="I2789" i="33"/>
  <c r="P2824" i="33"/>
  <c r="P2825" i="33"/>
  <c r="J2968" i="33"/>
  <c r="J2970" i="33"/>
  <c r="I3060" i="33"/>
  <c r="I3064" i="33"/>
  <c r="I3061" i="33"/>
  <c r="I3063" i="33"/>
  <c r="I3065" i="33"/>
  <c r="I3057" i="33"/>
  <c r="I3086" i="33"/>
  <c r="I3087" i="33"/>
  <c r="K3132" i="33"/>
  <c r="K3131" i="33"/>
  <c r="K3130" i="33"/>
  <c r="J3226" i="33"/>
  <c r="J3227" i="33"/>
  <c r="J3228" i="33"/>
  <c r="P3279" i="33"/>
  <c r="P3278" i="33"/>
  <c r="P3296" i="33"/>
  <c r="P3294" i="33"/>
  <c r="P3365" i="33"/>
  <c r="P3367" i="33"/>
  <c r="P3366" i="33"/>
  <c r="K3461" i="33"/>
  <c r="K3456" i="33"/>
  <c r="K3459" i="33"/>
  <c r="K3455" i="33"/>
  <c r="K3460" i="33"/>
  <c r="K3457" i="33"/>
  <c r="J3469" i="33"/>
  <c r="J3470" i="33"/>
  <c r="K3654" i="33"/>
  <c r="K95" i="6"/>
  <c r="J145" i="6"/>
  <c r="J143" i="6"/>
  <c r="I2526" i="33"/>
  <c r="J3250" i="33"/>
  <c r="P2890" i="33"/>
  <c r="J3266" i="33"/>
  <c r="I3028" i="33"/>
  <c r="I3055" i="33"/>
  <c r="J3554" i="33"/>
  <c r="I1620" i="33"/>
  <c r="P3368" i="33"/>
  <c r="J2213" i="33"/>
  <c r="J3225" i="33"/>
  <c r="P3386" i="33"/>
  <c r="P2863" i="33"/>
  <c r="P2018" i="33"/>
  <c r="P3364" i="33"/>
  <c r="I2592" i="33"/>
  <c r="J2834" i="33"/>
  <c r="P2173" i="33"/>
  <c r="P2817" i="33"/>
  <c r="J3230" i="33"/>
  <c r="J3271" i="33"/>
  <c r="I3362" i="33"/>
  <c r="J2848" i="33"/>
  <c r="J2851" i="33"/>
  <c r="J3350" i="33"/>
  <c r="I2768" i="33"/>
  <c r="J2347" i="33"/>
  <c r="I2781" i="33"/>
  <c r="J3471" i="33"/>
  <c r="J144" i="6"/>
  <c r="I1541" i="33"/>
  <c r="J3248" i="33"/>
  <c r="I3062" i="33"/>
  <c r="P2263" i="33"/>
  <c r="K2140" i="33"/>
  <c r="P1511" i="33"/>
  <c r="J2835" i="33"/>
  <c r="P2142" i="33"/>
  <c r="K1440" i="33"/>
  <c r="J3312" i="33"/>
  <c r="P2820" i="33"/>
  <c r="J3231" i="33"/>
  <c r="I3024" i="33"/>
  <c r="I3145" i="33"/>
  <c r="I3402" i="33"/>
  <c r="J2849" i="33"/>
  <c r="J3345" i="33"/>
  <c r="I1361" i="33"/>
  <c r="K2055" i="33"/>
  <c r="K2269" i="33"/>
  <c r="J1853" i="33"/>
  <c r="J2813" i="33"/>
  <c r="P1434" i="33"/>
  <c r="J1208" i="33"/>
  <c r="P1173" i="33"/>
  <c r="K2532" i="33"/>
  <c r="J2102" i="33"/>
  <c r="K2913" i="33"/>
  <c r="I1969" i="33"/>
  <c r="J3371" i="33"/>
  <c r="I1971" i="33"/>
  <c r="I2761" i="33"/>
  <c r="K2665" i="33"/>
  <c r="P2421" i="33"/>
  <c r="J2281" i="33"/>
  <c r="P2412" i="33"/>
  <c r="I2613" i="33"/>
  <c r="J2321" i="33"/>
  <c r="I1757" i="33"/>
  <c r="J2794" i="33"/>
  <c r="P2326" i="33"/>
  <c r="K1680" i="33"/>
  <c r="K2784" i="33"/>
  <c r="K2483" i="33"/>
  <c r="J1351" i="33"/>
  <c r="I2551" i="33"/>
  <c r="K1500" i="33"/>
  <c r="I2723" i="33"/>
  <c r="K2270" i="33"/>
  <c r="J1879" i="33"/>
  <c r="J3584" i="33"/>
  <c r="J3583" i="33"/>
  <c r="I1235" i="33"/>
  <c r="I1237" i="33"/>
  <c r="I1243" i="33"/>
  <c r="I1240" i="33"/>
  <c r="K1256" i="33"/>
  <c r="K1258" i="33"/>
  <c r="K1281" i="33"/>
  <c r="K1282" i="33"/>
  <c r="I1296" i="33"/>
  <c r="I1295" i="33"/>
  <c r="I1298" i="33"/>
  <c r="I1297" i="33"/>
  <c r="I1179" i="33"/>
  <c r="I1181" i="33"/>
  <c r="I1265" i="33"/>
  <c r="I1180" i="33"/>
  <c r="I1182" i="33"/>
  <c r="K1327" i="33"/>
  <c r="K1326" i="33"/>
  <c r="I1329" i="33"/>
  <c r="I1328" i="33"/>
  <c r="I1363" i="33"/>
  <c r="I1362" i="33"/>
  <c r="I1368" i="33"/>
  <c r="I1367" i="33"/>
  <c r="J1376" i="33"/>
  <c r="J1378" i="33"/>
  <c r="P1384" i="33"/>
  <c r="P1385" i="33"/>
  <c r="J1388" i="33"/>
  <c r="J1389" i="33"/>
  <c r="J1390" i="33"/>
  <c r="J1396" i="33"/>
  <c r="J1393" i="33"/>
  <c r="J1392" i="33"/>
  <c r="J1395" i="33"/>
  <c r="J1403" i="33"/>
  <c r="J1404" i="33"/>
  <c r="J1441" i="33"/>
  <c r="J1442" i="33"/>
  <c r="J1440" i="33"/>
  <c r="J1423" i="33"/>
  <c r="J1446" i="33"/>
  <c r="J1459" i="33"/>
  <c r="J1460" i="33"/>
  <c r="J1532" i="33"/>
  <c r="J1531" i="33"/>
  <c r="J1537" i="33"/>
  <c r="J1535" i="33"/>
  <c r="P1577" i="33"/>
  <c r="P1578" i="33"/>
  <c r="P1579" i="33"/>
  <c r="J1592" i="33"/>
  <c r="J1590" i="33"/>
  <c r="P1633" i="33"/>
  <c r="P1634" i="33"/>
  <c r="P1667" i="33"/>
  <c r="P1666" i="33"/>
  <c r="P1705" i="33"/>
  <c r="P1703" i="33"/>
  <c r="J1714" i="33"/>
  <c r="J1715" i="33"/>
  <c r="J1713" i="33"/>
  <c r="P1721" i="33"/>
  <c r="P1723" i="33"/>
  <c r="P1756" i="33"/>
  <c r="P1755" i="33"/>
  <c r="P1767" i="33"/>
  <c r="P1766" i="33"/>
  <c r="J1786" i="33"/>
  <c r="J1787" i="33"/>
  <c r="J1810" i="33"/>
  <c r="J1811" i="33"/>
  <c r="J1812" i="33"/>
  <c r="J1866" i="33"/>
  <c r="J1865" i="33"/>
  <c r="J1877" i="33"/>
  <c r="J1878" i="33"/>
  <c r="J1911" i="33"/>
  <c r="J1913" i="33"/>
  <c r="P1939" i="33"/>
  <c r="P1938" i="33"/>
  <c r="J1974" i="33"/>
  <c r="J1975" i="33"/>
  <c r="J1978" i="33"/>
  <c r="J1977" i="33"/>
  <c r="K2004" i="33"/>
  <c r="K2005" i="33"/>
  <c r="I2029" i="33"/>
  <c r="I2028" i="33"/>
  <c r="I2048" i="33"/>
  <c r="I2047" i="33"/>
  <c r="I2046" i="33"/>
  <c r="I2082" i="33"/>
  <c r="I2081" i="33"/>
  <c r="I2083" i="33"/>
  <c r="I2122" i="33"/>
  <c r="I2123" i="33"/>
  <c r="I2120" i="33"/>
  <c r="K2134" i="33"/>
  <c r="K2135" i="33"/>
  <c r="K2164" i="33"/>
  <c r="K2163" i="33"/>
  <c r="K2175" i="33"/>
  <c r="K2174" i="33"/>
  <c r="I2178" i="33"/>
  <c r="I2177" i="33"/>
  <c r="I2179" i="33"/>
  <c r="I2182" i="33"/>
  <c r="I2180" i="33"/>
  <c r="I2181" i="33"/>
  <c r="I2184" i="33"/>
  <c r="I2204" i="33"/>
  <c r="I2201" i="33"/>
  <c r="I2205" i="33"/>
  <c r="I2202" i="33"/>
  <c r="I2213" i="33"/>
  <c r="I2211" i="33"/>
  <c r="K2218" i="33"/>
  <c r="K2220" i="33"/>
  <c r="K2217" i="33"/>
  <c r="I2223" i="33"/>
  <c r="I2221" i="33"/>
  <c r="I2225" i="33"/>
  <c r="I2224" i="33"/>
  <c r="I2256" i="33"/>
  <c r="I2257" i="33"/>
  <c r="K2262" i="33"/>
  <c r="K2264" i="33"/>
  <c r="I2278" i="33"/>
  <c r="I2275" i="33"/>
  <c r="I2303" i="33"/>
  <c r="I2305" i="33"/>
  <c r="K2336" i="33"/>
  <c r="K2335" i="33"/>
  <c r="K2330" i="33"/>
  <c r="I2346" i="33"/>
  <c r="I2344" i="33"/>
  <c r="I2342" i="33"/>
  <c r="I2345" i="33"/>
  <c r="I2347" i="33"/>
  <c r="K2358" i="33"/>
  <c r="K2357" i="33"/>
  <c r="K2380" i="33"/>
  <c r="K2382" i="33"/>
  <c r="K2381" i="33"/>
  <c r="K2398" i="33"/>
  <c r="K2397" i="33"/>
  <c r="I2406" i="33"/>
  <c r="I2403" i="33"/>
  <c r="I2405" i="33"/>
  <c r="I2402" i="33"/>
  <c r="I2415" i="33"/>
  <c r="I2414" i="33"/>
  <c r="K2418" i="33"/>
  <c r="K2420" i="33"/>
  <c r="I2437" i="33"/>
  <c r="I2436" i="33"/>
  <c r="I2460" i="33"/>
  <c r="I2457" i="33"/>
  <c r="I2462" i="33"/>
  <c r="I2463" i="33"/>
  <c r="P2497" i="33"/>
  <c r="P2492" i="33"/>
  <c r="P2499" i="33"/>
  <c r="P2494" i="33"/>
  <c r="P2491" i="33"/>
  <c r="P2495" i="33"/>
  <c r="P2500" i="33"/>
  <c r="J2508" i="33"/>
  <c r="J2509" i="33"/>
  <c r="P2550" i="33"/>
  <c r="P2551" i="33"/>
  <c r="P2549" i="33"/>
  <c r="P2574" i="33"/>
  <c r="P2570" i="33"/>
  <c r="P2575" i="33"/>
  <c r="P2568" i="33"/>
  <c r="P2572" i="33"/>
  <c r="P2567" i="33"/>
  <c r="P2569" i="33"/>
  <c r="P2609" i="33"/>
  <c r="P2606" i="33"/>
  <c r="P2604" i="33"/>
  <c r="P2610" i="33"/>
  <c r="P2614" i="33"/>
  <c r="P2612" i="33"/>
  <c r="J2647" i="33"/>
  <c r="J2646" i="33"/>
  <c r="P2649" i="33"/>
  <c r="P2650" i="33"/>
  <c r="J2669" i="33"/>
  <c r="J2668" i="33"/>
  <c r="J2675" i="33"/>
  <c r="J2673" i="33"/>
  <c r="J2676" i="33"/>
  <c r="J2674" i="33"/>
  <c r="P2735" i="33"/>
  <c r="P2736" i="33"/>
  <c r="P2734" i="33"/>
  <c r="J2738" i="33"/>
  <c r="J2737" i="33"/>
  <c r="J2772" i="33"/>
  <c r="J2773" i="33"/>
  <c r="J2771" i="33"/>
  <c r="J2770" i="33"/>
  <c r="J2769" i="33"/>
  <c r="I2803" i="33"/>
  <c r="I2805" i="33"/>
  <c r="I2802" i="33"/>
  <c r="I2807" i="33"/>
  <c r="I2801" i="33"/>
  <c r="I2806" i="33"/>
  <c r="K2864" i="33"/>
  <c r="K2863" i="33"/>
  <c r="K2865" i="33"/>
  <c r="K2891" i="33"/>
  <c r="K2890" i="33"/>
  <c r="I2956" i="33"/>
  <c r="I2958" i="33"/>
  <c r="I2957" i="33"/>
  <c r="K2965" i="33"/>
  <c r="K2966" i="33"/>
  <c r="I2968" i="33"/>
  <c r="I2969" i="33"/>
  <c r="P3035" i="33"/>
  <c r="P3032" i="33"/>
  <c r="P3034" i="33"/>
  <c r="P3073" i="33"/>
  <c r="P3072" i="33"/>
  <c r="P3071" i="33"/>
  <c r="P3074" i="33"/>
  <c r="P3088" i="33"/>
  <c r="P3089" i="33"/>
  <c r="P3105" i="33"/>
  <c r="P3103" i="33"/>
  <c r="P3107" i="33"/>
  <c r="P3099" i="33"/>
  <c r="P3102" i="33"/>
  <c r="P3097" i="33"/>
  <c r="P3098" i="33"/>
  <c r="P3104" i="33"/>
  <c r="P3128" i="33"/>
  <c r="P3129" i="33"/>
  <c r="P3127" i="33"/>
  <c r="J3132" i="33"/>
  <c r="J3130" i="33"/>
  <c r="P3158" i="33"/>
  <c r="P3156" i="33"/>
  <c r="P3157" i="33"/>
  <c r="P3159" i="33"/>
  <c r="P3163" i="33"/>
  <c r="P3164" i="33"/>
  <c r="I3225" i="33"/>
  <c r="I3230" i="33"/>
  <c r="I3231" i="33"/>
  <c r="I3226" i="33"/>
  <c r="I3228" i="33"/>
  <c r="I3224" i="33"/>
  <c r="I3249" i="33"/>
  <c r="I3251" i="33"/>
  <c r="I3270" i="33"/>
  <c r="I3272" i="33"/>
  <c r="I3265" i="33"/>
  <c r="I3264" i="33"/>
  <c r="I3269" i="33"/>
  <c r="I3271" i="33"/>
  <c r="I3266" i="33"/>
  <c r="K3279" i="33"/>
  <c r="K3278" i="33"/>
  <c r="K3277" i="33"/>
  <c r="K3280" i="33"/>
  <c r="I3282" i="33"/>
  <c r="I3281" i="33"/>
  <c r="K3293" i="33"/>
  <c r="K3294" i="33"/>
  <c r="I3313" i="33"/>
  <c r="I3309" i="33"/>
  <c r="I3343" i="33"/>
  <c r="I3340" i="33"/>
  <c r="I3348" i="33"/>
  <c r="I3349" i="33"/>
  <c r="I3345" i="33"/>
  <c r="I3347" i="33"/>
  <c r="I3351" i="33"/>
  <c r="K3367" i="33"/>
  <c r="K3368" i="33"/>
  <c r="K3364" i="33"/>
  <c r="K3386" i="33"/>
  <c r="K3387" i="33"/>
  <c r="P3448" i="33"/>
  <c r="P3449" i="33"/>
  <c r="J3455" i="33"/>
  <c r="J3459" i="33"/>
  <c r="K3468" i="33"/>
  <c r="K3467" i="33"/>
  <c r="K3466" i="33"/>
  <c r="I3469" i="33"/>
  <c r="I3470" i="33"/>
  <c r="I3496" i="33"/>
  <c r="I3497" i="33"/>
  <c r="K3499" i="33"/>
  <c r="K3500" i="33"/>
  <c r="K2401" i="33"/>
  <c r="K2400" i="33"/>
  <c r="I2917" i="33"/>
  <c r="I2916" i="33"/>
  <c r="K2956" i="33"/>
  <c r="K2958" i="33"/>
  <c r="K2957" i="33"/>
  <c r="K2968" i="33"/>
  <c r="K2969" i="33"/>
  <c r="J3052" i="33"/>
  <c r="J3053" i="33"/>
  <c r="J3061" i="33"/>
  <c r="J3058" i="33"/>
  <c r="J3060" i="33"/>
  <c r="J3087" i="33"/>
  <c r="J3085" i="33"/>
  <c r="J3086" i="33"/>
  <c r="K3269" i="33"/>
  <c r="K3265" i="33"/>
  <c r="K3283" i="33"/>
  <c r="K3281" i="33"/>
  <c r="K3310" i="33"/>
  <c r="K3309" i="33"/>
  <c r="K3328" i="33"/>
  <c r="K3327" i="33"/>
  <c r="I3335" i="33"/>
  <c r="I3336" i="33"/>
  <c r="K3347" i="33"/>
  <c r="K3348" i="33"/>
  <c r="K3346" i="33"/>
  <c r="K3345" i="33"/>
  <c r="K3349" i="33"/>
  <c r="I3355" i="33"/>
  <c r="I3354" i="33"/>
  <c r="J3361" i="33"/>
  <c r="J3362" i="33"/>
  <c r="J3406" i="33"/>
  <c r="J3405" i="33"/>
  <c r="J3407" i="33"/>
  <c r="J3409" i="33"/>
  <c r="J3408" i="33"/>
  <c r="K3497" i="33"/>
  <c r="K3496" i="33"/>
  <c r="I3521" i="33"/>
  <c r="I3520" i="33"/>
  <c r="I3522" i="33"/>
  <c r="K3535" i="33"/>
  <c r="K3534" i="33"/>
  <c r="I3566" i="33"/>
  <c r="I3565" i="33"/>
  <c r="I3568" i="33"/>
  <c r="K3625" i="33"/>
  <c r="K3624" i="33"/>
  <c r="P93" i="6"/>
  <c r="I3334" i="33"/>
  <c r="P3446" i="33"/>
  <c r="I3208" i="33"/>
  <c r="I2921" i="33"/>
  <c r="P3083" i="33"/>
  <c r="K3623" i="33"/>
  <c r="J3038" i="33"/>
  <c r="K2203" i="33"/>
  <c r="K2201" i="33"/>
  <c r="I2919" i="33"/>
  <c r="I2918" i="33"/>
  <c r="J3093" i="33"/>
  <c r="J3092" i="33"/>
  <c r="J3095" i="33"/>
  <c r="J3094" i="33"/>
  <c r="P3120" i="33"/>
  <c r="P3122" i="33"/>
  <c r="P3132" i="33"/>
  <c r="P3131" i="33"/>
  <c r="P3130" i="33"/>
  <c r="J3146" i="33"/>
  <c r="J3145" i="33"/>
  <c r="K3227" i="33"/>
  <c r="K3231" i="33"/>
  <c r="K3226" i="33"/>
  <c r="K3225" i="33"/>
  <c r="K3224" i="33"/>
  <c r="K3229" i="33"/>
  <c r="K3248" i="33"/>
  <c r="K3250" i="33"/>
  <c r="K3251" i="33"/>
  <c r="K3249" i="33"/>
  <c r="I3275" i="33"/>
  <c r="I3276" i="33"/>
  <c r="I3292" i="33"/>
  <c r="I3290" i="33"/>
  <c r="P3458" i="33"/>
  <c r="P3460" i="33"/>
  <c r="P3455" i="33"/>
  <c r="K3554" i="33"/>
  <c r="K3555" i="33"/>
  <c r="I3576" i="33"/>
  <c r="I3578" i="33"/>
  <c r="I3577" i="33"/>
  <c r="I3622" i="33"/>
  <c r="I3619" i="33"/>
  <c r="I3620" i="33"/>
  <c r="P3643" i="33"/>
  <c r="P3642" i="33"/>
  <c r="P3644" i="33"/>
  <c r="P96" i="6"/>
  <c r="P3653" i="33"/>
  <c r="P3652" i="33"/>
  <c r="J3064" i="33"/>
  <c r="J1621" i="33"/>
  <c r="J1980" i="33"/>
  <c r="P1149" i="33"/>
  <c r="K2257" i="33"/>
  <c r="J3062" i="33"/>
  <c r="J2761" i="33"/>
  <c r="P1880" i="33"/>
  <c r="K3507" i="33"/>
  <c r="P2657" i="33"/>
  <c r="P3645" i="33"/>
  <c r="P3430" i="33"/>
  <c r="K3532" i="33"/>
  <c r="J3363" i="33"/>
  <c r="P3121" i="33"/>
  <c r="I3390" i="33"/>
  <c r="P3082" i="33"/>
  <c r="P3493" i="33"/>
  <c r="P3494" i="33"/>
  <c r="J3524" i="33"/>
  <c r="J3523" i="33"/>
  <c r="J3525" i="33"/>
  <c r="P3567" i="33"/>
  <c r="P3568" i="33"/>
  <c r="P3566" i="33"/>
  <c r="P3621" i="33"/>
  <c r="P3618" i="33"/>
  <c r="K3635" i="33"/>
  <c r="K3636" i="33"/>
  <c r="K3638" i="33"/>
  <c r="I3555" i="33"/>
  <c r="I3554" i="33"/>
  <c r="I3627" i="33"/>
  <c r="I3624" i="33"/>
  <c r="J3642" i="33"/>
  <c r="J3643" i="33"/>
  <c r="P3651" i="33"/>
  <c r="P3648" i="33"/>
  <c r="J3653" i="33"/>
  <c r="J3654" i="33"/>
  <c r="J3655" i="33"/>
  <c r="J3648" i="33"/>
  <c r="J3650" i="33"/>
  <c r="J3647" i="33"/>
  <c r="B98" i="7"/>
  <c r="E98" i="7" s="1"/>
  <c r="V1286" i="1"/>
  <c r="P1258" i="33"/>
  <c r="P1256" i="33"/>
  <c r="P1283" i="33"/>
  <c r="P1281" i="33"/>
  <c r="J1265" i="33"/>
  <c r="J1320" i="33"/>
  <c r="J1179" i="33"/>
  <c r="P1326" i="33"/>
  <c r="P1327" i="33"/>
  <c r="K1388" i="33"/>
  <c r="K1390" i="33"/>
  <c r="K1392" i="33"/>
  <c r="K1395" i="33"/>
  <c r="K1404" i="33"/>
  <c r="K1403" i="33"/>
  <c r="K1422" i="33"/>
  <c r="K1448" i="33"/>
  <c r="K1421" i="33"/>
  <c r="I1461" i="33"/>
  <c r="I1462" i="33"/>
  <c r="K1534" i="33"/>
  <c r="K1533" i="33"/>
  <c r="K1537" i="33"/>
  <c r="K1535" i="33"/>
  <c r="I1539" i="33"/>
  <c r="I1540" i="33"/>
  <c r="I1538" i="33"/>
  <c r="I1544" i="33"/>
  <c r="I1542" i="33"/>
  <c r="I1553" i="33"/>
  <c r="I1554" i="33"/>
  <c r="J1189" i="33"/>
  <c r="J1190" i="33"/>
  <c r="K1589" i="33"/>
  <c r="K1592" i="33"/>
  <c r="I1625" i="33"/>
  <c r="I1623" i="33"/>
  <c r="K1713" i="33"/>
  <c r="K1715" i="33"/>
  <c r="K1712" i="33"/>
  <c r="I1731" i="33"/>
  <c r="I1730" i="33"/>
  <c r="I1734" i="33"/>
  <c r="I1737" i="33"/>
  <c r="P1187" i="33"/>
  <c r="P1185" i="33"/>
  <c r="J1200" i="33"/>
  <c r="J1201" i="33"/>
  <c r="P1238" i="33"/>
  <c r="P1236" i="33"/>
  <c r="P1178" i="33"/>
  <c r="P1182" i="33"/>
  <c r="J1332" i="33"/>
  <c r="J1335" i="33"/>
  <c r="K1607" i="33"/>
  <c r="K1605" i="33"/>
  <c r="I1669" i="33"/>
  <c r="I1672" i="33"/>
  <c r="K1794" i="33"/>
  <c r="K1792" i="33"/>
  <c r="K1820" i="33"/>
  <c r="K1813" i="33"/>
  <c r="K1969" i="33"/>
  <c r="K1973" i="33"/>
  <c r="K1970" i="33"/>
  <c r="I1984" i="33"/>
  <c r="I1982" i="33"/>
  <c r="I1983" i="33"/>
  <c r="J2058" i="33"/>
  <c r="J2059" i="33"/>
  <c r="J2117" i="33"/>
  <c r="J2118" i="33"/>
  <c r="J2194" i="33"/>
  <c r="J2192" i="33"/>
  <c r="P2203" i="33"/>
  <c r="P2205" i="33"/>
  <c r="J2313" i="33"/>
  <c r="J2316" i="33"/>
  <c r="J2315" i="33"/>
  <c r="I2581" i="33"/>
  <c r="I2580" i="33"/>
  <c r="K2599" i="33"/>
  <c r="K2601" i="33"/>
  <c r="K2598" i="33"/>
  <c r="I2663" i="33"/>
  <c r="I2662" i="33"/>
  <c r="K2718" i="33"/>
  <c r="K2715" i="33"/>
  <c r="K2716" i="33"/>
  <c r="K2717" i="33"/>
  <c r="I2785" i="33"/>
  <c r="I2784" i="33"/>
  <c r="K2787" i="33"/>
  <c r="K2788" i="33"/>
  <c r="K2789" i="33"/>
  <c r="J2831" i="33"/>
  <c r="J2832" i="33"/>
  <c r="J2829" i="33"/>
  <c r="J2830" i="33"/>
  <c r="P2871" i="33"/>
  <c r="P2869" i="33"/>
  <c r="I3002" i="33"/>
  <c r="I2998" i="33"/>
  <c r="I3000" i="33"/>
  <c r="I3004" i="33"/>
  <c r="I2995" i="33"/>
  <c r="I2996" i="33"/>
  <c r="K3030" i="33"/>
  <c r="K3031" i="33"/>
  <c r="K3094" i="33"/>
  <c r="K3093" i="33"/>
  <c r="K3095" i="33"/>
  <c r="I3152" i="33"/>
  <c r="I3149" i="33"/>
  <c r="P3248" i="33"/>
  <c r="P3251" i="33"/>
  <c r="P3250" i="33"/>
  <c r="P3265" i="33"/>
  <c r="P3271" i="33"/>
  <c r="P3266" i="33"/>
  <c r="P3270" i="33"/>
  <c r="P3269" i="33"/>
  <c r="P3272" i="33"/>
  <c r="P3281" i="33"/>
  <c r="P3282" i="33"/>
  <c r="J3333" i="33"/>
  <c r="J3336" i="33"/>
  <c r="K3409" i="33"/>
  <c r="K3406" i="33"/>
  <c r="I3412" i="33"/>
  <c r="I3413" i="33"/>
  <c r="I3414" i="33"/>
  <c r="I3426" i="33"/>
  <c r="I3424" i="33"/>
  <c r="I3425" i="33"/>
  <c r="P3507" i="33"/>
  <c r="P3506" i="33"/>
  <c r="J3521" i="33"/>
  <c r="J3522" i="33"/>
  <c r="P3532" i="33"/>
  <c r="P3531" i="33"/>
  <c r="P3533" i="33"/>
  <c r="P3555" i="33"/>
  <c r="P3554" i="33"/>
  <c r="J3576" i="33"/>
  <c r="J3577" i="33"/>
  <c r="J3618" i="33"/>
  <c r="J3619" i="33"/>
  <c r="I3639" i="33"/>
  <c r="I3640" i="33"/>
  <c r="I1435" i="33"/>
  <c r="I2698" i="33"/>
  <c r="J2288" i="33"/>
  <c r="I1508" i="33"/>
  <c r="K3629" i="33"/>
  <c r="I3637" i="33"/>
  <c r="P3351" i="33"/>
  <c r="P3329" i="33"/>
  <c r="J3252" i="33"/>
  <c r="I3154" i="33"/>
  <c r="K3085" i="33"/>
  <c r="I2990" i="33"/>
  <c r="J2917" i="33"/>
  <c r="J2880" i="33"/>
  <c r="P2872" i="33"/>
  <c r="J2845" i="33"/>
  <c r="I1965" i="33"/>
  <c r="P2161" i="33"/>
  <c r="K1151" i="33"/>
  <c r="J2862" i="33"/>
  <c r="J2861" i="33"/>
  <c r="J2918" i="33"/>
  <c r="J2827" i="33"/>
  <c r="J3391" i="33"/>
  <c r="P3309" i="33"/>
  <c r="J2366" i="33"/>
  <c r="K1545" i="33"/>
  <c r="K2744" i="33"/>
  <c r="I2700" i="33"/>
  <c r="I2623" i="33"/>
  <c r="K2592" i="33"/>
  <c r="K2528" i="33"/>
  <c r="J2350" i="33"/>
  <c r="P2303" i="33"/>
  <c r="P2202" i="33"/>
  <c r="K1921" i="33"/>
  <c r="J3520" i="33"/>
  <c r="P3469" i="33"/>
  <c r="K3404" i="33"/>
  <c r="I2477" i="33"/>
  <c r="P2255" i="33"/>
  <c r="I1846" i="33"/>
  <c r="I1847" i="33"/>
  <c r="K1856" i="33"/>
  <c r="K1857" i="33"/>
  <c r="P2073" i="33"/>
  <c r="P2072" i="33"/>
  <c r="J2094" i="33"/>
  <c r="J2092" i="33"/>
  <c r="P2119" i="33"/>
  <c r="P2123" i="33"/>
  <c r="P2122" i="33"/>
  <c r="J2145" i="33"/>
  <c r="J2146" i="33"/>
  <c r="P2184" i="33"/>
  <c r="P2180" i="33"/>
  <c r="P2182" i="33"/>
  <c r="P2185" i="33"/>
  <c r="J2190" i="33"/>
  <c r="J2189" i="33"/>
  <c r="P2221" i="33"/>
  <c r="P2222" i="33"/>
  <c r="P2223" i="33"/>
  <c r="P2278" i="33"/>
  <c r="P2275" i="33"/>
  <c r="P2279" i="33"/>
  <c r="P2274" i="33"/>
  <c r="J2307" i="33"/>
  <c r="J2309" i="33"/>
  <c r="J2328" i="33"/>
  <c r="J2327" i="33"/>
  <c r="P2342" i="33"/>
  <c r="P2344" i="33"/>
  <c r="P2346" i="33"/>
  <c r="P2345" i="33"/>
  <c r="J2373" i="33"/>
  <c r="J2372" i="33"/>
  <c r="J2374" i="33"/>
  <c r="P2406" i="33"/>
  <c r="P2405" i="33"/>
  <c r="P2436" i="33"/>
  <c r="P2437" i="33"/>
  <c r="I2535" i="33"/>
  <c r="I2533" i="33"/>
  <c r="I2534" i="33"/>
  <c r="K2622" i="33"/>
  <c r="K2621" i="33"/>
  <c r="K2691" i="33"/>
  <c r="K2692" i="33"/>
  <c r="K2690" i="33"/>
  <c r="K2689" i="33"/>
  <c r="K2720" i="33"/>
  <c r="K2719" i="33"/>
  <c r="K2755" i="33"/>
  <c r="K2754" i="33"/>
  <c r="K2752" i="33"/>
  <c r="K2753" i="33"/>
  <c r="K2777" i="33"/>
  <c r="K2780" i="33"/>
  <c r="K2778" i="33"/>
  <c r="K2779" i="33"/>
  <c r="P2807" i="33"/>
  <c r="P2800" i="33"/>
  <c r="P2803" i="33"/>
  <c r="P2805" i="33"/>
  <c r="P2834" i="33"/>
  <c r="P2837" i="33"/>
  <c r="P2838" i="33"/>
  <c r="P2835" i="33"/>
  <c r="K3038" i="33"/>
  <c r="K3039" i="33"/>
  <c r="I3044" i="33"/>
  <c r="I3046" i="33"/>
  <c r="I3047" i="33"/>
  <c r="I3048" i="33"/>
  <c r="I3043" i="33"/>
  <c r="I3045" i="33"/>
  <c r="K3060" i="33"/>
  <c r="K3061" i="33"/>
  <c r="K3056" i="33"/>
  <c r="K3062" i="33"/>
  <c r="P3343" i="33"/>
  <c r="P3341" i="33"/>
  <c r="J3355" i="33"/>
  <c r="J3354" i="33"/>
  <c r="I3415" i="33"/>
  <c r="I3416" i="33"/>
  <c r="P3535" i="33"/>
  <c r="P3534" i="33"/>
  <c r="J3660" i="33"/>
  <c r="J3659" i="33"/>
  <c r="P3627" i="33"/>
  <c r="P3626" i="33"/>
  <c r="I144" i="6"/>
  <c r="I1415" i="33"/>
  <c r="J2377" i="33"/>
  <c r="I145" i="6"/>
  <c r="I3451" i="33"/>
  <c r="J2199" i="33"/>
  <c r="J1225" i="33"/>
  <c r="K3630" i="33"/>
  <c r="I3635" i="33"/>
  <c r="P3348" i="33"/>
  <c r="J3290" i="33"/>
  <c r="I3153" i="33"/>
  <c r="K3065" i="33"/>
  <c r="I2991" i="33"/>
  <c r="J2881" i="33"/>
  <c r="P2851" i="33"/>
  <c r="J2843" i="33"/>
  <c r="P2158" i="33"/>
  <c r="P3384" i="33"/>
  <c r="P3283" i="33"/>
  <c r="P3347" i="33"/>
  <c r="P3371" i="33"/>
  <c r="K3024" i="33"/>
  <c r="K3092" i="33"/>
  <c r="I1776" i="33"/>
  <c r="P2253" i="33"/>
  <c r="P1247" i="33"/>
  <c r="K2776" i="33"/>
  <c r="K2694" i="33"/>
  <c r="I2624" i="33"/>
  <c r="I2579" i="33"/>
  <c r="I2514" i="33"/>
  <c r="P2404" i="33"/>
  <c r="P2201" i="33"/>
  <c r="P2083" i="33"/>
  <c r="K1895" i="33"/>
  <c r="I1671" i="33"/>
  <c r="P3624" i="33"/>
  <c r="P3625" i="33"/>
  <c r="K3648" i="33"/>
  <c r="K2761" i="33"/>
  <c r="I3636" i="33"/>
  <c r="J1129" i="33"/>
  <c r="J1158" i="33"/>
  <c r="K1263" i="33"/>
  <c r="K1264" i="33"/>
  <c r="P1329" i="33"/>
  <c r="P1328" i="33"/>
  <c r="K1625" i="33"/>
  <c r="K1620" i="33"/>
  <c r="I1650" i="33"/>
  <c r="I1646" i="33"/>
  <c r="I1648" i="33"/>
  <c r="K1661" i="33"/>
  <c r="K1663" i="33"/>
  <c r="I1682" i="33"/>
  <c r="I1680" i="33"/>
  <c r="K1711" i="33"/>
  <c r="K1710" i="33"/>
  <c r="I1720" i="33"/>
  <c r="I1719" i="33"/>
  <c r="K1733" i="33"/>
  <c r="K1736" i="33"/>
  <c r="I1740" i="33"/>
  <c r="I1738" i="33"/>
  <c r="I1882" i="33"/>
  <c r="I1883" i="33"/>
  <c r="K1948" i="33"/>
  <c r="K1947" i="33"/>
  <c r="K1981" i="33"/>
  <c r="K1980" i="33"/>
  <c r="P2046" i="33"/>
  <c r="P2049" i="33"/>
  <c r="J2115" i="33"/>
  <c r="J2116" i="33"/>
  <c r="J2113" i="33"/>
  <c r="P2178" i="33"/>
  <c r="P2179" i="33"/>
  <c r="P2224" i="33"/>
  <c r="P2225" i="33"/>
  <c r="J2286" i="33"/>
  <c r="J2285" i="33"/>
  <c r="J2295" i="33"/>
  <c r="J2294" i="33"/>
  <c r="J2356" i="33"/>
  <c r="J2354" i="33"/>
  <c r="J2349" i="33"/>
  <c r="J2352" i="33"/>
  <c r="J2385" i="33"/>
  <c r="J2387" i="33"/>
  <c r="P2399" i="33"/>
  <c r="P2400" i="33"/>
  <c r="P2414" i="33"/>
  <c r="P2415" i="33"/>
  <c r="P2461" i="33"/>
  <c r="P2459" i="33"/>
  <c r="I2469" i="33"/>
  <c r="I2480" i="33"/>
  <c r="I2481" i="33"/>
  <c r="I2476" i="33"/>
  <c r="I2475" i="33"/>
  <c r="I2505" i="33"/>
  <c r="I2501" i="33"/>
  <c r="I2511" i="33"/>
  <c r="I2512" i="33"/>
  <c r="I2510" i="33"/>
  <c r="I2563" i="33"/>
  <c r="I2559" i="33"/>
  <c r="I2562" i="33"/>
  <c r="K2724" i="33"/>
  <c r="K2723" i="33"/>
  <c r="I2532" i="33"/>
  <c r="I2729" i="33"/>
  <c r="I2731" i="33"/>
  <c r="I2730" i="33"/>
  <c r="K2767" i="33"/>
  <c r="K2765" i="33"/>
  <c r="K2763" i="33"/>
  <c r="K2766" i="33"/>
  <c r="J2895" i="33"/>
  <c r="J2901" i="33"/>
  <c r="J2904" i="33"/>
  <c r="J2900" i="33"/>
  <c r="J2894" i="33"/>
  <c r="J2896" i="33"/>
  <c r="J2905" i="33"/>
  <c r="J3207" i="33"/>
  <c r="J3208" i="33"/>
  <c r="P3224" i="33"/>
  <c r="P3228" i="33"/>
  <c r="J3274" i="33"/>
  <c r="J3275" i="33"/>
  <c r="P3311" i="33"/>
  <c r="P3310" i="33"/>
  <c r="K3361" i="33"/>
  <c r="K3363" i="33"/>
  <c r="K1835" i="33"/>
  <c r="K139" i="6"/>
  <c r="K144" i="6"/>
  <c r="I1926" i="33"/>
  <c r="I2560" i="33"/>
  <c r="I2470" i="33"/>
  <c r="K3631" i="33"/>
  <c r="J3621" i="33"/>
  <c r="P3345" i="33"/>
  <c r="J3291" i="33"/>
  <c r="P3225" i="33"/>
  <c r="I3126" i="33"/>
  <c r="K3059" i="33"/>
  <c r="P2970" i="33"/>
  <c r="J2902" i="33"/>
  <c r="J2877" i="33"/>
  <c r="P2849" i="33"/>
  <c r="I2504" i="33"/>
  <c r="J2114" i="33"/>
  <c r="J2920" i="33"/>
  <c r="P3342" i="33"/>
  <c r="P3340" i="33"/>
  <c r="P2802" i="33"/>
  <c r="P2460" i="33"/>
  <c r="K1898" i="33"/>
  <c r="P2801" i="33"/>
  <c r="K2764" i="33"/>
  <c r="I2727" i="33"/>
  <c r="K2679" i="33"/>
  <c r="I2618" i="33"/>
  <c r="I2561" i="33"/>
  <c r="I2472" i="33"/>
  <c r="P2401" i="33"/>
  <c r="P2343" i="33"/>
  <c r="P2281" i="33"/>
  <c r="P2177" i="33"/>
  <c r="P2048" i="33"/>
  <c r="K1827" i="33"/>
  <c r="I1632" i="33"/>
  <c r="I3452" i="33"/>
  <c r="P3470" i="33"/>
  <c r="I3655" i="33"/>
  <c r="J2296" i="33"/>
  <c r="J2398" i="33"/>
  <c r="J2397" i="33"/>
  <c r="I2773" i="33"/>
  <c r="I2772" i="33"/>
  <c r="P2910" i="33"/>
  <c r="P2913" i="33"/>
  <c r="P2962" i="33"/>
  <c r="P2964" i="33"/>
  <c r="I3130" i="33"/>
  <c r="I3131" i="33"/>
  <c r="P3223" i="33"/>
  <c r="P3220" i="33"/>
  <c r="P3304" i="33"/>
  <c r="P3302" i="33"/>
  <c r="P3305" i="33"/>
  <c r="J3502" i="33"/>
  <c r="J3501" i="33"/>
  <c r="P3524" i="33"/>
  <c r="P3523" i="33"/>
  <c r="I3646" i="33"/>
  <c r="I3642" i="33"/>
  <c r="I3645" i="33"/>
  <c r="I96" i="6"/>
  <c r="I97" i="6"/>
  <c r="K1841" i="33"/>
  <c r="K1462" i="33"/>
  <c r="I3457" i="33"/>
  <c r="I2554" i="33"/>
  <c r="P2402" i="33"/>
  <c r="K1845" i="33"/>
  <c r="I3656" i="33"/>
  <c r="J3564" i="33"/>
  <c r="K3405" i="33"/>
  <c r="J3334" i="33"/>
  <c r="P3264" i="33"/>
  <c r="J3203" i="33"/>
  <c r="K3027" i="33"/>
  <c r="P2958" i="33"/>
  <c r="J2899" i="33"/>
  <c r="J2878" i="33"/>
  <c r="J2840" i="33"/>
  <c r="P2213" i="33"/>
  <c r="P1265" i="33"/>
  <c r="J2938" i="33"/>
  <c r="I3006" i="33"/>
  <c r="P3273" i="33"/>
  <c r="K3145" i="33"/>
  <c r="J2355" i="33"/>
  <c r="K1552" i="33"/>
  <c r="K2759" i="33"/>
  <c r="K2721" i="33"/>
  <c r="K2671" i="33"/>
  <c r="K2597" i="33"/>
  <c r="I2479" i="33"/>
  <c r="J2326" i="33"/>
  <c r="J2258" i="33"/>
  <c r="J2147" i="33"/>
  <c r="J2038" i="33"/>
  <c r="K1814" i="33"/>
  <c r="K3064" i="33"/>
  <c r="P3525" i="33"/>
  <c r="I3005" i="33"/>
  <c r="K2746" i="33"/>
  <c r="J2112" i="33"/>
  <c r="J3539" i="33"/>
  <c r="I1845" i="33"/>
  <c r="K1928" i="33"/>
  <c r="P2023" i="33"/>
  <c r="I1948" i="33"/>
  <c r="I1836" i="33"/>
  <c r="J2180" i="33"/>
  <c r="I1895" i="33"/>
  <c r="I1837" i="33"/>
  <c r="J2203" i="33"/>
  <c r="I1897" i="33"/>
  <c r="I1922" i="33"/>
  <c r="J2277" i="33"/>
  <c r="I1819" i="33"/>
  <c r="J2047" i="33"/>
  <c r="J2160" i="33"/>
  <c r="J2031" i="33"/>
  <c r="K1853" i="33"/>
  <c r="I1898" i="33"/>
  <c r="I1814" i="33"/>
  <c r="P2270" i="33"/>
  <c r="J2221" i="33"/>
  <c r="P2382" i="33"/>
  <c r="P2332" i="33"/>
  <c r="K1986" i="33"/>
  <c r="I2597" i="33"/>
  <c r="P2443" i="33"/>
  <c r="K1879" i="33"/>
  <c r="J2610" i="33"/>
  <c r="J1688" i="33"/>
  <c r="P3118" i="33"/>
  <c r="P2477" i="33"/>
  <c r="K1356" i="33"/>
  <c r="J2713" i="33"/>
  <c r="K1300" i="33"/>
  <c r="K1324" i="33"/>
  <c r="J2608" i="33"/>
  <c r="K3320" i="33"/>
  <c r="K3524" i="33"/>
  <c r="J2499" i="33"/>
  <c r="J127" i="6"/>
  <c r="J1504" i="33"/>
  <c r="K2323" i="33"/>
  <c r="P2515" i="33"/>
  <c r="K2816" i="33"/>
  <c r="J1940" i="33"/>
  <c r="K150" i="6"/>
  <c r="K1339" i="33"/>
  <c r="I3365" i="33"/>
  <c r="K1349" i="33"/>
  <c r="K2812" i="33"/>
  <c r="P3659" i="33"/>
  <c r="P125" i="6"/>
  <c r="P124" i="6"/>
  <c r="P123" i="6"/>
  <c r="K82" i="7"/>
  <c r="I5" i="7"/>
  <c r="J71" i="7" s="1"/>
  <c r="B97" i="7"/>
  <c r="L24" i="7"/>
  <c r="O24" i="7" s="1"/>
  <c r="L44" i="7"/>
  <c r="O44" i="7" s="1"/>
  <c r="B100" i="7"/>
  <c r="L33" i="7"/>
  <c r="O33" i="7" s="1"/>
  <c r="H79" i="7"/>
  <c r="K1384" i="33"/>
  <c r="P1757" i="33"/>
  <c r="K2229" i="33"/>
  <c r="K2017" i="33"/>
  <c r="J1432" i="33"/>
  <c r="I2870" i="33"/>
  <c r="J3445" i="33"/>
  <c r="I2121" i="33"/>
  <c r="J1912" i="33"/>
  <c r="P2652" i="33"/>
  <c r="J2677" i="33"/>
  <c r="P1439" i="33"/>
  <c r="I1244" i="33"/>
  <c r="K2024" i="33"/>
  <c r="I1246" i="33"/>
  <c r="P2684" i="33"/>
  <c r="K2359" i="33"/>
  <c r="P2605" i="33"/>
  <c r="P2496" i="33"/>
  <c r="I2282" i="33"/>
  <c r="J1533" i="33"/>
  <c r="P1386" i="33"/>
  <c r="I1183" i="33"/>
  <c r="J1418" i="33"/>
  <c r="J1137" i="33"/>
  <c r="I2800" i="33"/>
  <c r="P3096" i="33"/>
  <c r="J3084" i="33"/>
  <c r="P2607" i="33"/>
  <c r="K2360" i="33"/>
  <c r="K2710" i="33"/>
  <c r="I2283" i="33"/>
  <c r="I2343" i="33"/>
  <c r="I2399" i="33"/>
  <c r="I2159" i="33"/>
  <c r="K3651" i="33"/>
  <c r="I3653" i="33"/>
  <c r="I3268" i="33"/>
  <c r="I2871" i="33"/>
  <c r="I3283" i="33"/>
  <c r="I3346" i="33"/>
  <c r="I3312" i="33"/>
  <c r="I1365" i="33"/>
  <c r="J3121" i="33"/>
  <c r="P3020" i="33"/>
  <c r="I1320" i="33"/>
  <c r="K3632" i="33"/>
  <c r="I3273" i="33"/>
  <c r="P1387" i="33"/>
  <c r="P1599" i="33"/>
  <c r="I151" i="6"/>
  <c r="P2927" i="33"/>
  <c r="P2566" i="33"/>
  <c r="K2172" i="33"/>
  <c r="J1988" i="33"/>
  <c r="I1321" i="33"/>
  <c r="J2334" i="33"/>
  <c r="K2263" i="33"/>
  <c r="P1937" i="33"/>
  <c r="J2739" i="33"/>
  <c r="P1722" i="33"/>
  <c r="P2713" i="33"/>
  <c r="P1425" i="33"/>
  <c r="K1113" i="33"/>
  <c r="K2379" i="33"/>
  <c r="K3098" i="33"/>
  <c r="J3278" i="33"/>
  <c r="P2648" i="33"/>
  <c r="I2407" i="33"/>
  <c r="J1976" i="33"/>
  <c r="P1635" i="33"/>
  <c r="P3373" i="33"/>
  <c r="K134" i="6"/>
  <c r="J1421" i="33"/>
  <c r="J1419" i="33"/>
  <c r="K3162" i="33"/>
  <c r="J3083" i="33"/>
  <c r="I2848" i="33"/>
  <c r="P3033" i="33"/>
  <c r="K2334" i="33"/>
  <c r="I2209" i="33"/>
  <c r="P2683" i="33"/>
  <c r="J1394" i="33"/>
  <c r="I3644" i="33"/>
  <c r="I2851" i="33"/>
  <c r="P3162" i="33"/>
  <c r="P1410" i="33"/>
  <c r="I2160" i="33"/>
  <c r="I2255" i="33"/>
  <c r="K2383" i="33"/>
  <c r="J2891" i="33"/>
  <c r="J1377" i="33"/>
  <c r="P1704" i="33"/>
  <c r="J1928" i="33"/>
  <c r="J1926" i="33"/>
  <c r="P150" i="6"/>
  <c r="J150" i="6"/>
  <c r="K162" i="6"/>
  <c r="P2942" i="33"/>
  <c r="I2666" i="33"/>
  <c r="I1877" i="33"/>
  <c r="P2912" i="33"/>
  <c r="P2887" i="33"/>
  <c r="P3286" i="33"/>
  <c r="J3364" i="33"/>
  <c r="P1299" i="33"/>
  <c r="I1712" i="33"/>
  <c r="K2608" i="33"/>
  <c r="J2135" i="33"/>
  <c r="P3257" i="33"/>
  <c r="K2492" i="33"/>
  <c r="J3293" i="33"/>
  <c r="J3468" i="33"/>
  <c r="J2824" i="33"/>
  <c r="I1546" i="33"/>
  <c r="K1716" i="33"/>
  <c r="K1914" i="33"/>
  <c r="K1376" i="33"/>
  <c r="I2507" i="33"/>
  <c r="J2381" i="33"/>
  <c r="P3247" i="33"/>
  <c r="K1446" i="33"/>
  <c r="K1811" i="33"/>
  <c r="J1297" i="33"/>
  <c r="J2049" i="33"/>
  <c r="K1419" i="33"/>
  <c r="P2004" i="33"/>
  <c r="J1247" i="33"/>
  <c r="K1532" i="33"/>
  <c r="J2119" i="33"/>
  <c r="J1568" i="33"/>
  <c r="K1531" i="33"/>
  <c r="I1839" i="33"/>
  <c r="K1420" i="33"/>
  <c r="I2715" i="33"/>
  <c r="J2073" i="33"/>
  <c r="K1913" i="33"/>
  <c r="P2379" i="33"/>
  <c r="I2530" i="33"/>
  <c r="P2272" i="33"/>
  <c r="P2136" i="33"/>
  <c r="P1282" i="33"/>
  <c r="I1979" i="33"/>
  <c r="J1329" i="33"/>
  <c r="J1242" i="33"/>
  <c r="J2028" i="33"/>
  <c r="J2458" i="33"/>
  <c r="I1815" i="33"/>
  <c r="K2677" i="33"/>
  <c r="K2674" i="33"/>
  <c r="P2175" i="33"/>
  <c r="J3388" i="33"/>
  <c r="P3216" i="33"/>
  <c r="P3215" i="33"/>
  <c r="P3200" i="33"/>
  <c r="K1378" i="33"/>
  <c r="K2496" i="33"/>
  <c r="J2178" i="33"/>
  <c r="J1180" i="33"/>
  <c r="I1820" i="33"/>
  <c r="I1382" i="33"/>
  <c r="K1975" i="33"/>
  <c r="K1457" i="33"/>
  <c r="I1844" i="33"/>
  <c r="K1389" i="33"/>
  <c r="K1925" i="33"/>
  <c r="J2253" i="33"/>
  <c r="I1821" i="33"/>
  <c r="I1856" i="33"/>
  <c r="J2045" i="33"/>
  <c r="I1855" i="33"/>
  <c r="J2185" i="33"/>
  <c r="J2280" i="33"/>
  <c r="J2274" i="33"/>
  <c r="J2404" i="33"/>
  <c r="I1823" i="33"/>
  <c r="J2202" i="33"/>
  <c r="I1827" i="33"/>
  <c r="K1396" i="33"/>
  <c r="K1866" i="33"/>
  <c r="P3319" i="33"/>
  <c r="J2890" i="33"/>
  <c r="V1152" i="1"/>
  <c r="V1146" i="1"/>
  <c r="V1225" i="1"/>
  <c r="V1360" i="1"/>
  <c r="I1458" i="33"/>
  <c r="J2443" i="33"/>
  <c r="I1811" i="33"/>
  <c r="J2229" i="33"/>
  <c r="J2163" i="33"/>
  <c r="I1423" i="33"/>
  <c r="I1925" i="33"/>
  <c r="P2322" i="33"/>
  <c r="I1136" i="33"/>
  <c r="I2647" i="33"/>
  <c r="I1441" i="33"/>
  <c r="P1347" i="33"/>
  <c r="I2674" i="33"/>
  <c r="I1430" i="33"/>
  <c r="K2572" i="33"/>
  <c r="P2102" i="33"/>
  <c r="J2821" i="33"/>
  <c r="I2665" i="33"/>
  <c r="I1424" i="33"/>
  <c r="P1289" i="33"/>
  <c r="J2358" i="33"/>
  <c r="J2262" i="33"/>
  <c r="J2227" i="33"/>
  <c r="P2240" i="33"/>
  <c r="J2016" i="33"/>
  <c r="I1788" i="33"/>
  <c r="K2648" i="33"/>
  <c r="J2018" i="33"/>
  <c r="P1288" i="33"/>
  <c r="K2498" i="33"/>
  <c r="K3071" i="33"/>
  <c r="I3431" i="33"/>
  <c r="J2864" i="33"/>
  <c r="P2411" i="33"/>
  <c r="V1391" i="1"/>
  <c r="J2140" i="33"/>
  <c r="I2769" i="33"/>
  <c r="K2607" i="33"/>
  <c r="J2264" i="33"/>
  <c r="I1988" i="33"/>
  <c r="K1703" i="33"/>
  <c r="K1359" i="33"/>
  <c r="I1162" i="33"/>
  <c r="J3378" i="33"/>
  <c r="I2697" i="33"/>
  <c r="J2335" i="33"/>
  <c r="P2323" i="33"/>
  <c r="P2101" i="33"/>
  <c r="K2575" i="33"/>
  <c r="K2650" i="33"/>
  <c r="P1352" i="33"/>
  <c r="K1494" i="33"/>
  <c r="J3366" i="33"/>
  <c r="J2865" i="33"/>
  <c r="K3427" i="33"/>
  <c r="K3089" i="33"/>
  <c r="P2467" i="33"/>
  <c r="J2004" i="33"/>
  <c r="K2606" i="33"/>
  <c r="K1723" i="33"/>
  <c r="J2966" i="33"/>
  <c r="I1395" i="33"/>
  <c r="I1985" i="33"/>
  <c r="K1358" i="33"/>
  <c r="K2565" i="33"/>
  <c r="K1666" i="33"/>
  <c r="K2552" i="33"/>
  <c r="J2419" i="33"/>
  <c r="J2820" i="33"/>
  <c r="K2605" i="33"/>
  <c r="K1634" i="33"/>
  <c r="I1164" i="33"/>
  <c r="P1250" i="33"/>
  <c r="K1939" i="33"/>
  <c r="J2967" i="33"/>
  <c r="P2128" i="33"/>
  <c r="I2669" i="33"/>
  <c r="K1757" i="33"/>
  <c r="K1466" i="33"/>
  <c r="P1251" i="33"/>
  <c r="I3456" i="33"/>
  <c r="I1961" i="33"/>
  <c r="J3466" i="33"/>
  <c r="K2573" i="33"/>
  <c r="J2174" i="33"/>
  <c r="I1975" i="33"/>
  <c r="I1604" i="33"/>
  <c r="I1400" i="33"/>
  <c r="I1145" i="33"/>
  <c r="I1911" i="33"/>
  <c r="I3132" i="33"/>
  <c r="K2574" i="33"/>
  <c r="J2823" i="33"/>
  <c r="P3375" i="33"/>
  <c r="P3385" i="33"/>
  <c r="K3034" i="33"/>
  <c r="I3083" i="33"/>
  <c r="J2272" i="33"/>
  <c r="K2486" i="33"/>
  <c r="I1914" i="33"/>
  <c r="I1865" i="33"/>
  <c r="K1579" i="33"/>
  <c r="K2550" i="33"/>
  <c r="P2391" i="33"/>
  <c r="J2175" i="33"/>
  <c r="J2416" i="33"/>
  <c r="I1987" i="33"/>
  <c r="K1704" i="33"/>
  <c r="I1134" i="33"/>
  <c r="J162" i="6"/>
  <c r="P1249" i="33"/>
  <c r="J2230" i="33"/>
  <c r="K1386" i="33"/>
  <c r="K2497" i="33"/>
  <c r="K1578" i="33"/>
  <c r="I1378" i="33"/>
  <c r="P1207" i="33"/>
  <c r="I1787" i="33"/>
  <c r="K1467" i="33"/>
  <c r="I1393" i="33"/>
  <c r="I1447" i="33"/>
  <c r="K2652" i="33"/>
  <c r="I2506" i="33"/>
  <c r="J2141" i="33"/>
  <c r="K1938" i="33"/>
  <c r="I1535" i="33"/>
  <c r="I1376" i="33"/>
  <c r="I1144" i="33"/>
  <c r="I1205" i="33"/>
  <c r="J2333" i="33"/>
  <c r="K2684" i="33"/>
  <c r="I1421" i="33"/>
  <c r="K1940" i="33"/>
  <c r="J1131" i="33"/>
  <c r="K3073" i="33"/>
  <c r="J2822" i="33"/>
  <c r="J3380" i="33"/>
  <c r="K3096" i="33"/>
  <c r="P3221" i="33"/>
  <c r="K2734" i="33"/>
  <c r="K2488" i="33"/>
  <c r="I1716" i="33"/>
  <c r="J2226" i="33"/>
  <c r="K3104" i="33"/>
  <c r="I1419" i="33"/>
  <c r="I2774" i="33"/>
  <c r="P1344" i="33"/>
  <c r="K1411" i="33"/>
  <c r="P2089" i="33"/>
  <c r="K1599" i="33"/>
  <c r="J1327" i="33"/>
  <c r="K2614" i="33"/>
  <c r="J2021" i="33"/>
  <c r="I1880" i="33"/>
  <c r="I1446" i="33"/>
  <c r="P1346" i="33"/>
  <c r="J3365" i="33"/>
  <c r="P3217" i="33"/>
  <c r="J1113" i="33"/>
  <c r="K2568" i="33"/>
  <c r="I2676" i="33"/>
  <c r="I2771" i="33"/>
  <c r="K2603" i="33"/>
  <c r="K3035" i="33"/>
  <c r="P2963" i="33"/>
  <c r="K1410" i="33"/>
  <c r="J3294" i="33"/>
  <c r="P3184" i="33"/>
  <c r="K3428" i="33"/>
  <c r="P2232" i="33"/>
  <c r="P2087" i="33"/>
  <c r="I1713" i="33"/>
  <c r="I3446" i="33"/>
  <c r="I3430" i="33"/>
  <c r="J2172" i="33"/>
  <c r="I2677" i="33"/>
  <c r="P3505" i="33"/>
  <c r="V1278" i="1"/>
  <c r="V1365" i="1"/>
  <c r="V1335" i="1"/>
  <c r="V1334" i="1"/>
  <c r="V1333" i="1"/>
  <c r="V1332" i="1"/>
  <c r="V1370" i="1"/>
  <c r="V1346" i="1"/>
  <c r="V1357" i="1"/>
  <c r="V1359" i="1"/>
  <c r="V1361" i="1"/>
  <c r="V1362" i="1"/>
  <c r="V1363" i="1"/>
  <c r="V1406" i="1"/>
  <c r="I3583" i="33"/>
  <c r="P3503" i="33"/>
  <c r="I3582" i="33"/>
  <c r="J1256" i="33"/>
  <c r="J1255" i="33"/>
  <c r="P1294" i="33"/>
  <c r="P1292" i="33"/>
  <c r="P1374" i="33"/>
  <c r="P1372" i="33"/>
  <c r="I1460" i="33"/>
  <c r="I1459" i="33"/>
  <c r="K1505" i="33"/>
  <c r="K1504" i="33"/>
  <c r="K1513" i="33"/>
  <c r="K1511" i="33"/>
  <c r="I1592" i="33"/>
  <c r="I1590" i="33"/>
  <c r="K1766" i="33"/>
  <c r="K1767" i="33"/>
  <c r="I1783" i="33"/>
  <c r="I1784" i="33"/>
  <c r="J2134" i="33"/>
  <c r="J2136" i="33"/>
  <c r="J2165" i="33"/>
  <c r="J2166" i="33"/>
  <c r="J2217" i="33"/>
  <c r="J2218" i="33"/>
  <c r="P2241" i="33"/>
  <c r="P2237" i="33"/>
  <c r="J2357" i="33"/>
  <c r="J2359" i="33"/>
  <c r="J2383" i="33"/>
  <c r="J2384" i="33"/>
  <c r="K2493" i="33"/>
  <c r="K2491" i="33"/>
  <c r="K2711" i="33"/>
  <c r="K2713" i="33"/>
  <c r="I2739" i="33"/>
  <c r="I2738" i="33"/>
  <c r="P2813" i="33"/>
  <c r="P2809" i="33"/>
  <c r="P2810" i="33"/>
  <c r="P2812" i="33"/>
  <c r="P2908" i="33"/>
  <c r="P2911" i="33"/>
  <c r="P2946" i="33"/>
  <c r="P2945" i="33"/>
  <c r="K3021" i="33"/>
  <c r="K3020" i="33"/>
  <c r="K3105" i="33"/>
  <c r="K3099" i="33"/>
  <c r="I3121" i="33"/>
  <c r="I3122" i="33"/>
  <c r="K3156" i="33"/>
  <c r="K3159" i="33"/>
  <c r="K3157" i="33"/>
  <c r="P3198" i="33"/>
  <c r="P3199" i="33"/>
  <c r="P3214" i="33"/>
  <c r="P3213" i="33"/>
  <c r="P3245" i="33"/>
  <c r="P3243" i="33"/>
  <c r="P3287" i="33"/>
  <c r="P3285" i="33"/>
  <c r="I3458" i="33"/>
  <c r="I3461" i="33"/>
  <c r="I3455" i="33"/>
  <c r="J1400" i="33"/>
  <c r="J1402" i="33"/>
  <c r="J1401" i="33"/>
  <c r="P1467" i="33"/>
  <c r="P1464" i="33"/>
  <c r="I1189" i="33"/>
  <c r="I1568" i="33"/>
  <c r="P1598" i="33"/>
  <c r="P1600" i="33"/>
  <c r="J1961" i="33"/>
  <c r="J1962" i="33"/>
  <c r="I2049" i="33"/>
  <c r="I2045" i="33"/>
  <c r="K2649" i="33"/>
  <c r="J2329" i="33"/>
  <c r="K1937" i="33"/>
  <c r="I1533" i="33"/>
  <c r="I1137" i="33"/>
  <c r="K3100" i="33"/>
  <c r="K1598" i="33"/>
  <c r="K3107" i="33"/>
  <c r="K1754" i="33"/>
  <c r="P1356" i="33"/>
  <c r="P1350" i="33"/>
  <c r="J3368" i="33"/>
  <c r="P2811" i="33"/>
  <c r="K3163" i="33"/>
  <c r="K3129" i="33"/>
  <c r="I3082" i="33"/>
  <c r="K2714" i="33"/>
  <c r="K2736" i="33"/>
  <c r="K2499" i="33"/>
  <c r="P3321" i="33"/>
  <c r="I2655" i="33"/>
  <c r="K1385" i="33"/>
  <c r="P1191" i="33"/>
  <c r="P1209" i="33"/>
  <c r="P1192" i="33"/>
  <c r="I1388" i="33"/>
  <c r="J1257" i="33"/>
  <c r="K1316" i="33"/>
  <c r="P2791" i="33"/>
  <c r="K2571" i="33"/>
  <c r="J2005" i="33"/>
  <c r="I1715" i="33"/>
  <c r="I1432" i="33"/>
  <c r="J1282" i="33"/>
  <c r="P2231" i="33"/>
  <c r="P1302" i="33"/>
  <c r="P2465" i="33"/>
  <c r="K1755" i="33"/>
  <c r="I1974" i="33"/>
  <c r="K3091" i="33"/>
  <c r="P2924" i="33"/>
  <c r="P3372" i="33"/>
  <c r="J3387" i="33"/>
  <c r="P3339" i="33"/>
  <c r="K3103" i="33"/>
  <c r="P3211" i="33"/>
  <c r="P2909" i="33"/>
  <c r="J2420" i="33"/>
  <c r="I1589" i="33"/>
  <c r="I1810" i="33"/>
  <c r="K1759" i="33"/>
  <c r="J2421" i="33"/>
  <c r="P1353" i="33"/>
  <c r="K3097" i="33"/>
  <c r="K2567" i="33"/>
  <c r="K1464" i="33"/>
  <c r="I1392" i="33"/>
  <c r="J1194" i="33"/>
  <c r="I1418" i="33"/>
  <c r="P2792" i="33"/>
  <c r="I2508" i="33"/>
  <c r="I1534" i="33"/>
  <c r="K1357" i="33"/>
  <c r="P1351" i="33"/>
  <c r="J1283" i="33"/>
  <c r="P3197" i="33"/>
  <c r="K3128" i="33"/>
  <c r="K1317" i="33"/>
  <c r="I2675" i="33"/>
  <c r="K2564" i="33"/>
  <c r="P1323" i="33"/>
  <c r="I1448" i="33"/>
  <c r="I1930" i="33"/>
  <c r="K2489" i="33"/>
  <c r="K2686" i="33"/>
  <c r="P3222" i="33"/>
  <c r="J3277" i="33"/>
  <c r="P2814" i="33"/>
  <c r="J1132" i="33"/>
  <c r="K3158" i="33"/>
  <c r="K3072" i="33"/>
  <c r="K3102" i="33"/>
  <c r="P3212" i="33"/>
  <c r="I3081" i="33"/>
  <c r="P2914" i="33"/>
  <c r="K2569" i="33"/>
  <c r="K2570" i="33"/>
  <c r="P2410" i="33"/>
  <c r="K2500" i="33"/>
  <c r="K1936" i="33"/>
  <c r="K1512" i="33"/>
  <c r="P1324" i="33"/>
  <c r="K1722" i="33"/>
  <c r="K1283" i="33"/>
  <c r="K3032" i="33"/>
  <c r="P2235" i="33"/>
  <c r="P2390" i="33"/>
  <c r="I2770" i="33"/>
  <c r="K1195" i="33"/>
  <c r="J2417" i="33"/>
  <c r="P1354" i="33"/>
  <c r="I3459" i="33"/>
  <c r="P2127" i="33"/>
  <c r="P2239" i="33"/>
  <c r="I1206" i="33"/>
  <c r="I1396" i="33"/>
  <c r="J1258" i="33"/>
  <c r="K1360" i="33"/>
  <c r="K1438" i="33"/>
  <c r="K2494" i="33"/>
  <c r="J2022" i="33"/>
  <c r="I1976" i="33"/>
  <c r="K1635" i="33"/>
  <c r="I1422" i="33"/>
  <c r="P1345" i="33"/>
  <c r="I1146" i="33"/>
  <c r="P2464" i="33"/>
  <c r="K1601" i="33"/>
  <c r="J2220" i="33"/>
  <c r="P1253" i="33"/>
  <c r="J2055" i="33"/>
  <c r="P3246" i="33"/>
  <c r="P3185" i="33"/>
  <c r="K3075" i="33"/>
  <c r="P3219" i="33"/>
  <c r="K3090" i="33"/>
  <c r="P3196" i="33"/>
  <c r="K3018" i="33"/>
  <c r="J2271" i="33"/>
  <c r="K2609" i="33"/>
  <c r="I1912" i="33"/>
  <c r="P1339" i="33"/>
  <c r="P2816" i="33"/>
  <c r="P2793" i="33"/>
  <c r="K3448" i="33"/>
  <c r="I1537" i="33"/>
  <c r="P3303" i="33"/>
  <c r="J2331" i="33"/>
  <c r="I1149" i="33"/>
  <c r="J1259" i="33"/>
  <c r="K1437" i="33"/>
  <c r="J2176" i="33"/>
  <c r="J2024" i="33"/>
  <c r="I1977" i="33"/>
  <c r="I1442" i="33"/>
  <c r="I1401" i="33"/>
  <c r="P1293" i="33"/>
  <c r="I1147" i="33"/>
  <c r="P1301" i="33"/>
  <c r="J2332" i="33"/>
  <c r="P2321" i="33"/>
  <c r="J2336" i="33"/>
  <c r="K2685" i="33"/>
  <c r="K3101" i="33"/>
  <c r="K3070" i="33"/>
  <c r="P3218" i="33"/>
  <c r="P2925" i="33"/>
  <c r="P2238" i="33"/>
  <c r="J2270" i="33"/>
  <c r="K2610" i="33"/>
  <c r="K1765" i="33"/>
  <c r="P2002" i="33"/>
  <c r="I1591" i="33"/>
  <c r="K2551" i="33"/>
  <c r="P2103" i="33"/>
  <c r="I2740" i="33"/>
  <c r="K3161" i="33"/>
  <c r="I3120" i="33"/>
  <c r="I1531" i="33"/>
  <c r="P160" i="6"/>
  <c r="I2161" i="33"/>
  <c r="I3250" i="33"/>
  <c r="P3075" i="33"/>
  <c r="J2740" i="33"/>
  <c r="K2421" i="33"/>
  <c r="K2332" i="33"/>
  <c r="I2401" i="33"/>
  <c r="I2253" i="33"/>
  <c r="I3342" i="33"/>
  <c r="I2852" i="33"/>
  <c r="P3160" i="33"/>
  <c r="I2254" i="33"/>
  <c r="K2176" i="33"/>
  <c r="J3120" i="33"/>
  <c r="K2443" i="33"/>
  <c r="J2696" i="33"/>
  <c r="P2714" i="33"/>
  <c r="I2804" i="33"/>
  <c r="I161" i="6"/>
  <c r="I1523" i="33"/>
  <c r="J1230" i="33"/>
  <c r="I1499" i="33"/>
  <c r="P1179" i="33"/>
  <c r="J1159" i="33"/>
  <c r="P1243" i="33"/>
  <c r="K1211" i="33"/>
  <c r="P1184" i="33"/>
  <c r="P1180" i="33"/>
  <c r="P1234" i="33"/>
  <c r="P1239" i="33"/>
  <c r="J1199" i="33"/>
  <c r="I1585" i="33"/>
  <c r="I1434" i="33"/>
  <c r="J1142" i="33"/>
  <c r="I1468" i="33"/>
  <c r="P1245" i="33"/>
  <c r="J2125" i="33"/>
  <c r="J2091" i="33"/>
  <c r="J2060" i="33"/>
  <c r="P2029" i="33"/>
  <c r="I1967" i="33"/>
  <c r="K1855" i="33"/>
  <c r="K1817" i="33"/>
  <c r="K1795" i="33"/>
  <c r="K1737" i="33"/>
  <c r="I1681" i="33"/>
  <c r="K1662" i="33"/>
  <c r="I1630" i="33"/>
  <c r="I1848" i="33"/>
  <c r="J1154" i="33"/>
  <c r="P1320" i="33"/>
  <c r="I1507" i="33"/>
  <c r="K1177" i="33"/>
  <c r="J1202" i="33"/>
  <c r="J1138" i="33"/>
  <c r="J1337" i="33"/>
  <c r="I1167" i="33"/>
  <c r="K1623" i="33"/>
  <c r="K1461" i="33"/>
  <c r="P2121" i="33"/>
  <c r="J2148" i="33"/>
  <c r="J1171" i="33"/>
  <c r="P1241" i="33"/>
  <c r="I1526" i="33"/>
  <c r="J1229" i="33"/>
  <c r="I1501" i="33"/>
  <c r="K1541" i="33"/>
  <c r="J1232" i="33"/>
  <c r="J2153" i="33"/>
  <c r="K1544" i="33"/>
  <c r="K1606" i="33"/>
  <c r="P1181" i="33"/>
  <c r="I1510" i="33"/>
  <c r="K1176" i="33"/>
  <c r="J1198" i="33"/>
  <c r="I1586" i="33"/>
  <c r="P1297" i="33"/>
  <c r="J1161" i="33"/>
  <c r="J1334" i="33"/>
  <c r="I1168" i="33"/>
  <c r="J2291" i="33"/>
  <c r="J2259" i="33"/>
  <c r="P2212" i="33"/>
  <c r="P2183" i="33"/>
  <c r="J2155" i="33"/>
  <c r="P2120" i="33"/>
  <c r="J2096" i="33"/>
  <c r="P2081" i="33"/>
  <c r="P2047" i="33"/>
  <c r="P2028" i="33"/>
  <c r="I1968" i="33"/>
  <c r="I1881" i="33"/>
  <c r="K1819" i="33"/>
  <c r="I1739" i="33"/>
  <c r="K1730" i="33"/>
  <c r="I1678" i="33"/>
  <c r="K1622" i="33"/>
  <c r="P1296" i="33"/>
  <c r="P2160" i="33"/>
  <c r="P2280" i="33"/>
  <c r="I1647" i="33"/>
  <c r="K1654" i="33"/>
  <c r="J1226" i="33"/>
  <c r="K1382" i="33"/>
  <c r="K1538" i="33"/>
  <c r="P1367" i="33"/>
  <c r="J1141" i="33"/>
  <c r="J1223" i="33"/>
  <c r="K1979" i="33"/>
  <c r="I1910" i="33"/>
  <c r="P1321" i="33"/>
  <c r="K1791" i="33"/>
  <c r="P1362" i="33"/>
  <c r="K1216" i="33"/>
  <c r="J1233" i="33"/>
  <c r="K1553" i="33"/>
  <c r="P1295" i="33"/>
  <c r="P2050" i="33"/>
  <c r="K1823" i="33"/>
  <c r="J1336" i="33"/>
  <c r="P2276" i="33"/>
  <c r="P2181" i="33"/>
  <c r="P2045" i="33"/>
  <c r="I1884" i="33"/>
  <c r="K1826" i="33"/>
  <c r="K1816" i="33"/>
  <c r="I1649" i="33"/>
  <c r="K1621" i="33"/>
  <c r="J1173" i="33"/>
  <c r="J2293" i="33"/>
  <c r="P2257" i="33"/>
  <c r="J1222" i="33"/>
  <c r="P1363" i="33"/>
  <c r="K1175" i="33"/>
  <c r="P1242" i="33"/>
  <c r="J1333" i="33"/>
  <c r="J1153" i="33"/>
  <c r="K1624" i="33"/>
  <c r="J1139" i="33"/>
  <c r="P1365" i="33"/>
  <c r="J1231" i="33"/>
  <c r="J1338" i="33"/>
  <c r="J1227" i="33"/>
  <c r="P1361" i="33"/>
  <c r="K1215" i="33"/>
  <c r="I1796" i="33"/>
  <c r="K1554" i="33"/>
  <c r="K1818" i="33"/>
  <c r="K1735" i="33"/>
  <c r="I1685" i="33"/>
  <c r="I1670" i="33"/>
  <c r="K1608" i="33"/>
  <c r="J1156" i="33"/>
  <c r="K1262" i="33"/>
  <c r="J1224" i="33"/>
  <c r="J1371" i="33"/>
  <c r="P1235" i="33"/>
  <c r="P1237" i="33"/>
  <c r="K1212" i="33"/>
  <c r="J1221" i="33"/>
  <c r="J1203" i="33"/>
  <c r="P1186" i="33"/>
  <c r="I1797" i="33"/>
  <c r="K1542" i="33"/>
  <c r="P1246" i="33"/>
  <c r="P2283" i="33"/>
  <c r="J2150" i="33"/>
  <c r="K1815" i="33"/>
  <c r="K1822" i="33"/>
  <c r="J1146" i="33"/>
  <c r="J3194" i="33"/>
  <c r="I1184" i="33"/>
  <c r="I132" i="6"/>
  <c r="I1187" i="33"/>
  <c r="J131" i="6"/>
  <c r="J1145" i="33"/>
  <c r="J1136" i="33"/>
  <c r="J1147" i="33"/>
  <c r="I3504" i="33"/>
  <c r="J1135" i="33"/>
  <c r="I134" i="6"/>
  <c r="I137" i="6"/>
  <c r="V856" i="1"/>
  <c r="V1049" i="1"/>
  <c r="V1169" i="1"/>
  <c r="V1242" i="1"/>
  <c r="I3503" i="33"/>
  <c r="J1205" i="33"/>
  <c r="J1163" i="33"/>
  <c r="K1132" i="33"/>
  <c r="J1162" i="33"/>
  <c r="J1204" i="33"/>
  <c r="J3193" i="33"/>
  <c r="V1216" i="1"/>
  <c r="V1328" i="1"/>
  <c r="V1330" i="1"/>
  <c r="V1273" i="1"/>
  <c r="V1277" i="1"/>
  <c r="V1281" i="1"/>
  <c r="V1405" i="1"/>
  <c r="V1399" i="1"/>
  <c r="V1422" i="1"/>
  <c r="V1194" i="1"/>
  <c r="V1400" i="1"/>
  <c r="I3111" i="33"/>
  <c r="V935" i="1"/>
  <c r="V912" i="1"/>
  <c r="V1047" i="1"/>
  <c r="V1061" i="1"/>
  <c r="V1059" i="1"/>
  <c r="V1035" i="1"/>
  <c r="V1030" i="1"/>
  <c r="V1155" i="1"/>
  <c r="V1131" i="1"/>
  <c r="V1303" i="1"/>
  <c r="V1210" i="1"/>
  <c r="V1602" i="1"/>
  <c r="V1212" i="1"/>
  <c r="V1276" i="1"/>
  <c r="V1342" i="1"/>
  <c r="V1074" i="1"/>
  <c r="V1017" i="1"/>
  <c r="V1136" i="1"/>
  <c r="V1132" i="1"/>
  <c r="V1173" i="1"/>
  <c r="V1304" i="1"/>
  <c r="V1209" i="1"/>
  <c r="V1305" i="1"/>
  <c r="V1306" i="1"/>
  <c r="V1307" i="1"/>
  <c r="V1308" i="1"/>
  <c r="V1275" i="1"/>
  <c r="V1339" i="1"/>
  <c r="V1331" i="1"/>
  <c r="J1155" i="33"/>
  <c r="J1160" i="33"/>
  <c r="J1152" i="33"/>
  <c r="I3194" i="33"/>
  <c r="L52" i="7"/>
  <c r="O52" i="7" s="1"/>
  <c r="K83" i="7"/>
  <c r="J129" i="6"/>
  <c r="J128" i="6"/>
  <c r="P155" i="6"/>
  <c r="K3582" i="33"/>
  <c r="J126" i="6"/>
  <c r="K1143" i="33"/>
  <c r="K3109" i="33"/>
  <c r="P1255" i="33"/>
  <c r="J1321" i="33"/>
  <c r="K1146" i="33"/>
  <c r="J1181" i="33"/>
  <c r="J1295" i="33"/>
  <c r="P1257" i="33"/>
  <c r="V1009" i="1"/>
  <c r="V1016" i="1"/>
  <c r="V1048" i="1"/>
  <c r="V994" i="1"/>
  <c r="V1062" i="1"/>
  <c r="V1099" i="1"/>
  <c r="V1097" i="1"/>
  <c r="V1196" i="1"/>
  <c r="V1171" i="1"/>
  <c r="V1197" i="1"/>
  <c r="V1236" i="1"/>
  <c r="V1228" i="1"/>
  <c r="V1229" i="1"/>
  <c r="V1121" i="1"/>
  <c r="V1230" i="1"/>
  <c r="V1311" i="1"/>
  <c r="V1315" i="1"/>
  <c r="V1309" i="1"/>
  <c r="V1260" i="1"/>
  <c r="V1246" i="1"/>
  <c r="V1255" i="1"/>
  <c r="V1258" i="1"/>
  <c r="V1383" i="1"/>
  <c r="V1384" i="1"/>
  <c r="V1349" i="1"/>
  <c r="V1350" i="1"/>
  <c r="V1351" i="1"/>
  <c r="K3505" i="33"/>
  <c r="K3503" i="33"/>
  <c r="P1164" i="33"/>
  <c r="P1162" i="33"/>
  <c r="J1150" i="33"/>
  <c r="J1212" i="33"/>
  <c r="K1240" i="33"/>
  <c r="K1242" i="33"/>
  <c r="K1364" i="33"/>
  <c r="K1362" i="33"/>
  <c r="J1655" i="33"/>
  <c r="J1654" i="33"/>
  <c r="P1712" i="33"/>
  <c r="P1714" i="33"/>
  <c r="P1716" i="33"/>
  <c r="J1923" i="33"/>
  <c r="J1922" i="33"/>
  <c r="J1970" i="33"/>
  <c r="J1969" i="33"/>
  <c r="J1973" i="33"/>
  <c r="K2045" i="33"/>
  <c r="K2047" i="33"/>
  <c r="K2050" i="33"/>
  <c r="K2049" i="33"/>
  <c r="K2051" i="33"/>
  <c r="K2046" i="33"/>
  <c r="I2190" i="33"/>
  <c r="I2188" i="33"/>
  <c r="K2223" i="33"/>
  <c r="K2221" i="33"/>
  <c r="K2277" i="33"/>
  <c r="K2276" i="33"/>
  <c r="K2275" i="33"/>
  <c r="K2278" i="33"/>
  <c r="K2281" i="33"/>
  <c r="K2305" i="33"/>
  <c r="K2303" i="33"/>
  <c r="J2722" i="33"/>
  <c r="J2726" i="33"/>
  <c r="J2723" i="33"/>
  <c r="J2724" i="33"/>
  <c r="J2754" i="33"/>
  <c r="J2755" i="33"/>
  <c r="J2752" i="33"/>
  <c r="J2787" i="33"/>
  <c r="J2789" i="33"/>
  <c r="I2842" i="33"/>
  <c r="I2843" i="33"/>
  <c r="I2314" i="33"/>
  <c r="P1419" i="33"/>
  <c r="J1836" i="33"/>
  <c r="J1948" i="33"/>
  <c r="J1971" i="33"/>
  <c r="K1239" i="33"/>
  <c r="K1235" i="33"/>
  <c r="K1236" i="33"/>
  <c r="K1237" i="33"/>
  <c r="K1295" i="33"/>
  <c r="K1298" i="33"/>
  <c r="K1297" i="33"/>
  <c r="P1388" i="33"/>
  <c r="P1389" i="33"/>
  <c r="P1390" i="33"/>
  <c r="P1441" i="33"/>
  <c r="P1442" i="33"/>
  <c r="J1737" i="33"/>
  <c r="J1733" i="33"/>
  <c r="J1823" i="33"/>
  <c r="J1820" i="33"/>
  <c r="J1819" i="33"/>
  <c r="J1813" i="33"/>
  <c r="J1815" i="33"/>
  <c r="J1817" i="33"/>
  <c r="J1818" i="33"/>
  <c r="J1844" i="33"/>
  <c r="J1845" i="33"/>
  <c r="K2158" i="33"/>
  <c r="K2160" i="33"/>
  <c r="K2161" i="33"/>
  <c r="I2259" i="33"/>
  <c r="I2260" i="33"/>
  <c r="I2285" i="33"/>
  <c r="I2284" i="33"/>
  <c r="I2286" i="33"/>
  <c r="I2307" i="33"/>
  <c r="I2309" i="33"/>
  <c r="I2310" i="33"/>
  <c r="I2349" i="33"/>
  <c r="I2353" i="33"/>
  <c r="I2354" i="33"/>
  <c r="I2356" i="33"/>
  <c r="I2375" i="33"/>
  <c r="I2376" i="33"/>
  <c r="P2769" i="33"/>
  <c r="P2770" i="33"/>
  <c r="P2773" i="33"/>
  <c r="I2839" i="33"/>
  <c r="I2840" i="33"/>
  <c r="I2841" i="33"/>
  <c r="I2118" i="33"/>
  <c r="P2646" i="33"/>
  <c r="I2351" i="33"/>
  <c r="P1534" i="33"/>
  <c r="K1238" i="33"/>
  <c r="J2780" i="33"/>
  <c r="J2753" i="33"/>
  <c r="J2671" i="33"/>
  <c r="I2316" i="33"/>
  <c r="I2258" i="33"/>
  <c r="K2179" i="33"/>
  <c r="I2098" i="33"/>
  <c r="P1929" i="33"/>
  <c r="J1857" i="33"/>
  <c r="J1792" i="33"/>
  <c r="J1711" i="33"/>
  <c r="P1440" i="33"/>
  <c r="J1214" i="33"/>
  <c r="P1403" i="33"/>
  <c r="K1243" i="33"/>
  <c r="I1158" i="33"/>
  <c r="K2256" i="33"/>
  <c r="J2720" i="33"/>
  <c r="I2385" i="33"/>
  <c r="K2414" i="33"/>
  <c r="K2283" i="33"/>
  <c r="K2073" i="33"/>
  <c r="P136" i="6"/>
  <c r="I2901" i="33"/>
  <c r="J3108" i="33"/>
  <c r="J3109" i="33"/>
  <c r="J3110" i="33"/>
  <c r="P1134" i="33"/>
  <c r="P1135" i="33"/>
  <c r="P1136" i="33"/>
  <c r="I1161" i="33"/>
  <c r="I1130" i="33"/>
  <c r="I1159" i="33"/>
  <c r="I1198" i="33"/>
  <c r="I1199" i="33"/>
  <c r="I1202" i="33"/>
  <c r="K1180" i="33"/>
  <c r="K1179" i="33"/>
  <c r="K1182" i="33"/>
  <c r="K1367" i="33"/>
  <c r="K1368" i="33"/>
  <c r="J1462" i="33"/>
  <c r="J1461" i="33"/>
  <c r="J1463" i="33"/>
  <c r="J1544" i="33"/>
  <c r="J1542" i="33"/>
  <c r="J1545" i="33"/>
  <c r="J1543" i="33"/>
  <c r="J1663" i="33"/>
  <c r="J1662" i="33"/>
  <c r="P1913" i="33"/>
  <c r="P1914" i="33"/>
  <c r="K2123" i="33"/>
  <c r="K2121" i="33"/>
  <c r="K2122" i="33"/>
  <c r="K2210" i="33"/>
  <c r="K2211" i="33"/>
  <c r="K2212" i="33"/>
  <c r="K2213" i="33"/>
  <c r="P2665" i="33"/>
  <c r="P2667" i="33"/>
  <c r="J2689" i="33"/>
  <c r="J2693" i="33"/>
  <c r="I2828" i="33"/>
  <c r="I2827" i="33"/>
  <c r="I2826" i="33"/>
  <c r="I2831" i="33"/>
  <c r="J1814" i="33"/>
  <c r="K2399" i="33"/>
  <c r="P1457" i="33"/>
  <c r="J2756" i="33"/>
  <c r="J2672" i="33"/>
  <c r="K2406" i="33"/>
  <c r="I2308" i="33"/>
  <c r="K2209" i="33"/>
  <c r="I2155" i="33"/>
  <c r="I2091" i="33"/>
  <c r="P1928" i="33"/>
  <c r="J1856" i="33"/>
  <c r="J1661" i="33"/>
  <c r="J1541" i="33"/>
  <c r="J1263" i="33"/>
  <c r="I1200" i="33"/>
  <c r="I1141" i="33"/>
  <c r="J2744" i="33"/>
  <c r="K2402" i="33"/>
  <c r="P2739" i="33"/>
  <c r="K2462" i="33"/>
  <c r="J2598" i="33"/>
  <c r="P1715" i="33"/>
  <c r="I2900" i="33"/>
  <c r="I1233" i="33"/>
  <c r="I1224" i="33"/>
  <c r="I1227" i="33"/>
  <c r="I1229" i="33"/>
  <c r="I1286" i="33"/>
  <c r="I1287" i="33"/>
  <c r="I1285" i="33"/>
  <c r="I1338" i="33"/>
  <c r="I1341" i="33"/>
  <c r="P1400" i="33"/>
  <c r="P1402" i="33"/>
  <c r="J1540" i="33"/>
  <c r="J1538" i="33"/>
  <c r="P1591" i="33"/>
  <c r="P1590" i="33"/>
  <c r="P1592" i="33"/>
  <c r="J1795" i="33"/>
  <c r="J1793" i="33"/>
  <c r="P1986" i="33"/>
  <c r="P1987" i="33"/>
  <c r="I2037" i="33"/>
  <c r="I2038" i="33"/>
  <c r="I2124" i="33"/>
  <c r="I2125" i="33"/>
  <c r="P2653" i="33"/>
  <c r="P2655" i="33"/>
  <c r="P2676" i="33"/>
  <c r="P2674" i="33"/>
  <c r="I2797" i="33"/>
  <c r="I2799" i="33"/>
  <c r="I2845" i="33"/>
  <c r="I2413" i="33"/>
  <c r="I2881" i="33"/>
  <c r="I2878" i="33"/>
  <c r="I2876" i="33"/>
  <c r="I2879" i="33"/>
  <c r="I2896" i="33"/>
  <c r="I1232" i="33"/>
  <c r="K2178" i="33"/>
  <c r="J1211" i="33"/>
  <c r="K3504" i="33"/>
  <c r="P1205" i="33"/>
  <c r="J1735" i="33"/>
  <c r="P2772" i="33"/>
  <c r="J2721" i="33"/>
  <c r="P2666" i="33"/>
  <c r="K2403" i="33"/>
  <c r="I2193" i="33"/>
  <c r="I2151" i="33"/>
  <c r="K2030" i="33"/>
  <c r="P1854" i="33"/>
  <c r="J1791" i="33"/>
  <c r="J1546" i="33"/>
  <c r="P1396" i="33"/>
  <c r="J1264" i="33"/>
  <c r="I1203" i="33"/>
  <c r="I1231" i="33"/>
  <c r="J2525" i="33"/>
  <c r="K2304" i="33"/>
  <c r="K2222" i="33"/>
  <c r="J2600" i="33"/>
  <c r="K1244" i="33"/>
  <c r="K1361" i="33"/>
  <c r="I2371" i="33"/>
  <c r="I2368" i="33"/>
  <c r="I2352" i="33"/>
  <c r="P2774" i="33"/>
  <c r="J2690" i="33"/>
  <c r="K1181" i="33"/>
  <c r="I2904" i="33"/>
  <c r="P2669" i="33"/>
  <c r="I2861" i="33"/>
  <c r="P133" i="6"/>
  <c r="P132" i="6"/>
  <c r="P135" i="6"/>
  <c r="P1144" i="33"/>
  <c r="P1143" i="33"/>
  <c r="P1145" i="33"/>
  <c r="K1185" i="33"/>
  <c r="K1186" i="33"/>
  <c r="K1187" i="33"/>
  <c r="I1332" i="33"/>
  <c r="I1333" i="33"/>
  <c r="I1336" i="33"/>
  <c r="I1335" i="33"/>
  <c r="I1371" i="33"/>
  <c r="I1370" i="33"/>
  <c r="I1369" i="33"/>
  <c r="P1446" i="33"/>
  <c r="P1448" i="33"/>
  <c r="P1420" i="33"/>
  <c r="P1418" i="33"/>
  <c r="P1421" i="33"/>
  <c r="P1422" i="33"/>
  <c r="P1447" i="33"/>
  <c r="P1423" i="33"/>
  <c r="J1553" i="33"/>
  <c r="J1551" i="33"/>
  <c r="J1624" i="33"/>
  <c r="J1623" i="33"/>
  <c r="P1976" i="33"/>
  <c r="P1977" i="33"/>
  <c r="P1978" i="33"/>
  <c r="K2082" i="33"/>
  <c r="K2081" i="33"/>
  <c r="K2083" i="33"/>
  <c r="I2113" i="33"/>
  <c r="I2116" i="33"/>
  <c r="I2154" i="33"/>
  <c r="I2153" i="33"/>
  <c r="K2225" i="33"/>
  <c r="K2224" i="33"/>
  <c r="I2294" i="33"/>
  <c r="I2296" i="33"/>
  <c r="I2292" i="33"/>
  <c r="I2291" i="33"/>
  <c r="K2342" i="33"/>
  <c r="K2346" i="33"/>
  <c r="K2343" i="33"/>
  <c r="I2378" i="33"/>
  <c r="I2377" i="33"/>
  <c r="P2509" i="33"/>
  <c r="P2508" i="33"/>
  <c r="J2592" i="33"/>
  <c r="J2594" i="33"/>
  <c r="J2637" i="33"/>
  <c r="J2638" i="33"/>
  <c r="J2746" i="33"/>
  <c r="J2748" i="33"/>
  <c r="J2779" i="33"/>
  <c r="J2778" i="33"/>
  <c r="J2776" i="33"/>
  <c r="J2781" i="33"/>
  <c r="J2782" i="33"/>
  <c r="K2835" i="33"/>
  <c r="K2838" i="33"/>
  <c r="K2836" i="33"/>
  <c r="K2834" i="33"/>
  <c r="K2837" i="33"/>
  <c r="J1608" i="33"/>
  <c r="J2762" i="33"/>
  <c r="P1866" i="33"/>
  <c r="I1228" i="33"/>
  <c r="I1129" i="33"/>
  <c r="I2895" i="33"/>
  <c r="I2412" i="33"/>
  <c r="K1265" i="33"/>
  <c r="P2771" i="33"/>
  <c r="J2691" i="33"/>
  <c r="J2597" i="33"/>
  <c r="I2386" i="33"/>
  <c r="I1873" i="33"/>
  <c r="I2192" i="33"/>
  <c r="P1988" i="33"/>
  <c r="P1911" i="33"/>
  <c r="J1606" i="33"/>
  <c r="J1539" i="33"/>
  <c r="K1241" i="33"/>
  <c r="K1183" i="33"/>
  <c r="J1921" i="33"/>
  <c r="I1225" i="33"/>
  <c r="K1363" i="33"/>
  <c r="I2290" i="33"/>
  <c r="K2029" i="33"/>
  <c r="J1622" i="33"/>
  <c r="P2737" i="33"/>
  <c r="K1321" i="33"/>
  <c r="I2372" i="33"/>
  <c r="I2355" i="33"/>
  <c r="I2199" i="33"/>
  <c r="J2750" i="33"/>
  <c r="I1223" i="33"/>
  <c r="J2692" i="33"/>
  <c r="J1151" i="33"/>
  <c r="K2871" i="33"/>
  <c r="I2829" i="33"/>
  <c r="J136" i="6"/>
  <c r="J135" i="6"/>
  <c r="J132" i="6"/>
  <c r="I1156" i="33"/>
  <c r="I1153" i="33"/>
  <c r="I1152" i="33"/>
  <c r="I1171" i="33"/>
  <c r="I1170" i="33"/>
  <c r="I1173" i="33"/>
  <c r="K1188" i="33"/>
  <c r="K1568" i="33"/>
  <c r="K1190" i="33"/>
  <c r="P1786" i="33"/>
  <c r="P1788" i="33"/>
  <c r="J1827" i="33"/>
  <c r="J1825" i="33"/>
  <c r="P1926" i="33"/>
  <c r="P1925" i="33"/>
  <c r="I2058" i="33"/>
  <c r="I2060" i="33"/>
  <c r="I2145" i="33"/>
  <c r="I2150" i="33"/>
  <c r="I2148" i="33"/>
  <c r="I2147" i="33"/>
  <c r="K2180" i="33"/>
  <c r="K2185" i="33"/>
  <c r="K2182" i="33"/>
  <c r="P2697" i="33"/>
  <c r="P2696" i="33"/>
  <c r="J2763" i="33"/>
  <c r="J2766" i="33"/>
  <c r="J2767" i="33"/>
  <c r="I2894" i="33"/>
  <c r="I2907" i="33"/>
  <c r="I2905" i="33"/>
  <c r="I2903" i="33"/>
  <c r="I2906" i="33"/>
  <c r="I2897" i="33"/>
  <c r="J2524" i="33"/>
  <c r="J1972" i="33"/>
  <c r="K1178" i="33"/>
  <c r="I1201" i="33"/>
  <c r="K2253" i="33"/>
  <c r="K2159" i="33"/>
  <c r="I1140" i="33"/>
  <c r="J2678" i="33"/>
  <c r="I2388" i="33"/>
  <c r="I2189" i="33"/>
  <c r="P1985" i="33"/>
  <c r="J1826" i="33"/>
  <c r="J1736" i="33"/>
  <c r="I1337" i="33"/>
  <c r="I1154" i="33"/>
  <c r="P2654" i="33"/>
  <c r="K2028" i="33"/>
  <c r="J1610" i="33"/>
  <c r="P1204" i="33"/>
  <c r="I2350" i="33"/>
  <c r="K1366" i="33"/>
  <c r="J2694" i="33"/>
  <c r="J2760" i="33"/>
  <c r="P2507" i="33"/>
  <c r="K1184" i="33"/>
  <c r="I2830" i="33"/>
  <c r="I2880" i="33"/>
  <c r="I2846" i="33"/>
  <c r="I2902" i="33"/>
  <c r="P1148" i="33"/>
  <c r="P1147" i="33"/>
  <c r="J1215" i="33"/>
  <c r="J1213" i="33"/>
  <c r="J1176" i="33"/>
  <c r="J1216" i="33"/>
  <c r="J1175" i="33"/>
  <c r="J1177" i="33"/>
  <c r="K1245" i="33"/>
  <c r="K1246" i="33"/>
  <c r="P1378" i="33"/>
  <c r="P1377" i="33"/>
  <c r="P1376" i="33"/>
  <c r="P1392" i="33"/>
  <c r="P1393" i="33"/>
  <c r="P1394" i="33"/>
  <c r="P1431" i="33"/>
  <c r="P1430" i="33"/>
  <c r="P1532" i="33"/>
  <c r="P1537" i="33"/>
  <c r="P1531" i="33"/>
  <c r="J1730" i="33"/>
  <c r="J1731" i="33"/>
  <c r="P1811" i="33"/>
  <c r="P1810" i="33"/>
  <c r="J1839" i="33"/>
  <c r="J1841" i="33"/>
  <c r="J1897" i="33"/>
  <c r="J1896" i="33"/>
  <c r="K2205" i="33"/>
  <c r="K2202" i="33"/>
  <c r="I2327" i="33"/>
  <c r="I2326" i="33"/>
  <c r="I2328" i="33"/>
  <c r="K2405" i="33"/>
  <c r="K2404" i="33"/>
  <c r="K2458" i="33"/>
  <c r="K2459" i="33"/>
  <c r="K2460" i="33"/>
  <c r="K2461" i="33"/>
  <c r="J2527" i="33"/>
  <c r="J2528" i="33"/>
  <c r="J2529" i="33"/>
  <c r="J2526" i="33"/>
  <c r="J2716" i="33"/>
  <c r="J2717" i="33"/>
  <c r="J2715" i="33"/>
  <c r="K2804" i="33"/>
  <c r="K2806" i="33"/>
  <c r="K2801" i="33"/>
  <c r="K2803" i="33"/>
  <c r="K2802" i="33"/>
  <c r="K2850" i="33"/>
  <c r="K2852" i="33"/>
  <c r="K2848" i="33"/>
  <c r="K2851" i="33"/>
  <c r="I2875" i="33"/>
  <c r="I2874" i="33"/>
  <c r="J2790" i="33"/>
  <c r="K2274" i="33"/>
  <c r="P1975" i="33"/>
  <c r="K2280" i="33"/>
  <c r="I2833" i="33"/>
  <c r="J1843" i="33"/>
  <c r="J2765" i="33"/>
  <c r="J2595" i="33"/>
  <c r="I2288" i="33"/>
  <c r="I2146" i="33"/>
  <c r="P1912" i="33"/>
  <c r="J1605" i="33"/>
  <c r="K1234" i="33"/>
  <c r="J1947" i="33"/>
  <c r="I2325" i="33"/>
  <c r="I2313" i="33"/>
  <c r="K2254" i="33"/>
  <c r="P1877" i="33"/>
  <c r="I2832" i="33"/>
  <c r="I1221" i="33"/>
  <c r="I1139" i="33"/>
  <c r="J2764" i="33"/>
  <c r="J2679" i="33"/>
  <c r="J2523" i="33"/>
  <c r="I2373" i="33"/>
  <c r="K2279" i="33"/>
  <c r="K2183" i="33"/>
  <c r="I2126" i="33"/>
  <c r="J1979" i="33"/>
  <c r="J1898" i="33"/>
  <c r="J1822" i="33"/>
  <c r="J1734" i="33"/>
  <c r="K1328" i="33"/>
  <c r="I1222" i="33"/>
  <c r="I1157" i="33"/>
  <c r="I1142" i="33"/>
  <c r="K2437" i="33"/>
  <c r="P1163" i="33"/>
  <c r="J1816" i="33"/>
  <c r="I2366" i="33"/>
  <c r="K2048" i="33"/>
  <c r="I1226" i="33"/>
  <c r="K2204" i="33"/>
  <c r="J2725" i="33"/>
  <c r="K1296" i="33"/>
  <c r="P1535" i="33"/>
  <c r="I2293" i="33"/>
  <c r="K153" i="6"/>
  <c r="J2621" i="33"/>
  <c r="P137" i="6"/>
  <c r="P1812" i="33"/>
  <c r="P1137" i="33"/>
  <c r="I2877" i="33"/>
  <c r="P2675" i="33"/>
  <c r="V1064" i="1"/>
  <c r="V1106" i="1"/>
  <c r="V1105" i="1"/>
  <c r="V1137" i="1"/>
  <c r="V1235" i="1"/>
  <c r="P148" i="6"/>
  <c r="P151" i="6"/>
  <c r="J3111" i="33"/>
  <c r="V943" i="1"/>
  <c r="J133" i="6"/>
  <c r="K155" i="6"/>
  <c r="K156" i="6"/>
  <c r="I154" i="6"/>
  <c r="V1296" i="1"/>
  <c r="V1367" i="1"/>
  <c r="V811" i="1"/>
  <c r="K131" i="6"/>
  <c r="V1145" i="1"/>
  <c r="P2165" i="33"/>
  <c r="J1367" i="33"/>
  <c r="I1543" i="33"/>
  <c r="J2083" i="33"/>
  <c r="K1929" i="33"/>
  <c r="J1241" i="33"/>
  <c r="I1736" i="33"/>
  <c r="K1974" i="33"/>
  <c r="K1424" i="33"/>
  <c r="K1985" i="33"/>
  <c r="P1259" i="33"/>
  <c r="J2051" i="33"/>
  <c r="P2226" i="33"/>
  <c r="K2739" i="33"/>
  <c r="I2719" i="33"/>
  <c r="J2399" i="33"/>
  <c r="K2737" i="33"/>
  <c r="P2397" i="33"/>
  <c r="J2158" i="33"/>
  <c r="J2282" i="33"/>
  <c r="I1981" i="33"/>
  <c r="K1987" i="33"/>
  <c r="J2344" i="33"/>
  <c r="P2330" i="33"/>
  <c r="P2016" i="33"/>
  <c r="K1431" i="33"/>
  <c r="I2753" i="33"/>
  <c r="I1825" i="33"/>
  <c r="J2402" i="33"/>
  <c r="P2024" i="33"/>
  <c r="I2767" i="33"/>
  <c r="J2183" i="33"/>
  <c r="I2718" i="33"/>
  <c r="I2782" i="33"/>
  <c r="J2256" i="33"/>
  <c r="V1126" i="1"/>
  <c r="J151" i="6"/>
  <c r="J148" i="6"/>
  <c r="V1124" i="1"/>
  <c r="P154" i="6"/>
  <c r="V1381" i="1"/>
  <c r="V1385" i="1"/>
  <c r="V1395" i="1"/>
  <c r="V1431" i="1"/>
  <c r="V1441" i="1"/>
  <c r="V1177" i="1"/>
  <c r="K1136" i="33"/>
  <c r="K1135" i="33"/>
  <c r="K1148" i="33"/>
  <c r="J1186" i="33"/>
  <c r="I1214" i="33"/>
  <c r="K1206" i="33"/>
  <c r="K1163" i="33"/>
  <c r="I1177" i="33"/>
  <c r="P1132" i="33"/>
  <c r="I1215" i="33"/>
  <c r="I1174" i="33"/>
  <c r="J1238" i="33"/>
  <c r="P1133" i="33"/>
  <c r="K154" i="6"/>
  <c r="P1113" i="33"/>
  <c r="K1144" i="33"/>
  <c r="I3193" i="33"/>
  <c r="J1184" i="33"/>
  <c r="J1235" i="33"/>
  <c r="P3110" i="33"/>
  <c r="I1151" i="33"/>
  <c r="K1162" i="33"/>
  <c r="J1187" i="33"/>
  <c r="J1185" i="33"/>
  <c r="J1236" i="33"/>
  <c r="P3108" i="33"/>
  <c r="K1149" i="33"/>
  <c r="J1234" i="33"/>
  <c r="J1237" i="33"/>
  <c r="K1137" i="33"/>
  <c r="V824" i="1"/>
  <c r="V836" i="1"/>
  <c r="V1015" i="1"/>
  <c r="V921" i="1"/>
  <c r="V906" i="1"/>
  <c r="V1000" i="1"/>
  <c r="V985" i="1"/>
  <c r="V1021" i="1"/>
  <c r="V1034" i="1"/>
  <c r="V1087" i="1"/>
  <c r="V1140" i="1"/>
  <c r="V1109" i="1"/>
  <c r="V1112" i="1"/>
  <c r="V1144" i="1"/>
  <c r="V1149" i="1"/>
  <c r="V1182" i="1"/>
  <c r="V1226" i="1"/>
  <c r="V1219" i="1"/>
  <c r="V1175" i="1"/>
  <c r="V1325" i="1"/>
  <c r="V1326" i="1"/>
  <c r="V1321" i="1"/>
  <c r="V1319" i="1"/>
  <c r="V1274" i="1"/>
  <c r="V1288" i="1"/>
  <c r="V1289" i="1"/>
  <c r="V1290" i="1"/>
  <c r="V1291" i="1"/>
  <c r="V1293" i="1"/>
  <c r="V1295" i="1"/>
  <c r="V1364" i="1"/>
  <c r="V1417" i="1"/>
  <c r="V1389" i="1"/>
  <c r="V1388" i="1"/>
  <c r="V1426" i="1"/>
  <c r="V1429" i="1"/>
  <c r="V1430" i="1"/>
  <c r="V1020" i="1"/>
  <c r="V1033" i="1"/>
  <c r="K127" i="6"/>
  <c r="K130" i="6"/>
  <c r="K3193" i="33"/>
  <c r="K128" i="6"/>
  <c r="K3192" i="33"/>
  <c r="P3193" i="33"/>
  <c r="P3192" i="33"/>
  <c r="P156" i="6"/>
  <c r="K126" i="6"/>
  <c r="P3583" i="33"/>
  <c r="P153" i="6"/>
  <c r="V305" i="1"/>
  <c r="V787" i="1"/>
  <c r="V799" i="1"/>
  <c r="V832" i="1"/>
  <c r="V860" i="1"/>
  <c r="V926" i="1"/>
  <c r="K3195" i="33"/>
  <c r="V1096" i="1"/>
  <c r="V1089" i="1"/>
  <c r="V1143" i="1"/>
  <c r="V1147" i="1"/>
  <c r="V1231" i="1"/>
  <c r="V1313" i="1"/>
  <c r="V1280" i="1"/>
  <c r="V1282" i="1"/>
  <c r="V1324" i="1"/>
  <c r="V1366" i="1"/>
  <c r="V1423" i="1"/>
  <c r="I150" i="6"/>
  <c r="V1011" i="1"/>
  <c r="V1052" i="1"/>
  <c r="V1054" i="1"/>
  <c r="V1078" i="1"/>
  <c r="V1094" i="1"/>
  <c r="V1098" i="1"/>
  <c r="V1093" i="1"/>
  <c r="V1223" i="1"/>
  <c r="V1283" i="1"/>
  <c r="V1376" i="1"/>
  <c r="V1352" i="1"/>
  <c r="V1353" i="1"/>
  <c r="J161" i="6"/>
  <c r="P162" i="6"/>
  <c r="I160" i="6"/>
  <c r="K161" i="6"/>
  <c r="J160" i="6"/>
  <c r="P161" i="6"/>
  <c r="V208" i="1"/>
  <c r="V825" i="1"/>
  <c r="V833" i="1"/>
  <c r="V864" i="1"/>
  <c r="V956" i="1"/>
  <c r="V957" i="1"/>
  <c r="V966" i="1"/>
  <c r="V973" i="1"/>
  <c r="V974" i="1"/>
  <c r="V1102" i="1"/>
  <c r="V1095" i="1"/>
  <c r="V1023" i="1"/>
  <c r="V1156" i="1"/>
  <c r="V1208" i="1"/>
  <c r="V1207" i="1"/>
  <c r="V1205" i="1"/>
  <c r="V1190" i="1"/>
  <c r="V1184" i="1"/>
  <c r="V1172" i="1"/>
  <c r="V1241" i="1"/>
  <c r="V1221" i="1"/>
  <c r="V1233" i="1"/>
  <c r="V1234" i="1"/>
  <c r="V1301" i="1"/>
  <c r="V1302" i="1"/>
  <c r="V1238" i="1"/>
  <c r="V1297" i="1"/>
  <c r="V1299" i="1"/>
  <c r="V1300" i="1"/>
  <c r="V1252" i="1"/>
  <c r="V1244" i="1"/>
  <c r="V1245" i="1"/>
  <c r="V1263" i="1"/>
  <c r="V1272" i="1"/>
  <c r="V1259" i="1"/>
  <c r="V1270" i="1"/>
  <c r="V1271" i="1"/>
  <c r="V1261" i="1"/>
  <c r="V1262" i="1"/>
  <c r="V1249" i="1"/>
  <c r="V1373" i="1"/>
  <c r="V1356" i="1"/>
  <c r="V1407" i="1"/>
  <c r="V1410" i="1"/>
  <c r="V1411" i="1"/>
  <c r="V1414" i="1"/>
  <c r="V1398" i="1"/>
  <c r="V1387" i="1"/>
  <c r="V1390" i="1"/>
  <c r="V1424" i="1"/>
  <c r="K160" i="6"/>
  <c r="I162" i="6"/>
  <c r="B84" i="7"/>
  <c r="B79" i="7"/>
  <c r="B75" i="7"/>
  <c r="D74" i="7"/>
  <c r="E126" i="7" s="1"/>
  <c r="B73" i="7"/>
  <c r="B93" i="7"/>
  <c r="L45" i="7"/>
  <c r="M62" i="7"/>
  <c r="B85" i="7"/>
  <c r="E85" i="7" s="1"/>
  <c r="M42" i="7"/>
  <c r="H78" i="7"/>
  <c r="D84" i="7"/>
  <c r="E136" i="7" s="1"/>
  <c r="L56" i="7"/>
  <c r="O56" i="7" s="1"/>
  <c r="I71" i="7"/>
  <c r="B91" i="7"/>
  <c r="L11" i="7"/>
  <c r="O11" i="7" s="1"/>
  <c r="M58" i="7"/>
  <c r="B103" i="7"/>
  <c r="E103" i="7" s="1"/>
  <c r="L27" i="7"/>
  <c r="O27" i="7" s="1"/>
  <c r="K78" i="7"/>
  <c r="L53" i="7"/>
  <c r="O53" i="7" s="1"/>
  <c r="M38" i="7"/>
  <c r="L36" i="7"/>
  <c r="O36" i="7" s="1"/>
  <c r="L61" i="7"/>
  <c r="O61" i="7" s="1"/>
  <c r="H84" i="7"/>
  <c r="B81" i="7"/>
  <c r="E81" i="7" s="1"/>
  <c r="L19" i="7"/>
  <c r="O19" i="7" s="1"/>
  <c r="K81" i="7"/>
  <c r="H82" i="7"/>
  <c r="V1421" i="1"/>
  <c r="V1425" i="1"/>
  <c r="V884" i="1"/>
  <c r="V1183" i="1"/>
  <c r="I153" i="6"/>
  <c r="J1172" i="33"/>
  <c r="J1130" i="33"/>
  <c r="V309" i="1"/>
  <c r="V458" i="1"/>
  <c r="V662" i="1"/>
  <c r="V699" i="1"/>
  <c r="V717" i="1"/>
  <c r="V1003" i="1"/>
  <c r="V1123" i="1"/>
  <c r="V690" i="1"/>
  <c r="V709" i="1"/>
  <c r="V742" i="1"/>
  <c r="V859" i="1"/>
  <c r="V851" i="1"/>
  <c r="V876" i="1"/>
  <c r="V1050" i="1"/>
  <c r="V1031" i="1"/>
  <c r="V205" i="1"/>
  <c r="V680" i="1"/>
  <c r="V755" i="1"/>
  <c r="V744" i="1"/>
  <c r="V776" i="1"/>
  <c r="V781" i="1"/>
  <c r="V790" i="1"/>
  <c r="V797" i="1"/>
  <c r="V854" i="1"/>
  <c r="V855" i="1"/>
  <c r="V837" i="1"/>
  <c r="V841" i="1"/>
  <c r="V874" i="1"/>
  <c r="V817" i="1"/>
  <c r="V866" i="1"/>
  <c r="V870" i="1"/>
  <c r="V863" i="1"/>
  <c r="V1160" i="1"/>
  <c r="V902" i="1"/>
  <c r="V1073" i="1"/>
  <c r="V1084" i="1"/>
  <c r="V881" i="1"/>
  <c r="V887" i="1"/>
  <c r="V934" i="1"/>
  <c r="V913" i="1"/>
  <c r="V909" i="1"/>
  <c r="V684" i="1"/>
  <c r="V916" i="1"/>
  <c r="V1120" i="1"/>
  <c r="V959" i="1"/>
  <c r="V965" i="1"/>
  <c r="V976" i="1"/>
  <c r="V977" i="1"/>
  <c r="V1038" i="1"/>
  <c r="V991" i="1"/>
  <c r="V988" i="1"/>
  <c r="V1006" i="1"/>
  <c r="V969" i="1"/>
  <c r="V1010" i="1"/>
  <c r="V1036" i="1"/>
  <c r="V1063" i="1"/>
  <c r="V1046" i="1"/>
  <c r="V1070" i="1"/>
  <c r="V1057" i="1"/>
  <c r="V1075" i="1"/>
  <c r="V1103" i="1"/>
  <c r="V1114" i="1"/>
  <c r="V1113" i="1"/>
  <c r="V1100" i="1"/>
  <c r="V1174" i="1"/>
  <c r="V1240" i="1"/>
  <c r="V1220" i="1"/>
  <c r="V1224" i="1"/>
  <c r="V1215" i="1"/>
  <c r="V1327" i="1"/>
  <c r="V1318" i="1"/>
  <c r="V1310" i="1"/>
  <c r="V1269" i="1"/>
  <c r="V1248" i="1"/>
  <c r="V1257" i="1"/>
  <c r="V1323" i="1"/>
  <c r="V1320" i="1"/>
  <c r="V1412" i="1"/>
  <c r="V1397" i="1"/>
  <c r="V1393" i="1"/>
  <c r="V1386" i="1"/>
  <c r="V1392" i="1"/>
  <c r="I1132" i="33"/>
  <c r="I1133" i="33"/>
  <c r="K1207" i="33"/>
  <c r="K1208" i="33"/>
  <c r="P1672" i="33"/>
  <c r="P1670" i="33"/>
  <c r="J1722" i="33"/>
  <c r="J1723" i="33"/>
  <c r="J1721" i="33"/>
  <c r="I2005" i="33"/>
  <c r="I2006" i="33"/>
  <c r="I2004" i="33"/>
  <c r="I2135" i="33"/>
  <c r="I2134" i="33"/>
  <c r="I2136" i="33"/>
  <c r="I2262" i="33"/>
  <c r="I2263" i="33"/>
  <c r="I2330" i="33"/>
  <c r="I2333" i="33"/>
  <c r="I2332" i="33"/>
  <c r="I2336" i="33"/>
  <c r="I2331" i="33"/>
  <c r="I2334" i="33"/>
  <c r="K2466" i="33"/>
  <c r="K2464" i="33"/>
  <c r="K2465" i="33"/>
  <c r="J2551" i="33"/>
  <c r="J2552" i="33"/>
  <c r="K2944" i="33"/>
  <c r="K2943" i="33"/>
  <c r="K2942" i="33"/>
  <c r="J3035" i="33"/>
  <c r="J3034" i="33"/>
  <c r="J3033" i="33"/>
  <c r="K3200" i="33"/>
  <c r="K3201" i="33"/>
  <c r="K3383" i="33"/>
  <c r="K3385" i="33"/>
  <c r="K3382" i="33"/>
  <c r="I3499" i="33"/>
  <c r="I3500" i="33"/>
  <c r="K3256" i="33"/>
  <c r="K3246" i="33"/>
  <c r="J2604" i="33"/>
  <c r="K2321" i="33"/>
  <c r="I1113" i="33"/>
  <c r="J2491" i="33"/>
  <c r="I3293" i="33"/>
  <c r="K1288" i="33"/>
  <c r="K1289" i="33"/>
  <c r="I1327" i="33"/>
  <c r="I1326" i="33"/>
  <c r="J1385" i="33"/>
  <c r="J1386" i="33"/>
  <c r="J1465" i="33"/>
  <c r="J1467" i="33"/>
  <c r="J1466" i="33"/>
  <c r="J1464" i="33"/>
  <c r="P1586" i="33"/>
  <c r="P1587" i="33"/>
  <c r="P1585" i="33"/>
  <c r="P1646" i="33"/>
  <c r="P1650" i="33"/>
  <c r="P1648" i="33"/>
  <c r="P1649" i="33"/>
  <c r="P1910" i="33"/>
  <c r="P1909" i="33"/>
  <c r="K2100" i="33"/>
  <c r="K2101" i="33"/>
  <c r="K2103" i="33"/>
  <c r="K2102" i="33"/>
  <c r="I2229" i="33"/>
  <c r="I2227" i="33"/>
  <c r="I2383" i="33"/>
  <c r="I2384" i="33"/>
  <c r="P2553" i="33"/>
  <c r="P2554" i="33"/>
  <c r="P2556" i="33"/>
  <c r="P2557" i="33"/>
  <c r="P2991" i="33"/>
  <c r="P2990" i="33"/>
  <c r="P3155" i="33"/>
  <c r="P3154" i="33"/>
  <c r="P3153" i="33"/>
  <c r="K3219" i="33"/>
  <c r="K3221" i="33"/>
  <c r="I3380" i="33"/>
  <c r="I3379" i="33"/>
  <c r="P3416" i="33"/>
  <c r="P3415" i="33"/>
  <c r="P2663" i="33"/>
  <c r="P2535" i="33"/>
  <c r="K2127" i="33"/>
  <c r="P2481" i="33"/>
  <c r="P2545" i="33"/>
  <c r="P3000" i="33"/>
  <c r="P1718" i="33"/>
  <c r="I1131" i="33"/>
  <c r="I3294" i="33"/>
  <c r="P2989" i="33"/>
  <c r="P1677" i="33"/>
  <c r="J2609" i="33"/>
  <c r="I2218" i="33"/>
  <c r="P3041" i="33"/>
  <c r="P3001" i="33"/>
  <c r="J2648" i="33"/>
  <c r="J2570" i="33"/>
  <c r="P2534" i="33"/>
  <c r="P2469" i="33"/>
  <c r="K2409" i="33"/>
  <c r="K2322" i="33"/>
  <c r="K2129" i="33"/>
  <c r="P1884" i="33"/>
  <c r="P1507" i="33"/>
  <c r="P2475" i="33"/>
  <c r="I2398" i="33"/>
  <c r="P1647" i="33"/>
  <c r="J1359" i="33"/>
  <c r="P1775" i="33"/>
  <c r="P1681" i="33"/>
  <c r="K1347" i="33"/>
  <c r="K3216" i="33"/>
  <c r="I2335" i="33"/>
  <c r="J3097" i="33"/>
  <c r="K2911" i="33"/>
  <c r="K3285" i="33"/>
  <c r="P1166" i="33"/>
  <c r="P1167" i="33"/>
  <c r="J1410" i="33"/>
  <c r="J1411" i="33"/>
  <c r="J1409" i="33"/>
  <c r="P1500" i="33"/>
  <c r="P1499" i="33"/>
  <c r="J1600" i="33"/>
  <c r="J1598" i="33"/>
  <c r="P1740" i="33"/>
  <c r="P1739" i="33"/>
  <c r="P1968" i="33"/>
  <c r="P1967" i="33"/>
  <c r="I2055" i="33"/>
  <c r="I2056" i="33"/>
  <c r="K2235" i="33"/>
  <c r="K2234" i="33"/>
  <c r="K2231" i="33"/>
  <c r="K2233" i="33"/>
  <c r="K2389" i="33"/>
  <c r="K2390" i="33"/>
  <c r="P2512" i="33"/>
  <c r="P2511" i="33"/>
  <c r="J2683" i="33"/>
  <c r="J2685" i="33"/>
  <c r="J2710" i="33"/>
  <c r="J2714" i="33"/>
  <c r="J2712" i="33"/>
  <c r="K2811" i="33"/>
  <c r="K2813" i="33"/>
  <c r="K3199" i="33"/>
  <c r="K3197" i="33"/>
  <c r="K3198" i="33"/>
  <c r="I3539" i="33"/>
  <c r="I3538" i="33"/>
  <c r="P3635" i="33"/>
  <c r="P3636" i="33"/>
  <c r="P1575" i="33"/>
  <c r="K2411" i="33"/>
  <c r="J2607" i="33"/>
  <c r="K1348" i="33"/>
  <c r="I2264" i="33"/>
  <c r="K3223" i="33"/>
  <c r="P3040" i="33"/>
  <c r="P3150" i="33"/>
  <c r="J3159" i="33"/>
  <c r="K2868" i="33"/>
  <c r="P2559" i="33"/>
  <c r="P2510" i="33"/>
  <c r="P2471" i="33"/>
  <c r="K2391" i="33"/>
  <c r="K2241" i="33"/>
  <c r="I2018" i="33"/>
  <c r="P1847" i="33"/>
  <c r="P1508" i="33"/>
  <c r="P1416" i="33"/>
  <c r="P2581" i="33"/>
  <c r="P1502" i="33"/>
  <c r="P1883" i="33"/>
  <c r="J1579" i="33"/>
  <c r="K1209" i="33"/>
  <c r="K3384" i="33"/>
  <c r="I2381" i="33"/>
  <c r="K1323" i="33"/>
  <c r="J3021" i="33"/>
  <c r="J3032" i="33"/>
  <c r="I3366" i="33"/>
  <c r="J3428" i="33"/>
  <c r="P127" i="6"/>
  <c r="P129" i="6"/>
  <c r="I1255" i="33"/>
  <c r="I1257" i="33"/>
  <c r="I1256" i="33"/>
  <c r="K1374" i="33"/>
  <c r="K1373" i="33"/>
  <c r="J1425" i="33"/>
  <c r="J1357" i="33"/>
  <c r="P1797" i="33"/>
  <c r="P1798" i="33"/>
  <c r="P1796" i="33"/>
  <c r="J1941" i="33"/>
  <c r="J1938" i="33"/>
  <c r="J1937" i="33"/>
  <c r="J1936" i="33"/>
  <c r="P1984" i="33"/>
  <c r="P1982" i="33"/>
  <c r="P1983" i="33"/>
  <c r="I2021" i="33"/>
  <c r="I2023" i="33"/>
  <c r="I2220" i="33"/>
  <c r="I2219" i="33"/>
  <c r="P2482" i="33"/>
  <c r="P2483" i="33"/>
  <c r="P2501" i="33"/>
  <c r="P2502" i="33"/>
  <c r="P2505" i="33"/>
  <c r="P2504" i="33"/>
  <c r="P2503" i="33"/>
  <c r="P2618" i="33"/>
  <c r="P2619" i="33"/>
  <c r="I2820" i="33"/>
  <c r="I2823" i="33"/>
  <c r="I2825" i="33"/>
  <c r="I2824" i="33"/>
  <c r="P3043" i="33"/>
  <c r="P3048" i="33"/>
  <c r="P3126" i="33"/>
  <c r="P3125" i="33"/>
  <c r="J3161" i="33"/>
  <c r="J3157" i="33"/>
  <c r="J3160" i="33"/>
  <c r="J3156" i="33"/>
  <c r="J3162" i="33"/>
  <c r="K3212" i="33"/>
  <c r="K3213" i="33"/>
  <c r="K3217" i="33"/>
  <c r="I3277" i="33"/>
  <c r="I3278" i="33"/>
  <c r="I2890" i="33"/>
  <c r="K2809" i="33"/>
  <c r="K3210" i="33"/>
  <c r="J2495" i="33"/>
  <c r="P1881" i="33"/>
  <c r="P1588" i="33"/>
  <c r="K1351" i="33"/>
  <c r="P3640" i="33"/>
  <c r="J2573" i="33"/>
  <c r="K1346" i="33"/>
  <c r="I2022" i="33"/>
  <c r="K3218" i="33"/>
  <c r="P2995" i="33"/>
  <c r="I2818" i="33"/>
  <c r="K2909" i="33"/>
  <c r="K3215" i="33"/>
  <c r="P2784" i="33"/>
  <c r="P2624" i="33"/>
  <c r="P2563" i="33"/>
  <c r="P2513" i="33"/>
  <c r="P2470" i="33"/>
  <c r="I2359" i="33"/>
  <c r="I2017" i="33"/>
  <c r="P1848" i="33"/>
  <c r="J1358" i="33"/>
  <c r="J1437" i="33"/>
  <c r="J1318" i="33"/>
  <c r="J1577" i="33"/>
  <c r="K1193" i="33"/>
  <c r="K2908" i="33"/>
  <c r="K2914" i="33"/>
  <c r="I2422" i="33"/>
  <c r="J2686" i="33"/>
  <c r="I3295" i="33"/>
  <c r="I2133" i="33"/>
  <c r="K2912" i="33"/>
  <c r="I2379" i="33"/>
  <c r="J3427" i="33"/>
  <c r="K2923" i="33"/>
  <c r="P1470" i="33"/>
  <c r="P1468" i="33"/>
  <c r="J1634" i="33"/>
  <c r="J1635" i="33"/>
  <c r="P1686" i="33"/>
  <c r="P1685" i="33"/>
  <c r="J1757" i="33"/>
  <c r="J1755" i="33"/>
  <c r="I2272" i="33"/>
  <c r="I2270" i="33"/>
  <c r="P3002" i="33"/>
  <c r="P2997" i="33"/>
  <c r="P2999" i="33"/>
  <c r="P3003" i="33"/>
  <c r="P2994" i="33"/>
  <c r="J3072" i="33"/>
  <c r="J3073" i="33"/>
  <c r="J3070" i="33"/>
  <c r="P3412" i="33"/>
  <c r="P3413" i="33"/>
  <c r="P3047" i="33"/>
  <c r="K2410" i="33"/>
  <c r="P1509" i="33"/>
  <c r="J1511" i="33"/>
  <c r="J1687" i="33"/>
  <c r="P3639" i="33"/>
  <c r="J2564" i="33"/>
  <c r="I2024" i="33"/>
  <c r="K3185" i="33"/>
  <c r="P3004" i="33"/>
  <c r="I2819" i="33"/>
  <c r="I3377" i="33"/>
  <c r="P2996" i="33"/>
  <c r="P2988" i="33"/>
  <c r="K3287" i="33"/>
  <c r="P2783" i="33"/>
  <c r="P2625" i="33"/>
  <c r="P2560" i="33"/>
  <c r="P2472" i="33"/>
  <c r="I2358" i="33"/>
  <c r="I2230" i="33"/>
  <c r="K2003" i="33"/>
  <c r="J1703" i="33"/>
  <c r="K1372" i="33"/>
  <c r="P2580" i="33"/>
  <c r="J1495" i="33"/>
  <c r="P1471" i="33"/>
  <c r="K1191" i="33"/>
  <c r="K2945" i="33"/>
  <c r="K2928" i="33"/>
  <c r="I2822" i="33"/>
  <c r="J2684" i="33"/>
  <c r="K2888" i="33"/>
  <c r="I3364" i="33"/>
  <c r="J3077" i="33"/>
  <c r="K3214" i="33"/>
  <c r="I1282" i="33"/>
  <c r="I1281" i="33"/>
  <c r="I1283" i="33"/>
  <c r="K1352" i="33"/>
  <c r="K1345" i="33"/>
  <c r="K1350" i="33"/>
  <c r="K1354" i="33"/>
  <c r="J1667" i="33"/>
  <c r="J1666" i="33"/>
  <c r="P1719" i="33"/>
  <c r="P1720" i="33"/>
  <c r="K2089" i="33"/>
  <c r="K2087" i="33"/>
  <c r="K2088" i="33"/>
  <c r="K2086" i="33"/>
  <c r="I2141" i="33"/>
  <c r="I2142" i="33"/>
  <c r="K2239" i="33"/>
  <c r="K2240" i="33"/>
  <c r="K2236" i="33"/>
  <c r="K2237" i="33"/>
  <c r="I2419" i="33"/>
  <c r="I2420" i="33"/>
  <c r="I2416" i="33"/>
  <c r="P2474" i="33"/>
  <c r="P2480" i="33"/>
  <c r="P2468" i="33"/>
  <c r="P2473" i="33"/>
  <c r="P2476" i="33"/>
  <c r="J2498" i="33"/>
  <c r="J2500" i="33"/>
  <c r="J2493" i="33"/>
  <c r="J2606" i="33"/>
  <c r="J2605" i="33"/>
  <c r="J2651" i="33"/>
  <c r="J2650" i="33"/>
  <c r="J2649" i="33"/>
  <c r="P2698" i="33"/>
  <c r="P2699" i="33"/>
  <c r="J3107" i="33"/>
  <c r="J3096" i="33"/>
  <c r="J3101" i="33"/>
  <c r="J3102" i="33"/>
  <c r="J3098" i="33"/>
  <c r="J3099" i="33"/>
  <c r="J3103" i="33"/>
  <c r="J3104" i="33"/>
  <c r="J3105" i="33"/>
  <c r="K3247" i="33"/>
  <c r="K3244" i="33"/>
  <c r="K3304" i="33"/>
  <c r="K3305" i="33"/>
  <c r="K3303" i="33"/>
  <c r="K3302" i="33"/>
  <c r="K3374" i="33"/>
  <c r="K3373" i="33"/>
  <c r="I3466" i="33"/>
  <c r="I3467" i="33"/>
  <c r="I3468" i="33"/>
  <c r="I3501" i="33"/>
  <c r="I3502" i="33"/>
  <c r="J3628" i="33"/>
  <c r="J3629" i="33"/>
  <c r="J3633" i="33"/>
  <c r="P3149" i="33"/>
  <c r="P3453" i="33"/>
  <c r="J1387" i="33"/>
  <c r="K3183" i="33"/>
  <c r="I2965" i="33"/>
  <c r="K2815" i="33"/>
  <c r="K2883" i="33"/>
  <c r="P2731" i="33"/>
  <c r="J2614" i="33"/>
  <c r="P2562" i="33"/>
  <c r="J2497" i="33"/>
  <c r="K2467" i="33"/>
  <c r="I2360" i="33"/>
  <c r="I2226" i="33"/>
  <c r="P1965" i="33"/>
  <c r="J1705" i="33"/>
  <c r="K1299" i="33"/>
  <c r="P2479" i="33"/>
  <c r="P1435" i="33"/>
  <c r="K1355" i="33"/>
  <c r="K1290" i="33"/>
  <c r="P1472" i="33"/>
  <c r="P3005" i="33"/>
  <c r="J3075" i="33"/>
  <c r="J2496" i="33"/>
  <c r="J3100" i="33"/>
  <c r="J3076" i="33"/>
  <c r="J1599" i="33"/>
  <c r="K2884" i="33"/>
  <c r="K3245" i="33"/>
  <c r="I3616" i="33"/>
  <c r="I3537" i="33"/>
  <c r="K3375" i="33"/>
  <c r="J3164" i="33"/>
  <c r="J3630" i="33"/>
  <c r="I1195" i="33"/>
  <c r="I1194" i="33"/>
  <c r="K1249" i="33"/>
  <c r="K1254" i="33"/>
  <c r="K1253" i="33"/>
  <c r="K1250" i="33"/>
  <c r="K1251" i="33"/>
  <c r="K1252" i="33"/>
  <c r="P1631" i="33"/>
  <c r="P1630" i="33"/>
  <c r="P1632" i="33"/>
  <c r="J1765" i="33"/>
  <c r="J1766" i="33"/>
  <c r="J1767" i="33"/>
  <c r="I2176" i="33"/>
  <c r="I2175" i="33"/>
  <c r="I2174" i="33"/>
  <c r="I2172" i="33"/>
  <c r="I2443" i="33"/>
  <c r="I2444" i="33"/>
  <c r="J2486" i="33"/>
  <c r="J2487" i="33"/>
  <c r="J2488" i="33"/>
  <c r="J2569" i="33"/>
  <c r="J2575" i="33"/>
  <c r="J2568" i="33"/>
  <c r="J2571" i="33"/>
  <c r="J2567" i="33"/>
  <c r="J2576" i="33"/>
  <c r="J2574" i="33"/>
  <c r="P2703" i="33"/>
  <c r="P2702" i="33"/>
  <c r="K2794" i="33"/>
  <c r="K2793" i="33"/>
  <c r="K2791" i="33"/>
  <c r="I2864" i="33"/>
  <c r="I2862" i="33"/>
  <c r="I2863" i="33"/>
  <c r="K2926" i="33"/>
  <c r="K2925" i="33"/>
  <c r="J3007" i="33"/>
  <c r="J3008" i="33"/>
  <c r="J3009" i="33"/>
  <c r="J3091" i="33"/>
  <c r="J3088" i="33"/>
  <c r="J3089" i="33"/>
  <c r="J3090" i="33"/>
  <c r="K3339" i="33"/>
  <c r="K3338" i="33"/>
  <c r="I3387" i="33"/>
  <c r="I3386" i="33"/>
  <c r="P3450" i="33"/>
  <c r="P3451" i="33"/>
  <c r="I2271" i="33"/>
  <c r="J2565" i="33"/>
  <c r="P3116" i="33"/>
  <c r="P1682" i="33"/>
  <c r="I2269" i="33"/>
  <c r="P3454" i="33"/>
  <c r="K3321" i="33"/>
  <c r="P3044" i="33"/>
  <c r="I2966" i="33"/>
  <c r="K2814" i="33"/>
  <c r="P3414" i="33"/>
  <c r="J3074" i="33"/>
  <c r="I3280" i="33"/>
  <c r="P3637" i="33"/>
  <c r="P2700" i="33"/>
  <c r="J2613" i="33"/>
  <c r="P2555" i="33"/>
  <c r="J2492" i="33"/>
  <c r="I2417" i="33"/>
  <c r="I2329" i="33"/>
  <c r="I2228" i="33"/>
  <c r="P1966" i="33"/>
  <c r="P1669" i="33"/>
  <c r="K1302" i="33"/>
  <c r="P1168" i="33"/>
  <c r="J2490" i="33"/>
  <c r="P1679" i="33"/>
  <c r="I1259" i="33"/>
  <c r="J1439" i="33"/>
  <c r="K1353" i="33"/>
  <c r="P1738" i="33"/>
  <c r="J1384" i="33"/>
  <c r="K3196" i="33"/>
  <c r="J3018" i="33"/>
  <c r="K3381" i="33"/>
  <c r="J1317" i="33"/>
  <c r="I2382" i="33"/>
  <c r="P2561" i="33"/>
  <c r="K3286" i="33"/>
  <c r="I2164" i="33"/>
  <c r="I2165" i="33"/>
  <c r="K3222" i="33"/>
  <c r="J2549" i="33"/>
  <c r="I3536" i="33"/>
  <c r="K3523" i="33"/>
  <c r="J3632" i="33"/>
  <c r="P2998" i="33"/>
  <c r="P1355" i="33"/>
  <c r="P1349" i="33"/>
  <c r="I1403" i="33"/>
  <c r="P1252" i="33"/>
  <c r="V367" i="1"/>
  <c r="V562" i="1"/>
  <c r="V756" i="1"/>
  <c r="V771" i="1"/>
  <c r="V786" i="1"/>
  <c r="V835" i="1"/>
  <c r="V941" i="1"/>
  <c r="V1203" i="1"/>
  <c r="V964" i="1"/>
  <c r="V954" i="1"/>
  <c r="V993" i="1"/>
  <c r="V972" i="1"/>
  <c r="V1008" i="1"/>
  <c r="V1012" i="1"/>
  <c r="V1013" i="1"/>
  <c r="V1044" i="1"/>
  <c r="V1090" i="1"/>
  <c r="V1104" i="1"/>
  <c r="V1101" i="1"/>
  <c r="V1402" i="1"/>
  <c r="V1122" i="1"/>
  <c r="V1159" i="1"/>
  <c r="V1110" i="1"/>
  <c r="V1130" i="1"/>
  <c r="V1129" i="1"/>
  <c r="V1092" i="1"/>
  <c r="V1091" i="1"/>
  <c r="V1186" i="1"/>
  <c r="V1185" i="1"/>
  <c r="V1111" i="1"/>
  <c r="V1154" i="1"/>
  <c r="V1158" i="1"/>
  <c r="V1189" i="1"/>
  <c r="V1188" i="1"/>
  <c r="V1187" i="1"/>
  <c r="V1151" i="1"/>
  <c r="V1198" i="1"/>
  <c r="V1180" i="1"/>
  <c r="V1266" i="1"/>
  <c r="J2885" i="33"/>
  <c r="V1419" i="1"/>
  <c r="V1428" i="1"/>
  <c r="V678" i="1"/>
  <c r="V759" i="1"/>
  <c r="V813" i="1"/>
  <c r="V869" i="1"/>
  <c r="V937" i="1"/>
  <c r="V983" i="1"/>
  <c r="V980" i="1"/>
  <c r="V1032" i="1"/>
  <c r="V1056" i="1"/>
  <c r="V1077" i="1"/>
  <c r="V1076" i="1"/>
  <c r="V1088" i="1"/>
  <c r="V1025" i="1"/>
  <c r="V1027" i="1"/>
  <c r="V1404" i="1"/>
  <c r="V1153" i="1"/>
  <c r="V1157" i="1"/>
  <c r="V1150" i="1"/>
  <c r="V1148" i="1"/>
  <c r="V1179" i="1"/>
  <c r="V1164" i="1"/>
  <c r="V1199" i="1"/>
  <c r="V1181" i="1"/>
  <c r="V1218" i="1"/>
  <c r="V1217" i="1"/>
  <c r="V1237" i="1"/>
  <c r="V1329" i="1"/>
  <c r="V1279" i="1"/>
  <c r="V1287" i="1"/>
  <c r="V1337" i="1"/>
  <c r="V1344" i="1"/>
  <c r="V1348" i="1"/>
  <c r="V1600" i="1"/>
  <c r="V1354" i="1"/>
  <c r="V1418" i="1"/>
  <c r="V1394" i="1"/>
  <c r="V1420" i="1"/>
  <c r="V1427" i="1"/>
  <c r="K3583" i="33"/>
  <c r="V264" i="1"/>
  <c r="V393" i="1"/>
  <c r="V539" i="1"/>
  <c r="V549" i="1"/>
  <c r="V640" i="1"/>
  <c r="V822" i="1"/>
  <c r="P130" i="6"/>
  <c r="V7" i="1"/>
  <c r="V146" i="1"/>
  <c r="V442" i="1"/>
  <c r="V464" i="1"/>
  <c r="V1127" i="1"/>
  <c r="V118" i="1"/>
  <c r="V211" i="1"/>
  <c r="V215" i="1"/>
  <c r="V219" i="1"/>
  <c r="V252" i="1"/>
  <c r="V256" i="1"/>
  <c r="V300" i="1"/>
  <c r="V363" i="1"/>
  <c r="V480" i="1"/>
  <c r="V490" i="1"/>
  <c r="V514" i="1"/>
  <c r="V541" i="1"/>
  <c r="V703" i="1"/>
  <c r="V716" i="1"/>
  <c r="V767" i="1"/>
  <c r="V778" i="1"/>
  <c r="V867" i="1"/>
  <c r="V893" i="1"/>
  <c r="V1066" i="1"/>
  <c r="V1079" i="1"/>
  <c r="V1202" i="1"/>
  <c r="V910" i="1"/>
  <c r="V914" i="1"/>
  <c r="V962" i="1"/>
  <c r="V1118" i="1"/>
  <c r="V918" i="1"/>
  <c r="V1141" i="1"/>
  <c r="V1165" i="1"/>
  <c r="V1170" i="1"/>
  <c r="V1314" i="1"/>
  <c r="J3503" i="33"/>
  <c r="K3108" i="33"/>
  <c r="V829" i="1"/>
  <c r="V1043" i="1"/>
  <c r="V1178" i="1"/>
  <c r="J3505" i="33"/>
  <c r="V103" i="1"/>
  <c r="P2885" i="33"/>
  <c r="V202" i="1"/>
  <c r="V471" i="1"/>
  <c r="V543" i="1"/>
  <c r="V554" i="1"/>
  <c r="V565" i="1"/>
  <c r="V570" i="1"/>
  <c r="V593" i="1"/>
  <c r="V597" i="1"/>
  <c r="V710" i="1"/>
  <c r="V696" i="1"/>
  <c r="V800" i="1"/>
  <c r="V927" i="1"/>
  <c r="V873" i="1"/>
  <c r="V1116" i="1"/>
  <c r="V905" i="1"/>
  <c r="V950" i="1"/>
  <c r="V944" i="1"/>
  <c r="V891" i="1"/>
  <c r="V945" i="1"/>
  <c r="V907" i="1"/>
  <c r="V960" i="1"/>
  <c r="V955" i="1"/>
  <c r="V958" i="1"/>
  <c r="V1058" i="1"/>
  <c r="V1107" i="1"/>
  <c r="V1138" i="1"/>
  <c r="V1108" i="1"/>
  <c r="V1029" i="1"/>
  <c r="V1206" i="1"/>
  <c r="V1193" i="1"/>
  <c r="V1227" i="1"/>
  <c r="V1213" i="1"/>
  <c r="V1211" i="1"/>
  <c r="V1292" i="1"/>
  <c r="V1382" i="1"/>
  <c r="V1251" i="1"/>
  <c r="V1253" i="1"/>
  <c r="V1243" i="1"/>
  <c r="V1250" i="1"/>
  <c r="V1254" i="1"/>
  <c r="V1375" i="1"/>
  <c r="V1374" i="1"/>
  <c r="V17" i="1"/>
  <c r="I1292" i="33"/>
  <c r="J1192" i="33"/>
  <c r="P1129" i="33"/>
  <c r="V693" i="1"/>
  <c r="V1222" i="1"/>
  <c r="V1214" i="1"/>
  <c r="V1284" i="1"/>
  <c r="V1312" i="1"/>
  <c r="V1316" i="1"/>
  <c r="V1317" i="1"/>
  <c r="V1264" i="1"/>
  <c r="V1265" i="1"/>
  <c r="V1267" i="1"/>
  <c r="V1268" i="1"/>
  <c r="V1247" i="1"/>
  <c r="V1256" i="1"/>
  <c r="V1380" i="1"/>
  <c r="V1379" i="1"/>
  <c r="V1378" i="1"/>
  <c r="V1377" i="1"/>
  <c r="V1341" i="1"/>
  <c r="V1340" i="1"/>
  <c r="V1368" i="1"/>
  <c r="V1343" i="1"/>
  <c r="V1347" i="1"/>
  <c r="I128" i="6"/>
  <c r="K148" i="6"/>
  <c r="J153" i="6"/>
  <c r="V99" i="1"/>
  <c r="V131" i="1"/>
  <c r="V193" i="1"/>
  <c r="V198" i="1"/>
  <c r="V250" i="1"/>
  <c r="V281" i="1"/>
  <c r="V301" i="1"/>
  <c r="V848" i="1"/>
  <c r="V894" i="1"/>
  <c r="V1067" i="1"/>
  <c r="V963" i="1"/>
  <c r="V1192" i="1"/>
  <c r="I126" i="6"/>
  <c r="I129" i="6"/>
  <c r="I130" i="6"/>
  <c r="I131" i="6"/>
  <c r="K151" i="6"/>
  <c r="K152" i="6"/>
  <c r="J156" i="6"/>
  <c r="V100" i="1"/>
  <c r="V112" i="1"/>
  <c r="V189" i="1"/>
  <c r="V319" i="1"/>
  <c r="V331" i="1"/>
  <c r="V394" i="1"/>
  <c r="V408" i="1"/>
  <c r="V420" i="1"/>
  <c r="V425" i="1"/>
  <c r="V441" i="1"/>
  <c r="V1125" i="1"/>
  <c r="V1322" i="1"/>
  <c r="J2886" i="33"/>
  <c r="J152" i="6"/>
  <c r="J154" i="6"/>
  <c r="P131" i="6"/>
  <c r="P128" i="6"/>
  <c r="P126" i="6"/>
  <c r="V316" i="1"/>
  <c r="V302" i="1"/>
  <c r="V582" i="1"/>
  <c r="V715" i="1"/>
  <c r="V736" i="1"/>
  <c r="V764" i="1"/>
  <c r="V769" i="1"/>
  <c r="V795" i="1"/>
  <c r="V845" i="1"/>
  <c r="V865" i="1"/>
  <c r="V861" i="1"/>
  <c r="V1005" i="1"/>
  <c r="V939" i="1"/>
  <c r="V1072" i="1"/>
  <c r="V886" i="1"/>
  <c r="V880" i="1"/>
  <c r="V999" i="1"/>
  <c r="V1045" i="1"/>
  <c r="V1028" i="1"/>
  <c r="V1026" i="1"/>
  <c r="V1403" i="1"/>
  <c r="P157" i="6"/>
  <c r="V12" i="1"/>
  <c r="V22" i="1"/>
  <c r="V195" i="1"/>
  <c r="V223" i="1"/>
  <c r="V225" i="1"/>
  <c r="V271" i="1"/>
  <c r="V317" i="1"/>
  <c r="V334" i="1"/>
  <c r="V348" i="1"/>
  <c r="V355" i="1"/>
  <c r="V374" i="1"/>
  <c r="V380" i="1"/>
  <c r="V392" i="1"/>
  <c r="V398" i="1"/>
  <c r="V428" i="1"/>
  <c r="V438" i="1"/>
  <c r="V444" i="1"/>
  <c r="V466" i="1"/>
  <c r="V492" i="1"/>
  <c r="V497" i="1"/>
  <c r="V511" i="1"/>
  <c r="V519" i="1"/>
  <c r="V521" i="1"/>
  <c r="V538" i="1"/>
  <c r="V655" i="1"/>
  <c r="V667" i="1"/>
  <c r="V673" i="1"/>
  <c r="V676" i="1"/>
  <c r="V682" i="1"/>
  <c r="V685" i="1"/>
  <c r="V747" i="1"/>
  <c r="V751" i="1"/>
  <c r="V788" i="1"/>
  <c r="V794" i="1"/>
  <c r="V798" i="1"/>
  <c r="V852" i="1"/>
  <c r="V806" i="1"/>
  <c r="V900" i="1"/>
  <c r="V1001" i="1"/>
  <c r="V903" i="1"/>
  <c r="V1176" i="1"/>
  <c r="V1345" i="1"/>
  <c r="I156" i="6"/>
  <c r="I157" i="6"/>
  <c r="V71" i="1"/>
  <c r="V122" i="1"/>
  <c r="V176" i="1"/>
  <c r="V222" i="1"/>
  <c r="V357" i="1"/>
  <c r="V430" i="1"/>
  <c r="V494" i="1"/>
  <c r="V499" i="1"/>
  <c r="V540" i="1"/>
  <c r="V700" i="1"/>
  <c r="V849" i="1"/>
  <c r="V821" i="1"/>
  <c r="V1065" i="1"/>
  <c r="V1085" i="1"/>
  <c r="V878" i="1"/>
  <c r="V1039" i="1"/>
  <c r="I155" i="6"/>
  <c r="V74" i="1"/>
  <c r="V167" i="1"/>
  <c r="V239" i="1"/>
  <c r="V283" i="1"/>
  <c r="V287" i="1"/>
  <c r="V311" i="1"/>
  <c r="V321" i="1"/>
  <c r="V333" i="1"/>
  <c r="V401" i="1"/>
  <c r="V443" i="1"/>
  <c r="V460" i="1"/>
  <c r="V510" i="1"/>
  <c r="V531" i="1"/>
  <c r="V536" i="1"/>
  <c r="V542" i="1"/>
  <c r="V724" i="1"/>
  <c r="V757" i="1"/>
  <c r="V746" i="1"/>
  <c r="V750" i="1"/>
  <c r="V772" i="1"/>
  <c r="V783" i="1"/>
  <c r="V793" i="1"/>
  <c r="V1115" i="1"/>
  <c r="V949" i="1"/>
  <c r="V1163" i="1"/>
  <c r="V1080" i="1"/>
  <c r="V1338" i="1"/>
  <c r="V1355" i="1"/>
  <c r="V127" i="1"/>
  <c r="V238" i="1"/>
  <c r="V265" i="1"/>
  <c r="V320" i="1"/>
  <c r="V341" i="1"/>
  <c r="V347" i="1"/>
  <c r="V414" i="1"/>
  <c r="V447" i="1"/>
  <c r="V453" i="1"/>
  <c r="V459" i="1"/>
  <c r="V479" i="1"/>
  <c r="V484" i="1"/>
  <c r="V489" i="1"/>
  <c r="V500" i="1"/>
  <c r="V513" i="1"/>
  <c r="V518" i="1"/>
  <c r="V524" i="1"/>
  <c r="V568" i="1"/>
  <c r="V584" i="1"/>
  <c r="V599" i="1"/>
  <c r="V608" i="1"/>
  <c r="V712" i="1"/>
  <c r="V663" i="1"/>
  <c r="V708" i="1"/>
  <c r="V741" i="1"/>
  <c r="V761" i="1"/>
  <c r="V765" i="1"/>
  <c r="V810" i="1"/>
  <c r="V838" i="1"/>
  <c r="V875" i="1"/>
  <c r="V823" i="1"/>
  <c r="V827" i="1"/>
  <c r="V831" i="1"/>
  <c r="V871" i="1"/>
  <c r="V952" i="1"/>
  <c r="V888" i="1"/>
  <c r="V1014" i="1"/>
  <c r="V925" i="1"/>
  <c r="V968" i="1"/>
  <c r="V992" i="1"/>
  <c r="V971" i="1"/>
  <c r="V989" i="1"/>
  <c r="V997" i="1"/>
  <c r="V1069" i="1"/>
  <c r="V1060" i="1"/>
  <c r="V1022" i="1"/>
  <c r="V1139" i="1"/>
  <c r="V1024" i="1"/>
  <c r="V56" i="1"/>
  <c r="V61" i="1"/>
  <c r="V66" i="1"/>
  <c r="V132" i="1"/>
  <c r="V137" i="1"/>
  <c r="V177" i="1"/>
  <c r="V228" i="1"/>
  <c r="V233" i="1"/>
  <c r="V242" i="1"/>
  <c r="V247" i="1"/>
  <c r="V251" i="1"/>
  <c r="V738" i="1"/>
  <c r="V24" i="1"/>
  <c r="V360" i="1"/>
  <c r="V364" i="1"/>
  <c r="V834" i="1"/>
  <c r="V26" i="1"/>
  <c r="V123" i="1"/>
  <c r="V266" i="1"/>
  <c r="V173" i="1"/>
  <c r="V185" i="1"/>
  <c r="V353" i="1"/>
  <c r="V390" i="1"/>
  <c r="V637" i="1"/>
  <c r="V713" i="1"/>
  <c r="V664" i="1"/>
  <c r="V839" i="1"/>
  <c r="V872" i="1"/>
  <c r="V163" i="1"/>
  <c r="V192" i="1"/>
  <c r="V197" i="1"/>
  <c r="V207" i="1"/>
  <c r="V236" i="1"/>
  <c r="V245" i="1"/>
  <c r="V263" i="1"/>
  <c r="V269" i="1"/>
  <c r="V274" i="1"/>
  <c r="V280" i="1"/>
  <c r="V345" i="1"/>
  <c r="V375" i="1"/>
  <c r="V381" i="1"/>
  <c r="V387" i="1"/>
  <c r="V403" i="1"/>
  <c r="V424" i="1"/>
  <c r="V433" i="1"/>
  <c r="V451" i="1"/>
  <c r="V456" i="1"/>
  <c r="V462" i="1"/>
  <c r="V467" i="1"/>
  <c r="V477" i="1"/>
  <c r="V482" i="1"/>
  <c r="V487" i="1"/>
  <c r="V503" i="1"/>
  <c r="V507" i="1"/>
  <c r="V516" i="1"/>
  <c r="V522" i="1"/>
  <c r="V566" i="1"/>
  <c r="V572" i="1"/>
  <c r="V577" i="1"/>
  <c r="V588" i="1"/>
  <c r="V602" i="1"/>
  <c r="V606" i="1"/>
  <c r="V612" i="1"/>
  <c r="V617" i="1"/>
  <c r="V622" i="1"/>
  <c r="V668" i="1"/>
  <c r="V735" i="1"/>
  <c r="V686" i="1"/>
  <c r="V774" i="1"/>
  <c r="V847" i="1"/>
  <c r="V804" i="1"/>
  <c r="V840" i="1"/>
  <c r="V896" i="1"/>
  <c r="V1081" i="1"/>
  <c r="V1135" i="1"/>
  <c r="V1167" i="1"/>
  <c r="V897" i="1"/>
  <c r="V1086" i="1"/>
  <c r="V144" i="1"/>
  <c r="V148" i="1"/>
  <c r="V169" i="1"/>
  <c r="V175" i="1"/>
  <c r="V181" i="1"/>
  <c r="V298" i="1"/>
  <c r="V326" i="1"/>
  <c r="V336" i="1"/>
  <c r="V782" i="1"/>
  <c r="V32" i="1"/>
  <c r="V53" i="1"/>
  <c r="V134" i="1"/>
  <c r="V297" i="1"/>
  <c r="V306" i="1"/>
  <c r="V605" i="1"/>
  <c r="V610" i="1"/>
  <c r="V616" i="1"/>
  <c r="V621" i="1"/>
  <c r="V631" i="1"/>
  <c r="V681" i="1"/>
  <c r="V714" i="1"/>
  <c r="V729" i="1"/>
  <c r="V868" i="1"/>
  <c r="V904" i="1"/>
  <c r="V1195" i="1"/>
  <c r="V931" i="1"/>
  <c r="V933" i="1"/>
  <c r="V919" i="1"/>
  <c r="V970" i="1"/>
  <c r="V1053" i="1"/>
  <c r="J3003" i="33"/>
  <c r="J2999" i="33"/>
  <c r="P3029" i="33"/>
  <c r="P3028" i="33"/>
  <c r="P3031" i="33"/>
  <c r="P3030" i="33"/>
  <c r="J3041" i="33"/>
  <c r="J3042" i="33"/>
  <c r="J3046" i="33"/>
  <c r="J3043" i="33"/>
  <c r="P3052" i="33"/>
  <c r="P3053" i="33"/>
  <c r="I3189" i="33"/>
  <c r="I3188" i="33"/>
  <c r="I3203" i="33"/>
  <c r="I3205" i="33"/>
  <c r="K3271" i="33"/>
  <c r="K3273" i="33"/>
  <c r="K3267" i="33"/>
  <c r="K1294" i="33"/>
  <c r="K1293" i="33"/>
  <c r="P1335" i="33"/>
  <c r="P1334" i="33"/>
  <c r="P1332" i="33"/>
  <c r="J1356" i="33"/>
  <c r="J1355" i="33"/>
  <c r="I1466" i="33"/>
  <c r="I1465" i="33"/>
  <c r="K1468" i="33"/>
  <c r="K1472" i="33"/>
  <c r="K1971" i="33"/>
  <c r="K1972" i="33"/>
  <c r="I2073" i="33"/>
  <c r="I2072" i="33"/>
  <c r="K2529" i="33"/>
  <c r="K2530" i="33"/>
  <c r="K2522" i="33"/>
  <c r="K2526" i="33"/>
  <c r="J2601" i="33"/>
  <c r="J2599" i="33"/>
  <c r="J2819" i="33"/>
  <c r="J2817" i="33"/>
  <c r="P2868" i="33"/>
  <c r="P2867" i="33"/>
  <c r="V13" i="1"/>
  <c r="P1194" i="33"/>
  <c r="P1195" i="33"/>
  <c r="I1211" i="33"/>
  <c r="I1212" i="33"/>
  <c r="I1213" i="33"/>
  <c r="I1175" i="33"/>
  <c r="J2408" i="33"/>
  <c r="J2410" i="33"/>
  <c r="K2473" i="33"/>
  <c r="K2480" i="33"/>
  <c r="K2474" i="33"/>
  <c r="K2481" i="33"/>
  <c r="K2479" i="33"/>
  <c r="V505" i="1"/>
  <c r="J3494" i="33"/>
  <c r="J3492" i="33"/>
  <c r="P1152" i="33"/>
  <c r="P1157" i="33"/>
  <c r="J2290" i="33"/>
  <c r="J2289" i="33"/>
  <c r="V152" i="1"/>
  <c r="V179" i="1"/>
  <c r="V229" i="1"/>
  <c r="V234" i="1"/>
  <c r="V243" i="1"/>
  <c r="V248" i="1"/>
  <c r="V257" i="1"/>
  <c r="V267" i="1"/>
  <c r="V272" i="1"/>
  <c r="V436" i="1"/>
  <c r="V596" i="1"/>
  <c r="V656" i="1"/>
  <c r="V828" i="1"/>
  <c r="V953" i="1"/>
  <c r="P1689" i="33"/>
  <c r="P1688" i="33"/>
  <c r="P3424" i="33"/>
  <c r="P3426" i="33"/>
  <c r="V1294" i="1"/>
  <c r="V1336" i="1"/>
  <c r="V1396" i="1"/>
  <c r="I136" i="6"/>
  <c r="I133" i="6"/>
  <c r="I1621" i="33"/>
  <c r="I1622" i="33"/>
  <c r="J2237" i="33"/>
  <c r="J2241" i="33"/>
  <c r="K3365" i="33"/>
  <c r="K3366" i="33"/>
  <c r="I3371" i="33"/>
  <c r="I3370" i="33"/>
  <c r="K3380" i="33"/>
  <c r="K3379" i="33"/>
  <c r="V818" i="1"/>
  <c r="V1142" i="1"/>
  <c r="J155" i="6"/>
  <c r="I1938" i="33"/>
  <c r="I2119" i="33"/>
  <c r="P1765" i="33"/>
  <c r="J1783" i="33"/>
  <c r="I2850" i="33"/>
  <c r="K2825" i="33"/>
  <c r="I2808" i="33"/>
  <c r="V294" i="1"/>
  <c r="V434" i="1"/>
  <c r="V504" i="1"/>
  <c r="V651" i="1"/>
  <c r="V722" i="1"/>
  <c r="V231" i="1"/>
  <c r="V275" i="1"/>
  <c r="V5" i="1"/>
  <c r="V15" i="1"/>
  <c r="V20" i="1"/>
  <c r="V31" i="1"/>
  <c r="V779" i="1"/>
  <c r="V78" i="1"/>
  <c r="V85" i="1"/>
  <c r="V106" i="1"/>
  <c r="V155" i="1"/>
  <c r="V171" i="1"/>
  <c r="V183" i="1"/>
  <c r="V187" i="1"/>
  <c r="V230" i="1"/>
  <c r="V240" i="1"/>
  <c r="V279" i="1"/>
  <c r="V296" i="1"/>
  <c r="V370" i="1"/>
  <c r="V429" i="1"/>
  <c r="V431" i="1"/>
  <c r="V435" i="1"/>
  <c r="V448" i="1"/>
  <c r="V469" i="1"/>
  <c r="V495" i="1"/>
  <c r="V501" i="1"/>
  <c r="V551" i="1"/>
  <c r="V561" i="1"/>
  <c r="V594" i="1"/>
  <c r="V659" i="1"/>
  <c r="V669" i="1"/>
  <c r="V688" i="1"/>
  <c r="V792" i="1"/>
  <c r="V814" i="1"/>
  <c r="V802" i="1"/>
  <c r="V1358" i="1"/>
  <c r="V2" i="1"/>
  <c r="V862" i="1"/>
  <c r="V1168" i="1"/>
  <c r="V998" i="1"/>
  <c r="V1040" i="1"/>
  <c r="V117" i="1"/>
  <c r="V199" i="1"/>
  <c r="V204" i="1"/>
  <c r="V214" i="1"/>
  <c r="V218" i="1"/>
  <c r="V255" i="1"/>
  <c r="V260" i="1"/>
  <c r="V276" i="1"/>
  <c r="V284" i="1"/>
  <c r="V288" i="1"/>
  <c r="V292" i="1"/>
  <c r="V315" i="1"/>
  <c r="V327" i="1"/>
  <c r="V342" i="1"/>
  <c r="V558" i="1"/>
  <c r="V1371" i="1"/>
  <c r="V362" i="1"/>
  <c r="V366" i="1"/>
  <c r="V578" i="1"/>
  <c r="V590" i="1"/>
  <c r="V649" i="1"/>
  <c r="V725" i="1"/>
  <c r="V731" i="1"/>
  <c r="V734" i="1"/>
  <c r="V707" i="1"/>
  <c r="V895" i="1"/>
  <c r="V1068" i="1"/>
  <c r="V1204" i="1"/>
  <c r="V1603" i="1"/>
  <c r="V3" i="1"/>
  <c r="V18" i="1"/>
  <c r="V36" i="1"/>
  <c r="V94" i="1"/>
  <c r="V140" i="1"/>
  <c r="V890" i="1"/>
  <c r="V124" i="1"/>
  <c r="V139" i="1"/>
  <c r="V220" i="1"/>
  <c r="V295" i="1"/>
  <c r="V318" i="1"/>
  <c r="V695" i="1"/>
  <c r="V720" i="1"/>
  <c r="V698" i="1"/>
  <c r="V44" i="1"/>
  <c r="V60" i="1"/>
  <c r="V400" i="1"/>
  <c r="V417" i="1"/>
  <c r="V421" i="1"/>
  <c r="V432" i="1"/>
  <c r="V559" i="1"/>
  <c r="V586" i="1"/>
  <c r="V592" i="1"/>
  <c r="V635" i="1"/>
  <c r="V641" i="1"/>
  <c r="V647" i="1"/>
  <c r="V899" i="1"/>
  <c r="V9" i="1"/>
  <c r="V19" i="1"/>
  <c r="V41" i="1"/>
  <c r="V46" i="1"/>
  <c r="V52" i="1"/>
  <c r="V64" i="1"/>
  <c r="V69" i="1"/>
  <c r="V76" i="1"/>
  <c r="V82" i="1"/>
  <c r="V96" i="1"/>
  <c r="V98" i="1"/>
  <c r="V102" i="1"/>
  <c r="V104" i="1"/>
  <c r="V107" i="1"/>
  <c r="V110" i="1"/>
  <c r="V115" i="1"/>
  <c r="V128" i="1"/>
  <c r="V325" i="1"/>
  <c r="V351" i="1"/>
  <c r="V556" i="1"/>
  <c r="V646" i="1"/>
  <c r="V645" i="1"/>
  <c r="V691" i="1"/>
  <c r="V748" i="1"/>
  <c r="V775" i="1"/>
  <c r="I3195" i="33"/>
  <c r="J3192" i="33"/>
  <c r="P3194" i="33"/>
  <c r="V1415" i="1"/>
  <c r="I3109" i="33"/>
  <c r="I3110" i="33"/>
  <c r="K3110" i="33"/>
  <c r="P3109" i="33"/>
  <c r="I2886" i="33"/>
  <c r="K2886" i="33"/>
  <c r="I158" i="6"/>
  <c r="P158" i="6"/>
  <c r="K158" i="6"/>
  <c r="J2667" i="33"/>
  <c r="J2666" i="33"/>
  <c r="V23" i="1"/>
  <c r="V27" i="1"/>
  <c r="V40" i="1"/>
  <c r="V45" i="1"/>
  <c r="V51" i="1"/>
  <c r="V95" i="1"/>
  <c r="V126" i="1"/>
  <c r="V130" i="1"/>
  <c r="V133" i="1"/>
  <c r="V136" i="1"/>
  <c r="V154" i="1"/>
  <c r="V156" i="1"/>
  <c r="V172" i="1"/>
  <c r="V178" i="1"/>
  <c r="V184" i="1"/>
  <c r="V190" i="1"/>
  <c r="V209" i="1"/>
  <c r="V261" i="1"/>
  <c r="V293" i="1"/>
  <c r="V328" i="1"/>
  <c r="V343" i="1"/>
  <c r="V349" i="1"/>
  <c r="V354" i="1"/>
  <c r="I1853" i="33"/>
  <c r="I1854" i="33"/>
  <c r="V547" i="1"/>
  <c r="V633" i="1"/>
  <c r="V639" i="1"/>
  <c r="V650" i="1"/>
  <c r="V654" i="1"/>
  <c r="K1255" i="33"/>
  <c r="K1259" i="33"/>
  <c r="K2504" i="33"/>
  <c r="K2503" i="33"/>
  <c r="V544" i="1"/>
  <c r="V629" i="1"/>
  <c r="V675" i="1"/>
  <c r="V689" i="1"/>
  <c r="V723" i="1"/>
  <c r="V809" i="1"/>
  <c r="V883" i="1"/>
  <c r="V885" i="1"/>
  <c r="V920" i="1"/>
  <c r="V923" i="1"/>
  <c r="P2373" i="33"/>
  <c r="P2374" i="33"/>
  <c r="V58" i="1"/>
  <c r="V68" i="1"/>
  <c r="V92" i="1"/>
  <c r="V97" i="1"/>
  <c r="V120" i="1"/>
  <c r="V314" i="1"/>
  <c r="V346" i="1"/>
  <c r="V369" i="1"/>
  <c r="V372" i="1"/>
  <c r="V378" i="1"/>
  <c r="V384" i="1"/>
  <c r="V389" i="1"/>
  <c r="V405" i="1"/>
  <c r="V410" i="1"/>
  <c r="V415" i="1"/>
  <c r="V532" i="1"/>
  <c r="V628" i="1"/>
  <c r="V758" i="1"/>
  <c r="V768" i="1"/>
  <c r="V770" i="1"/>
  <c r="V777" i="1"/>
  <c r="V780" i="1"/>
  <c r="V789" i="1"/>
  <c r="V791" i="1"/>
  <c r="P3091" i="33"/>
  <c r="P3090" i="33"/>
  <c r="V116" i="1"/>
  <c r="V129" i="1"/>
  <c r="V160" i="1"/>
  <c r="V166" i="1"/>
  <c r="V359" i="1"/>
  <c r="V404" i="1"/>
  <c r="V483" i="1"/>
  <c r="V488" i="1"/>
  <c r="V604" i="1"/>
  <c r="V619" i="1"/>
  <c r="V671" i="1"/>
  <c r="V718" i="1"/>
  <c r="V728" i="1"/>
  <c r="V732" i="1"/>
  <c r="V762" i="1"/>
  <c r="V846" i="1"/>
  <c r="V803" i="1"/>
  <c r="V877" i="1"/>
  <c r="V819" i="1"/>
  <c r="J3030" i="33"/>
  <c r="J3031" i="33"/>
  <c r="V147" i="1"/>
  <c r="V168" i="1"/>
  <c r="V196" i="1"/>
  <c r="V206" i="1"/>
  <c r="V216" i="1"/>
  <c r="V235" i="1"/>
  <c r="V253" i="1"/>
  <c r="V273" i="1"/>
  <c r="V278" i="1"/>
  <c r="V282" i="1"/>
  <c r="V286" i="1"/>
  <c r="V290" i="1"/>
  <c r="V304" i="1"/>
  <c r="V307" i="1"/>
  <c r="V313" i="1"/>
  <c r="V324" i="1"/>
  <c r="V339" i="1"/>
  <c r="V350" i="1"/>
  <c r="V365" i="1"/>
  <c r="V373" i="1"/>
  <c r="V379" i="1"/>
  <c r="V385" i="1"/>
  <c r="V396" i="1"/>
  <c r="V546" i="1"/>
  <c r="V611" i="1"/>
  <c r="V658" i="1"/>
  <c r="V801" i="1"/>
  <c r="V808" i="1"/>
  <c r="V830" i="1"/>
  <c r="P3383" i="33"/>
  <c r="P3382" i="33"/>
  <c r="V6" i="1"/>
  <c r="V10" i="1"/>
  <c r="V25" i="1"/>
  <c r="V29" i="1"/>
  <c r="V34" i="1"/>
  <c r="V37" i="1"/>
  <c r="V43" i="1"/>
  <c r="V47" i="1"/>
  <c r="V59" i="1"/>
  <c r="V63" i="1"/>
  <c r="V81" i="1"/>
  <c r="V89" i="1"/>
  <c r="V105" i="1"/>
  <c r="V108" i="1"/>
  <c r="V114" i="1"/>
  <c r="V121" i="1"/>
  <c r="V125" i="1"/>
  <c r="V141" i="1"/>
  <c r="V145" i="1"/>
  <c r="V150" i="1"/>
  <c r="V356" i="1"/>
  <c r="V358" i="1"/>
  <c r="V376" i="1"/>
  <c r="V413" i="1"/>
  <c r="V437" i="1"/>
  <c r="V440" i="1"/>
  <c r="V449" i="1"/>
  <c r="V455" i="1"/>
  <c r="V457" i="1"/>
  <c r="V481" i="1"/>
  <c r="V486" i="1"/>
  <c r="V496" i="1"/>
  <c r="V515" i="1"/>
  <c r="V517" i="1"/>
  <c r="V533" i="1"/>
  <c r="V550" i="1"/>
  <c r="V567" i="1"/>
  <c r="V569" i="1"/>
  <c r="V575" i="1"/>
  <c r="V580" i="1"/>
  <c r="V585" i="1"/>
  <c r="V603" i="1"/>
  <c r="V607" i="1"/>
  <c r="V609" i="1"/>
  <c r="V615" i="1"/>
  <c r="V618" i="1"/>
  <c r="V620" i="1"/>
  <c r="V625" i="1"/>
  <c r="V666" i="1"/>
  <c r="V898" i="1"/>
  <c r="V1162" i="1"/>
  <c r="V11" i="1"/>
  <c r="V16" i="1"/>
  <c r="V38" i="1"/>
  <c r="V49" i="1"/>
  <c r="V93" i="1"/>
  <c r="V224" i="1"/>
  <c r="V303" i="1"/>
  <c r="V312" i="1"/>
  <c r="V323" i="1"/>
  <c r="V344" i="1"/>
  <c r="V391" i="1"/>
  <c r="V406" i="1"/>
  <c r="V411" i="1"/>
  <c r="V423" i="1"/>
  <c r="V439" i="1"/>
  <c r="V563" i="1"/>
  <c r="V591" i="1"/>
  <c r="V665" i="1"/>
  <c r="V692" i="1"/>
  <c r="V892" i="1"/>
  <c r="V924" i="1"/>
  <c r="V946" i="1"/>
  <c r="V938" i="1"/>
  <c r="V1201" i="1"/>
  <c r="V14" i="1"/>
  <c r="V90" i="1"/>
  <c r="V157" i="1"/>
  <c r="V159" i="1"/>
  <c r="V164" i="1"/>
  <c r="V170" i="1"/>
  <c r="V186" i="1"/>
  <c r="V194" i="1"/>
  <c r="V210" i="1"/>
  <c r="V726" i="1"/>
  <c r="V737" i="1"/>
  <c r="V683" i="1"/>
  <c r="V704" i="1"/>
  <c r="V816" i="1"/>
  <c r="V807" i="1"/>
  <c r="V1133" i="1"/>
  <c r="V889" i="1"/>
  <c r="J158" i="6"/>
  <c r="J159" i="6"/>
  <c r="V119" i="1"/>
  <c r="V138" i="1"/>
  <c r="V142" i="1"/>
  <c r="V258" i="1"/>
  <c r="V329" i="1"/>
  <c r="V402" i="1"/>
  <c r="V445" i="1"/>
  <c r="V478" i="1"/>
  <c r="V508" i="1"/>
  <c r="V632" i="1"/>
  <c r="V739" i="1"/>
  <c r="V661" i="1"/>
  <c r="V754" i="1"/>
  <c r="V101" i="1"/>
  <c r="V113" i="1"/>
  <c r="V135" i="1"/>
  <c r="V241" i="1"/>
  <c r="V352" i="1"/>
  <c r="V368" i="1"/>
  <c r="V371" i="1"/>
  <c r="V383" i="1"/>
  <c r="V388" i="1"/>
  <c r="V485" i="1"/>
  <c r="V530" i="1"/>
  <c r="V553" i="1"/>
  <c r="V687" i="1"/>
  <c r="V694" i="1"/>
  <c r="V48" i="1"/>
  <c r="V55" i="1"/>
  <c r="V111" i="1"/>
  <c r="V285" i="1"/>
  <c r="V450" i="1"/>
  <c r="V614" i="1"/>
  <c r="V643" i="1"/>
  <c r="V648" i="1"/>
  <c r="V657" i="1"/>
  <c r="V670" i="1"/>
  <c r="V555" i="1"/>
  <c r="V660" i="1"/>
  <c r="V805" i="1"/>
  <c r="V942" i="1"/>
  <c r="V67" i="1"/>
  <c r="V73" i="1"/>
  <c r="V80" i="1"/>
  <c r="V86" i="1"/>
  <c r="V91" i="1"/>
  <c r="V246" i="1"/>
  <c r="V249" i="1"/>
  <c r="V268" i="1"/>
  <c r="V270" i="1"/>
  <c r="V330" i="1"/>
  <c r="V337" i="1"/>
  <c r="V407" i="1"/>
  <c r="V409" i="1"/>
  <c r="V446" i="1"/>
  <c r="V454" i="1"/>
  <c r="V463" i="1"/>
  <c r="V465" i="1"/>
  <c r="V468" i="1"/>
  <c r="V473" i="1"/>
  <c r="V475" i="1"/>
  <c r="V520" i="1"/>
  <c r="V525" i="1"/>
  <c r="V589" i="1"/>
  <c r="V613" i="1"/>
  <c r="V1200" i="1"/>
  <c r="V1232" i="1"/>
  <c r="V1372" i="1"/>
  <c r="I159" i="6"/>
  <c r="V153" i="1"/>
  <c r="V162" i="1"/>
  <c r="V227" i="1"/>
  <c r="V254" i="1"/>
  <c r="V291" i="1"/>
  <c r="V340" i="1"/>
  <c r="V399" i="1"/>
  <c r="V426" i="1"/>
  <c r="V470" i="1"/>
  <c r="V491" i="1"/>
  <c r="V526" i="1"/>
  <c r="V529" i="1"/>
  <c r="V534" i="1"/>
  <c r="V537" i="1"/>
  <c r="V552" i="1"/>
  <c r="V557" i="1"/>
  <c r="V560" i="1"/>
  <c r="V573" i="1"/>
  <c r="V576" i="1"/>
  <c r="V581" i="1"/>
  <c r="V583" i="1"/>
  <c r="V587" i="1"/>
  <c r="V652" i="1"/>
  <c r="V674" i="1"/>
  <c r="V711" i="1"/>
  <c r="V706" i="1"/>
  <c r="V1071" i="1"/>
  <c r="V1134" i="1"/>
  <c r="V911" i="1"/>
  <c r="V882" i="1"/>
  <c r="V936" i="1"/>
  <c r="V879" i="1"/>
  <c r="V930" i="1"/>
  <c r="V1004" i="1"/>
  <c r="V967" i="1"/>
  <c r="V984" i="1"/>
  <c r="V986" i="1"/>
  <c r="V1018" i="1"/>
  <c r="V1055" i="1"/>
  <c r="V1041" i="1"/>
  <c r="V995" i="1"/>
  <c r="V1408" i="1"/>
  <c r="V1409" i="1"/>
  <c r="V1413" i="1"/>
  <c r="V1416" i="1"/>
  <c r="V975" i="1"/>
  <c r="K159" i="6"/>
  <c r="V961" i="1"/>
  <c r="V1051" i="1"/>
  <c r="P159" i="6"/>
  <c r="V978" i="1"/>
  <c r="V996" i="1"/>
  <c r="K77" i="7"/>
  <c r="K85" i="7"/>
  <c r="M34" i="7"/>
  <c r="I79" i="7"/>
  <c r="K79" i="7" s="1"/>
  <c r="B83" i="7"/>
  <c r="E83" i="7" s="1"/>
  <c r="L20" i="7"/>
  <c r="O20" i="7" s="1"/>
  <c r="H85" i="7"/>
  <c r="B95" i="7"/>
  <c r="E95" i="7" s="1"/>
  <c r="K74" i="7"/>
  <c r="K76" i="7"/>
  <c r="B102" i="7"/>
  <c r="E102" i="7" s="1"/>
  <c r="B96" i="7"/>
  <c r="E96" i="7" s="1"/>
  <c r="D82" i="7"/>
  <c r="H80" i="7"/>
  <c r="F65" i="7"/>
  <c r="L32" i="7"/>
  <c r="B71" i="7"/>
  <c r="K75" i="7"/>
  <c r="H81" i="7"/>
  <c r="B77" i="7"/>
  <c r="B104" i="7"/>
  <c r="E65" i="7"/>
  <c r="D100" i="7"/>
  <c r="E133" i="7" s="1"/>
  <c r="B76" i="7"/>
  <c r="L7" i="7"/>
  <c r="O7" i="7" s="1"/>
  <c r="C74" i="7"/>
  <c r="C86" i="7" s="1"/>
  <c r="L41" i="7"/>
  <c r="O41" i="7" s="1"/>
  <c r="B101" i="7"/>
  <c r="B99" i="7"/>
  <c r="H83" i="7"/>
  <c r="C105" i="7"/>
  <c r="H77" i="7"/>
  <c r="F86" i="7"/>
  <c r="L48" i="7"/>
  <c r="M54" i="7"/>
  <c r="I80" i="7"/>
  <c r="K80" i="7" s="1"/>
  <c r="I84" i="7"/>
  <c r="K84" i="7" s="1"/>
  <c r="D91" i="7"/>
  <c r="L60" i="7"/>
  <c r="B90" i="7"/>
  <c r="L37" i="7"/>
  <c r="D101" i="7"/>
  <c r="D65" i="7"/>
  <c r="M50" i="7"/>
  <c r="C65" i="7"/>
  <c r="D94" i="7"/>
  <c r="E127" i="7" s="1"/>
  <c r="L15" i="7"/>
  <c r="M29" i="7"/>
  <c r="L23" i="7"/>
  <c r="B92" i="7"/>
  <c r="E92" i="7" s="1"/>
  <c r="L28" i="7"/>
  <c r="L40" i="7"/>
  <c r="M46" i="7"/>
  <c r="G65" i="7"/>
  <c r="J3129" i="33"/>
  <c r="K2821" i="33"/>
  <c r="I1767" i="33"/>
  <c r="J3128" i="33"/>
  <c r="V4" i="1"/>
  <c r="V8" i="1"/>
  <c r="V62" i="1"/>
  <c r="V109" i="1"/>
  <c r="V182" i="1"/>
  <c r="V361" i="1"/>
  <c r="V419" i="1"/>
  <c r="V545" i="1"/>
  <c r="V548" i="1"/>
  <c r="V626" i="1"/>
  <c r="V753" i="1"/>
  <c r="V922" i="1"/>
  <c r="K1174" i="33"/>
  <c r="K1214" i="33"/>
  <c r="K2808" i="33"/>
  <c r="K2800" i="33"/>
  <c r="K2807" i="33"/>
  <c r="K3058" i="33"/>
  <c r="K3063" i="33"/>
  <c r="K2818" i="33"/>
  <c r="K2819" i="33"/>
  <c r="I2094" i="33"/>
  <c r="P1330" i="33"/>
  <c r="I1472" i="33"/>
  <c r="P2732" i="33"/>
  <c r="I149" i="6"/>
  <c r="I2944" i="33"/>
  <c r="K2654" i="33"/>
  <c r="I2092" i="33"/>
  <c r="I2090" i="33"/>
  <c r="I2838" i="33"/>
  <c r="J1284" i="33"/>
  <c r="I1470" i="33"/>
  <c r="J1286" i="33"/>
  <c r="P2532" i="33"/>
  <c r="J2736" i="33"/>
  <c r="I1765" i="33"/>
  <c r="J2656" i="33"/>
  <c r="I2834" i="33"/>
  <c r="V21" i="1"/>
  <c r="V50" i="1"/>
  <c r="V54" i="1"/>
  <c r="V57" i="1"/>
  <c r="V158" i="1"/>
  <c r="V161" i="1"/>
  <c r="V165" i="1"/>
  <c r="V201" i="1"/>
  <c r="V203" i="1"/>
  <c r="V212" i="1"/>
  <c r="V277" i="1"/>
  <c r="V289" i="1"/>
  <c r="V422" i="1"/>
  <c r="V844" i="1"/>
  <c r="V826" i="1"/>
  <c r="V1161" i="1"/>
  <c r="I2794" i="33"/>
  <c r="I2791" i="33"/>
  <c r="K3445" i="33"/>
  <c r="K3446" i="33"/>
  <c r="P1524" i="33"/>
  <c r="P1525" i="33"/>
  <c r="P2733" i="33"/>
  <c r="I1471" i="33"/>
  <c r="J1287" i="33"/>
  <c r="P2727" i="33"/>
  <c r="P2728" i="33"/>
  <c r="I2943" i="33"/>
  <c r="I1606" i="33"/>
  <c r="K3008" i="33"/>
  <c r="K1687" i="33"/>
  <c r="I1411" i="33"/>
  <c r="I1409" i="33"/>
  <c r="J1448" i="33"/>
  <c r="J1422" i="33"/>
  <c r="K1502" i="33"/>
  <c r="K1501" i="33"/>
  <c r="K1587" i="33"/>
  <c r="K1588" i="33"/>
  <c r="P2220" i="33"/>
  <c r="P2218" i="33"/>
  <c r="K2227" i="33"/>
  <c r="K2226" i="33"/>
  <c r="K2962" i="33"/>
  <c r="K2963" i="33"/>
  <c r="I2836" i="33"/>
  <c r="I1607" i="33"/>
  <c r="K3007" i="33"/>
  <c r="V42" i="1"/>
  <c r="V87" i="1"/>
  <c r="V476" i="1"/>
  <c r="V523" i="1"/>
  <c r="V527" i="1"/>
  <c r="V600" i="1"/>
  <c r="V634" i="1"/>
  <c r="V719" i="1"/>
  <c r="V727" i="1"/>
  <c r="V730" i="1"/>
  <c r="V901" i="1"/>
  <c r="V842" i="1"/>
  <c r="J2320" i="33"/>
  <c r="J2322" i="33"/>
  <c r="J2512" i="33"/>
  <c r="J2511" i="33"/>
  <c r="I2003" i="33"/>
  <c r="I2835" i="33"/>
  <c r="K1688" i="33"/>
  <c r="J1758" i="33"/>
  <c r="P1522" i="33"/>
  <c r="K2653" i="33"/>
  <c r="K2817" i="33"/>
  <c r="V35" i="1"/>
  <c r="V39" i="1"/>
  <c r="V149" i="1"/>
  <c r="V188" i="1"/>
  <c r="V237" i="1"/>
  <c r="V308" i="1"/>
  <c r="V332" i="1"/>
  <c r="V382" i="1"/>
  <c r="V395" i="1"/>
  <c r="V452" i="1"/>
  <c r="V509" i="1"/>
  <c r="V564" i="1"/>
  <c r="V595" i="1"/>
  <c r="V636" i="1"/>
  <c r="V638" i="1"/>
  <c r="V642" i="1"/>
  <c r="V644" i="1"/>
  <c r="V697" i="1"/>
  <c r="K2869" i="33"/>
  <c r="K2872" i="33"/>
  <c r="K3147" i="33"/>
  <c r="K3148" i="33"/>
  <c r="I3150" i="33"/>
  <c r="I3155" i="33"/>
  <c r="P3584" i="33"/>
  <c r="I2096" i="33"/>
  <c r="J2735" i="33"/>
  <c r="J1754" i="33"/>
  <c r="P1523" i="33"/>
  <c r="P1463" i="33"/>
  <c r="P1526" i="33"/>
  <c r="K2822" i="33"/>
  <c r="K2824" i="33"/>
  <c r="V75" i="1"/>
  <c r="V88" i="1"/>
  <c r="V262" i="1"/>
  <c r="V310" i="1"/>
  <c r="V338" i="1"/>
  <c r="V386" i="1"/>
  <c r="V502" i="1"/>
  <c r="V506" i="1"/>
  <c r="V574" i="1"/>
  <c r="V579" i="1"/>
  <c r="V601" i="1"/>
  <c r="V627" i="1"/>
  <c r="V630" i="1"/>
  <c r="I2473" i="33"/>
  <c r="I2468" i="33"/>
  <c r="P2729" i="33"/>
  <c r="J1756" i="33"/>
  <c r="P1462" i="33"/>
  <c r="K1603" i="33"/>
  <c r="K2820" i="33"/>
  <c r="V70" i="1"/>
  <c r="V84" i="1"/>
  <c r="V174" i="1"/>
  <c r="V180" i="1"/>
  <c r="V191" i="1"/>
  <c r="V217" i="1"/>
  <c r="V221" i="1"/>
  <c r="V226" i="1"/>
  <c r="V232" i="1"/>
  <c r="V299" i="1"/>
  <c r="V335" i="1"/>
  <c r="V377" i="1"/>
  <c r="V427" i="1"/>
  <c r="V493" i="1"/>
  <c r="V498" i="1"/>
  <c r="V512" i="1"/>
  <c r="V598" i="1"/>
  <c r="V624" i="1"/>
  <c r="V740" i="1"/>
  <c r="V760" i="1"/>
  <c r="V773" i="1"/>
  <c r="V1128" i="1"/>
  <c r="K1166" i="33"/>
  <c r="K1168" i="33"/>
  <c r="I1794" i="33"/>
  <c r="I1795" i="33"/>
  <c r="I1791" i="33"/>
  <c r="J2380" i="33"/>
  <c r="J2379" i="33"/>
  <c r="J2211" i="33"/>
  <c r="K1647" i="33"/>
  <c r="I2304" i="33"/>
  <c r="P2409" i="33"/>
  <c r="K2331" i="33"/>
  <c r="I2653" i="33"/>
  <c r="V28" i="1"/>
  <c r="V30" i="1"/>
  <c r="V33" i="1"/>
  <c r="V65" i="1"/>
  <c r="V72" i="1"/>
  <c r="V77" i="1"/>
  <c r="V79" i="1"/>
  <c r="V83" i="1"/>
  <c r="V143" i="1"/>
  <c r="V151" i="1"/>
  <c r="V200" i="1"/>
  <c r="V244" i="1"/>
  <c r="V259" i="1"/>
  <c r="V322" i="1"/>
  <c r="V397" i="1"/>
  <c r="V412" i="1"/>
  <c r="V416" i="1"/>
  <c r="V418" i="1"/>
  <c r="V461" i="1"/>
  <c r="V472" i="1"/>
  <c r="V474" i="1"/>
  <c r="V528" i="1"/>
  <c r="V535" i="1"/>
  <c r="V623" i="1"/>
  <c r="V653" i="1"/>
  <c r="V677" i="1"/>
  <c r="V679" i="1"/>
  <c r="V784" i="1"/>
  <c r="V815" i="1"/>
  <c r="V1117" i="1"/>
  <c r="V947" i="1"/>
  <c r="V951" i="1"/>
  <c r="V1239" i="1"/>
  <c r="V1007" i="1"/>
  <c r="V1019" i="1"/>
  <c r="V1042" i="1"/>
  <c r="V672" i="1"/>
  <c r="V721" i="1"/>
  <c r="V763" i="1"/>
  <c r="V745" i="1"/>
  <c r="V749" i="1"/>
  <c r="V843" i="1"/>
  <c r="V820" i="1"/>
  <c r="V1082" i="1"/>
  <c r="V1083" i="1"/>
  <c r="V1166" i="1"/>
  <c r="V940" i="1"/>
  <c r="V915" i="1"/>
  <c r="V917" i="1"/>
  <c r="V990" i="1"/>
  <c r="V979" i="1"/>
  <c r="V981" i="1"/>
  <c r="V705" i="1"/>
  <c r="V733" i="1"/>
  <c r="V743" i="1"/>
  <c r="V785" i="1"/>
  <c r="V796" i="1"/>
  <c r="V858" i="1"/>
  <c r="V850" i="1"/>
  <c r="V853" i="1"/>
  <c r="V948" i="1"/>
  <c r="V908" i="1"/>
  <c r="V932" i="1"/>
  <c r="V1119" i="1"/>
  <c r="V987" i="1"/>
  <c r="V812" i="1"/>
  <c r="V928" i="1"/>
  <c r="V929" i="1"/>
  <c r="V857" i="1"/>
  <c r="V1601" i="1"/>
  <c r="V982" i="1"/>
  <c r="V1002" i="1"/>
  <c r="E154" i="7" l="1"/>
  <c r="F154" i="7" s="1"/>
  <c r="E174" i="7"/>
  <c r="G174" i="7" s="1"/>
  <c r="J174" i="7" s="1"/>
  <c r="E170" i="7"/>
  <c r="G170" i="7" s="1"/>
  <c r="J170" i="7" s="1"/>
  <c r="I123" i="7"/>
  <c r="I138" i="7" s="1"/>
  <c r="E173" i="7"/>
  <c r="G173" i="7" s="1"/>
  <c r="J173" i="7" s="1"/>
  <c r="B123" i="7"/>
  <c r="P187" i="36"/>
  <c r="M187" i="36"/>
  <c r="E160" i="7"/>
  <c r="F160" i="7" s="1"/>
  <c r="G117" i="7"/>
  <c r="G121" i="7" s="1"/>
  <c r="E172" i="7"/>
  <c r="G172" i="7" s="1"/>
  <c r="J172" i="7" s="1"/>
  <c r="E171" i="7"/>
  <c r="G171" i="7" s="1"/>
  <c r="J171" i="7" s="1"/>
  <c r="E159" i="7"/>
  <c r="F159" i="7" s="1"/>
  <c r="E155" i="7"/>
  <c r="F155" i="7" s="1"/>
  <c r="E152" i="7"/>
  <c r="F152" i="7" s="1"/>
  <c r="E146" i="7"/>
  <c r="E156" i="7"/>
  <c r="F156" i="7" s="1"/>
  <c r="E157" i="7"/>
  <c r="F157" i="7" s="1"/>
  <c r="E158" i="7"/>
  <c r="F158" i="7" s="1"/>
  <c r="E149" i="7"/>
  <c r="F149" i="7" s="1"/>
  <c r="E147" i="7"/>
  <c r="F147" i="7" s="1"/>
  <c r="E151" i="7"/>
  <c r="F151" i="7" s="1"/>
  <c r="E150" i="7"/>
  <c r="F150" i="7" s="1"/>
  <c r="E148" i="7"/>
  <c r="F148" i="7" s="1"/>
  <c r="E121" i="7"/>
  <c r="F121" i="7"/>
  <c r="N561" i="6"/>
  <c r="N571" i="6"/>
  <c r="H121" i="7"/>
  <c r="N573" i="6"/>
  <c r="K574" i="6"/>
  <c r="G124" i="7"/>
  <c r="G123" i="7"/>
  <c r="J9" i="7"/>
  <c r="G72" i="7" s="1"/>
  <c r="H72" i="7" s="1"/>
  <c r="H124" i="7"/>
  <c r="N62" i="7"/>
  <c r="L63" i="7" s="1"/>
  <c r="L106" i="7" s="1"/>
  <c r="L4" i="7"/>
  <c r="O4" i="7" s="1"/>
  <c r="L12" i="7"/>
  <c r="O12" i="7" s="1"/>
  <c r="O3" i="7"/>
  <c r="E134" i="7"/>
  <c r="E124" i="7"/>
  <c r="B124" i="7"/>
  <c r="C138" i="7"/>
  <c r="B130" i="7"/>
  <c r="L130" i="7" s="1"/>
  <c r="B126" i="7"/>
  <c r="L126" i="7" s="1"/>
  <c r="B134" i="7"/>
  <c r="E73" i="7"/>
  <c r="B125" i="7"/>
  <c r="M94" i="7" s="1"/>
  <c r="M25" i="7"/>
  <c r="M21" i="7"/>
  <c r="H65" i="7"/>
  <c r="L8" i="7"/>
  <c r="O8" i="7" s="1"/>
  <c r="E72" i="7"/>
  <c r="M17" i="7"/>
  <c r="E78" i="7"/>
  <c r="B127" i="7"/>
  <c r="L127" i="7" s="1"/>
  <c r="N50" i="7"/>
  <c r="B131" i="7"/>
  <c r="L131" i="7" s="1"/>
  <c r="E94" i="7"/>
  <c r="J86" i="7"/>
  <c r="E93" i="7"/>
  <c r="I65" i="7"/>
  <c r="E79" i="7"/>
  <c r="N46" i="7"/>
  <c r="L47" i="7" s="1"/>
  <c r="L102" i="7" s="1"/>
  <c r="K71" i="7"/>
  <c r="K86" i="7" s="1"/>
  <c r="E97" i="7"/>
  <c r="N34" i="7"/>
  <c r="L35" i="7" s="1"/>
  <c r="E100" i="7"/>
  <c r="B133" i="7"/>
  <c r="L133" i="7" s="1"/>
  <c r="E84" i="7"/>
  <c r="B128" i="7"/>
  <c r="L128" i="7" s="1"/>
  <c r="N42" i="7"/>
  <c r="L43" i="7" s="1"/>
  <c r="L101" i="7" s="1"/>
  <c r="B129" i="7"/>
  <c r="L129" i="7" s="1"/>
  <c r="O45" i="7"/>
  <c r="E77" i="7"/>
  <c r="M83" i="7"/>
  <c r="E91" i="7"/>
  <c r="E76" i="7"/>
  <c r="B135" i="7"/>
  <c r="L135" i="7" s="1"/>
  <c r="B132" i="7"/>
  <c r="L132" i="7" s="1"/>
  <c r="O32" i="7"/>
  <c r="E75" i="7"/>
  <c r="N58" i="7"/>
  <c r="B136" i="7"/>
  <c r="L136" i="7" s="1"/>
  <c r="N38" i="7"/>
  <c r="L39" i="7" s="1"/>
  <c r="L100" i="7" s="1"/>
  <c r="M85" i="7"/>
  <c r="N21" i="7"/>
  <c r="D86" i="7"/>
  <c r="E82" i="7"/>
  <c r="O37" i="7"/>
  <c r="E104" i="7"/>
  <c r="E74" i="7"/>
  <c r="D66" i="7"/>
  <c r="B137" i="7"/>
  <c r="L137" i="7" s="1"/>
  <c r="M80" i="7"/>
  <c r="E99" i="7"/>
  <c r="N54" i="7"/>
  <c r="L55" i="7" s="1"/>
  <c r="L104" i="7" s="1"/>
  <c r="M81" i="7"/>
  <c r="O40" i="7"/>
  <c r="B86" i="7"/>
  <c r="E71" i="7"/>
  <c r="O60" i="7"/>
  <c r="I86" i="7"/>
  <c r="O15" i="7"/>
  <c r="N17" i="7"/>
  <c r="E101" i="7"/>
  <c r="N29" i="7"/>
  <c r="L30" i="7" s="1"/>
  <c r="L98" i="7" s="1"/>
  <c r="O28" i="7"/>
  <c r="N25" i="7"/>
  <c r="O23" i="7"/>
  <c r="D105" i="7"/>
  <c r="E90" i="7"/>
  <c r="B105" i="7"/>
  <c r="O48" i="7"/>
  <c r="J5" i="7" l="1"/>
  <c r="G71" i="7" s="1"/>
  <c r="H71" i="7" s="1"/>
  <c r="H125" i="7"/>
  <c r="F175" i="7"/>
  <c r="G175" i="7"/>
  <c r="E161" i="7"/>
  <c r="F146" i="7"/>
  <c r="F161" i="7" s="1"/>
  <c r="J121" i="7"/>
  <c r="H123" i="7"/>
  <c r="L134" i="7"/>
  <c r="J13" i="7"/>
  <c r="G73" i="7" s="1"/>
  <c r="H73" i="7" s="1"/>
  <c r="N574" i="6"/>
  <c r="G125" i="7"/>
  <c r="L124" i="7"/>
  <c r="N13" i="7"/>
  <c r="M9" i="7"/>
  <c r="M103" i="7"/>
  <c r="N5" i="7"/>
  <c r="M93" i="7"/>
  <c r="M106" i="7"/>
  <c r="M102" i="7"/>
  <c r="M100" i="7"/>
  <c r="M105" i="7"/>
  <c r="M96" i="7"/>
  <c r="M97" i="7"/>
  <c r="M92" i="7"/>
  <c r="L51" i="7"/>
  <c r="L103" i="7" s="1"/>
  <c r="M99" i="7"/>
  <c r="M98" i="7"/>
  <c r="L59" i="7"/>
  <c r="L105" i="7" s="1"/>
  <c r="M104" i="7"/>
  <c r="M101" i="7"/>
  <c r="M95" i="7"/>
  <c r="E138" i="7"/>
  <c r="B107" i="7"/>
  <c r="M78" i="7"/>
  <c r="M76" i="7"/>
  <c r="M72" i="7"/>
  <c r="M74" i="7"/>
  <c r="M84" i="7"/>
  <c r="M79" i="7"/>
  <c r="M75" i="7"/>
  <c r="M77" i="7"/>
  <c r="M82" i="7"/>
  <c r="L22" i="7"/>
  <c r="L96" i="7" s="1"/>
  <c r="L26" i="7"/>
  <c r="L97" i="7" s="1"/>
  <c r="N9" i="7"/>
  <c r="L18" i="7"/>
  <c r="L95" i="7" s="1"/>
  <c r="L99" i="7"/>
  <c r="E86" i="7"/>
  <c r="O66" i="7"/>
  <c r="E105" i="7"/>
  <c r="B138" i="7"/>
  <c r="L125" i="7" l="1"/>
  <c r="H138" i="7"/>
  <c r="H86" i="7"/>
  <c r="M5" i="7"/>
  <c r="L6" i="7" s="1"/>
  <c r="L92" i="7" s="1"/>
  <c r="M71" i="7"/>
  <c r="L123" i="7"/>
  <c r="M73" i="7"/>
  <c r="J65" i="7"/>
  <c r="I66" i="7" s="1"/>
  <c r="G86" i="7"/>
  <c r="D107" i="7" s="1"/>
  <c r="M13" i="7"/>
  <c r="L14" i="7" s="1"/>
  <c r="L94" i="7" s="1"/>
  <c r="G138" i="7"/>
  <c r="L10" i="7"/>
  <c r="L93" i="7" s="1"/>
  <c r="M107" i="7"/>
  <c r="E107" i="7"/>
  <c r="N65" i="7"/>
  <c r="L138" i="7" l="1"/>
  <c r="I140" i="7"/>
  <c r="M65" i="7"/>
  <c r="L65" i="7"/>
  <c r="L107" i="7"/>
  <c r="L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  <author>FayWang</author>
  </authors>
  <commentList>
    <comment ref="I2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货Y44467</t>
        </r>
      </text>
    </comment>
    <comment ref="I7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货Y44465</t>
        </r>
      </text>
    </comment>
    <comment ref="I23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Y48172</t>
        </r>
      </text>
    </comment>
    <comment ref="E39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用47% 折扣,深台109319</t>
        </r>
      </text>
    </comment>
    <comment ref="R40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End user:新佰浚</t>
        </r>
      </text>
    </comment>
    <comment ref="K42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3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6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7" authorId="0" shapeId="0" xr:uid="{00000000-0006-0000-0100-00000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48" authorId="0" shapeId="0" xr:uid="{00000000-0006-0000-0100-00000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49" authorId="0" shapeId="0" xr:uid="{00000000-0006-0000-0100-00000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52" authorId="0" shapeId="0" xr:uid="{00000000-0006-0000-0100-00000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2019-4-17转CY仓库</t>
        </r>
      </text>
    </comment>
    <comment ref="K53" authorId="0" shapeId="0" xr:uid="{00000000-0006-0000-0100-00000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54" authorId="0" shapeId="0" xr:uid="{00000000-0006-0000-0100-00000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I57" authorId="0" shapeId="0" xr:uid="{00000000-0006-0000-0100-00000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含吸嘴</t>
        </r>
      </text>
    </comment>
    <comment ref="H62" authorId="0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相机已经拆除</t>
        </r>
      </text>
    </comment>
    <comment ref="H63" authorId="0" shapeId="0" xr:uid="{00000000-0006-0000-0100-00001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相机以己经拆除</t>
        </r>
      </text>
    </comment>
    <comment ref="K64" authorId="0" shapeId="0" xr:uid="{00000000-0006-0000-0100-00001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5" authorId="0" shapeId="0" xr:uid="{00000000-0006-0000-0100-00001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66" authorId="0" shapeId="0" xr:uid="{00000000-0006-0000-0100-00001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67" authorId="0" shapeId="0" xr:uid="{00000000-0006-0000-0100-00001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8" authorId="0" shapeId="0" xr:uid="{00000000-0006-0000-0100-00001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69" authorId="0" shapeId="0" xr:uid="{00000000-0006-0000-0100-00001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I73" authorId="0" shapeId="0" xr:uid="{00000000-0006-0000-0100-00001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到时候系统pick 货，pick Y45171,因为格美通调货，导致系统pick 错了序列号Y45169</t>
        </r>
      </text>
    </comment>
    <comment ref="K83" authorId="0" shapeId="0" xr:uid="{00000000-0006-0000-0100-00001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2019-6-5拖CY</t>
        </r>
      </text>
    </comment>
    <comment ref="K84" authorId="0" shapeId="0" xr:uid="{00000000-0006-0000-0100-00001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2019-6-10从福保拖CY
2019-6-11 清关到力合</t>
        </r>
      </text>
    </comment>
    <comment ref="K86" authorId="0" shapeId="0" xr:uid="{00000000-0006-0000-0100-00001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2" authorId="0" shapeId="0" xr:uid="{00000000-0006-0000-0100-00001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97" authorId="0" shapeId="0" xr:uid="{00000000-0006-0000-0100-00001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2019-3-25从盐保到CY</t>
        </r>
      </text>
    </comment>
    <comment ref="K108" authorId="0" shapeId="0" xr:uid="{00000000-0006-0000-0100-00001E000000}">
      <text>
        <r>
          <rPr>
            <b/>
            <sz val="9"/>
            <color indexed="81"/>
            <rFont val="宋体"/>
            <family val="3"/>
            <charset val="134"/>
          </rPr>
          <t>SMT:
2019.4.3拖CY</t>
        </r>
      </text>
    </comment>
    <comment ref="K120" authorId="0" shapeId="0" xr:uid="{00000000-0006-0000-0100-00001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I121" authorId="0" shapeId="0" xr:uid="{00000000-0006-0000-0100-00002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飞达平台已经清关深圳仓库。做OEF用109263价格。</t>
        </r>
      </text>
    </comment>
    <comment ref="I126" authorId="0" shapeId="0" xr:uid="{00000000-0006-0000-0100-00002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不可调动机器</t>
        </r>
      </text>
    </comment>
    <comment ref="K127" authorId="0" shapeId="0" xr:uid="{00000000-0006-0000-0100-00002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28" authorId="0" shapeId="0" xr:uid="{00000000-0006-0000-0100-00002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2019.4.3拖CY</t>
        </r>
      </text>
    </comment>
    <comment ref="K134" authorId="0" shapeId="0" xr:uid="{00000000-0006-0000-0100-00002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35" authorId="0" shapeId="0" xr:uid="{00000000-0006-0000-0100-00002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6" authorId="0" shapeId="0" xr:uid="{00000000-0006-0000-0100-00002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2019-4-12拖CY</t>
        </r>
      </text>
    </comment>
    <comment ref="K137" authorId="0" shapeId="0" xr:uid="{00000000-0006-0000-0100-00002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49" authorId="0" shapeId="0" xr:uid="{00000000-0006-0000-0100-00002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2019-5-9拖CY</t>
        </r>
      </text>
    </comment>
    <comment ref="K150" authorId="0" shapeId="0" xr:uid="{00000000-0006-0000-0100-00002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1" authorId="0" shapeId="0" xr:uid="{00000000-0006-0000-0100-00002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2019-4-17转CY仓库</t>
        </r>
      </text>
    </comment>
    <comment ref="K152" authorId="0" shapeId="0" xr:uid="{00000000-0006-0000-0100-00002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2019-5-23拖CY</t>
        </r>
      </text>
    </comment>
    <comment ref="K159" authorId="0" shapeId="0" xr:uid="{00000000-0006-0000-0100-00002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63" authorId="0" shapeId="0" xr:uid="{00000000-0006-0000-0100-00002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4" authorId="0" shapeId="0" xr:uid="{00000000-0006-0000-0100-00002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165" authorId="0" shapeId="0" xr:uid="{00000000-0006-0000-0100-00002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66" authorId="0" shapeId="0" xr:uid="{00000000-0006-0000-0100-00003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2019-6-26从盐保清关到力合仓库</t>
        </r>
      </text>
    </comment>
    <comment ref="K175" authorId="0" shapeId="0" xr:uid="{00000000-0006-0000-0100-00003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2019-6-10拖CY</t>
        </r>
      </text>
    </comment>
    <comment ref="K176" authorId="0" shapeId="0" xr:uid="{00000000-0006-0000-0100-00003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I177" authorId="0" shapeId="0" xr:uid="{00000000-0006-0000-0100-00003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做OEF用PO#109247,价格，</t>
        </r>
      </text>
    </comment>
    <comment ref="K182" authorId="0" shapeId="0" xr:uid="{00000000-0006-0000-0100-00003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K185" authorId="0" shapeId="0" xr:uid="{00000000-0006-0000-0100-00003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2019-6-26从盐保清关到力合仓库</t>
        </r>
      </text>
    </comment>
    <comment ref="K197" authorId="0" shapeId="0" xr:uid="{00000000-0006-0000-0100-00003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2019-6-5清关</t>
        </r>
      </text>
    </comment>
    <comment ref="K198" authorId="0" shapeId="0" xr:uid="{00000000-0006-0000-0100-00003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2019-6-10拖CY</t>
        </r>
      </text>
    </comment>
    <comment ref="K199" authorId="0" shapeId="0" xr:uid="{00000000-0006-0000-0100-00003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I200" authorId="0" shapeId="0" xr:uid="{00000000-0006-0000-0100-00003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货Y44963</t>
        </r>
      </text>
    </comment>
    <comment ref="K201" authorId="0" shapeId="0" xr:uid="{00000000-0006-0000-0100-00003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2019-8-21清关</t>
        </r>
      </text>
    </comment>
    <comment ref="K202" authorId="0" shapeId="0" xr:uid="{00000000-0006-0000-0100-00003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2019-8-22清关</t>
        </r>
      </text>
    </comment>
    <comment ref="C205" authorId="0" shapeId="0" xr:uid="{00000000-0006-0000-0100-00003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卸吸嘴</t>
        </r>
      </text>
    </comment>
    <comment ref="C206" authorId="0" shapeId="0" xr:uid="{00000000-0006-0000-0100-00003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吸嘴</t>
        </r>
      </text>
    </comment>
    <comment ref="I213" authorId="0" shapeId="0" xr:uid="{00000000-0006-0000-0100-00003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此台机器运输过程中，有碰撞。
</t>
        </r>
      </text>
    </comment>
    <comment ref="K214" authorId="0" shapeId="0" xr:uid="{00000000-0006-0000-0100-00003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2019-8-7 清关</t>
        </r>
      </text>
    </comment>
    <comment ref="I215" authorId="0" shapeId="0" xr:uid="{00000000-0006-0000-0100-00004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看看吸嘴是否有多10pcs,因为Y 48499,Y 48504 各少10个</t>
        </r>
      </text>
    </comment>
    <comment ref="I223" authorId="0" shapeId="0" xr:uid="{00000000-0006-0000-0100-00004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看看吸嘴是否有多10pcs,因为Y 48499,Y 48504 各少10个</t>
        </r>
      </text>
    </comment>
    <comment ref="M227" authorId="0" shapeId="0" xr:uid="{00000000-0006-0000-0100-00004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1.Based project 用公司Nov.11,2019 book rate PO#09705 2.系统0.0647， PO#109602</t>
        </r>
      </text>
    </comment>
    <comment ref="M244" authorId="0" shapeId="0" xr:uid="{00000000-0006-0000-0100-00004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系统：PO#109587 Y48462
OEF:PO#109714Y49831</t>
        </r>
      </text>
    </comment>
    <comment ref="I260" authorId="0" shapeId="0" xr:uid="{00000000-0006-0000-0100-000044000000}">
      <text>
        <r>
          <rPr>
            <b/>
            <sz val="9"/>
            <color indexed="81"/>
            <rFont val="宋体"/>
            <family val="3"/>
            <charset val="134"/>
          </rPr>
          <t>SMT:
OEF 用109686价格，汇率为0.0671</t>
        </r>
      </text>
    </comment>
    <comment ref="M260" authorId="0" shapeId="0" xr:uid="{00000000-0006-0000-0100-00004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PO#109686,由于上海调了机器，所以OEF时候，用PO#109686汇率是0.0671
</t>
        </r>
      </text>
    </comment>
    <comment ref="I264" authorId="0" shapeId="0" xr:uid="{00000000-0006-0000-0100-00004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 ,O49 Y49191</t>
        </r>
      </text>
    </comment>
    <comment ref="I267" authorId="0" shapeId="0" xr:uid="{00000000-0006-0000-0100-00004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系统实际pickY49190</t>
        </r>
      </text>
    </comment>
    <comment ref="I272" authorId="0" shapeId="0" xr:uid="{00000000-0006-0000-0100-00004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
OEF用10925价格，汇率用0.0648
</t>
        </r>
      </text>
    </comment>
    <comment ref="M272" authorId="0" shapeId="0" xr:uid="{00000000-0006-0000-01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PO#109625,由于上海调了机器，所以OEF时候，用PO#109625汇率是0.0648</t>
        </r>
      </text>
    </comment>
    <comment ref="R272" authorId="0" shapeId="0" xr:uid="{00000000-0006-0000-01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要仿制Yamaha 料车</t>
        </r>
      </text>
    </comment>
    <comment ref="I274" authorId="0" shapeId="0" xr:uid="{00000000-0006-0000-01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 13</t>
        </r>
      </text>
    </comment>
    <comment ref="I275" authorId="0" shapeId="0" xr:uid="{00000000-0006-0000-01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Manual 放在CN13</t>
        </r>
      </text>
    </comment>
    <comment ref="I276" authorId="0" shapeId="0" xr:uid="{00000000-0006-0000-01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当时思迈退还机器的。此机器需要等外壳维修，</t>
        </r>
      </text>
    </comment>
    <comment ref="I280" authorId="0" shapeId="0" xr:uid="{00000000-0006-0000-01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
based prject:109721:汇率0.0657</t>
        </r>
      </text>
    </comment>
    <comment ref="I282" authorId="0" shapeId="0" xr:uid="{00000000-0006-0000-0100-00004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Y49698</t>
        </r>
      </text>
    </comment>
    <comment ref="I283" authorId="0" shapeId="0" xr:uid="{00000000-0006-0000-0100-00005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Y49699</t>
        </r>
      </text>
    </comment>
    <comment ref="I284" authorId="0" shapeId="0" xr:uid="{00000000-0006-0000-0100-00005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project:PO#109730,汇率0.0653 Y49700</t>
        </r>
      </text>
    </comment>
    <comment ref="M285" authorId="0" shapeId="0" xr:uid="{00000000-0006-0000-0100-00005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做两张OEF,
based project 0.0647  PO#109602</t>
        </r>
      </text>
    </comment>
    <comment ref="I299" authorId="0" shapeId="0" xr:uid="{00000000-0006-0000-0100-00005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做两张OEF.
Based project:PO#109664,汇率0.0672</t>
        </r>
      </text>
    </comment>
    <comment ref="I306" authorId="0" shapeId="0" xr:uid="{00000000-0006-0000-0100-00005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PO#109749，Y49839,
发货PO#109730 Y49694</t>
        </r>
      </text>
    </comment>
    <comment ref="I307" authorId="0" shapeId="0" xr:uid="{00000000-0006-0000-0100-00005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2、实际走货Y49700，pick PO#109750 Y49848</t>
        </r>
      </text>
    </comment>
    <comment ref="I311" authorId="0" shapeId="0" xr:uid="{00000000-0006-0000-0100-00005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2" authorId="0" shapeId="0" xr:uid="{00000000-0006-0000-0100-00005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做两张OEF.
Based project:PO#109705,汇率No mismatche</t>
        </r>
      </text>
    </comment>
    <comment ref="I314" authorId="0" shapeId="0" xr:uid="{00000000-0006-0000-0100-00005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 序列号Y49990</t>
        </r>
      </text>
    </comment>
    <comment ref="I316" authorId="0" shapeId="0" xr:uid="{00000000-0006-0000-0100-00005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Y49260</t>
        </r>
      </text>
    </comment>
    <comment ref="I317" authorId="0" shapeId="0" xr:uid="{00000000-0006-0000-0100-00005A000000}">
      <text>
        <r>
          <rPr>
            <b/>
            <sz val="9"/>
            <color indexed="81"/>
            <rFont val="宋体"/>
            <family val="3"/>
            <charset val="134"/>
          </rPr>
          <t xml:space="preserve">
实际送货Y49849，系统实际pick PO#109774 Y50067</t>
        </r>
      </text>
    </comment>
    <comment ref="I318" authorId="0" shapeId="0" xr:uid="{00000000-0006-0000-0100-00005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系统RMAY49694，
实际pickPO#109730 Y49694.
实际发货PO#109749 Y49839</t>
        </r>
      </text>
    </comment>
    <comment ref="I319" authorId="0" shapeId="0" xr:uid="{00000000-0006-0000-0100-00005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pickPO#109815 序列号Y50773
1、系统，109815，Y50773
2、BASED PROJECT，109820，</t>
        </r>
      </text>
    </comment>
    <comment ref="I321" authorId="0" shapeId="0" xr:uid="{00000000-0006-0000-0100-00005D000000}">
      <text>
        <r>
          <rPr>
            <b/>
            <sz val="9"/>
            <color indexed="81"/>
            <rFont val="宋体"/>
            <family val="3"/>
            <charset val="134"/>
          </rPr>
          <t>SMT:
实际送货Y49848，系统实际pick PO#109750 Y49849</t>
        </r>
      </text>
    </comment>
    <comment ref="M346" authorId="0" shapeId="0" xr:uid="{00000000-0006-0000-0100-00005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系统：109762，
based,109783,Y50619</t>
        </r>
      </text>
    </comment>
    <comment ref="I350" authorId="0" shapeId="0" xr:uid="{00000000-0006-0000-0100-00005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1.实际RMA Y49700
2.实际送货Y50067，系统实际pick PO#109730 Y49700
3、做两张OEF，系统PO#109730 NM，based PROJECT PO# 109705 NM  Y49363</t>
        </r>
      </text>
    </comment>
    <comment ref="I355" authorId="0" shapeId="0" xr:uid="{00000000-0006-0000-0100-00006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货Y50757</t>
        </r>
      </text>
    </comment>
    <comment ref="M355" authorId="0" shapeId="0" xr:uid="{00000000-0006-0000-0100-00006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是一致，PO#109816，Y50757. 最后发货是Y50071</t>
        </r>
      </text>
    </comment>
    <comment ref="I365" authorId="0" shapeId="0" xr:uid="{00000000-0006-0000-0100-00006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用PO 109587 Y48462</t>
        </r>
      </text>
    </comment>
    <comment ref="M365" authorId="0" shapeId="0" xr:uid="{00000000-0006-0000-0100-00006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系统：PO#109714 Y49831
OEF:PO#Y50620</t>
        </r>
      </text>
    </comment>
    <comment ref="I366" authorId="0" shapeId="0" xr:uid="{00000000-0006-0000-0100-00006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pickPO#109723 序列号Y49759</t>
        </r>
      </text>
    </comment>
    <comment ref="I377" authorId="0" shapeId="0" xr:uid="{00000000-0006-0000-0100-00006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货Y50849 PO#109855</t>
        </r>
      </text>
    </comment>
    <comment ref="M377" authorId="0" shapeId="0" xr:uid="{00000000-0006-0000-0100-00006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1、实际发货Y50755
2、系统pick 货Y50849
OEF和系统一致得</t>
        </r>
      </text>
    </comment>
    <comment ref="I383" authorId="0" shapeId="0" xr:uid="{00000000-0006-0000-0100-00006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 PO#109856 Y51294</t>
        </r>
      </text>
    </comment>
    <comment ref="M383" authorId="0" shapeId="0" xr:uid="{00000000-0006-0000-0100-00006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OEF PO#109856 Y51294
OEF和系统一致</t>
        </r>
      </text>
    </comment>
    <comment ref="H384" authorId="0" shapeId="0" xr:uid="{00000000-0006-0000-0100-00006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海星报关时候，系统不体现YSM20相机，之前已经系统做了</t>
        </r>
      </text>
    </comment>
    <comment ref="I385" authorId="0" shapeId="0" xr:uid="{00000000-0006-0000-0100-00006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Y49634</t>
        </r>
      </text>
    </comment>
    <comment ref="M385" authorId="0" shapeId="0" xr:uid="{00000000-0006-0000-0100-00006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价格，49F103362，Y49634 rate 0.0658
2、based project 109762,Y49992  rate 0.0654</t>
        </r>
      </text>
    </comment>
    <comment ref="I386" authorId="0" shapeId="0" xr:uid="{00000000-0006-0000-0100-00006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Y49635</t>
        </r>
      </text>
    </comment>
    <comment ref="M386" authorId="0" shapeId="0" xr:uid="{00000000-0006-0000-0100-00006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价格，49F103362，Y49635 rate 0.0658
2、based project 109587,Y48462 rate 0.0648</t>
        </r>
      </text>
    </comment>
    <comment ref="I391" authorId="0" shapeId="0" xr:uid="{00000000-0006-0000-0100-00006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货PO#109806,Y51205</t>
        </r>
      </text>
    </comment>
    <comment ref="M391" authorId="0" shapeId="0" xr:uid="{00000000-0006-0000-0100-00006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 PO#109806 Y51205
OEF和系统一致</t>
        </r>
      </text>
    </comment>
    <comment ref="M392" authorId="0" shapeId="0" xr:uid="{00000000-0006-0000-0100-00007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是一致，PO#109820，Y50948. 
</t>
        </r>
      </text>
    </comment>
    <comment ref="I397" authorId="0" shapeId="0" xr:uid="{00000000-0006-0000-0100-00007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 Y50755 PO#109816</t>
        </r>
      </text>
    </comment>
    <comment ref="M397" authorId="0" shapeId="0" xr:uid="{00000000-0006-0000-0100-00007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1、实际发货Y50849
2、系统pick 货Y50755 PO#109816
OEF和系统一致得</t>
        </r>
      </text>
    </comment>
    <comment ref="I403" authorId="0" shapeId="0" xr:uid="{00000000-0006-0000-0100-00007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系统pickPO#109820 Y50947</t>
        </r>
      </text>
    </comment>
    <comment ref="M403" authorId="0" shapeId="0" xr:uid="{00000000-0006-0000-0100-00007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系统和Based project 是一致，PO#109820，Y50947.</t>
        </r>
      </text>
    </comment>
    <comment ref="I404" authorId="0" shapeId="0" xr:uid="{00000000-0006-0000-0100-00007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实际pick货PO#109775 Y50071</t>
        </r>
      </text>
    </comment>
    <comment ref="M404" authorId="0" shapeId="0" xr:uid="{00000000-0006-0000-0100-00007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系统和Based project 是一致，PO#109775，Y50071. </t>
        </r>
      </text>
    </comment>
    <comment ref="I408" authorId="0" shapeId="0" xr:uid="{00000000-0006-0000-0100-00007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 实际pick Y50619</t>
        </r>
      </text>
    </comment>
    <comment ref="M408" authorId="0" shapeId="0" xr:uid="{00000000-0006-0000-0100-00007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价格，109783，Y50619 NM
2、based project 49F103362,Y 49634 rate 0.0658</t>
        </r>
      </text>
    </comment>
    <comment ref="I409" authorId="0" shapeId="0" xr:uid="{00000000-0006-0000-0100-00007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 50620 </t>
        </r>
      </text>
    </comment>
    <comment ref="M409" authorId="0" shapeId="0" xr:uid="{00000000-0006-0000-0100-00007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两张OEF
1、系统 价格，109783，Y50620 NM
2、based project 49F103362,Y49635 rate 0.0658</t>
        </r>
      </text>
    </comment>
    <comment ref="M415" authorId="0" shapeId="0" xr:uid="{00000000-0006-0000-0100-00007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109889,rate 0.067，
由于109889和109858价格一样，所以机器走货和实际pick 货一致得</t>
        </r>
      </text>
    </comment>
    <comment ref="M416" authorId="0" shapeId="0" xr:uid="{00000000-0006-0000-0100-00007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OEF，价格PO 109858,rate NM(CR:0.0679)由于109889和109858价格一样，所以机器走货和实际pick 货一致得</t>
        </r>
      </text>
    </comment>
    <comment ref="I422" authorId="0" shapeId="0" xr:uid="{00000000-0006-0000-0100-00007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Y51548</t>
        </r>
      </text>
    </comment>
    <comment ref="M427" authorId="0" shapeId="0" xr:uid="{00000000-0006-0000-0100-00007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8" authorId="0" shapeId="0" xr:uid="{00000000-0006-0000-0100-00007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29" authorId="0" shapeId="0" xr:uid="{00000000-0006-0000-0100-00008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109891,109925价格相同，拆分PO的。</t>
        </r>
      </text>
    </comment>
    <comment ref="M432" authorId="0" shapeId="0" xr:uid="{00000000-0006-0000-0100-00008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3" authorId="0" shapeId="0" xr:uid="{00000000-0006-0000-0100-00008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M434" authorId="0" shapeId="0" xr:uid="{00000000-0006-0000-0100-00008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109925，109891价格想统，拆分PO。</t>
        </r>
      </text>
    </comment>
    <comment ref="I438" authorId="0" shapeId="0" xr:uid="{00000000-0006-0000-0100-00008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实际pickY51453</t>
        </r>
      </text>
    </comment>
    <comment ref="M447" authorId="0" shapeId="0" xr:uid="{00000000-0006-0000-0100-00008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8" authorId="0" shapeId="0" xr:uid="{00000000-0006-0000-0100-00008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的rate是0.0656，调到给PO11000</t>
        </r>
      </text>
    </comment>
    <comment ref="M449" authorId="0" shapeId="0" xr:uid="{00000000-0006-0000-0100-00008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0" authorId="0" shapeId="0" xr:uid="{00000000-0006-0000-0100-00008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M451" authorId="0" shapeId="0" xr:uid="{00000000-0006-0000-0100-00008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之前book 的rate是0.0661，调到给PO109954</t>
        </r>
      </text>
    </comment>
    <comment ref="I455" authorId="0" shapeId="0" xr:uid="{00000000-0006-0000-0100-00008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货Y51905</t>
        </r>
      </text>
    </comment>
    <comment ref="M465" authorId="0" shapeId="0" xr:uid="{00000000-0006-0000-0100-00008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1、系统：109933，rate NM Y51966
2、based project :109999,rate0.0655 Y52101</t>
        </r>
      </text>
    </comment>
    <comment ref="I474" authorId="0" shapeId="0" xr:uid="{00000000-0006-0000-0100-00008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此机器不能调动，已经给了序列号给海纳科</t>
        </r>
      </text>
    </comment>
    <comment ref="M475" authorId="0" shapeId="0" xr:uid="{00000000-0006-0000-0100-00008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1、based project：109977，rate 0.0655 Y52281
2、系统 :109957,rate NM Y52111</t>
        </r>
      </text>
    </comment>
    <comment ref="I487" authorId="0" shapeId="0" xr:uid="{00000000-0006-0000-0100-00008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Y52104</t>
        </r>
      </text>
    </comment>
    <comment ref="M487" authorId="0" shapeId="0" xr:uid="{00000000-0006-0000-0100-00008F000000}">
      <text>
        <r>
          <rPr>
            <b/>
            <sz val="9"/>
            <color indexed="81"/>
            <rFont val="宋体"/>
            <family val="3"/>
            <charset val="134"/>
          </rPr>
          <t>SMT:
1、</t>
        </r>
        <r>
          <rPr>
            <sz val="9"/>
            <color indexed="81"/>
            <rFont val="宋体"/>
            <family val="3"/>
            <charset val="134"/>
          </rPr>
          <t>系统：109999，rate 0.0655 Y52101
2、based project :109933,rate NM Y51966</t>
        </r>
      </text>
    </comment>
    <comment ref="I488" authorId="0" shapeId="0" xr:uid="{00000000-0006-0000-0100-00009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Y52105</t>
        </r>
      </text>
    </comment>
    <comment ref="M489" authorId="0" shapeId="0" xr:uid="{00000000-0006-0000-0100-000091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 book 的rate</t>
        </r>
      </text>
    </comment>
    <comment ref="I490" authorId="0" shapeId="0" xr:uid="{00000000-0006-0000-0100-00009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Y52101</t>
        </r>
      </text>
    </comment>
    <comment ref="M490" authorId="0" shapeId="0" xr:uid="{00000000-0006-0000-0100-000093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109917book 的rate</t>
        </r>
      </text>
    </comment>
    <comment ref="I491" authorId="0" shapeId="0" xr:uid="{00000000-0006-0000-0100-000094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实际系统pick Y52102</t>
        </r>
      </text>
    </comment>
    <comment ref="M491" authorId="0" shapeId="0" xr:uid="{00000000-0006-0000-0100-000095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M493" authorId="0" shapeId="0" xr:uid="{00000000-0006-0000-0100-000096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109963 book 的rate </t>
        </r>
      </text>
    </comment>
    <comment ref="H501" authorId="0" shapeId="0" xr:uid="{00000000-0006-0000-0100-000097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带原装废料箱子</t>
        </r>
      </text>
    </comment>
    <comment ref="H502" authorId="0" shapeId="0" xr:uid="{00000000-0006-0000-0100-00009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带原装废料箱</t>
        </r>
      </text>
    </comment>
    <comment ref="I523" authorId="0" shapeId="0" xr:uid="{00000000-0006-0000-0100-00009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Y52376</t>
        </r>
      </text>
    </comment>
    <comment ref="M523" authorId="0" shapeId="0" xr:uid="{00000000-0006-0000-0100-00009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110121的价格</t>
        </r>
      </text>
    </comment>
    <comment ref="I525" authorId="1" shapeId="0" xr:uid="{00000000-0006-0000-0100-00009C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Y53572</t>
        </r>
      </text>
    </comment>
    <comment ref="I536" authorId="0" shapeId="0" xr:uid="{00000000-0006-0000-0100-00009D000000}">
      <text>
        <r>
          <rPr>
            <b/>
            <sz val="9"/>
            <color indexed="81"/>
            <rFont val="宋体"/>
            <family val="3"/>
            <charset val="134"/>
          </rPr>
          <t>SMT:
实际pick Y52391</t>
        </r>
      </text>
    </comment>
    <comment ref="I539" authorId="0" shapeId="0" xr:uid="{00000000-0006-0000-0100-00009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Y52388</t>
        </r>
      </text>
    </comment>
    <comment ref="I542" authorId="0" shapeId="0" xr:uid="{00000000-0006-0000-0100-00009F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实际pick  Y52394</t>
        </r>
      </text>
    </comment>
    <comment ref="M542" authorId="0" shapeId="0" xr:uid="{00000000-0006-0000-0100-0000A0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用PO 109995</t>
        </r>
      </text>
    </comment>
    <comment ref="H543" authorId="1" shapeId="0" xr:uid="{43A62E40-7870-4C4E-8377-E99B14153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其中的ATS要在ESSZ本出货，已经卖到了ESSZ本</t>
        </r>
      </text>
    </comment>
    <comment ref="I570" authorId="1" shapeId="0" xr:uid="{227A4EF5-5C45-4837-BB00-D836CC0B46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货Y53170</t>
        </r>
      </text>
    </comment>
    <comment ref="I571" authorId="1" shapeId="0" xr:uid="{6A5B6BD1-B92D-49D7-821B-B290AA2DB6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货Y53169</t>
        </r>
      </text>
    </comment>
    <comment ref="K589" authorId="0" shapeId="0" xr:uid="{00000000-0006-0000-0100-0000A2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最后一天多CY仓库</t>
        </r>
      </text>
    </comment>
    <comment ref="I606" authorId="1" shapeId="0" xr:uid="{00000000-0006-0000-0100-0000A30000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Y52830</t>
        </r>
      </text>
    </comment>
    <comment ref="D608" authorId="2" shapeId="0" xr:uid="{00000000-0006-0000-0100-0000A4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D609" authorId="2" shapeId="0" xr:uid="{00000000-0006-0000-0100-0000A5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110097拆分</t>
        </r>
      </text>
    </comment>
    <comment ref="M609" authorId="1" shapeId="0" xr:uid="{1BE278B8-D6CD-46DA-ABC1-E849BF53455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1.系统：NM，PO110181
2.based,0.0638,PO 110208</t>
        </r>
      </text>
    </comment>
    <comment ref="M614" authorId="1" shapeId="0" xr:uid="{796264EB-2B8F-446F-AC9D-F1B3EC0F723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1.系统：TBA，PO110159
2.based,NM,PO 110181</t>
        </r>
      </text>
    </comment>
    <comment ref="D615" authorId="2" shapeId="0" xr:uid="{00000000-0006-0000-0100-0000A6000000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110044拆分。</t>
        </r>
      </text>
    </comment>
    <comment ref="M636" authorId="1" shapeId="0" xr:uid="{E27C66AD-7DF6-4C05-8143-8662DF9B3C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两张OEF，
1.based project ：TBA，PO11081
2.系统,0.0638,PO 110208</t>
        </r>
      </text>
    </comment>
    <comment ref="T645" authorId="1" shapeId="0" xr:uid="{94065769-7487-400E-93FB-5ABDB719C6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2021-2-6 Spring 电邮通知方向改为L-&gt;R</t>
        </r>
      </text>
    </comment>
    <comment ref="F658" authorId="1" shapeId="0" xr:uid="{34F1D789-3611-4B31-93EB-C23924772A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0" authorId="1" shapeId="0" xr:uid="{D84F8FB3-326A-483C-9AA9-A6A00EA489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可能会带键盘</t>
        </r>
      </text>
    </comment>
    <comment ref="F661" authorId="1" shapeId="0" xr:uid="{8F85B14D-186E-4C85-84F9-05EF0870FA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可能带键盘
</t>
        </r>
      </text>
    </comment>
    <comment ref="D663" authorId="0" shapeId="0" xr:uid="{00000000-0006-0000-0100-0000A8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4" authorId="0" shapeId="0" xr:uid="{00000000-0006-0000-0100-0000A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5" authorId="0" shapeId="0" xr:uid="{00000000-0006-0000-0100-0000A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D666" authorId="0" shapeId="0" xr:uid="{00000000-0006-0000-0100-0000A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110123 po 拆分</t>
        </r>
      </text>
    </comment>
    <comment ref="H666" authorId="0" shapeId="0" xr:uid="{00000000-0006-0000-0100-0000A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实际合同是要YSM10的相机</t>
        </r>
      </text>
    </comment>
    <comment ref="D733" authorId="1" shapeId="0" xr:uid="{B6BAEE2B-7838-40F6-9AD6-CEC805981BA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110152 拆分PO</t>
        </r>
      </text>
    </comment>
    <comment ref="I741" authorId="1" shapeId="0" xr:uid="{5CDDF5C1-58D1-4AB1-BC74-165ED4244DC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做OEF时候不要单独列出相机，用PO110287</t>
        </r>
      </text>
    </comment>
    <comment ref="I742" authorId="1" shapeId="0" xr:uid="{FD960D1D-089F-46C3-B34D-AD05B577E50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43" authorId="1" shapeId="0" xr:uid="{4AA79E5E-2C86-4189-8BA1-194F4226F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做OEF时候不要单独列出相机，用PO110287</t>
        </r>
      </text>
    </comment>
    <comment ref="I753" authorId="1" shapeId="0" xr:uid="{5C5A34E0-C722-4E72-9183-BD2D40F8FF1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Y57064</t>
        </r>
      </text>
    </comment>
    <comment ref="I778" authorId="1" shapeId="0" xr:uid="{C9382B11-715A-472C-B65A-3D74388D8696}">
      <text>
        <r>
          <rPr>
            <b/>
            <sz val="9"/>
            <color indexed="81"/>
            <rFont val="宋体"/>
            <family val="3"/>
            <charset val="134"/>
          </rPr>
          <t>Amy Liu
实际pick Y56421,PO110365</t>
        </r>
      </text>
    </comment>
    <comment ref="D786" authorId="1" shapeId="0" xr:uid="{47043FB8-60F3-4D77-A143-F975CD120F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与PO110333拼柜</t>
        </r>
      </text>
    </comment>
    <comment ref="D801" authorId="1" shapeId="0" xr:uid="{340EB331-8004-4572-B82E-B266FE4BFCD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与110271拼柜</t>
        </r>
      </text>
    </comment>
    <comment ref="I813" authorId="1" shapeId="0" xr:uid="{6CAF91B3-A0C8-44B1-B1EC-8018FFD872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系统pickY55595</t>
        </r>
      </text>
    </comment>
    <comment ref="I818" authorId="1" shapeId="0" xr:uid="{8FBFF435-A92D-4FC0-A7DC-F41A5C9AB9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系统pickY55175</t>
        </r>
      </text>
    </comment>
    <comment ref="D837" authorId="1" shapeId="0" xr:uid="{67A223A5-2FE8-4379-A619-FC8ED4FEFB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8" authorId="1" shapeId="0" xr:uid="{C98BAC51-52AD-47D0-B9BB-53FB71EDB7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39" authorId="1" shapeId="0" xr:uid="{E0EEAB8D-4363-452D-97E4-97EF4E496C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0" authorId="1" shapeId="0" xr:uid="{55017ADC-A6A7-4C5D-986D-84385AF7CE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1" authorId="1" shapeId="0" xr:uid="{84777CAC-0895-4792-A668-C595B61E53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2" authorId="1" shapeId="0" xr:uid="{54013704-512F-407B-AC58-6159A85C78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3" authorId="1" shapeId="0" xr:uid="{CF7AADBF-595A-47D1-9453-FAEDAC1FB28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4" authorId="1" shapeId="0" xr:uid="{4A4E8211-ED4B-44CF-B017-780E73516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D845" authorId="1" shapeId="0" xr:uid="{787CFE38-A35D-4CEE-998D-B236284125E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110247拆单</t>
        </r>
      </text>
    </comment>
    <comment ref="I870" authorId="1" shapeId="0" xr:uid="{8322DE24-DEA1-4728-A295-D0D671D010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实际pick货56422</t>
        </r>
      </text>
    </comment>
    <comment ref="I876" authorId="1" shapeId="0" xr:uid="{4D98A52D-58CD-4E1B-8D14-7C41617794A1}">
      <text>
        <r>
          <rPr>
            <b/>
            <sz val="9"/>
            <color indexed="81"/>
            <rFont val="宋体"/>
            <family val="3"/>
            <charset val="134"/>
          </rPr>
          <t>Amy Liu:
实际pick Y55699，PO110272</t>
        </r>
      </text>
    </comment>
    <comment ref="I877" authorId="1" shapeId="0" xr:uid="{FB11D504-A83C-4EDB-A326-F787FE2EE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货55083</t>
        </r>
      </text>
    </comment>
    <comment ref="D893" authorId="1" shapeId="0" xr:uid="{DC4112CB-5923-44DF-AC4C-4D530BC45C7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4" authorId="1" shapeId="0" xr:uid="{ABE6EC0A-AFBB-41A7-B69A-76B753DC5D8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5" authorId="1" shapeId="0" xr:uid="{40C7EBF3-3967-4147-9F70-790F93E57F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896" authorId="1" shapeId="0" xr:uid="{6536EC5F-3C0F-4B99-BC23-891678E8A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1104366拆单</t>
        </r>
      </text>
    </comment>
    <comment ref="D900" authorId="1" shapeId="0" xr:uid="{9EC681F9-71DC-4110-9AB5-5A0F157916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920" authorId="1" shapeId="0" xr:uid="{356FECE4-EC4F-42F2-A69F-77709F2CEC3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1" authorId="1" shapeId="0" xr:uid="{1F7A3212-E8F7-4873-AF54-D73757576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2" authorId="1" shapeId="0" xr:uid="{EF7403BA-08D4-4F11-A173-7F30F03240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3" authorId="1" shapeId="0" xr:uid="{F5BE3D1A-347C-48EE-929E-E5A731C20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4" authorId="1" shapeId="0" xr:uid="{BDDF8469-F18A-4E8E-A8F8-8FFC95365E5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5" authorId="1" shapeId="0" xr:uid="{BF234AB0-8003-4F9F-900C-765C0204B7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26" authorId="1" shapeId="0" xr:uid="{E0FD7605-B1E8-4ADE-9924-EDB72B3991A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38" authorId="1" shapeId="0" xr:uid="{0674DCEC-C8DE-4059-975C-246FBF3F48C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Y54957.用鑫华峰名义报关进来</t>
        </r>
      </text>
    </comment>
    <comment ref="D945" authorId="1" shapeId="0" xr:uid="{09E3D8FB-775C-43F7-8C5A-BA8E85776F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D946" authorId="1" shapeId="0" xr:uid="{0606B1DB-9991-47A9-9F3A-C28370110C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110384拆单</t>
        </r>
      </text>
    </comment>
    <comment ref="I947" authorId="1" shapeId="0" xr:uid="{7638A686-3549-46CD-B00C-91948B7F52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Y58712</t>
        </r>
      </text>
    </comment>
    <comment ref="I961" authorId="1" shapeId="0" xr:uid="{6B079803-08B8-4C2E-BAFE-2A02C6EC92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实际系统pick Y58826
</t>
        </r>
      </text>
    </comment>
    <comment ref="I966" authorId="1" shapeId="0" xr:uid="{FCC94BC9-B897-4B16-AD46-73858173AB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Y59645,OEF用PO110693</t>
        </r>
      </text>
    </comment>
    <comment ref="I971" authorId="1" shapeId="0" xr:uid="{C3C9A2B9-2249-4C1C-B2A2-FBA9A8725D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Y59066 OEF 110620,rate NM</t>
        </r>
      </text>
    </comment>
    <comment ref="I972" authorId="1" shapeId="0" xr:uid="{DB09C3BE-7BE9-49FA-B644-42AE98A233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Y59067,OEF 110620,rate NM</t>
        </r>
      </text>
    </comment>
    <comment ref="I978" authorId="1" shapeId="0" xr:uid="{47FA9D8A-4945-4999-B560-6BE59FC198F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深圳仓库系统pick Y58990 OEF 49F104054,Yamaha RMB 成本</t>
        </r>
      </text>
    </comment>
    <comment ref="I979" authorId="1" shapeId="0" xr:uid="{66AE0123-5435-4555-9C2B-98061417D3D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实际系统pick Y57094 ,用百纳海名义清关归还</t>
        </r>
      </text>
    </comment>
    <comment ref="M979" authorId="1" shapeId="0" xr:uid="{EB0BC0D2-62C6-4C3F-9A14-D58C16E0ED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0" authorId="1" shapeId="0" xr:uid="{C0D5B15B-C153-4D9B-AAA6-AD58C0550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Y58991 OEF 49F104054,Yamaha RMB 成本</t>
        </r>
      </text>
    </comment>
    <comment ref="M980" authorId="1" shapeId="0" xr:uid="{72E9CFAF-08A1-444A-8A58-AC52D90DE5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以太美亚名义清关</t>
        </r>
      </text>
    </comment>
    <comment ref="I987" authorId="1" shapeId="0" xr:uid="{56637063-2BD3-4298-95A2-088B2C57AC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Y59183</t>
        </r>
      </text>
    </comment>
    <comment ref="I988" authorId="1" shapeId="0" xr:uid="{F369D991-95DF-40AA-BB93-E46895FBC6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Y59184</t>
        </r>
      </text>
    </comment>
    <comment ref="I995" authorId="1" shapeId="0" xr:uid="{30A5EF7D-54D6-4E58-A438-EE8125033E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货Y59644，OEF，110693</t>
        </r>
      </text>
    </comment>
    <comment ref="I996" authorId="1" shapeId="0" xr:uid="{0BBEEE51-2B86-4B91-A774-C1BEB41E53A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Y58208,OEF 110670</t>
        </r>
      </text>
    </comment>
    <comment ref="I997" authorId="1" shapeId="0" xr:uid="{1387A1A3-155E-433E-AB9E-59FF46F77F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货Y58719，OEF，110580</t>
        </r>
      </text>
    </comment>
    <comment ref="I1014" authorId="1" shapeId="0" xr:uid="{C0F1EA8D-1145-4D3B-A803-59FA43D1A3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Y58088,OEF PO#110775</t>
        </r>
      </text>
    </comment>
    <comment ref="M1014" authorId="1" shapeId="0" xr:uid="{BD496088-8AA0-4AC0-8468-8D39416A9A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,渝溢三甲名义报关归还</t>
        </r>
      </text>
    </comment>
    <comment ref="I1016" authorId="1" shapeId="0" xr:uid="{83F925BC-DD9C-4DF4-8341-4AA8C730A9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系统pickY60000,OEF PO 110770</t>
        </r>
      </text>
    </comment>
    <comment ref="E1020" authorId="1" shapeId="0" xr:uid="{A1DC0198-08B2-4D87-9965-3F5D83298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I1020" authorId="1" shapeId="0" xr:uid="{5A758B45-0777-4E39-8BA7-BBAEE232A8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没有吸嘴</t>
        </r>
      </text>
    </comment>
    <comment ref="E1021" authorId="1" shapeId="0" xr:uid="{61766E31-91D9-4668-AF3A-663D16F4E0E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原来新亚胜名义下单，后来改为正邦名义</t>
        </r>
      </text>
    </comment>
    <comment ref="E1029" authorId="1" shapeId="0" xr:uid="{2E78A230-F780-41B3-B2B6-EC8088881D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E1030" authorId="1" shapeId="0" xr:uid="{895295EC-BD8F-4AD2-B5E7-D9067056B1E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原来是正邦名义下单，2022-2-16改为新亚胜下单</t>
        </r>
      </text>
    </comment>
    <comment ref="I1033" authorId="1" shapeId="0" xr:uid="{B04163C3-F71D-4FBD-99FE-A2404C491BF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系统pickY59959,OEF 110734</t>
        </r>
      </text>
    </comment>
    <comment ref="I1034" authorId="1" shapeId="0" xr:uid="{26EE2EA1-F661-4F4B-8AE0-940BDFA64B5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Y56514,PO 110800</t>
        </r>
      </text>
    </comment>
    <comment ref="I1035" authorId="1" shapeId="0" xr:uid="{B57D9A18-3758-4939-AE50-11331FD45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Y57568,PO 110771</t>
        </r>
      </text>
    </comment>
    <comment ref="M1039" authorId="1" shapeId="0" xr:uid="{B16D0C42-A590-4E95-9426-D5FC107C519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与Y61453平均了汇率，原来是NM</t>
        </r>
      </text>
    </comment>
    <comment ref="I1040" authorId="1" shapeId="0" xr:uid="{218313E6-372A-43A5-8F8E-C7826948ED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实际pickY58909，OEF用49F104087 RMB单.用益田名义清关归还yamaha RMB单</t>
        </r>
      </text>
    </comment>
    <comment ref="I1041" authorId="1" shapeId="0" xr:uid="{F0BB6993-8784-4CD8-8125-1E8C998BD6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实际pickY58472，OEF用49F104088 RMB单.用益田名义清关归还yamaha RMB单</t>
        </r>
      </text>
    </comment>
    <comment ref="M1041" authorId="1" shapeId="0" xr:uid="{3C759910-F9F2-4960-95C5-468DF3585C7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达锂名义报关</t>
        </r>
      </text>
    </comment>
    <comment ref="I1049" authorId="1" shapeId="0" xr:uid="{73908843-9AA0-41B7-BF39-74DD01BCF87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系统pickY61441 ,OEF 110865</t>
        </r>
      </text>
    </comment>
    <comment ref="M1049" authorId="1" shapeId="0" xr:uid="{5BCF90C6-B28D-47E0-BEBB-59AD857C97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</t>
        </r>
      </text>
    </comment>
    <comment ref="D1065" authorId="1" shapeId="0" xr:uid="{95398C60-1169-4752-9ACF-8AB409C9B32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5" authorId="1" shapeId="0" xr:uid="{9EB6F097-6E6E-477E-93B2-A21E0AA5BF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Y56516,PO 110812</t>
        </r>
      </text>
    </comment>
    <comment ref="D1066" authorId="1" shapeId="0" xr:uid="{B19C7CEA-958F-4199-ABB3-F59E301100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067" authorId="1" shapeId="0" xr:uid="{084D7272-354E-4CC3-A452-0005CA829046}">
      <text>
        <r>
          <rPr>
            <b/>
            <sz val="9"/>
            <color indexed="81"/>
            <rFont val="宋体"/>
            <family val="3"/>
            <charset val="134"/>
          </rPr>
          <t>Amy Liu:
系统pickY59949,OEF PO 110730</t>
        </r>
      </text>
    </comment>
    <comment ref="I1068" authorId="1" shapeId="0" xr:uid="{6FCEC7A7-C3D9-462D-A1C2-C62C322EE9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Y60994,OEF PO 110827</t>
        </r>
      </text>
    </comment>
    <comment ref="I1071" authorId="1" shapeId="0" xr:uid="{A0F56210-C243-412B-AFE2-CC0D9D3C1E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系统pickY60230, OEF用 PO 110762</t>
        </r>
      </text>
    </comment>
    <comment ref="I1072" authorId="1" shapeId="0" xr:uid="{A4681792-306B-4908-BCBE-2FEE7CCB5F8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Y60238,OEF 用PO#110756</t>
        </r>
      </text>
    </comment>
    <comment ref="I1073" authorId="1" shapeId="0" xr:uid="{34550534-48CC-4ED6-AA21-2A742F7ADF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Y60239,OEF 用PO#110756</t>
        </r>
      </text>
    </comment>
    <comment ref="I1077" authorId="1" shapeId="0" xr:uid="{C464B660-45B6-4621-AEE3-479E06DC5479}">
      <text>
        <r>
          <rPr>
            <b/>
            <sz val="9"/>
            <color indexed="81"/>
            <rFont val="宋体"/>
            <family val="3"/>
            <charset val="134"/>
          </rPr>
          <t>Amy Liu:
系统pickY57567,OEF PO110771</t>
        </r>
      </text>
    </comment>
    <comment ref="I1080" authorId="1" shapeId="0" xr:uid="{A2D204DB-FD32-4A8E-BFE2-24CEA8DCBAE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Y60283,OEF PO 110767</t>
        </r>
      </text>
    </comment>
    <comment ref="I1082" authorId="1" shapeId="0" xr:uid="{20FF8C4D-3AA8-4D78-BB40-668F060831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Y60993,OEF  PO110833</t>
        </r>
      </text>
    </comment>
    <comment ref="M1082" authorId="1" shapeId="0" xr:uid="{C359CEA6-5CB4-4E55-8A43-511542DFBA8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英拓邦名义报关归还RMB</t>
        </r>
      </text>
    </comment>
    <comment ref="I1085" authorId="1" shapeId="0" xr:uid="{D296EB95-06AC-4FF7-AF47-31E1D9B9A4D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此台机器，如果JPY客户送出，要用此客户的名义清关归还英特莱，英特莱再归还给到RMB单</t>
        </r>
      </text>
    </comment>
    <comment ref="M1085" authorId="1" shapeId="0" xr:uid="{6915C3D3-1E94-42B4-A826-62272CB39DA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用英特莱名义清关</t>
        </r>
      </text>
    </comment>
    <comment ref="I1087" authorId="1" shapeId="0" xr:uid="{D08FFE6D-D1B7-4E7D-BF41-C8C94D564B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Y57571,OEF用PO#110472</t>
        </r>
      </text>
    </comment>
    <comment ref="I1088" authorId="1" shapeId="0" xr:uid="{855F7909-49CC-40A4-AFAC-BFCC8C48CA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:
系统pick Y57569,OEF用PO#110472</t>
        </r>
      </text>
    </comment>
    <comment ref="I1089" authorId="1" shapeId="0" xr:uid="{2491F04A-B1EC-4A86-A96B-ACFEBF45D52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Y59426
 PO#110708</t>
        </r>
      </text>
    </comment>
    <comment ref="I1095" authorId="1" shapeId="0" xr:uid="{6128C1B8-C73F-498C-99AA-D1DEB7E1B6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 Y57570, OEF用 PO 110472</t>
        </r>
      </text>
    </comment>
    <comment ref="I1098" authorId="1" shapeId="0" xr:uid="{75D04126-4850-47F0-B44C-6DDAD17D70A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Y60996,PO 110826</t>
        </r>
      </text>
    </comment>
    <comment ref="I1100" authorId="1" shapeId="0" xr:uid="{3CD92ECF-0A7B-4DFA-B1F9-C5A959C89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Y60282</t>
        </r>
      </text>
    </comment>
    <comment ref="I1102" authorId="1" shapeId="0" xr:uid="{D1BE6174-2F61-4DA6-A76B-533F0835C6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pickY60280</t>
        </r>
      </text>
    </comment>
    <comment ref="I1105" authorId="1" shapeId="0" xr:uid="{1516108B-1AF4-4E72-A4E9-67E8C61B2E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Y59985,OEF PO110737</t>
        </r>
      </text>
    </comment>
    <comment ref="M1105" authorId="1" shapeId="0" xr:uid="{F075B35B-8644-4F3D-A716-4CAD6D09C679}">
      <text>
        <r>
          <rPr>
            <b/>
            <sz val="9"/>
            <color indexed="81"/>
            <rFont val="宋体"/>
            <family val="3"/>
            <charset val="134"/>
          </rPr>
          <t>Amy Liu:
益田名义报关，还给达锂</t>
        </r>
      </text>
    </comment>
    <comment ref="D1115" authorId="1" shapeId="0" xr:uid="{673E9B34-0B55-443E-AAE7-0AD760538B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15" authorId="1" shapeId="0" xr:uid="{D49E1C7E-C697-4104-AAEA-E0DA32F45C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Y60229,OEF PO 110759.</t>
        </r>
      </text>
    </comment>
    <comment ref="M1115" authorId="1" shapeId="0" xr:uid="{689D07A0-422F-46B8-B092-90701EBDC3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益田名义清关归还YAMAHA RMB 单</t>
        </r>
      </text>
    </comment>
    <comment ref="D1116" authorId="1" shapeId="0" xr:uid="{F20FAA8B-9059-45F4-A3C8-1740591BE39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D1117" authorId="1" shapeId="0" xr:uid="{A26DFA42-8092-4E2A-A8F6-4C843BCF5F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38" authorId="1" shapeId="0" xr:uid="{12D526F3-259D-4B52-9DEB-0FA7314056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Y60562，OEF PO#110810</t>
        </r>
      </text>
    </comment>
    <comment ref="M1138" authorId="1" shapeId="0" xr:uid="{C7962BF0-C2EE-456C-819C-124AAB8ACB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39" authorId="1" shapeId="0" xr:uid="{61BE0448-5C75-430F-949D-3774D646A09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Y61001,PO 110828</t>
        </r>
      </text>
    </comment>
    <comment ref="M1139" authorId="1" shapeId="0" xr:uid="{E93F6B72-E2FE-409D-9EF2-EE06ED33BD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乐凡名义清关，归还Yamaha RMB单</t>
        </r>
      </text>
    </comment>
    <comment ref="I1140" authorId="1" shapeId="0" xr:uid="{9753F10B-8C51-4A85-81A1-9D347A759B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Y60560,   PO 110810</t>
        </r>
      </text>
    </comment>
    <comment ref="M1140" authorId="1" shapeId="0" xr:uid="{E97249B2-B4E8-4A43-BB23-1D79A567D0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广恒名义报关归还RMB单</t>
        </r>
      </text>
    </comment>
    <comment ref="I1143" authorId="1" shapeId="0" xr:uid="{67A2935B-0F5F-4251-A3C2-4FF9F0A99D4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Y58989,OEF 49F104087</t>
        </r>
      </text>
    </comment>
    <comment ref="M1143" authorId="1" shapeId="0" xr:uid="{64F01809-A4C2-4E44-8ABC-339C0CA55D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捷舜诚名义清关归还</t>
        </r>
      </text>
    </comment>
    <comment ref="I1146" authorId="1" shapeId="0" xr:uid="{C298BC2A-4646-4B30-8952-87FEE8F7119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Y58095,OEF PO 110882</t>
        </r>
      </text>
    </comment>
    <comment ref="I1147" authorId="1" shapeId="0" xr:uid="{4F90193A-E5E7-49AC-9500-0DE9A565186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Y58096,OEF PO 110882</t>
        </r>
      </text>
    </comment>
    <comment ref="I1150" authorId="1" shapeId="0" xr:uid="{8F12F838-B572-4894-A726-BEBF0AFADB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Y61444,PO 110872</t>
        </r>
      </text>
    </comment>
    <comment ref="I1151" authorId="1" shapeId="0" xr:uid="{CFE6D0BD-B1FB-4D22-8721-B847466861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Y61445,PO 110872</t>
        </r>
      </text>
    </comment>
    <comment ref="I1152" authorId="1" shapeId="0" xr:uid="{57177158-511A-47C8-917F-CE85A116F7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Y61437，OEF PO110871</t>
        </r>
      </text>
    </comment>
    <comment ref="I1153" authorId="1" shapeId="0" xr:uid="{272A7F4F-E5C0-4FC2-8D8C-8F6290DBB70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Y56519,OEF 110436</t>
        </r>
      </text>
    </comment>
    <comment ref="I1159" authorId="1" shapeId="0" xr:uid="{3F71A4A2-EC4F-42EB-B145-9A75B5F9A81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Y60553，OEF PO110810 拆分PO110913</t>
        </r>
      </text>
    </comment>
    <comment ref="D1160" authorId="1" shapeId="0" xr:uid="{7B92E8E2-619C-4FED-96B5-1301987689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110246拆单</t>
        </r>
      </text>
    </comment>
    <comment ref="I1160" authorId="1" shapeId="0" xr:uid="{D543A974-8C4E-4DFB-8EE4-E3181EF63B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系统pick,Y61567，OEF 110883</t>
        </r>
      </text>
    </comment>
    <comment ref="M1161" authorId="1" shapeId="0" xr:uid="{38A62E5A-E9F2-4196-8AA9-F18423DB3F9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用汇海通达20210198DZ名义清关，货给广恒20210142DZ</t>
        </r>
      </text>
    </comment>
    <comment ref="I1166" authorId="1" shapeId="0" xr:uid="{A9FFE93C-F47F-4D69-A6A6-5280EDCCD9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Y61017,OEF PO 110838</t>
        </r>
      </text>
    </comment>
    <comment ref="I1167" authorId="1" shapeId="0" xr:uid="{7B4DEB86-D0D6-4CB2-82D6-7DCF00B79CF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Y61018,OEF PO 110838</t>
        </r>
      </text>
    </comment>
    <comment ref="I1168" authorId="1" shapeId="0" xr:uid="{AA406177-B764-4399-B019-77C2A58FC46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Y61439,PO 110868</t>
        </r>
      </text>
    </comment>
    <comment ref="I1169" authorId="1" shapeId="0" xr:uid="{B6516448-BA51-4150-A331-EF41917FBA4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Y62028,PO 110920</t>
        </r>
      </text>
    </comment>
    <comment ref="I1170" authorId="1" shapeId="0" xr:uid="{0C8A1147-0415-41BC-98CE-FA4569BF4B3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Y62552 ,PO110998</t>
        </r>
      </text>
    </comment>
    <comment ref="M1171" authorId="1" shapeId="0" xr:uid="{073F4ED3-EF54-4226-8F6C-DD435047F49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要用拓普艾名义清关进来。</t>
        </r>
      </text>
    </comment>
    <comment ref="I1182" authorId="1" shapeId="0" xr:uid="{01622BD4-1212-40CC-88E7-26A097D3272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系统pick,Y60554，OEF 110810拆分PO110913</t>
        </r>
      </text>
    </comment>
    <comment ref="I1183" authorId="1" shapeId="0" xr:uid="{DF20106A-BA17-4E4D-A0C9-557A9DF66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Y60559,OEF 110810</t>
        </r>
      </text>
    </comment>
    <comment ref="M1183" authorId="1" shapeId="0" xr:uid="{30521F52-526C-40BB-9E36-131AB01B11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4" authorId="1" shapeId="0" xr:uid="{70788C26-D988-4989-AB21-884EA99727B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Y57566 PO 110910
</t>
        </r>
      </text>
    </comment>
    <comment ref="M1184" authorId="1" shapeId="0" xr:uid="{06ED2565-E3D7-4220-80F7-08824B161DB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恒磊名义报关，归还RMB单</t>
        </r>
      </text>
    </comment>
    <comment ref="I1186" authorId="1" shapeId="0" xr:uid="{856390D4-99B6-43CE-BA3F-9941924AE2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Y61377，PO110873 NM </t>
        </r>
      </text>
    </comment>
    <comment ref="I1187" authorId="1" shapeId="0" xr:uid="{90DDF3F6-B947-4C8A-91E5-C74CB132564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Y61378,PO110873</t>
        </r>
      </text>
    </comment>
    <comment ref="I1188" authorId="1" shapeId="0" xr:uid="{BCA21C1D-5206-4FFB-9FE0-680573038D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Y62550,PO110995</t>
        </r>
      </text>
    </comment>
    <comment ref="I1189" authorId="1" shapeId="0" xr:uid="{1193C251-50DC-49AB-83E9-3555720B864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Y62551,PO110995</t>
        </r>
      </text>
    </comment>
    <comment ref="M1191" authorId="1" shapeId="0" xr:uid="{8D9FDC08-6B88-4A74-9449-12B9CBCC81A9}">
      <text>
        <r>
          <rPr>
            <sz val="9"/>
            <color indexed="81"/>
            <rFont val="宋体"/>
            <family val="3"/>
            <charset val="134"/>
          </rPr>
          <t xml:space="preserve">和Y59431平均了汇率，原来是0.0502
</t>
        </r>
      </text>
    </comment>
    <comment ref="I1192" authorId="1" shapeId="0" xr:uid="{459BEA21-DD4B-4A71-AEFB-F4F2A2454DF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Y58209,OEF110949 STK</t>
        </r>
      </text>
    </comment>
    <comment ref="M1192" authorId="1" shapeId="0" xr:uid="{C542815C-3952-4BB2-91BE-8A18CB8CA61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伯莱科名义报关</t>
        </r>
      </text>
    </comment>
    <comment ref="I1193" authorId="1" shapeId="0" xr:uid="{91B8825E-67EB-4A85-B017-2B9813927A1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Y58097,PO 110882 STOCK</t>
        </r>
      </text>
    </comment>
    <comment ref="M1193" authorId="1" shapeId="0" xr:uid="{32E7FF3F-DBD8-4089-AF09-A2F31FF79BB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钧溢名义报关</t>
        </r>
      </text>
    </comment>
    <comment ref="I1195" authorId="1" shapeId="0" xr:uid="{2909FC6D-1A2E-4833-800E-BB052611C55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Y57067 PO 110965 STK NM</t>
        </r>
      </text>
    </comment>
    <comment ref="M1195" authorId="1" shapeId="0" xr:uid="{E3A83589-A05B-4A0B-AB21-73F6D8EC1AE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骏孚名义报关归还YAMAHA RMB</t>
        </r>
      </text>
    </comment>
    <comment ref="I1196" authorId="1" shapeId="0" xr:uid="{2BA33D3E-96DC-471A-82C6-7F3EC3155C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Y59703,OEF49F104105
</t>
        </r>
      </text>
    </comment>
    <comment ref="M1196" authorId="1" shapeId="0" xr:uid="{EC60E4BC-5646-42D7-B379-E7C2FA9E53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鑫天泰20220056EC名义报关</t>
        </r>
      </text>
    </comment>
    <comment ref="I1198" authorId="1" shapeId="0" xr:uid="{EF4D0CF9-C88E-4F1A-86C0-D0607ADA0E7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Y62310 ，PO 110951</t>
        </r>
      </text>
    </comment>
    <comment ref="I1199" authorId="1" shapeId="0" xr:uid="{2E10D92B-3FE4-436B-A96C-EFE0BD9C7C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Y62311,PO110951</t>
        </r>
      </text>
    </comment>
    <comment ref="I1200" authorId="1" shapeId="0" xr:uid="{B6ACEF8D-7B4B-47F2-B85E-0CF541670B3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Y62312,PO110951</t>
        </r>
      </text>
    </comment>
    <comment ref="I1204" authorId="1" shapeId="0" xr:uid="{9CA2F896-FEBF-48A0-8F48-958769BEB5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系统pickY62344,OEF 0.0492，RMB清关 110962（拆单111022）</t>
        </r>
      </text>
    </comment>
    <comment ref="M1204" authorId="1" shapeId="0" xr:uid="{ADF236CF-D1BF-4EEC-9919-48CD7B124D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精德鸿20210118RJY 名义清关</t>
        </r>
      </text>
    </comment>
    <comment ref="I1211" authorId="1" shapeId="0" xr:uid="{55D5AAA5-B6C8-49BC-81EB-B86530A32AD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Y62325,PO110954
</t>
        </r>
      </text>
    </comment>
    <comment ref="I1213" authorId="1" shapeId="0" xr:uid="{DE00E39C-4C1E-464A-A0E6-97ABD3F4A9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Y62598,PO 110997</t>
        </r>
      </text>
    </comment>
    <comment ref="I1216" authorId="1" shapeId="0" xr:uid="{9CD18561-047A-4F76-B51E-807925E586C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Y62327,PO#110956</t>
        </r>
      </text>
    </comment>
    <comment ref="I1221" authorId="1" shapeId="0" xr:uid="{81E21328-094F-4946-8208-F943D428390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Y62595,PO#110996</t>
        </r>
      </text>
    </comment>
    <comment ref="I1222" authorId="1" shapeId="0" xr:uid="{184AC5AA-3583-417C-B6D0-CA4ABF29D0F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Y62596,PO#110996</t>
        </r>
      </text>
    </comment>
    <comment ref="I1223" authorId="1" shapeId="0" xr:uid="{0E91B151-7535-4AFE-8880-113FA98378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Y62634,PO#111002</t>
        </r>
      </text>
    </comment>
    <comment ref="I1225" authorId="1" shapeId="0" xr:uid="{D2173461-6FBF-4CC7-A6DD-811E7F3BBF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Y62599 PO 110997</t>
        </r>
      </text>
    </comment>
    <comment ref="M1228" authorId="1" shapeId="0" xr:uid="{38586CBB-1CC2-4135-9F59-563C57D088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实际用中润互联名义清关</t>
        </r>
      </text>
    </comment>
    <comment ref="I1231" authorId="1" shapeId="0" xr:uid="{CB6223BD-0B34-49A8-9809-870330561E4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Y63525,PO#111095</t>
        </r>
      </text>
    </comment>
    <comment ref="I1232" authorId="1" shapeId="0" xr:uid="{E6E6AA51-BC72-4CC7-A52F-A94F747A48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Y59704 PO 49F104103</t>
        </r>
      </text>
    </comment>
    <comment ref="M1232" authorId="1" shapeId="0" xr:uid="{42582346-227B-4508-929C-B8D5D5FB583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骏孚名义清关</t>
        </r>
      </text>
    </comment>
    <comment ref="I1233" authorId="1" shapeId="0" xr:uid="{0E275431-59E2-4812-99D7-45DD0CADA7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 Y60578,PO110896,0.0502</t>
        </r>
      </text>
    </comment>
    <comment ref="M1237" authorId="1" shapeId="0" xr:uid="{889626F4-E946-41F0-ABA6-F638450457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实际是RMB清关</t>
        </r>
      </text>
    </comment>
    <comment ref="I1243" authorId="1" shapeId="0" xr:uid="{B0091F00-E64D-4343-9939-B228BE646B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Y61446，PO 110875(拆单110975）</t>
        </r>
      </text>
    </comment>
    <comment ref="I1244" authorId="1" shapeId="0" xr:uid="{F206BBED-8711-4D64-BF44-4593D32E9E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Y61447,PO110875</t>
        </r>
      </text>
    </comment>
    <comment ref="I1245" authorId="1" shapeId="0" xr:uid="{83DB2673-AF61-410C-8B77-87108536DDB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Y57065,PO110935</t>
        </r>
      </text>
    </comment>
    <comment ref="M1249" authorId="1" shapeId="0" xr:uid="{3D4F813E-0FD1-490D-BCD4-CE59BEA291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快宇20220046JL名义清关</t>
        </r>
      </text>
    </comment>
    <comment ref="I1250" authorId="1" shapeId="0" xr:uid="{41402DBF-95B5-4157-B118-20BBA6A2476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系统pickY59781,OEF49F104103</t>
        </r>
      </text>
    </comment>
    <comment ref="M1250" authorId="1" shapeId="0" xr:uid="{EEC760EE-28AD-4CBB-9BD3-2E27CE7099E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用RMB单清关进来，汇率0.0492</t>
        </r>
      </text>
    </comment>
    <comment ref="M1251" authorId="1" shapeId="0" xr:uid="{A15D405E-6FE5-473C-B6E5-1825A7C524B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快宇名义清关20220046JL</t>
        </r>
      </text>
    </comment>
    <comment ref="I1254" authorId="1" shapeId="0" xr:uid="{0899E909-3B6B-4145-9903-22184F4CD22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Y62340 110960(拆单111038)</t>
        </r>
      </text>
    </comment>
    <comment ref="M1254" authorId="1" shapeId="0" xr:uid="{C2578632-CA36-436E-943F-55F8AD2C41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魔乐视20210215MZ名义清关</t>
        </r>
      </text>
    </comment>
    <comment ref="I1256" authorId="1" shapeId="0" xr:uid="{54A362F4-68F6-4654-AD98-FAADBDC28AE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Y62600,PO#110988</t>
        </r>
      </text>
    </comment>
    <comment ref="M1256" authorId="1" shapeId="0" xr:uid="{5FDA7F86-E277-4FE0-BF36-D68FA7C83F8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RMB名义清关</t>
        </r>
      </text>
    </comment>
    <comment ref="I1259" authorId="1" shapeId="0" xr:uid="{5C37B8F5-9E81-43FE-9A2E-871C24ADB9C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Y61977,PO 110921</t>
        </r>
      </text>
    </comment>
    <comment ref="M1259" authorId="1" shapeId="0" xr:uid="{D902A956-CC55-4EBB-B696-3B3C5C00F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以三丽名义清关20210173AY</t>
        </r>
      </text>
    </comment>
    <comment ref="M1261" authorId="1" shapeId="0" xr:uid="{3F194E7B-AF1F-4E44-BA2F-B1A2DA6EAF5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诺亚兴20220051DZ名义清关</t>
        </r>
      </text>
    </comment>
    <comment ref="I1263" authorId="1" shapeId="0" xr:uid="{5367D865-17AA-4DA2-96B7-F747CFB84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Y61970 PO#110922</t>
        </r>
      </text>
    </comment>
    <comment ref="M1263" authorId="1" shapeId="0" xr:uid="{08C3D876-0BE2-4A7C-9AE9-AA88E678975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恒泰创新20220004EC名义报关，归还RMB单。</t>
        </r>
      </text>
    </comment>
    <comment ref="I1273" authorId="1" shapeId="0" xr:uid="{BB9C0AF9-C09E-418D-913F-187B57642FA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Y60580,但系统入错，所以是pickY50580 PO 110896</t>
        </r>
      </text>
    </comment>
    <comment ref="M1273" authorId="1" shapeId="0" xr:uid="{0594F764-5343-4224-911F-948F6743F9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4" authorId="1" shapeId="0" xr:uid="{44C17065-6F24-45C5-ABD0-83C4DFC501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Y60581,但系统入错为Y50581 PO 110896</t>
        </r>
      </text>
    </comment>
    <comment ref="M1274" authorId="1" shapeId="0" xr:uid="{428612EE-4AAC-49C6-BC93-C3601B3E4DD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魔乐视名义清关</t>
        </r>
      </text>
    </comment>
    <comment ref="I1275" authorId="1" shapeId="0" xr:uid="{70238CE6-9FE9-4F01-B0F1-DB9913C908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Y62359,PO110929</t>
        </r>
      </text>
    </comment>
    <comment ref="M1275" authorId="1" shapeId="0" xr:uid="{E652D864-BAFF-44A6-B060-F50989C3AA0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拓普艾20220033JL名义清关，归还。</t>
        </r>
      </text>
    </comment>
    <comment ref="I1276" authorId="1" shapeId="0" xr:uid="{CF73040A-C17E-472C-9D74-6AF6AA21E06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Y62025,PO#110919(拆单110927）</t>
        </r>
      </text>
    </comment>
    <comment ref="M1276" authorId="1" shapeId="0" xr:uid="{D9A6BF51-8679-4530-BB09-6F086F7737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7" authorId="1" shapeId="0" xr:uid="{119E8C3A-661A-44EA-A591-F65871679D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Y62026,PO#110919</t>
        </r>
      </text>
    </comment>
    <comment ref="M1277" authorId="1" shapeId="0" xr:uid="{FBDF77BC-B7C2-413C-9078-68D748F40D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倍斯特名义20220096JL清关，归还深圳机器</t>
        </r>
      </text>
    </comment>
    <comment ref="I1278" authorId="1" shapeId="0" xr:uid="{3DBF104D-3998-456B-815C-C2DEE1EF77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Y61962,PO110924。
Inter co ESEL  实际pick Y62322</t>
        </r>
      </text>
    </comment>
    <comment ref="I1279" authorId="1" shapeId="0" xr:uid="{28B033AB-3E7A-4386-8A45-EBFF2126FA4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Y61979 PO 110923</t>
        </r>
      </text>
    </comment>
    <comment ref="H1281" authorId="1" shapeId="0" xr:uid="{5F0A79A8-967D-4BC1-B976-7B6F55FEF9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1" authorId="3" shapeId="0" xr:uid="{4CBFD8A8-708C-4046-9514-1C356A89A569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H1282" authorId="1" shapeId="0" xr:uid="{05AC539C-B0F3-4A88-9E45-61F8204147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的订单111004减除了这个63990的金额</t>
        </r>
      </text>
    </comment>
    <comment ref="I1282" authorId="3" shapeId="0" xr:uid="{EBA87EFF-6E1B-4B7A-800E-37672047832B}">
      <text>
        <r>
          <rPr>
            <b/>
            <sz val="9"/>
            <color indexed="81"/>
            <rFont val="宋体"/>
            <family val="3"/>
            <charset val="134"/>
          </rPr>
          <t>FayWang:</t>
        </r>
        <r>
          <rPr>
            <sz val="9"/>
            <color indexed="81"/>
            <rFont val="宋体"/>
            <family val="3"/>
            <charset val="134"/>
          </rPr>
          <t xml:space="preserve">
在伯莱科名下</t>
        </r>
      </text>
    </comment>
    <comment ref="I1283" authorId="1" shapeId="0" xr:uid="{66B206B7-A0ED-4F71-992B-A80AB1BFEC3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Y60579,但系统入错为Y50579 PO110896.做OEF时候，ANC的金额已经算到朗特20220084DZ合同中，所以提取此台机器的客户，可以不要计算ANCcost </t>
        </r>
      </text>
    </comment>
    <comment ref="M1283" authorId="1" shapeId="0" xr:uid="{96D328ED-72B1-4031-BB61-6AE636AEE00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朗特20220084DZ名义清关，归还RMB单</t>
        </r>
      </text>
    </comment>
    <comment ref="I1284" authorId="1" shapeId="0" xr:uid="{534EB7EE-30B5-4C95-B2FE-C694D3B07D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Y62608,PO#110986</t>
        </r>
      </text>
    </comment>
    <comment ref="H1288" authorId="1" shapeId="0" xr:uid="{81B1A1C8-115F-4336-ABE5-88A4CD9EE7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0" authorId="1" shapeId="0" xr:uid="{96F79027-92A7-4AAA-93FD-2E2B1BAF260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H1291" authorId="1" shapeId="0" xr:uid="{48913934-22B6-4A6D-814C-0E11E1981F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扣除12pcs,7205 吸嘴，PO#110894采购了吸嘴，同时在Yamaha 的订单111006减除了这个63990的金额</t>
        </r>
      </text>
    </comment>
    <comment ref="I1310" authorId="1" shapeId="0" xr:uid="{2A096B67-D92C-4183-AB22-15A510014D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Y62628 PO#110990</t>
        </r>
      </text>
    </comment>
    <comment ref="I1311" authorId="1" shapeId="0" xr:uid="{8AFC03EF-67E5-4A6B-B7A6-158DD6FF2D2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Y62360 ,PO#110929</t>
        </r>
      </text>
    </comment>
    <comment ref="I1313" authorId="1" shapeId="0" xr:uid="{4BFB26D1-545B-437D-8AA5-E3A101E923B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Y62636,PO#110991</t>
        </r>
      </text>
    </comment>
    <comment ref="I1317" authorId="1" shapeId="0" xr:uid="{962F8074-F7AB-42E0-B504-8A2C1CEAC1CC}">
      <text>
        <r>
          <rPr>
            <b/>
            <sz val="9"/>
            <color indexed="81"/>
            <rFont val="宋体"/>
            <family val="3"/>
            <charset val="134"/>
          </rPr>
          <t>Amy Liu:
系统pick Y62345 PO 110961（拆单111023）</t>
        </r>
      </text>
    </comment>
    <comment ref="I1320" authorId="1" shapeId="0" xr:uid="{9D779D0D-D18B-4C84-9173-0633AEAD68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Y62607,PO#110987</t>
        </r>
      </text>
    </comment>
    <comment ref="I1321" authorId="1" shapeId="0" xr:uid="{A92BE817-F718-4E35-844F-483C51E89A9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Y62027,PO#110919</t>
        </r>
      </text>
    </comment>
    <comment ref="I1329" authorId="1" shapeId="0" xr:uid="{1661E290-32DC-4E56-98E0-CED1A179DC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Y62604,PO#110992
</t>
        </r>
      </text>
    </comment>
    <comment ref="I1335" authorId="1" shapeId="0" xr:uid="{24075EE4-72E6-4D29-9437-6B92D11EAE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Y63075,PO111051</t>
        </r>
      </text>
    </comment>
    <comment ref="I1345" authorId="1" shapeId="0" xr:uid="{DA80A313-85B4-4477-9993-DF5F8B58970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Y63076,PO#111051</t>
        </r>
      </text>
    </comment>
    <comment ref="I1346" authorId="1" shapeId="0" xr:uid="{6DFFF318-AD08-486A-BD3B-3F53B4D44C2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Y63531,PO#111096</t>
        </r>
      </text>
    </comment>
    <comment ref="I1348" authorId="1" shapeId="0" xr:uid="{001FC818-7DA2-4F5A-9E09-531B3174A1C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Y63059,PO#111048改49F104339</t>
        </r>
      </text>
    </comment>
    <comment ref="H1349" authorId="1" shapeId="0" xr:uid="{4A11FDD9-CB19-4D95-8952-716474F128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0" authorId="1" shapeId="0" xr:uid="{787D707E-4710-4358-A622-345CE00984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1" authorId="1" shapeId="0" xr:uid="{290F851B-73C3-41CD-9613-62DE89DE82C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H1352" authorId="1" shapeId="0" xr:uid="{204EC7C8-0D1A-4655-BE3A-EFF6C10F01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52" authorId="1" shapeId="0" xr:uid="{6A21B902-0366-4DAD-B3DC-94CABC0C0D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Y63078,PO#111051
</t>
        </r>
      </text>
    </comment>
    <comment ref="H1353" authorId="1" shapeId="0" xr:uid="{C02C420B-088D-4CB5-BE80-C59A5D3027F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少采购1pc Feeder set up station,用库存，系统pick YS系列的Feeder Set up station</t>
        </r>
      </text>
    </comment>
    <comment ref="I1362" authorId="1" shapeId="0" xr:uid="{F5E25B70-1247-49AC-9A40-FCCB3310A75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Y63536,PO#111096</t>
        </r>
      </text>
    </comment>
    <comment ref="I1374" authorId="1" shapeId="0" xr:uid="{1AB04D37-010B-4CFC-B7F3-77FD16DE291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Y64065,平均价OEF</t>
        </r>
      </text>
    </comment>
    <comment ref="I1377" authorId="1" shapeId="0" xr:uid="{1764C166-0B69-4039-84AF-44BAE835CD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系统已经先pick 了，华烨客户需要发票。实际pick Y63521</t>
        </r>
      </text>
    </comment>
    <comment ref="I1378" authorId="1" shapeId="0" xr:uid="{19DDA0F5-F121-4718-A0AF-519D3F49A55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Y64061，OEF平均价</t>
        </r>
      </text>
    </comment>
    <comment ref="I1383" authorId="1" shapeId="0" xr:uid="{FDE34949-1674-4E35-B31B-3D9B8A7E91B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Y63523</t>
        </r>
      </text>
    </comment>
    <comment ref="I1384" authorId="1" shapeId="0" xr:uid="{6FF847EC-F71B-46CD-8CBC-AA193EBC40E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Y63524</t>
        </r>
      </text>
    </comment>
    <comment ref="I1387" authorId="1" shapeId="0" xr:uid="{373742E7-DBDA-4DB4-AD31-8B75CB525F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系统pickY63064，PO#111049改49F104342</t>
        </r>
      </text>
    </comment>
    <comment ref="I1388" authorId="1" shapeId="0" xr:uid="{5263EFAB-06F5-4058-8C87-A95176130C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Y64012, PO#111131
</t>
        </r>
      </text>
    </comment>
    <comment ref="I1390" authorId="1" shapeId="0" xr:uid="{70E2F93D-9D3B-4A2B-B5A4-EFC8D0AF614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Y62878 PO#111020</t>
        </r>
      </text>
    </comment>
    <comment ref="I1392" authorId="1" shapeId="0" xr:uid="{F71ED7E5-4ABF-4D0B-BA9D-F2DA6C125A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Y63533 ，OEF Y63987
，PO111134</t>
        </r>
      </text>
    </comment>
    <comment ref="I1395" authorId="1" shapeId="0" xr:uid="{9DCC8C05-19BA-40D9-BE12-1C54774CE21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实际pickY64064</t>
        </r>
      </text>
    </comment>
    <comment ref="I1397" authorId="1" shapeId="0" xr:uid="{A162F078-C3D4-4378-A641-0B12DBFAD5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Y63155, 威力斯名义清关</t>
        </r>
      </text>
    </comment>
    <comment ref="I1398" authorId="1" shapeId="0" xr:uid="{B6252A1D-6543-4F51-B801-969EB85C01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Y63156, 威力斯名义清关</t>
        </r>
      </text>
    </comment>
    <comment ref="I1399" authorId="1" shapeId="0" xr:uid="{5B33E80E-7F86-4698-8F13-D0EC0FCE60B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Y62071,PO#110932</t>
        </r>
      </text>
    </comment>
    <comment ref="I1406" authorId="1" shapeId="0" xr:uid="{408D682A-C8BF-455D-9F65-FD2A352FF9B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实际pick Y65161</t>
        </r>
      </text>
    </comment>
    <comment ref="I1407" authorId="1" shapeId="0" xr:uid="{565C49CF-3950-4FC2-AA13-B8769D28CAA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Y63150，OEF平均价</t>
        </r>
      </text>
    </comment>
    <comment ref="K1407" authorId="1" shapeId="0" xr:uid="{A600D9F9-8E73-43D6-AD5B-0BF9246C5C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宇翔名义清关进来</t>
        </r>
      </text>
    </comment>
    <comment ref="I1409" authorId="1" shapeId="0" xr:uid="{691C0F40-DD2C-428F-8607-BAEC7221AA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Y63145,OEF 平均价</t>
        </r>
      </text>
    </comment>
    <comment ref="K1409" authorId="1" shapeId="0" xr:uid="{4A6D2FD3-EAA2-4F7D-AB2E-1D76622D89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格第名义清关进来</t>
        </r>
      </text>
    </comment>
    <comment ref="I1410" authorId="1" shapeId="0" xr:uid="{902FD5CE-B30E-4829-8B4C-D44EE33AF00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Y63537 PO#111096</t>
        </r>
      </text>
    </comment>
    <comment ref="I1423" authorId="1" shapeId="0" xr:uid="{96B96C55-B04E-49E5-BC6B-A1DFF331BF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Y63986，OEF Y63533，PO#111096</t>
        </r>
      </text>
    </comment>
    <comment ref="I1424" authorId="1" shapeId="0" xr:uid="{B36BD7DA-6A59-466A-A7F6-561F2AC762D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系统pickY63987， OEF Y63986，PO111134</t>
        </r>
      </text>
    </comment>
    <comment ref="I1436" authorId="1" shapeId="0" xr:uid="{F63C2505-789B-4562-94EA-E0BAB2B48E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PO 111277 系统pick Y65759</t>
        </r>
      </text>
    </comment>
    <comment ref="I1464" authorId="1" shapeId="0" xr:uid="{1F840969-D0D1-45CC-A33C-95761855E11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Y66817,PO#111341</t>
        </r>
      </text>
    </comment>
    <comment ref="I1493" authorId="1" shapeId="0" xr:uid="{18AAA1BB-64D7-48D5-9466-548463E53A5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Y67126 PO#111361</t>
        </r>
      </text>
    </comment>
    <comment ref="I1511" authorId="1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1516" authorId="1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  <comment ref="I1518" authorId="1" shapeId="0" xr:uid="{C74D5B5F-C8F2-4369-8BD7-AC426CA1774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Y68129,PO#111464</t>
        </r>
      </text>
    </comment>
    <comment ref="I1520" authorId="1" shapeId="0" xr:uid="{ABFB53A0-3FC0-4499-9A09-31AA098EFFB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Y68130,PO#111464</t>
        </r>
      </text>
    </comment>
    <comment ref="I1534" authorId="1" shapeId="0" xr:uid="{BA812EFF-6CC4-4BD2-8F3D-AEE77F63FD3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Y67128,PO#111362</t>
        </r>
      </text>
    </comment>
    <comment ref="I1535" authorId="1" shapeId="0" xr:uid="{4B8EE90B-02E6-4170-9051-032ABEFD66A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Y67130,PO#111362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S486" authorId="0" shapeId="0" xr:uid="{9A874E71-381C-4DC4-881A-EAB9D9045D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2024-2-23</t>
        </r>
      </text>
    </comment>
    <comment ref="N524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5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1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38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39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5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46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5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2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</authors>
  <commentList>
    <comment ref="K123" authorId="0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0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1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1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0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0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1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1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F166" authorId="0" shapeId="0" xr:uid="{39D18495-B42D-47CD-83A4-9D77FBB0E88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F167" authorId="0" shapeId="0" xr:uid="{EBCA35D6-B86A-41F4-BAC5-8BC6BEB511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F169" authorId="1" shapeId="0" xr:uid="{2034D661-F9D0-4D8C-B0FA-F416121E0A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<sst xmlns="http://schemas.openxmlformats.org/spreadsheetml/2006/main" count="36154" uniqueCount="4617">
  <si>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</si>
  <si>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</si>
  <si>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</si>
  <si>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</si>
  <si>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</si>
  <si>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</si>
  <si>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</si>
  <si>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</si>
  <si>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</si>
  <si>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</si>
  <si>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</si>
  <si>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</si>
  <si>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</si>
  <si>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</si>
  <si>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</si>
  <si>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</si>
  <si>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</si>
  <si>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</si>
  <si>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</si>
  <si>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</si>
  <si>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</si>
  <si>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</si>
  <si>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</si>
  <si>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</si>
  <si>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</si>
  <si>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</si>
  <si>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</si>
  <si>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</si>
  <si>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</si>
  <si>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</si>
  <si>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</si>
  <si>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</si>
  <si>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</si>
  <si>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</si>
  <si>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MVC+ATS15</t>
  </si>
  <si>
    <t>Y53570</t>
  </si>
  <si>
    <t>RMB</t>
  </si>
  <si>
    <t>Y53569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</si>
  <si>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</si>
  <si>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</si>
  <si>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</si>
  <si>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</si>
  <si>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</si>
  <si>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</si>
  <si>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</si>
  <si>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</si>
  <si>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</si>
  <si>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</si>
  <si>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MVC F&amp;R+ATS15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</si>
  <si>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</si>
  <si>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</si>
  <si>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</si>
  <si>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</si>
  <si>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</si>
  <si>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</si>
  <si>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</si>
  <si>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</si>
  <si>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</si>
  <si>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</si>
  <si>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</si>
  <si>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</si>
  <si>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</si>
  <si>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</si>
  <si>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</si>
  <si>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</si>
  <si>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</si>
  <si>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</si>
  <si>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</si>
  <si>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</si>
  <si>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</si>
  <si>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</si>
  <si>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</si>
  <si>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</si>
  <si>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</si>
  <si>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</si>
  <si>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</si>
  <si>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</si>
  <si>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 xml:space="preserve">96 FEEDER PLATE (YSM10) </t>
  </si>
  <si>
    <t>CY仓库</t>
  </si>
  <si>
    <t>音品名义下单</t>
  </si>
  <si>
    <t>NM</t>
  </si>
  <si>
    <t>盐保仓库</t>
  </si>
  <si>
    <t>华日仓库中转</t>
  </si>
  <si>
    <t>Y54207</t>
  </si>
  <si>
    <t>Y54205</t>
  </si>
  <si>
    <t>力合中转仓</t>
  </si>
  <si>
    <t>C49SZX20200227MZ</t>
  </si>
  <si>
    <t>程氏松哥</t>
  </si>
  <si>
    <t>Y54203</t>
  </si>
  <si>
    <t>模鑫</t>
  </si>
  <si>
    <t>APR 21</t>
  </si>
  <si>
    <t>C49SZX20200257JY</t>
  </si>
  <si>
    <t>精德鸿</t>
  </si>
  <si>
    <t>Y53568</t>
  </si>
  <si>
    <t>正创名义下单</t>
  </si>
  <si>
    <t>江西络鑫</t>
  </si>
  <si>
    <t>JUN 21</t>
  </si>
  <si>
    <t>JUL 21</t>
  </si>
  <si>
    <t>C49SZX20210052JY</t>
  </si>
  <si>
    <t>C49SZX20210083SS</t>
  </si>
  <si>
    <t>世启纳</t>
  </si>
  <si>
    <t>超思维名义下单</t>
  </si>
  <si>
    <t>MVC F&amp;R</t>
  </si>
  <si>
    <t>捷舜诚</t>
  </si>
  <si>
    <t xml:space="preserve">MVC+96 FEEDER PLATE (YSM10) </t>
  </si>
  <si>
    <t>C49SZX20210073AY</t>
  </si>
  <si>
    <t>铣米</t>
  </si>
  <si>
    <t>崧盛</t>
  </si>
  <si>
    <t>C49SZX20210071SS</t>
  </si>
  <si>
    <t>泓凯</t>
  </si>
  <si>
    <t>MAY 21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</si>
  <si>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</si>
  <si>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</si>
  <si>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</si>
  <si>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</si>
  <si>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</si>
  <si>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</si>
  <si>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</si>
  <si>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</si>
  <si>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</si>
  <si>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</si>
  <si>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Y55432</t>
  </si>
  <si>
    <t>Y55430</t>
  </si>
  <si>
    <t>Y55429</t>
  </si>
  <si>
    <t>狂热者</t>
  </si>
  <si>
    <t>Y55428</t>
  </si>
  <si>
    <t>Y55175</t>
  </si>
  <si>
    <t>Y55169</t>
  </si>
  <si>
    <t>C49SZX20210031SX</t>
  </si>
  <si>
    <t>益田科技</t>
  </si>
  <si>
    <t>Y55168</t>
  </si>
  <si>
    <t>赛美达</t>
  </si>
  <si>
    <t>Y55167</t>
  </si>
  <si>
    <t>Y55166</t>
  </si>
  <si>
    <t>Y55165</t>
  </si>
  <si>
    <t>Y55164</t>
  </si>
  <si>
    <t>品诚伟创</t>
  </si>
  <si>
    <t>Y55162</t>
  </si>
  <si>
    <t>精德鸿名义下单</t>
  </si>
  <si>
    <t>Y55696</t>
  </si>
  <si>
    <t>Y55695</t>
  </si>
  <si>
    <t>Y55694</t>
  </si>
  <si>
    <t>Y55693</t>
  </si>
  <si>
    <t>C49SZX20200248SX</t>
  </si>
  <si>
    <t>悦之彩</t>
  </si>
  <si>
    <t>百益晟</t>
  </si>
  <si>
    <t>Y55172</t>
  </si>
  <si>
    <t>Y55176</t>
  </si>
  <si>
    <t>龙大名义下单</t>
  </si>
  <si>
    <t>YSM40R-4</t>
  </si>
  <si>
    <t>龙大光电</t>
  </si>
  <si>
    <t>平方兆赫名义下单</t>
  </si>
  <si>
    <t>平方兆赫</t>
  </si>
  <si>
    <t>SIGMA-G5S2</t>
  </si>
  <si>
    <t>YSM20WR-2</t>
  </si>
  <si>
    <t>志华鑫名义下单</t>
  </si>
  <si>
    <t>C49SZX20210082MZ</t>
  </si>
  <si>
    <t>C49SZX20210057DZ</t>
  </si>
  <si>
    <t>优品</t>
  </si>
  <si>
    <t>cATS10+MVC+special layout</t>
  </si>
  <si>
    <t>斯迈电子</t>
  </si>
  <si>
    <t>MVC(F&amp;R)+10pallet for cATS10+交换台车</t>
  </si>
  <si>
    <t>嘉裕</t>
  </si>
  <si>
    <t>cATS30+MVC(F&amp;R)+10pallet for cATS30+交换台车</t>
  </si>
  <si>
    <t>海松微</t>
  </si>
  <si>
    <t>利速达</t>
  </si>
  <si>
    <t>优派芯</t>
  </si>
  <si>
    <t>嘉普达</t>
  </si>
  <si>
    <t>Y55407</t>
  </si>
  <si>
    <t>Y55406</t>
  </si>
  <si>
    <t>Y55405</t>
  </si>
  <si>
    <t>Y55404</t>
  </si>
  <si>
    <t>Y55700</t>
  </si>
  <si>
    <t>Y55699</t>
  </si>
  <si>
    <t>Y55402</t>
  </si>
  <si>
    <t>赛维显示</t>
  </si>
  <si>
    <t>cATS10+special layout</t>
  </si>
  <si>
    <t>名商</t>
  </si>
  <si>
    <t>Y55398</t>
  </si>
  <si>
    <t>Y54983</t>
  </si>
  <si>
    <t>C49SZX20200232SX</t>
  </si>
  <si>
    <t>永顺创</t>
  </si>
  <si>
    <t>Y54981</t>
  </si>
  <si>
    <t>Y54979</t>
  </si>
  <si>
    <t>航特</t>
  </si>
  <si>
    <t>Y54978</t>
  </si>
  <si>
    <t>Y54977</t>
  </si>
  <si>
    <t>Y54976</t>
  </si>
  <si>
    <t>Y54975</t>
  </si>
  <si>
    <t>Y55692</t>
  </si>
  <si>
    <t>Y55690</t>
  </si>
  <si>
    <t>Y55689</t>
  </si>
  <si>
    <t>Y55688</t>
  </si>
  <si>
    <t>Y55686</t>
  </si>
  <si>
    <t>吉鑫凯</t>
  </si>
  <si>
    <t>Y55685</t>
  </si>
  <si>
    <t>Y55684</t>
  </si>
  <si>
    <t>C49SZX20200249SX</t>
  </si>
  <si>
    <t>凌鑫</t>
  </si>
  <si>
    <t>Y55683</t>
  </si>
  <si>
    <t>奕东名义下单</t>
  </si>
  <si>
    <t>YSi-V</t>
  </si>
  <si>
    <t>C28SZX20200081KC</t>
  </si>
  <si>
    <t>鸿通宇</t>
  </si>
  <si>
    <t>汇总</t>
  </si>
  <si>
    <t>OCT 22</t>
  </si>
  <si>
    <t>#N/A</t>
  </si>
  <si>
    <t>(空白)</t>
  </si>
  <si>
    <t>NOV 22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</si>
  <si>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</si>
  <si>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</si>
  <si>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</si>
  <si>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</si>
  <si>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</si>
  <si>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</si>
  <si>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</si>
  <si>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</si>
  <si>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</si>
  <si>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</si>
  <si>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SEP 22</t>
  </si>
  <si>
    <t>DEC 22</t>
  </si>
  <si>
    <t>AUG 22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</si>
  <si>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</si>
  <si>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</si>
  <si>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</si>
  <si>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</si>
  <si>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</si>
  <si>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</si>
  <si>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</si>
  <si>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</si>
  <si>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</si>
  <si>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</si>
  <si>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</si>
  <si>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</si>
  <si>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</si>
  <si>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</si>
  <si>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</si>
  <si>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</si>
  <si>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</si>
  <si>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</si>
  <si>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</si>
  <si>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</si>
  <si>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</si>
  <si>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</si>
  <si>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</si>
  <si>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</si>
  <si>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</si>
  <si>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</si>
  <si>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</si>
  <si>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</si>
  <si>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</si>
  <si>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</si>
  <si>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</si>
  <si>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</si>
  <si>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</si>
  <si>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</si>
  <si>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</si>
  <si>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No mismatch</t>
    <phoneticPr fontId="3" type="noConversion"/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</si>
  <si>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</si>
  <si>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</si>
  <si>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</si>
  <si>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</si>
  <si>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</si>
  <si>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</si>
  <si>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</si>
  <si>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</si>
  <si>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</si>
  <si>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</si>
  <si>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</si>
  <si>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</si>
  <si>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</si>
  <si>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</si>
  <si>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</si>
  <si>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</si>
  <si>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</si>
  <si>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</si>
  <si>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</si>
  <si>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</si>
  <si>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</si>
  <si>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</si>
  <si>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</si>
  <si>
    <t>C49</t>
    <phoneticPr fontId="3" type="noConversion"/>
  </si>
  <si>
    <t>EASTER</t>
    <phoneticPr fontId="3" type="noConversion"/>
  </si>
  <si>
    <t>NO</t>
  </si>
  <si>
    <t>Y44465</t>
    <phoneticPr fontId="3" type="noConversion"/>
  </si>
  <si>
    <r>
      <rPr>
        <sz val="10"/>
        <color theme="1"/>
        <rFont val="Arial Unicode MS"/>
        <family val="2"/>
        <charset val="134"/>
      </rPr>
      <t>福保仓库</t>
    </r>
  </si>
  <si>
    <t>DEC 19</t>
  </si>
  <si>
    <t>C200537294</t>
    <phoneticPr fontId="3" type="noConversion"/>
  </si>
  <si>
    <t>Y44481</t>
    <phoneticPr fontId="3" type="noConversion"/>
  </si>
  <si>
    <t>DEC 18</t>
  </si>
  <si>
    <t>Na</t>
  </si>
  <si>
    <t>Yes</t>
    <phoneticPr fontId="3" type="noConversion"/>
  </si>
  <si>
    <t>MVC+ATS15</t>
    <phoneticPr fontId="3" type="noConversion"/>
  </si>
  <si>
    <t>Y44483</t>
    <phoneticPr fontId="3" type="noConversion"/>
  </si>
  <si>
    <t>Y44464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</si>
  <si>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</si>
  <si>
    <t>JAN 19</t>
  </si>
  <si>
    <t>Y45399</t>
    <phoneticPr fontId="3" type="noConversion"/>
  </si>
  <si>
    <t>YSM40R-4</t>
    <phoneticPr fontId="3" type="noConversion"/>
  </si>
  <si>
    <t>Y44467</t>
  </si>
  <si>
    <t>JUL 20</t>
  </si>
  <si>
    <t>C171030457</t>
    <phoneticPr fontId="3" type="noConversion"/>
  </si>
  <si>
    <r>
      <rPr>
        <sz val="10"/>
        <color theme="1"/>
        <rFont val="Arial Unicode MS"/>
        <family val="2"/>
        <charset val="134"/>
      </rPr>
      <t>比泰利</t>
    </r>
    <phoneticPr fontId="3" type="noConversion"/>
  </si>
  <si>
    <t>YS12</t>
  </si>
  <si>
    <t>Y41087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</si>
  <si>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</si>
  <si>
    <r>
      <t xml:space="preserve">Wkk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</si>
  <si>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No</t>
    <phoneticPr fontId="3" type="noConversion"/>
  </si>
  <si>
    <t>Y42858</t>
    <phoneticPr fontId="3" type="noConversion"/>
  </si>
  <si>
    <r>
      <rPr>
        <sz val="10"/>
        <color theme="1"/>
        <rFont val="Arial Unicode MS"/>
        <family val="2"/>
        <charset val="134"/>
      </rPr>
      <t>易而达</t>
    </r>
    <phoneticPr fontId="3" type="noConversion"/>
  </si>
  <si>
    <t>Y46512</t>
    <phoneticPr fontId="3" type="noConversion"/>
  </si>
  <si>
    <r>
      <t>CY</t>
    </r>
    <r>
      <rPr>
        <sz val="10"/>
        <color theme="1"/>
        <rFont val="Arial Unicode MS"/>
        <family val="2"/>
        <charset val="134"/>
      </rPr>
      <t>仓库</t>
    </r>
  </si>
  <si>
    <r>
      <rPr>
        <sz val="10"/>
        <color theme="1"/>
        <rFont val="Arial Unicode MS"/>
        <family val="2"/>
        <charset val="134"/>
      </rPr>
      <t>已经发货</t>
    </r>
    <phoneticPr fontId="3" type="noConversion"/>
  </si>
  <si>
    <t>OCT 18</t>
  </si>
  <si>
    <t>Y46511</t>
    <phoneticPr fontId="3" type="noConversion"/>
  </si>
  <si>
    <r>
      <rPr>
        <sz val="10"/>
        <color theme="1"/>
        <rFont val="Arial Unicode MS"/>
        <family val="2"/>
        <charset val="134"/>
      </rPr>
      <t>立昇</t>
    </r>
    <phoneticPr fontId="3" type="noConversion"/>
  </si>
  <si>
    <t>Y45374</t>
    <phoneticPr fontId="3" type="noConversion"/>
  </si>
  <si>
    <t>Y45375</t>
    <phoneticPr fontId="3" type="noConversion"/>
  </si>
  <si>
    <r>
      <rPr>
        <sz val="10"/>
        <color theme="1"/>
        <rFont val="Arial Unicode MS"/>
        <family val="2"/>
        <charset val="134"/>
      </rPr>
      <t>此台机器预留了上海的</t>
    </r>
    <r>
      <rPr>
        <sz val="10"/>
        <color theme="1"/>
        <rFont val="Arial"/>
        <family val="2"/>
      </rPr>
      <t xml:space="preserve">Y48836 </t>
    </r>
    <phoneticPr fontId="3" type="noConversion"/>
  </si>
  <si>
    <t>Y48836</t>
    <phoneticPr fontId="3" type="noConversion"/>
  </si>
  <si>
    <t>SEP 19</t>
  </si>
  <si>
    <t>C170529430</t>
    <phoneticPr fontId="3" type="noConversion"/>
  </si>
  <si>
    <t>YS24X</t>
  </si>
  <si>
    <t>sATSII</t>
  </si>
  <si>
    <t>Y44428</t>
  </si>
  <si>
    <t>JUL 19</t>
  </si>
  <si>
    <t>C180331577</t>
    <phoneticPr fontId="3" type="noConversion"/>
  </si>
  <si>
    <r>
      <rPr>
        <sz val="10"/>
        <color theme="1"/>
        <rFont val="Arial Unicode MS"/>
        <family val="2"/>
        <charset val="134"/>
      </rPr>
      <t>上达</t>
    </r>
    <phoneticPr fontId="3" type="noConversion"/>
  </si>
  <si>
    <t>Y45234</t>
  </si>
  <si>
    <t>Na</t>
    <phoneticPr fontId="3" type="noConversion"/>
  </si>
  <si>
    <t>Y45235</t>
  </si>
  <si>
    <t>Y44479</t>
    <phoneticPr fontId="3" type="noConversion"/>
  </si>
  <si>
    <t>Y44468</t>
    <phoneticPr fontId="3" type="noConversion"/>
  </si>
  <si>
    <t>Y44961</t>
  </si>
  <si>
    <t>MAR 19</t>
  </si>
  <si>
    <t>Y44962</t>
  </si>
  <si>
    <t>Y44960</t>
  </si>
  <si>
    <t>Y44963</t>
  </si>
  <si>
    <t>C181133465</t>
    <phoneticPr fontId="3" type="noConversion"/>
  </si>
  <si>
    <t>SIGMA-G5S2</t>
    <phoneticPr fontId="3" type="noConversion"/>
  </si>
  <si>
    <t>Y44956</t>
  </si>
  <si>
    <t>APR 19</t>
  </si>
  <si>
    <r>
      <rPr>
        <sz val="10"/>
        <color theme="1"/>
        <rFont val="Arial Unicode MS"/>
        <family val="2"/>
        <charset val="134"/>
      </rPr>
      <t>中润互联</t>
    </r>
    <phoneticPr fontId="3" type="noConversion"/>
  </si>
  <si>
    <t>YSM20-2</t>
  </si>
  <si>
    <t>Y44214</t>
    <phoneticPr fontId="3" type="noConversion"/>
  </si>
  <si>
    <t>NOV 18</t>
  </si>
  <si>
    <t>Y46126</t>
  </si>
  <si>
    <r>
      <t>CY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</si>
  <si>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Y46124</t>
  </si>
  <si>
    <t>Y44970</t>
    <phoneticPr fontId="3" type="noConversion"/>
  </si>
  <si>
    <t>Y44971</t>
    <phoneticPr fontId="3" type="noConversion"/>
  </si>
  <si>
    <t>Y44973</t>
    <phoneticPr fontId="3" type="noConversion"/>
  </si>
  <si>
    <t>Y44974</t>
  </si>
  <si>
    <r>
      <rPr>
        <sz val="10"/>
        <color theme="1"/>
        <rFont val="Arial Unicode MS"/>
        <family val="2"/>
        <charset val="134"/>
      </rPr>
      <t>康佳</t>
    </r>
    <phoneticPr fontId="3" type="noConversion"/>
  </si>
  <si>
    <t>Y45141</t>
  </si>
  <si>
    <t>Y45142</t>
  </si>
  <si>
    <t>Y45138</t>
    <phoneticPr fontId="3" type="noConversion"/>
  </si>
  <si>
    <t>Y45140</t>
  </si>
  <si>
    <t>Y45797</t>
  </si>
  <si>
    <t>Y45798</t>
    <phoneticPr fontId="3" type="noConversion"/>
  </si>
  <si>
    <t>Y45799</t>
    <phoneticPr fontId="3" type="noConversion"/>
  </si>
  <si>
    <t xml:space="preserve">Y45139 </t>
  </si>
  <si>
    <t>Y44952</t>
    <phoneticPr fontId="3" type="noConversion"/>
  </si>
  <si>
    <t>FEB 19</t>
  </si>
  <si>
    <t>Y44953</t>
  </si>
  <si>
    <t>Y46111</t>
  </si>
  <si>
    <t>Y46112</t>
  </si>
  <si>
    <t>Y44983</t>
  </si>
  <si>
    <r>
      <t>2019.4.3</t>
    </r>
    <r>
      <rPr>
        <sz val="10"/>
        <color theme="1"/>
        <rFont val="Arial Unicode MS"/>
        <family val="2"/>
        <charset val="134"/>
      </rPr>
      <t>拖</t>
    </r>
    <r>
      <rPr>
        <sz val="10"/>
        <color theme="1"/>
        <rFont val="Arial"/>
        <family val="2"/>
      </rPr>
      <t>CY</t>
    </r>
  </si>
  <si>
    <t>Y44984</t>
    <phoneticPr fontId="3" type="noConversion"/>
  </si>
  <si>
    <t>Y44985</t>
  </si>
  <si>
    <r>
      <t xml:space="preserve">Yes end user </t>
    </r>
    <r>
      <rPr>
        <sz val="10"/>
        <color theme="1"/>
        <rFont val="Arial Unicode MS"/>
        <family val="2"/>
        <charset val="134"/>
      </rPr>
      <t>拓普塞特</t>
    </r>
    <phoneticPr fontId="3" type="noConversion"/>
  </si>
  <si>
    <t>Y44986</t>
  </si>
  <si>
    <t>C180131261</t>
    <phoneticPr fontId="3" type="noConversion"/>
  </si>
  <si>
    <t>Y44979</t>
  </si>
  <si>
    <t>Y44981</t>
  </si>
  <si>
    <t>Y44980</t>
    <phoneticPr fontId="3" type="noConversion"/>
  </si>
  <si>
    <t>Y44982</t>
  </si>
  <si>
    <t>Y44975</t>
  </si>
  <si>
    <t>Y44976</t>
  </si>
  <si>
    <t>Y44977</t>
  </si>
  <si>
    <t>MAY 19</t>
  </si>
  <si>
    <r>
      <t xml:space="preserve">Yes,end user </t>
    </r>
    <r>
      <rPr>
        <sz val="10"/>
        <color theme="1"/>
        <rFont val="Arial Unicode MS"/>
        <family val="2"/>
        <charset val="134"/>
      </rPr>
      <t>昶达</t>
    </r>
    <phoneticPr fontId="3" type="noConversion"/>
  </si>
  <si>
    <t>Y44978</t>
  </si>
  <si>
    <t>Y46673</t>
    <phoneticPr fontId="3" type="noConversion"/>
  </si>
  <si>
    <t>Y46674</t>
  </si>
  <si>
    <r>
      <rPr>
        <sz val="10"/>
        <color theme="1"/>
        <rFont val="Arial Unicode MS"/>
        <family val="2"/>
        <charset val="134"/>
      </rPr>
      <t>永顺创</t>
    </r>
    <phoneticPr fontId="3" type="noConversion"/>
  </si>
  <si>
    <t>Y46418</t>
    <phoneticPr fontId="3" type="noConversion"/>
  </si>
  <si>
    <r>
      <rPr>
        <sz val="10"/>
        <color theme="1"/>
        <rFont val="Arial Unicode MS"/>
        <family val="2"/>
        <charset val="134"/>
      </rPr>
      <t>码头</t>
    </r>
  </si>
  <si>
    <r>
      <t>OEF</t>
    </r>
    <r>
      <rPr>
        <sz val="8"/>
        <color theme="1"/>
        <rFont val="Arial Unicode MS"/>
        <family val="2"/>
        <charset val="134"/>
      </rPr>
      <t>已做</t>
    </r>
    <phoneticPr fontId="3" type="noConversion"/>
  </si>
  <si>
    <t>Y46419</t>
    <phoneticPr fontId="3" type="noConversion"/>
  </si>
  <si>
    <r>
      <rPr>
        <sz val="10"/>
        <color theme="1"/>
        <rFont val="Arial Unicode MS"/>
        <family val="2"/>
        <charset val="134"/>
      </rPr>
      <t>亿联</t>
    </r>
    <phoneticPr fontId="3" type="noConversion"/>
  </si>
  <si>
    <t>Y45637</t>
    <phoneticPr fontId="3" type="noConversion"/>
  </si>
  <si>
    <t>Y45638</t>
    <phoneticPr fontId="3" type="noConversion"/>
  </si>
  <si>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</si>
  <si>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Y45850</t>
    <phoneticPr fontId="3" type="noConversion"/>
  </si>
  <si>
    <t>C190935664</t>
    <phoneticPr fontId="3" type="noConversion"/>
  </si>
  <si>
    <t>Y45851</t>
  </si>
  <si>
    <t>C190434452</t>
    <phoneticPr fontId="3" type="noConversion"/>
  </si>
  <si>
    <t>Y45751</t>
    <phoneticPr fontId="3" type="noConversion"/>
  </si>
  <si>
    <t>C180331587</t>
    <phoneticPr fontId="3" type="noConversion"/>
  </si>
  <si>
    <t>Y45752</t>
    <phoneticPr fontId="3" type="noConversion"/>
  </si>
  <si>
    <r>
      <rPr>
        <sz val="9"/>
        <color theme="1"/>
        <rFont val="Arial Unicode MS"/>
        <family val="2"/>
        <charset val="134"/>
      </rPr>
      <t>咸阳宇迪</t>
    </r>
    <phoneticPr fontId="3" type="noConversion"/>
  </si>
  <si>
    <t>Y45753</t>
    <phoneticPr fontId="3" type="noConversion"/>
  </si>
  <si>
    <t>JUN 19</t>
  </si>
  <si>
    <t>C111110870</t>
    <phoneticPr fontId="3" type="noConversion"/>
  </si>
  <si>
    <t>Y45754</t>
    <phoneticPr fontId="3" type="noConversion"/>
  </si>
  <si>
    <t>C180131115</t>
    <phoneticPr fontId="3" type="noConversion"/>
  </si>
  <si>
    <t>Y45755</t>
    <phoneticPr fontId="3" type="noConversion"/>
  </si>
  <si>
    <t>Y45756</t>
    <phoneticPr fontId="3" type="noConversion"/>
  </si>
  <si>
    <t>C181233636</t>
    <phoneticPr fontId="3" type="noConversion"/>
  </si>
  <si>
    <t>YS24</t>
  </si>
  <si>
    <t>Y45172</t>
    <phoneticPr fontId="3" type="noConversion"/>
  </si>
  <si>
    <r>
      <rPr>
        <sz val="10"/>
        <color theme="1"/>
        <rFont val="Arial Unicode MS"/>
        <family val="2"/>
        <charset val="134"/>
      </rPr>
      <t>前海福源</t>
    </r>
    <r>
      <rPr>
        <sz val="10"/>
        <color theme="1"/>
        <rFont val="Arial"/>
        <family val="2"/>
      </rPr>
      <t xml:space="preserve"> </t>
    </r>
    <phoneticPr fontId="3" type="noConversion"/>
  </si>
  <si>
    <t>Y45171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</si>
  <si>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（鼎鸿</t>
    </r>
    <r>
      <rPr>
        <sz val="8"/>
        <color theme="1"/>
        <rFont val="Arial"/>
        <family val="2"/>
      </rPr>
      <t>20180033GL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</si>
  <si>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Y45170</t>
    <phoneticPr fontId="3" type="noConversion"/>
  </si>
  <si>
    <t>AUG 19</t>
  </si>
  <si>
    <t>C180331607</t>
    <phoneticPr fontId="3" type="noConversion"/>
  </si>
  <si>
    <t>Y45169</t>
    <phoneticPr fontId="3" type="noConversion"/>
  </si>
  <si>
    <t>Y45174</t>
    <phoneticPr fontId="3" type="noConversion"/>
  </si>
  <si>
    <t>Y45173</t>
    <phoneticPr fontId="3" type="noConversion"/>
  </si>
  <si>
    <t>Y45802</t>
    <phoneticPr fontId="3" type="noConversion"/>
  </si>
  <si>
    <r>
      <rPr>
        <sz val="10"/>
        <rFont val="Arial Unicode MS"/>
        <family val="2"/>
        <charset val="134"/>
      </rPr>
      <t>上达名义</t>
    </r>
    <phoneticPr fontId="3" type="noConversion"/>
  </si>
  <si>
    <t>Y45144</t>
    <phoneticPr fontId="3" type="noConversion"/>
  </si>
  <si>
    <r>
      <t>CY</t>
    </r>
    <r>
      <rPr>
        <sz val="10"/>
        <rFont val="Arial Unicode MS"/>
        <family val="2"/>
        <charset val="134"/>
      </rPr>
      <t>仓库</t>
    </r>
  </si>
  <si>
    <t>Y46177</t>
    <phoneticPr fontId="3" type="noConversion"/>
  </si>
  <si>
    <t>Y45145</t>
    <phoneticPr fontId="3" type="noConversion"/>
  </si>
  <si>
    <t>Y45796</t>
    <phoneticPr fontId="3" type="noConversion"/>
  </si>
  <si>
    <t>Y45800</t>
    <phoneticPr fontId="3" type="noConversion"/>
  </si>
  <si>
    <t>Y45801</t>
    <phoneticPr fontId="3" type="noConversion"/>
  </si>
  <si>
    <t>Y45758</t>
  </si>
  <si>
    <t>C180532090</t>
    <phoneticPr fontId="3" type="noConversion"/>
  </si>
  <si>
    <r>
      <t xml:space="preserve">MVC+Rear </t>
    </r>
    <r>
      <rPr>
        <sz val="10"/>
        <color theme="1"/>
        <rFont val="Arial Unicode MS"/>
        <family val="2"/>
        <charset val="134"/>
      </rPr>
      <t>站位</t>
    </r>
  </si>
  <si>
    <t>Y45759</t>
    <phoneticPr fontId="3" type="noConversion"/>
  </si>
  <si>
    <t>C120111315</t>
    <phoneticPr fontId="3" type="noConversion"/>
  </si>
  <si>
    <t>Y45763</t>
  </si>
  <si>
    <r>
      <rPr>
        <sz val="10"/>
        <color theme="1"/>
        <rFont val="Arial Unicode MS"/>
        <family val="2"/>
        <charset val="134"/>
      </rPr>
      <t>盐保仓库</t>
    </r>
  </si>
  <si>
    <t>Y45764</t>
  </si>
  <si>
    <t>C190434453</t>
    <phoneticPr fontId="3" type="noConversion"/>
  </si>
  <si>
    <t>Y45765</t>
  </si>
  <si>
    <t>C180431966</t>
    <phoneticPr fontId="3" type="noConversion"/>
  </si>
  <si>
    <t>Y45766</t>
  </si>
  <si>
    <t>C120111425</t>
    <phoneticPr fontId="3" type="noConversion"/>
  </si>
  <si>
    <t>Y45760</t>
  </si>
  <si>
    <t>na</t>
    <phoneticPr fontId="3" type="noConversion"/>
  </si>
  <si>
    <t>Y45761</t>
  </si>
  <si>
    <t>Y45762</t>
    <phoneticPr fontId="3" type="noConversion"/>
  </si>
  <si>
    <t>C150122206</t>
    <phoneticPr fontId="3" type="noConversion"/>
  </si>
  <si>
    <t>Y45177</t>
    <phoneticPr fontId="3" type="noConversion"/>
  </si>
  <si>
    <t>Y45165</t>
    <phoneticPr fontId="3" type="noConversion"/>
  </si>
  <si>
    <t>Y45166</t>
    <phoneticPr fontId="3" type="noConversion"/>
  </si>
  <si>
    <t>Y45156</t>
    <phoneticPr fontId="3" type="noConversion"/>
  </si>
  <si>
    <t>Y45159</t>
    <phoneticPr fontId="3" type="noConversion"/>
  </si>
  <si>
    <r>
      <rPr>
        <sz val="10"/>
        <color theme="1"/>
        <rFont val="Arial Unicode MS"/>
        <family val="2"/>
        <charset val="134"/>
      </rPr>
      <t>朗特名义</t>
    </r>
    <phoneticPr fontId="3" type="noConversion"/>
  </si>
  <si>
    <t>Y44944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</si>
  <si>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（朗特</t>
    </r>
    <r>
      <rPr>
        <sz val="8"/>
        <color theme="1"/>
        <rFont val="Arial"/>
        <family val="2"/>
      </rPr>
      <t>20180078DZ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</si>
  <si>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Y44945</t>
    <phoneticPr fontId="3" type="noConversion"/>
  </si>
  <si>
    <t>Y45178</t>
    <phoneticPr fontId="3" type="noConversion"/>
  </si>
  <si>
    <r>
      <rPr>
        <sz val="8"/>
        <color theme="1"/>
        <rFont val="Arial Unicode MS"/>
        <family val="2"/>
        <charset val="134"/>
      </rPr>
      <t>此台机器做了</t>
    </r>
    <r>
      <rPr>
        <sz val="8"/>
        <color theme="1"/>
        <rFont val="Arial"/>
        <family val="2"/>
      </rPr>
      <t>OEF</t>
    </r>
    <r>
      <rPr>
        <sz val="8"/>
        <color theme="1"/>
        <rFont val="Arial Unicode MS"/>
        <family val="2"/>
        <charset val="134"/>
      </rPr>
      <t>（恒润</t>
    </r>
    <r>
      <rPr>
        <sz val="8"/>
        <color theme="1"/>
        <rFont val="Arial"/>
        <family val="2"/>
      </rPr>
      <t>20180105JY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</si>
  <si>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英拓邦名义</t>
    </r>
    <phoneticPr fontId="3" type="noConversion"/>
  </si>
  <si>
    <t>Y45853</t>
    <phoneticPr fontId="3" type="noConversion"/>
  </si>
  <si>
    <t>Y45852</t>
    <phoneticPr fontId="3" type="noConversion"/>
  </si>
  <si>
    <t>yes</t>
    <phoneticPr fontId="3" type="noConversion"/>
  </si>
  <si>
    <r>
      <rPr>
        <sz val="10"/>
        <color theme="1"/>
        <rFont val="Arial Unicode MS"/>
        <family val="2"/>
        <charset val="134"/>
      </rPr>
      <t>小耳朵名义，</t>
    </r>
    <r>
      <rPr>
        <sz val="10"/>
        <color theme="1"/>
        <rFont val="Arial"/>
        <family val="2"/>
      </rPr>
      <t>IND</t>
    </r>
    <phoneticPr fontId="3" type="noConversion"/>
  </si>
  <si>
    <t>cATS30+MVC+special layout</t>
  </si>
  <si>
    <t>Y46916</t>
    <phoneticPr fontId="3" type="noConversion"/>
  </si>
  <si>
    <t>IND order</t>
    <phoneticPr fontId="3" type="noConversion"/>
  </si>
  <si>
    <t>Y44946</t>
    <phoneticPr fontId="3" type="noConversion"/>
  </si>
  <si>
    <t>Y44947</t>
    <phoneticPr fontId="3" type="noConversion"/>
  </si>
  <si>
    <t>Y45803</t>
    <phoneticPr fontId="3" type="noConversion"/>
  </si>
  <si>
    <t>Y45804</t>
    <phoneticPr fontId="3" type="noConversion"/>
  </si>
  <si>
    <t>Y45805</t>
    <phoneticPr fontId="3" type="noConversion"/>
  </si>
  <si>
    <r>
      <rPr>
        <sz val="10"/>
        <color theme="1"/>
        <rFont val="Arial Unicode MS"/>
        <family val="2"/>
        <charset val="134"/>
      </rPr>
      <t>易而达名义</t>
    </r>
    <phoneticPr fontId="3" type="noConversion"/>
  </si>
  <si>
    <t>Y46530</t>
    <phoneticPr fontId="3" type="noConversion"/>
  </si>
  <si>
    <t>OCT 19</t>
  </si>
  <si>
    <t>C190835446</t>
    <phoneticPr fontId="3" type="noConversion"/>
  </si>
  <si>
    <t>Y46529</t>
    <phoneticPr fontId="3" type="noConversion"/>
  </si>
  <si>
    <r>
      <rPr>
        <sz val="10"/>
        <rFont val="Arial Unicode MS"/>
        <family val="2"/>
        <charset val="134"/>
      </rPr>
      <t>丰硕名义</t>
    </r>
    <phoneticPr fontId="3" type="noConversion"/>
  </si>
  <si>
    <t>Y44573</t>
    <phoneticPr fontId="3" type="noConversion"/>
  </si>
  <si>
    <r>
      <rPr>
        <sz val="10"/>
        <color theme="1"/>
        <rFont val="Arial Unicode MS"/>
        <family val="2"/>
        <charset val="134"/>
      </rPr>
      <t>丰硕名义</t>
    </r>
    <phoneticPr fontId="3" type="noConversion"/>
  </si>
  <si>
    <t>Y44574</t>
    <phoneticPr fontId="3" type="noConversion"/>
  </si>
  <si>
    <t>Y44571</t>
    <phoneticPr fontId="3" type="noConversion"/>
  </si>
  <si>
    <t>Y44572</t>
    <phoneticPr fontId="3" type="noConversion"/>
  </si>
  <si>
    <t>Y45143</t>
    <phoneticPr fontId="3" type="noConversion"/>
  </si>
  <si>
    <r>
      <rPr>
        <sz val="10"/>
        <color theme="1"/>
        <rFont val="Arial Unicode MS"/>
        <family val="2"/>
        <charset val="134"/>
      </rPr>
      <t>上达名义</t>
    </r>
    <phoneticPr fontId="3" type="noConversion"/>
  </si>
  <si>
    <t>Y45146</t>
    <phoneticPr fontId="3" type="noConversion"/>
  </si>
  <si>
    <t>Y45147</t>
    <phoneticPr fontId="3" type="noConversion"/>
  </si>
  <si>
    <r>
      <rPr>
        <sz val="10"/>
        <color theme="1"/>
        <rFont val="Arial Unicode MS"/>
        <family val="2"/>
        <charset val="134"/>
      </rPr>
      <t>安嘉名义</t>
    </r>
    <phoneticPr fontId="3" type="noConversion"/>
  </si>
  <si>
    <t>Y46853</t>
    <phoneticPr fontId="3" type="noConversion"/>
  </si>
  <si>
    <t>Y46852</t>
    <phoneticPr fontId="3" type="noConversion"/>
  </si>
  <si>
    <r>
      <rPr>
        <sz val="10"/>
        <color theme="1"/>
        <rFont val="Arial Unicode MS"/>
        <family val="2"/>
        <charset val="134"/>
      </rPr>
      <t>栩骊名义</t>
    </r>
    <phoneticPr fontId="3" type="noConversion"/>
  </si>
  <si>
    <t>Y45093</t>
    <phoneticPr fontId="3" type="noConversion"/>
  </si>
  <si>
    <t>C181233616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</si>
  <si>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phoneticPr fontId="3" type="noConversion"/>
  </si>
  <si>
    <t>Y45087</t>
    <phoneticPr fontId="3" type="noConversion"/>
  </si>
  <si>
    <r>
      <rPr>
        <sz val="10"/>
        <color theme="1"/>
        <rFont val="Arial Unicode MS"/>
        <family val="2"/>
        <charset val="134"/>
      </rPr>
      <t>力合中转仓</t>
    </r>
  </si>
  <si>
    <t xml:space="preserve">Na </t>
    <phoneticPr fontId="3" type="noConversion"/>
  </si>
  <si>
    <t>C191035928</t>
    <phoneticPr fontId="3" type="noConversion"/>
  </si>
  <si>
    <t>Y45090</t>
    <phoneticPr fontId="3" type="noConversion"/>
  </si>
  <si>
    <t>Y45091</t>
    <phoneticPr fontId="3" type="noConversion"/>
  </si>
  <si>
    <t>Y45092</t>
    <phoneticPr fontId="3" type="noConversion"/>
  </si>
  <si>
    <t>Y45086</t>
    <phoneticPr fontId="3" type="noConversion"/>
  </si>
  <si>
    <t>Y46872</t>
    <phoneticPr fontId="3" type="noConversion"/>
  </si>
  <si>
    <t>NOV 19</t>
  </si>
  <si>
    <t>C190133789</t>
    <phoneticPr fontId="3" type="noConversion"/>
  </si>
  <si>
    <t>Y45089</t>
    <phoneticPr fontId="3" type="noConversion"/>
  </si>
  <si>
    <t>Y45094</t>
    <phoneticPr fontId="3" type="noConversion"/>
  </si>
  <si>
    <r>
      <rPr>
        <sz val="10"/>
        <color theme="1"/>
        <rFont val="Arial Unicode MS"/>
        <family val="2"/>
        <charset val="134"/>
      </rPr>
      <t>瑞福联名义</t>
    </r>
    <phoneticPr fontId="3" type="noConversion"/>
  </si>
  <si>
    <t>Y46848</t>
    <phoneticPr fontId="3" type="noConversion"/>
  </si>
  <si>
    <t>Y46849</t>
    <phoneticPr fontId="3" type="noConversion"/>
  </si>
  <si>
    <t>Y46850</t>
  </si>
  <si>
    <t>Y46851</t>
  </si>
  <si>
    <r>
      <rPr>
        <sz val="10"/>
        <color theme="1"/>
        <rFont val="Arial Unicode MS"/>
        <family val="2"/>
        <charset val="134"/>
      </rPr>
      <t>深台名义</t>
    </r>
    <phoneticPr fontId="3" type="noConversion"/>
  </si>
  <si>
    <t>Y45958</t>
    <phoneticPr fontId="3" type="noConversion"/>
  </si>
  <si>
    <r>
      <rPr>
        <sz val="10"/>
        <color theme="1"/>
        <rFont val="Arial Unicode MS"/>
        <family val="2"/>
        <charset val="134"/>
      </rPr>
      <t>立昇名义</t>
    </r>
    <phoneticPr fontId="3" type="noConversion"/>
  </si>
  <si>
    <t>Y45376</t>
    <phoneticPr fontId="3" type="noConversion"/>
  </si>
  <si>
    <t>Y45377</t>
    <phoneticPr fontId="3" type="noConversion"/>
  </si>
  <si>
    <r>
      <rPr>
        <sz val="10"/>
        <color theme="1"/>
        <rFont val="Arial Unicode MS"/>
        <family val="2"/>
        <charset val="134"/>
      </rPr>
      <t>通通旺名义</t>
    </r>
    <phoneticPr fontId="3" type="noConversion"/>
  </si>
  <si>
    <t>Y46846</t>
    <phoneticPr fontId="3" type="noConversion"/>
  </si>
  <si>
    <t>Y46847</t>
    <phoneticPr fontId="3" type="noConversion"/>
  </si>
  <si>
    <t>Y47271</t>
    <phoneticPr fontId="3" type="noConversion"/>
  </si>
  <si>
    <t>Y47279</t>
    <phoneticPr fontId="3" type="noConversion"/>
  </si>
  <si>
    <t>Y47272</t>
    <phoneticPr fontId="3" type="noConversion"/>
  </si>
  <si>
    <t>Y47273</t>
    <phoneticPr fontId="3" type="noConversion"/>
  </si>
  <si>
    <t>Y47274</t>
    <phoneticPr fontId="3" type="noConversion"/>
  </si>
  <si>
    <t>MVC+Fixed feeder plate 24 positions</t>
  </si>
  <si>
    <t>Y47280</t>
    <phoneticPr fontId="3" type="noConversion"/>
  </si>
  <si>
    <t>Y47281</t>
    <phoneticPr fontId="3" type="noConversion"/>
  </si>
  <si>
    <t>Y47275</t>
    <phoneticPr fontId="3" type="noConversion"/>
  </si>
  <si>
    <t>Y47276</t>
    <phoneticPr fontId="3" type="noConversion"/>
  </si>
  <si>
    <t>Y47277</t>
    <phoneticPr fontId="3" type="noConversion"/>
  </si>
  <si>
    <t>Y47278</t>
    <phoneticPr fontId="3" type="noConversion"/>
  </si>
  <si>
    <r>
      <t>BBS</t>
    </r>
    <r>
      <rPr>
        <sz val="10"/>
        <color theme="1"/>
        <rFont val="Arial Unicode MS"/>
        <family val="2"/>
        <charset val="134"/>
      </rPr>
      <t>名义下单</t>
    </r>
    <phoneticPr fontId="3" type="noConversion"/>
  </si>
  <si>
    <t>Y46160</t>
    <phoneticPr fontId="3" type="noConversion"/>
  </si>
  <si>
    <t>Y46161</t>
    <phoneticPr fontId="3" type="noConversion"/>
  </si>
  <si>
    <t>C150523509</t>
    <phoneticPr fontId="3" type="noConversion"/>
  </si>
  <si>
    <t>Y46159</t>
    <phoneticPr fontId="3" type="noConversion"/>
  </si>
  <si>
    <t>Y46162</t>
    <phoneticPr fontId="3" type="noConversion"/>
  </si>
  <si>
    <t>Y46163</t>
    <phoneticPr fontId="3" type="noConversion"/>
  </si>
  <si>
    <t>C190534655</t>
    <phoneticPr fontId="3" type="noConversion"/>
  </si>
  <si>
    <t>Y46164</t>
    <phoneticPr fontId="3" type="noConversion"/>
  </si>
  <si>
    <t>Y46165</t>
    <phoneticPr fontId="3" type="noConversion"/>
  </si>
  <si>
    <t>Y46166</t>
    <phoneticPr fontId="3" type="noConversion"/>
  </si>
  <si>
    <t>Y46167</t>
    <phoneticPr fontId="3" type="noConversion"/>
  </si>
  <si>
    <t>C141021043</t>
    <phoneticPr fontId="3" type="noConversion"/>
  </si>
  <si>
    <t>Y46168</t>
    <phoneticPr fontId="3" type="noConversion"/>
  </si>
  <si>
    <r>
      <rPr>
        <sz val="10"/>
        <rFont val="Arial Unicode MS"/>
        <family val="2"/>
        <charset val="134"/>
      </rPr>
      <t>拓普艾名义</t>
    </r>
    <phoneticPr fontId="3" type="noConversion"/>
  </si>
  <si>
    <t>Y45688</t>
    <phoneticPr fontId="3" type="noConversion"/>
  </si>
  <si>
    <t>Y45689</t>
    <phoneticPr fontId="3" type="noConversion"/>
  </si>
  <si>
    <r>
      <rPr>
        <sz val="9"/>
        <color theme="1"/>
        <rFont val="Arial Unicode MS"/>
        <family val="2"/>
        <charset val="134"/>
      </rPr>
      <t>浙江金子星</t>
    </r>
    <r>
      <rPr>
        <sz val="9"/>
        <color theme="1"/>
        <rFont val="Arial"/>
        <family val="2"/>
      </rPr>
      <t>-1</t>
    </r>
    <phoneticPr fontId="3" type="noConversion"/>
  </si>
  <si>
    <t>YCP10</t>
  </si>
  <si>
    <t>Y47728</t>
    <phoneticPr fontId="3" type="noConversion"/>
  </si>
  <si>
    <t>Y47729</t>
    <phoneticPr fontId="3" type="noConversion"/>
  </si>
  <si>
    <t>APR 20</t>
  </si>
  <si>
    <t>C200336888</t>
    <phoneticPr fontId="3" type="noConversion"/>
  </si>
  <si>
    <r>
      <rPr>
        <sz val="10"/>
        <color theme="1"/>
        <rFont val="Arial Unicode MS"/>
        <family val="2"/>
        <charset val="134"/>
      </rPr>
      <t>拓普艾名义</t>
    </r>
    <phoneticPr fontId="3" type="noConversion"/>
  </si>
  <si>
    <t>Y45690</t>
    <phoneticPr fontId="3" type="noConversion"/>
  </si>
  <si>
    <r>
      <t xml:space="preserve">C190434540, </t>
    </r>
    <r>
      <rPr>
        <sz val="10"/>
        <color theme="1"/>
        <rFont val="Arial Unicode MS"/>
        <family val="2"/>
        <charset val="134"/>
      </rPr>
      <t>前海福源</t>
    </r>
    <phoneticPr fontId="3" type="noConversion"/>
  </si>
  <si>
    <t>Y45691</t>
    <phoneticPr fontId="3" type="noConversion"/>
  </si>
  <si>
    <t>Y46281</t>
    <phoneticPr fontId="3" type="noConversion"/>
  </si>
  <si>
    <t>C180532243</t>
    <phoneticPr fontId="3" type="noConversion"/>
  </si>
  <si>
    <t>Y46275</t>
    <phoneticPr fontId="3" type="noConversion"/>
  </si>
  <si>
    <t>C180231291</t>
    <phoneticPr fontId="3" type="noConversion"/>
  </si>
  <si>
    <t>Y46272</t>
    <phoneticPr fontId="3" type="noConversion"/>
  </si>
  <si>
    <t>C190133876</t>
    <phoneticPr fontId="3" type="noConversion"/>
  </si>
  <si>
    <t>Y46273</t>
    <phoneticPr fontId="3" type="noConversion"/>
  </si>
  <si>
    <t>Y46274</t>
    <phoneticPr fontId="3" type="noConversion"/>
  </si>
  <si>
    <t>Y46277</t>
    <phoneticPr fontId="3" type="noConversion"/>
  </si>
  <si>
    <t>C180331720</t>
    <phoneticPr fontId="3" type="noConversion"/>
  </si>
  <si>
    <t>Y46280</t>
    <phoneticPr fontId="3" type="noConversion"/>
  </si>
  <si>
    <t>C190634898</t>
    <phoneticPr fontId="3" type="noConversion"/>
  </si>
  <si>
    <t>Y46276</t>
    <phoneticPr fontId="3" type="noConversion"/>
  </si>
  <si>
    <t>C4910434452</t>
    <phoneticPr fontId="3" type="noConversion"/>
  </si>
  <si>
    <t>Y46278</t>
    <phoneticPr fontId="3" type="noConversion"/>
  </si>
  <si>
    <t>C171030541</t>
    <phoneticPr fontId="3" type="noConversion"/>
  </si>
  <si>
    <t>Y46279</t>
    <phoneticPr fontId="3" type="noConversion"/>
  </si>
  <si>
    <r>
      <rPr>
        <sz val="10"/>
        <color theme="1"/>
        <rFont val="Arial Unicode MS"/>
        <family val="2"/>
        <charset val="134"/>
      </rPr>
      <t>龙腾名义</t>
    </r>
    <phoneticPr fontId="3" type="noConversion"/>
  </si>
  <si>
    <t>Y45340</t>
    <phoneticPr fontId="3" type="noConversion"/>
  </si>
  <si>
    <t>Y45794</t>
    <phoneticPr fontId="3" type="noConversion"/>
  </si>
  <si>
    <t>Y45341</t>
    <phoneticPr fontId="3" type="noConversion"/>
  </si>
  <si>
    <t>Y45792</t>
    <phoneticPr fontId="3" type="noConversion"/>
  </si>
  <si>
    <t>Y45793</t>
    <phoneticPr fontId="3" type="noConversion"/>
  </si>
  <si>
    <t>C180732678</t>
    <phoneticPr fontId="3" type="noConversion"/>
  </si>
  <si>
    <r>
      <t xml:space="preserve">Yamaha </t>
    </r>
    <r>
      <rPr>
        <sz val="10"/>
        <color theme="1"/>
        <rFont val="Arial Unicode MS"/>
        <family val="2"/>
        <charset val="134"/>
      </rPr>
      <t>归还</t>
    </r>
    <phoneticPr fontId="3" type="noConversion"/>
  </si>
  <si>
    <t xml:space="preserve">Yamaha </t>
    <phoneticPr fontId="3" type="noConversion"/>
  </si>
  <si>
    <t>Y46227</t>
    <phoneticPr fontId="3" type="noConversion"/>
  </si>
  <si>
    <r>
      <rPr>
        <sz val="10"/>
        <color theme="1"/>
        <rFont val="Arial Unicode MS"/>
        <family val="2"/>
        <charset val="134"/>
      </rPr>
      <t>亿联名义</t>
    </r>
    <phoneticPr fontId="3" type="noConversion"/>
  </si>
  <si>
    <t>Y45639</t>
    <phoneticPr fontId="3" type="noConversion"/>
  </si>
  <si>
    <t>C190935541</t>
    <phoneticPr fontId="3" type="noConversion"/>
  </si>
  <si>
    <t>Y45640</t>
    <phoneticPr fontId="3" type="noConversion"/>
  </si>
  <si>
    <t>C170629716</t>
    <phoneticPr fontId="3" type="noConversion"/>
  </si>
  <si>
    <t>Y45641</t>
    <phoneticPr fontId="3" type="noConversion"/>
  </si>
  <si>
    <t>Na</t>
    <phoneticPr fontId="12" type="noConversion"/>
  </si>
  <si>
    <t>C190534702</t>
    <phoneticPr fontId="3" type="noConversion"/>
  </si>
  <si>
    <t>Y45642</t>
    <phoneticPr fontId="3" type="noConversion"/>
  </si>
  <si>
    <r>
      <rPr>
        <sz val="10"/>
        <color theme="1"/>
        <rFont val="Arial Unicode MS"/>
        <family val="2"/>
        <charset val="134"/>
      </rPr>
      <t>永顺创名义</t>
    </r>
    <phoneticPr fontId="3" type="noConversion"/>
  </si>
  <si>
    <t>Y47328</t>
    <phoneticPr fontId="3" type="noConversion"/>
  </si>
  <si>
    <t>C190434451</t>
    <phoneticPr fontId="3" type="noConversion"/>
  </si>
  <si>
    <t>Y47327</t>
    <phoneticPr fontId="3" type="noConversion"/>
  </si>
  <si>
    <t>Y47329</t>
    <phoneticPr fontId="3" type="noConversion"/>
  </si>
  <si>
    <t>C190735084</t>
    <phoneticPr fontId="3" type="noConversion"/>
  </si>
  <si>
    <t>Y48037</t>
    <phoneticPr fontId="3" type="noConversion"/>
  </si>
  <si>
    <t>C190735079</t>
    <phoneticPr fontId="3" type="noConversion"/>
  </si>
  <si>
    <t>Y48035</t>
    <phoneticPr fontId="3" type="noConversion"/>
  </si>
  <si>
    <r>
      <rPr>
        <sz val="10"/>
        <color theme="1"/>
        <rFont val="Arial Unicode MS"/>
        <family val="2"/>
        <charset val="134"/>
      </rPr>
      <t>盐保仓库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</si>
  <si>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C190935620</t>
    <phoneticPr fontId="3" type="noConversion"/>
  </si>
  <si>
    <t>Y48036</t>
    <phoneticPr fontId="3" type="noConversion"/>
  </si>
  <si>
    <t>Y48038</t>
    <phoneticPr fontId="3" type="noConversion"/>
  </si>
  <si>
    <t>Y48039</t>
    <phoneticPr fontId="3" type="noConversion"/>
  </si>
  <si>
    <t>Y48040</t>
    <phoneticPr fontId="3" type="noConversion"/>
  </si>
  <si>
    <t>Y48041</t>
    <phoneticPr fontId="3" type="noConversion"/>
  </si>
  <si>
    <t>Y48042</t>
    <phoneticPr fontId="3" type="noConversion"/>
  </si>
  <si>
    <t>C190133805</t>
    <phoneticPr fontId="3" type="noConversion"/>
  </si>
  <si>
    <t>Y48044</t>
    <phoneticPr fontId="3" type="noConversion"/>
  </si>
  <si>
    <t>C190234048</t>
    <phoneticPr fontId="3" type="noConversion"/>
  </si>
  <si>
    <t>Y48043</t>
    <phoneticPr fontId="3" type="noConversion"/>
  </si>
  <si>
    <r>
      <rPr>
        <sz val="10"/>
        <color theme="1"/>
        <rFont val="Arial Unicode MS"/>
        <family val="2"/>
        <charset val="134"/>
      </rPr>
      <t>魔乐视名义</t>
    </r>
    <phoneticPr fontId="3" type="noConversion"/>
  </si>
  <si>
    <t>Y48162</t>
    <phoneticPr fontId="3" type="noConversion"/>
  </si>
  <si>
    <t>Special price</t>
    <phoneticPr fontId="3" type="noConversion"/>
  </si>
  <si>
    <t>Y48171</t>
  </si>
  <si>
    <t>C161128121</t>
    <phoneticPr fontId="3" type="noConversion"/>
  </si>
  <si>
    <t>Y48172</t>
  </si>
  <si>
    <t>Y48175</t>
  </si>
  <si>
    <t>Y48176</t>
  </si>
  <si>
    <t>C190534573</t>
    <phoneticPr fontId="3" type="noConversion"/>
  </si>
  <si>
    <t>Y48178</t>
  </si>
  <si>
    <t>Y48160</t>
    <phoneticPr fontId="3" type="noConversion"/>
  </si>
  <si>
    <t>Y48161</t>
    <phoneticPr fontId="3" type="noConversion"/>
  </si>
  <si>
    <t>Y48173</t>
  </si>
  <si>
    <t>Y48174</t>
  </si>
  <si>
    <t>Y48179</t>
  </si>
  <si>
    <t>Y48180</t>
    <phoneticPr fontId="3" type="noConversion"/>
  </si>
  <si>
    <t>Y48177</t>
  </si>
  <si>
    <r>
      <t>IND,WKK</t>
    </r>
    <r>
      <rPr>
        <sz val="10"/>
        <color theme="1"/>
        <rFont val="Arial Unicode MS"/>
        <family val="2"/>
        <charset val="134"/>
      </rPr>
      <t>（</t>
    </r>
    <r>
      <rPr>
        <sz val="10"/>
        <color theme="1"/>
        <rFont val="Arial"/>
        <family val="2"/>
      </rPr>
      <t xml:space="preserve">End user </t>
    </r>
    <r>
      <rPr>
        <sz val="10"/>
        <color theme="1"/>
        <rFont val="Arial Unicode MS"/>
        <family val="2"/>
        <charset val="134"/>
      </rPr>
      <t>崧盛）</t>
    </r>
    <phoneticPr fontId="3" type="noConversion"/>
  </si>
  <si>
    <t>Y43839</t>
    <phoneticPr fontId="3" type="noConversion"/>
  </si>
  <si>
    <r>
      <t xml:space="preserve">WKK HK </t>
    </r>
    <r>
      <rPr>
        <sz val="10"/>
        <color theme="1"/>
        <rFont val="Arial Unicode MS"/>
        <family val="2"/>
        <charset val="134"/>
      </rPr>
      <t>仓库</t>
    </r>
    <phoneticPr fontId="3" type="noConversion"/>
  </si>
  <si>
    <t>C190635053</t>
    <phoneticPr fontId="3" type="noConversion"/>
  </si>
  <si>
    <t>Y43840</t>
    <phoneticPr fontId="3" type="noConversion"/>
  </si>
  <si>
    <r>
      <t>Y48293</t>
    </r>
    <r>
      <rPr>
        <sz val="10"/>
        <color theme="1"/>
        <rFont val="Arial Unicode MS"/>
        <family val="2"/>
        <charset val="134"/>
      </rPr>
      <t>（此台机运输中有碰撞</t>
    </r>
    <r>
      <rPr>
        <sz val="10"/>
        <color theme="1"/>
        <rFont val="Arial"/>
        <family val="2"/>
      </rPr>
      <t>)</t>
    </r>
    <phoneticPr fontId="3" type="noConversion"/>
  </si>
  <si>
    <t>1</t>
    <phoneticPr fontId="3" type="noConversion"/>
  </si>
  <si>
    <r>
      <t xml:space="preserve">Yamaha Demo </t>
    </r>
    <r>
      <rPr>
        <sz val="10"/>
        <color theme="1"/>
        <rFont val="Arial Unicode MS"/>
        <family val="2"/>
        <charset val="134"/>
      </rPr>
      <t>中心</t>
    </r>
  </si>
  <si>
    <t>Y48291</t>
    <phoneticPr fontId="3" type="noConversion"/>
  </si>
  <si>
    <t>C4190334188</t>
    <phoneticPr fontId="3" type="noConversion"/>
  </si>
  <si>
    <t>Special package</t>
    <phoneticPr fontId="3" type="noConversion"/>
  </si>
  <si>
    <t>Y48547</t>
    <phoneticPr fontId="3" type="noConversion"/>
  </si>
  <si>
    <t>Y48295</t>
  </si>
  <si>
    <t>Y48296</t>
  </si>
  <si>
    <t>Y48297</t>
  </si>
  <si>
    <t>Y48288</t>
  </si>
  <si>
    <t>Y48289</t>
  </si>
  <si>
    <t>Y48290</t>
  </si>
  <si>
    <t>Y48292</t>
  </si>
  <si>
    <t>Y48502</t>
    <phoneticPr fontId="3" type="noConversion"/>
  </si>
  <si>
    <t>C11048457</t>
    <phoneticPr fontId="3" type="noConversion"/>
  </si>
  <si>
    <t>Y48499</t>
    <phoneticPr fontId="3" type="noConversion"/>
  </si>
  <si>
    <t>C190735184</t>
    <phoneticPr fontId="3" type="noConversion"/>
  </si>
  <si>
    <t>Y48504</t>
    <phoneticPr fontId="3" type="noConversion"/>
  </si>
  <si>
    <t>Y48294</t>
  </si>
  <si>
    <t>C190534797</t>
    <phoneticPr fontId="3" type="noConversion"/>
  </si>
  <si>
    <t>Y48509</t>
    <phoneticPr fontId="3" type="noConversion"/>
  </si>
  <si>
    <r>
      <rPr>
        <sz val="10"/>
        <color theme="1"/>
        <rFont val="Arial Unicode MS"/>
        <family val="2"/>
        <charset val="134"/>
      </rPr>
      <t>辉记中转仓</t>
    </r>
  </si>
  <si>
    <t>C190935542</t>
    <phoneticPr fontId="3" type="noConversion"/>
  </si>
  <si>
    <t>Y48549</t>
    <phoneticPr fontId="3" type="noConversion"/>
  </si>
  <si>
    <t>Y48550</t>
    <phoneticPr fontId="3" type="noConversion"/>
  </si>
  <si>
    <t>C190534660</t>
    <phoneticPr fontId="3" type="noConversion"/>
  </si>
  <si>
    <t>Y48508</t>
    <phoneticPr fontId="3" type="noConversion"/>
  </si>
  <si>
    <t>Y48506</t>
    <phoneticPr fontId="3" type="noConversion"/>
  </si>
  <si>
    <t>Y48510</t>
    <phoneticPr fontId="3" type="noConversion"/>
  </si>
  <si>
    <t>C190835457</t>
    <phoneticPr fontId="3" type="noConversion"/>
  </si>
  <si>
    <t>Y48511</t>
    <phoneticPr fontId="3" type="noConversion"/>
  </si>
  <si>
    <t>C191035983</t>
    <phoneticPr fontId="3" type="noConversion"/>
  </si>
  <si>
    <t>Y48546</t>
    <phoneticPr fontId="3" type="noConversion"/>
  </si>
  <si>
    <t>C191035936</t>
    <phoneticPr fontId="3" type="noConversion"/>
  </si>
  <si>
    <t>Y48512</t>
    <phoneticPr fontId="3" type="noConversion"/>
  </si>
  <si>
    <t>C170929728</t>
    <phoneticPr fontId="3" type="noConversion"/>
  </si>
  <si>
    <r>
      <rPr>
        <sz val="10"/>
        <color theme="1"/>
        <rFont val="Arial Unicode MS"/>
        <family val="2"/>
        <charset val="134"/>
      </rPr>
      <t>长沙健科名义</t>
    </r>
    <phoneticPr fontId="3" type="noConversion"/>
  </si>
  <si>
    <t>Y48648</t>
    <phoneticPr fontId="3" type="noConversion"/>
  </si>
  <si>
    <t xml:space="preserve">IND order </t>
    <phoneticPr fontId="3" type="noConversion"/>
  </si>
  <si>
    <t>Y48548</t>
    <phoneticPr fontId="3" type="noConversion"/>
  </si>
  <si>
    <t>C191035869</t>
    <phoneticPr fontId="3" type="noConversion"/>
  </si>
  <si>
    <t>Y48513</t>
    <phoneticPr fontId="3" type="noConversion"/>
  </si>
  <si>
    <r>
      <t xml:space="preserve">IND,APT </t>
    </r>
    <r>
      <rPr>
        <sz val="10"/>
        <color theme="1"/>
        <rFont val="Arial Unicode MS"/>
        <family val="2"/>
        <charset val="134"/>
      </rPr>
      <t>名义</t>
    </r>
    <phoneticPr fontId="3" type="noConversion"/>
  </si>
  <si>
    <t>Y48792</t>
    <phoneticPr fontId="3" type="noConversion"/>
  </si>
  <si>
    <t>Y48793</t>
    <phoneticPr fontId="3" type="noConversion"/>
  </si>
  <si>
    <t>Y48463</t>
    <phoneticPr fontId="3" type="noConversion"/>
  </si>
  <si>
    <t>C190434540</t>
    <phoneticPr fontId="3" type="noConversion"/>
  </si>
  <si>
    <t>Y48459</t>
    <phoneticPr fontId="3" type="noConversion"/>
  </si>
  <si>
    <t>Y48461</t>
    <phoneticPr fontId="3" type="noConversion"/>
  </si>
  <si>
    <t>Y48462</t>
    <phoneticPr fontId="3" type="noConversion"/>
  </si>
  <si>
    <t>Y48465</t>
    <phoneticPr fontId="3" type="noConversion"/>
  </si>
  <si>
    <t>Y48467</t>
    <phoneticPr fontId="3" type="noConversion"/>
  </si>
  <si>
    <t>C190935701</t>
    <phoneticPr fontId="3" type="noConversion"/>
  </si>
  <si>
    <t>Y48464</t>
    <phoneticPr fontId="3" type="noConversion"/>
  </si>
  <si>
    <t>Y48468</t>
    <phoneticPr fontId="3" type="noConversion"/>
  </si>
  <si>
    <t>C190735224</t>
    <phoneticPr fontId="3" type="noConversion"/>
  </si>
  <si>
    <t>Y48460</t>
  </si>
  <si>
    <t>C190935643</t>
    <phoneticPr fontId="3" type="noConversion"/>
  </si>
  <si>
    <t>Y48466</t>
    <phoneticPr fontId="3" type="noConversion"/>
  </si>
  <si>
    <r>
      <t xml:space="preserve">IND, </t>
    </r>
    <r>
      <rPr>
        <sz val="10"/>
        <color theme="1"/>
        <rFont val="Arial Unicode MS"/>
        <family val="2"/>
        <charset val="134"/>
      </rPr>
      <t>科士达</t>
    </r>
    <phoneticPr fontId="3" type="noConversion"/>
  </si>
  <si>
    <t>YSD</t>
  </si>
  <si>
    <t>Y48943</t>
    <phoneticPr fontId="3" type="noConversion"/>
  </si>
  <si>
    <t>Y48797</t>
    <phoneticPr fontId="3" type="noConversion"/>
  </si>
  <si>
    <t>C190735272</t>
    <phoneticPr fontId="3" type="noConversion"/>
  </si>
  <si>
    <t>Y48798</t>
    <phoneticPr fontId="3" type="noConversion"/>
  </si>
  <si>
    <t>Y48771</t>
    <phoneticPr fontId="3" type="noConversion"/>
  </si>
  <si>
    <t>Y48772</t>
    <phoneticPr fontId="3" type="noConversion"/>
  </si>
  <si>
    <t>Y48769</t>
    <phoneticPr fontId="3" type="noConversion"/>
  </si>
  <si>
    <t>Y48800</t>
    <phoneticPr fontId="3" type="noConversion"/>
  </si>
  <si>
    <t>Y48799</t>
    <phoneticPr fontId="3" type="noConversion"/>
  </si>
  <si>
    <t>Y48802</t>
    <phoneticPr fontId="3" type="noConversion"/>
  </si>
  <si>
    <r>
      <rPr>
        <sz val="9"/>
        <color theme="1"/>
        <rFont val="Arial Unicode MS"/>
        <family val="2"/>
        <charset val="134"/>
      </rPr>
      <t>福建泉盛</t>
    </r>
    <phoneticPr fontId="3" type="noConversion"/>
  </si>
  <si>
    <t>Y48770</t>
    <phoneticPr fontId="3" type="noConversion"/>
  </si>
  <si>
    <t>C190334217</t>
    <phoneticPr fontId="3" type="noConversion"/>
  </si>
  <si>
    <t>Y48801</t>
    <phoneticPr fontId="3" type="noConversion"/>
  </si>
  <si>
    <t>Y49277</t>
    <phoneticPr fontId="3" type="noConversion"/>
  </si>
  <si>
    <t>Y49276</t>
    <phoneticPr fontId="3" type="noConversion"/>
  </si>
  <si>
    <t>Y49190</t>
    <phoneticPr fontId="3" type="noConversion"/>
  </si>
  <si>
    <t>Y49189</t>
    <phoneticPr fontId="3" type="noConversion"/>
  </si>
  <si>
    <t>Y49188</t>
    <phoneticPr fontId="3" type="noConversion"/>
  </si>
  <si>
    <t>C180732624</t>
    <phoneticPr fontId="3" type="noConversion"/>
  </si>
  <si>
    <t>HM5</t>
  </si>
  <si>
    <t>Y49191</t>
    <phoneticPr fontId="3" type="noConversion"/>
  </si>
  <si>
    <t>Fixed feeder plate 24 positions</t>
    <phoneticPr fontId="3" type="noConversion"/>
  </si>
  <si>
    <t>Y49192</t>
    <phoneticPr fontId="3" type="noConversion"/>
  </si>
  <si>
    <t>C170930284</t>
    <phoneticPr fontId="3" type="noConversion"/>
  </si>
  <si>
    <t>Y49187</t>
    <phoneticPr fontId="3" type="noConversion"/>
  </si>
  <si>
    <t>C170729777</t>
    <phoneticPr fontId="3" type="noConversion"/>
  </si>
  <si>
    <t>Y49251</t>
    <phoneticPr fontId="3" type="noConversion"/>
  </si>
  <si>
    <t>Y49250</t>
    <phoneticPr fontId="3" type="noConversion"/>
  </si>
  <si>
    <t>Y49260</t>
    <phoneticPr fontId="3" type="noConversion"/>
  </si>
  <si>
    <t>JAN 20</t>
  </si>
  <si>
    <r>
      <t>C161128121,</t>
    </r>
    <r>
      <rPr>
        <sz val="10"/>
        <color theme="1"/>
        <rFont val="Arial Unicode MS"/>
        <family val="2"/>
        <charset val="134"/>
      </rPr>
      <t>货实际送给锘铧客户</t>
    </r>
    <phoneticPr fontId="3" type="noConversion"/>
  </si>
  <si>
    <t>Y49252</t>
    <phoneticPr fontId="3" type="noConversion"/>
  </si>
  <si>
    <t>C190935522</t>
    <phoneticPr fontId="3" type="noConversion"/>
  </si>
  <si>
    <t>Y49258</t>
    <phoneticPr fontId="3" type="noConversion"/>
  </si>
  <si>
    <t>C190434446</t>
    <phoneticPr fontId="3" type="noConversion"/>
  </si>
  <si>
    <t>Y49259</t>
    <phoneticPr fontId="3" type="noConversion"/>
  </si>
  <si>
    <t>Y49068</t>
    <phoneticPr fontId="3" type="noConversion"/>
  </si>
  <si>
    <r>
      <t xml:space="preserve">No mismatch  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Cooper rate:0.0676)</t>
    </r>
    <phoneticPr fontId="3" type="noConversion"/>
  </si>
  <si>
    <t>C191236410</t>
    <phoneticPr fontId="3" type="noConversion"/>
  </si>
  <si>
    <t>Y49070</t>
  </si>
  <si>
    <t>Y49071</t>
  </si>
  <si>
    <t>Y49069</t>
    <phoneticPr fontId="3" type="noConversion"/>
  </si>
  <si>
    <t>Y49322</t>
    <phoneticPr fontId="3" type="noConversion"/>
  </si>
  <si>
    <t>Y49323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</si>
  <si>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</si>
  <si>
    <t>C191035866</t>
    <phoneticPr fontId="3" type="noConversion"/>
  </si>
  <si>
    <t>Y49361</t>
    <phoneticPr fontId="3" type="noConversion"/>
  </si>
  <si>
    <t>Y49362</t>
    <phoneticPr fontId="3" type="noConversion"/>
  </si>
  <si>
    <t>Y49363</t>
    <phoneticPr fontId="3" type="noConversion"/>
  </si>
  <si>
    <t>Y49364</t>
    <phoneticPr fontId="3" type="noConversion"/>
  </si>
  <si>
    <r>
      <rPr>
        <sz val="10"/>
        <rFont val="Arial Unicode MS"/>
        <family val="2"/>
        <charset val="134"/>
      </rPr>
      <t>已发货</t>
    </r>
  </si>
  <si>
    <t>Y49324</t>
    <phoneticPr fontId="3" type="noConversion"/>
  </si>
  <si>
    <r>
      <rPr>
        <sz val="10"/>
        <rFont val="Arial Unicode MS"/>
        <family val="2"/>
        <charset val="134"/>
      </rPr>
      <t>锘铧清关，送宽宏</t>
    </r>
  </si>
  <si>
    <t>C190634944</t>
    <phoneticPr fontId="3" type="noConversion"/>
  </si>
  <si>
    <t>Y49326</t>
    <phoneticPr fontId="3" type="noConversion"/>
  </si>
  <si>
    <t>Y49255</t>
    <phoneticPr fontId="3" type="noConversion"/>
  </si>
  <si>
    <t>C191136234</t>
    <phoneticPr fontId="3" type="noConversion"/>
  </si>
  <si>
    <t>Y49256</t>
    <phoneticPr fontId="3" type="noConversion"/>
  </si>
  <si>
    <t>Y49257</t>
    <phoneticPr fontId="3" type="noConversion"/>
  </si>
  <si>
    <t>Y49311</t>
    <phoneticPr fontId="3" type="noConversion"/>
  </si>
  <si>
    <t>C180131071</t>
    <phoneticPr fontId="3" type="noConversion"/>
  </si>
  <si>
    <t>Y49312</t>
    <phoneticPr fontId="3" type="noConversion"/>
  </si>
  <si>
    <t>Y49313</t>
    <phoneticPr fontId="3" type="noConversion"/>
  </si>
  <si>
    <t>Y49327</t>
    <phoneticPr fontId="3" type="noConversion"/>
  </si>
  <si>
    <t>C190634955</t>
    <phoneticPr fontId="3" type="noConversion"/>
  </si>
  <si>
    <t>Y49314</t>
    <phoneticPr fontId="3" type="noConversion"/>
  </si>
  <si>
    <t>C190434487</t>
    <phoneticPr fontId="3" type="noConversion"/>
  </si>
  <si>
    <t>Y49325</t>
    <phoneticPr fontId="3" type="noConversion"/>
  </si>
  <si>
    <t>C180431770</t>
    <phoneticPr fontId="3" type="noConversion"/>
  </si>
  <si>
    <t>Y49253</t>
    <phoneticPr fontId="3" type="noConversion"/>
  </si>
  <si>
    <t>C191136061</t>
    <phoneticPr fontId="3" type="noConversion"/>
  </si>
  <si>
    <t>Y49254</t>
    <phoneticPr fontId="3" type="noConversion"/>
  </si>
  <si>
    <t>Y49584</t>
    <phoneticPr fontId="3" type="noConversion"/>
  </si>
  <si>
    <t>Y49585</t>
    <phoneticPr fontId="3" type="noConversion"/>
  </si>
  <si>
    <t>Y49586</t>
    <phoneticPr fontId="3" type="noConversion"/>
  </si>
  <si>
    <t>Y49587</t>
    <phoneticPr fontId="3" type="noConversion"/>
  </si>
  <si>
    <t>Y49588</t>
    <phoneticPr fontId="3" type="noConversion"/>
  </si>
  <si>
    <t>Y49589</t>
    <phoneticPr fontId="3" type="noConversion"/>
  </si>
  <si>
    <r>
      <rPr>
        <sz val="10"/>
        <color theme="1"/>
        <rFont val="Arial Unicode MS"/>
        <family val="2"/>
        <charset val="134"/>
      </rPr>
      <t>博星名义下单</t>
    </r>
    <phoneticPr fontId="3" type="noConversion"/>
  </si>
  <si>
    <t>Y49696</t>
    <phoneticPr fontId="3" type="noConversion"/>
  </si>
  <si>
    <t>C200337005</t>
    <phoneticPr fontId="3" type="noConversion"/>
  </si>
  <si>
    <t>Y49694</t>
    <phoneticPr fontId="3" type="noConversion"/>
  </si>
  <si>
    <r>
      <rPr>
        <sz val="10"/>
        <color theme="1"/>
        <rFont val="Arial Unicode MS"/>
        <family val="2"/>
        <charset val="134"/>
      </rPr>
      <t>力合仓库有货，系统没货</t>
    </r>
  </si>
  <si>
    <t>MAR 20</t>
  </si>
  <si>
    <t>C200136543</t>
    <phoneticPr fontId="3" type="noConversion"/>
  </si>
  <si>
    <t>Y49700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</si>
  <si>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       </t>
    </r>
    <phoneticPr fontId="3" type="noConversion"/>
  </si>
  <si>
    <t>FEB 20</t>
  </si>
  <si>
    <t>Y49697</t>
    <phoneticPr fontId="3" type="noConversion"/>
  </si>
  <si>
    <t>Y49695</t>
    <phoneticPr fontId="3" type="noConversion"/>
  </si>
  <si>
    <t>Y49693</t>
    <phoneticPr fontId="3" type="noConversion"/>
  </si>
  <si>
    <t>Y49698</t>
    <phoneticPr fontId="3" type="noConversion"/>
  </si>
  <si>
    <t>Y49699</t>
    <phoneticPr fontId="3" type="noConversion"/>
  </si>
  <si>
    <t>Y49758</t>
    <phoneticPr fontId="3" type="noConversion"/>
  </si>
  <si>
    <t>Y49759</t>
    <phoneticPr fontId="3" type="noConversion"/>
  </si>
  <si>
    <r>
      <t>0.0654(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PO#109759)</t>
    </r>
    <phoneticPr fontId="3" type="noConversion"/>
  </si>
  <si>
    <t>Y49761</t>
    <phoneticPr fontId="3" type="noConversion"/>
  </si>
  <si>
    <t>Y49760</t>
    <phoneticPr fontId="3" type="noConversion"/>
  </si>
  <si>
    <r>
      <rPr>
        <sz val="10"/>
        <color theme="1"/>
        <rFont val="Arial Unicode MS"/>
        <family val="2"/>
        <charset val="134"/>
      </rPr>
      <t>锘铧清关，送宽宏</t>
    </r>
  </si>
  <si>
    <r>
      <t>C190636944.</t>
    </r>
    <r>
      <rPr>
        <sz val="10"/>
        <color theme="1"/>
        <rFont val="Arial Unicode MS"/>
        <family val="2"/>
        <charset val="134"/>
      </rPr>
      <t>实际送货给宽宏客户</t>
    </r>
    <phoneticPr fontId="3" type="noConversion"/>
  </si>
  <si>
    <r>
      <rPr>
        <sz val="10"/>
        <color theme="1"/>
        <rFont val="Arial Unicode MS"/>
        <family val="2"/>
        <charset val="134"/>
      </rPr>
      <t>锘铧名义下单</t>
    </r>
    <phoneticPr fontId="3" type="noConversion"/>
  </si>
  <si>
    <t>Y49849</t>
    <phoneticPr fontId="3" type="noConversion"/>
  </si>
  <si>
    <r>
      <t>NM(CR:0.0655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PO#109774</t>
    </r>
    <phoneticPr fontId="3" type="noConversion"/>
  </si>
  <si>
    <t>C200336922</t>
    <phoneticPr fontId="3" type="noConversion"/>
  </si>
  <si>
    <t>Y49839</t>
    <phoneticPr fontId="3" type="noConversion"/>
  </si>
  <si>
    <t>C180933040</t>
    <phoneticPr fontId="3" type="noConversion"/>
  </si>
  <si>
    <r>
      <rPr>
        <sz val="10"/>
        <color theme="1"/>
        <rFont val="Arial Unicode MS"/>
        <family val="2"/>
        <charset val="134"/>
      </rPr>
      <t>灿明名义下单</t>
    </r>
    <phoneticPr fontId="3" type="noConversion"/>
  </si>
  <si>
    <t>Y49990</t>
  </si>
  <si>
    <r>
      <t>NM(CR:0.0658</t>
    </r>
    <r>
      <rPr>
        <sz val="8"/>
        <color theme="1"/>
        <rFont val="Arial Unicode MS"/>
        <family val="2"/>
        <charset val="134"/>
      </rPr>
      <t>）价格用</t>
    </r>
    <r>
      <rPr>
        <sz val="8"/>
        <color theme="1"/>
        <rFont val="Arial"/>
        <family val="2"/>
      </rPr>
      <t>PO#109820</t>
    </r>
    <phoneticPr fontId="3" type="noConversion"/>
  </si>
  <si>
    <t>Y49842</t>
    <phoneticPr fontId="3" type="noConversion"/>
  </si>
  <si>
    <r>
      <rPr>
        <sz val="10"/>
        <color theme="1"/>
        <rFont val="Arial Unicode MS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Arial Unicode MS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</si>
  <si>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C191136156</t>
    <phoneticPr fontId="3" type="noConversion"/>
  </si>
  <si>
    <t>Y49848</t>
    <phoneticPr fontId="3" type="noConversion"/>
  </si>
  <si>
    <r>
      <t xml:space="preserve">   NM(CR:0.0657)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 xml:space="preserve">PO#109750  </t>
    </r>
    <phoneticPr fontId="3" type="noConversion"/>
  </si>
  <si>
    <t>Y49858</t>
    <phoneticPr fontId="3" type="noConversion"/>
  </si>
  <si>
    <r>
      <t>NM(CR:0.0657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</si>
  <si>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MAY 20</t>
  </si>
  <si>
    <t>Y49859</t>
    <phoneticPr fontId="3" type="noConversion"/>
  </si>
  <si>
    <r>
      <rPr>
        <sz val="10"/>
        <color theme="1"/>
        <rFont val="Arial Unicode MS"/>
        <family val="2"/>
        <charset val="134"/>
      </rPr>
      <t>华日仓库中转</t>
    </r>
  </si>
  <si>
    <t>C200437240</t>
    <phoneticPr fontId="3" type="noConversion"/>
  </si>
  <si>
    <t>Y49860</t>
    <phoneticPr fontId="3" type="noConversion"/>
  </si>
  <si>
    <t>C180832783</t>
    <phoneticPr fontId="3" type="noConversion"/>
  </si>
  <si>
    <t>Y49850</t>
    <phoneticPr fontId="3" type="noConversion"/>
  </si>
  <si>
    <t>C191236378</t>
    <phoneticPr fontId="3" type="noConversion"/>
  </si>
  <si>
    <t>Y49851</t>
    <phoneticPr fontId="3" type="noConversion"/>
  </si>
  <si>
    <t>Y49852</t>
    <phoneticPr fontId="3" type="noConversion"/>
  </si>
  <si>
    <t>C200336874</t>
    <phoneticPr fontId="3" type="noConversion"/>
  </si>
  <si>
    <t>Y49856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</si>
  <si>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PO#109783)</t>
    </r>
    <phoneticPr fontId="3" type="noConversion"/>
  </si>
  <si>
    <t>C191236445</t>
    <phoneticPr fontId="3" type="noConversion"/>
  </si>
  <si>
    <t>Y49857</t>
    <phoneticPr fontId="3" type="noConversion"/>
  </si>
  <si>
    <t>Y49837</t>
    <phoneticPr fontId="3" type="noConversion"/>
  </si>
  <si>
    <t>C180933045</t>
    <phoneticPr fontId="3" type="noConversion"/>
  </si>
  <si>
    <t>Y49838</t>
    <phoneticPr fontId="3" type="noConversion"/>
  </si>
  <si>
    <t>C191236282</t>
    <phoneticPr fontId="3" type="noConversion"/>
  </si>
  <si>
    <t>Y49853</t>
    <phoneticPr fontId="3" type="noConversion"/>
  </si>
  <si>
    <r>
      <t>NM(CR:0.0657</t>
    </r>
    <r>
      <rPr>
        <sz val="8"/>
        <color rgb="FFFF0000"/>
        <rFont val="Arial Unicode MS"/>
        <family val="2"/>
        <charset val="134"/>
      </rPr>
      <t>）（价格用</t>
    </r>
    <r>
      <rPr>
        <sz val="8"/>
        <color rgb="FFFF0000"/>
        <rFont val="Arial"/>
        <family val="2"/>
      </rPr>
      <t>PO#109750)</t>
    </r>
    <phoneticPr fontId="3" type="noConversion"/>
  </si>
  <si>
    <t>Y49854</t>
    <phoneticPr fontId="3" type="noConversion"/>
  </si>
  <si>
    <t>Y49855</t>
    <phoneticPr fontId="3" type="noConversion"/>
  </si>
  <si>
    <t>Y49843</t>
    <phoneticPr fontId="3" type="noConversion"/>
  </si>
  <si>
    <t>C191236443</t>
    <phoneticPr fontId="3" type="noConversion"/>
  </si>
  <si>
    <t>Y49844</t>
    <phoneticPr fontId="3" type="noConversion"/>
  </si>
  <si>
    <t>Y49845</t>
    <phoneticPr fontId="3" type="noConversion"/>
  </si>
  <si>
    <t>Y49846</t>
    <phoneticPr fontId="3" type="noConversion"/>
  </si>
  <si>
    <t>Y49847</t>
    <phoneticPr fontId="3" type="noConversion"/>
  </si>
  <si>
    <t>Y49987</t>
    <phoneticPr fontId="3" type="noConversion"/>
  </si>
  <si>
    <t>Y49988</t>
  </si>
  <si>
    <t>C190835365</t>
    <phoneticPr fontId="3" type="noConversion"/>
  </si>
  <si>
    <t>Y49989</t>
  </si>
  <si>
    <t>Y49991</t>
  </si>
  <si>
    <t>Y49840</t>
    <phoneticPr fontId="3" type="noConversion"/>
  </si>
  <si>
    <t>Y49841</t>
    <phoneticPr fontId="3" type="noConversion"/>
  </si>
  <si>
    <t>C200437154</t>
    <phoneticPr fontId="3" type="noConversion"/>
  </si>
  <si>
    <t>Y49992</t>
  </si>
  <si>
    <t>Y49993</t>
    <phoneticPr fontId="3" type="noConversion"/>
  </si>
  <si>
    <t>Y49994</t>
  </si>
  <si>
    <t>C200235776</t>
    <phoneticPr fontId="3" type="noConversion"/>
  </si>
  <si>
    <t>Y49995</t>
  </si>
  <si>
    <t>Y50067</t>
  </si>
  <si>
    <r>
      <t xml:space="preserve">NM   (CR :0.0662) 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PO#109705</t>
    </r>
    <phoneticPr fontId="3" type="noConversion"/>
  </si>
  <si>
    <t>C200136594</t>
    <phoneticPr fontId="3" type="noConversion"/>
  </si>
  <si>
    <t>Y50068</t>
    <phoneticPr fontId="3" type="noConversion"/>
  </si>
  <si>
    <t>Y50211</t>
  </si>
  <si>
    <r>
      <t>NM(CR:0.0655</t>
    </r>
    <r>
      <rPr>
        <sz val="8"/>
        <color theme="1"/>
        <rFont val="Arial Unicode MS"/>
        <family val="2"/>
        <charset val="134"/>
      </rPr>
      <t>）</t>
    </r>
    <phoneticPr fontId="3" type="noConversion"/>
  </si>
  <si>
    <t>C190835342</t>
    <phoneticPr fontId="3" type="noConversion"/>
  </si>
  <si>
    <t>Y50212</t>
  </si>
  <si>
    <t>Y50069</t>
  </si>
  <si>
    <t>C200136544</t>
    <phoneticPr fontId="3" type="noConversion"/>
  </si>
  <si>
    <t>Y50071</t>
  </si>
  <si>
    <t>NM(CR:0.0672)</t>
    <phoneticPr fontId="3" type="noConversion"/>
  </si>
  <si>
    <t>Y50072</t>
    <phoneticPr fontId="3" type="noConversion"/>
  </si>
  <si>
    <t>Y50073</t>
  </si>
  <si>
    <t>Y50070</t>
  </si>
  <si>
    <t>cATS10+MVC+special layout</t>
    <phoneticPr fontId="3" type="noConversion"/>
  </si>
  <si>
    <t>Y50210</t>
    <phoneticPr fontId="3" type="noConversion"/>
  </si>
  <si>
    <t>C171030531</t>
    <phoneticPr fontId="3" type="noConversion"/>
  </si>
  <si>
    <r>
      <rPr>
        <sz val="10"/>
        <color theme="1"/>
        <rFont val="Arial Unicode MS"/>
        <family val="2"/>
        <charset val="134"/>
      </rPr>
      <t>博睿通名义下单</t>
    </r>
    <phoneticPr fontId="3" type="noConversion"/>
  </si>
  <si>
    <t>Y50417</t>
  </si>
  <si>
    <t>Y50418</t>
  </si>
  <si>
    <t>Y50419</t>
  </si>
  <si>
    <t>Y50420</t>
  </si>
  <si>
    <t>Y50421</t>
    <phoneticPr fontId="3" type="noConversion"/>
  </si>
  <si>
    <t>Pro-tec</t>
    <phoneticPr fontId="3" type="noConversion"/>
  </si>
  <si>
    <t>Y49831</t>
    <phoneticPr fontId="3" type="noConversion"/>
  </si>
  <si>
    <t>Stock order</t>
    <phoneticPr fontId="3" type="noConversion"/>
  </si>
  <si>
    <t>Y50773</t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</si>
  <si>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PO#109723)</t>
    </r>
    <phoneticPr fontId="3" type="noConversion"/>
  </si>
  <si>
    <r>
      <rPr>
        <sz val="10"/>
        <color theme="1"/>
        <rFont val="Arial Unicode MS"/>
        <family val="2"/>
        <charset val="134"/>
      </rPr>
      <t>耕创名义下单</t>
    </r>
    <phoneticPr fontId="3" type="noConversion"/>
  </si>
  <si>
    <t>Y50496</t>
    <phoneticPr fontId="3" type="noConversion"/>
  </si>
  <si>
    <t>C191035971</t>
    <phoneticPr fontId="3" type="noConversion"/>
  </si>
  <si>
    <t>Y50497</t>
    <phoneticPr fontId="3" type="noConversion"/>
  </si>
  <si>
    <t>Y50769</t>
    <phoneticPr fontId="64"/>
  </si>
  <si>
    <r>
      <t>NM(CR:0.0658</t>
    </r>
    <r>
      <rPr>
        <sz val="8"/>
        <color rgb="FFFF0000"/>
        <rFont val="Arial Unicode MS"/>
        <family val="2"/>
        <charset val="134"/>
      </rPr>
      <t>）价格用</t>
    </r>
    <r>
      <rPr>
        <sz val="8"/>
        <color rgb="FFFF0000"/>
        <rFont val="Arial"/>
        <family val="2"/>
      </rPr>
      <t>PO#109815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109820</t>
    </r>
    <phoneticPr fontId="3" type="noConversion"/>
  </si>
  <si>
    <t>C200337023</t>
    <phoneticPr fontId="3" type="noConversion"/>
  </si>
  <si>
    <t>Y50770</t>
  </si>
  <si>
    <t>Y50771</t>
  </si>
  <si>
    <t>Y50772</t>
  </si>
  <si>
    <r>
      <rPr>
        <sz val="10"/>
        <color theme="1"/>
        <rFont val="Arial Unicode MS"/>
        <family val="2"/>
        <charset val="134"/>
      </rPr>
      <t>龙大名义下单</t>
    </r>
    <phoneticPr fontId="3" type="noConversion"/>
  </si>
  <si>
    <t>Y50681</t>
    <phoneticPr fontId="3" type="noConversion"/>
  </si>
  <si>
    <t>Y50682</t>
    <phoneticPr fontId="3" type="noConversion"/>
  </si>
  <si>
    <t>Y50754</t>
  </si>
  <si>
    <t>JUN 20</t>
  </si>
  <si>
    <t>C191236395</t>
    <phoneticPr fontId="3" type="noConversion"/>
  </si>
  <si>
    <t>Y50756</t>
  </si>
  <si>
    <t>NM</t>
    <phoneticPr fontId="3" type="noConversion"/>
  </si>
  <si>
    <t>Y50755</t>
  </si>
  <si>
    <r>
      <t>0.0656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PO#109855)</t>
    </r>
    <phoneticPr fontId="3" type="noConversion"/>
  </si>
  <si>
    <t>C150824767</t>
    <phoneticPr fontId="3" type="noConversion"/>
  </si>
  <si>
    <t>Y50752</t>
  </si>
  <si>
    <t>Y50759</t>
  </si>
  <si>
    <t>Y50760</t>
  </si>
  <si>
    <t>Y50753</t>
  </si>
  <si>
    <t>Y50758</t>
  </si>
  <si>
    <t>C200437179</t>
    <phoneticPr fontId="3" type="noConversion"/>
  </si>
  <si>
    <t>Y50757</t>
  </si>
  <si>
    <t>Y50751</t>
  </si>
  <si>
    <t>SEP 20</t>
  </si>
  <si>
    <t>C190635038</t>
    <phoneticPr fontId="3" type="noConversion"/>
  </si>
  <si>
    <t>Y50619</t>
  </si>
  <si>
    <r>
      <rPr>
        <sz val="10"/>
        <color theme="1"/>
        <rFont val="Arial Unicode MS"/>
        <family val="2"/>
        <charset val="134"/>
      </rPr>
      <t>盐保仓库</t>
    </r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</si>
  <si>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PO#109762)</t>
    </r>
    <phoneticPr fontId="3" type="noConversion"/>
  </si>
  <si>
    <t>Y50620</t>
  </si>
  <si>
    <r>
      <t xml:space="preserve">0.0648                  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PO#109587</t>
    </r>
    <phoneticPr fontId="3" type="noConversion"/>
  </si>
  <si>
    <t>Y50618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</si>
  <si>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PO#109759)</t>
    </r>
    <phoneticPr fontId="3" type="noConversion"/>
  </si>
  <si>
    <r>
      <rPr>
        <sz val="10"/>
        <color theme="1"/>
        <rFont val="Arial Unicode MS"/>
        <family val="2"/>
        <charset val="134"/>
      </rPr>
      <t>已发货</t>
    </r>
    <phoneticPr fontId="3" type="noConversion"/>
  </si>
  <si>
    <t>Y50621</t>
    <phoneticPr fontId="3" type="noConversion"/>
  </si>
  <si>
    <r>
      <t>0.0654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PO#109749)</t>
    </r>
    <phoneticPr fontId="3" type="noConversion"/>
  </si>
  <si>
    <t>AUG 20</t>
  </si>
  <si>
    <t>C200737734</t>
    <phoneticPr fontId="3" type="noConversion"/>
  </si>
  <si>
    <t>Y50622</t>
    <phoneticPr fontId="3" type="noConversion"/>
  </si>
  <si>
    <t>C190534728</t>
    <phoneticPr fontId="3" type="noConversion"/>
  </si>
  <si>
    <t>ATS15</t>
    <phoneticPr fontId="3" type="noConversion"/>
  </si>
  <si>
    <t>Y50623</t>
    <phoneticPr fontId="3" type="noConversion"/>
  </si>
  <si>
    <t>C200637604</t>
    <phoneticPr fontId="3" type="noConversion"/>
  </si>
  <si>
    <t>Y50947</t>
    <phoneticPr fontId="3" type="noConversion"/>
  </si>
  <si>
    <r>
      <rPr>
        <sz val="10"/>
        <color theme="1"/>
        <rFont val="Arial Unicode MS"/>
        <family val="2"/>
        <charset val="134"/>
      </rPr>
      <t>乐凡清关，送力合仓库</t>
    </r>
  </si>
  <si>
    <t>NM(CR:0.0679)</t>
    <phoneticPr fontId="3" type="noConversion"/>
  </si>
  <si>
    <t>C191136105</t>
    <phoneticPr fontId="3" type="noConversion"/>
  </si>
  <si>
    <t>Y50948</t>
  </si>
  <si>
    <r>
      <t>0.0640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PO#109820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 xml:space="preserve">rate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109815)</t>
    </r>
    <phoneticPr fontId="3" type="noConversion"/>
  </si>
  <si>
    <t>C180832776</t>
    <phoneticPr fontId="3" type="noConversion"/>
  </si>
  <si>
    <t>Y50949</t>
  </si>
  <si>
    <t>C200437235</t>
    <phoneticPr fontId="3" type="noConversion"/>
  </si>
  <si>
    <t>Y50950</t>
  </si>
  <si>
    <t>C200437238</t>
    <phoneticPr fontId="3" type="noConversion"/>
  </si>
  <si>
    <t>Y50843</t>
    <phoneticPr fontId="3" type="noConversion"/>
  </si>
  <si>
    <t>Y50848</t>
    <phoneticPr fontId="3" type="noConversion"/>
  </si>
  <si>
    <t>Y50849</t>
    <phoneticPr fontId="3" type="noConversion"/>
  </si>
  <si>
    <r>
      <t>NM(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PO#109816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</si>
  <si>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Y50850</t>
    <phoneticPr fontId="3" type="noConversion"/>
  </si>
  <si>
    <t>C200537339</t>
    <phoneticPr fontId="3" type="noConversion"/>
  </si>
  <si>
    <t>Y50851</t>
    <phoneticPr fontId="3" type="noConversion"/>
  </si>
  <si>
    <t>Y50852</t>
    <phoneticPr fontId="3" type="noConversion"/>
  </si>
  <si>
    <t>Y50866</t>
    <phoneticPr fontId="3" type="noConversion"/>
  </si>
  <si>
    <t>Y50702</t>
    <phoneticPr fontId="3" type="noConversion"/>
  </si>
  <si>
    <t>Y51205</t>
    <phoneticPr fontId="3" type="noConversion"/>
  </si>
  <si>
    <r>
      <rPr>
        <sz val="10"/>
        <color theme="1"/>
        <rFont val="Arial Unicode MS"/>
        <family val="2"/>
        <charset val="134"/>
      </rPr>
      <t>钧溢清关，送力合仓库</t>
    </r>
  </si>
  <si>
    <t>C200537332</t>
    <phoneticPr fontId="3" type="noConversion"/>
  </si>
  <si>
    <t>Y51294</t>
    <phoneticPr fontId="3" type="noConversion"/>
  </si>
  <si>
    <r>
      <rPr>
        <sz val="10"/>
        <color theme="1"/>
        <rFont val="Arial Unicode MS"/>
        <family val="2"/>
        <charset val="134"/>
      </rPr>
      <t>乐上清关，送力合仓库</t>
    </r>
  </si>
  <si>
    <t>Y51295</t>
    <phoneticPr fontId="3" type="noConversion"/>
  </si>
  <si>
    <t>Y51296</t>
    <phoneticPr fontId="3" type="noConversion"/>
  </si>
  <si>
    <t>C190634939</t>
    <phoneticPr fontId="3" type="noConversion"/>
  </si>
  <si>
    <t>Y51297</t>
    <phoneticPr fontId="3" type="noConversion"/>
  </si>
  <si>
    <t>49F103362</t>
    <phoneticPr fontId="3" type="noConversion"/>
  </si>
  <si>
    <r>
      <rPr>
        <sz val="10"/>
        <color theme="1"/>
        <rFont val="Arial Unicode MS"/>
        <family val="2"/>
        <charset val="134"/>
      </rPr>
      <t>上海机器</t>
    </r>
    <phoneticPr fontId="3" type="noConversion"/>
  </si>
  <si>
    <t>Y49634</t>
    <phoneticPr fontId="3" type="noConversion"/>
  </si>
  <si>
    <t>C200236762</t>
    <phoneticPr fontId="3" type="noConversion"/>
  </si>
  <si>
    <t>Y49635</t>
    <phoneticPr fontId="3" type="noConversion"/>
  </si>
  <si>
    <r>
      <rPr>
        <sz val="10"/>
        <color theme="1"/>
        <rFont val="Arial Unicode MS"/>
        <family val="2"/>
        <charset val="134"/>
      </rPr>
      <t>安林名义下单</t>
    </r>
    <phoneticPr fontId="3" type="noConversion"/>
  </si>
  <si>
    <t>Y51332</t>
    <phoneticPr fontId="3" type="noConversion"/>
  </si>
  <si>
    <r>
      <rPr>
        <sz val="10"/>
        <color theme="1"/>
        <rFont val="Arial Unicode MS"/>
        <family val="2"/>
        <charset val="134"/>
      </rPr>
      <t>奕东名义下单</t>
    </r>
    <phoneticPr fontId="3" type="noConversion"/>
  </si>
  <si>
    <t>Y51333</t>
    <phoneticPr fontId="3" type="noConversion"/>
  </si>
  <si>
    <t>Y51334</t>
    <phoneticPr fontId="3" type="noConversion"/>
  </si>
  <si>
    <t>Y51335</t>
    <phoneticPr fontId="3" type="noConversion"/>
  </si>
  <si>
    <t>C190735271</t>
    <phoneticPr fontId="3" type="noConversion"/>
  </si>
  <si>
    <t>Y51336</t>
    <phoneticPr fontId="3" type="noConversion"/>
  </si>
  <si>
    <t>Y51337</t>
    <phoneticPr fontId="3" type="noConversion"/>
  </si>
  <si>
    <t>C190835366</t>
    <phoneticPr fontId="3" type="noConversion"/>
  </si>
  <si>
    <t>Y51338</t>
    <phoneticPr fontId="3" type="noConversion"/>
  </si>
  <si>
    <t>Y51339</t>
    <phoneticPr fontId="3" type="noConversion"/>
  </si>
  <si>
    <t>C180732715</t>
    <phoneticPr fontId="3" type="noConversion"/>
  </si>
  <si>
    <t>Y51340</t>
    <phoneticPr fontId="3" type="noConversion"/>
  </si>
  <si>
    <r>
      <rPr>
        <sz val="10"/>
        <color theme="1"/>
        <rFont val="Arial Unicode MS"/>
        <family val="2"/>
        <charset val="134"/>
      </rPr>
      <t>晶科名义下单</t>
    </r>
    <phoneticPr fontId="3" type="noConversion"/>
  </si>
  <si>
    <t>Y51486</t>
    <phoneticPr fontId="3" type="noConversion"/>
  </si>
  <si>
    <t>Y51469</t>
  </si>
  <si>
    <t>Y51452</t>
  </si>
  <si>
    <t>Y51453</t>
  </si>
  <si>
    <t>Y51454</t>
  </si>
  <si>
    <t>C190935664</t>
  </si>
  <si>
    <t>Y51455</t>
  </si>
  <si>
    <t>Y51456</t>
  </si>
  <si>
    <r>
      <rPr>
        <sz val="10"/>
        <color theme="1"/>
        <rFont val="Arial Unicode MS"/>
        <family val="2"/>
        <charset val="134"/>
      </rPr>
      <t>海星名义下单</t>
    </r>
    <phoneticPr fontId="3" type="noConversion"/>
  </si>
  <si>
    <t>Y51546</t>
    <phoneticPr fontId="3" type="noConversion"/>
  </si>
  <si>
    <r>
      <t>109891(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PO109925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</si>
  <si>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Y51616</t>
    <phoneticPr fontId="3" type="noConversion"/>
  </si>
  <si>
    <r>
      <t>0.0661(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PO#109891)</t>
    </r>
    <phoneticPr fontId="3" type="noConversion"/>
  </si>
  <si>
    <t>C200737778</t>
    <phoneticPr fontId="3" type="noConversion"/>
  </si>
  <si>
    <t>Y51617</t>
    <phoneticPr fontId="3" type="noConversion"/>
  </si>
  <si>
    <t>Y51618</t>
    <phoneticPr fontId="3" type="noConversion"/>
  </si>
  <si>
    <t>Y51619</t>
    <phoneticPr fontId="3" type="noConversion"/>
  </si>
  <si>
    <t>Y51620</t>
    <phoneticPr fontId="3" type="noConversion"/>
  </si>
  <si>
    <t>C200637456</t>
    <phoneticPr fontId="3" type="noConversion"/>
  </si>
  <si>
    <t>Y51621</t>
    <phoneticPr fontId="3" type="noConversion"/>
  </si>
  <si>
    <r>
      <t>0.0665(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PO#109925)</t>
    </r>
    <phoneticPr fontId="3" type="noConversion"/>
  </si>
  <si>
    <t>Y51622</t>
    <phoneticPr fontId="3" type="noConversion"/>
  </si>
  <si>
    <t>Y51623</t>
    <phoneticPr fontId="3" type="noConversion"/>
  </si>
  <si>
    <t>Y51624</t>
    <phoneticPr fontId="3" type="noConversion"/>
  </si>
  <si>
    <t>C191236409</t>
    <phoneticPr fontId="3" type="noConversion"/>
  </si>
  <si>
    <t>R-&gt;L</t>
    <phoneticPr fontId="3" type="noConversion"/>
  </si>
  <si>
    <t>Y51625</t>
    <phoneticPr fontId="3" type="noConversion"/>
  </si>
  <si>
    <t>Y51547</t>
  </si>
  <si>
    <t>C200637625</t>
    <phoneticPr fontId="3" type="noConversion"/>
  </si>
  <si>
    <t>Y51548</t>
  </si>
  <si>
    <r>
      <t>0.0667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PO#109868)</t>
    </r>
    <phoneticPr fontId="3" type="noConversion"/>
  </si>
  <si>
    <t>Y51549</t>
  </si>
  <si>
    <t>Y51554</t>
    <phoneticPr fontId="3" type="noConversion"/>
  </si>
  <si>
    <t>Y51555</t>
    <phoneticPr fontId="3" type="noConversion"/>
  </si>
  <si>
    <r>
      <t>109886(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PO109947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</si>
  <si>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Y51552</t>
  </si>
  <si>
    <t>C121114462</t>
    <phoneticPr fontId="3" type="noConversion"/>
  </si>
  <si>
    <t>Y51553</t>
  </si>
  <si>
    <t>Y51550</t>
  </si>
  <si>
    <t>Y51551</t>
  </si>
  <si>
    <t>Y51556</t>
  </si>
  <si>
    <r>
      <t>109917</t>
    </r>
    <r>
      <rPr>
        <sz val="9"/>
        <color theme="1"/>
        <rFont val="Arial Unicode MS"/>
        <family val="2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</si>
  <si>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t>Y51841</t>
  </si>
  <si>
    <t>NM(CR:0.0670)</t>
    <phoneticPr fontId="3" type="noConversion"/>
  </si>
  <si>
    <t>Y51842</t>
  </si>
  <si>
    <t>OCT 20</t>
  </si>
  <si>
    <t>C200537323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</si>
  <si>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PO109963</t>
    </r>
    <r>
      <rPr>
        <sz val="9"/>
        <color theme="1"/>
        <rFont val="Arial Unicode MS"/>
        <family val="2"/>
        <charset val="134"/>
      </rPr>
      <t>，新建</t>
    </r>
    <r>
      <rPr>
        <sz val="9"/>
        <color theme="1"/>
        <rFont val="Arial"/>
        <family val="2"/>
      </rPr>
      <t>PO110004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</si>
  <si>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Y51840</t>
  </si>
  <si>
    <t>Y51843</t>
  </si>
  <si>
    <t>Y51844</t>
    <phoneticPr fontId="3" type="noConversion"/>
  </si>
  <si>
    <t>C200737853</t>
    <phoneticPr fontId="3" type="noConversion"/>
  </si>
  <si>
    <r>
      <t>109917(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</si>
  <si>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Y51845</t>
  </si>
  <si>
    <t>Y51907</t>
    <phoneticPr fontId="3" type="noConversion"/>
  </si>
  <si>
    <t>Y51904</t>
  </si>
  <si>
    <t>Y51909</t>
    <phoneticPr fontId="3" type="noConversion"/>
  </si>
  <si>
    <t>C170629555</t>
    <phoneticPr fontId="3" type="noConversion"/>
  </si>
  <si>
    <t>Y51906</t>
  </si>
  <si>
    <t>C180131148</t>
    <phoneticPr fontId="3" type="noConversion"/>
  </si>
  <si>
    <r>
      <t>109924(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PO109962)</t>
    </r>
    <phoneticPr fontId="3" type="noConversion"/>
  </si>
  <si>
    <t>Y51903</t>
    <phoneticPr fontId="3" type="noConversion"/>
  </si>
  <si>
    <t>C141021119</t>
    <phoneticPr fontId="3" type="noConversion"/>
  </si>
  <si>
    <t>Y51908</t>
  </si>
  <si>
    <t>Y51905</t>
    <phoneticPr fontId="3" type="noConversion"/>
  </si>
  <si>
    <t>Y51910</t>
  </si>
  <si>
    <t>C170930142</t>
    <phoneticPr fontId="3" type="noConversion"/>
  </si>
  <si>
    <t>49F103569</t>
    <phoneticPr fontId="3" type="noConversion"/>
  </si>
  <si>
    <t>Y51940</t>
  </si>
  <si>
    <r>
      <rPr>
        <sz val="10"/>
        <color theme="1"/>
        <rFont val="Arial Unicode MS"/>
        <family val="2"/>
        <charset val="134"/>
      </rPr>
      <t>上海仓库</t>
    </r>
  </si>
  <si>
    <t>C200537351</t>
    <phoneticPr fontId="3" type="noConversion"/>
  </si>
  <si>
    <r>
      <rPr>
        <sz val="10"/>
        <color theme="1"/>
        <rFont val="Arial Unicode MS"/>
        <family val="2"/>
        <charset val="134"/>
      </rPr>
      <t>智序名义下单</t>
    </r>
    <phoneticPr fontId="3" type="noConversion"/>
  </si>
  <si>
    <t>Y51972</t>
    <phoneticPr fontId="3" type="noConversion"/>
  </si>
  <si>
    <t>Y51973</t>
    <phoneticPr fontId="3" type="noConversion"/>
  </si>
  <si>
    <t>NM(CR:0.0685)</t>
    <phoneticPr fontId="3" type="noConversion"/>
  </si>
  <si>
    <t>C200838030</t>
    <phoneticPr fontId="3" type="noConversion"/>
  </si>
  <si>
    <t>Y51983</t>
    <phoneticPr fontId="3" type="noConversion"/>
  </si>
  <si>
    <t>C200637437</t>
    <phoneticPr fontId="3" type="noConversion"/>
  </si>
  <si>
    <t>Y51966</t>
    <phoneticPr fontId="3" type="noConversion"/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</si>
  <si>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PO109999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</si>
  <si>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Y51967</t>
    <phoneticPr fontId="3" type="noConversion"/>
  </si>
  <si>
    <t>Y51968</t>
    <phoneticPr fontId="3" type="noConversion"/>
  </si>
  <si>
    <t>Y51969</t>
    <phoneticPr fontId="3" type="noConversion"/>
  </si>
  <si>
    <t>Y51970</t>
    <phoneticPr fontId="3" type="noConversion"/>
  </si>
  <si>
    <t>Y51971</t>
    <phoneticPr fontId="3" type="noConversion"/>
  </si>
  <si>
    <r>
      <rPr>
        <sz val="10"/>
        <rFont val="Arial Unicode MS"/>
        <family val="2"/>
        <charset val="134"/>
      </rPr>
      <t>已发货</t>
    </r>
    <phoneticPr fontId="3" type="noConversion"/>
  </si>
  <si>
    <t>49J103603</t>
    <phoneticPr fontId="3" type="noConversion"/>
  </si>
  <si>
    <r>
      <rPr>
        <sz val="10"/>
        <rFont val="Arial Unicode MS"/>
        <family val="2"/>
        <charset val="134"/>
      </rPr>
      <t>正邦名义下单</t>
    </r>
    <phoneticPr fontId="3" type="noConversion"/>
  </si>
  <si>
    <t>Y50716</t>
    <phoneticPr fontId="3" type="noConversion"/>
  </si>
  <si>
    <r>
      <t xml:space="preserve">Yamaha </t>
    </r>
    <r>
      <rPr>
        <sz val="10"/>
        <rFont val="Arial Unicode MS"/>
        <family val="2"/>
        <charset val="134"/>
      </rPr>
      <t>大浪仓</t>
    </r>
  </si>
  <si>
    <t xml:space="preserve">NM </t>
    <phoneticPr fontId="3" type="noConversion"/>
  </si>
  <si>
    <t>Y52108</t>
  </si>
  <si>
    <t>C200737827</t>
    <phoneticPr fontId="3" type="noConversion"/>
  </si>
  <si>
    <t>Y52109</t>
  </si>
  <si>
    <r>
      <t>Y52110</t>
    </r>
    <r>
      <rPr>
        <sz val="10"/>
        <color theme="1"/>
        <rFont val="Arial Unicode MS"/>
        <family val="2"/>
        <charset val="134"/>
      </rPr>
      <t>（不能调动机器，序列号提供给了客户）</t>
    </r>
    <phoneticPr fontId="3" type="noConversion"/>
  </si>
  <si>
    <t>C200838012</t>
    <phoneticPr fontId="3" type="noConversion"/>
  </si>
  <si>
    <t>Y52111</t>
  </si>
  <si>
    <r>
      <t>0.0655(</t>
    </r>
    <r>
      <rPr>
        <sz val="8"/>
        <color rgb="FFFF0000"/>
        <rFont val="Arial Unicode MS"/>
        <family val="2"/>
        <charset val="134"/>
      </rPr>
      <t>价格用</t>
    </r>
    <r>
      <rPr>
        <sz val="8"/>
        <color rgb="FFFF0000"/>
        <rFont val="Arial"/>
        <family val="2"/>
      </rPr>
      <t>PO109977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</si>
  <si>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Y52112</t>
  </si>
  <si>
    <t>Y52113</t>
  </si>
  <si>
    <t>Y52114</t>
  </si>
  <si>
    <t>C200737845</t>
    <phoneticPr fontId="3" type="noConversion"/>
  </si>
  <si>
    <r>
      <rPr>
        <sz val="10"/>
        <color theme="1"/>
        <rFont val="Arial Unicode MS"/>
        <family val="2"/>
        <charset val="134"/>
      </rPr>
      <t>德劲名义下单</t>
    </r>
    <phoneticPr fontId="3" type="noConversion"/>
  </si>
  <si>
    <t>Y51103</t>
    <phoneticPr fontId="3" type="noConversion"/>
  </si>
  <si>
    <r>
      <t>109981(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PO110029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</si>
  <si>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Y51203</t>
    <phoneticPr fontId="3" type="noConversion"/>
  </si>
  <si>
    <t>C200938128</t>
    <phoneticPr fontId="3" type="noConversion"/>
  </si>
  <si>
    <t>Y52115</t>
  </si>
  <si>
    <t>Y52116</t>
  </si>
  <si>
    <t>Y52117</t>
  </si>
  <si>
    <t>Y52118</t>
  </si>
  <si>
    <t>Y52119</t>
  </si>
  <si>
    <t>C200737736</t>
    <phoneticPr fontId="3" type="noConversion"/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</si>
  <si>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PO109999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</si>
  <si>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Y52100</t>
  </si>
  <si>
    <t>C150222316</t>
    <phoneticPr fontId="3" type="noConversion"/>
  </si>
  <si>
    <t>Y52101</t>
  </si>
  <si>
    <r>
      <t>NM</t>
    </r>
    <r>
      <rPr>
        <sz val="8"/>
        <color rgb="FFFF0000"/>
        <rFont val="Arial Unicode MS"/>
        <family val="2"/>
        <charset val="134"/>
      </rPr>
      <t>（价格用</t>
    </r>
    <r>
      <rPr>
        <sz val="8"/>
        <color rgb="FFFF0000"/>
        <rFont val="Arial"/>
        <family val="2"/>
      </rPr>
      <t>PO#109933)</t>
    </r>
    <phoneticPr fontId="3" type="noConversion"/>
  </si>
  <si>
    <t>C200837985</t>
    <phoneticPr fontId="3" type="noConversion"/>
  </si>
  <si>
    <t>Y52102</t>
  </si>
  <si>
    <r>
      <t>109954(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PO110000)</t>
    </r>
    <phoneticPr fontId="3" type="noConversion"/>
  </si>
  <si>
    <t>Y52103</t>
  </si>
  <si>
    <t>C170128496</t>
    <phoneticPr fontId="3" type="noConversion"/>
  </si>
  <si>
    <t>Y52104</t>
  </si>
  <si>
    <t>Y52105</t>
  </si>
  <si>
    <t>Y52106</t>
  </si>
  <si>
    <t>Y52107</t>
  </si>
  <si>
    <t>Y52275</t>
    <phoneticPr fontId="3" type="noConversion"/>
  </si>
  <si>
    <t>C170930271</t>
    <phoneticPr fontId="3" type="noConversion"/>
  </si>
  <si>
    <t>Y52276</t>
    <phoneticPr fontId="3" type="noConversion"/>
  </si>
  <si>
    <t>Y52277</t>
    <phoneticPr fontId="3" type="noConversion"/>
  </si>
  <si>
    <t>Y52278</t>
    <phoneticPr fontId="3" type="noConversion"/>
  </si>
  <si>
    <t>Y52279</t>
    <phoneticPr fontId="3" type="noConversion"/>
  </si>
  <si>
    <t>Y52295</t>
    <phoneticPr fontId="3" type="noConversion"/>
  </si>
  <si>
    <t>C200838017</t>
    <phoneticPr fontId="3" type="noConversion"/>
  </si>
  <si>
    <t>Y52294</t>
    <phoneticPr fontId="3" type="noConversion"/>
  </si>
  <si>
    <t>Y52288</t>
    <phoneticPr fontId="3" type="noConversion"/>
  </si>
  <si>
    <t>DEC 20</t>
  </si>
  <si>
    <t>已发货</t>
  </si>
  <si>
    <t>Y52289</t>
    <phoneticPr fontId="3" type="noConversion"/>
  </si>
  <si>
    <t>JAN 21</t>
  </si>
  <si>
    <t>C180832785</t>
    <phoneticPr fontId="3" type="noConversion"/>
  </si>
  <si>
    <t>Y52290</t>
    <phoneticPr fontId="3" type="noConversion"/>
  </si>
  <si>
    <t>Y52291</t>
    <phoneticPr fontId="3" type="noConversion"/>
  </si>
  <si>
    <t>Y52292</t>
    <phoneticPr fontId="3" type="noConversion"/>
  </si>
  <si>
    <t>Y52293</t>
    <phoneticPr fontId="3" type="noConversion"/>
  </si>
  <si>
    <t>Y52280</t>
    <phoneticPr fontId="3" type="noConversion"/>
  </si>
  <si>
    <t>Y52281</t>
    <phoneticPr fontId="3" type="noConversion"/>
  </si>
  <si>
    <t>Y52282</t>
    <phoneticPr fontId="3" type="noConversion"/>
  </si>
  <si>
    <t>Y52283</t>
    <phoneticPr fontId="3" type="noConversion"/>
  </si>
  <si>
    <t>Y52284</t>
    <phoneticPr fontId="3" type="noConversion"/>
  </si>
  <si>
    <t>Y52285</t>
    <phoneticPr fontId="3" type="noConversion"/>
  </si>
  <si>
    <t>Y52286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</si>
  <si>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r>
      <rPr>
        <sz val="10"/>
        <color theme="1"/>
        <rFont val="Arial"/>
        <family val="2"/>
      </rPr>
      <t xml:space="preserve">        </t>
    </r>
    <phoneticPr fontId="3" type="noConversion"/>
  </si>
  <si>
    <t>Y52763</t>
    <phoneticPr fontId="3" type="noConversion"/>
  </si>
  <si>
    <t>NOV 20</t>
  </si>
  <si>
    <t>C201138560</t>
    <phoneticPr fontId="3" type="noConversion"/>
  </si>
  <si>
    <t>Y52318</t>
  </si>
  <si>
    <t>Y52319</t>
  </si>
  <si>
    <t>Y52320</t>
    <phoneticPr fontId="3" type="noConversion"/>
  </si>
  <si>
    <t>Y52321</t>
  </si>
  <si>
    <t>Y52322</t>
    <phoneticPr fontId="3" type="noConversion"/>
  </si>
  <si>
    <t>Y52323</t>
    <phoneticPr fontId="3" type="noConversion"/>
  </si>
  <si>
    <t>C170629728</t>
    <phoneticPr fontId="3" type="noConversion"/>
  </si>
  <si>
    <t>Y52654</t>
    <phoneticPr fontId="3" type="noConversion"/>
  </si>
  <si>
    <r>
      <t>109995(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110118)</t>
    </r>
    <phoneticPr fontId="3" type="noConversion"/>
  </si>
  <si>
    <t>Y52393</t>
    <phoneticPr fontId="3" type="noConversion"/>
  </si>
  <si>
    <t>2020.10.</t>
    <phoneticPr fontId="3" type="noConversion"/>
  </si>
  <si>
    <t>C200938204</t>
    <phoneticPr fontId="3" type="noConversion"/>
  </si>
  <si>
    <t>Y52394</t>
  </si>
  <si>
    <r>
      <t>0.0638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PO110121</t>
    </r>
    <phoneticPr fontId="3" type="noConversion"/>
  </si>
  <si>
    <t>C201038384</t>
    <phoneticPr fontId="3" type="noConversion"/>
  </si>
  <si>
    <t>Y52395</t>
    <phoneticPr fontId="3" type="noConversion"/>
  </si>
  <si>
    <r>
      <rPr>
        <sz val="10"/>
        <color theme="1"/>
        <rFont val="Arial Unicode MS"/>
        <family val="2"/>
        <charset val="134"/>
      </rPr>
      <t>斯迈名义下单</t>
    </r>
    <phoneticPr fontId="3" type="noConversion"/>
  </si>
  <si>
    <t>Y52830</t>
  </si>
  <si>
    <r>
      <t>TBA</t>
    </r>
    <r>
      <rPr>
        <sz val="8"/>
        <color rgb="FFFF0000"/>
        <rFont val="Arial Unicode MS"/>
        <family val="2"/>
        <charset val="134"/>
      </rPr>
      <t>（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110097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</si>
  <si>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YSM20R-2</t>
    <phoneticPr fontId="3" type="noConversion"/>
  </si>
  <si>
    <t>Y52831</t>
    <phoneticPr fontId="3" type="noConversion"/>
  </si>
  <si>
    <t>C200637592</t>
    <phoneticPr fontId="3" type="noConversion"/>
  </si>
  <si>
    <t>Y52832</t>
    <phoneticPr fontId="3" type="noConversion"/>
  </si>
  <si>
    <t>C201038374</t>
    <phoneticPr fontId="3" type="noConversion"/>
  </si>
  <si>
    <t>Y52833</t>
  </si>
  <si>
    <t>Y52834</t>
  </si>
  <si>
    <t>Y52835</t>
    <phoneticPr fontId="3" type="noConversion"/>
  </si>
  <si>
    <t>Y52836</t>
  </si>
  <si>
    <t>C200938214</t>
    <phoneticPr fontId="3" type="noConversion"/>
  </si>
  <si>
    <t>Y52837</t>
  </si>
  <si>
    <t>Y52838</t>
  </si>
  <si>
    <t>Y52839</t>
  </si>
  <si>
    <t>Y52387</t>
    <phoneticPr fontId="3" type="noConversion"/>
  </si>
  <si>
    <t>Y52388</t>
    <phoneticPr fontId="3" type="noConversion"/>
  </si>
  <si>
    <t>C201038333</t>
    <phoneticPr fontId="3" type="noConversion"/>
  </si>
  <si>
    <t>Y52389</t>
    <phoneticPr fontId="3" type="noConversion"/>
  </si>
  <si>
    <t>C201038403</t>
    <phoneticPr fontId="3" type="noConversion"/>
  </si>
  <si>
    <t>Y52390</t>
    <phoneticPr fontId="3" type="noConversion"/>
  </si>
  <si>
    <t>C180231415</t>
    <phoneticPr fontId="3" type="noConversion"/>
  </si>
  <si>
    <r>
      <t>109996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</si>
  <si>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Y52391</t>
    <phoneticPr fontId="3" type="noConversion"/>
  </si>
  <si>
    <t>C200938211</t>
    <phoneticPr fontId="3" type="noConversion"/>
  </si>
  <si>
    <t>Y52392</t>
    <phoneticPr fontId="3" type="noConversion"/>
  </si>
  <si>
    <t>C200938163</t>
    <phoneticPr fontId="3" type="noConversion"/>
  </si>
  <si>
    <t>Y52375</t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</si>
  <si>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</si>
  <si>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Y52376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</si>
  <si>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，价格</t>
    </r>
    <r>
      <rPr>
        <sz val="8"/>
        <color rgb="FFFF0000"/>
        <rFont val="Arial"/>
        <family val="2"/>
      </rPr>
      <t>PO109995</t>
    </r>
    <phoneticPr fontId="3" type="noConversion"/>
  </si>
  <si>
    <r>
      <t>109991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110128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</si>
  <si>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Y52377</t>
  </si>
  <si>
    <t>C201238817</t>
    <phoneticPr fontId="3" type="noConversion"/>
  </si>
  <si>
    <t>Y52378</t>
  </si>
  <si>
    <t>Y52379</t>
  </si>
  <si>
    <r>
      <rPr>
        <sz val="10"/>
        <color theme="1"/>
        <rFont val="Arial Unicode MS"/>
        <family val="2"/>
        <charset val="134"/>
      </rPr>
      <t>阿克西姆名义下单</t>
    </r>
    <phoneticPr fontId="3" type="noConversion"/>
  </si>
  <si>
    <t>Y52690</t>
    <phoneticPr fontId="3" type="noConversion"/>
  </si>
  <si>
    <r>
      <rPr>
        <sz val="10"/>
        <color theme="1"/>
        <rFont val="Arial Unicode MS"/>
        <family val="2"/>
        <charset val="134"/>
      </rPr>
      <t>银宝名义下单</t>
    </r>
    <phoneticPr fontId="3" type="noConversion"/>
  </si>
  <si>
    <t>cATS10</t>
  </si>
  <si>
    <t>Y52689</t>
    <phoneticPr fontId="3" type="noConversion"/>
  </si>
  <si>
    <t>Y52804</t>
    <phoneticPr fontId="3" type="noConversion"/>
  </si>
  <si>
    <t>Y52381</t>
    <phoneticPr fontId="3" type="noConversion"/>
  </si>
  <si>
    <t>C180331698</t>
    <phoneticPr fontId="3" type="noConversion"/>
  </si>
  <si>
    <t>Y52382</t>
  </si>
  <si>
    <t>Y52383</t>
  </si>
  <si>
    <r>
      <t>109992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PO110072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</si>
  <si>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t>Stock order</t>
    </r>
    <r>
      <rPr>
        <sz val="10"/>
        <color theme="1"/>
        <rFont val="Arial Unicode MS"/>
        <family val="2"/>
        <charset val="134"/>
      </rPr>
      <t>（序列号已给客户，不可调）</t>
    </r>
    <phoneticPr fontId="3" type="noConversion"/>
  </si>
  <si>
    <t>Y52384</t>
    <phoneticPr fontId="3" type="noConversion"/>
  </si>
  <si>
    <r>
      <rPr>
        <sz val="10"/>
        <color theme="1"/>
        <rFont val="Arial Unicode MS"/>
        <family val="2"/>
        <charset val="134"/>
      </rPr>
      <t>码头</t>
    </r>
    <r>
      <rPr>
        <sz val="10"/>
        <color theme="1"/>
        <rFont val="Arial"/>
        <family val="2"/>
      </rPr>
      <t>-&gt;</t>
    </r>
    <r>
      <rPr>
        <sz val="10"/>
        <color theme="1"/>
        <rFont val="Arial Unicode MS"/>
        <family val="2"/>
        <charset val="134"/>
      </rPr>
      <t>准备清关</t>
    </r>
    <phoneticPr fontId="3" type="noConversion"/>
  </si>
  <si>
    <t>Y52385</t>
    <phoneticPr fontId="3" type="noConversion"/>
  </si>
  <si>
    <t>Y52386</t>
    <phoneticPr fontId="3" type="noConversion"/>
  </si>
  <si>
    <t>C180231406</t>
    <phoneticPr fontId="3" type="noConversion"/>
  </si>
  <si>
    <r>
      <rPr>
        <sz val="10"/>
        <color theme="1"/>
        <rFont val="Arial Unicode MS"/>
        <family val="2"/>
        <charset val="134"/>
      </rPr>
      <t>平方兆赫名义下单</t>
    </r>
    <phoneticPr fontId="3" type="noConversion"/>
  </si>
  <si>
    <t>Y52688</t>
    <phoneticPr fontId="3" type="noConversion"/>
  </si>
  <si>
    <t>YES</t>
    <phoneticPr fontId="3" type="noConversion"/>
  </si>
  <si>
    <t>HM5+MVC+ATS15</t>
  </si>
  <si>
    <t>Y53085</t>
    <phoneticPr fontId="3" type="noConversion"/>
  </si>
  <si>
    <t>C120612523</t>
    <phoneticPr fontId="3" type="noConversion"/>
  </si>
  <si>
    <t>Y52847</t>
    <phoneticPr fontId="3" type="noConversion"/>
  </si>
  <si>
    <t>Y52848</t>
    <phoneticPr fontId="3" type="noConversion"/>
  </si>
  <si>
    <t>Y52849</t>
    <phoneticPr fontId="3" type="noConversion"/>
  </si>
  <si>
    <t>C200938065</t>
    <phoneticPr fontId="3" type="noConversion"/>
  </si>
  <si>
    <t>Y52843</t>
    <phoneticPr fontId="3" type="noConversion"/>
  </si>
  <si>
    <t>Y52844</t>
    <phoneticPr fontId="3" type="noConversion"/>
  </si>
  <si>
    <t>Y53182</t>
    <phoneticPr fontId="3" type="noConversion"/>
  </si>
  <si>
    <t>C200537348</t>
    <phoneticPr fontId="3" type="noConversion"/>
  </si>
  <si>
    <t>Y53183</t>
    <phoneticPr fontId="3" type="noConversion"/>
  </si>
  <si>
    <t>C180732632</t>
    <phoneticPr fontId="3" type="noConversion"/>
  </si>
  <si>
    <t>Y53184</t>
    <phoneticPr fontId="3" type="noConversion"/>
  </si>
  <si>
    <r>
      <t>110025(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110117)</t>
    </r>
    <phoneticPr fontId="3" type="noConversion"/>
  </si>
  <si>
    <t>Y53185</t>
    <phoneticPr fontId="3" type="noConversion"/>
  </si>
  <si>
    <r>
      <t>NM</t>
    </r>
    <r>
      <rPr>
        <sz val="8"/>
        <color rgb="FFFF0000"/>
        <rFont val="Arial Unicode MS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110043</t>
    </r>
    <phoneticPr fontId="3" type="noConversion"/>
  </si>
  <si>
    <t>Y53186</t>
    <phoneticPr fontId="3" type="noConversion"/>
  </si>
  <si>
    <t>49F103708</t>
    <phoneticPr fontId="3" type="noConversion"/>
  </si>
  <si>
    <r>
      <rPr>
        <sz val="10"/>
        <color theme="1"/>
        <rFont val="Arial Unicode MS"/>
        <family val="2"/>
        <charset val="134"/>
      </rPr>
      <t>皇家显示名义下单</t>
    </r>
    <phoneticPr fontId="3" type="noConversion"/>
  </si>
  <si>
    <t>Y52766</t>
    <phoneticPr fontId="3" type="noConversion"/>
  </si>
  <si>
    <r>
      <rPr>
        <sz val="10"/>
        <color theme="1"/>
        <rFont val="Arial Unicode MS"/>
        <family val="2"/>
        <charset val="134"/>
      </rPr>
      <t>深圳仓库</t>
    </r>
  </si>
  <si>
    <t>Y52765</t>
    <phoneticPr fontId="3" type="noConversion"/>
  </si>
  <si>
    <t>Y52685</t>
    <phoneticPr fontId="3" type="noConversion"/>
  </si>
  <si>
    <t>C28</t>
    <phoneticPr fontId="3" type="noConversion"/>
  </si>
  <si>
    <t>Y53169</t>
    <phoneticPr fontId="3" type="noConversion"/>
  </si>
  <si>
    <r>
      <t>C180933101</t>
    </r>
    <r>
      <rPr>
        <sz val="10"/>
        <color theme="1"/>
        <rFont val="Arial Unicode MS"/>
        <family val="2"/>
        <charset val="134"/>
      </rPr>
      <t>，客户的安贸一直没更新，用鑫联科名字做的安贸</t>
    </r>
    <phoneticPr fontId="3" type="noConversion"/>
  </si>
  <si>
    <t>上海预留.</t>
    <phoneticPr fontId="3" type="noConversion"/>
  </si>
  <si>
    <t>Y53170</t>
    <phoneticPr fontId="3" type="noConversion"/>
  </si>
  <si>
    <t>RMB</t>
    <phoneticPr fontId="3" type="noConversion"/>
  </si>
  <si>
    <t>C49SHA20210115/LYJ</t>
    <phoneticPr fontId="3" type="noConversion"/>
  </si>
  <si>
    <t>中科朗恩</t>
    <phoneticPr fontId="3" type="noConversion"/>
  </si>
  <si>
    <t>C180231281</t>
    <phoneticPr fontId="3" type="noConversion"/>
  </si>
  <si>
    <t>Y52850</t>
    <phoneticPr fontId="3" type="noConversion"/>
  </si>
  <si>
    <t>Y52851</t>
    <phoneticPr fontId="3" type="noConversion"/>
  </si>
  <si>
    <r>
      <t>110050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</si>
  <si>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Y52852</t>
    <phoneticPr fontId="3" type="noConversion"/>
  </si>
  <si>
    <t>Y53235</t>
    <phoneticPr fontId="3" type="noConversion"/>
  </si>
  <si>
    <t>Y53236</t>
    <phoneticPr fontId="3" type="noConversion"/>
  </si>
  <si>
    <r>
      <t xml:space="preserve">0.0638,PO 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110117</t>
    </r>
    <phoneticPr fontId="3" type="noConversion"/>
  </si>
  <si>
    <t>C180532024</t>
    <phoneticPr fontId="3" type="noConversion"/>
  </si>
  <si>
    <t>Y53237</t>
    <phoneticPr fontId="3" type="noConversion"/>
  </si>
  <si>
    <t>C171230831</t>
    <phoneticPr fontId="3" type="noConversion"/>
  </si>
  <si>
    <r>
      <t>110043(</t>
    </r>
    <r>
      <rPr>
        <sz val="10"/>
        <color theme="1"/>
        <rFont val="Arial Unicode MS"/>
        <family val="2"/>
        <charset val="134"/>
      </rPr>
      <t>拆单</t>
    </r>
    <r>
      <rPr>
        <sz val="10"/>
        <color theme="1"/>
        <rFont val="Arial"/>
        <family val="2"/>
      </rPr>
      <t>110140)</t>
    </r>
    <phoneticPr fontId="3" type="noConversion"/>
  </si>
  <si>
    <t>Y53265</t>
    <phoneticPr fontId="3" type="noConversion"/>
  </si>
  <si>
    <t>Y53240</t>
    <phoneticPr fontId="3" type="noConversion"/>
  </si>
  <si>
    <t>Y53439</t>
    <phoneticPr fontId="3" type="noConversion"/>
  </si>
  <si>
    <t>C200637625</t>
  </si>
  <si>
    <t>Y53440</t>
    <phoneticPr fontId="3" type="noConversion"/>
  </si>
  <si>
    <r>
      <rPr>
        <sz val="10"/>
        <color theme="1"/>
        <rFont val="Arial Unicode MS"/>
        <family val="2"/>
        <charset val="134"/>
      </rPr>
      <t>旭晟名义下单</t>
    </r>
    <phoneticPr fontId="3" type="noConversion"/>
  </si>
  <si>
    <t>Y53174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</si>
  <si>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110178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</si>
  <si>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Y53187</t>
    <phoneticPr fontId="3" type="noConversion"/>
  </si>
  <si>
    <t>Y53188</t>
    <phoneticPr fontId="3" type="noConversion"/>
  </si>
  <si>
    <t>C201238746</t>
    <phoneticPr fontId="3" type="noConversion"/>
  </si>
  <si>
    <r>
      <t>110026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</si>
  <si>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Y53189</t>
    <phoneticPr fontId="3" type="noConversion"/>
  </si>
  <si>
    <t>C201238776</t>
    <phoneticPr fontId="3" type="noConversion"/>
  </si>
  <si>
    <t>Y53190</t>
    <phoneticPr fontId="3" type="noConversion"/>
  </si>
  <si>
    <t>Y53191</t>
    <phoneticPr fontId="3" type="noConversion"/>
  </si>
  <si>
    <t>C170429073</t>
    <phoneticPr fontId="3" type="noConversion"/>
  </si>
  <si>
    <t>Y53192</t>
    <phoneticPr fontId="3" type="noConversion"/>
  </si>
  <si>
    <t>Y53193</t>
    <phoneticPr fontId="3" type="noConversion"/>
  </si>
  <si>
    <r>
      <t>110044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110207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</si>
  <si>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Y53266</t>
    <phoneticPr fontId="3" type="noConversion"/>
  </si>
  <si>
    <t>C201238803</t>
  </si>
  <si>
    <t>Y53267</t>
    <phoneticPr fontId="3" type="noConversion"/>
  </si>
  <si>
    <t>Y53268</t>
    <phoneticPr fontId="3" type="noConversion"/>
  </si>
  <si>
    <t>Y53269</t>
    <phoneticPr fontId="3" type="noConversion"/>
  </si>
  <si>
    <t>Y53238</t>
    <phoneticPr fontId="3" type="noConversion"/>
  </si>
  <si>
    <t>Y53239</t>
    <phoneticPr fontId="3" type="noConversion"/>
  </si>
  <si>
    <t>Y53443</t>
  </si>
  <si>
    <t>Y53444</t>
    <phoneticPr fontId="3" type="noConversion"/>
  </si>
  <si>
    <t>Y53445</t>
  </si>
  <si>
    <t>Y53446</t>
  </si>
  <si>
    <t>Y53447</t>
  </si>
  <si>
    <t>Y52845</t>
    <phoneticPr fontId="3" type="noConversion"/>
  </si>
  <si>
    <r>
      <t>110110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110180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</si>
  <si>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Y52846</t>
    <phoneticPr fontId="3" type="noConversion"/>
  </si>
  <si>
    <t>Y53442</t>
    <phoneticPr fontId="3" type="noConversion"/>
  </si>
  <si>
    <t>C201138627</t>
    <phoneticPr fontId="3" type="noConversion"/>
  </si>
  <si>
    <t>Y53441</t>
    <phoneticPr fontId="3" type="noConversion"/>
  </si>
  <si>
    <r>
      <t>110097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110192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</si>
  <si>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r>
      <rPr>
        <sz val="10"/>
        <color theme="1"/>
        <rFont val="Arial Unicode MS"/>
        <family val="2"/>
        <charset val="134"/>
      </rPr>
      <t>玥芯通名义下单</t>
    </r>
    <phoneticPr fontId="3" type="noConversion"/>
  </si>
  <si>
    <t>Y53571</t>
    <phoneticPr fontId="3" type="noConversion"/>
  </si>
  <si>
    <t>Y53572</t>
    <phoneticPr fontId="3" type="noConversion"/>
  </si>
  <si>
    <r>
      <t>0.065(PO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110047</t>
    </r>
    <r>
      <rPr>
        <sz val="8"/>
        <color rgb="FFFF0000"/>
        <rFont val="Arial Unicode MS"/>
        <family val="2"/>
        <charset val="134"/>
      </rPr>
      <t>）</t>
    </r>
    <phoneticPr fontId="3" type="noConversion"/>
  </si>
  <si>
    <t>Y53573</t>
    <phoneticPr fontId="3" type="noConversion"/>
  </si>
  <si>
    <r>
      <t>110181(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110214)</t>
    </r>
    <phoneticPr fontId="3" type="noConversion"/>
  </si>
  <si>
    <t>Y53574</t>
    <phoneticPr fontId="3" type="noConversion"/>
  </si>
  <si>
    <t>C201138594</t>
    <phoneticPr fontId="3" type="noConversion"/>
  </si>
  <si>
    <t>Y53575</t>
    <phoneticPr fontId="3" type="noConversion"/>
  </si>
  <si>
    <r>
      <t>0.0638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110208</t>
    </r>
    <phoneticPr fontId="3" type="noConversion"/>
  </si>
  <si>
    <r>
      <rPr>
        <sz val="10"/>
        <color theme="1"/>
        <rFont val="Arial Unicode MS"/>
        <family val="2"/>
        <charset val="134"/>
      </rPr>
      <t>捷舜诚名义</t>
    </r>
    <phoneticPr fontId="3" type="noConversion"/>
  </si>
  <si>
    <t>Y53922</t>
    <phoneticPr fontId="3" type="noConversion"/>
  </si>
  <si>
    <t>Y53923</t>
    <phoneticPr fontId="3" type="noConversion"/>
  </si>
  <si>
    <t>C180331713</t>
    <phoneticPr fontId="3" type="noConversion"/>
  </si>
  <si>
    <t>Y53961</t>
    <phoneticPr fontId="3" type="noConversion"/>
  </si>
  <si>
    <t>C190434559</t>
    <phoneticPr fontId="3" type="noConversion"/>
  </si>
  <si>
    <t>Y53924</t>
    <phoneticPr fontId="3" type="noConversion"/>
  </si>
  <si>
    <t>C201238798</t>
    <phoneticPr fontId="3" type="noConversion"/>
  </si>
  <si>
    <t>Y53925</t>
    <phoneticPr fontId="3" type="noConversion"/>
  </si>
  <si>
    <r>
      <t>NM PO</t>
    </r>
    <r>
      <rPr>
        <sz val="8"/>
        <color rgb="FFFF0000"/>
        <rFont val="Arial Unicode MS"/>
        <family val="2"/>
        <charset val="134"/>
      </rPr>
      <t>用</t>
    </r>
    <r>
      <rPr>
        <sz val="8"/>
        <color rgb="FFFF0000"/>
        <rFont val="Arial"/>
        <family val="2"/>
      </rPr>
      <t>110158</t>
    </r>
    <phoneticPr fontId="3" type="noConversion"/>
  </si>
  <si>
    <t>Y53241</t>
    <phoneticPr fontId="3" type="noConversion"/>
  </si>
  <si>
    <r>
      <rPr>
        <sz val="10"/>
        <color theme="1"/>
        <rFont val="Arial Unicode MS"/>
        <family val="2"/>
        <charset val="134"/>
      </rPr>
      <t>志华鑫名义下单</t>
    </r>
    <phoneticPr fontId="3" type="noConversion"/>
  </si>
  <si>
    <t>Y53846</t>
    <phoneticPr fontId="3" type="noConversion"/>
  </si>
  <si>
    <t>Y53848</t>
    <phoneticPr fontId="3" type="noConversion"/>
  </si>
  <si>
    <t>Y53849</t>
    <phoneticPr fontId="3" type="noConversion"/>
  </si>
  <si>
    <t>Y53618</t>
    <phoneticPr fontId="3" type="noConversion"/>
  </si>
  <si>
    <t>Y53619</t>
    <phoneticPr fontId="3" type="noConversion"/>
  </si>
  <si>
    <r>
      <t>Y53613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</si>
  <si>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r>
      <t>Y53614</t>
    </r>
    <r>
      <rPr>
        <sz val="10"/>
        <color theme="1"/>
        <rFont val="宋体"/>
        <family val="2"/>
        <charset val="134"/>
      </rPr>
      <t>不能调动机器</t>
    </r>
    <phoneticPr fontId="3" type="noConversion"/>
  </si>
  <si>
    <t>Y53615</t>
    <phoneticPr fontId="3" type="noConversion"/>
  </si>
  <si>
    <t>Y53616</t>
    <phoneticPr fontId="3" type="noConversion"/>
  </si>
  <si>
    <t>Y53617</t>
    <phoneticPr fontId="3" type="noConversion"/>
  </si>
  <si>
    <t>Y53620</t>
    <phoneticPr fontId="3" type="noConversion"/>
  </si>
  <si>
    <t>C210139194</t>
  </si>
  <si>
    <t>Y53621</t>
    <phoneticPr fontId="3" type="noConversion"/>
  </si>
  <si>
    <t>Y53622</t>
    <phoneticPr fontId="3" type="noConversion"/>
  </si>
  <si>
    <r>
      <t>Y53623</t>
    </r>
    <r>
      <rPr>
        <sz val="10"/>
        <color theme="1"/>
        <rFont val="宋体"/>
        <family val="2"/>
        <charset val="134"/>
      </rPr>
      <t>（不能调动)</t>
    </r>
    <phoneticPr fontId="3" type="noConversion"/>
  </si>
  <si>
    <t>AUG 21</t>
  </si>
  <si>
    <t>C210740713</t>
    <phoneticPr fontId="3" type="noConversion"/>
  </si>
  <si>
    <r>
      <rPr>
        <sz val="10"/>
        <color theme="1"/>
        <rFont val="Arial Unicode MS"/>
        <family val="2"/>
        <charset val="134"/>
      </rPr>
      <t>鸿通宇名义</t>
    </r>
    <phoneticPr fontId="3" type="noConversion"/>
  </si>
  <si>
    <r>
      <rPr>
        <sz val="10"/>
        <color theme="1"/>
        <rFont val="Arial Unicode MS"/>
        <family val="2"/>
        <charset val="134"/>
      </rPr>
      <t>益田名义下单</t>
    </r>
    <phoneticPr fontId="3" type="noConversion"/>
  </si>
  <si>
    <t>Y53630</t>
    <phoneticPr fontId="3" type="noConversion"/>
  </si>
  <si>
    <t>Y53631</t>
  </si>
  <si>
    <t>C200737853</t>
  </si>
  <si>
    <t>Y53632</t>
    <phoneticPr fontId="3" type="noConversion"/>
  </si>
  <si>
    <t>Y53633</t>
    <phoneticPr fontId="3" type="noConversion"/>
  </si>
  <si>
    <r>
      <t>110106 (</t>
    </r>
    <r>
      <rPr>
        <sz val="9"/>
        <color theme="1"/>
        <rFont val="Arial Unicode MS"/>
        <family val="2"/>
        <charset val="134"/>
      </rPr>
      <t>拆单</t>
    </r>
    <r>
      <rPr>
        <sz val="9"/>
        <color theme="1"/>
        <rFont val="Arial"/>
        <family val="2"/>
      </rPr>
      <t>110215)</t>
    </r>
    <phoneticPr fontId="3" type="noConversion"/>
  </si>
  <si>
    <t>Y53634</t>
    <phoneticPr fontId="3" type="noConversion"/>
  </si>
  <si>
    <r>
      <t>110106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110208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</si>
  <si>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Y53635</t>
    <phoneticPr fontId="3" type="noConversion"/>
  </si>
  <si>
    <r>
      <t xml:space="preserve">TBA Po </t>
    </r>
    <r>
      <rPr>
        <sz val="8"/>
        <color rgb="FFFF0000"/>
        <rFont val="Arial Unicode MS"/>
        <family val="2"/>
      </rPr>
      <t>用</t>
    </r>
    <r>
      <rPr>
        <sz val="8"/>
        <color rgb="FFFF0000"/>
        <rFont val="Arial"/>
        <family val="2"/>
      </rPr>
      <t>110181</t>
    </r>
    <phoneticPr fontId="3" type="noConversion"/>
  </si>
  <si>
    <t>Y53636</t>
    <phoneticPr fontId="3" type="noConversion"/>
  </si>
  <si>
    <t>C210239227</t>
    <phoneticPr fontId="106" type="noConversion"/>
  </si>
  <si>
    <t>Y53637</t>
  </si>
  <si>
    <t>C171030541</t>
  </si>
  <si>
    <t>Y53842</t>
    <phoneticPr fontId="3" type="noConversion"/>
  </si>
  <si>
    <r>
      <rPr>
        <sz val="10"/>
        <color theme="1"/>
        <rFont val="Arial Unicode MS"/>
        <family val="2"/>
        <charset val="134"/>
      </rPr>
      <t>华彩鑫名义</t>
    </r>
    <phoneticPr fontId="3" type="noConversion"/>
  </si>
  <si>
    <t>Y54173</t>
    <phoneticPr fontId="3" type="noConversion"/>
  </si>
  <si>
    <t>码头-&gt;准备清关</t>
  </si>
  <si>
    <t>C210239202</t>
  </si>
  <si>
    <t>Y54174</t>
    <phoneticPr fontId="3" type="noConversion"/>
  </si>
  <si>
    <t>Y53843</t>
    <phoneticPr fontId="3" type="noConversion"/>
  </si>
  <si>
    <t>Y53844</t>
    <phoneticPr fontId="3" type="noConversion"/>
  </si>
  <si>
    <t>C200838017</t>
  </si>
  <si>
    <r>
      <t>110107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110209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</si>
  <si>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Y53845</t>
    <phoneticPr fontId="3" type="noConversion"/>
  </si>
  <si>
    <t>Y53847</t>
    <phoneticPr fontId="3" type="noConversion"/>
  </si>
  <si>
    <t>C210339637</t>
  </si>
  <si>
    <t>Y53962</t>
    <phoneticPr fontId="3" type="noConversion"/>
  </si>
  <si>
    <t>C190635053</t>
  </si>
  <si>
    <t>Y53963</t>
    <phoneticPr fontId="3" type="noConversion"/>
  </si>
  <si>
    <t>Y53964</t>
    <phoneticPr fontId="3" type="noConversion"/>
  </si>
  <si>
    <t>C210239281</t>
    <phoneticPr fontId="3" type="noConversion"/>
  </si>
  <si>
    <t>Y53965</t>
    <phoneticPr fontId="3" type="noConversion"/>
  </si>
  <si>
    <t>C200437242</t>
  </si>
  <si>
    <t>Y53966</t>
    <phoneticPr fontId="3" type="noConversion"/>
  </si>
  <si>
    <t>Y53624</t>
    <phoneticPr fontId="3" type="noConversion"/>
  </si>
  <si>
    <t>C210139067</t>
    <phoneticPr fontId="3" type="noConversion"/>
  </si>
  <si>
    <t>R0625L</t>
  </si>
  <si>
    <r>
      <rPr>
        <sz val="9"/>
        <color theme="1"/>
        <rFont val="Arial Unicode MS"/>
        <family val="2"/>
        <charset val="134"/>
      </rPr>
      <t>力丰</t>
    </r>
    <phoneticPr fontId="3" type="noConversion"/>
  </si>
  <si>
    <t>力丰</t>
    <phoneticPr fontId="3" type="noConversion"/>
  </si>
  <si>
    <t>HK 仓库</t>
  </si>
  <si>
    <t>上海客户</t>
    <phoneticPr fontId="3" type="noConversion"/>
  </si>
  <si>
    <t>Y53564</t>
    <phoneticPr fontId="3" type="noConversion"/>
  </si>
  <si>
    <r>
      <t>110096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110241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</si>
  <si>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Y53565</t>
  </si>
  <si>
    <t>Y53566</t>
  </si>
  <si>
    <t xml:space="preserve">C200336910 </t>
    <phoneticPr fontId="3" type="noConversion"/>
  </si>
  <si>
    <t>Y53567</t>
    <phoneticPr fontId="3" type="noConversion"/>
  </si>
  <si>
    <t>C210139127</t>
  </si>
  <si>
    <t>C210439957</t>
  </si>
  <si>
    <t>Y54026</t>
    <phoneticPr fontId="3" type="noConversion"/>
  </si>
  <si>
    <r>
      <t>110235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110242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</si>
  <si>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Y54024</t>
    <phoneticPr fontId="3" type="noConversion"/>
  </si>
  <si>
    <t>C200637621</t>
    <phoneticPr fontId="3" type="noConversion"/>
  </si>
  <si>
    <t>Y54025</t>
    <phoneticPr fontId="3" type="noConversion"/>
  </si>
  <si>
    <t>Y54027</t>
    <phoneticPr fontId="3" type="noConversion"/>
  </si>
  <si>
    <t>C210339459</t>
    <phoneticPr fontId="3" type="noConversion"/>
  </si>
  <si>
    <t>Y54028</t>
    <phoneticPr fontId="3" type="noConversion"/>
  </si>
  <si>
    <t>Y54102</t>
  </si>
  <si>
    <t>C150422959</t>
    <phoneticPr fontId="3" type="noConversion"/>
  </si>
  <si>
    <t>Y54103</t>
  </si>
  <si>
    <t>Y54104</t>
  </si>
  <si>
    <t>Y54105</t>
  </si>
  <si>
    <t>C210239208</t>
    <phoneticPr fontId="3" type="noConversion"/>
  </si>
  <si>
    <t>Y54198</t>
    <phoneticPr fontId="3" type="noConversion"/>
  </si>
  <si>
    <t>C180431829</t>
    <phoneticPr fontId="3" type="noConversion"/>
  </si>
  <si>
    <t>Y54199</t>
    <phoneticPr fontId="3" type="noConversion"/>
  </si>
  <si>
    <t>C210139111</t>
    <phoneticPr fontId="3" type="noConversion"/>
  </si>
  <si>
    <t>Y54200</t>
    <phoneticPr fontId="3" type="noConversion"/>
  </si>
  <si>
    <t>Y54201</t>
    <phoneticPr fontId="3" type="noConversion"/>
  </si>
  <si>
    <t>Y54202</t>
    <phoneticPr fontId="3" type="noConversion"/>
  </si>
  <si>
    <t>Y54106</t>
    <phoneticPr fontId="3" type="noConversion"/>
  </si>
  <si>
    <t>Y54107</t>
    <phoneticPr fontId="3" type="noConversion"/>
  </si>
  <si>
    <t>Y54108</t>
    <phoneticPr fontId="3" type="noConversion"/>
  </si>
  <si>
    <t>C180532243</t>
  </si>
  <si>
    <t>Y54109</t>
    <phoneticPr fontId="3" type="noConversion"/>
  </si>
  <si>
    <t>C200236775</t>
  </si>
  <si>
    <t>Y54110</t>
    <phoneticPr fontId="3" type="noConversion"/>
  </si>
  <si>
    <t>力合仓库(已经清关)</t>
  </si>
  <si>
    <r>
      <t>0.0599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用110407</t>
    </r>
    <phoneticPr fontId="3" type="noConversion"/>
  </si>
  <si>
    <t>C210139036</t>
  </si>
  <si>
    <r>
      <rPr>
        <sz val="10"/>
        <color theme="1"/>
        <rFont val="Arial Unicode MS"/>
        <family val="2"/>
        <charset val="134"/>
      </rPr>
      <t>众鑫科名义</t>
    </r>
    <phoneticPr fontId="3" type="noConversion"/>
  </si>
  <si>
    <t>Y54554</t>
    <phoneticPr fontId="3" type="noConversion"/>
  </si>
  <si>
    <t>C210339539</t>
    <phoneticPr fontId="3" type="noConversion"/>
  </si>
  <si>
    <t>Y54555</t>
    <phoneticPr fontId="3" type="noConversion"/>
  </si>
  <si>
    <t>C170429029</t>
  </si>
  <si>
    <t>Y54556</t>
    <phoneticPr fontId="3" type="noConversion"/>
  </si>
  <si>
    <t>C161027838</t>
  </si>
  <si>
    <t>上海货</t>
    <phoneticPr fontId="3" type="noConversion"/>
  </si>
  <si>
    <t>Y55488</t>
    <phoneticPr fontId="3" type="noConversion"/>
  </si>
  <si>
    <t>Y54557</t>
    <phoneticPr fontId="3" type="noConversion"/>
  </si>
  <si>
    <t>Stock order(reserved by Leader Tech)</t>
    <phoneticPr fontId="3" type="noConversion"/>
  </si>
  <si>
    <t>Y54386</t>
    <phoneticPr fontId="3" type="noConversion"/>
  </si>
  <si>
    <t>2021-2-20</t>
    <phoneticPr fontId="71"/>
  </si>
  <si>
    <t>C190434451</t>
  </si>
  <si>
    <t>Y54387</t>
    <phoneticPr fontId="3" type="noConversion"/>
  </si>
  <si>
    <t>C210540156</t>
    <phoneticPr fontId="3" type="noConversion"/>
  </si>
  <si>
    <t>Y54388</t>
    <phoneticPr fontId="3" type="noConversion"/>
  </si>
  <si>
    <t>Y54389</t>
    <phoneticPr fontId="3" type="noConversion"/>
  </si>
  <si>
    <t>Y54390</t>
    <phoneticPr fontId="3" type="noConversion"/>
  </si>
  <si>
    <t>Y54381</t>
    <phoneticPr fontId="3" type="noConversion"/>
  </si>
  <si>
    <t>C210339453</t>
  </si>
  <si>
    <t>Y54382</t>
    <phoneticPr fontId="3" type="noConversion"/>
  </si>
  <si>
    <t>Y54383</t>
    <phoneticPr fontId="3" type="noConversion"/>
  </si>
  <si>
    <t>C210239312</t>
  </si>
  <si>
    <t>Y54384</t>
    <phoneticPr fontId="3" type="noConversion"/>
  </si>
  <si>
    <t>Y54385</t>
    <phoneticPr fontId="3" type="noConversion"/>
  </si>
  <si>
    <t>Y54204</t>
    <phoneticPr fontId="3" type="noConversion"/>
  </si>
  <si>
    <t>C210239322</t>
    <phoneticPr fontId="106" type="noConversion"/>
  </si>
  <si>
    <t>C210239433</t>
  </si>
  <si>
    <t>Y54206</t>
  </si>
  <si>
    <t>C210139192</t>
    <phoneticPr fontId="3" type="noConversion"/>
  </si>
  <si>
    <r>
      <rPr>
        <sz val="9"/>
        <color theme="1"/>
        <rFont val="Arial Unicode MS"/>
        <family val="2"/>
        <charset val="134"/>
      </rPr>
      <t>上海预留</t>
    </r>
    <phoneticPr fontId="3" type="noConversion"/>
  </si>
  <si>
    <t>C49BJS20201218ZX</t>
    <phoneticPr fontId="3" type="noConversion"/>
  </si>
  <si>
    <t>怡德发（固安）电子</t>
    <phoneticPr fontId="3" type="noConversion"/>
  </si>
  <si>
    <r>
      <rPr>
        <sz val="9"/>
        <color theme="1"/>
        <rFont val="Arial Unicode MS"/>
        <family val="2"/>
        <charset val="134"/>
      </rPr>
      <t>上海预留。</t>
    </r>
    <phoneticPr fontId="3" type="noConversion"/>
  </si>
  <si>
    <t>Y54689</t>
    <phoneticPr fontId="3" type="noConversion"/>
  </si>
  <si>
    <t>Y54690</t>
    <phoneticPr fontId="3" type="noConversion"/>
  </si>
  <si>
    <t>Y54691</t>
    <phoneticPr fontId="3" type="noConversion"/>
  </si>
  <si>
    <t>C210239298</t>
    <phoneticPr fontId="3" type="noConversion"/>
  </si>
  <si>
    <t>Y54692</t>
    <phoneticPr fontId="3" type="noConversion"/>
  </si>
  <si>
    <t>Y54693</t>
    <phoneticPr fontId="3" type="noConversion"/>
  </si>
  <si>
    <t>C170729808</t>
    <phoneticPr fontId="3" type="noConversion"/>
  </si>
  <si>
    <r>
      <t>110287</t>
    </r>
    <r>
      <rPr>
        <sz val="9"/>
        <color theme="1"/>
        <rFont val="Arial Unicode MS"/>
        <family val="2"/>
        <charset val="134"/>
      </rPr>
      <t>（拆单</t>
    </r>
    <r>
      <rPr>
        <sz val="9"/>
        <color theme="1"/>
        <rFont val="Arial"/>
        <family val="2"/>
      </rPr>
      <t>110276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</si>
  <si>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Y54558</t>
    <phoneticPr fontId="3" type="noConversion"/>
  </si>
  <si>
    <t>Y54559</t>
    <phoneticPr fontId="3" type="noConversion"/>
  </si>
  <si>
    <t>Y54560</t>
    <phoneticPr fontId="3" type="noConversion"/>
  </si>
  <si>
    <t>Y54561</t>
    <phoneticPr fontId="3" type="noConversion"/>
  </si>
  <si>
    <r>
      <t>110172</t>
    </r>
    <r>
      <rPr>
        <sz val="9"/>
        <color theme="1"/>
        <rFont val="Arial Unicode MS"/>
        <family val="2"/>
        <charset val="134"/>
      </rPr>
      <t>（拆分</t>
    </r>
    <r>
      <rPr>
        <sz val="9"/>
        <color theme="1"/>
        <rFont val="Arial"/>
        <family val="2"/>
      </rPr>
      <t>PO110275)</t>
    </r>
    <phoneticPr fontId="3" type="noConversion"/>
  </si>
  <si>
    <t>Y54662</t>
    <phoneticPr fontId="3" type="noConversion"/>
  </si>
  <si>
    <t>Y54663</t>
    <phoneticPr fontId="3" type="noConversion"/>
  </si>
  <si>
    <t>Y54664</t>
    <phoneticPr fontId="3" type="noConversion"/>
  </si>
  <si>
    <t>Y54665</t>
    <phoneticPr fontId="3" type="noConversion"/>
  </si>
  <si>
    <t>C190735224</t>
  </si>
  <si>
    <t>Y54666</t>
    <phoneticPr fontId="3" type="noConversion"/>
  </si>
  <si>
    <t>C210439795</t>
    <phoneticPr fontId="3" type="noConversion"/>
  </si>
  <si>
    <t>Y54667</t>
    <phoneticPr fontId="3" type="noConversion"/>
  </si>
  <si>
    <t>C210540156</t>
  </si>
  <si>
    <t>Y54668</t>
    <phoneticPr fontId="3" type="noConversion"/>
  </si>
  <si>
    <t>Y54669</t>
    <phoneticPr fontId="3" type="noConversion"/>
  </si>
  <si>
    <t>Y54670</t>
    <phoneticPr fontId="3" type="noConversion"/>
  </si>
  <si>
    <t>Y54671</t>
    <phoneticPr fontId="3" type="noConversion"/>
  </si>
  <si>
    <r>
      <t>110151(</t>
    </r>
    <r>
      <rPr>
        <sz val="9"/>
        <color theme="1"/>
        <rFont val="Arial Unicode MS"/>
        <family val="2"/>
        <charset val="134"/>
      </rPr>
      <t>拆分</t>
    </r>
    <r>
      <rPr>
        <sz val="9"/>
        <color theme="1"/>
        <rFont val="Arial"/>
        <family val="2"/>
      </rPr>
      <t>110270</t>
    </r>
    <r>
      <rPr>
        <sz val="9"/>
        <color theme="1"/>
        <rFont val="Arial Unicode MS"/>
        <family val="2"/>
        <charset val="134"/>
      </rPr>
      <t>）</t>
    </r>
    <phoneticPr fontId="3" type="noConversion"/>
  </si>
  <si>
    <t>Y54696</t>
    <phoneticPr fontId="3" type="noConversion"/>
  </si>
  <si>
    <t>Y54697</t>
    <phoneticPr fontId="3" type="noConversion"/>
  </si>
  <si>
    <t>Y54694</t>
    <phoneticPr fontId="3" type="noConversion"/>
  </si>
  <si>
    <t>Y54695</t>
    <phoneticPr fontId="3" type="noConversion"/>
  </si>
  <si>
    <t>C210239201</t>
    <phoneticPr fontId="3" type="noConversion"/>
  </si>
  <si>
    <t>Y54698</t>
    <phoneticPr fontId="3" type="noConversion"/>
  </si>
  <si>
    <r>
      <rPr>
        <sz val="10"/>
        <color theme="1"/>
        <rFont val="Arial Unicode MS"/>
        <family val="2"/>
        <charset val="134"/>
      </rPr>
      <t>音品名义下单</t>
    </r>
    <phoneticPr fontId="3" type="noConversion"/>
  </si>
  <si>
    <t>Y55072</t>
    <phoneticPr fontId="3" type="noConversion"/>
  </si>
  <si>
    <t>C181133399</t>
    <phoneticPr fontId="3" type="noConversion"/>
  </si>
  <si>
    <t>Y55073</t>
    <phoneticPr fontId="3" type="noConversion"/>
  </si>
  <si>
    <t>Y55074</t>
    <phoneticPr fontId="3" type="noConversion"/>
  </si>
  <si>
    <t>Y55075</t>
    <phoneticPr fontId="3" type="noConversion"/>
  </si>
  <si>
    <t>Y55076</t>
    <phoneticPr fontId="3" type="noConversion"/>
  </si>
  <si>
    <t>Y54855</t>
    <phoneticPr fontId="3" type="noConversion"/>
  </si>
  <si>
    <t>Y54974</t>
    <phoneticPr fontId="3" type="noConversion"/>
  </si>
  <si>
    <t>Y54391</t>
    <phoneticPr fontId="3" type="noConversion"/>
  </si>
  <si>
    <t>C210339444</t>
    <phoneticPr fontId="3" type="noConversion"/>
  </si>
  <si>
    <t>Y54392</t>
    <phoneticPr fontId="3" type="noConversion"/>
  </si>
  <si>
    <t>Y54393</t>
    <phoneticPr fontId="3" type="noConversion"/>
  </si>
  <si>
    <t>Y54394</t>
    <phoneticPr fontId="3" type="noConversion"/>
  </si>
  <si>
    <t>Y54395</t>
    <phoneticPr fontId="3" type="noConversion"/>
  </si>
  <si>
    <t>C210139083</t>
    <phoneticPr fontId="3" type="noConversion"/>
  </si>
  <si>
    <t>Y55289</t>
    <phoneticPr fontId="3" type="noConversion"/>
  </si>
  <si>
    <t>C210239270</t>
  </si>
  <si>
    <t>Y55163</t>
    <phoneticPr fontId="3" type="noConversion"/>
  </si>
  <si>
    <t>C210439784</t>
  </si>
  <si>
    <t>C210439993</t>
  </si>
  <si>
    <t>上海预留..</t>
    <phoneticPr fontId="3" type="noConversion"/>
  </si>
  <si>
    <t>Y55174</t>
    <phoneticPr fontId="3" type="noConversion"/>
  </si>
  <si>
    <t>NM(CR:0.0621</t>
    <phoneticPr fontId="3" type="noConversion"/>
  </si>
  <si>
    <t>C49SHA20210326</t>
    <phoneticPr fontId="3" type="noConversion"/>
  </si>
  <si>
    <t>上海多越</t>
    <phoneticPr fontId="3" type="noConversion"/>
  </si>
  <si>
    <t>L-&gt;R</t>
    <phoneticPr fontId="3" type="noConversion"/>
  </si>
  <si>
    <r>
      <t>0.0606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用110430</t>
    </r>
    <phoneticPr fontId="3" type="noConversion"/>
  </si>
  <si>
    <t>C210740683</t>
  </si>
  <si>
    <t>Y54980</t>
    <phoneticPr fontId="3" type="noConversion"/>
  </si>
  <si>
    <t>Y54982</t>
    <phoneticPr fontId="3" type="noConversion"/>
  </si>
  <si>
    <t>C210440011</t>
  </si>
  <si>
    <t>C210139105</t>
  </si>
  <si>
    <t>Y55399</t>
    <phoneticPr fontId="3" type="noConversion"/>
  </si>
  <si>
    <r>
      <t>Y55400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</si>
  <si>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t>C190334211</t>
  </si>
  <si>
    <t>Y55401</t>
    <phoneticPr fontId="3" type="noConversion"/>
  </si>
  <si>
    <t>Y55403</t>
    <phoneticPr fontId="3" type="noConversion"/>
  </si>
  <si>
    <t>C200437179</t>
  </si>
  <si>
    <t>Y55170</t>
    <phoneticPr fontId="3" type="noConversion"/>
  </si>
  <si>
    <t>C190434521</t>
  </si>
  <si>
    <t>上海预留…</t>
    <phoneticPr fontId="3" type="noConversion"/>
  </si>
  <si>
    <t>C49SHA20210422/ZQR</t>
    <phoneticPr fontId="3" type="noConversion"/>
  </si>
  <si>
    <t>上海项如电子科技有限公司</t>
    <phoneticPr fontId="3" type="noConversion"/>
  </si>
  <si>
    <r>
      <t>110348(</t>
    </r>
    <r>
      <rPr>
        <sz val="9"/>
        <color theme="1"/>
        <rFont val="Microsoft YaHei UI"/>
        <family val="2"/>
        <charset val="134"/>
      </rPr>
      <t>拆单</t>
    </r>
    <r>
      <rPr>
        <sz val="9"/>
        <color theme="1"/>
        <rFont val="Arial"/>
        <family val="2"/>
      </rPr>
      <t>110364)</t>
    </r>
    <phoneticPr fontId="3" type="noConversion"/>
  </si>
  <si>
    <t>Y55171</t>
    <phoneticPr fontId="3" type="noConversion"/>
  </si>
  <si>
    <r>
      <t>NM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110347</t>
    </r>
    <phoneticPr fontId="3" type="noConversion"/>
  </si>
  <si>
    <t>C210439739</t>
  </si>
  <si>
    <t>Y55173</t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</si>
  <si>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</si>
  <si>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Y55423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</si>
  <si>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用110348</t>
    </r>
    <phoneticPr fontId="3" type="noConversion"/>
  </si>
  <si>
    <t>C210439833</t>
  </si>
  <si>
    <t>Y55424</t>
    <phoneticPr fontId="3" type="noConversion"/>
  </si>
  <si>
    <r>
      <t>0.0605  PO</t>
    </r>
    <r>
      <rPr>
        <sz val="8"/>
        <color rgb="FFFF0000"/>
        <rFont val="宋体"/>
        <family val="2"/>
        <charset val="134"/>
      </rPr>
      <t>用110364</t>
    </r>
    <phoneticPr fontId="3" type="noConversion"/>
  </si>
  <si>
    <r>
      <t>110347(</t>
    </r>
    <r>
      <rPr>
        <sz val="9"/>
        <color theme="1"/>
        <rFont val="宋体"/>
        <family val="2"/>
        <charset val="134"/>
      </rPr>
      <t>拆单110337)</t>
    </r>
    <phoneticPr fontId="3" type="noConversion"/>
  </si>
  <si>
    <t>Y55425</t>
    <phoneticPr fontId="3" type="noConversion"/>
  </si>
  <si>
    <t>Y55426</t>
    <phoneticPr fontId="3" type="noConversion"/>
  </si>
  <si>
    <t>C191035936</t>
  </si>
  <si>
    <r>
      <t>110347(</t>
    </r>
    <r>
      <rPr>
        <sz val="9"/>
        <color theme="1"/>
        <rFont val="微软雅黑"/>
        <family val="2"/>
        <charset val="134"/>
      </rPr>
      <t>拆单</t>
    </r>
    <r>
      <rPr>
        <sz val="9"/>
        <color theme="1"/>
        <rFont val="Arial"/>
        <family val="2"/>
      </rPr>
      <t>110339)</t>
    </r>
    <phoneticPr fontId="3" type="noConversion"/>
  </si>
  <si>
    <t>Y55427</t>
    <phoneticPr fontId="3" type="noConversion"/>
  </si>
  <si>
    <t>Y55408</t>
    <phoneticPr fontId="3" type="noConversion"/>
  </si>
  <si>
    <r>
      <rPr>
        <sz val="10"/>
        <color theme="1"/>
        <rFont val="Arial Unicode MS"/>
        <family val="2"/>
        <charset val="134"/>
      </rPr>
      <t>精德鸿名义下单</t>
    </r>
    <phoneticPr fontId="3" type="noConversion"/>
  </si>
  <si>
    <t>Y55697</t>
    <phoneticPr fontId="3" type="noConversion"/>
  </si>
  <si>
    <t>C180732624</t>
  </si>
  <si>
    <r>
      <t>Y55698</t>
    </r>
    <r>
      <rPr>
        <sz val="10"/>
        <color theme="1"/>
        <rFont val="宋体"/>
        <family val="2"/>
        <charset val="134"/>
      </rPr>
      <t>，不能调动</t>
    </r>
    <phoneticPr fontId="3" type="noConversion"/>
  </si>
  <si>
    <r>
      <t>0.0605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用110365</t>
    </r>
    <phoneticPr fontId="3" type="noConversion"/>
  </si>
  <si>
    <t>C210640335</t>
    <phoneticPr fontId="3" type="noConversion"/>
  </si>
  <si>
    <t>C210439928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</si>
  <si>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110428)</t>
    </r>
    <phoneticPr fontId="3" type="noConversion"/>
  </si>
  <si>
    <t>Y55701</t>
    <phoneticPr fontId="3" type="noConversion"/>
  </si>
  <si>
    <r>
      <t>110272(</t>
    </r>
    <r>
      <rPr>
        <sz val="9"/>
        <color theme="1"/>
        <rFont val="宋体"/>
        <family val="2"/>
        <charset val="134"/>
      </rPr>
      <t>拆单110407)</t>
    </r>
    <phoneticPr fontId="3" type="noConversion"/>
  </si>
  <si>
    <t>Y55702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</si>
  <si>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用110133</t>
    </r>
    <phoneticPr fontId="3" type="noConversion"/>
  </si>
  <si>
    <t>龙大名义下单</t>
    <phoneticPr fontId="3" type="noConversion"/>
  </si>
  <si>
    <t>Y55746</t>
    <phoneticPr fontId="3" type="noConversion"/>
  </si>
  <si>
    <t>72GD</t>
  </si>
  <si>
    <t>Y55747</t>
    <phoneticPr fontId="3" type="noConversion"/>
  </si>
  <si>
    <t>Y55748</t>
    <phoneticPr fontId="3" type="noConversion"/>
  </si>
  <si>
    <t>Y55749</t>
    <phoneticPr fontId="3" type="noConversion"/>
  </si>
  <si>
    <t>嘉裕名义下单</t>
    <phoneticPr fontId="3" type="noConversion"/>
  </si>
  <si>
    <t>Y54770</t>
    <phoneticPr fontId="3" type="noConversion"/>
  </si>
  <si>
    <r>
      <t>CY</t>
    </r>
    <r>
      <rPr>
        <sz val="10"/>
        <color theme="1"/>
        <rFont val="微软雅黑"/>
        <family val="2"/>
        <charset val="134"/>
      </rPr>
      <t>仓库</t>
    </r>
    <phoneticPr fontId="3" type="noConversion"/>
  </si>
  <si>
    <r>
      <t>110245</t>
    </r>
    <r>
      <rPr>
        <sz val="9"/>
        <color theme="1"/>
        <rFont val="宋体"/>
        <family val="2"/>
        <charset val="134"/>
      </rPr>
      <t>（拆单110361）</t>
    </r>
    <phoneticPr fontId="3" type="noConversion"/>
  </si>
  <si>
    <t>C200136594</t>
  </si>
  <si>
    <t>Y55687</t>
    <phoneticPr fontId="3" type="noConversion"/>
  </si>
  <si>
    <t>C200337000</t>
  </si>
  <si>
    <t>Y55691</t>
    <phoneticPr fontId="3" type="noConversion"/>
  </si>
  <si>
    <t>C210540263</t>
    <phoneticPr fontId="3" type="noConversion"/>
  </si>
  <si>
    <t>C210439747</t>
  </si>
  <si>
    <t>奕东名义下单</t>
    <phoneticPr fontId="3" type="noConversion"/>
  </si>
  <si>
    <t>Y55393</t>
    <phoneticPr fontId="3" type="noConversion"/>
  </si>
  <si>
    <t>C210439741</t>
  </si>
  <si>
    <r>
      <t>110346(</t>
    </r>
    <r>
      <rPr>
        <sz val="9"/>
        <color theme="1"/>
        <rFont val="宋体"/>
        <family val="2"/>
        <charset val="134"/>
      </rPr>
      <t>拆单110340)</t>
    </r>
    <phoneticPr fontId="3" type="noConversion"/>
  </si>
  <si>
    <r>
      <t>110346(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110409)</t>
    </r>
    <phoneticPr fontId="3" type="noConversion"/>
  </si>
  <si>
    <t>Y55431</t>
    <phoneticPr fontId="3" type="noConversion"/>
  </si>
  <si>
    <t>C210540191</t>
  </si>
  <si>
    <r>
      <t>110227</t>
    </r>
    <r>
      <rPr>
        <sz val="9"/>
        <color theme="1"/>
        <rFont val="宋体"/>
        <family val="2"/>
        <charset val="134"/>
      </rPr>
      <t>（拆单110362）</t>
    </r>
    <phoneticPr fontId="3" type="noConversion"/>
  </si>
  <si>
    <t>Y54955</t>
    <phoneticPr fontId="3" type="noConversion"/>
  </si>
  <si>
    <r>
      <rPr>
        <sz val="8"/>
        <color rgb="FFFF0000"/>
        <rFont val="Arial"/>
        <family val="2"/>
      </rPr>
      <t>0.0599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110408</t>
    </r>
    <phoneticPr fontId="3" type="noConversion"/>
  </si>
  <si>
    <t>Y54956</t>
    <phoneticPr fontId="3" type="noConversion"/>
  </si>
  <si>
    <t>Y54957</t>
    <phoneticPr fontId="3" type="noConversion"/>
  </si>
  <si>
    <r>
      <t>NM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PO</t>
    </r>
    <r>
      <rPr>
        <sz val="8"/>
        <color rgb="FFFF0000"/>
        <rFont val="宋体"/>
        <family val="2"/>
        <charset val="134"/>
      </rPr>
      <t>用110238</t>
    </r>
    <phoneticPr fontId="3" type="noConversion"/>
  </si>
  <si>
    <t>Y55550</t>
  </si>
  <si>
    <t>C210440026</t>
  </si>
  <si>
    <t>Y55551</t>
  </si>
  <si>
    <t>Y55555</t>
  </si>
  <si>
    <t>Y55594</t>
  </si>
  <si>
    <t>C210239252</t>
  </si>
  <si>
    <t>Y55595</t>
  </si>
  <si>
    <t>Y55596</t>
  </si>
  <si>
    <t>Y55597</t>
  </si>
  <si>
    <t>Y55598</t>
  </si>
  <si>
    <t>C150222453</t>
    <phoneticPr fontId="3" type="noConversion"/>
  </si>
  <si>
    <r>
      <t>110228(</t>
    </r>
    <r>
      <rPr>
        <sz val="9"/>
        <color theme="1"/>
        <rFont val="宋体"/>
        <family val="2"/>
        <charset val="134"/>
      </rPr>
      <t>拆单110338)</t>
    </r>
    <phoneticPr fontId="3" type="noConversion"/>
  </si>
  <si>
    <t>Y54940</t>
  </si>
  <si>
    <t>Y54941</t>
  </si>
  <si>
    <t>Y54942</t>
  </si>
  <si>
    <t>Y54943</t>
    <phoneticPr fontId="3" type="noConversion"/>
  </si>
  <si>
    <t>C210440018</t>
  </si>
  <si>
    <t>Y54944</t>
  </si>
  <si>
    <t>Y54945</t>
  </si>
  <si>
    <t>Y54946</t>
  </si>
  <si>
    <t>Nm</t>
    <phoneticPr fontId="3" type="noConversion"/>
  </si>
  <si>
    <t>Y54947</t>
  </si>
  <si>
    <t>Y54948</t>
  </si>
  <si>
    <t>Y54949</t>
  </si>
  <si>
    <t>Y54950</t>
  </si>
  <si>
    <t>Y54951</t>
  </si>
  <si>
    <t>Y54952</t>
  </si>
  <si>
    <t>Y54953</t>
    <phoneticPr fontId="3" type="noConversion"/>
  </si>
  <si>
    <t>Y54954</t>
  </si>
  <si>
    <t>Y56411</t>
  </si>
  <si>
    <t>C200537332</t>
  </si>
  <si>
    <t>Y56412</t>
  </si>
  <si>
    <t>Y56413</t>
  </si>
  <si>
    <t>Y56414</t>
  </si>
  <si>
    <t>Y56415</t>
  </si>
  <si>
    <t>Y56416</t>
  </si>
  <si>
    <t>Y56417</t>
  </si>
  <si>
    <t>Y56261</t>
  </si>
  <si>
    <t>Y56418</t>
  </si>
  <si>
    <r>
      <t>110248(</t>
    </r>
    <r>
      <rPr>
        <sz val="9"/>
        <color theme="1"/>
        <rFont val="宋体"/>
        <family val="2"/>
        <charset val="134"/>
      </rPr>
      <t>拆单110408)</t>
    </r>
    <phoneticPr fontId="3" type="noConversion"/>
  </si>
  <si>
    <t>Y55552</t>
    <phoneticPr fontId="3" type="noConversion"/>
  </si>
  <si>
    <r>
      <t>0.0605 PO</t>
    </r>
    <r>
      <rPr>
        <sz val="8"/>
        <color rgb="FFFF0000"/>
        <rFont val="宋体"/>
        <family val="2"/>
        <charset val="134"/>
      </rPr>
      <t>用</t>
    </r>
    <r>
      <rPr>
        <sz val="8"/>
        <color rgb="FFFF0000"/>
        <rFont val="Arial"/>
        <family val="2"/>
      </rPr>
      <t>110362</t>
    </r>
    <phoneticPr fontId="3" type="noConversion"/>
  </si>
  <si>
    <t>C210640498</t>
    <phoneticPr fontId="3" type="noConversion"/>
  </si>
  <si>
    <t>Y55553</t>
    <phoneticPr fontId="3" type="noConversion"/>
  </si>
  <si>
    <t>Y55554</t>
    <phoneticPr fontId="3" type="noConversion"/>
  </si>
  <si>
    <t>C210440019</t>
  </si>
  <si>
    <t>Y55543</t>
  </si>
  <si>
    <r>
      <t>110248(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110465)</t>
    </r>
    <phoneticPr fontId="3" type="noConversion"/>
  </si>
  <si>
    <t>Y55544</t>
    <phoneticPr fontId="3" type="noConversion"/>
  </si>
  <si>
    <t>C210640328</t>
    <phoneticPr fontId="3" type="noConversion"/>
  </si>
  <si>
    <t>Y55545</t>
    <phoneticPr fontId="3" type="noConversion"/>
  </si>
  <si>
    <t>C210640305</t>
  </si>
  <si>
    <t>Y55556</t>
  </si>
  <si>
    <t>Y55547</t>
  </si>
  <si>
    <t>C210640437</t>
    <phoneticPr fontId="3" type="noConversion"/>
  </si>
  <si>
    <t>Y55548</t>
  </si>
  <si>
    <t>C190735079</t>
  </si>
  <si>
    <t>Y55549</t>
  </si>
  <si>
    <t>Y55546</t>
  </si>
  <si>
    <t>Y55557</t>
  </si>
  <si>
    <t>鸿通宇名义</t>
    <phoneticPr fontId="3" type="noConversion"/>
  </si>
  <si>
    <t>Y55797</t>
    <phoneticPr fontId="3" type="noConversion"/>
  </si>
  <si>
    <t>Y55798</t>
    <phoneticPr fontId="3" type="noConversion"/>
  </si>
  <si>
    <t>Y56505</t>
    <phoneticPr fontId="3" type="noConversion"/>
  </si>
  <si>
    <t>Y56507</t>
    <phoneticPr fontId="3" type="noConversion"/>
  </si>
  <si>
    <t>Y56508</t>
    <phoneticPr fontId="3" type="noConversion"/>
  </si>
  <si>
    <t>C210640373</t>
    <phoneticPr fontId="3" type="noConversion"/>
  </si>
  <si>
    <t>Y56509</t>
    <phoneticPr fontId="3" type="noConversion"/>
  </si>
  <si>
    <t>Y55077</t>
  </si>
  <si>
    <t>C120712916</t>
    <phoneticPr fontId="3" type="noConversion"/>
  </si>
  <si>
    <t>Y55078</t>
  </si>
  <si>
    <t>Y55079</t>
  </si>
  <si>
    <t>Y55080</t>
  </si>
  <si>
    <r>
      <t>Y55081,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</si>
  <si>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C210540119</t>
    <phoneticPr fontId="3" type="noConversion"/>
  </si>
  <si>
    <r>
      <t>110236</t>
    </r>
    <r>
      <rPr>
        <sz val="9"/>
        <color theme="1"/>
        <rFont val="宋体"/>
        <family val="2"/>
        <charset val="134"/>
      </rPr>
      <t>（拆单110363）</t>
    </r>
    <phoneticPr fontId="3" type="noConversion"/>
  </si>
  <si>
    <t>Y55082</t>
  </si>
  <si>
    <t>C200437262</t>
    <phoneticPr fontId="3" type="noConversion"/>
  </si>
  <si>
    <t>Y55083</t>
  </si>
  <si>
    <t>Y55084</t>
  </si>
  <si>
    <t>Y55085</t>
  </si>
  <si>
    <r>
      <t>110236(</t>
    </r>
    <r>
      <rPr>
        <sz val="9"/>
        <color theme="1"/>
        <rFont val="宋体"/>
        <family val="2"/>
        <charset val="134"/>
      </rPr>
      <t>拆单110475)</t>
    </r>
    <phoneticPr fontId="3" type="noConversion"/>
  </si>
  <si>
    <t>Y55086</t>
    <phoneticPr fontId="3" type="noConversion"/>
  </si>
  <si>
    <t>C210640498</t>
  </si>
  <si>
    <t>Y56419</t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</si>
  <si>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110410)</t>
    </r>
    <phoneticPr fontId="3" type="noConversion"/>
  </si>
  <si>
    <t>Y56420</t>
  </si>
  <si>
    <t>C210339473</t>
  </si>
  <si>
    <r>
      <t>110437(</t>
    </r>
    <r>
      <rPr>
        <sz val="9"/>
        <color theme="1"/>
        <rFont val="宋体"/>
        <family val="2"/>
        <charset val="134"/>
      </rPr>
      <t>拆单110365）</t>
    </r>
    <phoneticPr fontId="3" type="noConversion"/>
  </si>
  <si>
    <t>Y56421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</si>
  <si>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</t>
    </r>
    <r>
      <rPr>
        <sz val="8"/>
        <color theme="1"/>
        <rFont val="宋体"/>
        <family val="2"/>
        <charset val="134"/>
      </rPr>
      <t>用1102</t>
    </r>
    <r>
      <rPr>
        <sz val="8"/>
        <color theme="1"/>
        <rFont val="Arial"/>
        <family val="2"/>
      </rPr>
      <t>72</t>
    </r>
    <phoneticPr fontId="3" type="noConversion"/>
  </si>
  <si>
    <r>
      <t>110437(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110365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</si>
  <si>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Y56422</t>
  </si>
  <si>
    <t>杉川名义</t>
    <phoneticPr fontId="3" type="noConversion"/>
  </si>
  <si>
    <t>cATS10+MVC(F&amp;R)+Feeder Carriage</t>
    <phoneticPr fontId="3" type="noConversion"/>
  </si>
  <si>
    <t>Y57133</t>
    <phoneticPr fontId="3" type="noConversion"/>
  </si>
  <si>
    <t>Y57131</t>
    <phoneticPr fontId="3" type="noConversion"/>
  </si>
  <si>
    <t>Y57132</t>
    <phoneticPr fontId="3" type="noConversion"/>
  </si>
  <si>
    <t>正创名义下单</t>
    <phoneticPr fontId="3" type="noConversion"/>
  </si>
  <si>
    <t>Y56656</t>
  </si>
  <si>
    <t>C210540191</t>
    <phoneticPr fontId="3" type="noConversion"/>
  </si>
  <si>
    <t>Y56657</t>
  </si>
  <si>
    <t>C140518616</t>
  </si>
  <si>
    <t>Y56658</t>
  </si>
  <si>
    <t>Y56659</t>
  </si>
  <si>
    <t>C190735075</t>
    <phoneticPr fontId="3" type="noConversion"/>
  </si>
  <si>
    <t>Y56660</t>
  </si>
  <si>
    <t>Y56661</t>
  </si>
  <si>
    <t>C210440016</t>
  </si>
  <si>
    <t>Y56662</t>
    <phoneticPr fontId="3" type="noConversion"/>
  </si>
  <si>
    <t>Y57236</t>
    <phoneticPr fontId="3" type="noConversion"/>
  </si>
  <si>
    <t>Y57237</t>
    <phoneticPr fontId="3" type="noConversion"/>
  </si>
  <si>
    <t>Y57238</t>
    <phoneticPr fontId="3" type="noConversion"/>
  </si>
  <si>
    <t>C210540181</t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</si>
  <si>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拆单110430)</t>
    </r>
    <phoneticPr fontId="3" type="noConversion"/>
  </si>
  <si>
    <t>Y57239</t>
    <phoneticPr fontId="3" type="noConversion"/>
  </si>
  <si>
    <r>
      <t xml:space="preserve">NM, PO </t>
    </r>
    <r>
      <rPr>
        <sz val="8"/>
        <color rgb="FFFF0000"/>
        <rFont val="宋体"/>
        <family val="2"/>
        <charset val="134"/>
      </rPr>
      <t>用110227</t>
    </r>
    <phoneticPr fontId="3" type="noConversion"/>
  </si>
  <si>
    <r>
      <t>110450(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110430)</t>
    </r>
    <phoneticPr fontId="3" type="noConversion"/>
  </si>
  <si>
    <t>Y57240</t>
    <phoneticPr fontId="3" type="noConversion"/>
  </si>
  <si>
    <t>Y56510</t>
    <phoneticPr fontId="3" type="noConversion"/>
  </si>
  <si>
    <t>C150122206</t>
  </si>
  <si>
    <t>Y56511</t>
    <phoneticPr fontId="3" type="noConversion"/>
  </si>
  <si>
    <t>Y56512</t>
    <phoneticPr fontId="3" type="noConversion"/>
  </si>
  <si>
    <t>C190133876</t>
  </si>
  <si>
    <t>Y56513</t>
    <phoneticPr fontId="3" type="noConversion"/>
  </si>
  <si>
    <t>晶科名义下单</t>
    <phoneticPr fontId="3" type="noConversion"/>
  </si>
  <si>
    <t>Y55599</t>
    <phoneticPr fontId="3" type="noConversion"/>
  </si>
  <si>
    <t>Y55600</t>
    <phoneticPr fontId="3" type="noConversion"/>
  </si>
  <si>
    <t>Y55601</t>
    <phoneticPr fontId="3" type="noConversion"/>
  </si>
  <si>
    <t>Y56506</t>
    <phoneticPr fontId="3" type="noConversion"/>
  </si>
  <si>
    <t>C210440022</t>
    <phoneticPr fontId="3" type="noConversion"/>
  </si>
  <si>
    <t>Y56425</t>
    <phoneticPr fontId="3" type="noConversion"/>
  </si>
  <si>
    <t>Y57089</t>
    <phoneticPr fontId="3" type="noConversion"/>
  </si>
  <si>
    <t>C210540145</t>
    <phoneticPr fontId="3" type="noConversion"/>
  </si>
  <si>
    <t>Y57090</t>
    <phoneticPr fontId="3" type="noConversion"/>
  </si>
  <si>
    <t>Y57091</t>
    <phoneticPr fontId="3" type="noConversion"/>
  </si>
  <si>
    <t>C191236328</t>
    <phoneticPr fontId="3" type="noConversion"/>
  </si>
  <si>
    <t>Y57092</t>
    <phoneticPr fontId="3" type="noConversion"/>
  </si>
  <si>
    <r>
      <t>Y57169,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</si>
  <si>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前海保税区</t>
  </si>
  <si>
    <r>
      <t>Y57208,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</si>
  <si>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r>
      <t>Y57209,</t>
    </r>
    <r>
      <rPr>
        <sz val="10"/>
        <color theme="1"/>
        <rFont val="宋体"/>
        <family val="2"/>
        <charset val="134"/>
      </rPr>
      <t>机器不能调动</t>
    </r>
    <phoneticPr fontId="3" type="noConversion"/>
  </si>
  <si>
    <t>Y57170</t>
    <phoneticPr fontId="3" type="noConversion"/>
  </si>
  <si>
    <t>OCT 21</t>
  </si>
  <si>
    <t>R-0625L</t>
    <phoneticPr fontId="3" type="noConversion"/>
  </si>
  <si>
    <t>R-0625L</t>
  </si>
  <si>
    <t>c28</t>
    <phoneticPr fontId="3" type="noConversion"/>
  </si>
  <si>
    <t>cATS10+MVC(F&amp;R)+Feeder Carriage</t>
  </si>
  <si>
    <t>Y57302</t>
    <phoneticPr fontId="3" type="noConversion"/>
  </si>
  <si>
    <t>Y57300</t>
    <phoneticPr fontId="3" type="noConversion"/>
  </si>
  <si>
    <t>Y57301</t>
    <phoneticPr fontId="3" type="noConversion"/>
  </si>
  <si>
    <t>49F103948</t>
    <phoneticPr fontId="3" type="noConversion"/>
  </si>
  <si>
    <t>拓新伟业名义下单</t>
    <phoneticPr fontId="3" type="noConversion"/>
  </si>
  <si>
    <t>YSM40R-4(DEMO)</t>
  </si>
  <si>
    <t>Y45659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</si>
  <si>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</si>
  <si>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Y44996</t>
    <phoneticPr fontId="3" type="noConversion"/>
  </si>
  <si>
    <t>Y48100</t>
    <phoneticPr fontId="3" type="noConversion"/>
  </si>
  <si>
    <r>
      <rPr>
        <sz val="10"/>
        <color theme="1"/>
        <rFont val="宋体"/>
        <family val="2"/>
        <charset val="134"/>
      </rPr>
      <t>富洛</t>
    </r>
    <r>
      <rPr>
        <sz val="10"/>
        <color theme="1"/>
        <rFont val="Arial"/>
        <family val="2"/>
      </rPr>
      <t>Supplier (stk)</t>
    </r>
    <phoneticPr fontId="3" type="noConversion"/>
  </si>
  <si>
    <t>Y57156</t>
    <phoneticPr fontId="3" type="noConversion"/>
  </si>
  <si>
    <t>C210439739</t>
    <phoneticPr fontId="3" type="noConversion"/>
  </si>
  <si>
    <t>Y57157</t>
    <phoneticPr fontId="3" type="noConversion"/>
  </si>
  <si>
    <t>Y56663</t>
  </si>
  <si>
    <t>C201238817</t>
  </si>
  <si>
    <t>Y56664</t>
  </si>
  <si>
    <t>Y56665</t>
    <phoneticPr fontId="3" type="noConversion"/>
  </si>
  <si>
    <t>Y56666</t>
  </si>
  <si>
    <t>Y56667</t>
  </si>
  <si>
    <t>Y56668</t>
  </si>
  <si>
    <t>Y56669</t>
  </si>
  <si>
    <t>Y55593</t>
  </si>
  <si>
    <t>C210640439</t>
    <phoneticPr fontId="3" type="noConversion"/>
  </si>
  <si>
    <t>Y57381</t>
    <phoneticPr fontId="3" type="noConversion"/>
  </si>
  <si>
    <t>Y57382</t>
    <phoneticPr fontId="3" type="noConversion"/>
  </si>
  <si>
    <t>Y57377</t>
    <phoneticPr fontId="3" type="noConversion"/>
  </si>
  <si>
    <t>Y57378</t>
    <phoneticPr fontId="3" type="noConversion"/>
  </si>
  <si>
    <t>Y57379</t>
    <phoneticPr fontId="3" type="noConversion"/>
  </si>
  <si>
    <t>Y57380</t>
    <phoneticPr fontId="3" type="noConversion"/>
  </si>
  <si>
    <t>Y57060</t>
  </si>
  <si>
    <t>Y57061</t>
  </si>
  <si>
    <t>C210439777</t>
    <phoneticPr fontId="3" type="noConversion"/>
  </si>
  <si>
    <t>Y57062</t>
  </si>
  <si>
    <t>Y57063</t>
    <phoneticPr fontId="3" type="noConversion"/>
  </si>
  <si>
    <t>C140518616</t>
    <phoneticPr fontId="3" type="noConversion"/>
  </si>
  <si>
    <r>
      <t>110383(</t>
    </r>
    <r>
      <rPr>
        <sz val="9"/>
        <color theme="1"/>
        <rFont val="宋体"/>
        <family val="2"/>
        <charset val="134"/>
      </rPr>
      <t>拆单110406)</t>
    </r>
    <phoneticPr fontId="3" type="noConversion"/>
  </si>
  <si>
    <t>Y57064</t>
    <phoneticPr fontId="3" type="noConversion"/>
  </si>
  <si>
    <t>C130615715</t>
    <phoneticPr fontId="3" type="noConversion"/>
  </si>
  <si>
    <t>Y57093</t>
    <phoneticPr fontId="3" type="noConversion"/>
  </si>
  <si>
    <t>C210640447</t>
    <phoneticPr fontId="3" type="noConversion"/>
  </si>
  <si>
    <t>Y57106</t>
    <phoneticPr fontId="3" type="noConversion"/>
  </si>
  <si>
    <t>C210640294</t>
    <phoneticPr fontId="3" type="noConversion"/>
  </si>
  <si>
    <t>Y57107</t>
    <phoneticPr fontId="3" type="noConversion"/>
  </si>
  <si>
    <t>Y57108</t>
    <phoneticPr fontId="3" type="noConversion"/>
  </si>
  <si>
    <t>Y57109</t>
    <phoneticPr fontId="3" type="noConversion"/>
  </si>
  <si>
    <t>Y57110</t>
    <phoneticPr fontId="3" type="noConversion"/>
  </si>
  <si>
    <t>Y56670</t>
    <phoneticPr fontId="3" type="noConversion"/>
  </si>
  <si>
    <t>Y56671</t>
    <phoneticPr fontId="3" type="noConversion"/>
  </si>
  <si>
    <r>
      <t>Y57094</t>
    </r>
    <r>
      <rPr>
        <sz val="10"/>
        <color theme="1"/>
        <rFont val="宋体"/>
        <family val="2"/>
        <charset val="134"/>
      </rPr>
      <t>，之前预留给博新的，已经清关，需要预留</t>
    </r>
    <r>
      <rPr>
        <sz val="10"/>
        <color theme="1"/>
        <rFont val="Arial"/>
        <family val="2"/>
      </rPr>
      <t>RMB</t>
    </r>
    <r>
      <rPr>
        <sz val="10"/>
        <color theme="1"/>
        <rFont val="宋体"/>
        <family val="2"/>
        <charset val="134"/>
      </rPr>
      <t>单</t>
    </r>
    <phoneticPr fontId="3" type="noConversion"/>
  </si>
  <si>
    <t>Y57095</t>
  </si>
  <si>
    <t>C191236327</t>
    <phoneticPr fontId="3" type="noConversion"/>
  </si>
  <si>
    <t>Y57096</t>
  </si>
  <si>
    <t>Y57097</t>
  </si>
  <si>
    <t>Y57098</t>
  </si>
  <si>
    <t>C210640274</t>
    <phoneticPr fontId="3" type="noConversion"/>
  </si>
  <si>
    <t>Y58086</t>
    <phoneticPr fontId="3" type="noConversion"/>
  </si>
  <si>
    <t>SEP 21</t>
  </si>
  <si>
    <t>Y58087</t>
    <phoneticPr fontId="3" type="noConversion"/>
  </si>
  <si>
    <t>C210640474</t>
    <phoneticPr fontId="3" type="noConversion"/>
  </si>
  <si>
    <r>
      <t xml:space="preserve">Cowell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</si>
  <si>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Y58827</t>
    <phoneticPr fontId="3" type="noConversion"/>
  </si>
  <si>
    <t>C210439777</t>
  </si>
  <si>
    <t>49F103968</t>
    <phoneticPr fontId="3" type="noConversion"/>
  </si>
  <si>
    <t>Y58464</t>
    <phoneticPr fontId="3" type="noConversion"/>
  </si>
  <si>
    <t>Yamaha 深圳仓库</t>
  </si>
  <si>
    <r>
      <t xml:space="preserve">RMB </t>
    </r>
    <r>
      <rPr>
        <sz val="8"/>
        <color theme="1"/>
        <rFont val="宋体"/>
        <family val="2"/>
        <charset val="134"/>
      </rPr>
      <t>单</t>
    </r>
    <phoneticPr fontId="3" type="noConversion"/>
  </si>
  <si>
    <t>Y58465</t>
    <phoneticPr fontId="3" type="noConversion"/>
  </si>
  <si>
    <t>Y58466</t>
    <phoneticPr fontId="3" type="noConversion"/>
  </si>
  <si>
    <t>Y58467</t>
    <phoneticPr fontId="3" type="noConversion"/>
  </si>
  <si>
    <t>健科名义下单</t>
    <phoneticPr fontId="3" type="noConversion"/>
  </si>
  <si>
    <t>Y58568</t>
    <phoneticPr fontId="3" type="noConversion"/>
  </si>
  <si>
    <t>Y58569</t>
    <phoneticPr fontId="3" type="noConversion"/>
  </si>
  <si>
    <t>兴开泰名义下单</t>
    <phoneticPr fontId="3" type="noConversion"/>
  </si>
  <si>
    <t>Y58712</t>
    <phoneticPr fontId="3" type="noConversion"/>
  </si>
  <si>
    <t>NOV 21</t>
  </si>
  <si>
    <t>C210439993</t>
    <phoneticPr fontId="3" type="noConversion"/>
  </si>
  <si>
    <t>Y58713</t>
  </si>
  <si>
    <t>DEC 21</t>
  </si>
  <si>
    <t>C200337000</t>
    <phoneticPr fontId="3" type="noConversion"/>
  </si>
  <si>
    <t>Feeder Carriage</t>
    <phoneticPr fontId="3" type="noConversion"/>
  </si>
  <si>
    <t>Y58626</t>
    <phoneticPr fontId="3" type="noConversion"/>
  </si>
  <si>
    <t>Feeder Carriage</t>
  </si>
  <si>
    <t>Y58627</t>
    <phoneticPr fontId="3" type="noConversion"/>
  </si>
  <si>
    <t>洛伦兹技术名义下单</t>
    <phoneticPr fontId="3" type="noConversion"/>
  </si>
  <si>
    <t>Y58718</t>
  </si>
  <si>
    <t>Y58719</t>
    <phoneticPr fontId="3" type="noConversion"/>
  </si>
  <si>
    <t>MAR 22</t>
  </si>
  <si>
    <t>C220242164</t>
    <phoneticPr fontId="3" type="noConversion"/>
  </si>
  <si>
    <t>格隆名义下单</t>
    <phoneticPr fontId="3" type="noConversion"/>
  </si>
  <si>
    <t>Y58717</t>
    <phoneticPr fontId="3" type="noConversion"/>
  </si>
  <si>
    <t>C210640313</t>
    <phoneticPr fontId="3" type="noConversion"/>
  </si>
  <si>
    <t>MVC F&amp;R+ATS15</t>
    <phoneticPr fontId="3" type="noConversion"/>
  </si>
  <si>
    <t>Y58771</t>
    <phoneticPr fontId="3" type="noConversion"/>
  </si>
  <si>
    <t>新明海名义下单</t>
    <phoneticPr fontId="3" type="noConversion"/>
  </si>
  <si>
    <t>Y58861</t>
    <phoneticPr fontId="3" type="noConversion"/>
  </si>
  <si>
    <t>Y58862</t>
    <phoneticPr fontId="3" type="noConversion"/>
  </si>
  <si>
    <t>C211141389</t>
    <phoneticPr fontId="3" type="noConversion"/>
  </si>
  <si>
    <t>49F104054</t>
    <phoneticPr fontId="3" type="noConversion"/>
  </si>
  <si>
    <t>太美亚名义下单</t>
    <phoneticPr fontId="3" type="noConversion"/>
  </si>
  <si>
    <t>Y58990</t>
    <phoneticPr fontId="3" type="noConversion"/>
  </si>
  <si>
    <r>
      <t>2021/10/30,Yamaha</t>
    </r>
    <r>
      <rPr>
        <sz val="10"/>
        <color theme="1"/>
        <rFont val="宋体"/>
        <family val="2"/>
        <charset val="134"/>
      </rPr>
      <t>清关</t>
    </r>
    <phoneticPr fontId="3" type="noConversion"/>
  </si>
  <si>
    <t>Y58991</t>
    <phoneticPr fontId="3" type="noConversion"/>
  </si>
  <si>
    <t>深圳上达名义下单</t>
    <phoneticPr fontId="3" type="noConversion"/>
  </si>
  <si>
    <t>Y58723</t>
    <phoneticPr fontId="3" type="noConversion"/>
  </si>
  <si>
    <t>Y58724</t>
    <phoneticPr fontId="3" type="noConversion"/>
  </si>
  <si>
    <t>Y58864</t>
    <phoneticPr fontId="3" type="noConversion"/>
  </si>
  <si>
    <t>C210640464</t>
  </si>
  <si>
    <r>
      <t>110581(</t>
    </r>
    <r>
      <rPr>
        <sz val="9"/>
        <color theme="1"/>
        <rFont val="宋体"/>
        <family val="2"/>
        <charset val="134"/>
      </rPr>
      <t>拆单110652)</t>
    </r>
    <phoneticPr fontId="3" type="noConversion"/>
  </si>
  <si>
    <t>Y58865</t>
    <phoneticPr fontId="3" type="noConversion"/>
  </si>
  <si>
    <t>Y58825</t>
    <phoneticPr fontId="3" type="noConversion"/>
  </si>
  <si>
    <t>Y58826</t>
    <phoneticPr fontId="3" type="noConversion"/>
  </si>
  <si>
    <r>
      <t>0.0563</t>
    </r>
    <r>
      <rPr>
        <sz val="8"/>
        <color theme="1"/>
        <rFont val="宋体"/>
        <family val="2"/>
        <charset val="134"/>
      </rPr>
      <t>，已经清关，尽量预留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</si>
  <si>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C210439747</t>
    <phoneticPr fontId="3" type="noConversion"/>
  </si>
  <si>
    <r>
      <t>110635(</t>
    </r>
    <r>
      <rPr>
        <sz val="9"/>
        <color theme="1"/>
        <rFont val="宋体"/>
        <family val="2"/>
        <charset val="134"/>
      </rPr>
      <t>拆单110656）</t>
    </r>
    <phoneticPr fontId="3" type="noConversion"/>
  </si>
  <si>
    <t>以络鑫名义下单</t>
    <phoneticPr fontId="3" type="noConversion"/>
  </si>
  <si>
    <t>Y59183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</si>
  <si>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</si>
  <si>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C211141608</t>
    <phoneticPr fontId="3" type="noConversion"/>
  </si>
  <si>
    <t>Y59184</t>
  </si>
  <si>
    <r>
      <rPr>
        <sz val="8"/>
        <color theme="1"/>
        <rFont val="Arial"/>
        <family val="2"/>
      </rPr>
      <t xml:space="preserve">Yamaha </t>
    </r>
    <r>
      <rPr>
        <sz val="8"/>
        <color theme="1"/>
        <rFont val="Arial"/>
        <family val="2"/>
        <charset val="134"/>
      </rPr>
      <t>RMB</t>
    </r>
    <r>
      <rPr>
        <sz val="8"/>
        <color theme="1"/>
        <rFont val="微软雅黑"/>
        <family val="2"/>
        <charset val="134"/>
      </rPr>
      <t>单</t>
    </r>
    <phoneticPr fontId="3" type="noConversion"/>
  </si>
  <si>
    <t>C200938198</t>
    <phoneticPr fontId="3" type="noConversion"/>
  </si>
  <si>
    <t>Y59185</t>
    <phoneticPr fontId="3" type="noConversion"/>
  </si>
  <si>
    <t>Y59186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</si>
  <si>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拆单110662)</t>
    </r>
    <phoneticPr fontId="3" type="noConversion"/>
  </si>
  <si>
    <t>Y59179</t>
    <phoneticPr fontId="3" type="noConversion"/>
  </si>
  <si>
    <t>C170930167</t>
    <phoneticPr fontId="3" type="noConversion"/>
  </si>
  <si>
    <r>
      <t>110634(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110662)</t>
    </r>
    <phoneticPr fontId="3" type="noConversion"/>
  </si>
  <si>
    <t>Y59180</t>
    <phoneticPr fontId="3" type="noConversion"/>
  </si>
  <si>
    <t>Y59181</t>
    <phoneticPr fontId="3" type="noConversion"/>
  </si>
  <si>
    <t>Y59182</t>
    <phoneticPr fontId="3" type="noConversion"/>
  </si>
  <si>
    <t>络鑫名义下单</t>
    <phoneticPr fontId="3" type="noConversion"/>
  </si>
  <si>
    <t>Y59066</t>
    <phoneticPr fontId="3" type="noConversion"/>
  </si>
  <si>
    <t>C210740721</t>
    <phoneticPr fontId="3" type="noConversion"/>
  </si>
  <si>
    <t>Y59067</t>
    <phoneticPr fontId="3" type="noConversion"/>
  </si>
  <si>
    <t>C161128062</t>
    <phoneticPr fontId="3" type="noConversion"/>
  </si>
  <si>
    <t>比泰利名义下单</t>
    <phoneticPr fontId="3" type="noConversion"/>
  </si>
  <si>
    <t>Y59083</t>
    <phoneticPr fontId="3" type="noConversion"/>
  </si>
  <si>
    <t>cATS30+MVC(F&amp;R)+15pallet for cATS30+交换台车</t>
  </si>
  <si>
    <t>Y59084</t>
    <phoneticPr fontId="3" type="noConversion"/>
  </si>
  <si>
    <t>天邦达名义下单</t>
    <phoneticPr fontId="3" type="noConversion"/>
  </si>
  <si>
    <t>Y59062</t>
    <phoneticPr fontId="3" type="noConversion"/>
  </si>
  <si>
    <t>力通威名义下单</t>
    <phoneticPr fontId="3" type="noConversion"/>
  </si>
  <si>
    <t xml:space="preserve">MVC(F&amp;R)+96 FEEDER PLATE (YSM10) </t>
  </si>
  <si>
    <t>Y59086</t>
  </si>
  <si>
    <t>Y59087</t>
  </si>
  <si>
    <t>49F104089</t>
    <phoneticPr fontId="3" type="noConversion"/>
  </si>
  <si>
    <t>深圳格隆</t>
    <phoneticPr fontId="3" type="noConversion"/>
  </si>
  <si>
    <t>Y58471</t>
    <phoneticPr fontId="3" type="noConversion"/>
  </si>
  <si>
    <t>FEB 22</t>
  </si>
  <si>
    <t>C210941086</t>
    <phoneticPr fontId="3" type="noConversion"/>
  </si>
  <si>
    <t>49F104087</t>
    <phoneticPr fontId="3" type="noConversion"/>
  </si>
  <si>
    <t>广东晶科</t>
    <phoneticPr fontId="3" type="noConversion"/>
  </si>
  <si>
    <t>Y58909</t>
    <phoneticPr fontId="3" type="noConversion"/>
  </si>
  <si>
    <t>JAN 22</t>
  </si>
  <si>
    <t>Y58989</t>
    <phoneticPr fontId="3" type="noConversion"/>
  </si>
  <si>
    <t>C220141927</t>
    <phoneticPr fontId="3" type="noConversion"/>
  </si>
  <si>
    <t>49F104088</t>
    <phoneticPr fontId="3" type="noConversion"/>
  </si>
  <si>
    <t>深圳宝捷信</t>
    <phoneticPr fontId="3" type="noConversion"/>
  </si>
  <si>
    <t>Y58472</t>
    <phoneticPr fontId="3" type="noConversion"/>
  </si>
  <si>
    <t>海红天远名义下单</t>
    <phoneticPr fontId="3" type="noConversion"/>
  </si>
  <si>
    <t>Y58009</t>
    <phoneticPr fontId="3" type="noConversion"/>
  </si>
  <si>
    <t>MAY 22</t>
  </si>
  <si>
    <t>Y58007</t>
    <phoneticPr fontId="3" type="noConversion"/>
  </si>
  <si>
    <t>Y58008</t>
    <phoneticPr fontId="3" type="noConversion"/>
  </si>
  <si>
    <r>
      <t>110669(</t>
    </r>
    <r>
      <rPr>
        <sz val="9"/>
        <color theme="1"/>
        <rFont val="宋体"/>
        <family val="2"/>
        <charset val="134"/>
      </rPr>
      <t>拆单</t>
    </r>
    <r>
      <rPr>
        <sz val="9"/>
        <color theme="1"/>
        <rFont val="Arial"/>
        <family val="2"/>
      </rPr>
      <t>110366</t>
    </r>
    <r>
      <rPr>
        <sz val="9"/>
        <color theme="1"/>
        <rFont val="宋体"/>
        <family val="2"/>
        <charset val="134"/>
      </rPr>
      <t>）</t>
    </r>
    <phoneticPr fontId="3" type="noConversion"/>
  </si>
  <si>
    <t>Y57086</t>
    <phoneticPr fontId="3" type="noConversion"/>
  </si>
  <si>
    <t>Y57087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</si>
  <si>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</si>
  <si>
    <t>Y59057</t>
    <phoneticPr fontId="3" type="noConversion"/>
  </si>
  <si>
    <r>
      <t xml:space="preserve">Kstar </t>
    </r>
    <r>
      <rPr>
        <sz val="10"/>
        <color theme="1"/>
        <rFont val="宋体"/>
        <family val="2"/>
        <charset val="134"/>
      </rPr>
      <t>名义下单</t>
    </r>
    <phoneticPr fontId="3" type="noConversion"/>
  </si>
  <si>
    <t>Y59058</t>
    <phoneticPr fontId="3" type="noConversion"/>
  </si>
  <si>
    <t>Y57246</t>
    <phoneticPr fontId="3" type="noConversion"/>
  </si>
  <si>
    <t>Stock order(54%)</t>
    <phoneticPr fontId="3" type="noConversion"/>
  </si>
  <si>
    <t>Y59418</t>
  </si>
  <si>
    <t>C210640438</t>
    <phoneticPr fontId="3" type="noConversion"/>
  </si>
  <si>
    <t>MVC F&amp;R+ATS15+大板相机</t>
  </si>
  <si>
    <t>Y59419</t>
  </si>
  <si>
    <t>MVC F&amp;R+大板相机</t>
  </si>
  <si>
    <t>Y59421</t>
  </si>
  <si>
    <t>Y59424</t>
    <phoneticPr fontId="3" type="noConversion"/>
  </si>
  <si>
    <t>Y59425</t>
  </si>
  <si>
    <t>C210640541</t>
    <phoneticPr fontId="3" type="noConversion"/>
  </si>
  <si>
    <t>Y59420</t>
  </si>
  <si>
    <t>C210941180</t>
    <phoneticPr fontId="3" type="noConversion"/>
  </si>
  <si>
    <t>Y59422</t>
  </si>
  <si>
    <t>C160526717</t>
    <phoneticPr fontId="3" type="noConversion"/>
  </si>
  <si>
    <t>Y59423</t>
  </si>
  <si>
    <t>Y58207</t>
    <phoneticPr fontId="3" type="noConversion"/>
  </si>
  <si>
    <t>APR 22</t>
  </si>
  <si>
    <t>C211241741</t>
    <phoneticPr fontId="3" type="noConversion"/>
  </si>
  <si>
    <t>Y58208</t>
    <phoneticPr fontId="3" type="noConversion"/>
  </si>
  <si>
    <t>C200437242</t>
    <phoneticPr fontId="3" type="noConversion"/>
  </si>
  <si>
    <t>Stock order(51%)</t>
    <phoneticPr fontId="3" type="noConversion"/>
  </si>
  <si>
    <t>Y59426</t>
    <phoneticPr fontId="3" type="noConversion"/>
  </si>
  <si>
    <t>前海保税区</t>
    <phoneticPr fontId="3" type="noConversion"/>
  </si>
  <si>
    <t>Y59427</t>
  </si>
  <si>
    <t>Y59428</t>
  </si>
  <si>
    <t>Y59429</t>
  </si>
  <si>
    <t>C220141918</t>
    <phoneticPr fontId="3" type="noConversion"/>
  </si>
  <si>
    <t>49F104131</t>
  </si>
  <si>
    <t>正邦名义下单</t>
    <phoneticPr fontId="3" type="noConversion"/>
  </si>
  <si>
    <t>Y57508</t>
    <phoneticPr fontId="3" type="noConversion"/>
  </si>
  <si>
    <t>C220843546</t>
    <phoneticPr fontId="3" type="noConversion"/>
  </si>
  <si>
    <t>49F104131</t>
    <phoneticPr fontId="3" type="noConversion"/>
  </si>
  <si>
    <t>Y57509</t>
    <phoneticPr fontId="3" type="noConversion"/>
  </si>
  <si>
    <t>49F104147</t>
    <phoneticPr fontId="3" type="noConversion"/>
  </si>
  <si>
    <t>快宇名义下单</t>
    <phoneticPr fontId="3" type="noConversion"/>
  </si>
  <si>
    <t>Y58302</t>
    <phoneticPr fontId="3" type="noConversion"/>
  </si>
  <si>
    <t>Yamaha 仓库</t>
  </si>
  <si>
    <t>IND</t>
    <phoneticPr fontId="3" type="noConversion"/>
  </si>
  <si>
    <t>49F104157</t>
    <phoneticPr fontId="3" type="noConversion"/>
  </si>
  <si>
    <t>世达威名义下单</t>
    <phoneticPr fontId="3" type="noConversion"/>
  </si>
  <si>
    <t>Y58295</t>
    <phoneticPr fontId="3" type="noConversion"/>
  </si>
  <si>
    <t>49F104161</t>
    <phoneticPr fontId="3" type="noConversion"/>
  </si>
  <si>
    <t>Y58296</t>
    <phoneticPr fontId="3" type="noConversion"/>
  </si>
  <si>
    <t>Y58297</t>
  </si>
  <si>
    <t>Y58298</t>
  </si>
  <si>
    <t>Y58299</t>
  </si>
  <si>
    <t>Y58300</t>
  </si>
  <si>
    <t>49F104167</t>
    <phoneticPr fontId="3" type="noConversion"/>
  </si>
  <si>
    <t>新亚胜名义下单</t>
  </si>
  <si>
    <t>Y58305</t>
    <phoneticPr fontId="3" type="noConversion"/>
  </si>
  <si>
    <t>Yamaha 苏州仓库</t>
  </si>
  <si>
    <t>Y58306</t>
    <phoneticPr fontId="3" type="noConversion"/>
  </si>
  <si>
    <t>49F104104</t>
  </si>
  <si>
    <t>易通名义下单</t>
  </si>
  <si>
    <t>Y59701</t>
    <phoneticPr fontId="3" type="noConversion"/>
  </si>
  <si>
    <t>49F104105</t>
  </si>
  <si>
    <t>英托邦名义下单</t>
  </si>
  <si>
    <t xml:space="preserve">Y59702 </t>
    <phoneticPr fontId="3" type="noConversion"/>
  </si>
  <si>
    <t>C151225623</t>
    <phoneticPr fontId="3" type="noConversion"/>
  </si>
  <si>
    <t>49F104103</t>
  </si>
  <si>
    <t>勃旭名义下单</t>
  </si>
  <si>
    <t xml:space="preserve">Y59781 </t>
  </si>
  <si>
    <t>C220342344</t>
    <phoneticPr fontId="3" type="noConversion"/>
  </si>
  <si>
    <t xml:space="preserve">Y59704 </t>
    <phoneticPr fontId="3" type="noConversion"/>
  </si>
  <si>
    <t>Y59703</t>
    <phoneticPr fontId="3" type="noConversion"/>
  </si>
  <si>
    <t>STOCK order</t>
    <phoneticPr fontId="3" type="noConversion"/>
  </si>
  <si>
    <t>Repair Station+P-Tool AOI</t>
  </si>
  <si>
    <t>Y59610</t>
    <phoneticPr fontId="3" type="noConversion"/>
  </si>
  <si>
    <t>JUN 22</t>
  </si>
  <si>
    <t>C220543032</t>
    <phoneticPr fontId="3" type="noConversion"/>
  </si>
  <si>
    <t>上海禾川预留</t>
    <phoneticPr fontId="3" type="noConversion"/>
  </si>
  <si>
    <t>Y59611</t>
    <phoneticPr fontId="3" type="noConversion"/>
  </si>
  <si>
    <t>C49SHA20220306/LQM</t>
  </si>
  <si>
    <t>浙江禾川</t>
    <phoneticPr fontId="3" type="noConversion"/>
  </si>
  <si>
    <r>
      <t xml:space="preserve">DDP </t>
    </r>
    <r>
      <rPr>
        <sz val="10"/>
        <color theme="1"/>
        <rFont val="宋体"/>
        <family val="2"/>
        <charset val="134"/>
      </rPr>
      <t>浙江</t>
    </r>
    <phoneticPr fontId="3" type="noConversion"/>
  </si>
  <si>
    <t>C211141465</t>
    <phoneticPr fontId="3" type="noConversion"/>
  </si>
  <si>
    <r>
      <t>110665(</t>
    </r>
    <r>
      <rPr>
        <sz val="9"/>
        <color theme="1"/>
        <rFont val="宋体"/>
        <family val="2"/>
        <charset val="134"/>
      </rPr>
      <t>拆单110801）</t>
    </r>
    <phoneticPr fontId="3" type="noConversion"/>
  </si>
  <si>
    <t>Y59430</t>
    <phoneticPr fontId="3" type="noConversion"/>
  </si>
  <si>
    <t>Y59431</t>
    <phoneticPr fontId="3" type="noConversion"/>
  </si>
  <si>
    <t>C211141606</t>
    <phoneticPr fontId="3" type="noConversion"/>
  </si>
  <si>
    <t>深圳领德创下单</t>
    <phoneticPr fontId="3" type="noConversion"/>
  </si>
  <si>
    <t>Y59644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</si>
  <si>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单，</t>
    </r>
    <r>
      <rPr>
        <sz val="8"/>
        <color theme="1"/>
        <rFont val="Arial"/>
        <family val="2"/>
      </rPr>
      <t>Y57088</t>
    </r>
    <r>
      <rPr>
        <sz val="8"/>
        <color theme="1"/>
        <rFont val="微软雅黑"/>
        <family val="2"/>
        <charset val="134"/>
      </rPr>
      <t>益田名义报关</t>
    </r>
    <phoneticPr fontId="3" type="noConversion"/>
  </si>
  <si>
    <t>C220442699</t>
    <phoneticPr fontId="3" type="noConversion"/>
  </si>
  <si>
    <t>Y59645</t>
    <phoneticPr fontId="3" type="noConversion"/>
  </si>
  <si>
    <r>
      <t>Yamaha 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</si>
  <si>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 xml:space="preserve"> C220442618 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</si>
  <si>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聚亮兴业</t>
    </r>
  </si>
  <si>
    <t>Y59650</t>
    <phoneticPr fontId="3" type="noConversion"/>
  </si>
  <si>
    <r>
      <t>0.0568,RMB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</si>
  <si>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C210239202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</si>
  <si>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狂热者</t>
    </r>
  </si>
  <si>
    <t>Y59654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</si>
  <si>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融创新合</t>
    </r>
    <phoneticPr fontId="3" type="noConversion"/>
  </si>
  <si>
    <t>Y59662</t>
    <phoneticPr fontId="3" type="noConversion"/>
  </si>
  <si>
    <r>
      <t xml:space="preserve">SZ </t>
    </r>
    <r>
      <rPr>
        <sz val="10"/>
        <color theme="1"/>
        <rFont val="宋体"/>
        <family val="3"/>
        <charset val="134"/>
      </rPr>
      <t>晨鑫达</t>
    </r>
  </si>
  <si>
    <t>Y59655</t>
  </si>
  <si>
    <t>C220342452</t>
    <phoneticPr fontId="3" type="noConversion"/>
  </si>
  <si>
    <t>Y59656</t>
  </si>
  <si>
    <r>
      <t xml:space="preserve">SZ </t>
    </r>
    <r>
      <rPr>
        <sz val="10"/>
        <color theme="1"/>
        <rFont val="宋体"/>
        <family val="3"/>
        <charset val="134"/>
      </rPr>
      <t>魔乐视</t>
    </r>
  </si>
  <si>
    <t>Y59657</t>
  </si>
  <si>
    <t>C200737683</t>
    <phoneticPr fontId="3" type="noConversion"/>
  </si>
  <si>
    <t>Y59658</t>
  </si>
  <si>
    <r>
      <t xml:space="preserve">SZ 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</si>
  <si>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Y59959</t>
    <phoneticPr fontId="3" type="noConversion"/>
  </si>
  <si>
    <t>NM 110865</t>
    <phoneticPr fontId="3" type="noConversion"/>
  </si>
  <si>
    <t>深圳傲尔</t>
    <phoneticPr fontId="3" type="noConversion"/>
  </si>
  <si>
    <t>Y59950</t>
    <phoneticPr fontId="3" type="noConversion"/>
  </si>
  <si>
    <t>C220242115</t>
    <phoneticPr fontId="3" type="noConversion"/>
  </si>
  <si>
    <t>Y59643</t>
    <phoneticPr fontId="3" type="noConversion"/>
  </si>
  <si>
    <t>狂热者下单</t>
    <phoneticPr fontId="3" type="noConversion"/>
  </si>
  <si>
    <t>Y59653</t>
    <phoneticPr fontId="3" type="noConversion"/>
  </si>
  <si>
    <t>YRH10</t>
  </si>
  <si>
    <t>Y59216</t>
    <phoneticPr fontId="3" type="noConversion"/>
  </si>
  <si>
    <t>方案集下单</t>
    <phoneticPr fontId="3" type="noConversion"/>
  </si>
  <si>
    <t>Y59648</t>
    <phoneticPr fontId="3" type="noConversion"/>
  </si>
  <si>
    <t>已发货</t>
    <phoneticPr fontId="3" type="noConversion"/>
  </si>
  <si>
    <t>祥弘瑞下单</t>
    <phoneticPr fontId="3" type="noConversion"/>
  </si>
  <si>
    <t>Y59646</t>
    <phoneticPr fontId="3" type="noConversion"/>
  </si>
  <si>
    <t>河南融创</t>
    <phoneticPr fontId="3" type="noConversion"/>
  </si>
  <si>
    <t>Y59930</t>
  </si>
  <si>
    <t>Y59931</t>
  </si>
  <si>
    <r>
      <t xml:space="preserve">SZ </t>
    </r>
    <r>
      <rPr>
        <sz val="10"/>
        <color theme="1"/>
        <rFont val="宋体"/>
        <family val="3"/>
        <charset val="134"/>
      </rPr>
      <t>海凌科达</t>
    </r>
  </si>
  <si>
    <t>Y59932</t>
  </si>
  <si>
    <t>C210640351</t>
    <phoneticPr fontId="3" type="noConversion"/>
  </si>
  <si>
    <t>Y59933</t>
  </si>
  <si>
    <r>
      <t xml:space="preserve">SZ </t>
    </r>
    <r>
      <rPr>
        <sz val="10"/>
        <color theme="1"/>
        <rFont val="宋体"/>
        <family val="2"/>
        <charset val="134"/>
      </rPr>
      <t>鸿南电子</t>
    </r>
    <phoneticPr fontId="3" type="noConversion"/>
  </si>
  <si>
    <t>Y59936</t>
    <phoneticPr fontId="3" type="noConversion"/>
  </si>
  <si>
    <t>C210640305</t>
    <phoneticPr fontId="3" type="noConversion"/>
  </si>
  <si>
    <t>Y59937</t>
    <phoneticPr fontId="3" type="noConversion"/>
  </si>
  <si>
    <t>Y59934</t>
    <phoneticPr fontId="3" type="noConversion"/>
  </si>
  <si>
    <t>Y59935</t>
    <phoneticPr fontId="3" type="noConversion"/>
  </si>
  <si>
    <t>珠海派诺</t>
    <phoneticPr fontId="3" type="noConversion"/>
  </si>
  <si>
    <t>Y59956</t>
  </si>
  <si>
    <t>C210540203</t>
  </si>
  <si>
    <t>Y56514</t>
    <phoneticPr fontId="3" type="noConversion"/>
  </si>
  <si>
    <t>Y56515</t>
    <phoneticPr fontId="3" type="noConversion"/>
  </si>
  <si>
    <t>Y57567</t>
    <phoneticPr fontId="3" type="noConversion"/>
  </si>
  <si>
    <t>Y57568</t>
    <phoneticPr fontId="3" type="noConversion"/>
  </si>
  <si>
    <t>C210840857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</si>
  <si>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恒泰创新</t>
    </r>
    <phoneticPr fontId="3" type="noConversion"/>
  </si>
  <si>
    <t>Y59927</t>
    <phoneticPr fontId="3" type="noConversion"/>
  </si>
  <si>
    <r>
      <t>Yamaha RMB</t>
    </r>
    <r>
      <rPr>
        <sz val="8"/>
        <color theme="1"/>
        <rFont val="微软雅黑"/>
        <family val="2"/>
        <charset val="134"/>
      </rPr>
      <t>单49</t>
    </r>
    <r>
      <rPr>
        <sz val="8"/>
        <color theme="1"/>
        <rFont val="Arial"/>
        <family val="2"/>
      </rPr>
      <t>F104105</t>
    </r>
    <phoneticPr fontId="3" type="noConversion"/>
  </si>
  <si>
    <t>Y59928</t>
  </si>
  <si>
    <t>C211241741</t>
  </si>
  <si>
    <t>Y57570</t>
  </si>
  <si>
    <t>Y57571</t>
  </si>
  <si>
    <t>Y57569</t>
  </si>
  <si>
    <r>
      <t xml:space="preserve">SZ </t>
    </r>
    <r>
      <rPr>
        <sz val="10"/>
        <color theme="1"/>
        <rFont val="宋体"/>
        <family val="2"/>
        <charset val="134"/>
      </rPr>
      <t>魔乐视</t>
    </r>
    <phoneticPr fontId="3" type="noConversion"/>
  </si>
  <si>
    <t>Y59946</t>
  </si>
  <si>
    <t>Y59947</t>
  </si>
  <si>
    <t>Y59948</t>
  </si>
  <si>
    <t>Y59949</t>
  </si>
  <si>
    <r>
      <t>NM</t>
    </r>
    <r>
      <rPr>
        <sz val="8"/>
        <color theme="1"/>
        <rFont val="宋体"/>
        <family val="2"/>
        <charset val="134"/>
      </rPr>
      <t>，要</t>
    </r>
    <r>
      <rPr>
        <sz val="8"/>
        <color theme="1"/>
        <rFont val="Arial"/>
        <family val="2"/>
      </rPr>
      <t>DAP</t>
    </r>
    <r>
      <rPr>
        <sz val="8"/>
        <color theme="1"/>
        <rFont val="宋体"/>
        <family val="2"/>
        <charset val="134"/>
      </rPr>
      <t>合同走货带</t>
    </r>
    <r>
      <rPr>
        <sz val="8"/>
        <color theme="1"/>
        <rFont val="Arial"/>
        <family val="2"/>
      </rPr>
      <t>ATS15</t>
    </r>
    <phoneticPr fontId="3" type="noConversion"/>
  </si>
  <si>
    <t>C220141989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</si>
  <si>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宝捷时计</t>
    </r>
    <phoneticPr fontId="3" type="noConversion"/>
  </si>
  <si>
    <t>Y59951</t>
    <phoneticPr fontId="3" type="noConversion"/>
  </si>
  <si>
    <t>力合中转仓</t>
    <phoneticPr fontId="3" type="noConversion"/>
  </si>
  <si>
    <t>C220342350</t>
    <phoneticPr fontId="3" type="noConversion"/>
  </si>
  <si>
    <t>Y57247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</si>
  <si>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英拓邦</t>
    </r>
    <phoneticPr fontId="3" type="noConversion"/>
  </si>
  <si>
    <t>Y59985</t>
    <phoneticPr fontId="3" type="noConversion"/>
  </si>
  <si>
    <t>Y58089</t>
  </si>
  <si>
    <t>Y58088</t>
  </si>
  <si>
    <t>Y58090</t>
  </si>
  <si>
    <t>C220242050</t>
    <phoneticPr fontId="3" type="noConversion"/>
  </si>
  <si>
    <t>Y58091</t>
  </si>
  <si>
    <t>Y57088</t>
    <phoneticPr fontId="3" type="noConversion"/>
  </si>
  <si>
    <r>
      <t>NM</t>
    </r>
    <r>
      <rPr>
        <sz val="8"/>
        <color theme="1"/>
        <rFont val="宋体"/>
        <family val="2"/>
        <charset val="134"/>
      </rPr>
      <t>，</t>
    </r>
    <phoneticPr fontId="3" type="noConversion"/>
  </si>
  <si>
    <r>
      <t xml:space="preserve">DG </t>
    </r>
    <r>
      <rPr>
        <sz val="10"/>
        <color theme="1"/>
        <rFont val="等线"/>
        <family val="2"/>
        <charset val="134"/>
      </rPr>
      <t>维益</t>
    </r>
    <phoneticPr fontId="3" type="noConversion"/>
  </si>
  <si>
    <t>Y60236</t>
    <phoneticPr fontId="3" type="noConversion"/>
  </si>
  <si>
    <r>
      <t xml:space="preserve">HZ </t>
    </r>
    <r>
      <rPr>
        <sz val="10"/>
        <color theme="1"/>
        <rFont val="等线"/>
        <family val="2"/>
        <charset val="134"/>
      </rPr>
      <t>朗迅</t>
    </r>
    <phoneticPr fontId="3" type="noConversion"/>
  </si>
  <si>
    <t>Y60238</t>
    <phoneticPr fontId="3" type="noConversion"/>
  </si>
  <si>
    <t>Y60239</t>
  </si>
  <si>
    <r>
      <t xml:space="preserve">SZ </t>
    </r>
    <r>
      <rPr>
        <sz val="10"/>
        <color theme="1"/>
        <rFont val="宋体"/>
        <family val="2"/>
        <charset val="134"/>
      </rPr>
      <t>鸿通宇（</t>
    </r>
    <r>
      <rPr>
        <sz val="10"/>
        <color theme="1"/>
        <rFont val="Arial Unicode MS"/>
        <family val="2"/>
        <charset val="134"/>
      </rPr>
      <t>有补差额</t>
    </r>
    <r>
      <rPr>
        <sz val="10"/>
        <color theme="1"/>
        <rFont val="Arial"/>
        <family val="2"/>
      </rPr>
      <t>)</t>
    </r>
    <phoneticPr fontId="3" type="noConversion"/>
  </si>
  <si>
    <t>Y60000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</si>
  <si>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，此台机器清关进来后要和鸿通宇的机器调换</t>
    </r>
    <phoneticPr fontId="3" type="noConversion"/>
  </si>
  <si>
    <t>SZ 魔乐视</t>
    <phoneticPr fontId="3" type="noConversion"/>
  </si>
  <si>
    <t>Y60289</t>
    <phoneticPr fontId="3" type="noConversion"/>
  </si>
  <si>
    <t>深圳晶昌鸿业</t>
    <phoneticPr fontId="3" type="noConversion"/>
  </si>
  <si>
    <t>Y60589</t>
    <phoneticPr fontId="3" type="noConversion"/>
  </si>
  <si>
    <t>C190133829</t>
    <phoneticPr fontId="3" type="noConversion"/>
  </si>
  <si>
    <t>Y60590</t>
  </si>
  <si>
    <t>深圳正讯</t>
    <phoneticPr fontId="3" type="noConversion"/>
  </si>
  <si>
    <t>Y60237</t>
    <phoneticPr fontId="3" type="noConversion"/>
  </si>
  <si>
    <t>深圳恒创兴（有补差额）</t>
    <phoneticPr fontId="3" type="noConversion"/>
  </si>
  <si>
    <t>Y60297</t>
    <phoneticPr fontId="3" type="noConversion"/>
  </si>
  <si>
    <t>深圳清禾</t>
    <phoneticPr fontId="3" type="noConversion"/>
  </si>
  <si>
    <t>Y60230</t>
    <phoneticPr fontId="3" type="noConversion"/>
  </si>
  <si>
    <t>C220442611</t>
    <phoneticPr fontId="3" type="noConversion"/>
  </si>
  <si>
    <t>深圳晶昌鸿业(有补差额)</t>
    <phoneticPr fontId="3" type="noConversion"/>
  </si>
  <si>
    <t>Y60293</t>
    <phoneticPr fontId="3" type="noConversion"/>
  </si>
  <si>
    <t>Y60294</t>
  </si>
  <si>
    <r>
      <t xml:space="preserve">SZ </t>
    </r>
    <r>
      <rPr>
        <sz val="10"/>
        <color theme="1"/>
        <rFont val="等线"/>
        <family val="2"/>
        <charset val="134"/>
      </rPr>
      <t>驰电</t>
    </r>
    <phoneticPr fontId="3" type="noConversion"/>
  </si>
  <si>
    <t>Y60229</t>
    <phoneticPr fontId="3" type="noConversion"/>
  </si>
  <si>
    <t>深圳海松微（有补差额)</t>
    <phoneticPr fontId="3" type="noConversion"/>
  </si>
  <si>
    <t>Y60295</t>
    <phoneticPr fontId="3" type="noConversion"/>
  </si>
  <si>
    <t>Y60280</t>
    <phoneticPr fontId="3" type="noConversion"/>
  </si>
  <si>
    <t>C210840934</t>
    <phoneticPr fontId="3" type="noConversion"/>
  </si>
  <si>
    <t>Y60281</t>
    <phoneticPr fontId="3" type="noConversion"/>
  </si>
  <si>
    <t>Y60282</t>
  </si>
  <si>
    <r>
      <t>0.0536</t>
    </r>
    <r>
      <rPr>
        <sz val="8"/>
        <color theme="1"/>
        <rFont val="宋体"/>
        <family val="2"/>
        <charset val="134"/>
      </rPr>
      <t>，用魔乐视名义清关归还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</si>
  <si>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C220442563</t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</si>
  <si>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巨能</t>
    </r>
    <phoneticPr fontId="3" type="noConversion"/>
  </si>
  <si>
    <t>Y60291</t>
    <phoneticPr fontId="3" type="noConversion"/>
  </si>
  <si>
    <r>
      <t>0.0536</t>
    </r>
    <r>
      <rPr>
        <sz val="8"/>
        <color theme="1"/>
        <rFont val="宋体"/>
        <family val="2"/>
        <charset val="134"/>
      </rPr>
      <t>，用益田名义报关，给捷舜诚</t>
    </r>
    <phoneticPr fontId="3" type="noConversion"/>
  </si>
  <si>
    <t>SZ 巨能</t>
    <phoneticPr fontId="3" type="noConversion"/>
  </si>
  <si>
    <t>Y60292</t>
  </si>
  <si>
    <r>
      <t>0.0536</t>
    </r>
    <r>
      <rPr>
        <sz val="8"/>
        <color theme="1"/>
        <rFont val="宋体"/>
        <family val="2"/>
        <charset val="134"/>
      </rPr>
      <t>，用懿美莱名义清关归还给正讯</t>
    </r>
    <phoneticPr fontId="3" type="noConversion"/>
  </si>
  <si>
    <t>C220442556</t>
    <phoneticPr fontId="3" type="noConversion"/>
  </si>
  <si>
    <t>SZ 深圳傲尔</t>
    <phoneticPr fontId="3" type="noConversion"/>
  </si>
  <si>
    <t>Y60283</t>
    <phoneticPr fontId="3" type="noConversion"/>
  </si>
  <si>
    <t>Y60284</t>
  </si>
  <si>
    <t>SZ 益田科技</t>
    <phoneticPr fontId="3" type="noConversion"/>
  </si>
  <si>
    <t>Y60240</t>
  </si>
  <si>
    <t>C211241805</t>
    <phoneticPr fontId="3" type="noConversion"/>
  </si>
  <si>
    <r>
      <t>110808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F104206</t>
    </r>
    <phoneticPr fontId="3" type="noConversion"/>
  </si>
  <si>
    <t>Dongguan Yidong</t>
  </si>
  <si>
    <t>Y60548</t>
  </si>
  <si>
    <r>
      <t>2022/4/3</t>
    </r>
    <r>
      <rPr>
        <sz val="10"/>
        <color theme="1"/>
        <rFont val="宋体"/>
        <family val="2"/>
        <charset val="134"/>
      </rPr>
      <t>深圳盐田港</t>
    </r>
    <phoneticPr fontId="3" type="noConversion"/>
  </si>
  <si>
    <t>C170930167</t>
  </si>
  <si>
    <t>Dongguan Yidong</t>
    <phoneticPr fontId="3" type="noConversion"/>
  </si>
  <si>
    <t>Y60549</t>
  </si>
  <si>
    <t>Y60550</t>
  </si>
  <si>
    <t>Y60551</t>
  </si>
  <si>
    <t>Y60552</t>
  </si>
  <si>
    <t>深圳魔乐视</t>
    <phoneticPr fontId="3" type="noConversion"/>
  </si>
  <si>
    <t>Y60288</t>
    <phoneticPr fontId="3" type="noConversion"/>
  </si>
  <si>
    <t>SZ 三丽</t>
    <phoneticPr fontId="3" type="noConversion"/>
  </si>
  <si>
    <t>Y60231</t>
    <phoneticPr fontId="3" type="noConversion"/>
  </si>
  <si>
    <t>C220242116</t>
    <phoneticPr fontId="3" type="noConversion"/>
  </si>
  <si>
    <t>Y56516</t>
  </si>
  <si>
    <r>
      <t>0.0536 PO 110759</t>
    </r>
    <r>
      <rPr>
        <sz val="8"/>
        <color theme="1"/>
        <rFont val="微软雅黑"/>
        <family val="2"/>
        <charset val="134"/>
      </rPr>
      <t>。</t>
    </r>
    <phoneticPr fontId="3" type="noConversion"/>
  </si>
  <si>
    <t>C220242128</t>
    <phoneticPr fontId="3" type="noConversion"/>
  </si>
  <si>
    <t>Y56517</t>
  </si>
  <si>
    <t>Y56518</t>
  </si>
  <si>
    <t xml:space="preserve">SINRI Supplier </t>
    <phoneticPr fontId="3" type="noConversion"/>
  </si>
  <si>
    <t>Y60220</t>
    <phoneticPr fontId="3" type="noConversion"/>
  </si>
  <si>
    <t>Y60221</t>
    <phoneticPr fontId="3" type="noConversion"/>
  </si>
  <si>
    <t>Y60219</t>
    <phoneticPr fontId="3" type="noConversion"/>
  </si>
  <si>
    <t>广东微观名义下单</t>
    <phoneticPr fontId="3" type="noConversion"/>
  </si>
  <si>
    <t>Y60594</t>
    <phoneticPr fontId="3" type="noConversion"/>
  </si>
  <si>
    <t>4月15日到盐田港</t>
  </si>
  <si>
    <t>Y60595</t>
    <phoneticPr fontId="3" type="noConversion"/>
  </si>
  <si>
    <t>Y60596</t>
    <phoneticPr fontId="3" type="noConversion"/>
  </si>
  <si>
    <t>Y60597</t>
    <phoneticPr fontId="3" type="noConversion"/>
  </si>
  <si>
    <t>Y60598</t>
    <phoneticPr fontId="3" type="noConversion"/>
  </si>
  <si>
    <t>Y60599</t>
    <phoneticPr fontId="3" type="noConversion"/>
  </si>
  <si>
    <t>鸿楠名义下单</t>
    <phoneticPr fontId="3" type="noConversion"/>
  </si>
  <si>
    <t>Y60443</t>
    <phoneticPr fontId="3" type="noConversion"/>
  </si>
  <si>
    <t>Y57101</t>
    <phoneticPr fontId="3" type="noConversion"/>
  </si>
  <si>
    <t>Shenzhen 力通威</t>
    <phoneticPr fontId="3" type="noConversion"/>
  </si>
  <si>
    <t>Y60840</t>
    <phoneticPr fontId="3" type="noConversion"/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</si>
  <si>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单清关</t>
    </r>
    <phoneticPr fontId="3" type="noConversion"/>
  </si>
  <si>
    <t xml:space="preserve">MVC+96 FEEDER PLATE (YSM10) </t>
    <phoneticPr fontId="3" type="noConversion"/>
  </si>
  <si>
    <t>Y60841</t>
    <phoneticPr fontId="3" type="noConversion"/>
  </si>
  <si>
    <t>Shenzhen 清禾</t>
    <phoneticPr fontId="3" type="noConversion"/>
  </si>
  <si>
    <t>Y60826</t>
    <phoneticPr fontId="3" type="noConversion"/>
  </si>
  <si>
    <r>
      <t xml:space="preserve">Shenzhen </t>
    </r>
    <r>
      <rPr>
        <sz val="10"/>
        <color theme="1"/>
        <rFont val="宋体"/>
        <family val="2"/>
        <charset val="134"/>
      </rPr>
      <t>驰电</t>
    </r>
    <phoneticPr fontId="3" type="noConversion"/>
  </si>
  <si>
    <t>Y60825</t>
    <phoneticPr fontId="3" type="noConversion"/>
  </si>
  <si>
    <t>C220342453</t>
    <phoneticPr fontId="3" type="noConversion"/>
  </si>
  <si>
    <t>Y58092</t>
    <phoneticPr fontId="3" type="noConversion"/>
  </si>
  <si>
    <t>Y58093</t>
    <phoneticPr fontId="3" type="noConversion"/>
  </si>
  <si>
    <t>Y58094</t>
    <phoneticPr fontId="3" type="noConversion"/>
  </si>
  <si>
    <t>Shenzhen 狂热者（有补差额，折扣约55.3%)</t>
    <phoneticPr fontId="3" type="noConversion"/>
  </si>
  <si>
    <t>Y60982</t>
  </si>
  <si>
    <t>C220342453</t>
  </si>
  <si>
    <t>Y60983</t>
  </si>
  <si>
    <t>Guangzhou 骏孚（有补差额，折扣约55.3%)</t>
    <phoneticPr fontId="3" type="noConversion"/>
  </si>
  <si>
    <t>Y60996</t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</si>
  <si>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PO110810</t>
    </r>
    <phoneticPr fontId="3" type="noConversion"/>
  </si>
  <si>
    <r>
      <t xml:space="preserve">Jinxi </t>
    </r>
    <r>
      <rPr>
        <sz val="10"/>
        <color theme="1"/>
        <rFont val="宋体"/>
        <family val="2"/>
        <charset val="134"/>
      </rPr>
      <t>昌大（有补差额，折扣约</t>
    </r>
    <r>
      <rPr>
        <sz val="10"/>
        <color theme="1"/>
        <rFont val="Arial"/>
        <family val="2"/>
      </rPr>
      <t>55.3%)</t>
    </r>
    <phoneticPr fontId="3" type="noConversion"/>
  </si>
  <si>
    <t>Y60994</t>
    <phoneticPr fontId="3" type="noConversion"/>
  </si>
  <si>
    <t>NM 110828</t>
    <phoneticPr fontId="3" type="noConversion"/>
  </si>
  <si>
    <t>Shenzhen 恒泰创新（有补差额，折扣约55.3%)</t>
    <phoneticPr fontId="3" type="noConversion"/>
  </si>
  <si>
    <t>Y61001</t>
  </si>
  <si>
    <r>
      <rPr>
        <sz val="8"/>
        <color theme="1"/>
        <rFont val="Arial"/>
        <family val="2"/>
      </rPr>
      <t>0.0502 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110810</t>
    </r>
    <phoneticPr fontId="3" type="noConversion"/>
  </si>
  <si>
    <t>傲尔（有补差额，折扣约55.3%)</t>
    <phoneticPr fontId="3" type="noConversion"/>
  </si>
  <si>
    <t>Y60998</t>
  </si>
  <si>
    <t>Y60999</t>
  </si>
  <si>
    <r>
      <t xml:space="preserve">SZ </t>
    </r>
    <r>
      <rPr>
        <sz val="10"/>
        <color theme="1"/>
        <rFont val="宋体"/>
        <family val="2"/>
        <charset val="134"/>
      </rPr>
      <t>乐凡电子</t>
    </r>
    <phoneticPr fontId="3" type="noConversion"/>
  </si>
  <si>
    <t>Y60993</t>
  </si>
  <si>
    <r>
      <t>YamahaRMB</t>
    </r>
    <r>
      <rPr>
        <sz val="8"/>
        <color theme="1"/>
        <rFont val="宋体"/>
        <family val="2"/>
        <charset val="134"/>
      </rPr>
      <t>单49</t>
    </r>
    <r>
      <rPr>
        <sz val="8"/>
        <color theme="1"/>
        <rFont val="Arial"/>
        <family val="2"/>
      </rPr>
      <t>F104087,</t>
    </r>
    <phoneticPr fontId="3" type="noConversion"/>
  </si>
  <si>
    <r>
      <t xml:space="preserve">SZ </t>
    </r>
    <r>
      <rPr>
        <sz val="10"/>
        <color theme="1"/>
        <rFont val="宋体"/>
        <family val="2"/>
        <charset val="134"/>
      </rPr>
      <t>捷舜诚</t>
    </r>
    <phoneticPr fontId="3" type="noConversion"/>
  </si>
  <si>
    <t>Y61013</t>
  </si>
  <si>
    <t>SZ 海红天远</t>
    <phoneticPr fontId="3" type="noConversion"/>
  </si>
  <si>
    <t>Y61016</t>
  </si>
  <si>
    <r>
      <t xml:space="preserve">SZ </t>
    </r>
    <r>
      <rPr>
        <sz val="10"/>
        <color theme="1"/>
        <rFont val="宋体"/>
        <family val="2"/>
        <charset val="134"/>
      </rPr>
      <t>蓝极光</t>
    </r>
    <phoneticPr fontId="3" type="noConversion"/>
  </si>
  <si>
    <t>Y61017</t>
  </si>
  <si>
    <t>C220442711</t>
    <phoneticPr fontId="3" type="noConversion"/>
  </si>
  <si>
    <t>Y61018</t>
  </si>
  <si>
    <t>SZ 博新</t>
    <phoneticPr fontId="3" type="noConversion"/>
  </si>
  <si>
    <t>Y61012</t>
    <phoneticPr fontId="3" type="noConversion"/>
  </si>
  <si>
    <t>C200737827</t>
  </si>
  <si>
    <r>
      <t xml:space="preserve">SZ </t>
    </r>
    <r>
      <rPr>
        <sz val="10"/>
        <color theme="1"/>
        <rFont val="宋体"/>
        <family val="2"/>
        <charset val="134"/>
      </rPr>
      <t>易通</t>
    </r>
    <phoneticPr fontId="3" type="noConversion"/>
  </si>
  <si>
    <t>Y61014</t>
  </si>
  <si>
    <r>
      <t xml:space="preserve">110810 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PO110913</t>
    </r>
    <phoneticPr fontId="3" type="noConversion"/>
  </si>
  <si>
    <t>Y60553</t>
  </si>
  <si>
    <t>NM 110872</t>
    <phoneticPr fontId="3" type="noConversion"/>
  </si>
  <si>
    <t>Y60554</t>
  </si>
  <si>
    <t>Y60559</t>
  </si>
  <si>
    <t>NM 110871</t>
    <phoneticPr fontId="3" type="noConversion"/>
  </si>
  <si>
    <t>C190334130</t>
    <phoneticPr fontId="3" type="noConversion"/>
  </si>
  <si>
    <t>Y60560</t>
  </si>
  <si>
    <r>
      <t>0.0502,</t>
    </r>
    <r>
      <rPr>
        <sz val="8"/>
        <color theme="1"/>
        <rFont val="等线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Arial"/>
        <family val="2"/>
      </rPr>
      <t xml:space="preserve"> PO110436</t>
    </r>
    <phoneticPr fontId="3" type="noConversion"/>
  </si>
  <si>
    <t>Y60561</t>
  </si>
  <si>
    <r>
      <t>0.0502 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</si>
  <si>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Y60555</t>
  </si>
  <si>
    <t>C220342284</t>
    <phoneticPr fontId="3" type="noConversion"/>
  </si>
  <si>
    <t>Y60556</t>
  </si>
  <si>
    <t>Y60557</t>
  </si>
  <si>
    <t>C220442573</t>
    <phoneticPr fontId="3" type="noConversion"/>
  </si>
  <si>
    <t>Y60558</t>
  </si>
  <si>
    <t>Y60562</t>
  </si>
  <si>
    <r>
      <t>NM PO110810</t>
    </r>
    <r>
      <rPr>
        <sz val="8"/>
        <color theme="1"/>
        <rFont val="宋体"/>
        <family val="2"/>
        <charset val="134"/>
      </rPr>
      <t>拆分</t>
    </r>
    <r>
      <rPr>
        <sz val="8"/>
        <color theme="1"/>
        <rFont val="Arial"/>
        <family val="2"/>
      </rPr>
      <t>PO110913</t>
    </r>
    <phoneticPr fontId="3" type="noConversion"/>
  </si>
  <si>
    <t>Y56519</t>
    <phoneticPr fontId="3" type="noConversion"/>
  </si>
  <si>
    <t>NM PO 110883</t>
    <phoneticPr fontId="3" type="noConversion"/>
  </si>
  <si>
    <t>JUL 22</t>
  </si>
  <si>
    <t>Y57572</t>
  </si>
  <si>
    <t>Y57573</t>
  </si>
  <si>
    <t>C220442577</t>
    <phoneticPr fontId="3" type="noConversion"/>
  </si>
  <si>
    <t>Y57574</t>
  </si>
  <si>
    <t>Dongguan 岚新</t>
    <phoneticPr fontId="3" type="noConversion"/>
  </si>
  <si>
    <t>Y61435</t>
  </si>
  <si>
    <t>Y61436</t>
  </si>
  <si>
    <r>
      <rPr>
        <sz val="10"/>
        <color theme="1"/>
        <rFont val="微软雅黑"/>
        <family val="2"/>
        <charset val="134"/>
      </rPr>
      <t>力合仓库</t>
    </r>
    <r>
      <rPr>
        <sz val="10"/>
        <color theme="1"/>
        <rFont val="Arial"/>
        <family val="2"/>
      </rPr>
      <t>(</t>
    </r>
    <r>
      <rPr>
        <sz val="10"/>
        <color theme="1"/>
        <rFont val="微软雅黑"/>
        <family val="2"/>
        <charset val="134"/>
      </rPr>
      <t>已经清关</t>
    </r>
    <r>
      <rPr>
        <sz val="10"/>
        <color theme="1"/>
        <rFont val="Arial"/>
        <family val="2"/>
      </rPr>
      <t>)</t>
    </r>
    <phoneticPr fontId="3" type="noConversion"/>
  </si>
  <si>
    <t>Y58095</t>
  </si>
  <si>
    <r>
      <t>NM</t>
    </r>
    <r>
      <rPr>
        <sz val="8"/>
        <color theme="1"/>
        <rFont val="宋体"/>
        <family val="2"/>
        <charset val="134"/>
      </rPr>
      <t>，110838</t>
    </r>
    <phoneticPr fontId="3" type="noConversion"/>
  </si>
  <si>
    <t>C220242133</t>
    <phoneticPr fontId="3" type="noConversion"/>
  </si>
  <si>
    <t>Y58096</t>
  </si>
  <si>
    <r>
      <t>NM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110838</t>
    </r>
    <phoneticPr fontId="3" type="noConversion"/>
  </si>
  <si>
    <t>Y58097</t>
  </si>
  <si>
    <t>NM 110868</t>
    <phoneticPr fontId="3" type="noConversion"/>
  </si>
  <si>
    <t>C211241704</t>
    <phoneticPr fontId="3" type="noConversion"/>
  </si>
  <si>
    <t>Shenzhen Longtech</t>
    <phoneticPr fontId="3" type="noConversion"/>
  </si>
  <si>
    <t>Y61377</t>
  </si>
  <si>
    <r>
      <t xml:space="preserve">NM </t>
    </r>
    <r>
      <rPr>
        <sz val="8"/>
        <color theme="1"/>
        <rFont val="微软雅黑"/>
        <family val="2"/>
        <charset val="134"/>
      </rPr>
      <t xml:space="preserve"> </t>
    </r>
    <r>
      <rPr>
        <sz val="8"/>
        <color theme="1"/>
        <rFont val="Arial"/>
        <family val="2"/>
      </rPr>
      <t>PO110920</t>
    </r>
    <phoneticPr fontId="3" type="noConversion"/>
  </si>
  <si>
    <t>C220442711</t>
  </si>
  <si>
    <t>Y61378</t>
  </si>
  <si>
    <t>NM,PO 110998</t>
    <phoneticPr fontId="3" type="noConversion"/>
  </si>
  <si>
    <t>Y61379</t>
  </si>
  <si>
    <t>C220442706</t>
    <phoneticPr fontId="3" type="noConversion"/>
  </si>
  <si>
    <r>
      <t xml:space="preserve">Shenzhen </t>
    </r>
    <r>
      <rPr>
        <sz val="10"/>
        <color theme="1"/>
        <rFont val="等线"/>
        <family val="2"/>
        <charset val="134"/>
      </rPr>
      <t>伯莱科</t>
    </r>
    <phoneticPr fontId="3" type="noConversion"/>
  </si>
  <si>
    <t>Y61440</t>
  </si>
  <si>
    <t>通达科信</t>
    <phoneticPr fontId="3" type="noConversion"/>
  </si>
  <si>
    <t>cATS10+MVC+6pcs special layout</t>
  </si>
  <si>
    <t>Y61330</t>
  </si>
  <si>
    <r>
      <t xml:space="preserve">DG </t>
    </r>
    <r>
      <rPr>
        <sz val="10"/>
        <color theme="1"/>
        <rFont val="Arial Unicode MS"/>
        <family val="2"/>
        <charset val="134"/>
      </rPr>
      <t>普德新星</t>
    </r>
    <phoneticPr fontId="3" type="noConversion"/>
  </si>
  <si>
    <t>Y61448</t>
  </si>
  <si>
    <t>C180431793</t>
    <phoneticPr fontId="3" type="noConversion"/>
  </si>
  <si>
    <t>Y61449</t>
  </si>
  <si>
    <r>
      <t xml:space="preserve">SZ </t>
    </r>
    <r>
      <rPr>
        <sz val="10"/>
        <color theme="1"/>
        <rFont val="Arial Unicode MS"/>
        <family val="2"/>
        <charset val="134"/>
      </rPr>
      <t>骏仁达</t>
    </r>
    <phoneticPr fontId="3" type="noConversion"/>
  </si>
  <si>
    <t>Y61438</t>
  </si>
  <si>
    <t>Y61004</t>
  </si>
  <si>
    <r>
      <t>0.0521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</si>
  <si>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Y61375</t>
  </si>
  <si>
    <t>C220342243</t>
    <phoneticPr fontId="3" type="noConversion"/>
  </si>
  <si>
    <t>Y61376</t>
    <phoneticPr fontId="3" type="noConversion"/>
  </si>
  <si>
    <t>拓普艾名义</t>
    <phoneticPr fontId="3" type="noConversion"/>
  </si>
  <si>
    <t>Y61539</t>
  </si>
  <si>
    <t>Y61540</t>
  </si>
  <si>
    <t>Y61567</t>
  </si>
  <si>
    <r>
      <t>NM PO 110810</t>
    </r>
    <r>
      <rPr>
        <sz val="8"/>
        <color theme="1"/>
        <rFont val="宋体"/>
        <family val="3"/>
        <charset val="134"/>
      </rPr>
      <t>拆分</t>
    </r>
    <r>
      <rPr>
        <sz val="8"/>
        <color theme="1"/>
        <rFont val="Arial"/>
        <family val="2"/>
      </rPr>
      <t>PO110913</t>
    </r>
  </si>
  <si>
    <t>恒磊</t>
    <phoneticPr fontId="3" type="noConversion"/>
  </si>
  <si>
    <t>Y61444</t>
  </si>
  <si>
    <r>
      <t xml:space="preserve"> 0.0502 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110810</t>
    </r>
    <phoneticPr fontId="3" type="noConversion"/>
  </si>
  <si>
    <t>Y61445</t>
  </si>
  <si>
    <t>NM PO110910 STK</t>
    <phoneticPr fontId="3" type="noConversion"/>
  </si>
  <si>
    <t>Y60577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</si>
  <si>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</si>
  <si>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Y60578</t>
    <phoneticPr fontId="3" type="noConversion"/>
  </si>
  <si>
    <t>NM,PO 110873</t>
    <phoneticPr fontId="3" type="noConversion"/>
  </si>
  <si>
    <t>Y60579</t>
  </si>
  <si>
    <t>NM,PO110873</t>
    <phoneticPr fontId="3" type="noConversion"/>
  </si>
  <si>
    <t>C180632532</t>
    <phoneticPr fontId="3" type="noConversion"/>
  </si>
  <si>
    <t>Y60580</t>
    <phoneticPr fontId="3" type="noConversion"/>
  </si>
  <si>
    <t>NM PO110995</t>
    <phoneticPr fontId="3" type="noConversion"/>
  </si>
  <si>
    <t>Y60581</t>
  </si>
  <si>
    <t>Y60582</t>
  </si>
  <si>
    <t>上海预留</t>
    <phoneticPr fontId="3" type="noConversion"/>
  </si>
  <si>
    <t>深圳比泰利</t>
    <phoneticPr fontId="3" type="noConversion"/>
  </si>
  <si>
    <t>Y61453</t>
  </si>
  <si>
    <r>
      <t>0.05345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</si>
  <si>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C49CTUSHA20221203/FZM</t>
    <phoneticPr fontId="3" type="noConversion"/>
  </si>
  <si>
    <r>
      <rPr>
        <sz val="10"/>
        <color theme="1"/>
        <rFont val="宋体"/>
        <family val="2"/>
        <charset val="134"/>
      </rPr>
      <t>四川乃迁科技有限公司</t>
    </r>
    <r>
      <rPr>
        <sz val="10"/>
        <color theme="1"/>
        <rFont val="Arial"/>
        <family val="2"/>
      </rPr>
      <t xml:space="preserve"> LogBook.xlsx]Raw data'!$B:$Z,3,FALSE)</t>
    </r>
    <phoneticPr fontId="3" type="noConversion"/>
  </si>
  <si>
    <r>
      <t>SHA</t>
    </r>
    <r>
      <rPr>
        <sz val="10"/>
        <color theme="1"/>
        <rFont val="宋体"/>
        <family val="2"/>
        <charset val="134"/>
      </rPr>
      <t>客户</t>
    </r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</si>
  <si>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伯莱科</t>
    </r>
    <phoneticPr fontId="3" type="noConversion"/>
  </si>
  <si>
    <t>Y61441</t>
  </si>
  <si>
    <t>NM PO110949 STK</t>
    <phoneticPr fontId="3" type="noConversion"/>
  </si>
  <si>
    <r>
      <t xml:space="preserve">SZ </t>
    </r>
    <r>
      <rPr>
        <sz val="10"/>
        <color theme="1"/>
        <rFont val="Arial Unicode MS"/>
        <family val="2"/>
        <charset val="134"/>
      </rPr>
      <t>盈通恒翼</t>
    </r>
    <phoneticPr fontId="3" type="noConversion"/>
  </si>
  <si>
    <t>Y61439</t>
  </si>
  <si>
    <t>NM 110882 STOCK</t>
    <phoneticPr fontId="3" type="noConversion"/>
  </si>
  <si>
    <t>C220141863</t>
    <phoneticPr fontId="3" type="noConversion"/>
  </si>
  <si>
    <t>Y61691</t>
    <phoneticPr fontId="3" type="noConversion"/>
  </si>
  <si>
    <t>Y57566</t>
    <phoneticPr fontId="3" type="noConversion"/>
  </si>
  <si>
    <t xml:space="preserve">NM 110965 STK </t>
    <phoneticPr fontId="3" type="noConversion"/>
  </si>
  <si>
    <t>SZ 骏仁达</t>
    <phoneticPr fontId="3" type="noConversion"/>
  </si>
  <si>
    <t>Y61437</t>
  </si>
  <si>
    <r>
      <t>Yamaha RMB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49F104105</t>
    </r>
    <phoneticPr fontId="3" type="noConversion"/>
  </si>
  <si>
    <t>C220543035</t>
    <phoneticPr fontId="3" type="noConversion"/>
  </si>
  <si>
    <t>Y61568</t>
  </si>
  <si>
    <r>
      <t>CY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</si>
  <si>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>110875(</t>
    </r>
    <r>
      <rPr>
        <sz val="9"/>
        <color theme="1"/>
        <rFont val="宋体"/>
        <family val="2"/>
        <charset val="134"/>
      </rPr>
      <t>拆单110975）</t>
    </r>
    <phoneticPr fontId="3" type="noConversion"/>
  </si>
  <si>
    <t>DG 普德新星</t>
    <phoneticPr fontId="3" type="noConversion"/>
  </si>
  <si>
    <t>Y61446</t>
  </si>
  <si>
    <r>
      <t>0.0512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 PO 110951</t>
    </r>
    <phoneticPr fontId="3" type="noConversion"/>
  </si>
  <si>
    <t>Y61447</t>
  </si>
  <si>
    <t>正创名义下单 CD#03946</t>
    <phoneticPr fontId="3" type="noConversion"/>
  </si>
  <si>
    <t>Y57065</t>
    <phoneticPr fontId="3" type="noConversion"/>
  </si>
  <si>
    <t>Y57066</t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</si>
  <si>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</si>
  <si>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C220643152</t>
    <phoneticPr fontId="3" type="noConversion"/>
  </si>
  <si>
    <t>Y58205</t>
    <phoneticPr fontId="3" type="noConversion"/>
  </si>
  <si>
    <t>Y58206</t>
    <phoneticPr fontId="3" type="noConversion"/>
  </si>
  <si>
    <t>Y58209</t>
    <phoneticPr fontId="3" type="noConversion"/>
  </si>
  <si>
    <r>
      <t>0.0492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110962</t>
    </r>
    <r>
      <rPr>
        <sz val="8"/>
        <color theme="1"/>
        <rFont val="宋体"/>
        <family val="2"/>
        <charset val="134"/>
      </rPr>
      <t>（拆单</t>
    </r>
    <r>
      <rPr>
        <sz val="8"/>
        <color theme="1"/>
        <rFont val="Arial"/>
        <family val="2"/>
      </rPr>
      <t>111022</t>
    </r>
    <r>
      <rPr>
        <sz val="8"/>
        <color theme="1"/>
        <rFont val="宋体"/>
        <family val="2"/>
        <charset val="134"/>
      </rPr>
      <t>）</t>
    </r>
    <phoneticPr fontId="3" type="noConversion"/>
  </si>
  <si>
    <t>Y60583</t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</si>
  <si>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</si>
  <si>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Y60584</t>
  </si>
  <si>
    <t>Y60585</t>
  </si>
  <si>
    <t>C210740701</t>
    <phoneticPr fontId="3" type="noConversion"/>
  </si>
  <si>
    <t>Y60586</t>
  </si>
  <si>
    <t>C190534728</t>
  </si>
  <si>
    <t>魔乐视</t>
    <phoneticPr fontId="3" type="noConversion"/>
  </si>
  <si>
    <t>Y61975</t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</si>
  <si>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</si>
  <si>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Y61976</t>
    <phoneticPr fontId="3" type="noConversion"/>
  </si>
  <si>
    <t>和创永泰</t>
    <phoneticPr fontId="3" type="noConversion"/>
  </si>
  <si>
    <t>Y61977</t>
    <phoneticPr fontId="3" type="noConversion"/>
  </si>
  <si>
    <t>NM PO 110954</t>
    <phoneticPr fontId="3" type="noConversion"/>
  </si>
  <si>
    <t>C220843506</t>
    <phoneticPr fontId="3" type="noConversion"/>
  </si>
  <si>
    <t>辉拓</t>
    <phoneticPr fontId="3" type="noConversion"/>
  </si>
  <si>
    <t>Y62066</t>
  </si>
  <si>
    <r>
      <rPr>
        <sz val="10"/>
        <color theme="1"/>
        <rFont val="Arial Unicode MS"/>
        <family val="2"/>
        <charset val="134"/>
      </rPr>
      <t>深圳顺禾</t>
    </r>
    <r>
      <rPr>
        <sz val="10"/>
        <color theme="1"/>
        <rFont val="Arial"/>
        <family val="2"/>
      </rPr>
      <t xml:space="preserve"> </t>
    </r>
    <phoneticPr fontId="3" type="noConversion"/>
  </si>
  <si>
    <t>Y61962</t>
    <phoneticPr fontId="3" type="noConversion"/>
  </si>
  <si>
    <r>
      <t>0.0512,JPY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PO110997</t>
    </r>
    <phoneticPr fontId="3" type="noConversion"/>
  </si>
  <si>
    <t>东莞鸿楠</t>
    <phoneticPr fontId="3" type="noConversion"/>
  </si>
  <si>
    <r>
      <t>Y61968,</t>
    </r>
    <r>
      <rPr>
        <sz val="10"/>
        <color rgb="FFFF0000"/>
        <rFont val="宋体"/>
        <family val="3"/>
        <charset val="134"/>
      </rPr>
      <t>机器不能调动</t>
    </r>
    <phoneticPr fontId="3" type="noConversion"/>
  </si>
  <si>
    <t>Y61969</t>
  </si>
  <si>
    <t>C220943712</t>
    <phoneticPr fontId="3" type="noConversion"/>
  </si>
  <si>
    <t>Y61970</t>
  </si>
  <si>
    <t>NM PO#110956</t>
    <phoneticPr fontId="3" type="noConversion"/>
  </si>
  <si>
    <t>C220342280</t>
    <phoneticPr fontId="3" type="noConversion"/>
  </si>
  <si>
    <t>Y61971</t>
    <phoneticPr fontId="3" type="noConversion"/>
  </si>
  <si>
    <t>深圳朗特</t>
    <phoneticPr fontId="3" type="noConversion"/>
  </si>
  <si>
    <t>Y62022</t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</si>
  <si>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phoneticPr fontId="3" type="noConversion"/>
  </si>
  <si>
    <t>Y62023</t>
  </si>
  <si>
    <t>Y62024</t>
  </si>
  <si>
    <r>
      <t>110919(</t>
    </r>
    <r>
      <rPr>
        <sz val="9"/>
        <color theme="1"/>
        <rFont val="宋体"/>
        <family val="2"/>
        <charset val="134"/>
      </rPr>
      <t>拆单110927）</t>
    </r>
    <phoneticPr fontId="3" type="noConversion"/>
  </si>
  <si>
    <t>Y62025</t>
  </si>
  <si>
    <r>
      <t>0.0503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PO#110996</t>
    </r>
    <phoneticPr fontId="3" type="noConversion"/>
  </si>
  <si>
    <t>C200837908</t>
  </si>
  <si>
    <t>Y62026</t>
  </si>
  <si>
    <t>Y62027</t>
  </si>
  <si>
    <t>NM,PO#111002</t>
    <phoneticPr fontId="3" type="noConversion"/>
  </si>
  <si>
    <t>芯联鑫</t>
    <phoneticPr fontId="3" type="noConversion"/>
  </si>
  <si>
    <t>Y61978</t>
  </si>
  <si>
    <t>Y61979</t>
    <phoneticPr fontId="3" type="noConversion"/>
  </si>
  <si>
    <r>
      <t>0.0512,RMB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PO#110997</t>
    </r>
    <phoneticPr fontId="3" type="noConversion"/>
  </si>
  <si>
    <t>C210640541</t>
  </si>
  <si>
    <t>Y61972</t>
  </si>
  <si>
    <t>Y61973</t>
    <phoneticPr fontId="3" type="noConversion"/>
  </si>
  <si>
    <t>Y61974</t>
  </si>
  <si>
    <t>快宇</t>
    <phoneticPr fontId="3" type="noConversion"/>
  </si>
  <si>
    <t>Y62067</t>
  </si>
  <si>
    <r>
      <t>Y62068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</si>
  <si>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赛美达</t>
    <phoneticPr fontId="3" type="noConversion"/>
  </si>
  <si>
    <r>
      <t>Y62071</t>
    </r>
    <r>
      <rPr>
        <sz val="10"/>
        <color theme="1"/>
        <rFont val="宋体"/>
        <family val="2"/>
        <charset val="134"/>
      </rPr>
      <t>（拆除1个相机，放在力合）</t>
    </r>
    <phoneticPr fontId="3" type="noConversion"/>
  </si>
  <si>
    <t>NM PO 111095</t>
    <phoneticPr fontId="3" type="noConversion"/>
  </si>
  <si>
    <t>C221043971</t>
  </si>
  <si>
    <t>Y57067</t>
    <phoneticPr fontId="3" type="noConversion"/>
  </si>
  <si>
    <r>
      <t xml:space="preserve">Yamaha RMB 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>49F104103</t>
    </r>
    <phoneticPr fontId="3" type="noConversion"/>
  </si>
  <si>
    <t>C210640335</t>
  </si>
  <si>
    <t>博睿通</t>
    <phoneticPr fontId="3" type="noConversion"/>
  </si>
  <si>
    <r>
      <t>Y62028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</si>
  <si>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0.0502</t>
    </r>
    <r>
      <rPr>
        <sz val="8"/>
        <color theme="1"/>
        <rFont val="微软雅黑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PO110896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</si>
  <si>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  <phoneticPr fontId="3" type="noConversion"/>
  </si>
  <si>
    <r>
      <t>苏州朋协智控科技有限公司</t>
    </r>
    <r>
      <rPr>
        <sz val="10.5"/>
        <color rgb="FF000000"/>
        <rFont val="Calibri"/>
        <family val="2"/>
      </rPr>
      <t xml:space="preserve"> </t>
    </r>
  </si>
  <si>
    <t>Y62029</t>
  </si>
  <si>
    <t>C200236775</t>
    <phoneticPr fontId="3" type="noConversion"/>
  </si>
  <si>
    <t xml:space="preserve"> SZ 中润互联</t>
    <phoneticPr fontId="3" type="noConversion"/>
  </si>
  <si>
    <t>Y61966</t>
  </si>
  <si>
    <r>
      <t xml:space="preserve"> SZ </t>
    </r>
    <r>
      <rPr>
        <sz val="10"/>
        <color theme="1"/>
        <rFont val="微软雅黑"/>
        <family val="2"/>
        <charset val="134"/>
      </rPr>
      <t>中润互联</t>
    </r>
    <phoneticPr fontId="3" type="noConversion"/>
  </si>
  <si>
    <t>Y61967</t>
  </si>
  <si>
    <r>
      <rPr>
        <sz val="10"/>
        <color theme="1"/>
        <rFont val="等线"/>
        <family val="2"/>
        <charset val="134"/>
      </rPr>
      <t>诺亚兴</t>
    </r>
    <r>
      <rPr>
        <sz val="10"/>
        <color theme="1"/>
        <rFont val="Arial"/>
        <family val="2"/>
      </rPr>
      <t xml:space="preserve"> </t>
    </r>
    <phoneticPr fontId="3" type="noConversion"/>
  </si>
  <si>
    <t>Y62072</t>
  </si>
  <si>
    <t>友艺</t>
    <phoneticPr fontId="3" type="noConversion"/>
  </si>
  <si>
    <t>Y62073</t>
  </si>
  <si>
    <t>Y58098</t>
    <phoneticPr fontId="3" type="noConversion"/>
  </si>
  <si>
    <t>C220242050</t>
  </si>
  <si>
    <t>比泰利</t>
    <phoneticPr fontId="3" type="noConversion"/>
  </si>
  <si>
    <t>Y61963</t>
  </si>
  <si>
    <t>前海仓库-&gt;准备清关</t>
  </si>
  <si>
    <t>C230244908</t>
  </si>
  <si>
    <t>Y61964</t>
  </si>
  <si>
    <t>cATS10+MVC+Feeder Carriage</t>
  </si>
  <si>
    <t>Y61965</t>
  </si>
  <si>
    <t>中润互联</t>
    <phoneticPr fontId="3" type="noConversion"/>
  </si>
  <si>
    <t>MVC F&amp;R</t>
    <phoneticPr fontId="3" type="noConversion"/>
  </si>
  <si>
    <r>
      <t>Y62310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</si>
  <si>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 xml:space="preserve"> 0.0527,RMB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PO#110875(</t>
    </r>
    <r>
      <rPr>
        <sz val="8"/>
        <color theme="1"/>
        <rFont val="微软雅黑"/>
        <family val="2"/>
        <charset val="134"/>
      </rPr>
      <t>拆单</t>
    </r>
    <r>
      <rPr>
        <sz val="8"/>
        <color theme="1"/>
        <rFont val="Arial"/>
        <family val="2"/>
      </rPr>
      <t>110975</t>
    </r>
    <r>
      <rPr>
        <sz val="8"/>
        <color theme="1"/>
        <rFont val="微软雅黑"/>
        <family val="2"/>
        <charset val="134"/>
      </rPr>
      <t>）</t>
    </r>
    <phoneticPr fontId="3" type="noConversion"/>
  </si>
  <si>
    <r>
      <t>Y62311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</si>
  <si>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0.050,RMB</t>
    </r>
    <r>
      <rPr>
        <sz val="8"/>
        <color theme="1"/>
        <rFont val="微软雅黑"/>
        <family val="2"/>
        <charset val="134"/>
      </rPr>
      <t xml:space="preserve">清关 </t>
    </r>
    <r>
      <rPr>
        <sz val="8"/>
        <color theme="1"/>
        <rFont val="Arial"/>
        <family val="2"/>
      </rPr>
      <t>PO110875</t>
    </r>
    <phoneticPr fontId="3" type="noConversion"/>
  </si>
  <si>
    <t xml:space="preserve">           </t>
    <phoneticPr fontId="3" type="noConversion"/>
  </si>
  <si>
    <r>
      <t>Y62312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</si>
  <si>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0.0527,RMB</t>
    </r>
    <r>
      <rPr>
        <sz val="8"/>
        <color theme="1"/>
        <rFont val="微软雅黑"/>
        <family val="2"/>
        <charset val="134"/>
      </rPr>
      <t>清关</t>
    </r>
    <r>
      <rPr>
        <sz val="8"/>
        <color theme="1"/>
        <rFont val="Arial"/>
        <family val="2"/>
      </rPr>
      <t xml:space="preserve"> PO110935</t>
    </r>
    <phoneticPr fontId="3" type="noConversion"/>
  </si>
  <si>
    <t>Y62315</t>
    <phoneticPr fontId="3" type="noConversion"/>
  </si>
  <si>
    <t>Y62314</t>
  </si>
  <si>
    <t>Y62313</t>
    <phoneticPr fontId="3" type="noConversion"/>
  </si>
  <si>
    <t>骏仁达</t>
    <phoneticPr fontId="3" type="noConversion"/>
  </si>
  <si>
    <t>Y62343</t>
  </si>
  <si>
    <t>C181233587</t>
    <phoneticPr fontId="3" type="noConversion"/>
  </si>
  <si>
    <r>
      <t>110962</t>
    </r>
    <r>
      <rPr>
        <sz val="9"/>
        <color theme="1"/>
        <rFont val="宋体"/>
        <family val="2"/>
        <charset val="134"/>
      </rPr>
      <t>（拆单111022）</t>
    </r>
    <phoneticPr fontId="3" type="noConversion"/>
  </si>
  <si>
    <r>
      <t>Y62344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</si>
  <si>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r>
      <t xml:space="preserve"> Yamaha RMB</t>
    </r>
    <r>
      <rPr>
        <sz val="8"/>
        <color theme="1"/>
        <rFont val="微软雅黑"/>
        <family val="2"/>
        <charset val="134"/>
      </rPr>
      <t>单</t>
    </r>
    <r>
      <rPr>
        <sz val="8"/>
        <color theme="1"/>
        <rFont val="Arial"/>
        <family val="2"/>
      </rPr>
      <t xml:space="preserve"> 49F104103</t>
    </r>
    <phoneticPr fontId="3" type="noConversion"/>
  </si>
  <si>
    <t>C221043973</t>
    <phoneticPr fontId="3" type="noConversion"/>
  </si>
  <si>
    <t>志华鑫名义下单</t>
    <phoneticPr fontId="3" type="noConversion"/>
  </si>
  <si>
    <t>Y62322</t>
  </si>
  <si>
    <r>
      <t>Y62323</t>
    </r>
    <r>
      <rPr>
        <sz val="10"/>
        <color theme="1"/>
        <rFont val="宋体"/>
        <family val="2"/>
        <charset val="134"/>
      </rPr>
      <t>，</t>
    </r>
    <r>
      <rPr>
        <sz val="10"/>
        <color rgb="FFFF0000"/>
        <rFont val="宋体"/>
        <family val="3"/>
        <charset val="134"/>
      </rPr>
      <t>抽中调离商检</t>
    </r>
    <phoneticPr fontId="3" type="noConversion"/>
  </si>
  <si>
    <t>利速达</t>
    <phoneticPr fontId="3" type="noConversion"/>
  </si>
  <si>
    <r>
      <t>Y62324</t>
    </r>
    <r>
      <rPr>
        <sz val="10"/>
        <color rgb="FFFF0000"/>
        <rFont val="宋体"/>
        <family val="3"/>
        <charset val="134"/>
      </rPr>
      <t>，抽中调离商检</t>
    </r>
    <phoneticPr fontId="3" type="noConversion"/>
  </si>
  <si>
    <t>C220342243</t>
  </si>
  <si>
    <r>
      <t>110961</t>
    </r>
    <r>
      <rPr>
        <sz val="9"/>
        <color theme="1"/>
        <rFont val="宋体"/>
        <family val="2"/>
        <charset val="134"/>
      </rPr>
      <t>（拆单111023）</t>
    </r>
    <phoneticPr fontId="3" type="noConversion"/>
  </si>
  <si>
    <t>钧溢</t>
    <phoneticPr fontId="3" type="noConversion"/>
  </si>
  <si>
    <t>Y62345</t>
    <phoneticPr fontId="3" type="noConversion"/>
  </si>
  <si>
    <r>
      <t>NM 110960(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111038)</t>
    </r>
    <phoneticPr fontId="3" type="noConversion"/>
  </si>
  <si>
    <t>Y62346</t>
    <phoneticPr fontId="3" type="noConversion"/>
  </si>
  <si>
    <r>
      <t>110960(</t>
    </r>
    <r>
      <rPr>
        <sz val="9"/>
        <color theme="1"/>
        <rFont val="宋体"/>
        <family val="2"/>
        <charset val="134"/>
      </rPr>
      <t>拆单111038)</t>
    </r>
    <phoneticPr fontId="3" type="noConversion"/>
  </si>
  <si>
    <t>Y62340</t>
  </si>
  <si>
    <t>NM,PO 110988</t>
    <phoneticPr fontId="3" type="noConversion"/>
  </si>
  <si>
    <t>C210440011</t>
    <phoneticPr fontId="3" type="noConversion"/>
  </si>
  <si>
    <t>Y62341</t>
  </si>
  <si>
    <t>C151125547</t>
    <phoneticPr fontId="3" type="noConversion"/>
  </si>
  <si>
    <t>Y62342</t>
  </si>
  <si>
    <r>
      <t>银杏（虽然机器安装在银杏，但是给到</t>
    </r>
    <r>
      <rPr>
        <sz val="10"/>
        <color theme="1"/>
        <rFont val="Arial"/>
        <family val="2"/>
      </rPr>
      <t>Yamaha</t>
    </r>
    <r>
      <rPr>
        <sz val="10"/>
        <color theme="1"/>
        <rFont val="宋体"/>
        <family val="3"/>
        <charset val="134"/>
      </rPr>
      <t>的资料都是三才）</t>
    </r>
  </si>
  <si>
    <t>C221144426</t>
  </si>
  <si>
    <t>Y62325</t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</si>
  <si>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PO110921</t>
    </r>
    <phoneticPr fontId="3" type="noConversion"/>
  </si>
  <si>
    <t>C200938204</t>
  </si>
  <si>
    <r>
      <t>Y62326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</si>
  <si>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 xml:space="preserve">C180732624 </t>
    <phoneticPr fontId="3" type="noConversion"/>
  </si>
  <si>
    <t>伯莱科</t>
    <phoneticPr fontId="3" type="noConversion"/>
  </si>
  <si>
    <t>Y62328</t>
  </si>
  <si>
    <r>
      <t>Y62329</t>
    </r>
    <r>
      <rPr>
        <sz val="10"/>
        <color rgb="FFFF0000"/>
        <rFont val="宋体"/>
        <family val="3"/>
        <charset val="134"/>
      </rPr>
      <t>，机器不能调动</t>
    </r>
    <phoneticPr fontId="3" type="noConversion"/>
  </si>
  <si>
    <t>鑫天泰</t>
    <phoneticPr fontId="3" type="noConversion"/>
  </si>
  <si>
    <r>
      <t>Y62327(</t>
    </r>
    <r>
      <rPr>
        <sz val="10"/>
        <color theme="1"/>
        <rFont val="宋体"/>
        <family val="2"/>
        <charset val="134"/>
      </rPr>
      <t>拆相机放在力合）</t>
    </r>
    <phoneticPr fontId="3" type="noConversion"/>
  </si>
  <si>
    <r>
      <t>0.0503,RMB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PO#110922</t>
    </r>
    <phoneticPr fontId="3" type="noConversion"/>
  </si>
  <si>
    <t>Y62389</t>
  </si>
  <si>
    <t>Y62392</t>
  </si>
  <si>
    <t>Y62393</t>
  </si>
  <si>
    <t>Y62394</t>
  </si>
  <si>
    <t>Y62387</t>
    <phoneticPr fontId="3" type="noConversion"/>
  </si>
  <si>
    <t>Y62388</t>
  </si>
  <si>
    <t>Y62390</t>
  </si>
  <si>
    <r>
      <t>110959</t>
    </r>
    <r>
      <rPr>
        <sz val="9"/>
        <color theme="1"/>
        <rFont val="宋体"/>
        <family val="2"/>
        <charset val="134"/>
      </rPr>
      <t>（拆单111021）</t>
    </r>
    <phoneticPr fontId="3" type="noConversion"/>
  </si>
  <si>
    <t>Y62391</t>
  </si>
  <si>
    <t>Y62339</t>
  </si>
  <si>
    <r>
      <t>110995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</si>
  <si>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r>
      <t xml:space="preserve"> SZ </t>
    </r>
    <r>
      <rPr>
        <sz val="10"/>
        <color theme="1"/>
        <rFont val="宋体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</si>
  <si>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Y62550</t>
  </si>
  <si>
    <r>
      <t>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 xml:space="preserve">清关 </t>
    </r>
    <r>
      <rPr>
        <sz val="8"/>
        <color theme="1"/>
        <rFont val="Arial"/>
        <family val="2"/>
      </rPr>
      <t>PO110896</t>
    </r>
    <phoneticPr fontId="3" type="noConversion"/>
  </si>
  <si>
    <t>C200236762</t>
  </si>
  <si>
    <t>Y62551</t>
  </si>
  <si>
    <t xml:space="preserve">C230345148 </t>
  </si>
  <si>
    <r>
      <t>110998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</t>
    </r>
    <r>
      <rPr>
        <sz val="9"/>
        <color theme="1"/>
        <rFont val="宋体"/>
        <family val="2"/>
        <charset val="134"/>
      </rPr>
      <t>）</t>
    </r>
    <phoneticPr fontId="3" type="noConversion"/>
  </si>
  <si>
    <t>精德鸿(Special)</t>
    <phoneticPr fontId="3" type="noConversion"/>
  </si>
  <si>
    <t>Y62552</t>
  </si>
  <si>
    <r>
      <t>0.0527,JPY</t>
    </r>
    <r>
      <rPr>
        <sz val="8"/>
        <color theme="1"/>
        <rFont val="宋体"/>
        <family val="2"/>
        <charset val="134"/>
      </rPr>
      <t>单</t>
    </r>
    <r>
      <rPr>
        <sz val="8"/>
        <color theme="1"/>
        <rFont val="Arial"/>
        <family val="2"/>
      </rPr>
      <t>PO110929</t>
    </r>
    <phoneticPr fontId="3" type="noConversion"/>
  </si>
  <si>
    <r>
      <t>110996</t>
    </r>
    <r>
      <rPr>
        <sz val="9"/>
        <color theme="1"/>
        <rFont val="宋体"/>
        <family val="2"/>
        <charset val="134"/>
      </rPr>
      <t>（</t>
    </r>
    <r>
      <rPr>
        <sz val="9"/>
        <color theme="1"/>
        <rFont val="Arial"/>
        <family val="2"/>
      </rPr>
      <t>TT)</t>
    </r>
    <phoneticPr fontId="3" type="noConversion"/>
  </si>
  <si>
    <t>比尔乔(Special)</t>
    <phoneticPr fontId="3" type="noConversion"/>
  </si>
  <si>
    <r>
      <t>Y62595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</si>
  <si>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PO#110919(</t>
    </r>
    <r>
      <rPr>
        <sz val="8"/>
        <color theme="1"/>
        <rFont val="宋体"/>
        <family val="2"/>
        <charset val="134"/>
      </rPr>
      <t>拆单</t>
    </r>
    <r>
      <rPr>
        <sz val="8"/>
        <color theme="1"/>
        <rFont val="Arial"/>
        <family val="2"/>
      </rPr>
      <t>110927</t>
    </r>
    <r>
      <rPr>
        <sz val="8"/>
        <color theme="1"/>
        <rFont val="宋体"/>
        <family val="2"/>
        <charset val="134"/>
      </rPr>
      <t>）</t>
    </r>
    <phoneticPr fontId="3" type="noConversion"/>
  </si>
  <si>
    <t>110996 (TT)</t>
    <phoneticPr fontId="3" type="noConversion"/>
  </si>
  <si>
    <r>
      <t>Y62596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</si>
  <si>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0.0513,RMB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>PO#110919</t>
    </r>
    <phoneticPr fontId="3" type="noConversion"/>
  </si>
  <si>
    <t>C200938214</t>
  </si>
  <si>
    <t>瑞福联名义(Special)</t>
    <phoneticPr fontId="3" type="noConversion"/>
  </si>
  <si>
    <r>
      <t>Y62598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</si>
  <si>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0.0513 RMB</t>
    </r>
    <r>
      <rPr>
        <sz val="8"/>
        <color theme="1"/>
        <rFont val="宋体"/>
        <family val="2"/>
        <charset val="134"/>
      </rPr>
      <t>单清关，</t>
    </r>
    <r>
      <rPr>
        <sz val="8"/>
        <color theme="1"/>
        <rFont val="Arial"/>
        <family val="2"/>
      </rPr>
      <t>PO110924</t>
    </r>
    <phoneticPr fontId="3" type="noConversion"/>
  </si>
  <si>
    <r>
      <t>Y62599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</si>
  <si>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r>
      <t>0.0498,RMB</t>
    </r>
    <r>
      <rPr>
        <sz val="8"/>
        <color theme="1"/>
        <rFont val="等线"/>
        <family val="2"/>
        <charset val="134"/>
      </rPr>
      <t>清关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PO#110923</t>
    </r>
    <phoneticPr fontId="3" type="noConversion"/>
  </si>
  <si>
    <t>惠州莫斯特</t>
    <phoneticPr fontId="3" type="noConversion"/>
  </si>
  <si>
    <r>
      <t>Y62561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</si>
  <si>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Y62563</t>
  </si>
  <si>
    <t>Suining konka</t>
    <phoneticPr fontId="3" type="noConversion"/>
  </si>
  <si>
    <t>MVC+ATS15+ANC+IT option+TOK 1154</t>
  </si>
  <si>
    <t>Y62359</t>
  </si>
  <si>
    <t>MAY 23</t>
  </si>
  <si>
    <t>Y62360</t>
  </si>
  <si>
    <t>MVC+IT option+TOK 1154 +</t>
  </si>
  <si>
    <t>Y62361</t>
  </si>
  <si>
    <t>Y62362</t>
  </si>
  <si>
    <r>
      <t>111006(</t>
    </r>
    <r>
      <rPr>
        <sz val="9"/>
        <color theme="1"/>
        <rFont val="宋体"/>
        <family val="2"/>
        <charset val="134"/>
      </rPr>
      <t>拆单111039)</t>
    </r>
    <phoneticPr fontId="3" type="noConversion"/>
  </si>
  <si>
    <r>
      <t>#04403</t>
    </r>
    <r>
      <rPr>
        <sz val="10"/>
        <color theme="1"/>
        <rFont val="宋体"/>
        <family val="2"/>
        <charset val="134"/>
      </rPr>
      <t>奕东</t>
    </r>
    <phoneticPr fontId="3" type="noConversion"/>
  </si>
  <si>
    <t>MVC +大板相机</t>
  </si>
  <si>
    <r>
      <t>Y62576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</si>
  <si>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C221244461</t>
  </si>
  <si>
    <t>Y62577</t>
  </si>
  <si>
    <r>
      <t>Y62578</t>
    </r>
    <r>
      <rPr>
        <sz val="10"/>
        <color theme="1"/>
        <rFont val="宋体"/>
        <family val="2"/>
        <charset val="134"/>
      </rPr>
      <t>（拆大板相机放在力合）</t>
    </r>
    <phoneticPr fontId="3" type="noConversion"/>
  </si>
  <si>
    <t xml:space="preserve">C230144833 </t>
  </si>
  <si>
    <t>Y62579</t>
  </si>
  <si>
    <t>Y62580</t>
  </si>
  <si>
    <t>Y62581</t>
    <phoneticPr fontId="3" type="noConversion"/>
  </si>
  <si>
    <t>C180231291</t>
  </si>
  <si>
    <t>Y62582</t>
  </si>
  <si>
    <r>
      <t>Y62583</t>
    </r>
    <r>
      <rPr>
        <sz val="10"/>
        <color theme="1"/>
        <rFont val="宋体"/>
        <family val="2"/>
        <charset val="134"/>
      </rPr>
      <t>（拆相机放在力合）</t>
    </r>
    <phoneticPr fontId="3" type="noConversion"/>
  </si>
  <si>
    <t>Y62584</t>
  </si>
  <si>
    <t>Y62585</t>
  </si>
  <si>
    <t>C230245070</t>
  </si>
  <si>
    <t>Y62110</t>
    <phoneticPr fontId="3" type="noConversion"/>
  </si>
  <si>
    <t>Y62111</t>
    <phoneticPr fontId="3" type="noConversion"/>
  </si>
  <si>
    <t>Y62108</t>
    <phoneticPr fontId="3" type="noConversion"/>
  </si>
  <si>
    <t>Y62109</t>
    <phoneticPr fontId="3" type="noConversion"/>
  </si>
  <si>
    <t>Y62476</t>
  </si>
  <si>
    <t>Y62477</t>
  </si>
  <si>
    <t>Y62478</t>
  </si>
  <si>
    <t>Y62479</t>
  </si>
  <si>
    <t>Y62614</t>
  </si>
  <si>
    <t>C200938163</t>
  </si>
  <si>
    <t>Y62615</t>
  </si>
  <si>
    <t>金睿通(Special)</t>
    <phoneticPr fontId="3" type="noConversion"/>
  </si>
  <si>
    <r>
      <t>Y62610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</si>
  <si>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C220442563</t>
  </si>
  <si>
    <r>
      <t>Y62611</t>
    </r>
    <r>
      <rPr>
        <sz val="10"/>
        <color theme="1"/>
        <rFont val="宋体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宋体"/>
        <family val="2"/>
        <charset val="134"/>
      </rPr>
      <t>个相机，放在力合）</t>
    </r>
    <phoneticPr fontId="3" type="noConversion"/>
  </si>
  <si>
    <t>C230345221</t>
  </si>
  <si>
    <r>
      <t xml:space="preserve"> SZ </t>
    </r>
    <r>
      <rPr>
        <sz val="10"/>
        <color theme="1"/>
        <rFont val="Arial Unicode MS"/>
        <family val="2"/>
        <charset val="134"/>
      </rPr>
      <t>精德鸿</t>
    </r>
    <r>
      <rPr>
        <sz val="10"/>
        <color theme="1"/>
        <rFont val="Arial"/>
        <family val="2"/>
      </rPr>
      <t>(Special)</t>
    </r>
    <phoneticPr fontId="3" type="noConversion"/>
  </si>
  <si>
    <t>Y62606</t>
  </si>
  <si>
    <t>Y62607</t>
  </si>
  <si>
    <r>
      <t xml:space="preserve"> SZ </t>
    </r>
    <r>
      <rPr>
        <sz val="10"/>
        <color theme="1"/>
        <rFont val="Arial Unicode MS"/>
        <family val="2"/>
        <charset val="134"/>
      </rPr>
      <t>奥祺</t>
    </r>
    <r>
      <rPr>
        <sz val="10"/>
        <color theme="1"/>
        <rFont val="Arial"/>
        <family val="2"/>
      </rPr>
      <t>(Special)</t>
    </r>
    <phoneticPr fontId="3" type="noConversion"/>
  </si>
  <si>
    <t>Y62608</t>
  </si>
  <si>
    <t>Y62609</t>
  </si>
  <si>
    <r>
      <t xml:space="preserve"> SZ</t>
    </r>
    <r>
      <rPr>
        <sz val="10"/>
        <color theme="1"/>
        <rFont val="宋体"/>
        <family val="3"/>
        <charset val="134"/>
      </rPr>
      <t>欣华</t>
    </r>
  </si>
  <si>
    <t>Y62604</t>
  </si>
  <si>
    <t>Y62605</t>
  </si>
  <si>
    <t>C200336938</t>
    <phoneticPr fontId="3" type="noConversion"/>
  </si>
  <si>
    <r>
      <t xml:space="preserve"> SZ </t>
    </r>
    <r>
      <rPr>
        <sz val="10"/>
        <color theme="1"/>
        <rFont val="Arial Unicode MS"/>
        <family val="2"/>
        <charset val="134"/>
      </rPr>
      <t>金睿通</t>
    </r>
    <r>
      <rPr>
        <sz val="10"/>
        <color theme="1"/>
        <rFont val="Arial"/>
        <family val="2"/>
      </rPr>
      <t>(Special)</t>
    </r>
    <phoneticPr fontId="3" type="noConversion"/>
  </si>
  <si>
    <t>Y62612</t>
  </si>
  <si>
    <t>Y62613</t>
  </si>
  <si>
    <r>
      <t xml:space="preserve"> SZ </t>
    </r>
    <r>
      <rPr>
        <sz val="10"/>
        <color theme="1"/>
        <rFont val="Arial Unicode MS"/>
        <family val="2"/>
        <charset val="134"/>
      </rPr>
      <t>瑞福联</t>
    </r>
    <r>
      <rPr>
        <sz val="10"/>
        <color theme="1"/>
        <rFont val="Arial"/>
        <family val="2"/>
      </rPr>
      <t>(Special)</t>
    </r>
    <phoneticPr fontId="3" type="noConversion"/>
  </si>
  <si>
    <t>Y62600</t>
  </si>
  <si>
    <t>Y62601</t>
  </si>
  <si>
    <t>C230144717</t>
  </si>
  <si>
    <r>
      <t xml:space="preserve"> SZ</t>
    </r>
    <r>
      <rPr>
        <sz val="10"/>
        <color theme="1"/>
        <rFont val="Arial Unicode MS"/>
        <family val="2"/>
        <charset val="134"/>
      </rPr>
      <t>正讯</t>
    </r>
    <phoneticPr fontId="3" type="noConversion"/>
  </si>
  <si>
    <t>Y62627</t>
  </si>
  <si>
    <t xml:space="preserve"> SZ正讯</t>
    <phoneticPr fontId="3" type="noConversion"/>
  </si>
  <si>
    <t>Y62628</t>
  </si>
  <si>
    <t>欣华</t>
    <phoneticPr fontId="3" type="noConversion"/>
  </si>
  <si>
    <t>Y62634</t>
    <phoneticPr fontId="3" type="noConversion"/>
  </si>
  <si>
    <t>C220643122</t>
    <phoneticPr fontId="3" type="noConversion"/>
  </si>
  <si>
    <t>Y62603</t>
  </si>
  <si>
    <t>思迈</t>
    <phoneticPr fontId="3" type="noConversion"/>
  </si>
  <si>
    <t>Y62602</t>
    <phoneticPr fontId="3" type="noConversion"/>
  </si>
  <si>
    <t>Y62635</t>
  </si>
  <si>
    <t>正讯</t>
    <phoneticPr fontId="3" type="noConversion"/>
  </si>
  <si>
    <t>Y62625</t>
  </si>
  <si>
    <t>C210640313</t>
  </si>
  <si>
    <t>Y62626</t>
  </si>
  <si>
    <t>110993(TT)</t>
    <phoneticPr fontId="3" type="noConversion"/>
  </si>
  <si>
    <r>
      <t xml:space="preserve"> SZ</t>
    </r>
    <r>
      <rPr>
        <sz val="10"/>
        <color theme="1"/>
        <rFont val="Arial Unicode MS"/>
        <family val="2"/>
        <charset val="134"/>
      </rPr>
      <t>斯迈拓</t>
    </r>
    <phoneticPr fontId="3" type="noConversion"/>
  </si>
  <si>
    <t>Y62629</t>
  </si>
  <si>
    <t>Y62630</t>
  </si>
  <si>
    <r>
      <t xml:space="preserve"> SZ</t>
    </r>
    <r>
      <rPr>
        <sz val="10"/>
        <color theme="1"/>
        <rFont val="微软雅黑"/>
        <family val="2"/>
        <charset val="134"/>
      </rPr>
      <t>朗迅</t>
    </r>
    <phoneticPr fontId="3" type="noConversion"/>
  </si>
  <si>
    <t>Y62636</t>
  </si>
  <si>
    <t>C220643250</t>
    <phoneticPr fontId="3" type="noConversion"/>
  </si>
  <si>
    <r>
      <t xml:space="preserve"> SZ</t>
    </r>
    <r>
      <rPr>
        <sz val="10"/>
        <color theme="1"/>
        <rFont val="宋体"/>
        <family val="3"/>
        <charset val="134"/>
      </rPr>
      <t>朗迅</t>
    </r>
  </si>
  <si>
    <t>Y62637</t>
  </si>
  <si>
    <t>C210239322</t>
    <phoneticPr fontId="3" type="noConversion"/>
  </si>
  <si>
    <t>惠州新明海</t>
    <phoneticPr fontId="3" type="noConversion"/>
  </si>
  <si>
    <t>Y62873</t>
  </si>
  <si>
    <t>C221044184</t>
    <phoneticPr fontId="3" type="noConversion"/>
  </si>
  <si>
    <t>Y62874</t>
  </si>
  <si>
    <t>Y62876</t>
  </si>
  <si>
    <t>Y62877</t>
  </si>
  <si>
    <t>Y62878</t>
  </si>
  <si>
    <t>Y62872</t>
  </si>
  <si>
    <t>Y62875</t>
  </si>
  <si>
    <t>C220242133</t>
  </si>
  <si>
    <t>Y62879</t>
  </si>
  <si>
    <t>Y62880</t>
  </si>
  <si>
    <t>力通威(sepcial)</t>
    <phoneticPr fontId="3" type="noConversion"/>
  </si>
  <si>
    <t>Y63137</t>
  </si>
  <si>
    <t>Y63138</t>
  </si>
  <si>
    <t>C220743421</t>
  </si>
  <si>
    <t>Y63139</t>
  </si>
  <si>
    <t>Y63079</t>
  </si>
  <si>
    <t>C220542973</t>
  </si>
  <si>
    <t>Y63080</t>
  </si>
  <si>
    <t>Y63075</t>
  </si>
  <si>
    <t>前海仓库(已经清关)</t>
  </si>
  <si>
    <t>Y63076</t>
  </si>
  <si>
    <t>C220543035</t>
  </si>
  <si>
    <t>Y63077</t>
  </si>
  <si>
    <t>Y63078</t>
  </si>
  <si>
    <r>
      <t>111048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F104339</t>
    </r>
    <phoneticPr fontId="3" type="noConversion"/>
  </si>
  <si>
    <t>络鑫#03625(special)</t>
    <phoneticPr fontId="3" type="noConversion"/>
  </si>
  <si>
    <t>Y63056</t>
  </si>
  <si>
    <r>
      <t>2022/10/2,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</si>
  <si>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t>Y63057</t>
  </si>
  <si>
    <t>Y63058</t>
  </si>
  <si>
    <t>Y63059</t>
  </si>
  <si>
    <t>C200537294</t>
  </si>
  <si>
    <t>Y63060</t>
  </si>
  <si>
    <r>
      <t>111050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F104341</t>
    </r>
    <phoneticPr fontId="3" type="noConversion"/>
  </si>
  <si>
    <r>
      <rPr>
        <sz val="10"/>
        <color theme="1"/>
        <rFont val="微软雅黑"/>
        <family val="2"/>
        <charset val="134"/>
      </rPr>
      <t>朗特</t>
    </r>
    <r>
      <rPr>
        <sz val="10"/>
        <color theme="1"/>
        <rFont val="Arial"/>
        <family val="2"/>
      </rPr>
      <t>#06890(special)</t>
    </r>
    <phoneticPr fontId="3" type="noConversion"/>
  </si>
  <si>
    <t>Y63066</t>
  </si>
  <si>
    <t>Y63067</t>
  </si>
  <si>
    <t>Y63068</t>
  </si>
  <si>
    <t>Y63069</t>
  </si>
  <si>
    <t>Y63070</t>
  </si>
  <si>
    <r>
      <t>111049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F104342</t>
    </r>
    <phoneticPr fontId="3" type="noConversion"/>
  </si>
  <si>
    <t>创荣发(sepcial)</t>
    <phoneticPr fontId="3" type="noConversion"/>
  </si>
  <si>
    <t>Y63061</t>
  </si>
  <si>
    <t>Y63062</t>
  </si>
  <si>
    <t>Y63063</t>
  </si>
  <si>
    <t>Y63064</t>
  </si>
  <si>
    <t>NM,                        PO111096</t>
    <phoneticPr fontId="3" type="noConversion"/>
  </si>
  <si>
    <t>Y63065</t>
  </si>
  <si>
    <r>
      <t>111052</t>
    </r>
    <r>
      <rPr>
        <sz val="9"/>
        <color theme="1"/>
        <rFont val="宋体"/>
        <family val="2"/>
        <charset val="134"/>
      </rPr>
      <t>改49F104334</t>
    </r>
    <phoneticPr fontId="3" type="noConversion"/>
  </si>
  <si>
    <r>
      <t>Y63081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</si>
  <si>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2022/11/7,</t>
    </r>
    <r>
      <rPr>
        <sz val="10"/>
        <color theme="1"/>
        <rFont val="宋体"/>
        <family val="2"/>
        <charset val="134"/>
      </rPr>
      <t>蛇口港</t>
    </r>
    <phoneticPr fontId="3" type="noConversion"/>
  </si>
  <si>
    <r>
      <t>Y63082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</si>
  <si>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</si>
  <si>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</si>
  <si>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Y63085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</si>
  <si>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111047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F104340</t>
    </r>
    <phoneticPr fontId="3" type="noConversion"/>
  </si>
  <si>
    <t>世启纳</t>
    <phoneticPr fontId="3" type="noConversion"/>
  </si>
  <si>
    <t>Y63071</t>
  </si>
  <si>
    <t>C49XMN20221122/LYX</t>
    <phoneticPr fontId="3" type="noConversion"/>
  </si>
  <si>
    <t>福建凯思达</t>
    <phoneticPr fontId="3" type="noConversion"/>
  </si>
  <si>
    <t>已转上海客户</t>
    <phoneticPr fontId="3" type="noConversion"/>
  </si>
  <si>
    <t>Y63072</t>
    <phoneticPr fontId="3" type="noConversion"/>
  </si>
  <si>
    <t>Y63073</t>
  </si>
  <si>
    <t>Y63074</t>
  </si>
  <si>
    <r>
      <t>111054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F104337</t>
    </r>
    <phoneticPr fontId="3" type="noConversion"/>
  </si>
  <si>
    <r>
      <rPr>
        <sz val="10"/>
        <color theme="1"/>
        <rFont val="等线"/>
        <family val="2"/>
        <charset val="134"/>
      </rPr>
      <t>朗特</t>
    </r>
    <r>
      <rPr>
        <sz val="10"/>
        <color theme="1"/>
        <rFont val="Arial"/>
        <family val="2"/>
      </rPr>
      <t>#06890</t>
    </r>
    <r>
      <rPr>
        <sz val="10"/>
        <color theme="1"/>
        <rFont val="Arial"/>
        <family val="2"/>
        <charset val="134"/>
      </rPr>
      <t>(special)</t>
    </r>
    <phoneticPr fontId="3" type="noConversion"/>
  </si>
  <si>
    <t>Y63146</t>
  </si>
  <si>
    <r>
      <t>111055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F104335</t>
    </r>
    <phoneticPr fontId="3" type="noConversion"/>
  </si>
  <si>
    <r>
      <t>Y63149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</si>
  <si>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Y63152</t>
    <phoneticPr fontId="3" type="noConversion"/>
  </si>
  <si>
    <r>
      <t>111056</t>
    </r>
    <r>
      <rPr>
        <sz val="9"/>
        <color theme="1"/>
        <rFont val="宋体"/>
        <family val="2"/>
        <charset val="134"/>
      </rPr>
      <t>改49</t>
    </r>
    <r>
      <rPr>
        <sz val="9"/>
        <color theme="1"/>
        <rFont val="Arial"/>
        <family val="2"/>
      </rPr>
      <t>F104336</t>
    </r>
    <phoneticPr fontId="3" type="noConversion"/>
  </si>
  <si>
    <t>东莞铭翔(special)</t>
    <phoneticPr fontId="3" type="noConversion"/>
  </si>
  <si>
    <t>Y63517</t>
  </si>
  <si>
    <r>
      <t>#04235</t>
    </r>
    <r>
      <rPr>
        <sz val="10"/>
        <color theme="1"/>
        <rFont val="宋体"/>
        <family val="2"/>
        <charset val="134"/>
      </rPr>
      <t>博睿通(special）</t>
    </r>
    <phoneticPr fontId="3" type="noConversion"/>
  </si>
  <si>
    <t>Y63535</t>
    <phoneticPr fontId="3" type="noConversion"/>
  </si>
  <si>
    <t>Y63536</t>
    <phoneticPr fontId="3" type="noConversion"/>
  </si>
  <si>
    <r>
      <t>0.0512 PO#111049</t>
    </r>
    <r>
      <rPr>
        <sz val="8"/>
        <color theme="1"/>
        <rFont val="宋体"/>
        <family val="2"/>
        <charset val="134"/>
      </rPr>
      <t>改</t>
    </r>
    <r>
      <rPr>
        <sz val="8"/>
        <color theme="1"/>
        <rFont val="Arial"/>
        <family val="2"/>
      </rPr>
      <t>49F104342</t>
    </r>
    <phoneticPr fontId="3" type="noConversion"/>
  </si>
  <si>
    <t>Y63537</t>
    <phoneticPr fontId="3" type="noConversion"/>
  </si>
  <si>
    <t>NM coper rate 0.0501</t>
    <phoneticPr fontId="3" type="noConversion"/>
  </si>
  <si>
    <t>Y63534</t>
    <phoneticPr fontId="3" type="noConversion"/>
  </si>
  <si>
    <t>Y63531</t>
    <phoneticPr fontId="3" type="noConversion"/>
  </si>
  <si>
    <t>0.0485 PO#111020</t>
    <phoneticPr fontId="3" type="noConversion"/>
  </si>
  <si>
    <t>C230244984</t>
  </si>
  <si>
    <t>Y63532</t>
  </si>
  <si>
    <t>Y63533</t>
  </si>
  <si>
    <t>宝捷时计（special WKK-IND)</t>
    <phoneticPr fontId="3" type="noConversion"/>
  </si>
  <si>
    <t>Y63526</t>
  </si>
  <si>
    <t>码头</t>
  </si>
  <si>
    <t>C221044011</t>
    <phoneticPr fontId="3" type="noConversion"/>
  </si>
  <si>
    <t>cATS30+MVC+Feeder Carriage</t>
  </si>
  <si>
    <t>Y63527</t>
  </si>
  <si>
    <t xml:space="preserve"> #18542斯迈(Special）</t>
    <phoneticPr fontId="3" type="noConversion"/>
  </si>
  <si>
    <t>Y63521</t>
  </si>
  <si>
    <t>Y63522</t>
  </si>
  <si>
    <t>Y63523</t>
  </si>
  <si>
    <t>Y63524</t>
  </si>
  <si>
    <r>
      <t>0.0527,RMB</t>
    </r>
    <r>
      <rPr>
        <sz val="8"/>
        <color theme="1"/>
        <rFont val="宋体"/>
        <family val="2"/>
        <charset val="134"/>
      </rPr>
      <t>清关,</t>
    </r>
    <r>
      <rPr>
        <sz val="8"/>
        <color theme="1"/>
        <rFont val="Arial"/>
        <family val="2"/>
      </rPr>
      <t>PO110932</t>
    </r>
    <phoneticPr fontId="3" type="noConversion"/>
  </si>
  <si>
    <t>28L104351</t>
    <phoneticPr fontId="3" type="noConversion"/>
  </si>
  <si>
    <t>上海下单STK</t>
    <phoneticPr fontId="3" type="noConversion"/>
  </si>
  <si>
    <t>Y63515</t>
    <phoneticPr fontId="3" type="noConversion"/>
  </si>
  <si>
    <r>
      <t>2022-10-24,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</si>
  <si>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t>Y63516</t>
    <phoneticPr fontId="3" type="noConversion"/>
  </si>
  <si>
    <r>
      <rPr>
        <sz val="10"/>
        <color theme="1"/>
        <rFont val="宋体"/>
        <family val="2"/>
        <charset val="134"/>
      </rPr>
      <t>留给上海做</t>
    </r>
    <r>
      <rPr>
        <sz val="10"/>
        <color theme="1"/>
        <rFont val="Arial"/>
        <family val="2"/>
      </rPr>
      <t>STK</t>
    </r>
    <r>
      <rPr>
        <sz val="10"/>
        <color theme="1"/>
        <rFont val="宋体"/>
        <family val="2"/>
        <charset val="134"/>
      </rPr>
      <t>，有客户要</t>
    </r>
    <phoneticPr fontId="3" type="noConversion"/>
  </si>
  <si>
    <t>Ysi-V</t>
    <phoneticPr fontId="3" type="noConversion"/>
  </si>
  <si>
    <t>L-R</t>
    <phoneticPr fontId="3" type="noConversion"/>
  </si>
  <si>
    <t>OK</t>
    <phoneticPr fontId="3" type="noConversion"/>
  </si>
  <si>
    <r>
      <rPr>
        <sz val="10"/>
        <color theme="1"/>
        <rFont val="宋体"/>
        <family val="2"/>
        <charset val="134"/>
      </rPr>
      <t>上海</t>
    </r>
    <r>
      <rPr>
        <sz val="10"/>
        <color theme="1"/>
        <rFont val="Arial"/>
        <family val="2"/>
      </rPr>
      <t>STK</t>
    </r>
    <phoneticPr fontId="3" type="noConversion"/>
  </si>
  <si>
    <t>49F104436</t>
    <phoneticPr fontId="3" type="noConversion"/>
  </si>
  <si>
    <t>Y58301</t>
  </si>
  <si>
    <t>Y58699</t>
    <phoneticPr fontId="3" type="noConversion"/>
  </si>
  <si>
    <t>Y58700</t>
    <phoneticPr fontId="3" type="noConversion"/>
  </si>
  <si>
    <t>创荣发(Special）</t>
    <phoneticPr fontId="3" type="noConversion"/>
  </si>
  <si>
    <t>Y64062</t>
  </si>
  <si>
    <t>Y64064</t>
  </si>
  <si>
    <t>Y64061</t>
  </si>
  <si>
    <t>Y64063</t>
  </si>
  <si>
    <t>Y64065</t>
  </si>
  <si>
    <t>Y64012</t>
  </si>
  <si>
    <t>Y64013</t>
  </si>
  <si>
    <t>Y63997</t>
  </si>
  <si>
    <t>Y64079</t>
  </si>
  <si>
    <t>Y64010</t>
  </si>
  <si>
    <t>倍斯特</t>
    <phoneticPr fontId="3" type="noConversion"/>
  </si>
  <si>
    <t>Y64060</t>
  </si>
  <si>
    <t>倍斯特(Special）</t>
    <phoneticPr fontId="3" type="noConversion"/>
  </si>
  <si>
    <t>Y64059</t>
  </si>
  <si>
    <t>新明海</t>
    <phoneticPr fontId="3" type="noConversion"/>
  </si>
  <si>
    <t>Y64011</t>
  </si>
  <si>
    <t>Y64053</t>
  </si>
  <si>
    <t>Y64054</t>
  </si>
  <si>
    <t>Y64055</t>
  </si>
  <si>
    <t>Y64056</t>
  </si>
  <si>
    <t>锐诚电子</t>
    <phoneticPr fontId="3" type="noConversion"/>
  </si>
  <si>
    <t>Y63986</t>
  </si>
  <si>
    <t>Y64080</t>
  </si>
  <si>
    <t>Y64002</t>
  </si>
  <si>
    <t>Y64003</t>
  </si>
  <si>
    <t>海红天远</t>
    <phoneticPr fontId="3" type="noConversion"/>
  </si>
  <si>
    <t>Y64550</t>
  </si>
  <si>
    <t>Y64551</t>
  </si>
  <si>
    <t>Y64552</t>
  </si>
  <si>
    <t>雷特名义</t>
    <phoneticPr fontId="3" type="noConversion"/>
  </si>
  <si>
    <t>耕创名义下单</t>
    <phoneticPr fontId="3" type="noConversion"/>
  </si>
  <si>
    <t>SZ Longda</t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</si>
  <si>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</si>
  <si>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</si>
  <si>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</si>
  <si>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</si>
  <si>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</si>
  <si>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</si>
  <si>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</si>
  <si>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</si>
  <si>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</si>
  <si>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</si>
  <si>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</si>
  <si>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</si>
  <si>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</si>
  <si>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</si>
  <si>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</si>
  <si>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</si>
  <si>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</si>
  <si>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</si>
  <si>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</si>
  <si>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</si>
  <si>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</si>
  <si>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</si>
  <si>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</si>
  <si>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</si>
  <si>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</si>
  <si>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</si>
  <si>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</si>
  <si>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</si>
  <si>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</si>
  <si>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</si>
  <si>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</si>
  <si>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</si>
  <si>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</si>
  <si>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</si>
  <si>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</si>
  <si>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</si>
  <si>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</si>
  <si>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</si>
  <si>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</si>
  <si>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</si>
  <si>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</si>
  <si>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</si>
  <si>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</si>
  <si>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</si>
  <si>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</si>
  <si>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</si>
  <si>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</si>
  <si>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</si>
  <si>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</si>
  <si>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</si>
  <si>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</si>
  <si>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</si>
  <si>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</si>
  <si>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</si>
  <si>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</si>
  <si>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</si>
  <si>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</si>
  <si>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</si>
  <si>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</si>
  <si>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</si>
  <si>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</si>
  <si>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</si>
  <si>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</si>
  <si>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</si>
  <si>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</si>
  <si>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</si>
  <si>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</si>
  <si>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</si>
  <si>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</si>
  <si>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</si>
  <si>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</si>
  <si>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</si>
  <si>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</si>
  <si>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</si>
  <si>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</si>
  <si>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</si>
  <si>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</si>
  <si>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</si>
  <si>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</si>
  <si>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</si>
  <si>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</si>
  <si>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</si>
  <si>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</si>
  <si>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</si>
  <si>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</si>
  <si>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</si>
  <si>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</si>
  <si>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</si>
  <si>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</si>
  <si>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</si>
  <si>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</si>
  <si>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</si>
  <si>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</si>
  <si>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</si>
  <si>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</si>
  <si>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</si>
  <si>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</si>
  <si>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</si>
  <si>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</si>
  <si>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</si>
  <si>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</si>
  <si>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</si>
  <si>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</si>
  <si>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</si>
  <si>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</si>
  <si>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</si>
  <si>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</si>
  <si>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</si>
  <si>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香港仓库</t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</si>
  <si>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</si>
  <si>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</si>
  <si>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</si>
  <si>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</si>
  <si>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</si>
  <si>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</si>
  <si>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</si>
  <si>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</si>
  <si>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</si>
  <si>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</si>
  <si>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</si>
  <si>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</si>
  <si>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</si>
  <si>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</si>
  <si>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</si>
  <si>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</si>
  <si>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</si>
  <si>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</si>
  <si>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</si>
  <si>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</si>
  <si>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</si>
  <si>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</si>
  <si>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</si>
  <si>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</si>
  <si>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</si>
  <si>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</si>
  <si>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</si>
  <si>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</si>
  <si>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</si>
  <si>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</si>
  <si>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</si>
  <si>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</si>
  <si>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</si>
  <si>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</si>
  <si>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</si>
  <si>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</si>
  <si>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</si>
  <si>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</si>
  <si>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</si>
  <si>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</si>
  <si>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</si>
  <si>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</si>
  <si>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</si>
  <si>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</si>
  <si>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</si>
  <si>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</si>
  <si>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</si>
  <si>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</si>
  <si>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</si>
  <si>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</si>
  <si>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</si>
  <si>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</si>
  <si>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</si>
  <si>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</si>
  <si>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</si>
  <si>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</si>
  <si>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</si>
  <si>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</si>
  <si>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</si>
  <si>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</si>
  <si>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</si>
  <si>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</si>
  <si>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</si>
  <si>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</si>
  <si>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</si>
  <si>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</si>
  <si>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</si>
  <si>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</si>
  <si>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</si>
  <si>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</si>
  <si>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</si>
  <si>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</si>
  <si>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</si>
  <si>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</si>
  <si>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</si>
  <si>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</si>
  <si>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</si>
  <si>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</si>
  <si>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</si>
  <si>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</si>
  <si>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</si>
  <si>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</si>
  <si>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</si>
  <si>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</si>
  <si>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</si>
  <si>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</si>
  <si>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</si>
  <si>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</si>
  <si>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</si>
  <si>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</si>
  <si>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</si>
  <si>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</si>
  <si>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</si>
  <si>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</si>
  <si>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</si>
  <si>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</si>
  <si>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</si>
  <si>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</si>
  <si>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</si>
  <si>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</si>
  <si>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</si>
  <si>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</si>
  <si>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</si>
  <si>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</si>
  <si>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</si>
  <si>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</si>
  <si>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</si>
  <si>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</si>
  <si>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</si>
  <si>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</si>
  <si>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</si>
  <si>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</si>
  <si>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</si>
  <si>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</si>
  <si>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</si>
  <si>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</si>
  <si>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</si>
  <si>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</si>
  <si>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</si>
  <si>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</si>
  <si>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</si>
  <si>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</si>
  <si>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</si>
  <si>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</si>
  <si>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</si>
  <si>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</si>
  <si>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</si>
  <si>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</si>
  <si>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</si>
  <si>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</si>
  <si>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</si>
  <si>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</si>
  <si>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</si>
  <si>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</si>
  <si>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</si>
  <si>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</si>
  <si>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</si>
  <si>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</si>
  <si>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</si>
  <si>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</si>
  <si>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</si>
  <si>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</si>
  <si>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</si>
  <si>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</si>
  <si>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</si>
  <si>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</si>
  <si>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</si>
  <si>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</si>
  <si>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</si>
  <si>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</si>
  <si>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</si>
  <si>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</si>
  <si>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</si>
  <si>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</si>
  <si>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</si>
  <si>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</si>
  <si>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</si>
  <si>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</si>
  <si>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</si>
  <si>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</si>
  <si>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</si>
  <si>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</si>
  <si>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</si>
  <si>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</si>
  <si>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</si>
  <si>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</si>
  <si>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</si>
  <si>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</si>
  <si>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</si>
  <si>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</si>
  <si>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</si>
  <si>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</si>
  <si>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</si>
  <si>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</si>
  <si>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</si>
  <si>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</si>
  <si>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</si>
  <si>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</si>
  <si>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</si>
  <si>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</si>
  <si>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</si>
  <si>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</si>
  <si>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</si>
  <si>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</si>
  <si>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</si>
  <si>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</si>
  <si>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</si>
  <si>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</si>
  <si>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</si>
  <si>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</si>
  <si>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</si>
  <si>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</si>
  <si>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</si>
  <si>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</si>
  <si>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</si>
  <si>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</si>
  <si>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</si>
  <si>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</si>
  <si>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</si>
  <si>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</si>
  <si>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</si>
  <si>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</si>
  <si>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</si>
  <si>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</si>
  <si>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</si>
  <si>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</si>
  <si>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</si>
  <si>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</si>
  <si>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</si>
  <si>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</si>
  <si>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</si>
  <si>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</si>
  <si>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</si>
  <si>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</si>
  <si>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</si>
  <si>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</si>
  <si>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</si>
  <si>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</si>
  <si>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</si>
  <si>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</si>
  <si>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</si>
  <si>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</si>
  <si>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</si>
  <si>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</si>
  <si>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</si>
  <si>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</si>
  <si>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</si>
  <si>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</si>
  <si>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</si>
  <si>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</si>
  <si>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</si>
  <si>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</si>
  <si>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</si>
  <si>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</si>
  <si>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</si>
  <si>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</si>
  <si>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</si>
  <si>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</si>
  <si>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</si>
  <si>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</si>
  <si>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</si>
  <si>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</si>
  <si>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</si>
  <si>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</si>
  <si>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</si>
  <si>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</si>
  <si>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</si>
  <si>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</si>
  <si>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</si>
  <si>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</si>
  <si>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</si>
  <si>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</si>
  <si>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</si>
  <si>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</si>
  <si>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</si>
  <si>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</si>
  <si>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</si>
  <si>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</si>
  <si>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</si>
  <si>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</si>
  <si>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</si>
  <si>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</si>
  <si>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</si>
  <si>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</si>
  <si>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</si>
  <si>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</si>
  <si>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</si>
  <si>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</si>
  <si>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</si>
  <si>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</si>
  <si>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</si>
  <si>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</si>
  <si>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</si>
  <si>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</si>
  <si>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</si>
  <si>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</si>
  <si>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</si>
  <si>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</si>
  <si>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</si>
  <si>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</si>
  <si>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</si>
  <si>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</si>
  <si>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</si>
  <si>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</si>
  <si>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</si>
  <si>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</si>
  <si>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</si>
  <si>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</si>
  <si>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</si>
  <si>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</si>
  <si>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</si>
  <si>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</si>
  <si>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</si>
  <si>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</si>
  <si>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</si>
  <si>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</si>
  <si>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</si>
  <si>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</si>
  <si>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</si>
  <si>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</si>
  <si>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</si>
  <si>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</si>
  <si>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</si>
  <si>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</si>
  <si>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</si>
  <si>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</si>
  <si>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</si>
  <si>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</si>
  <si>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</si>
  <si>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</si>
  <si>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</si>
  <si>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</si>
  <si>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</si>
  <si>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</si>
  <si>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</si>
  <si>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</si>
  <si>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</si>
  <si>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</si>
  <si>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</si>
  <si>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</si>
  <si>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</si>
  <si>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</si>
  <si>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</si>
  <si>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</si>
  <si>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</si>
  <si>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</si>
  <si>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</si>
  <si>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</si>
  <si>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</si>
  <si>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</si>
  <si>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</si>
  <si>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</si>
  <si>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</si>
  <si>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</si>
  <si>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</si>
  <si>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</si>
  <si>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</si>
  <si>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</si>
  <si>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</si>
  <si>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</si>
  <si>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</si>
  <si>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</si>
  <si>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</si>
  <si>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</si>
  <si>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</si>
  <si>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</si>
  <si>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</si>
  <si>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</si>
  <si>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</si>
  <si>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</si>
  <si>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</si>
  <si>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</si>
  <si>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</si>
  <si>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</si>
  <si>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</si>
  <si>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</si>
  <si>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</si>
  <si>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</si>
  <si>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</si>
  <si>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</si>
  <si>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</si>
  <si>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</si>
  <si>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</si>
  <si>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</si>
  <si>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</si>
  <si>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</si>
  <si>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</si>
  <si>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</si>
  <si>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</si>
  <si>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</si>
  <si>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</si>
  <si>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</si>
  <si>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</si>
  <si>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</si>
  <si>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</si>
  <si>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</si>
  <si>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</si>
  <si>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</si>
  <si>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</si>
  <si>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</si>
  <si>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</si>
  <si>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</si>
  <si>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</si>
  <si>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</si>
  <si>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</si>
  <si>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</si>
  <si>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</si>
  <si>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</si>
  <si>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</si>
  <si>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</si>
  <si>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</si>
  <si>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</si>
  <si>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</si>
  <si>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</si>
  <si>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</si>
  <si>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</si>
  <si>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</si>
  <si>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</si>
  <si>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</si>
  <si>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</si>
  <si>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</si>
  <si>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</si>
  <si>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</si>
  <si>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</si>
  <si>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</si>
  <si>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</si>
  <si>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</si>
  <si>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</si>
  <si>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</si>
  <si>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</si>
  <si>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</si>
  <si>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</si>
  <si>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</si>
  <si>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</si>
  <si>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</si>
  <si>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</si>
  <si>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</si>
  <si>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</si>
  <si>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</si>
  <si>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</si>
  <si>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</si>
  <si>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</si>
  <si>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</si>
  <si>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</si>
  <si>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</si>
  <si>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</si>
  <si>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</si>
  <si>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</si>
  <si>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</si>
  <si>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</si>
  <si>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</si>
  <si>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</si>
  <si>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</si>
  <si>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</si>
  <si>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</si>
  <si>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</si>
  <si>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</si>
  <si>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</si>
  <si>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</si>
  <si>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</si>
  <si>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</si>
  <si>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</si>
  <si>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</si>
  <si>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</si>
  <si>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</si>
  <si>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</si>
  <si>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</si>
  <si>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</si>
  <si>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</si>
  <si>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</si>
  <si>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</si>
  <si>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</si>
  <si>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</si>
  <si>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</si>
  <si>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</si>
  <si>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</si>
  <si>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</si>
  <si>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</si>
  <si>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</si>
  <si>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</si>
  <si>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</si>
  <si>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</si>
  <si>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</si>
  <si>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</si>
  <si>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</si>
  <si>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</si>
  <si>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</si>
  <si>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</si>
  <si>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</si>
  <si>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</si>
  <si>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</si>
  <si>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</si>
  <si>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</si>
  <si>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</si>
  <si>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</si>
  <si>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</si>
  <si>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</si>
  <si>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</si>
  <si>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</si>
  <si>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</si>
  <si>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</si>
  <si>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</si>
  <si>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</si>
  <si>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</si>
  <si>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</si>
  <si>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</si>
  <si>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</si>
  <si>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</si>
  <si>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</si>
  <si>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</si>
  <si>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</si>
  <si>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</si>
  <si>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</si>
  <si>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</si>
  <si>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</si>
  <si>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</si>
  <si>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</si>
  <si>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</si>
  <si>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</si>
  <si>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</si>
  <si>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</si>
  <si>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</si>
  <si>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</si>
  <si>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</si>
  <si>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</si>
  <si>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</si>
  <si>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</si>
  <si>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</si>
  <si>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</si>
  <si>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</si>
  <si>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</si>
  <si>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</si>
  <si>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</si>
  <si>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</si>
  <si>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</si>
  <si>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</si>
  <si>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</si>
  <si>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</si>
  <si>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</si>
  <si>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</si>
  <si>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</si>
  <si>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</si>
  <si>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</si>
  <si>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</si>
  <si>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</si>
  <si>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</si>
  <si>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</si>
  <si>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</si>
  <si>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</si>
  <si>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</si>
  <si>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</si>
  <si>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</si>
  <si>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</si>
  <si>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</si>
  <si>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</si>
  <si>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</si>
  <si>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</si>
  <si>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</si>
  <si>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</si>
  <si>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</si>
  <si>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</si>
  <si>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</si>
  <si>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</si>
  <si>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</si>
  <si>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</si>
  <si>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</si>
  <si>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</si>
  <si>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</si>
  <si>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</si>
  <si>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</si>
  <si>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</si>
  <si>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</si>
  <si>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</si>
  <si>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</si>
  <si>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</si>
  <si>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</si>
  <si>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</si>
  <si>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</si>
  <si>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</si>
  <si>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</si>
  <si>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</si>
  <si>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</si>
  <si>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</si>
  <si>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</si>
  <si>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</si>
  <si>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</si>
  <si>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</si>
  <si>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</si>
  <si>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</si>
  <si>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</si>
  <si>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</si>
  <si>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</si>
  <si>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</si>
  <si>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</si>
  <si>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</si>
  <si>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</si>
  <si>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</si>
  <si>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</si>
  <si>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</si>
  <si>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</si>
  <si>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</si>
  <si>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</si>
  <si>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</si>
  <si>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</si>
  <si>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</si>
  <si>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</si>
  <si>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</si>
  <si>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</si>
  <si>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</si>
  <si>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</si>
  <si>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</si>
  <si>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</si>
  <si>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</si>
  <si>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</si>
  <si>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</si>
  <si>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</si>
  <si>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</si>
  <si>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</si>
  <si>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</si>
  <si>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</si>
  <si>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</si>
  <si>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</si>
  <si>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</si>
  <si>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</si>
  <si>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</si>
  <si>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</si>
  <si>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</si>
  <si>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</si>
  <si>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</si>
  <si>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</si>
  <si>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</si>
  <si>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</si>
  <si>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</si>
  <si>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</si>
  <si>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</si>
  <si>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</si>
  <si>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</si>
  <si>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</si>
  <si>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</si>
  <si>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</si>
  <si>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</si>
  <si>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</si>
  <si>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</si>
  <si>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</si>
  <si>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</si>
  <si>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</si>
  <si>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</si>
  <si>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</si>
  <si>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</si>
  <si>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</si>
  <si>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</si>
  <si>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</si>
  <si>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</si>
  <si>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</si>
  <si>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</si>
  <si>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</si>
  <si>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</si>
  <si>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</si>
  <si>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</si>
  <si>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</si>
  <si>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</si>
  <si>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</si>
  <si>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</si>
  <si>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</si>
  <si>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</si>
  <si>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</si>
  <si>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</si>
  <si>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</si>
  <si>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</si>
  <si>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</si>
  <si>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</si>
  <si>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</si>
  <si>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</si>
  <si>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</si>
  <si>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</si>
  <si>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</si>
  <si>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</si>
  <si>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</si>
  <si>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</si>
  <si>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</si>
  <si>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</si>
  <si>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</si>
  <si>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</si>
  <si>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</si>
  <si>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</si>
  <si>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</si>
  <si>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</si>
  <si>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</si>
  <si>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</si>
  <si>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</si>
  <si>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</si>
  <si>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</si>
  <si>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</si>
  <si>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</si>
  <si>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</si>
  <si>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</si>
  <si>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</si>
  <si>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</si>
  <si>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</si>
  <si>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</si>
  <si>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</si>
  <si>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</si>
  <si>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</si>
  <si>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</si>
  <si>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</si>
  <si>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</si>
  <si>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</si>
  <si>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</si>
  <si>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</si>
  <si>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</si>
  <si>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</si>
  <si>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</si>
  <si>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</si>
  <si>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</si>
  <si>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</si>
  <si>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</si>
  <si>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</si>
  <si>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</si>
  <si>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</si>
  <si>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</si>
  <si>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</si>
  <si>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</si>
  <si>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</si>
  <si>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</si>
  <si>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</si>
  <si>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</si>
  <si>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</si>
  <si>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</si>
  <si>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</si>
  <si>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</si>
  <si>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</si>
  <si>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</si>
  <si>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</si>
  <si>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</si>
  <si>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</si>
  <si>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</si>
  <si>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</si>
  <si>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</si>
  <si>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</si>
  <si>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</si>
  <si>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</si>
  <si>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</si>
  <si>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</si>
  <si>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</si>
  <si>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</si>
  <si>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</si>
  <si>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</si>
  <si>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</si>
  <si>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</si>
  <si>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</si>
  <si>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</si>
  <si>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</si>
  <si>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</si>
  <si>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</si>
  <si>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</si>
  <si>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</si>
  <si>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</si>
  <si>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</si>
  <si>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</si>
  <si>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</si>
  <si>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</si>
  <si>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</si>
  <si>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</si>
  <si>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</si>
  <si>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</si>
  <si>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</si>
  <si>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</si>
  <si>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</si>
  <si>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</si>
  <si>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</si>
  <si>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</si>
  <si>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</si>
  <si>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</si>
  <si>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</si>
  <si>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</si>
  <si>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</si>
  <si>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</si>
  <si>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</si>
  <si>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</si>
  <si>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</si>
  <si>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</si>
  <si>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</si>
  <si>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</si>
  <si>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</si>
  <si>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</si>
  <si>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</si>
  <si>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</si>
  <si>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</si>
  <si>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</si>
  <si>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</si>
  <si>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</si>
  <si>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</si>
  <si>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</si>
  <si>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</si>
  <si>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</si>
  <si>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</si>
  <si>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</si>
  <si>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</si>
  <si>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</si>
  <si>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</si>
  <si>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</si>
  <si>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</si>
  <si>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</si>
  <si>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</si>
  <si>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</si>
  <si>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</si>
  <si>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</si>
  <si>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</si>
  <si>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</si>
  <si>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</si>
  <si>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</si>
  <si>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</si>
  <si>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</si>
  <si>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</si>
  <si>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</si>
  <si>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</si>
  <si>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</si>
  <si>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</si>
  <si>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</si>
  <si>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</si>
  <si>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</si>
  <si>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</si>
  <si>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</si>
  <si>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</si>
  <si>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</si>
  <si>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</si>
  <si>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</si>
  <si>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</si>
  <si>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</si>
  <si>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</si>
  <si>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</si>
  <si>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</si>
  <si>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</si>
  <si>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</si>
  <si>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</si>
  <si>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</si>
  <si>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</si>
  <si>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</si>
  <si>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</si>
  <si>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</si>
  <si>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</si>
  <si>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</si>
  <si>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</si>
  <si>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</si>
  <si>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</si>
  <si>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</si>
  <si>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</si>
  <si>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</si>
  <si>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</si>
  <si>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</si>
  <si>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</si>
  <si>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</si>
  <si>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</si>
  <si>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</si>
  <si>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</si>
  <si>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</si>
  <si>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</si>
  <si>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</si>
  <si>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</si>
  <si>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</si>
  <si>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</si>
  <si>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</si>
  <si>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</si>
  <si>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</si>
  <si>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</si>
  <si>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</si>
  <si>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</si>
  <si>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</si>
  <si>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</si>
  <si>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</si>
  <si>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</si>
  <si>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</si>
  <si>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</si>
  <si>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</si>
  <si>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</si>
  <si>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</si>
  <si>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</si>
  <si>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</si>
  <si>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</si>
  <si>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</si>
  <si>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</si>
  <si>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</si>
  <si>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</si>
  <si>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</si>
  <si>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</si>
  <si>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</si>
  <si>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</si>
  <si>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</si>
  <si>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</si>
  <si>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</si>
  <si>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5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</si>
  <si>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</si>
  <si>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5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</si>
  <si>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</si>
  <si>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</si>
  <si>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</si>
  <si>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</si>
  <si>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5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</si>
  <si>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</si>
  <si>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</si>
  <si>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</si>
  <si>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</si>
  <si>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</si>
  <si>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</si>
  <si>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</si>
  <si>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</si>
  <si>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</si>
  <si>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</si>
  <si>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</si>
  <si>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</si>
  <si>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</si>
  <si>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</si>
  <si>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</si>
  <si>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</si>
  <si>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</si>
  <si>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</si>
  <si>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</si>
  <si>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</si>
  <si>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</si>
  <si>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</si>
  <si>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</si>
  <si>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</si>
  <si>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</si>
  <si>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</si>
  <si>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</si>
  <si>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</si>
  <si>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</si>
  <si>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</si>
  <si>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</si>
  <si>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</si>
  <si>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</si>
  <si>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</si>
  <si>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</si>
  <si>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</si>
  <si>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</si>
  <si>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</si>
  <si>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</si>
  <si>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</si>
  <si>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</si>
  <si>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</si>
  <si>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</si>
  <si>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</si>
  <si>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</si>
  <si>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</si>
  <si>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</si>
  <si>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</si>
  <si>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</si>
  <si>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</si>
  <si>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</si>
  <si>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</si>
  <si>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</si>
  <si>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</si>
  <si>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</si>
  <si>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</si>
  <si>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</si>
  <si>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</si>
  <si>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</si>
  <si>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</si>
  <si>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</si>
  <si>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</si>
  <si>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</si>
  <si>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</si>
  <si>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</si>
  <si>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</si>
  <si>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</si>
  <si>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</si>
  <si>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</si>
  <si>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</si>
  <si>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</si>
  <si>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</si>
  <si>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</si>
  <si>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</si>
  <si>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</si>
  <si>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</si>
  <si>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</si>
  <si>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</si>
  <si>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</si>
  <si>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</si>
  <si>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</si>
  <si>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</si>
  <si>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</si>
  <si>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</si>
  <si>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</si>
  <si>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</si>
  <si>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</si>
  <si>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</si>
  <si>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</si>
  <si>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</si>
  <si>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</si>
  <si>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</si>
  <si>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</si>
  <si>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</si>
  <si>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</si>
  <si>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</si>
  <si>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</si>
  <si>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</si>
  <si>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</si>
  <si>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</si>
  <si>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</si>
  <si>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</si>
  <si>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</si>
  <si>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</si>
  <si>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</si>
  <si>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</si>
  <si>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</si>
  <si>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</si>
  <si>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</si>
  <si>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</si>
  <si>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</si>
  <si>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</si>
  <si>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</si>
  <si>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</si>
  <si>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</si>
  <si>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</si>
  <si>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</si>
  <si>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</si>
  <si>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</si>
  <si>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</si>
  <si>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</si>
  <si>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</si>
  <si>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</si>
  <si>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</si>
  <si>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</si>
  <si>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</si>
  <si>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</si>
  <si>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</si>
  <si>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</si>
  <si>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</si>
  <si>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</si>
  <si>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</si>
  <si>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</si>
  <si>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</si>
  <si>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</si>
  <si>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</si>
  <si>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</si>
  <si>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</si>
  <si>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</si>
  <si>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</si>
  <si>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</si>
  <si>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</si>
  <si>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</si>
  <si>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</si>
  <si>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</si>
  <si>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</si>
  <si>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t>66A</t>
    <phoneticPr fontId="3" type="noConversion"/>
  </si>
  <si>
    <t>RMB</t>
    <phoneticPr fontId="3" type="noConversion"/>
  </si>
  <si>
    <t>Yes</t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</si>
  <si>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</si>
  <si>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</si>
  <si>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</si>
  <si>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</si>
  <si>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</si>
  <si>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</si>
  <si>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t>TBA</t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</si>
  <si>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</si>
  <si>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</si>
  <si>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</si>
  <si>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</si>
  <si>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buffer</t>
    <phoneticPr fontId="3" type="noConversion"/>
  </si>
  <si>
    <t>NOV 23</t>
    <phoneticPr fontId="3" type="noConversion"/>
  </si>
  <si>
    <t>DEC 23</t>
    <phoneticPr fontId="3" type="noConversion"/>
  </si>
  <si>
    <t>有交期</t>
    <phoneticPr fontId="3" type="noConversion"/>
  </si>
  <si>
    <t>TBA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</si>
  <si>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</si>
  <si>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</si>
  <si>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</si>
  <si>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</si>
  <si>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</si>
  <si>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</si>
  <si>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</si>
  <si>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</si>
  <si>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</si>
  <si>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</si>
  <si>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</si>
  <si>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</si>
  <si>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Total</t>
    <phoneticPr fontId="3" type="noConversion"/>
  </si>
  <si>
    <t>Y64933</t>
  </si>
  <si>
    <t>Y65176</t>
  </si>
  <si>
    <t>Y65177</t>
  </si>
  <si>
    <t>Y65178</t>
  </si>
  <si>
    <t>Y65179</t>
  </si>
  <si>
    <t>C230345279</t>
  </si>
  <si>
    <t>Y62562</t>
    <phoneticPr fontId="3" type="noConversion"/>
  </si>
  <si>
    <t>C230345258</t>
  </si>
  <si>
    <t>C230345120</t>
  </si>
  <si>
    <t>NM, Coper rate 0.0530 PO#111134</t>
    <phoneticPr fontId="3" type="noConversion"/>
  </si>
  <si>
    <t xml:space="preserve">NM,Coper rate 0.0530 </t>
    <phoneticPr fontId="3" type="noConversion"/>
  </si>
  <si>
    <t>NM,Coper rate 0.0530 PO#111134</t>
    <phoneticPr fontId="3" type="noConversion"/>
  </si>
  <si>
    <t>NM,Coper rate 0.0501 PO#111096</t>
    <phoneticPr fontId="3" type="noConversion"/>
  </si>
  <si>
    <t>JPY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</si>
  <si>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</si>
  <si>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C170128496</t>
  </si>
  <si>
    <t>C230445648</t>
  </si>
  <si>
    <t>2023-4-18清关</t>
    <phoneticPr fontId="3" type="noConversion"/>
  </si>
  <si>
    <t>C221144409</t>
  </si>
  <si>
    <t>C230345373</t>
    <phoneticPr fontId="3" type="noConversion"/>
  </si>
  <si>
    <t>NM coper rate 0.0501,PO#111096</t>
    <phoneticPr fontId="3" type="noConversion"/>
  </si>
  <si>
    <t>NM,Coper rate 0.0530 PO#111131</t>
    <phoneticPr fontId="3" type="noConversion"/>
  </si>
  <si>
    <t>Y63145</t>
    <phoneticPr fontId="3" type="noConversion"/>
  </si>
  <si>
    <r>
      <t xml:space="preserve"> 0.0502</t>
    </r>
    <r>
      <rPr>
        <sz val="8"/>
        <color theme="1"/>
        <rFont val="宋体"/>
        <family val="2"/>
        <charset val="134"/>
      </rPr>
      <t>，</t>
    </r>
    <r>
      <rPr>
        <sz val="8"/>
        <color theme="1"/>
        <rFont val="Arial"/>
        <family val="2"/>
      </rPr>
      <t>RMB</t>
    </r>
    <r>
      <rPr>
        <sz val="8"/>
        <color theme="1"/>
        <rFont val="宋体"/>
        <family val="2"/>
        <charset val="134"/>
      </rPr>
      <t>清关</t>
    </r>
    <r>
      <rPr>
        <sz val="8"/>
        <color theme="1"/>
        <rFont val="Arial"/>
        <family val="2"/>
      </rPr>
      <t xml:space="preserve"> </t>
    </r>
    <phoneticPr fontId="3" type="noConversion"/>
  </si>
  <si>
    <r>
      <t>0.0527,RMB</t>
    </r>
    <r>
      <rPr>
        <sz val="8"/>
        <color theme="1"/>
        <rFont val="宋体"/>
        <family val="2"/>
        <charset val="134"/>
      </rPr>
      <t>清关,</t>
    </r>
    <phoneticPr fontId="3" type="noConversion"/>
  </si>
  <si>
    <t>0.0512 ,</t>
    <phoneticPr fontId="3" type="noConversion"/>
  </si>
  <si>
    <t>NM,</t>
    <phoneticPr fontId="3" type="noConversion"/>
  </si>
  <si>
    <r>
      <t>111277(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PO111305)</t>
    </r>
    <phoneticPr fontId="3" type="noConversion"/>
  </si>
  <si>
    <r>
      <t>111278(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PO111304)</t>
    </r>
    <phoneticPr fontId="3" type="noConversion"/>
  </si>
  <si>
    <t>宁夏隆基宁光仪表股份有限公司</t>
  </si>
  <si>
    <t>66F</t>
    <phoneticPr fontId="3" type="noConversion"/>
  </si>
  <si>
    <t>RMB</t>
    <phoneticPr fontId="3" type="noConversion"/>
  </si>
  <si>
    <t>66F(service)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</si>
  <si>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</si>
  <si>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</si>
  <si>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t>JPY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</si>
  <si>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</si>
  <si>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</si>
  <si>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Y65157</t>
  </si>
  <si>
    <t>Y65158</t>
  </si>
  <si>
    <t>Y65159</t>
  </si>
  <si>
    <t>Y65160</t>
  </si>
  <si>
    <t>Y65161</t>
  </si>
  <si>
    <t>Y65163</t>
  </si>
  <si>
    <t>Y65164</t>
  </si>
  <si>
    <t>Y65165</t>
  </si>
  <si>
    <t>Y65376</t>
  </si>
  <si>
    <t>Y65377</t>
  </si>
  <si>
    <t>Y60261</t>
  </si>
  <si>
    <t>Y60940</t>
  </si>
  <si>
    <t>Y61086</t>
  </si>
  <si>
    <t>Y62075</t>
  </si>
  <si>
    <t>Y62432</t>
  </si>
  <si>
    <r>
      <t>49A104191(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</si>
  <si>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r>
      <t>49A104204(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</si>
  <si>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49A104234(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</si>
  <si>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49A104251(</t>
    </r>
    <r>
      <rPr>
        <sz val="9"/>
        <color theme="1"/>
        <rFont val="宋体"/>
        <family val="2"/>
        <charset val="134"/>
      </rPr>
      <t>北京单采购</t>
    </r>
    <r>
      <rPr>
        <sz val="9"/>
        <color theme="1"/>
        <rFont val="Arial"/>
        <family val="2"/>
      </rPr>
      <t>)</t>
    </r>
    <phoneticPr fontId="3" type="noConversion"/>
  </si>
  <si>
    <r>
      <t>49A104149(</t>
    </r>
    <r>
      <rPr>
        <sz val="9"/>
        <color theme="1"/>
        <rFont val="宋体"/>
        <family val="2"/>
        <charset val="134"/>
      </rPr>
      <t>北京单采购)</t>
    </r>
    <phoneticPr fontId="3" type="noConversion"/>
  </si>
  <si>
    <t>平均价</t>
    <phoneticPr fontId="3" type="noConversion"/>
  </si>
  <si>
    <t>C230445790</t>
  </si>
  <si>
    <t>Y65217</t>
  </si>
  <si>
    <t>Y65218</t>
  </si>
  <si>
    <t>Y65219</t>
  </si>
  <si>
    <t>Y65220</t>
  </si>
  <si>
    <t>Y65221</t>
  </si>
  <si>
    <t>Y65222</t>
  </si>
  <si>
    <t>Y65223</t>
  </si>
  <si>
    <t>Y65224</t>
  </si>
  <si>
    <t>Y65225</t>
  </si>
  <si>
    <t>66F</t>
    <phoneticPr fontId="3" type="noConversion"/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</si>
  <si>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</si>
  <si>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RMB</t>
    <phoneticPr fontId="3" type="noConversion"/>
  </si>
  <si>
    <t>C230445645</t>
  </si>
  <si>
    <t>C210540263</t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</si>
  <si>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</si>
  <si>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</si>
  <si>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Yes</t>
    <phoneticPr fontId="3" type="noConversion"/>
  </si>
  <si>
    <t>清关（单独)</t>
    <phoneticPr fontId="3" type="noConversion"/>
  </si>
  <si>
    <t>C230545853</t>
  </si>
  <si>
    <t>清关</t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</si>
  <si>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</si>
  <si>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</si>
  <si>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</si>
  <si>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</si>
  <si>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</si>
  <si>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</si>
  <si>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Y63150</t>
    <phoneticPr fontId="3" type="noConversion"/>
  </si>
  <si>
    <t>Y63987</t>
    <phoneticPr fontId="3" type="noConversion"/>
  </si>
  <si>
    <t>C221144350</t>
  </si>
  <si>
    <r>
      <t xml:space="preserve">2021-12-7 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</si>
  <si>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t xml:space="preserve">2021-12-7Yamaha 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</si>
  <si>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r>
      <rPr>
        <sz val="10"/>
        <color theme="1"/>
        <rFont val="宋体"/>
        <family val="2"/>
        <charset val="134"/>
      </rPr>
      <t>2021-</t>
    </r>
    <r>
      <rPr>
        <sz val="10"/>
        <color theme="1"/>
        <rFont val="Arial"/>
        <family val="2"/>
      </rPr>
      <t xml:space="preserve"> 9</t>
    </r>
    <r>
      <rPr>
        <sz val="10"/>
        <color theme="1"/>
        <rFont val="宋体"/>
        <family val="2"/>
        <charset val="134"/>
      </rPr>
      <t>月中下旬苏州仓库</t>
    </r>
    <phoneticPr fontId="3" type="noConversion"/>
  </si>
  <si>
    <t>2022-1-17Yamaha 仓库</t>
  </si>
  <si>
    <t>2022-1-17Yamaha 仓库</t>
    <phoneticPr fontId="3" type="noConversion"/>
  </si>
  <si>
    <t>2022-8-9Yamaha 仓库</t>
    <phoneticPr fontId="3" type="noConversion"/>
  </si>
  <si>
    <r>
      <rPr>
        <sz val="10"/>
        <color theme="1"/>
        <rFont val="宋体"/>
        <family val="2"/>
        <charset val="134"/>
      </rPr>
      <t>2021-7-21富洛</t>
    </r>
    <r>
      <rPr>
        <sz val="10"/>
        <color theme="1"/>
        <rFont val="Arial"/>
        <family val="2"/>
      </rPr>
      <t>HK</t>
    </r>
    <r>
      <rPr>
        <sz val="10"/>
        <color theme="1"/>
        <rFont val="宋体"/>
        <family val="2"/>
        <charset val="134"/>
      </rPr>
      <t>仓库</t>
    </r>
    <phoneticPr fontId="3" type="noConversion"/>
  </si>
  <si>
    <t>2022/4/15 北京单</t>
    <phoneticPr fontId="3" type="noConversion"/>
  </si>
  <si>
    <t>2022-7-25北京单</t>
    <phoneticPr fontId="3" type="noConversion"/>
  </si>
  <si>
    <t>C230545984</t>
  </si>
  <si>
    <t>JUN 23</t>
  </si>
  <si>
    <t>Y65757</t>
  </si>
  <si>
    <t>Y65759</t>
  </si>
  <si>
    <t>Y65760</t>
  </si>
  <si>
    <t>Y65761</t>
  </si>
  <si>
    <t>Y65762</t>
  </si>
  <si>
    <t>Y65763</t>
  </si>
  <si>
    <t>Y65764</t>
  </si>
  <si>
    <t>Y65765</t>
  </si>
  <si>
    <t>Y65766</t>
  </si>
  <si>
    <t>Y65768</t>
  </si>
  <si>
    <t>Y65769</t>
  </si>
  <si>
    <t>Y65770</t>
  </si>
  <si>
    <t>Y65771</t>
  </si>
  <si>
    <t>Y65772</t>
  </si>
  <si>
    <t>Y65773</t>
  </si>
  <si>
    <t>Y65774</t>
  </si>
  <si>
    <t>Y65775</t>
  </si>
  <si>
    <t>Y65776</t>
  </si>
  <si>
    <t>Y65777</t>
  </si>
  <si>
    <t>66F</t>
    <phoneticPr fontId="3" type="noConversion"/>
  </si>
  <si>
    <t>RMB</t>
    <phoneticPr fontId="3" type="noConversion"/>
  </si>
  <si>
    <t>宁夏隆基宁光仪表股份有限公司</t>
    <phoneticPr fontId="3" type="noConversion"/>
  </si>
  <si>
    <t>Yes</t>
    <phoneticPr fontId="3" type="noConversion"/>
  </si>
  <si>
    <t>66N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</si>
  <si>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</si>
  <si>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t>66N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</si>
  <si>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</si>
  <si>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</si>
  <si>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</si>
  <si>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C230545954</t>
  </si>
  <si>
    <t>JUL 23</t>
  </si>
  <si>
    <t>66N</t>
    <phoneticPr fontId="3" type="noConversion"/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</si>
  <si>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</si>
  <si>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t>RMB</t>
    <phoneticPr fontId="3" type="noConversion"/>
  </si>
  <si>
    <t>Yes</t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</si>
  <si>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</si>
  <si>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t>Yes</t>
    <phoneticPr fontId="3" type="noConversion"/>
  </si>
  <si>
    <t>RMB</t>
    <phoneticPr fontId="3" type="noConversion"/>
  </si>
  <si>
    <t>No</t>
    <phoneticPr fontId="3" type="noConversion"/>
  </si>
  <si>
    <r>
      <t>Y63147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</si>
  <si>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Y63151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</si>
  <si>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C230545868</t>
  </si>
  <si>
    <t>C201238798</t>
  </si>
  <si>
    <t>C220743320</t>
  </si>
  <si>
    <t>苏州晶台光电有限  PO23060010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</si>
  <si>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</si>
  <si>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</si>
  <si>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t>JPY</t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</si>
  <si>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</si>
  <si>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JPY</t>
    <phoneticPr fontId="3" type="noConversion"/>
  </si>
  <si>
    <t>Yes</t>
    <phoneticPr fontId="3" type="noConversion"/>
  </si>
  <si>
    <t>49F</t>
    <phoneticPr fontId="3" type="noConversion"/>
  </si>
  <si>
    <t>AUG 23</t>
  </si>
  <si>
    <t>众华C66S224118</t>
  </si>
  <si>
    <t>Yes</t>
    <phoneticPr fontId="3" type="noConversion"/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</si>
  <si>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</si>
  <si>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</si>
  <si>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t>28L104577</t>
    <phoneticPr fontId="3" type="noConversion"/>
  </si>
  <si>
    <t>成景名义下单（上海下单)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</si>
  <si>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</si>
  <si>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</si>
  <si>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</si>
  <si>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No</t>
    <phoneticPr fontId="3" type="noConversion"/>
  </si>
  <si>
    <t>C28.</t>
  </si>
  <si>
    <t>C28.</t>
    <phoneticPr fontId="3" type="noConversion"/>
  </si>
  <si>
    <t>C220743436</t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</si>
  <si>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</si>
  <si>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</si>
  <si>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</si>
  <si>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</si>
  <si>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</si>
  <si>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</si>
  <si>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</si>
  <si>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</si>
  <si>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</si>
  <si>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</si>
  <si>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t>Y63144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</si>
  <si>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111361(</t>
    </r>
    <r>
      <rPr>
        <sz val="9"/>
        <color theme="1"/>
        <rFont val="宋体"/>
        <family val="2"/>
        <charset val="134"/>
      </rPr>
      <t>拆单111364）</t>
    </r>
    <phoneticPr fontId="3" type="noConversion"/>
  </si>
  <si>
    <r>
      <t>2023/8/7,</t>
    </r>
    <r>
      <rPr>
        <sz val="10"/>
        <color theme="1"/>
        <rFont val="宋体"/>
        <family val="2"/>
        <charset val="134"/>
      </rPr>
      <t>上海港</t>
    </r>
    <phoneticPr fontId="3" type="noConversion"/>
  </si>
  <si>
    <r>
      <t xml:space="preserve">JPY/HKD:0.0568,USD/HKD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</si>
  <si>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</si>
  <si>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</si>
  <si>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</si>
  <si>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</si>
  <si>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</si>
  <si>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49F</t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</si>
  <si>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</si>
  <si>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</si>
  <si>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</si>
  <si>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</si>
  <si>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t>Yes</t>
    <phoneticPr fontId="3" type="noConversion"/>
  </si>
  <si>
    <t>RMB</t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</si>
  <si>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</si>
  <si>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</si>
  <si>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111310(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PO111374)</t>
    </r>
    <phoneticPr fontId="3" type="noConversion"/>
  </si>
  <si>
    <r>
      <t>111309(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PO111373)</t>
    </r>
    <phoneticPr fontId="3" type="noConversion"/>
  </si>
  <si>
    <t>C220943714</t>
  </si>
  <si>
    <t>C230646271</t>
  </si>
  <si>
    <t>Y66231</t>
  </si>
  <si>
    <t>Y66232</t>
  </si>
  <si>
    <t>Y66234</t>
  </si>
  <si>
    <t>Y66235</t>
  </si>
  <si>
    <t>Y66236</t>
  </si>
  <si>
    <t>Y66238</t>
  </si>
  <si>
    <t>Y66239</t>
  </si>
  <si>
    <t>Y66240</t>
  </si>
  <si>
    <t>前海（完税）仓</t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</si>
  <si>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</si>
  <si>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</si>
  <si>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72GD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</si>
  <si>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</si>
  <si>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</si>
  <si>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</si>
  <si>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QTY</t>
    <phoneticPr fontId="3" type="noConversion"/>
  </si>
  <si>
    <t>Exchange to</t>
    <phoneticPr fontId="3" type="noConversion"/>
  </si>
  <si>
    <r>
      <t>Y63155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</si>
  <si>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Y63156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</si>
  <si>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r>
      <t>Y63154</t>
    </r>
    <r>
      <rPr>
        <sz val="10"/>
        <color theme="1"/>
        <rFont val="等线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等线"/>
        <family val="2"/>
        <charset val="134"/>
      </rPr>
      <t>个相机，放在力合）</t>
    </r>
    <phoneticPr fontId="3" type="noConversion"/>
  </si>
  <si>
    <t>B28111390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</si>
  <si>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</si>
  <si>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RMB</t>
    <phoneticPr fontId="3" type="noConversion"/>
  </si>
  <si>
    <t>Y66222</t>
  </si>
  <si>
    <t>Y66223</t>
  </si>
  <si>
    <t>Y66225</t>
  </si>
  <si>
    <t>Y66226</t>
  </si>
  <si>
    <t>Y66227</t>
  </si>
  <si>
    <t>Y66228</t>
  </si>
  <si>
    <t>Y66229</t>
  </si>
  <si>
    <t>Y66230</t>
  </si>
  <si>
    <t>Y66709</t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</si>
  <si>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</si>
  <si>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</si>
  <si>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</si>
  <si>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</si>
  <si>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t>C220242115</t>
  </si>
  <si>
    <t>C230746645</t>
  </si>
  <si>
    <t xml:space="preserve">C230746574 </t>
  </si>
  <si>
    <r>
      <t>Y65226,</t>
    </r>
    <r>
      <rPr>
        <sz val="10"/>
        <color theme="1"/>
        <rFont val="宋体"/>
        <family val="2"/>
        <charset val="134"/>
      </rPr>
      <t>标签变红</t>
    </r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</si>
  <si>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</si>
  <si>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49A</t>
    <phoneticPr fontId="3" type="noConversion"/>
  </si>
  <si>
    <t>RMB</t>
    <phoneticPr fontId="3" type="noConversion"/>
  </si>
  <si>
    <t>Yes</t>
    <phoneticPr fontId="3" type="noConversion"/>
  </si>
  <si>
    <t>C230445485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</si>
  <si>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</si>
  <si>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t>SZX</t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</si>
  <si>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</si>
  <si>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</si>
  <si>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</si>
  <si>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t>莫思特SZC49Q20230804-1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</si>
  <si>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</si>
  <si>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</si>
  <si>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t>C220542822</t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</si>
  <si>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</si>
  <si>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</si>
  <si>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NM,Coper rate 0.0514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</si>
  <si>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</si>
  <si>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</si>
  <si>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</si>
  <si>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</si>
  <si>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C230846864</t>
    <phoneticPr fontId="3" type="noConversion"/>
  </si>
  <si>
    <t>Y66815</t>
  </si>
  <si>
    <t>Y66816</t>
  </si>
  <si>
    <t>Y66817</t>
  </si>
  <si>
    <t>Y66818</t>
  </si>
  <si>
    <t>Y66762</t>
  </si>
  <si>
    <t>Y66763</t>
  </si>
  <si>
    <t>Y66764</t>
  </si>
  <si>
    <t>Y66765</t>
  </si>
  <si>
    <t>SHA</t>
    <phoneticPr fontId="3" type="noConversion"/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</si>
  <si>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</si>
  <si>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RMB</t>
    <phoneticPr fontId="3" type="noConversion"/>
  </si>
  <si>
    <t>求和项:Qty</t>
  </si>
  <si>
    <t>Warehouse</t>
  </si>
  <si>
    <t>Month</t>
  </si>
  <si>
    <t>Y64058</t>
    <phoneticPr fontId="3" type="noConversion"/>
  </si>
  <si>
    <t>C230746747</t>
    <phoneticPr fontId="3" type="noConversion"/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</si>
  <si>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</si>
  <si>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</si>
  <si>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JPY</t>
    <phoneticPr fontId="3" type="noConversion"/>
  </si>
  <si>
    <t>SZX</t>
    <phoneticPr fontId="3" type="noConversion"/>
  </si>
  <si>
    <t>49A</t>
    <phoneticPr fontId="3" type="noConversion"/>
  </si>
  <si>
    <t>RMB</t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</si>
  <si>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</si>
  <si>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</si>
  <si>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</si>
  <si>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Y67123</t>
  </si>
  <si>
    <t>Y67124</t>
  </si>
  <si>
    <t>Y67125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</si>
  <si>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</si>
  <si>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</si>
  <si>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</si>
  <si>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</si>
  <si>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C230847021</t>
  </si>
  <si>
    <t>OCT 23</t>
  </si>
  <si>
    <t>C230947198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</si>
  <si>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</si>
  <si>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</si>
  <si>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</si>
  <si>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</si>
  <si>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</si>
  <si>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</si>
  <si>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</si>
  <si>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</si>
  <si>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</si>
  <si>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</si>
  <si>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</si>
  <si>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</si>
  <si>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t>No</t>
    <phoneticPr fontId="3" type="noConversion"/>
  </si>
  <si>
    <t>TBA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</si>
  <si>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</si>
  <si>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</si>
  <si>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</si>
  <si>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</si>
  <si>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</si>
  <si>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</si>
  <si>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</si>
  <si>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</si>
  <si>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</si>
  <si>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</si>
  <si>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</si>
  <si>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</si>
  <si>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</si>
  <si>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</si>
  <si>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</si>
  <si>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</si>
  <si>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</si>
  <si>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</si>
  <si>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</si>
  <si>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</si>
  <si>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</si>
  <si>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SZX</t>
    <phoneticPr fontId="3" type="noConversion"/>
  </si>
  <si>
    <t>C66 SZX</t>
    <phoneticPr fontId="3" type="noConversion"/>
  </si>
  <si>
    <t>KMV-MC100-00</t>
  </si>
  <si>
    <t>ZSR 8mm</t>
    <phoneticPr fontId="3" type="noConversion"/>
  </si>
  <si>
    <t>剩余可用Feeder</t>
    <phoneticPr fontId="3" type="noConversion"/>
  </si>
  <si>
    <t>需要采购</t>
    <phoneticPr fontId="3" type="noConversion"/>
  </si>
  <si>
    <r>
      <rPr>
        <sz val="10"/>
        <color theme="0"/>
        <rFont val="Arial"/>
        <family val="2"/>
      </rPr>
      <t xml:space="preserve">C66 </t>
    </r>
    <r>
      <rPr>
        <sz val="10"/>
        <color theme="0"/>
        <rFont val="宋体"/>
        <family val="2"/>
        <charset val="134"/>
      </rPr>
      <t>安全库存</t>
    </r>
    <r>
      <rPr>
        <sz val="11"/>
        <color theme="0"/>
        <rFont val="Arial"/>
        <family val="2"/>
      </rPr>
      <t xml:space="preserve">                  </t>
    </r>
    <phoneticPr fontId="3" type="noConversion"/>
  </si>
  <si>
    <r>
      <t>111421(</t>
    </r>
    <r>
      <rPr>
        <sz val="9"/>
        <color theme="1"/>
        <rFont val="宋体"/>
        <family val="2"/>
        <charset val="134"/>
      </rPr>
      <t>拆单111434)</t>
    </r>
    <phoneticPr fontId="3" type="noConversion"/>
  </si>
  <si>
    <t>NM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</si>
  <si>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</si>
  <si>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</si>
  <si>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</si>
  <si>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</si>
  <si>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No</t>
    <phoneticPr fontId="3" type="noConversion"/>
  </si>
  <si>
    <t>已经扣数</t>
    <phoneticPr fontId="3" type="noConversion"/>
  </si>
  <si>
    <t>益田C49SZX20230093SX</t>
    <phoneticPr fontId="3" type="noConversion"/>
  </si>
  <si>
    <r>
      <t xml:space="preserve">JPY/HKD:0.0533,USD/HKD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</si>
  <si>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C230947211</t>
  </si>
  <si>
    <t>SZX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</si>
  <si>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</si>
  <si>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JPY</t>
    <phoneticPr fontId="3" type="noConversion"/>
  </si>
  <si>
    <t>S20</t>
    <phoneticPr fontId="3" type="noConversion"/>
  </si>
  <si>
    <t>S20</t>
    <phoneticPr fontId="3" type="noConversion"/>
  </si>
  <si>
    <t>康佳名义下单</t>
    <phoneticPr fontId="3" type="noConversion"/>
  </si>
  <si>
    <t>S20</t>
  </si>
  <si>
    <t>C230846961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</si>
  <si>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</si>
  <si>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</si>
  <si>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</si>
  <si>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</si>
  <si>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</si>
  <si>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</si>
  <si>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</si>
  <si>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</si>
  <si>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</si>
  <si>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</si>
  <si>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</si>
  <si>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</si>
  <si>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</si>
  <si>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</si>
  <si>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</si>
  <si>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</si>
  <si>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</si>
  <si>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KHY-M7770-A0</t>
    <phoneticPr fontId="3" type="noConversion"/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</si>
  <si>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</si>
  <si>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</si>
  <si>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</si>
  <si>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</si>
  <si>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</si>
  <si>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</si>
  <si>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</si>
  <si>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</si>
  <si>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</si>
  <si>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</si>
  <si>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</si>
  <si>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</si>
  <si>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</si>
  <si>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STK</t>
    <phoneticPr fontId="3" type="noConversion"/>
  </si>
  <si>
    <t>warehouse</t>
    <phoneticPr fontId="3" type="noConversion"/>
  </si>
  <si>
    <t>Nozzle warehouse</t>
    <phoneticPr fontId="3" type="noConversion"/>
  </si>
  <si>
    <t>Incoming</t>
    <phoneticPr fontId="3" type="noConversion"/>
  </si>
  <si>
    <t>TBA</t>
    <phoneticPr fontId="3" type="noConversion"/>
  </si>
  <si>
    <t>72GC</t>
    <phoneticPr fontId="3" type="noConversion"/>
  </si>
  <si>
    <t>Y67128</t>
  </si>
  <si>
    <t>Y67130</t>
  </si>
  <si>
    <t>Y67131</t>
  </si>
  <si>
    <t>Y67132</t>
  </si>
  <si>
    <t>ESEL</t>
  </si>
  <si>
    <t>SZX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</si>
  <si>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</si>
  <si>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</si>
  <si>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t>Misc-out</t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</si>
  <si>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</si>
  <si>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RMB</t>
    <phoneticPr fontId="3" type="noConversion"/>
  </si>
  <si>
    <t>更换</t>
    <phoneticPr fontId="3" type="noConversion"/>
  </si>
  <si>
    <t>additional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</si>
  <si>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</si>
  <si>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</si>
  <si>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</si>
  <si>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</si>
  <si>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</si>
  <si>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</si>
  <si>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t>TBA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</si>
  <si>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</si>
  <si>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</si>
  <si>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</si>
  <si>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随机</t>
    <phoneticPr fontId="3" type="noConversion"/>
  </si>
  <si>
    <t>Total  on hand</t>
    <phoneticPr fontId="3" type="noConversion"/>
  </si>
  <si>
    <t>72GC</t>
    <phoneticPr fontId="3" type="noConversion"/>
  </si>
  <si>
    <t>72GD</t>
    <phoneticPr fontId="3" type="noConversion"/>
  </si>
  <si>
    <t xml:space="preserve">incoming </t>
    <phoneticPr fontId="3" type="noConversion"/>
  </si>
  <si>
    <t>已发货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</si>
  <si>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</si>
  <si>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</si>
  <si>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</si>
  <si>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STK avaible</t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</si>
  <si>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</si>
  <si>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</si>
  <si>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</si>
  <si>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</si>
  <si>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t>C220943914</t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</si>
  <si>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</si>
  <si>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</si>
  <si>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SZX</t>
    <phoneticPr fontId="3" type="noConversion"/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</si>
  <si>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</si>
  <si>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</si>
  <si>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</si>
  <si>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</si>
  <si>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</si>
  <si>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</si>
  <si>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</si>
  <si>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</si>
  <si>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</si>
  <si>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t>C230846913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</si>
  <si>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</si>
  <si>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C220342318</t>
    <phoneticPr fontId="3" type="noConversion"/>
  </si>
  <si>
    <t>SHA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</si>
  <si>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</si>
  <si>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</si>
  <si>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</si>
  <si>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</si>
  <si>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</si>
  <si>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t>RMB</t>
    <phoneticPr fontId="3" type="noConversion"/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</si>
  <si>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</si>
  <si>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SZX</t>
    <phoneticPr fontId="3" type="noConversion"/>
  </si>
  <si>
    <t>JPY</t>
    <phoneticPr fontId="3" type="noConversion"/>
  </si>
  <si>
    <t>TBA.</t>
  </si>
  <si>
    <t>TBA.</t>
    <phoneticPr fontId="3" type="noConversion"/>
  </si>
  <si>
    <r>
      <t>Y65758,</t>
    </r>
    <r>
      <rPr>
        <sz val="10"/>
        <color rgb="FFFF0000"/>
        <rFont val="宋体"/>
        <family val="3"/>
        <charset val="134"/>
      </rPr>
      <t>标签变红</t>
    </r>
    <phoneticPr fontId="3" type="noConversion"/>
  </si>
  <si>
    <r>
      <t>Y66224,</t>
    </r>
    <r>
      <rPr>
        <sz val="10"/>
        <color rgb="FFFF0000"/>
        <rFont val="微软雅黑"/>
        <family val="2"/>
        <charset val="134"/>
      </rPr>
      <t>标签变红</t>
    </r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</si>
  <si>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</si>
  <si>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</si>
  <si>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</si>
  <si>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</si>
  <si>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</si>
  <si>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Yes</t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</si>
  <si>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</si>
  <si>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</si>
  <si>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SZX</t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</si>
  <si>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</si>
  <si>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</si>
  <si>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Yes</t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</si>
  <si>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</si>
  <si>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</si>
  <si>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</si>
  <si>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</si>
  <si>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</si>
  <si>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SZX</t>
    <phoneticPr fontId="3" type="noConversion"/>
  </si>
  <si>
    <t>Y67378</t>
    <phoneticPr fontId="3" type="noConversion"/>
  </si>
  <si>
    <t xml:space="preserve"> </t>
    <phoneticPr fontId="3" type="noConversion"/>
  </si>
  <si>
    <r>
      <t>111465(</t>
    </r>
    <r>
      <rPr>
        <sz val="9"/>
        <color theme="1"/>
        <rFont val="宋体"/>
        <family val="2"/>
        <charset val="134"/>
      </rPr>
      <t>拆单111471)</t>
    </r>
    <phoneticPr fontId="3" type="noConversion"/>
  </si>
  <si>
    <r>
      <t xml:space="preserve">JPY/HKD:0.0525,USD/HKD </t>
    </r>
    <r>
      <rPr>
        <sz val="8"/>
        <color theme="1"/>
        <rFont val="微软雅黑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</si>
  <si>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</si>
  <si>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</si>
  <si>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</si>
  <si>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C230345373</t>
  </si>
  <si>
    <t>C230345230</t>
  </si>
  <si>
    <r>
      <t>Y63153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2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</si>
  <si>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r>
      <t>Y63525</t>
    </r>
    <r>
      <rPr>
        <sz val="10"/>
        <color theme="1"/>
        <rFont val="微软雅黑"/>
        <family val="2"/>
        <charset val="134"/>
      </rPr>
      <t>（拆除</t>
    </r>
    <r>
      <rPr>
        <sz val="10"/>
        <color theme="1"/>
        <rFont val="Arial"/>
        <family val="2"/>
      </rPr>
      <t>1</t>
    </r>
    <r>
      <rPr>
        <sz val="10"/>
        <color theme="1"/>
        <rFont val="微软雅黑"/>
        <family val="2"/>
        <charset val="134"/>
      </rPr>
      <t>个相机，放在力合）</t>
    </r>
    <phoneticPr fontId="3" type="noConversion"/>
  </si>
  <si>
    <t>C231147614</t>
    <phoneticPr fontId="3" type="noConversion"/>
  </si>
  <si>
    <t>C230846815</t>
  </si>
  <si>
    <t>STK</t>
    <phoneticPr fontId="3" type="noConversion"/>
  </si>
  <si>
    <t>cATS10+ANC+MVC+special layout</t>
  </si>
  <si>
    <t>cATS10+ANC+MVC+special layout</t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</si>
  <si>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</si>
  <si>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</si>
  <si>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</si>
  <si>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</si>
  <si>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</si>
  <si>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C200737683</t>
  </si>
  <si>
    <t>Y65162</t>
    <phoneticPr fontId="3" type="noConversion"/>
  </si>
  <si>
    <t>R-&gt;L</t>
    <phoneticPr fontId="3" type="noConversion"/>
  </si>
  <si>
    <t>Y67715</t>
  </si>
  <si>
    <t>Y67716</t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</si>
  <si>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</si>
  <si>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</si>
  <si>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</si>
  <si>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</si>
  <si>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</si>
  <si>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</si>
  <si>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</si>
  <si>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</si>
  <si>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</si>
  <si>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</si>
  <si>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</si>
  <si>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C211241732</t>
    <phoneticPr fontId="3" type="noConversion"/>
  </si>
  <si>
    <t>C220342318</t>
  </si>
  <si>
    <t>C220442692</t>
  </si>
  <si>
    <t>C231147835</t>
  </si>
  <si>
    <t>Y67983</t>
  </si>
  <si>
    <t>Y67984</t>
  </si>
  <si>
    <t>Y67980</t>
  </si>
  <si>
    <t>Y67981</t>
  </si>
  <si>
    <t>Y67982</t>
  </si>
  <si>
    <t>FEB 24</t>
  </si>
  <si>
    <t>高伟名义下单</t>
    <phoneticPr fontId="3" type="noConversion"/>
  </si>
  <si>
    <t>Y66237</t>
    <phoneticPr fontId="3" type="noConversion"/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</si>
  <si>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</si>
  <si>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 xml:space="preserve">JPY/HKD:0.0545,USD/HKD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</si>
  <si>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</si>
  <si>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</si>
  <si>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</si>
  <si>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t>SZX</t>
    <phoneticPr fontId="3" type="noConversion"/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</si>
  <si>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</si>
  <si>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JPY</t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</si>
  <si>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</si>
  <si>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</si>
  <si>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</si>
  <si>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</si>
  <si>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</si>
  <si>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</si>
  <si>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</si>
  <si>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</si>
  <si>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t>SZX</t>
    <phoneticPr fontId="3" type="noConversion"/>
  </si>
  <si>
    <t>RMB</t>
    <phoneticPr fontId="3" type="noConversion"/>
  </si>
  <si>
    <t>ZS 8mm</t>
    <phoneticPr fontId="3" type="noConversion"/>
  </si>
  <si>
    <t>Yes</t>
    <phoneticPr fontId="3" type="noConversion"/>
  </si>
  <si>
    <r>
      <t xml:space="preserve">Y66233 </t>
    </r>
    <r>
      <rPr>
        <sz val="10"/>
        <color theme="1"/>
        <rFont val="宋体"/>
        <family val="2"/>
        <charset val="134"/>
      </rPr>
      <t>给倍美斯</t>
    </r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</si>
  <si>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</si>
  <si>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</si>
  <si>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</si>
  <si>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t>C49</t>
    <phoneticPr fontId="3" type="noConversion"/>
  </si>
  <si>
    <t>No</t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</si>
  <si>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</si>
  <si>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</si>
  <si>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</si>
  <si>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</si>
  <si>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</si>
  <si>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</si>
  <si>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</si>
  <si>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</si>
  <si>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</si>
  <si>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</si>
  <si>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</si>
  <si>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C49</t>
    <phoneticPr fontId="3" type="noConversion"/>
  </si>
  <si>
    <t>ESEL</t>
    <phoneticPr fontId="3" type="noConversion"/>
  </si>
  <si>
    <t>更换</t>
    <phoneticPr fontId="3" type="noConversion"/>
  </si>
  <si>
    <t>NM,Coper rate 0.0495</t>
    <phoneticPr fontId="3" type="noConversion"/>
  </si>
  <si>
    <t>2023-12-20清关</t>
    <phoneticPr fontId="3" type="noConversion"/>
  </si>
  <si>
    <t>Yes</t>
    <phoneticPr fontId="3" type="noConversion"/>
  </si>
  <si>
    <t>清关</t>
    <phoneticPr fontId="3" type="noConversion"/>
  </si>
  <si>
    <t>RMB</t>
    <phoneticPr fontId="3" type="noConversion"/>
  </si>
  <si>
    <t>C66SHA</t>
  </si>
  <si>
    <t>RMB</t>
    <phoneticPr fontId="3" type="noConversion"/>
  </si>
  <si>
    <t>Yes</t>
    <phoneticPr fontId="3" type="noConversion"/>
  </si>
  <si>
    <t>铁城信息 C66SHA230067</t>
    <phoneticPr fontId="3" type="noConversion"/>
  </si>
  <si>
    <t>Y68432</t>
  </si>
  <si>
    <t>C201138627</t>
  </si>
  <si>
    <t>C231247971</t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</si>
  <si>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</si>
  <si>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</si>
  <si>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</si>
  <si>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</si>
  <si>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</si>
  <si>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JPY</t>
    <phoneticPr fontId="3" type="noConversion"/>
  </si>
  <si>
    <t>Yes</t>
    <phoneticPr fontId="3" type="noConversion"/>
  </si>
  <si>
    <t>No</t>
    <phoneticPr fontId="3" type="noConversion"/>
  </si>
  <si>
    <t>Y68129</t>
  </si>
  <si>
    <t>Y68130</t>
  </si>
  <si>
    <t>Y68131</t>
  </si>
  <si>
    <t>Y67969</t>
  </si>
  <si>
    <t>Y68128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</si>
  <si>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</si>
  <si>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</si>
  <si>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</si>
  <si>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</si>
  <si>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SHA</t>
    <phoneticPr fontId="3" type="noConversion"/>
  </si>
  <si>
    <t>RMB</t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</si>
  <si>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</si>
  <si>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</si>
  <si>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</si>
  <si>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Misc out</t>
    <phoneticPr fontId="3" type="noConversion"/>
  </si>
  <si>
    <t>更换</t>
    <phoneticPr fontId="3" type="noConversion"/>
  </si>
  <si>
    <t>Deposit</t>
  </si>
  <si>
    <t>SZX</t>
    <phoneticPr fontId="3" type="noConversion"/>
  </si>
  <si>
    <t>RMB</t>
    <phoneticPr fontId="3" type="noConversion"/>
  </si>
  <si>
    <t>SHA</t>
  </si>
  <si>
    <t>SHA</t>
    <phoneticPr fontId="3" type="noConversion"/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</si>
  <si>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</si>
  <si>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</si>
  <si>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Yes</t>
    <phoneticPr fontId="3" type="noConversion"/>
  </si>
  <si>
    <t>Res</t>
    <phoneticPr fontId="3" type="noConversion"/>
  </si>
  <si>
    <t>Y66814</t>
    <phoneticPr fontId="3" type="noConversion"/>
  </si>
  <si>
    <t>Y66221</t>
    <phoneticPr fontId="3" type="noConversion"/>
  </si>
  <si>
    <t>PO 111277,rate 0.0516</t>
    <phoneticPr fontId="3" type="noConversion"/>
  </si>
  <si>
    <t>Y67714</t>
    <phoneticPr fontId="3" type="noConversion"/>
  </si>
  <si>
    <t>C230746633</t>
    <phoneticPr fontId="3" type="noConversion"/>
  </si>
  <si>
    <t>Y68127</t>
    <phoneticPr fontId="3" type="noConversion"/>
  </si>
  <si>
    <t>C231247955</t>
    <phoneticPr fontId="3" type="noConversion"/>
  </si>
  <si>
    <t>C231147763</t>
    <phoneticPr fontId="3" type="noConversion"/>
  </si>
  <si>
    <t>已经到货 汇总</t>
  </si>
  <si>
    <t>S20 汇总</t>
  </si>
  <si>
    <t>有交期 汇总</t>
  </si>
  <si>
    <t>YSi-V 汇总</t>
  </si>
  <si>
    <t>TBA. 汇总</t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</si>
  <si>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</si>
  <si>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t>SZX</t>
    <phoneticPr fontId="3" type="noConversion"/>
  </si>
  <si>
    <t>RMB</t>
    <phoneticPr fontId="3" type="noConversion"/>
  </si>
  <si>
    <r>
      <t>PO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111341</t>
    </r>
    <r>
      <rPr>
        <sz val="8"/>
        <color rgb="FFFF0000"/>
        <rFont val="宋体"/>
        <family val="2"/>
        <charset val="134"/>
      </rPr>
      <t>，</t>
    </r>
    <r>
      <rPr>
        <sz val="8"/>
        <color rgb="FFFF0000"/>
        <rFont val="Arial"/>
        <family val="2"/>
      </rPr>
      <t>Rate 0.0503</t>
    </r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</si>
  <si>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</si>
  <si>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</si>
  <si>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t>SHA</t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</si>
  <si>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</si>
  <si>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</si>
  <si>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</si>
  <si>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</si>
  <si>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</si>
  <si>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t>RMB</t>
    <phoneticPr fontId="3" type="noConversion"/>
  </si>
  <si>
    <t>C49</t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</si>
  <si>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</si>
  <si>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</si>
  <si>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t>Misc out</t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</si>
  <si>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</si>
  <si>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PO 111361 Rate:0.050</t>
    <phoneticPr fontId="3" type="noConversion"/>
  </si>
  <si>
    <t>No</t>
    <phoneticPr fontId="3" type="noConversion"/>
  </si>
  <si>
    <t>STK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</si>
  <si>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</si>
  <si>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</si>
  <si>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</si>
  <si>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</si>
  <si>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</si>
  <si>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Misc out</t>
    <phoneticPr fontId="3" type="noConversion"/>
  </si>
  <si>
    <t>ESEL</t>
    <phoneticPr fontId="3" type="noConversion"/>
  </si>
  <si>
    <t>C49</t>
    <phoneticPr fontId="3" type="noConversion"/>
  </si>
  <si>
    <t>Misc out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</si>
  <si>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</si>
  <si>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C49</t>
    <phoneticPr fontId="3" type="noConversion"/>
  </si>
  <si>
    <t>B28111537</t>
    <phoneticPr fontId="3" type="noConversion"/>
  </si>
  <si>
    <t>C240148193</t>
    <phoneticPr fontId="3" type="noConversion"/>
  </si>
  <si>
    <t>C231247960</t>
    <phoneticPr fontId="3" type="noConversion"/>
  </si>
  <si>
    <t>C210139067</t>
  </si>
  <si>
    <t>C240148218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</si>
  <si>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</si>
  <si>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</si>
  <si>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Y68505</t>
  </si>
  <si>
    <t>Y68506</t>
  </si>
  <si>
    <t>Y68427</t>
  </si>
  <si>
    <t>SZX</t>
    <phoneticPr fontId="3" type="noConversion"/>
  </si>
  <si>
    <t>日照品特裕华纺织[C66BJS20240115]</t>
  </si>
  <si>
    <t>日照品特裕华纺织科技有限公司 [C66BJ24040]</t>
  </si>
  <si>
    <t>BJS</t>
    <phoneticPr fontId="3" type="noConversion"/>
  </si>
  <si>
    <t>Yes</t>
    <phoneticPr fontId="3" type="noConversion"/>
  </si>
  <si>
    <t>RMB</t>
    <phoneticPr fontId="3" type="noConversion"/>
  </si>
  <si>
    <t>NM</t>
    <phoneticPr fontId="3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</si>
  <si>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</si>
  <si>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调账</t>
    <phoneticPr fontId="3" type="noConversion"/>
  </si>
  <si>
    <t>JPY</t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</si>
  <si>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</si>
  <si>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</si>
  <si>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</si>
  <si>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</si>
  <si>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</si>
  <si>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</si>
  <si>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</si>
  <si>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</si>
  <si>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</si>
  <si>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NM,Coper rate 0.0512 PO#111464</t>
    <phoneticPr fontId="3" type="noConversion"/>
  </si>
  <si>
    <t>0.05 PO#111362</t>
    <phoneticPr fontId="3" type="noConversion"/>
  </si>
  <si>
    <t>Delivery_Status</t>
  </si>
  <si>
    <t>Stock_Status</t>
  </si>
  <si>
    <t>STK</t>
    <phoneticPr fontId="3" type="noConversion"/>
  </si>
  <si>
    <r>
      <t>Y68132,</t>
    </r>
    <r>
      <rPr>
        <sz val="10"/>
        <color rgb="FFFF0000"/>
        <rFont val="宋体"/>
        <family val="2"/>
        <charset val="134"/>
      </rPr>
      <t>有</t>
    </r>
    <r>
      <rPr>
        <sz val="10"/>
        <color rgb="FFFF0000"/>
        <rFont val="Arial"/>
        <family val="2"/>
      </rPr>
      <t>C66</t>
    </r>
    <r>
      <rPr>
        <sz val="10"/>
        <color rgb="FFFF0000"/>
        <rFont val="宋体"/>
        <family val="2"/>
        <charset val="134"/>
      </rPr>
      <t>的货</t>
    </r>
    <phoneticPr fontId="3" type="noConversion"/>
  </si>
  <si>
    <t>客戶送貨期</t>
    <phoneticPr fontId="3" type="noConversion"/>
  </si>
  <si>
    <t>YAMAHA交期</t>
    <phoneticPr fontId="3" type="noConversion"/>
  </si>
  <si>
    <t>YSi-V(SL)</t>
  </si>
  <si>
    <t>YSi-V(SL)</t>
    <phoneticPr fontId="3" type="noConversion"/>
  </si>
  <si>
    <t>YSi-V(DL)</t>
  </si>
  <si>
    <t>YSi-V(DL)</t>
    <phoneticPr fontId="3" type="noConversion"/>
  </si>
  <si>
    <t>Y68493</t>
    <phoneticPr fontId="3" type="noConversion"/>
  </si>
  <si>
    <t>Y68494</t>
    <phoneticPr fontId="3" type="noConversion"/>
  </si>
  <si>
    <t>C49</t>
    <phoneticPr fontId="3" type="noConversion"/>
  </si>
  <si>
    <t>更换</t>
    <phoneticPr fontId="3" type="noConversion"/>
  </si>
  <si>
    <t>Customer_Reserved</t>
  </si>
  <si>
    <t>ETA_Month</t>
  </si>
  <si>
    <t>YSi-V(SL) 汇总</t>
  </si>
  <si>
    <t>YSi-V(DL) 汇总</t>
  </si>
  <si>
    <t>ETA_HK</t>
    <phoneticPr fontId="3" type="noConversion"/>
  </si>
  <si>
    <t>Customer_Reserved_Contract_No.</t>
    <phoneticPr fontId="3" type="noConversion"/>
  </si>
  <si>
    <t>Customer Reserved</t>
    <phoneticPr fontId="3" type="noConversion"/>
  </si>
  <si>
    <t>Machine_QTY</t>
    <phoneticPr fontId="3" type="noConversion"/>
  </si>
  <si>
    <t>ETA HK</t>
    <phoneticPr fontId="3" type="noConversion"/>
  </si>
  <si>
    <t>Y66768</t>
    <phoneticPr fontId="3" type="noConversion"/>
  </si>
  <si>
    <t>Y67129</t>
    <phoneticPr fontId="3" type="noConversion"/>
  </si>
  <si>
    <r>
      <t>2024-2</t>
    </r>
    <r>
      <rPr>
        <sz val="8"/>
        <color rgb="FFFF0000"/>
        <rFont val="宋体"/>
        <family val="2"/>
        <charset val="134"/>
      </rPr>
      <t xml:space="preserve">月 </t>
    </r>
    <r>
      <rPr>
        <sz val="8"/>
        <color rgb="FFFF0000"/>
        <rFont val="Arial"/>
        <family val="2"/>
      </rPr>
      <t>Misc out</t>
    </r>
    <phoneticPr fontId="3" type="noConversion"/>
  </si>
  <si>
    <t>NM</t>
    <phoneticPr fontId="3" type="noConversion"/>
  </si>
  <si>
    <t>计数项:Machine_QTY</t>
  </si>
  <si>
    <t>Y66403</t>
    <phoneticPr fontId="3" type="noConversion"/>
  </si>
  <si>
    <t>Y66404</t>
    <phoneticPr fontId="3" type="noConversion"/>
  </si>
  <si>
    <r>
      <t>2024-3-1</t>
    </r>
    <r>
      <rPr>
        <sz val="9"/>
        <rFont val="宋体"/>
        <family val="2"/>
        <charset val="134"/>
      </rPr>
      <t>清关</t>
    </r>
    <phoneticPr fontId="3" type="noConversion"/>
  </si>
  <si>
    <r>
      <t>2024-3-1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</si>
  <si>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</si>
  <si>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Misc out</t>
    <phoneticPr fontId="3" type="noConversion"/>
  </si>
  <si>
    <t>ESSZ</t>
    <phoneticPr fontId="3" type="noConversion"/>
  </si>
  <si>
    <t>STK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</si>
</sst>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6" formatCode="&quot;¥&quot;#,##0;[Red]&quot;¥&quot;\-#,##0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0_);[Red]\(0\)"/>
    <numFmt numFmtId="178" formatCode="0_ ;[Red]\-0\ "/>
    <numFmt numFmtId="179" formatCode="[$-409]d\-mmm;@"/>
    <numFmt numFmtId="180" formatCode="[$-F800]dddd\,\ mmmm\ dd\,\ yyyy"/>
    <numFmt numFmtId="181" formatCode="[$-409]mmm\-yy;@"/>
    <numFmt numFmtId="182" formatCode="_ * #,##0_ ;_ * \-#,##0_ ;_ * &quot;-&quot;??_ ;_ @_ "/>
    <numFmt numFmtId="183" formatCode="yyyy&quot;年&quot;m&quot;月&quot;;@"/>
  </numFmts>
  <fonts count="183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Arial"/>
      <family val="2"/>
    </font>
    <font>
      <sz val="9"/>
      <name val="宋体"/>
      <family val="2"/>
      <charset val="134"/>
      <scheme val="minor"/>
    </font>
    <font>
      <sz val="11"/>
      <color theme="0"/>
      <name val="Arial"/>
      <family val="2"/>
    </font>
    <font>
      <sz val="9"/>
      <color theme="1"/>
      <name val="Arial Unicode MS"/>
      <family val="2"/>
      <charset val="134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color theme="1"/>
      <name val="宋体"/>
      <family val="3"/>
      <charset val="134"/>
    </font>
    <font>
      <sz val="10"/>
      <name val="Arial Unicode MS"/>
      <family val="2"/>
      <charset val="134"/>
    </font>
    <font>
      <sz val="10"/>
      <name val="Arial"/>
      <family val="2"/>
    </font>
    <font>
      <sz val="9"/>
      <name val="宋体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8"/>
      <color rgb="FFFF0000"/>
      <name val="Arial Unicode MS"/>
      <family val="2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sz val="10"/>
      <color theme="1"/>
      <name val="Arial Unicode MS"/>
      <family val="2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宋体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6"/>
      <name val="宋体"/>
      <family val="2"/>
      <charset val="128"/>
      <scheme val="minor"/>
    </font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宋体"/>
      <family val="2"/>
      <scheme val="minor"/>
    </font>
    <font>
      <sz val="8"/>
      <color rgb="FFFF0000"/>
      <name val="Arial Unicode MS"/>
      <family val="2"/>
    </font>
    <font>
      <sz val="11"/>
      <name val="ＭＳ 明朝"/>
      <family val="1"/>
      <charset val="128"/>
    </font>
    <font>
      <sz val="6"/>
      <name val="宋体"/>
      <family val="3"/>
      <charset val="128"/>
      <scheme val="minor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rgb="FFFF0000"/>
      <name val="Arial"/>
      <family val="2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sz val="9"/>
      <color rgb="FFFF0000"/>
      <name val="Arial"/>
      <family val="2"/>
    </font>
    <font>
      <sz val="10"/>
      <name val="宋体"/>
      <family val="3"/>
      <charset val="134"/>
    </font>
    <font>
      <sz val="9"/>
      <name val="FangSong_GB2312"/>
      <family val="3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sz val="9"/>
      <color theme="1"/>
      <name val="Microsoft YaHei UI"/>
      <family val="2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10"/>
      <name val="宋体"/>
      <family val="2"/>
      <charset val="134"/>
    </font>
    <font>
      <sz val="9"/>
      <color theme="1"/>
      <name val="微软雅黑"/>
      <family val="2"/>
      <charset val="134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1"/>
      <name val="Arial"/>
      <family val="2"/>
      <charset val="134"/>
    </font>
    <font>
      <sz val="10"/>
      <color theme="0"/>
      <name val="Arial"/>
      <family val="2"/>
    </font>
    <font>
      <sz val="8"/>
      <color theme="1"/>
      <name val="Arial"/>
      <family val="2"/>
      <charset val="134"/>
    </font>
    <font>
      <sz val="8"/>
      <color theme="1"/>
      <name val="微软雅黑"/>
      <family val="2"/>
      <charset val="134"/>
    </font>
    <font>
      <sz val="10"/>
      <color theme="1"/>
      <name val="Arial Unicode MS"/>
      <family val="2"/>
    </font>
    <font>
      <sz val="10"/>
      <color theme="1"/>
      <name val="等线"/>
      <family val="2"/>
      <charset val="134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theme="1"/>
      <name val="等线"/>
      <family val="3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宋体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</font>
    <font>
      <sz val="8"/>
      <color theme="1"/>
      <name val="等线"/>
      <family val="2"/>
      <charset val="134"/>
    </font>
    <font>
      <sz val="10"/>
      <color rgb="FFFF0000"/>
      <name val="宋体"/>
      <family val="3"/>
      <charset val="134"/>
    </font>
    <font>
      <sz val="10"/>
      <color theme="1"/>
      <name val="等线"/>
      <family val="3"/>
    </font>
    <font>
      <sz val="9"/>
      <color theme="1"/>
      <name val="Arial"/>
      <family val="2"/>
      <charset val="134"/>
    </font>
    <font>
      <sz val="10.5"/>
      <color rgb="FF000000"/>
      <name val="微软雅黑"/>
      <family val="2"/>
      <charset val="134"/>
    </font>
    <font>
      <sz val="10.5"/>
      <color rgb="FF000000"/>
      <name val="Calibri"/>
      <family val="2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宋体"/>
      <family val="2"/>
      <charset val="136"/>
      <scheme val="minor"/>
    </font>
    <font>
      <sz val="11"/>
      <name val="宋体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宋体"/>
      <family val="2"/>
      <charset val="134"/>
      <scheme val="minor"/>
    </font>
    <font>
      <sz val="11"/>
      <color theme="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sz val="10"/>
      <color theme="0"/>
      <name val="宋体"/>
      <family val="2"/>
      <charset val="134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10"/>
      <color rgb="FFFF0000"/>
      <name val="微软雅黑"/>
      <family val="2"/>
      <charset val="134"/>
    </font>
    <font>
      <sz val="10.5"/>
      <color theme="1"/>
      <name val="等线"/>
      <family val="3"/>
      <charset val="134"/>
    </font>
    <font>
      <sz val="8"/>
      <color rgb="FFFF0000"/>
      <name val="等线"/>
      <family val="2"/>
      <charset val="134"/>
    </font>
    <font>
      <sz val="10"/>
      <color rgb="FFFF0000"/>
      <name val="宋体"/>
      <family val="2"/>
      <charset val="134"/>
    </font>
  </fonts>
  <fills count="5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163">
    <xf numFmtId="0" fontId="0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179" fontId="45" fillId="0" borderId="0">
      <alignment vertical="center"/>
    </xf>
    <xf numFmtId="179" fontId="46" fillId="0" borderId="0"/>
    <xf numFmtId="179" fontId="50" fillId="15" borderId="0" applyNumberFormat="0" applyBorder="0" applyAlignment="0" applyProtection="0">
      <alignment vertical="center"/>
    </xf>
    <xf numFmtId="179" fontId="50" fillId="16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0" fillId="18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6" borderId="0" applyNumberFormat="0" applyBorder="0" applyAlignment="0" applyProtection="0">
      <alignment vertical="center"/>
    </xf>
    <xf numFmtId="179" fontId="50" fillId="20" borderId="0" applyNumberFormat="0" applyBorder="0" applyAlignment="0" applyProtection="0">
      <alignment vertical="center"/>
    </xf>
    <xf numFmtId="179" fontId="50" fillId="21" borderId="0" applyNumberFormat="0" applyBorder="0" applyAlignment="0" applyProtection="0">
      <alignment vertical="center"/>
    </xf>
    <xf numFmtId="179" fontId="50" fillId="19" borderId="0" applyNumberFormat="0" applyBorder="0" applyAlignment="0" applyProtection="0">
      <alignment vertical="center"/>
    </xf>
    <xf numFmtId="179" fontId="50" fillId="17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22" borderId="0" applyNumberFormat="0" applyBorder="0" applyAlignment="0" applyProtection="0">
      <alignment vertical="center"/>
    </xf>
    <xf numFmtId="179" fontId="51" fillId="23" borderId="0" applyNumberFormat="0" applyBorder="0" applyAlignment="0" applyProtection="0">
      <alignment vertical="center"/>
    </xf>
    <xf numFmtId="179" fontId="51" fillId="21" borderId="0" applyNumberFormat="0" applyBorder="0" applyAlignment="0" applyProtection="0">
      <alignment vertical="center"/>
    </xf>
    <xf numFmtId="179" fontId="51" fillId="19" borderId="0" applyNumberFormat="0" applyBorder="0" applyAlignment="0" applyProtection="0">
      <alignment vertical="center"/>
    </xf>
    <xf numFmtId="179" fontId="51" fillId="16" borderId="0" applyNumberFormat="0" applyBorder="0" applyAlignment="0" applyProtection="0">
      <alignment vertical="center"/>
    </xf>
    <xf numFmtId="179" fontId="51" fillId="24" borderId="0" applyNumberFormat="0" applyBorder="0" applyAlignment="0" applyProtection="0">
      <alignment vertical="center"/>
    </xf>
    <xf numFmtId="179" fontId="51" fillId="22" borderId="0" applyNumberFormat="0" applyBorder="0" applyAlignment="0" applyProtection="0">
      <alignment vertical="center"/>
    </xf>
    <xf numFmtId="179" fontId="51" fillId="23" borderId="0" applyNumberFormat="0" applyBorder="0" applyAlignment="0" applyProtection="0">
      <alignment vertical="center"/>
    </xf>
    <xf numFmtId="179" fontId="51" fillId="25" borderId="0" applyNumberFormat="0" applyBorder="0" applyAlignment="0" applyProtection="0">
      <alignment vertical="center"/>
    </xf>
    <xf numFmtId="179" fontId="51" fillId="26" borderId="0" applyNumberFormat="0" applyBorder="0" applyAlignment="0" applyProtection="0">
      <alignment vertical="center"/>
    </xf>
    <xf numFmtId="179" fontId="51" fillId="27" borderId="0" applyNumberFormat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179" fontId="53" fillId="28" borderId="52" applyNumberFormat="0" applyAlignment="0" applyProtection="0">
      <alignment vertical="center"/>
    </xf>
    <xf numFmtId="179" fontId="54" fillId="20" borderId="0" applyNumberFormat="0" applyBorder="0" applyAlignment="0" applyProtection="0">
      <alignment vertical="center"/>
    </xf>
    <xf numFmtId="179" fontId="46" fillId="17" borderId="53" applyNumberFormat="0" applyFont="0" applyAlignment="0" applyProtection="0">
      <alignment vertical="center"/>
    </xf>
    <xf numFmtId="179" fontId="48" fillId="0" borderId="54" applyNumberFormat="0" applyFill="0" applyAlignment="0" applyProtection="0">
      <alignment vertical="center"/>
    </xf>
    <xf numFmtId="179" fontId="55" fillId="29" borderId="0" applyNumberFormat="0" applyBorder="0" applyAlignment="0" applyProtection="0">
      <alignment vertical="center"/>
    </xf>
    <xf numFmtId="179" fontId="49" fillId="30" borderId="55" applyNumberFormat="0" applyAlignment="0" applyProtection="0">
      <alignment vertical="center"/>
    </xf>
    <xf numFmtId="179" fontId="48" fillId="0" borderId="0" applyNumberFormat="0" applyFill="0" applyBorder="0" applyAlignment="0" applyProtection="0">
      <alignment vertical="center"/>
    </xf>
    <xf numFmtId="179" fontId="56" fillId="0" borderId="56" applyNumberFormat="0" applyFill="0" applyAlignment="0" applyProtection="0">
      <alignment vertical="center"/>
    </xf>
    <xf numFmtId="179" fontId="57" fillId="0" borderId="57" applyNumberFormat="0" applyFill="0" applyAlignment="0" applyProtection="0">
      <alignment vertical="center"/>
    </xf>
    <xf numFmtId="179" fontId="58" fillId="0" borderId="58" applyNumberFormat="0" applyFill="0" applyAlignment="0" applyProtection="0">
      <alignment vertical="center"/>
    </xf>
    <xf numFmtId="179" fontId="58" fillId="0" borderId="0" applyNumberFormat="0" applyFill="0" applyBorder="0" applyAlignment="0" applyProtection="0">
      <alignment vertical="center"/>
    </xf>
    <xf numFmtId="179" fontId="59" fillId="0" borderId="59" applyNumberFormat="0" applyFill="0" applyAlignment="0" applyProtection="0">
      <alignment vertical="center"/>
    </xf>
    <xf numFmtId="179" fontId="60" fillId="30" borderId="60" applyNumberFormat="0" applyAlignment="0" applyProtection="0">
      <alignment vertical="center"/>
    </xf>
    <xf numFmtId="179" fontId="61" fillId="0" borderId="0" applyNumberFormat="0" applyFill="0" applyBorder="0" applyAlignment="0" applyProtection="0">
      <alignment vertical="center"/>
    </xf>
    <xf numFmtId="6" fontId="46" fillId="0" borderId="0" applyFont="0" applyFill="0" applyBorder="0" applyAlignment="0" applyProtection="0"/>
    <xf numFmtId="179" fontId="62" fillId="20" borderId="55" applyNumberFormat="0" applyAlignment="0" applyProtection="0">
      <alignment vertical="center"/>
    </xf>
    <xf numFmtId="179" fontId="47" fillId="0" borderId="0"/>
    <xf numFmtId="179" fontId="63" fillId="19" borderId="0" applyNumberFormat="0" applyBorder="0" applyAlignment="0" applyProtection="0">
      <alignment vertical="center"/>
    </xf>
    <xf numFmtId="179" fontId="14" fillId="0" borderId="0"/>
    <xf numFmtId="179" fontId="1" fillId="0" borderId="0">
      <alignment vertical="center"/>
    </xf>
    <xf numFmtId="180" fontId="65" fillId="0" borderId="0"/>
    <xf numFmtId="180" fontId="66" fillId="0" borderId="0">
      <alignment vertical="center"/>
    </xf>
    <xf numFmtId="180" fontId="67" fillId="0" borderId="0"/>
    <xf numFmtId="180" fontId="68" fillId="0" borderId="0" applyNumberFormat="0" applyFill="0" applyBorder="0" applyAlignment="0" applyProtection="0"/>
    <xf numFmtId="0" fontId="70" fillId="0" borderId="0"/>
    <xf numFmtId="0" fontId="45" fillId="0" borderId="0">
      <alignment vertical="center"/>
    </xf>
    <xf numFmtId="0" fontId="46" fillId="0" borderId="0"/>
    <xf numFmtId="0" fontId="50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2" borderId="0" applyNumberFormat="0" applyBorder="0" applyAlignment="0" applyProtection="0">
      <alignment vertical="center"/>
    </xf>
    <xf numFmtId="0" fontId="51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28" borderId="52" applyNumberFormat="0" applyAlignment="0" applyProtection="0">
      <alignment vertical="center"/>
    </xf>
    <xf numFmtId="0" fontId="54" fillId="20" borderId="0" applyNumberFormat="0" applyBorder="0" applyAlignment="0" applyProtection="0">
      <alignment vertical="center"/>
    </xf>
    <xf numFmtId="0" fontId="46" fillId="17" borderId="53" applyNumberFormat="0" applyFont="0" applyAlignment="0" applyProtection="0">
      <alignment vertical="center"/>
    </xf>
    <xf numFmtId="0" fontId="48" fillId="0" borderId="54" applyNumberFormat="0" applyFill="0" applyAlignment="0" applyProtection="0">
      <alignment vertical="center"/>
    </xf>
    <xf numFmtId="0" fontId="55" fillId="29" borderId="0" applyNumberFormat="0" applyBorder="0" applyAlignment="0" applyProtection="0">
      <alignment vertical="center"/>
    </xf>
    <xf numFmtId="0" fontId="49" fillId="30" borderId="55" applyNumberFormat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56" fillId="0" borderId="56" applyNumberFormat="0" applyFill="0" applyAlignment="0" applyProtection="0">
      <alignment vertical="center"/>
    </xf>
    <xf numFmtId="0" fontId="57" fillId="0" borderId="57" applyNumberFormat="0" applyFill="0" applyAlignment="0" applyProtection="0">
      <alignment vertical="center"/>
    </xf>
    <xf numFmtId="0" fontId="58" fillId="0" borderId="58" applyNumberFormat="0" applyFill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59" applyNumberFormat="0" applyFill="0" applyAlignment="0" applyProtection="0">
      <alignment vertical="center"/>
    </xf>
    <xf numFmtId="0" fontId="60" fillId="30" borderId="60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6" fontId="46" fillId="0" borderId="0" applyFont="0" applyFill="0" applyBorder="0" applyAlignment="0" applyProtection="0"/>
    <xf numFmtId="0" fontId="62" fillId="20" borderId="55" applyNumberFormat="0" applyAlignment="0" applyProtection="0">
      <alignment vertical="center"/>
    </xf>
    <xf numFmtId="0" fontId="47" fillId="0" borderId="0"/>
    <xf numFmtId="0" fontId="63" fillId="19" borderId="0" applyNumberFormat="0" applyBorder="0" applyAlignment="0" applyProtection="0">
      <alignment vertical="center"/>
    </xf>
    <xf numFmtId="0" fontId="99" fillId="0" borderId="0"/>
    <xf numFmtId="38" fontId="46" fillId="0" borderId="0" applyFont="0" applyFill="0" applyBorder="0" applyAlignment="0" applyProtection="0"/>
    <xf numFmtId="38" fontId="99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0" fontId="14" fillId="0" borderId="0"/>
    <xf numFmtId="0" fontId="114" fillId="0" borderId="0"/>
    <xf numFmtId="0" fontId="99" fillId="0" borderId="0"/>
    <xf numFmtId="0" fontId="1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6" fontId="46" fillId="0" borderId="0" applyFont="0" applyFill="0" applyBorder="0" applyAlignment="0" applyProtection="0"/>
    <xf numFmtId="6" fontId="46" fillId="0" borderId="0" applyFont="0" applyFill="0" applyBorder="0" applyAlignment="0" applyProtection="0"/>
    <xf numFmtId="0" fontId="114" fillId="0" borderId="0">
      <alignment vertical="center"/>
    </xf>
    <xf numFmtId="0" fontId="128" fillId="36" borderId="0" applyNumberFormat="0" applyBorder="0" applyAlignment="0" applyProtection="0"/>
    <xf numFmtId="0" fontId="128" fillId="21" borderId="0" applyNumberFormat="0" applyBorder="0" applyAlignment="0" applyProtection="0"/>
    <xf numFmtId="0" fontId="128" fillId="37" borderId="0" applyNumberFormat="0" applyBorder="0" applyAlignment="0" applyProtection="0"/>
    <xf numFmtId="0" fontId="128" fillId="29" borderId="0" applyNumberFormat="0" applyBorder="0" applyAlignment="0" applyProtection="0"/>
    <xf numFmtId="0" fontId="128" fillId="19" borderId="0" applyNumberFormat="0" applyBorder="0" applyAlignment="0" applyProtection="0"/>
    <xf numFmtId="0" fontId="128" fillId="18" borderId="0" applyNumberFormat="0" applyBorder="0" applyAlignment="0" applyProtection="0"/>
    <xf numFmtId="0" fontId="128" fillId="15" borderId="0" applyNumberFormat="0" applyBorder="0" applyAlignment="0" applyProtection="0"/>
    <xf numFmtId="0" fontId="128" fillId="16" borderId="0" applyNumberFormat="0" applyBorder="0" applyAlignment="0" applyProtection="0"/>
    <xf numFmtId="0" fontId="128" fillId="38" borderId="0" applyNumberFormat="0" applyBorder="0" applyAlignment="0" applyProtection="0"/>
    <xf numFmtId="0" fontId="128" fillId="29" borderId="0" applyNumberFormat="0" applyBorder="0" applyAlignment="0" applyProtection="0"/>
    <xf numFmtId="0" fontId="128" fillId="15" borderId="0" applyNumberFormat="0" applyBorder="0" applyAlignment="0" applyProtection="0"/>
    <xf numFmtId="0" fontId="128" fillId="23" borderId="0" applyNumberFormat="0" applyBorder="0" applyAlignment="0" applyProtection="0"/>
    <xf numFmtId="0" fontId="129" fillId="39" borderId="0" applyNumberFormat="0" applyBorder="0" applyAlignment="0" applyProtection="0"/>
    <xf numFmtId="0" fontId="129" fillId="16" borderId="0" applyNumberFormat="0" applyBorder="0" applyAlignment="0" applyProtection="0"/>
    <xf numFmtId="0" fontId="129" fillId="38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41" borderId="0" applyNumberFormat="0" applyBorder="0" applyAlignment="0" applyProtection="0"/>
    <xf numFmtId="0" fontId="129" fillId="42" borderId="0" applyNumberFormat="0" applyBorder="0" applyAlignment="0" applyProtection="0"/>
    <xf numFmtId="0" fontId="129" fillId="27" borderId="0" applyNumberFormat="0" applyBorder="0" applyAlignment="0" applyProtection="0"/>
    <xf numFmtId="0" fontId="129" fillId="43" borderId="0" applyNumberFormat="0" applyBorder="0" applyAlignment="0" applyProtection="0"/>
    <xf numFmtId="0" fontId="129" fillId="40" borderId="0" applyNumberFormat="0" applyBorder="0" applyAlignment="0" applyProtection="0"/>
    <xf numFmtId="0" fontId="129" fillId="26" borderId="0" applyNumberFormat="0" applyBorder="0" applyAlignment="0" applyProtection="0"/>
    <xf numFmtId="0" fontId="129" fillId="22" borderId="0" applyNumberFormat="0" applyBorder="0" applyAlignment="0" applyProtection="0"/>
    <xf numFmtId="0" fontId="130" fillId="21" borderId="0" applyNumberFormat="0" applyBorder="0" applyAlignment="0" applyProtection="0"/>
    <xf numFmtId="0" fontId="131" fillId="44" borderId="55" applyNumberFormat="0" applyAlignment="0" applyProtection="0"/>
    <xf numFmtId="0" fontId="132" fillId="28" borderId="52" applyNumberFormat="0" applyAlignment="0" applyProtection="0"/>
    <xf numFmtId="0" fontId="133" fillId="0" borderId="0" applyNumberFormat="0" applyFill="0" applyBorder="0" applyAlignment="0" applyProtection="0"/>
    <xf numFmtId="0" fontId="134" fillId="37" borderId="0" applyNumberFormat="0" applyBorder="0" applyAlignment="0" applyProtection="0"/>
    <xf numFmtId="0" fontId="135" fillId="0" borderId="76" applyNumberFormat="0" applyFill="0" applyAlignment="0" applyProtection="0"/>
    <xf numFmtId="0" fontId="136" fillId="0" borderId="77" applyNumberFormat="0" applyFill="0" applyAlignment="0" applyProtection="0"/>
    <xf numFmtId="0" fontId="137" fillId="0" borderId="78" applyNumberFormat="0" applyFill="0" applyAlignment="0" applyProtection="0"/>
    <xf numFmtId="0" fontId="137" fillId="0" borderId="0" applyNumberFormat="0" applyFill="0" applyBorder="0" applyAlignment="0" applyProtection="0"/>
    <xf numFmtId="0" fontId="138" fillId="18" borderId="55" applyNumberFormat="0" applyAlignment="0" applyProtection="0"/>
    <xf numFmtId="0" fontId="139" fillId="0" borderId="79" applyNumberFormat="0" applyFill="0" applyAlignment="0" applyProtection="0"/>
    <xf numFmtId="0" fontId="140" fillId="20" borderId="0" applyNumberFormat="0" applyBorder="0" applyAlignment="0" applyProtection="0"/>
    <xf numFmtId="0" fontId="14" fillId="17" borderId="53" applyNumberFormat="0" applyFont="0" applyAlignment="0" applyProtection="0"/>
    <xf numFmtId="0" fontId="141" fillId="44" borderId="60" applyNumberFormat="0" applyAlignment="0" applyProtection="0"/>
    <xf numFmtId="0" fontId="142" fillId="0" borderId="0" applyNumberFormat="0" applyFill="0" applyBorder="0" applyAlignment="0" applyProtection="0"/>
    <xf numFmtId="0" fontId="143" fillId="0" borderId="80" applyNumberFormat="0" applyFill="0" applyAlignment="0" applyProtection="0"/>
    <xf numFmtId="0" fontId="144" fillId="0" borderId="0" applyNumberFormat="0" applyFill="0" applyBorder="0" applyAlignment="0" applyProtection="0"/>
    <xf numFmtId="9" fontId="145" fillId="0" borderId="0" applyFont="0" applyFill="0" applyBorder="0" applyAlignment="0" applyProtection="0"/>
    <xf numFmtId="0" fontId="14" fillId="0" borderId="0"/>
    <xf numFmtId="41" fontId="14" fillId="0" borderId="0" applyFont="0" applyFill="0" applyBorder="0" applyAlignment="0" applyProtection="0"/>
    <xf numFmtId="0" fontId="159" fillId="0" borderId="0"/>
  </cellStyleXfs>
  <cellXfs count="891">
    <xf numFmtId="0" fontId="0" fillId="0" borderId="0" xfId="0">
      <alignment vertical="center"/>
    </xf>
    <xf numFmtId="179" fontId="2" fillId="0" borderId="0" xfId="0" applyNumberFormat="1" applyFont="1">
      <alignment vertical="center"/>
    </xf>
    <xf numFmtId="179" fontId="4" fillId="2" borderId="0" xfId="0" applyNumberFormat="1" applyFont="1" applyFill="1">
      <alignment vertical="center"/>
    </xf>
    <xf numFmtId="179" fontId="7" fillId="0" borderId="0" xfId="0" applyNumberFormat="1" applyFont="1">
      <alignment vertical="center"/>
    </xf>
    <xf numFmtId="14" fontId="9" fillId="0" borderId="2" xfId="0" applyNumberFormat="1" applyFont="1" applyBorder="1" applyAlignment="1">
      <alignment horizontal="left" vertical="center"/>
    </xf>
    <xf numFmtId="179" fontId="11" fillId="0" borderId="2" xfId="0" applyNumberFormat="1" applyFont="1" applyBorder="1" applyAlignment="1">
      <alignment horizontal="center"/>
    </xf>
    <xf numFmtId="14" fontId="14" fillId="0" borderId="2" xfId="0" applyNumberFormat="1" applyFont="1" applyBorder="1" applyAlignment="1">
      <alignment horizontal="left" vertical="center"/>
    </xf>
    <xf numFmtId="179" fontId="16" fillId="0" borderId="0" xfId="0" applyNumberFormat="1" applyFont="1">
      <alignment vertical="center"/>
    </xf>
    <xf numFmtId="14" fontId="9" fillId="0" borderId="11" xfId="0" applyNumberFormat="1" applyFont="1" applyBorder="1" applyAlignment="1">
      <alignment horizontal="left" vertical="center"/>
    </xf>
    <xf numFmtId="14" fontId="27" fillId="0" borderId="2" xfId="0" applyNumberFormat="1" applyFont="1" applyBorder="1" applyAlignment="1">
      <alignment horizontal="left" vertical="center"/>
    </xf>
    <xf numFmtId="14" fontId="28" fillId="0" borderId="2" xfId="0" applyNumberFormat="1" applyFont="1" applyBorder="1" applyAlignment="1">
      <alignment horizontal="left" vertical="center"/>
    </xf>
    <xf numFmtId="14" fontId="27" fillId="0" borderId="11" xfId="0" applyNumberFormat="1" applyFont="1" applyBorder="1" applyAlignment="1">
      <alignment horizontal="left" vertical="center"/>
    </xf>
    <xf numFmtId="14" fontId="9" fillId="0" borderId="3" xfId="0" applyNumberFormat="1" applyFont="1" applyBorder="1" applyAlignment="1">
      <alignment horizontal="left" vertical="center"/>
    </xf>
    <xf numFmtId="179" fontId="2" fillId="0" borderId="0" xfId="0" quotePrefix="1" applyNumberFormat="1" applyFont="1">
      <alignment vertical="center"/>
    </xf>
    <xf numFmtId="14" fontId="26" fillId="0" borderId="2" xfId="0" applyNumberFormat="1" applyFont="1" applyBorder="1" applyAlignment="1">
      <alignment horizontal="left" vertical="center"/>
    </xf>
    <xf numFmtId="179" fontId="0" fillId="0" borderId="0" xfId="0" applyNumberFormat="1" applyAlignment="1"/>
    <xf numFmtId="179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79" fontId="2" fillId="0" borderId="0" xfId="0" applyNumberFormat="1" applyFont="1" applyAlignment="1">
      <alignment horizontal="right" vertical="center"/>
    </xf>
    <xf numFmtId="179" fontId="21" fillId="9" borderId="2" xfId="0" applyNumberFormat="1" applyFont="1" applyFill="1" applyBorder="1" applyAlignment="1">
      <alignment horizontal="right" vertical="center"/>
    </xf>
    <xf numFmtId="179" fontId="21" fillId="10" borderId="2" xfId="0" applyNumberFormat="1" applyFont="1" applyFill="1" applyBorder="1">
      <alignment vertical="center"/>
    </xf>
    <xf numFmtId="179" fontId="21" fillId="11" borderId="2" xfId="0" applyNumberFormat="1" applyFont="1" applyFill="1" applyBorder="1">
      <alignment vertical="center"/>
    </xf>
    <xf numFmtId="179" fontId="2" fillId="9" borderId="2" xfId="0" applyNumberFormat="1" applyFont="1" applyFill="1" applyBorder="1" applyAlignment="1">
      <alignment horizontal="right" vertical="center"/>
    </xf>
    <xf numFmtId="179" fontId="2" fillId="10" borderId="2" xfId="0" applyNumberFormat="1" applyFont="1" applyFill="1" applyBorder="1" applyAlignment="1">
      <alignment horizontal="right" vertical="center"/>
    </xf>
    <xf numFmtId="179" fontId="2" fillId="11" borderId="2" xfId="0" applyNumberFormat="1" applyFont="1" applyFill="1" applyBorder="1" applyAlignment="1">
      <alignment horizontal="right" vertical="center"/>
    </xf>
    <xf numFmtId="179" fontId="2" fillId="9" borderId="22" xfId="0" applyNumberFormat="1" applyFont="1" applyFill="1" applyBorder="1" applyAlignment="1">
      <alignment horizontal="right" vertical="center"/>
    </xf>
    <xf numFmtId="179" fontId="21" fillId="9" borderId="21" xfId="0" applyNumberFormat="1" applyFont="1" applyFill="1" applyBorder="1" applyAlignment="1">
      <alignment horizontal="right" vertical="center"/>
    </xf>
    <xf numFmtId="179" fontId="21" fillId="9" borderId="23" xfId="0" applyNumberFormat="1" applyFont="1" applyFill="1" applyBorder="1" applyAlignment="1">
      <alignment horizontal="right" vertical="center"/>
    </xf>
    <xf numFmtId="179" fontId="21" fillId="10" borderId="22" xfId="0" applyNumberFormat="1" applyFont="1" applyFill="1" applyBorder="1" applyAlignment="1">
      <alignment horizontal="right" vertical="center"/>
    </xf>
    <xf numFmtId="179" fontId="21" fillId="10" borderId="23" xfId="0" applyNumberFormat="1" applyFont="1" applyFill="1" applyBorder="1" applyAlignment="1">
      <alignment horizontal="right" vertical="center"/>
    </xf>
    <xf numFmtId="179" fontId="21" fillId="11" borderId="18" xfId="0" applyNumberFormat="1" applyFont="1" applyFill="1" applyBorder="1" applyAlignment="1">
      <alignment horizontal="right" vertical="center"/>
    </xf>
    <xf numFmtId="179" fontId="2" fillId="9" borderId="15" xfId="0" applyNumberFormat="1" applyFont="1" applyFill="1" applyBorder="1">
      <alignment vertical="center"/>
    </xf>
    <xf numFmtId="179" fontId="31" fillId="11" borderId="3" xfId="0" applyNumberFormat="1" applyFont="1" applyFill="1" applyBorder="1" applyAlignment="1">
      <alignment horizontal="center" vertical="center"/>
    </xf>
    <xf numFmtId="179" fontId="43" fillId="0" borderId="0" xfId="0" applyNumberFormat="1" applyFont="1" applyAlignment="1"/>
    <xf numFmtId="179" fontId="42" fillId="0" borderId="40" xfId="0" applyNumberFormat="1" applyFont="1" applyBorder="1" applyAlignment="1">
      <alignment horizontal="center" vertical="center"/>
    </xf>
    <xf numFmtId="179" fontId="42" fillId="0" borderId="39" xfId="0" applyNumberFormat="1" applyFont="1" applyBorder="1" applyAlignment="1">
      <alignment horizontal="left" vertical="center"/>
    </xf>
    <xf numFmtId="179" fontId="44" fillId="0" borderId="41" xfId="0" applyNumberFormat="1" applyFont="1" applyBorder="1" applyAlignment="1">
      <alignment horizontal="center" vertical="center"/>
    </xf>
    <xf numFmtId="179" fontId="44" fillId="0" borderId="40" xfId="0" applyNumberFormat="1" applyFont="1" applyBorder="1" applyAlignment="1">
      <alignment horizontal="center" vertical="center"/>
    </xf>
    <xf numFmtId="179" fontId="42" fillId="0" borderId="42" xfId="0" applyNumberFormat="1" applyFont="1" applyBorder="1" applyAlignment="1">
      <alignment horizontal="left" vertical="center"/>
    </xf>
    <xf numFmtId="179" fontId="42" fillId="0" borderId="43" xfId="0" applyNumberFormat="1" applyFont="1" applyBorder="1" applyAlignment="1">
      <alignment horizontal="center" vertical="center"/>
    </xf>
    <xf numFmtId="179" fontId="44" fillId="7" borderId="41" xfId="0" applyNumberFormat="1" applyFont="1" applyFill="1" applyBorder="1" applyAlignment="1">
      <alignment horizontal="center" vertical="center"/>
    </xf>
    <xf numFmtId="179" fontId="42" fillId="0" borderId="47" xfId="0" applyNumberFormat="1" applyFont="1" applyBorder="1" applyAlignment="1">
      <alignment horizontal="center" vertical="center"/>
    </xf>
    <xf numFmtId="179" fontId="42" fillId="0" borderId="49" xfId="0" applyNumberFormat="1" applyFont="1" applyBorder="1" applyAlignment="1">
      <alignment horizontal="left" vertical="center"/>
    </xf>
    <xf numFmtId="179" fontId="42" fillId="0" borderId="50" xfId="0" applyNumberFormat="1" applyFont="1" applyBorder="1" applyAlignment="1">
      <alignment horizontal="left" vertical="center"/>
    </xf>
    <xf numFmtId="179" fontId="2" fillId="12" borderId="0" xfId="0" applyNumberFormat="1" applyFont="1" applyFill="1">
      <alignment vertical="center"/>
    </xf>
    <xf numFmtId="179" fontId="2" fillId="7" borderId="0" xfId="0" applyNumberFormat="1" applyFont="1" applyFill="1">
      <alignment vertical="center"/>
    </xf>
    <xf numFmtId="179" fontId="2" fillId="4" borderId="0" xfId="0" applyNumberFormat="1" applyFont="1" applyFill="1">
      <alignment vertical="center"/>
    </xf>
    <xf numFmtId="179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1" fillId="0" borderId="2" xfId="0" applyFont="1" applyBorder="1" applyAlignment="1">
      <alignment horizontal="center"/>
    </xf>
    <xf numFmtId="0" fontId="9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9" fillId="2" borderId="0" xfId="0" applyFont="1" applyFill="1">
      <alignment vertical="center"/>
    </xf>
    <xf numFmtId="0" fontId="16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21" fillId="0" borderId="16" xfId="0" applyFont="1" applyBorder="1">
      <alignment vertical="center"/>
    </xf>
    <xf numFmtId="0" fontId="21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21" fillId="9" borderId="27" xfId="0" applyFont="1" applyFill="1" applyBorder="1">
      <alignment vertical="center"/>
    </xf>
    <xf numFmtId="0" fontId="40" fillId="9" borderId="2" xfId="0" applyFont="1" applyFill="1" applyBorder="1">
      <alignment vertical="center"/>
    </xf>
    <xf numFmtId="0" fontId="21" fillId="0" borderId="27" xfId="0" applyFont="1" applyBorder="1">
      <alignment vertical="center"/>
    </xf>
    <xf numFmtId="0" fontId="41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4" fillId="0" borderId="0" xfId="0" applyFont="1">
      <alignment vertical="center"/>
    </xf>
    <xf numFmtId="0" fontId="32" fillId="3" borderId="0" xfId="0" applyFont="1" applyFill="1">
      <alignment vertical="center"/>
    </xf>
    <xf numFmtId="0" fontId="24" fillId="7" borderId="0" xfId="0" applyFont="1" applyFill="1">
      <alignment vertical="center"/>
    </xf>
    <xf numFmtId="0" fontId="24" fillId="4" borderId="0" xfId="0" applyFont="1" applyFill="1">
      <alignment vertical="center"/>
    </xf>
    <xf numFmtId="0" fontId="24" fillId="12" borderId="0" xfId="0" applyFont="1" applyFill="1">
      <alignment vertical="center"/>
    </xf>
    <xf numFmtId="0" fontId="21" fillId="0" borderId="0" xfId="0" applyFont="1">
      <alignment vertical="center"/>
    </xf>
    <xf numFmtId="0" fontId="25" fillId="0" borderId="0" xfId="0" applyFont="1">
      <alignment vertical="center"/>
    </xf>
    <xf numFmtId="0" fontId="23" fillId="12" borderId="2" xfId="0" applyFont="1" applyFill="1" applyBorder="1">
      <alignment vertical="center"/>
    </xf>
    <xf numFmtId="0" fontId="21" fillId="12" borderId="2" xfId="0" applyFont="1" applyFill="1" applyBorder="1">
      <alignment vertical="center"/>
    </xf>
    <xf numFmtId="0" fontId="39" fillId="12" borderId="2" xfId="0" applyFont="1" applyFill="1" applyBorder="1">
      <alignment vertical="center"/>
    </xf>
    <xf numFmtId="0" fontId="34" fillId="11" borderId="2" xfId="0" applyFont="1" applyFill="1" applyBorder="1">
      <alignment vertical="center"/>
    </xf>
    <xf numFmtId="0" fontId="21" fillId="12" borderId="27" xfId="0" applyFont="1" applyFill="1" applyBorder="1">
      <alignment vertical="center"/>
    </xf>
    <xf numFmtId="0" fontId="34" fillId="12" borderId="27" xfId="0" applyFont="1" applyFill="1" applyBorder="1">
      <alignment vertical="center"/>
    </xf>
    <xf numFmtId="0" fontId="34" fillId="11" borderId="27" xfId="0" applyFont="1" applyFill="1" applyBorder="1">
      <alignment vertical="center"/>
    </xf>
    <xf numFmtId="0" fontId="7" fillId="0" borderId="0" xfId="0" applyFont="1">
      <alignment vertical="center"/>
    </xf>
    <xf numFmtId="0" fontId="33" fillId="0" borderId="0" xfId="0" applyFont="1">
      <alignment vertical="center"/>
    </xf>
    <xf numFmtId="0" fontId="32" fillId="0" borderId="0" xfId="0" applyFont="1">
      <alignment vertical="center"/>
    </xf>
    <xf numFmtId="0" fontId="32" fillId="3" borderId="0" xfId="0" applyFont="1" applyFill="1" applyAlignment="1">
      <alignment horizontal="right" vertical="center"/>
    </xf>
    <xf numFmtId="0" fontId="16" fillId="0" borderId="0" xfId="0" applyFont="1" applyAlignment="1">
      <alignment horizontal="right" vertical="center"/>
    </xf>
    <xf numFmtId="0" fontId="21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21" fillId="0" borderId="0" xfId="0" applyFont="1" applyAlignment="1">
      <alignment horizontal="right" vertical="center"/>
    </xf>
    <xf numFmtId="0" fontId="34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21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9" fillId="0" borderId="3" xfId="0" applyFont="1" applyBorder="1" applyAlignment="1">
      <alignment horizontal="left" vertical="center"/>
    </xf>
    <xf numFmtId="0" fontId="27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179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79" fontId="83" fillId="2" borderId="5" xfId="1" applyFont="1" applyFill="1" applyBorder="1" applyAlignment="1">
      <alignment horizontal="left" vertical="center" wrapText="1"/>
    </xf>
    <xf numFmtId="179" fontId="83" fillId="2" borderId="28" xfId="1" applyFont="1" applyFill="1" applyBorder="1" applyAlignment="1">
      <alignment horizontal="left" vertical="center" wrapText="1"/>
    </xf>
    <xf numFmtId="0" fontId="84" fillId="2" borderId="6" xfId="1" applyNumberFormat="1" applyFont="1" applyFill="1" applyBorder="1" applyAlignment="1">
      <alignment horizontal="left" vertical="center" wrapText="1"/>
    </xf>
    <xf numFmtId="14" fontId="84" fillId="2" borderId="6" xfId="1" applyNumberFormat="1" applyFont="1" applyFill="1" applyBorder="1" applyAlignment="1">
      <alignment horizontal="left" vertical="center" wrapText="1"/>
    </xf>
    <xf numFmtId="176" fontId="84" fillId="2" borderId="6" xfId="1" applyNumberFormat="1" applyFont="1" applyFill="1" applyBorder="1" applyAlignment="1">
      <alignment horizontal="left" vertical="center" wrapText="1"/>
    </xf>
    <xf numFmtId="0" fontId="85" fillId="3" borderId="6" xfId="1" applyNumberFormat="1" applyFont="1" applyFill="1" applyBorder="1" applyAlignment="1">
      <alignment horizontal="center" vertical="center" wrapText="1"/>
    </xf>
    <xf numFmtId="179" fontId="86" fillId="3" borderId="6" xfId="1" applyFont="1" applyFill="1" applyBorder="1" applyAlignment="1">
      <alignment horizontal="center" vertical="center" wrapText="1"/>
    </xf>
    <xf numFmtId="0" fontId="86" fillId="3" borderId="6" xfId="1" applyNumberFormat="1" applyFont="1" applyFill="1" applyBorder="1" applyAlignment="1">
      <alignment horizontal="center" vertical="center" wrapText="1"/>
    </xf>
    <xf numFmtId="14" fontId="86" fillId="3" borderId="6" xfId="1" applyNumberFormat="1" applyFont="1" applyFill="1" applyBorder="1" applyAlignment="1">
      <alignment horizontal="center" vertical="center" wrapText="1"/>
    </xf>
    <xf numFmtId="177" fontId="86" fillId="3" borderId="6" xfId="1" applyNumberFormat="1" applyFont="1" applyFill="1" applyBorder="1" applyAlignment="1">
      <alignment horizontal="center" vertical="center" wrapText="1"/>
    </xf>
    <xf numFmtId="178" fontId="85" fillId="3" borderId="6" xfId="1" applyNumberFormat="1" applyFont="1" applyFill="1" applyBorder="1" applyAlignment="1">
      <alignment horizontal="center" vertical="center" wrapText="1"/>
    </xf>
    <xf numFmtId="177" fontId="87" fillId="3" borderId="6" xfId="1" applyNumberFormat="1" applyFont="1" applyFill="1" applyBorder="1" applyAlignment="1">
      <alignment horizontal="center" vertical="center" wrapText="1"/>
    </xf>
    <xf numFmtId="179" fontId="87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79" fontId="4" fillId="0" borderId="2" xfId="1" applyFont="1" applyBorder="1" applyAlignment="1">
      <alignment horizontal="center" vertical="center"/>
    </xf>
    <xf numFmtId="179" fontId="26" fillId="6" borderId="8" xfId="1" applyFont="1" applyFill="1" applyBorder="1" applyAlignment="1">
      <alignment horizontal="left" vertical="center" wrapText="1"/>
    </xf>
    <xf numFmtId="179" fontId="26" fillId="6" borderId="4" xfId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 wrapText="1"/>
    </xf>
    <xf numFmtId="176" fontId="11" fillId="6" borderId="2" xfId="1" applyNumberFormat="1" applyFont="1" applyFill="1" applyBorder="1" applyAlignment="1">
      <alignment horizontal="left" vertical="center" wrapText="1"/>
    </xf>
    <xf numFmtId="0" fontId="11" fillId="6" borderId="2" xfId="1" applyNumberFormat="1" applyFont="1" applyFill="1" applyBorder="1" applyAlignment="1">
      <alignment horizontal="left" vertical="center"/>
    </xf>
    <xf numFmtId="0" fontId="88" fillId="3" borderId="2" xfId="1" applyNumberFormat="1" applyFont="1" applyFill="1" applyBorder="1" applyAlignment="1">
      <alignment horizontal="center" vertical="center"/>
    </xf>
    <xf numFmtId="179" fontId="16" fillId="0" borderId="2" xfId="1" applyFont="1" applyBorder="1" applyAlignment="1">
      <alignment horizontal="center" vertical="center"/>
    </xf>
    <xf numFmtId="0" fontId="16" fillId="0" borderId="2" xfId="1" applyNumberFormat="1" applyFont="1" applyBorder="1" applyAlignment="1">
      <alignment horizontal="center" vertical="center"/>
    </xf>
    <xf numFmtId="14" fontId="16" fillId="0" borderId="2" xfId="1" applyNumberFormat="1" applyFont="1" applyBorder="1" applyAlignment="1">
      <alignment horizontal="center" vertical="center"/>
    </xf>
    <xf numFmtId="0" fontId="88" fillId="0" borderId="2" xfId="1" applyNumberFormat="1" applyFont="1" applyBorder="1" applyAlignment="1">
      <alignment horizontal="center" vertical="center"/>
    </xf>
    <xf numFmtId="179" fontId="88" fillId="0" borderId="2" xfId="1" applyFont="1" applyBorder="1" applyAlignment="1">
      <alignment horizontal="center" vertical="center"/>
    </xf>
    <xf numFmtId="178" fontId="88" fillId="0" borderId="2" xfId="1" applyNumberFormat="1" applyFont="1" applyBorder="1" applyAlignment="1">
      <alignment horizontal="center" vertical="center"/>
    </xf>
    <xf numFmtId="179" fontId="16" fillId="0" borderId="9" xfId="1" applyFont="1" applyBorder="1" applyAlignment="1">
      <alignment horizontal="center" vertical="center"/>
    </xf>
    <xf numFmtId="0" fontId="16" fillId="0" borderId="4" xfId="1" applyNumberFormat="1" applyFont="1" applyBorder="1" applyAlignment="1">
      <alignment horizontal="center" vertical="center"/>
    </xf>
    <xf numFmtId="179" fontId="26" fillId="6" borderId="8" xfId="1" applyFont="1" applyFill="1" applyBorder="1" applyAlignment="1">
      <alignment horizontal="left" vertical="center"/>
    </xf>
    <xf numFmtId="0" fontId="11" fillId="3" borderId="2" xfId="1" applyNumberFormat="1" applyFont="1" applyFill="1" applyBorder="1" applyAlignment="1">
      <alignment horizontal="center" vertical="center"/>
    </xf>
    <xf numFmtId="179" fontId="32" fillId="0" borderId="2" xfId="1" applyFont="1" applyBorder="1" applyAlignment="1">
      <alignment horizontal="center" vertical="center"/>
    </xf>
    <xf numFmtId="0" fontId="32" fillId="0" borderId="2" xfId="1" applyNumberFormat="1" applyFont="1" applyBorder="1" applyAlignment="1">
      <alignment horizontal="center" vertical="center"/>
    </xf>
    <xf numFmtId="14" fontId="32" fillId="0" borderId="2" xfId="1" applyNumberFormat="1" applyFont="1" applyBorder="1" applyAlignment="1">
      <alignment horizontal="center" vertical="center"/>
    </xf>
    <xf numFmtId="0" fontId="11" fillId="0" borderId="2" xfId="1" applyNumberFormat="1" applyFont="1" applyBorder="1" applyAlignment="1">
      <alignment horizontal="center" vertical="center"/>
    </xf>
    <xf numFmtId="179" fontId="11" fillId="0" borderId="2" xfId="1" applyFont="1" applyBorder="1" applyAlignment="1">
      <alignment horizontal="center" vertical="center"/>
    </xf>
    <xf numFmtId="178" fontId="11" fillId="0" borderId="2" xfId="1" applyNumberFormat="1" applyFont="1" applyBorder="1" applyAlignment="1">
      <alignment horizontal="center" vertical="center"/>
    </xf>
    <xf numFmtId="179" fontId="32" fillId="0" borderId="9" xfId="1" applyFont="1" applyBorder="1" applyAlignment="1">
      <alignment horizontal="center" vertical="center"/>
    </xf>
    <xf numFmtId="0" fontId="32" fillId="0" borderId="4" xfId="1" applyNumberFormat="1" applyFont="1" applyBorder="1" applyAlignment="1">
      <alignment horizontal="center" vertical="center"/>
    </xf>
    <xf numFmtId="14" fontId="32" fillId="6" borderId="2" xfId="1" applyNumberFormat="1" applyFont="1" applyFill="1" applyBorder="1" applyAlignment="1">
      <alignment horizontal="center" vertical="center"/>
    </xf>
    <xf numFmtId="0" fontId="11" fillId="3" borderId="2" xfId="1" applyNumberFormat="1" applyFont="1" applyFill="1" applyBorder="1" applyAlignment="1">
      <alignment horizontal="center" vertical="center" wrapText="1"/>
    </xf>
    <xf numFmtId="179" fontId="26" fillId="0" borderId="2" xfId="1" applyFont="1" applyBorder="1" applyAlignment="1">
      <alignment horizontal="center" vertical="center" wrapText="1"/>
    </xf>
    <xf numFmtId="0" fontId="26" fillId="0" borderId="2" xfId="1" applyNumberFormat="1" applyFont="1" applyBorder="1" applyAlignment="1">
      <alignment horizontal="center" vertical="center" wrapText="1"/>
    </xf>
    <xf numFmtId="14" fontId="26" fillId="0" borderId="2" xfId="1" applyNumberFormat="1" applyFont="1" applyBorder="1" applyAlignment="1">
      <alignment horizontal="center" vertical="center" wrapText="1"/>
    </xf>
    <xf numFmtId="177" fontId="32" fillId="0" borderId="2" xfId="1" applyNumberFormat="1" applyFont="1" applyBorder="1" applyAlignment="1">
      <alignment horizontal="center" vertical="center"/>
    </xf>
    <xf numFmtId="177" fontId="11" fillId="0" borderId="2" xfId="1" applyNumberFormat="1" applyFont="1" applyBorder="1" applyAlignment="1">
      <alignment horizontal="center" vertical="center"/>
    </xf>
    <xf numFmtId="179" fontId="88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79" fontId="2" fillId="0" borderId="2" xfId="1" applyFont="1" applyBorder="1" applyAlignment="1">
      <alignment horizontal="center" vertical="center"/>
    </xf>
    <xf numFmtId="14" fontId="11" fillId="6" borderId="2" xfId="1" applyNumberFormat="1" applyFont="1" applyFill="1" applyBorder="1" applyAlignment="1">
      <alignment horizontal="left" vertical="center" wrapText="1"/>
    </xf>
    <xf numFmtId="0" fontId="89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9" fillId="0" borderId="2" xfId="1" applyNumberFormat="1" applyFont="1" applyBorder="1" applyAlignment="1">
      <alignment horizontal="center" vertical="center"/>
    </xf>
    <xf numFmtId="179" fontId="89" fillId="0" borderId="2" xfId="1" applyFont="1" applyBorder="1" applyAlignment="1">
      <alignment horizontal="center" vertical="center"/>
    </xf>
    <xf numFmtId="178" fontId="89" fillId="0" borderId="2" xfId="1" applyNumberFormat="1" applyFont="1" applyBorder="1" applyAlignment="1">
      <alignment horizontal="center" vertical="center"/>
    </xf>
    <xf numFmtId="179" fontId="2" fillId="0" borderId="9" xfId="1" applyFont="1" applyBorder="1" applyAlignment="1">
      <alignment horizontal="center" vertical="center"/>
    </xf>
    <xf numFmtId="179" fontId="26" fillId="0" borderId="8" xfId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 wrapText="1"/>
    </xf>
    <xf numFmtId="176" fontId="11" fillId="0" borderId="2" xfId="1" applyNumberFormat="1" applyFont="1" applyBorder="1" applyAlignment="1">
      <alignment horizontal="left" vertical="center" wrapText="1"/>
    </xf>
    <xf numFmtId="0" fontId="11" fillId="0" borderId="2" xfId="1" applyNumberFormat="1" applyFont="1" applyBorder="1" applyAlignment="1">
      <alignment horizontal="left" vertical="center"/>
    </xf>
    <xf numFmtId="179" fontId="26" fillId="0" borderId="8" xfId="1" applyFont="1" applyBorder="1" applyAlignment="1">
      <alignment horizontal="left" vertical="center"/>
    </xf>
    <xf numFmtId="14" fontId="11" fillId="0" borderId="2" xfId="1" applyNumberFormat="1" applyFont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 wrapText="1"/>
    </xf>
    <xf numFmtId="176" fontId="11" fillId="8" borderId="2" xfId="1" applyNumberFormat="1" applyFont="1" applyFill="1" applyBorder="1" applyAlignment="1">
      <alignment horizontal="left" vertical="center" wrapText="1"/>
    </xf>
    <xf numFmtId="0" fontId="11" fillId="8" borderId="2" xfId="1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11" fillId="32" borderId="2" xfId="1" applyNumberFormat="1" applyFont="1" applyFill="1" applyBorder="1" applyAlignment="1">
      <alignment horizontal="left" vertical="center" wrapText="1"/>
    </xf>
    <xf numFmtId="176" fontId="11" fillId="32" borderId="2" xfId="1" applyNumberFormat="1" applyFont="1" applyFill="1" applyBorder="1" applyAlignment="1">
      <alignment horizontal="left" vertical="center" wrapText="1"/>
    </xf>
    <xf numFmtId="0" fontId="11" fillId="32" borderId="2" xfId="1" applyNumberFormat="1" applyFont="1" applyFill="1" applyBorder="1" applyAlignment="1">
      <alignment horizontal="left" vertical="center"/>
    </xf>
    <xf numFmtId="3" fontId="11" fillId="0" borderId="2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 wrapText="1"/>
    </xf>
    <xf numFmtId="176" fontId="11" fillId="0" borderId="1" xfId="1" applyNumberFormat="1" applyFont="1" applyBorder="1" applyAlignment="1">
      <alignment horizontal="left" vertical="center" wrapText="1"/>
    </xf>
    <xf numFmtId="0" fontId="11" fillId="0" borderId="1" xfId="1" applyNumberFormat="1" applyFont="1" applyBorder="1" applyAlignment="1">
      <alignment horizontal="left" vertical="center"/>
    </xf>
    <xf numFmtId="0" fontId="89" fillId="3" borderId="1" xfId="1" applyNumberFormat="1" applyFont="1" applyFill="1" applyBorder="1" applyAlignment="1">
      <alignment horizontal="center" vertical="center"/>
    </xf>
    <xf numFmtId="179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9" fillId="0" borderId="1" xfId="1" applyNumberFormat="1" applyFont="1" applyBorder="1" applyAlignment="1">
      <alignment horizontal="center" vertical="center"/>
    </xf>
    <xf numFmtId="179" fontId="89" fillId="0" borderId="1" xfId="1" applyFont="1" applyBorder="1" applyAlignment="1">
      <alignment horizontal="center" vertical="center"/>
    </xf>
    <xf numFmtId="178" fontId="89" fillId="0" borderId="1" xfId="1" applyNumberFormat="1" applyFont="1" applyBorder="1" applyAlignment="1">
      <alignment horizontal="center" vertical="center"/>
    </xf>
    <xf numFmtId="179" fontId="2" fillId="0" borderId="68" xfId="1" applyFont="1" applyBorder="1" applyAlignment="1">
      <alignment horizontal="center" vertical="center"/>
    </xf>
    <xf numFmtId="179" fontId="26" fillId="0" borderId="67" xfId="1" applyFont="1" applyBorder="1" applyAlignment="1">
      <alignment horizontal="left" vertical="center" wrapText="1"/>
    </xf>
    <xf numFmtId="179" fontId="26" fillId="0" borderId="67" xfId="1" applyFont="1" applyBorder="1" applyAlignment="1">
      <alignment horizontal="left" vertical="center"/>
    </xf>
    <xf numFmtId="179" fontId="26" fillId="0" borderId="31" xfId="1" applyFont="1" applyBorder="1" applyAlignment="1">
      <alignment horizontal="left" vertical="center" wrapText="1"/>
    </xf>
    <xf numFmtId="179" fontId="26" fillId="6" borderId="32" xfId="1" applyFont="1" applyFill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 wrapText="1"/>
    </xf>
    <xf numFmtId="176" fontId="11" fillId="0" borderId="33" xfId="1" applyNumberFormat="1" applyFont="1" applyBorder="1" applyAlignment="1">
      <alignment horizontal="left" vertical="center" wrapText="1"/>
    </xf>
    <xf numFmtId="0" fontId="11" fillId="0" borderId="33" xfId="1" applyNumberFormat="1" applyFont="1" applyBorder="1" applyAlignment="1">
      <alignment horizontal="left" vertical="center"/>
    </xf>
    <xf numFmtId="0" fontId="89" fillId="3" borderId="33" xfId="1" applyNumberFormat="1" applyFont="1" applyFill="1" applyBorder="1" applyAlignment="1">
      <alignment horizontal="center" vertical="center"/>
    </xf>
    <xf numFmtId="179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9" fillId="0" borderId="33" xfId="1" applyNumberFormat="1" applyFont="1" applyBorder="1" applyAlignment="1">
      <alignment horizontal="center" vertical="center"/>
    </xf>
    <xf numFmtId="179" fontId="89" fillId="0" borderId="33" xfId="1" applyFont="1" applyBorder="1" applyAlignment="1">
      <alignment horizontal="center" vertical="center"/>
    </xf>
    <xf numFmtId="178" fontId="89" fillId="0" borderId="33" xfId="1" applyNumberFormat="1" applyFont="1" applyBorder="1" applyAlignment="1">
      <alignment horizontal="center" vertical="center"/>
    </xf>
    <xf numFmtId="179" fontId="2" fillId="0" borderId="34" xfId="1" applyFont="1" applyBorder="1" applyAlignment="1">
      <alignment horizontal="center" vertical="center"/>
    </xf>
    <xf numFmtId="179" fontId="26" fillId="0" borderId="29" xfId="1" applyFont="1" applyBorder="1" applyAlignment="1">
      <alignment horizontal="left" vertical="center" wrapText="1"/>
    </xf>
    <xf numFmtId="179" fontId="26" fillId="6" borderId="17" xfId="1" applyFont="1" applyFill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left" vertical="center" wrapText="1"/>
    </xf>
    <xf numFmtId="176" fontId="11" fillId="0" borderId="3" xfId="1" applyNumberFormat="1" applyFont="1" applyBorder="1" applyAlignment="1">
      <alignment horizontal="left" vertical="center" wrapText="1"/>
    </xf>
    <xf numFmtId="0" fontId="11" fillId="0" borderId="3" xfId="1" applyNumberFormat="1" applyFont="1" applyBorder="1" applyAlignment="1">
      <alignment horizontal="center" vertical="center"/>
    </xf>
    <xf numFmtId="0" fontId="11" fillId="3" borderId="3" xfId="1" applyNumberFormat="1" applyFont="1" applyFill="1" applyBorder="1" applyAlignment="1">
      <alignment horizontal="center" vertical="center" wrapText="1"/>
    </xf>
    <xf numFmtId="179" fontId="26" fillId="0" borderId="3" xfId="1" applyFont="1" applyBorder="1" applyAlignment="1">
      <alignment horizontal="center" vertical="center" wrapText="1"/>
    </xf>
    <xf numFmtId="177" fontId="11" fillId="0" borderId="3" xfId="1" applyNumberFormat="1" applyFont="1" applyBorder="1" applyAlignment="1">
      <alignment horizontal="center" vertical="center"/>
    </xf>
    <xf numFmtId="179" fontId="88" fillId="0" borderId="3" xfId="1" applyFont="1" applyBorder="1" applyAlignment="1">
      <alignment horizontal="center" vertical="center"/>
    </xf>
    <xf numFmtId="179" fontId="88" fillId="0" borderId="30" xfId="1" applyFont="1" applyBorder="1" applyAlignment="1">
      <alignment horizontal="left" vertical="center"/>
    </xf>
    <xf numFmtId="179" fontId="88" fillId="0" borderId="9" xfId="1" applyFont="1" applyBorder="1" applyAlignment="1">
      <alignment horizontal="left" vertical="center"/>
    </xf>
    <xf numFmtId="0" fontId="32" fillId="0" borderId="2" xfId="1" applyNumberFormat="1" applyFont="1" applyBorder="1" applyAlignment="1">
      <alignment horizontal="center" vertical="center" wrapText="1"/>
    </xf>
    <xf numFmtId="0" fontId="11" fillId="0" borderId="2" xfId="1" applyNumberFormat="1" applyFont="1" applyBorder="1" applyAlignment="1">
      <alignment horizontal="center" vertical="center" wrapText="1"/>
    </xf>
    <xf numFmtId="179" fontId="11" fillId="0" borderId="2" xfId="1" applyFont="1" applyBorder="1" applyAlignment="1">
      <alignment horizontal="center" vertical="center" wrapText="1"/>
    </xf>
    <xf numFmtId="0" fontId="11" fillId="8" borderId="2" xfId="1" applyNumberFormat="1" applyFont="1" applyFill="1" applyBorder="1" applyAlignment="1">
      <alignment horizontal="center" vertical="center" wrapText="1"/>
    </xf>
    <xf numFmtId="179" fontId="27" fillId="0" borderId="8" xfId="1" applyFont="1" applyBorder="1" applyAlignment="1">
      <alignment horizontal="left" vertical="center"/>
    </xf>
    <xf numFmtId="0" fontId="87" fillId="0" borderId="2" xfId="1" applyNumberFormat="1" applyFont="1" applyBorder="1" applyAlignment="1">
      <alignment horizontal="left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76" fontId="87" fillId="0" borderId="2" xfId="1" applyNumberFormat="1" applyFont="1" applyBorder="1" applyAlignment="1">
      <alignment horizontal="left" vertical="center" wrapText="1"/>
    </xf>
    <xf numFmtId="0" fontId="87" fillId="0" borderId="2" xfId="1" applyNumberFormat="1" applyFont="1" applyBorder="1" applyAlignment="1">
      <alignment horizontal="center" vertical="center"/>
    </xf>
    <xf numFmtId="0" fontId="87" fillId="3" borderId="2" xfId="1" applyNumberFormat="1" applyFont="1" applyFill="1" applyBorder="1" applyAlignment="1">
      <alignment horizontal="center" vertical="center" wrapText="1"/>
    </xf>
    <xf numFmtId="179" fontId="27" fillId="0" borderId="2" xfId="1" applyFont="1" applyBorder="1" applyAlignment="1">
      <alignment horizontal="center" vertical="center" wrapText="1"/>
    </xf>
    <xf numFmtId="0" fontId="27" fillId="0" borderId="2" xfId="1" applyNumberFormat="1" applyFont="1" applyBorder="1" applyAlignment="1">
      <alignment horizontal="center" vertical="center" wrapText="1"/>
    </xf>
    <xf numFmtId="179" fontId="28" fillId="0" borderId="8" xfId="1" applyFont="1" applyBorder="1" applyAlignment="1">
      <alignment horizontal="left" vertical="center"/>
    </xf>
    <xf numFmtId="0" fontId="90" fillId="0" borderId="2" xfId="1" applyNumberFormat="1" applyFont="1" applyBorder="1" applyAlignment="1">
      <alignment horizontal="left" vertical="center" wrapText="1"/>
    </xf>
    <xf numFmtId="0" fontId="91" fillId="0" borderId="2" xfId="1" applyNumberFormat="1" applyFont="1" applyBorder="1" applyAlignment="1">
      <alignment horizontal="center" vertical="center" wrapText="1"/>
    </xf>
    <xf numFmtId="176" fontId="90" fillId="0" borderId="2" xfId="1" applyNumberFormat="1" applyFont="1" applyBorder="1" applyAlignment="1">
      <alignment horizontal="left" vertical="center" wrapText="1"/>
    </xf>
    <xf numFmtId="0" fontId="90" fillId="0" borderId="2" xfId="1" applyNumberFormat="1" applyFont="1" applyBorder="1" applyAlignment="1">
      <alignment horizontal="center" vertical="center"/>
    </xf>
    <xf numFmtId="0" fontId="90" fillId="3" borderId="2" xfId="1" applyNumberFormat="1" applyFont="1" applyFill="1" applyBorder="1" applyAlignment="1">
      <alignment horizontal="center" vertical="center" wrapText="1"/>
    </xf>
    <xf numFmtId="179" fontId="28" fillId="0" borderId="2" xfId="1" applyFont="1" applyBorder="1" applyAlignment="1">
      <alignment horizontal="center" vertical="center" wrapText="1"/>
    </xf>
    <xf numFmtId="0" fontId="28" fillId="0" borderId="2" xfId="1" applyNumberFormat="1" applyFont="1" applyBorder="1" applyAlignment="1">
      <alignment horizontal="center" vertical="center" wrapText="1"/>
    </xf>
    <xf numFmtId="179" fontId="27" fillId="0" borderId="10" xfId="1" applyFont="1" applyBorder="1" applyAlignment="1">
      <alignment horizontal="left" vertical="center"/>
    </xf>
    <xf numFmtId="179" fontId="87" fillId="0" borderId="11" xfId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left" vertical="center" wrapText="1"/>
    </xf>
    <xf numFmtId="0" fontId="22" fillId="0" borderId="11" xfId="1" applyNumberFormat="1" applyFont="1" applyBorder="1" applyAlignment="1">
      <alignment horizontal="center" vertical="center" wrapText="1"/>
    </xf>
    <xf numFmtId="176" fontId="87" fillId="0" borderId="11" xfId="1" applyNumberFormat="1" applyFont="1" applyBorder="1" applyAlignment="1">
      <alignment horizontal="left" vertical="center" wrapText="1"/>
    </xf>
    <xf numFmtId="0" fontId="87" fillId="0" borderId="11" xfId="1" applyNumberFormat="1" applyFont="1" applyBorder="1" applyAlignment="1">
      <alignment horizontal="center" vertical="center"/>
    </xf>
    <xf numFmtId="0" fontId="87" fillId="3" borderId="11" xfId="1" applyNumberFormat="1" applyFont="1" applyFill="1" applyBorder="1" applyAlignment="1">
      <alignment horizontal="center" vertical="center" wrapText="1"/>
    </xf>
    <xf numFmtId="179" fontId="27" fillId="0" borderId="11" xfId="1" applyFont="1" applyBorder="1" applyAlignment="1">
      <alignment horizontal="center" vertical="center" wrapText="1"/>
    </xf>
    <xf numFmtId="0" fontId="27" fillId="0" borderId="11" xfId="1" applyNumberFormat="1" applyFont="1" applyBorder="1" applyAlignment="1">
      <alignment horizontal="center" vertical="center" wrapText="1"/>
    </xf>
    <xf numFmtId="0" fontId="88" fillId="0" borderId="11" xfId="1" applyNumberFormat="1" applyFont="1" applyBorder="1" applyAlignment="1">
      <alignment horizontal="center" vertical="center"/>
    </xf>
    <xf numFmtId="177" fontId="11" fillId="0" borderId="11" xfId="1" applyNumberFormat="1" applyFont="1" applyBorder="1" applyAlignment="1">
      <alignment horizontal="center" vertical="center"/>
    </xf>
    <xf numFmtId="178" fontId="11" fillId="0" borderId="11" xfId="1" applyNumberFormat="1" applyFont="1" applyBorder="1" applyAlignment="1">
      <alignment horizontal="center" vertical="center"/>
    </xf>
    <xf numFmtId="179" fontId="88" fillId="0" borderId="11" xfId="1" applyFont="1" applyBorder="1" applyAlignment="1">
      <alignment horizontal="center" vertical="center"/>
    </xf>
    <xf numFmtId="179" fontId="88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79" fontId="2" fillId="0" borderId="11" xfId="1" applyFont="1" applyBorder="1" applyAlignment="1">
      <alignment horizontal="center" vertical="center"/>
    </xf>
    <xf numFmtId="179" fontId="26" fillId="0" borderId="3" xfId="1" applyFont="1" applyBorder="1" applyAlignment="1">
      <alignment horizontal="left" vertical="center"/>
    </xf>
    <xf numFmtId="0" fontId="32" fillId="0" borderId="3" xfId="1" applyNumberFormat="1" applyFont="1" applyBorder="1" applyAlignment="1">
      <alignment horizontal="center" vertical="center" wrapText="1"/>
    </xf>
    <xf numFmtId="0" fontId="85" fillId="0" borderId="3" xfId="1" applyNumberFormat="1" applyFont="1" applyBorder="1" applyAlignment="1">
      <alignment horizontal="center" vertical="center"/>
    </xf>
    <xf numFmtId="0" fontId="26" fillId="0" borderId="3" xfId="1" applyNumberFormat="1" applyFont="1" applyBorder="1" applyAlignment="1">
      <alignment horizontal="center" vertical="center" wrapText="1"/>
    </xf>
    <xf numFmtId="14" fontId="26" fillId="0" borderId="3" xfId="1" applyNumberFormat="1" applyFont="1" applyBorder="1" applyAlignment="1">
      <alignment horizontal="center" vertical="center" wrapText="1"/>
    </xf>
    <xf numFmtId="0" fontId="86" fillId="0" borderId="3" xfId="1" applyNumberFormat="1" applyFont="1" applyBorder="1" applyAlignment="1">
      <alignment horizontal="center" vertical="center" wrapText="1"/>
    </xf>
    <xf numFmtId="177" fontId="32" fillId="0" borderId="3" xfId="1" applyNumberFormat="1" applyFont="1" applyBorder="1" applyAlignment="1">
      <alignment horizontal="center" vertical="center"/>
    </xf>
    <xf numFmtId="178" fontId="11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79" fontId="2" fillId="0" borderId="3" xfId="1" applyFont="1" applyBorder="1" applyAlignment="1">
      <alignment horizontal="center" vertical="center"/>
    </xf>
    <xf numFmtId="179" fontId="26" fillId="0" borderId="2" xfId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right" vertical="center" wrapText="1"/>
    </xf>
    <xf numFmtId="179" fontId="28" fillId="0" borderId="4" xfId="1" applyFont="1" applyBorder="1" applyAlignment="1">
      <alignment horizontal="left" vertical="center"/>
    </xf>
    <xf numFmtId="14" fontId="90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92" fillId="8" borderId="2" xfId="0" applyNumberFormat="1" applyFont="1" applyFill="1" applyBorder="1" applyAlignment="1">
      <alignment horizontal="left" vertical="center"/>
    </xf>
    <xf numFmtId="0" fontId="9" fillId="4" borderId="2" xfId="0" applyFont="1" applyFill="1" applyBorder="1" applyAlignment="1">
      <alignment horizontal="left" vertical="center"/>
    </xf>
    <xf numFmtId="179" fontId="10" fillId="0" borderId="0" xfId="0" applyNumberFormat="1" applyFont="1" applyAlignment="1">
      <alignment horizontal="left" vertical="center"/>
    </xf>
    <xf numFmtId="179" fontId="10" fillId="4" borderId="0" xfId="0" applyNumberFormat="1" applyFont="1" applyFill="1" applyAlignment="1">
      <alignment horizontal="left" vertical="center"/>
    </xf>
    <xf numFmtId="0" fontId="9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96" fillId="0" borderId="2" xfId="1" applyNumberFormat="1" applyFont="1" applyBorder="1" applyAlignment="1">
      <alignment horizontal="left" vertical="center" wrapText="1"/>
    </xf>
    <xf numFmtId="179" fontId="98" fillId="0" borderId="9" xfId="1" applyFont="1" applyBorder="1" applyAlignment="1">
      <alignment horizontal="center" vertical="center"/>
    </xf>
    <xf numFmtId="179" fontId="101" fillId="0" borderId="2" xfId="1" applyFont="1" applyBorder="1" applyAlignment="1">
      <alignment horizontal="center" vertical="center" wrapText="1"/>
    </xf>
    <xf numFmtId="179" fontId="97" fillId="0" borderId="2" xfId="1" applyFont="1" applyBorder="1" applyAlignment="1">
      <alignment horizontal="center" vertical="center"/>
    </xf>
    <xf numFmtId="179" fontId="103" fillId="0" borderId="2" xfId="1" applyFont="1" applyBorder="1" applyAlignment="1">
      <alignment horizontal="center" vertical="center" wrapText="1"/>
    </xf>
    <xf numFmtId="179" fontId="102" fillId="0" borderId="2" xfId="1" applyFont="1" applyBorder="1" applyAlignment="1">
      <alignment horizontal="center" vertical="center" wrapText="1"/>
    </xf>
    <xf numFmtId="177" fontId="96" fillId="0" borderId="2" xfId="1" applyNumberFormat="1" applyFont="1" applyBorder="1" applyAlignment="1">
      <alignment horizontal="center" vertical="center" wrapText="1"/>
    </xf>
    <xf numFmtId="179" fontId="107" fillId="0" borderId="6" xfId="1" applyFont="1" applyBorder="1" applyAlignment="1">
      <alignment horizontal="center" vertical="center" wrapText="1"/>
    </xf>
    <xf numFmtId="0" fontId="107" fillId="0" borderId="6" xfId="1" applyNumberFormat="1" applyFont="1" applyBorder="1" applyAlignment="1">
      <alignment horizontal="center" vertical="center" wrapText="1"/>
    </xf>
    <xf numFmtId="0" fontId="108" fillId="0" borderId="6" xfId="1" applyNumberFormat="1" applyFont="1" applyBorder="1" applyAlignment="1">
      <alignment horizontal="center" vertical="center" wrapText="1"/>
    </xf>
    <xf numFmtId="179" fontId="109" fillId="0" borderId="0" xfId="0" applyNumberFormat="1" applyFont="1">
      <alignment vertical="center"/>
    </xf>
    <xf numFmtId="0" fontId="109" fillId="0" borderId="0" xfId="0" applyFont="1">
      <alignment vertical="center"/>
    </xf>
    <xf numFmtId="179" fontId="10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79" fontId="26" fillId="0" borderId="4" xfId="1" applyFont="1" applyBorder="1" applyAlignment="1">
      <alignment horizontal="left" vertical="center" wrapText="1"/>
    </xf>
    <xf numFmtId="14" fontId="11" fillId="0" borderId="1" xfId="1" applyNumberFormat="1" applyFont="1" applyBorder="1" applyAlignment="1">
      <alignment horizontal="left" vertical="center" wrapText="1"/>
    </xf>
    <xf numFmtId="0" fontId="11" fillId="4" borderId="1" xfId="1" applyNumberFormat="1" applyFont="1" applyFill="1" applyBorder="1" applyAlignment="1">
      <alignment horizontal="left" vertical="center"/>
    </xf>
    <xf numFmtId="0" fontId="11" fillId="4" borderId="2" xfId="1" applyNumberFormat="1" applyFont="1" applyFill="1" applyBorder="1" applyAlignment="1">
      <alignment horizontal="center" vertical="center"/>
    </xf>
    <xf numFmtId="179" fontId="97" fillId="0" borderId="9" xfId="1" applyFont="1" applyBorder="1" applyAlignment="1">
      <alignment horizontal="center" vertical="center"/>
    </xf>
    <xf numFmtId="179" fontId="26" fillId="4" borderId="2" xfId="1" applyFont="1" applyFill="1" applyBorder="1" applyAlignment="1">
      <alignment horizontal="center" vertical="center" wrapText="1"/>
    </xf>
    <xf numFmtId="14" fontId="9" fillId="4" borderId="2" xfId="0" applyNumberFormat="1" applyFont="1" applyFill="1" applyBorder="1" applyAlignment="1">
      <alignment horizontal="left" vertical="center"/>
    </xf>
    <xf numFmtId="0" fontId="14" fillId="0" borderId="2" xfId="112" applyBorder="1" applyAlignment="1">
      <alignment horizontal="center"/>
    </xf>
    <xf numFmtId="177" fontId="11" fillId="4" borderId="2" xfId="1" applyNumberFormat="1" applyFont="1" applyFill="1" applyBorder="1" applyAlignment="1">
      <alignment horizontal="center" vertical="center"/>
    </xf>
    <xf numFmtId="0" fontId="26" fillId="4" borderId="2" xfId="1" applyNumberFormat="1" applyFont="1" applyFill="1" applyBorder="1" applyAlignment="1">
      <alignment horizontal="center" vertical="center" wrapText="1"/>
    </xf>
    <xf numFmtId="14" fontId="92" fillId="0" borderId="2" xfId="0" applyNumberFormat="1" applyFont="1" applyBorder="1" applyAlignment="1">
      <alignment horizontal="left" vertical="center"/>
    </xf>
    <xf numFmtId="179" fontId="26" fillId="14" borderId="67" xfId="1" applyFont="1" applyFill="1" applyBorder="1" applyAlignment="1">
      <alignment horizontal="left" vertical="center"/>
    </xf>
    <xf numFmtId="179" fontId="26" fillId="14" borderId="4" xfId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 wrapText="1"/>
    </xf>
    <xf numFmtId="176" fontId="11" fillId="14" borderId="1" xfId="1" applyNumberFormat="1" applyFont="1" applyFill="1" applyBorder="1" applyAlignment="1">
      <alignment horizontal="left" vertical="center" wrapText="1"/>
    </xf>
    <xf numFmtId="0" fontId="11" fillId="14" borderId="1" xfId="1" applyNumberFormat="1" applyFont="1" applyFill="1" applyBorder="1" applyAlignment="1">
      <alignment horizontal="left" vertical="center"/>
    </xf>
    <xf numFmtId="179" fontId="103" fillId="14" borderId="2" xfId="1" applyFont="1" applyFill="1" applyBorder="1" applyAlignment="1">
      <alignment horizontal="center" vertical="center" wrapText="1"/>
    </xf>
    <xf numFmtId="179" fontId="26" fillId="14" borderId="2" xfId="1" applyFont="1" applyFill="1" applyBorder="1" applyAlignment="1">
      <alignment horizontal="center" vertical="center" wrapText="1"/>
    </xf>
    <xf numFmtId="14" fontId="9" fillId="14" borderId="2" xfId="0" applyNumberFormat="1" applyFont="1" applyFill="1" applyBorder="1" applyAlignment="1">
      <alignment horizontal="left" vertical="center"/>
    </xf>
    <xf numFmtId="0" fontId="26" fillId="14" borderId="2" xfId="1" applyNumberFormat="1" applyFont="1" applyFill="1" applyBorder="1" applyAlignment="1">
      <alignment horizontal="center" vertical="center" wrapText="1"/>
    </xf>
    <xf numFmtId="14" fontId="16" fillId="6" borderId="2" xfId="1" applyNumberFormat="1" applyFont="1" applyFill="1" applyBorder="1" applyAlignment="1">
      <alignment horizontal="center" vertical="center"/>
    </xf>
    <xf numFmtId="14" fontId="11" fillId="8" borderId="2" xfId="1" applyNumberFormat="1" applyFont="1" applyFill="1" applyBorder="1" applyAlignment="1">
      <alignment horizontal="left" vertical="center" wrapText="1"/>
    </xf>
    <xf numFmtId="14" fontId="11" fillId="32" borderId="2" xfId="1" applyNumberFormat="1" applyFont="1" applyFill="1" applyBorder="1" applyAlignment="1">
      <alignment horizontal="left" vertical="center" wrapText="1"/>
    </xf>
    <xf numFmtId="14" fontId="11" fillId="14" borderId="1" xfId="1" applyNumberFormat="1" applyFont="1" applyFill="1" applyBorder="1" applyAlignment="1">
      <alignment horizontal="left" vertical="center" wrapText="1"/>
    </xf>
    <xf numFmtId="14" fontId="11" fillId="0" borderId="33" xfId="1" applyNumberFormat="1" applyFont="1" applyBorder="1" applyAlignment="1">
      <alignment horizontal="left" vertical="center" wrapText="1"/>
    </xf>
    <xf numFmtId="14" fontId="11" fillId="0" borderId="3" xfId="1" applyNumberFormat="1" applyFont="1" applyBorder="1" applyAlignment="1">
      <alignment horizontal="left" vertical="center" wrapText="1"/>
    </xf>
    <xf numFmtId="14" fontId="87" fillId="0" borderId="2" xfId="1" applyNumberFormat="1" applyFont="1" applyBorder="1" applyAlignment="1">
      <alignment horizontal="left" vertical="center" wrapText="1"/>
    </xf>
    <xf numFmtId="14" fontId="87" fillId="0" borderId="11" xfId="1" applyNumberFormat="1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center"/>
    </xf>
    <xf numFmtId="179" fontId="125" fillId="0" borderId="0" xfId="0" applyNumberFormat="1" applyFont="1" applyAlignment="1">
      <alignment vertical="center" wrapText="1"/>
    </xf>
    <xf numFmtId="181" fontId="0" fillId="0" borderId="0" xfId="0" applyNumberFormat="1">
      <alignment vertical="center"/>
    </xf>
    <xf numFmtId="0" fontId="95" fillId="0" borderId="1" xfId="1" applyNumberFormat="1" applyFont="1" applyBorder="1" applyAlignment="1">
      <alignment horizontal="left" vertical="center" wrapText="1"/>
    </xf>
    <xf numFmtId="179" fontId="146" fillId="0" borderId="0" xfId="0" applyNumberFormat="1" applyFont="1">
      <alignment vertical="center"/>
    </xf>
    <xf numFmtId="0" fontId="0" fillId="0" borderId="2" xfId="0" applyBorder="1">
      <alignment vertical="center"/>
    </xf>
    <xf numFmtId="179" fontId="9" fillId="0" borderId="2" xfId="2" applyFont="1" applyBorder="1" applyAlignment="1">
      <alignment horizontal="right"/>
    </xf>
    <xf numFmtId="0" fontId="147" fillId="0" borderId="2" xfId="0" applyFont="1" applyBorder="1">
      <alignment vertical="center"/>
    </xf>
    <xf numFmtId="43" fontId="9" fillId="0" borderId="2" xfId="3" applyFont="1" applyBorder="1" applyAlignment="1"/>
    <xf numFmtId="179" fontId="9" fillId="0" borderId="2" xfId="2" applyFont="1" applyBorder="1" applyAlignment="1"/>
    <xf numFmtId="179" fontId="9" fillId="0" borderId="20" xfId="2" applyFont="1" applyBorder="1" applyAlignment="1">
      <alignment horizontal="right"/>
    </xf>
    <xf numFmtId="43" fontId="9" fillId="0" borderId="20" xfId="3" applyFont="1" applyBorder="1" applyAlignment="1"/>
    <xf numFmtId="0" fontId="11" fillId="8" borderId="2" xfId="1" applyNumberFormat="1" applyFont="1" applyFill="1" applyBorder="1" applyAlignment="1">
      <alignment horizontal="center" vertical="center"/>
    </xf>
    <xf numFmtId="0" fontId="26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79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52" fillId="0" borderId="2" xfId="0" applyNumberFormat="1" applyFont="1" applyBorder="1" applyAlignment="1">
      <alignment horizontal="left" vertical="center"/>
    </xf>
    <xf numFmtId="0" fontId="101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77" fontId="96" fillId="0" borderId="2" xfId="1" applyNumberFormat="1" applyFont="1" applyBorder="1" applyAlignment="1">
      <alignment horizontal="center" vertical="center"/>
    </xf>
    <xf numFmtId="179" fontId="26" fillId="35" borderId="2" xfId="1" applyFont="1" applyFill="1" applyBorder="1" applyAlignment="1">
      <alignment horizontal="center" vertical="center" wrapText="1"/>
    </xf>
    <xf numFmtId="0" fontId="9" fillId="35" borderId="2" xfId="0" applyFont="1" applyFill="1" applyBorder="1" applyAlignment="1">
      <alignment horizontal="left" vertical="center"/>
    </xf>
    <xf numFmtId="14" fontId="92" fillId="35" borderId="2" xfId="0" applyNumberFormat="1" applyFont="1" applyFill="1" applyBorder="1" applyAlignment="1">
      <alignment horizontal="left" vertical="center"/>
    </xf>
    <xf numFmtId="0" fontId="26" fillId="35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7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112" fillId="0" borderId="0" xfId="0" applyFont="1">
      <alignment vertical="center"/>
    </xf>
    <xf numFmtId="0" fontId="87" fillId="8" borderId="2" xfId="1" applyNumberFormat="1" applyFont="1" applyFill="1" applyBorder="1" applyAlignment="1">
      <alignment horizontal="center" vertical="center"/>
    </xf>
    <xf numFmtId="0" fontId="90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79" fontId="0" fillId="0" borderId="2" xfId="0" applyNumberFormat="1" applyBorder="1">
      <alignment vertical="center"/>
    </xf>
    <xf numFmtId="179" fontId="26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79" fontId="4" fillId="2" borderId="2" xfId="0" applyNumberFormat="1" applyFont="1" applyFill="1" applyBorder="1" applyAlignment="1">
      <alignment horizontal="center" vertical="center"/>
    </xf>
    <xf numFmtId="0" fontId="111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2" fillId="32" borderId="2" xfId="0" applyFont="1" applyFill="1" applyBorder="1" applyAlignment="1">
      <alignment horizontal="center" vertical="center"/>
    </xf>
    <xf numFmtId="0" fontId="156" fillId="0" borderId="21" xfId="0" applyFont="1" applyBorder="1" applyAlignment="1">
      <alignment horizontal="center" vertical="center"/>
    </xf>
    <xf numFmtId="0" fontId="157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8" borderId="2" xfId="0" applyFont="1" applyFill="1" applyBorder="1" applyAlignment="1">
      <alignment horizontal="center" vertical="center"/>
    </xf>
    <xf numFmtId="179" fontId="2" fillId="0" borderId="2" xfId="0" applyNumberFormat="1" applyFont="1" applyBorder="1" applyAlignment="1">
      <alignment horizontal="left" vertical="center"/>
    </xf>
    <xf numFmtId="179" fontId="27" fillId="0" borderId="29" xfId="1" applyFont="1" applyBorder="1" applyAlignment="1">
      <alignment horizontal="left" vertical="center"/>
    </xf>
    <xf numFmtId="0" fontId="87" fillId="0" borderId="3" xfId="1" applyNumberFormat="1" applyFont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center" vertical="center" wrapText="1"/>
    </xf>
    <xf numFmtId="14" fontId="87" fillId="0" borderId="3" xfId="1" applyNumberFormat="1" applyFont="1" applyBorder="1" applyAlignment="1">
      <alignment horizontal="left" vertical="center" wrapText="1"/>
    </xf>
    <xf numFmtId="176" fontId="87" fillId="0" borderId="3" xfId="1" applyNumberFormat="1" applyFont="1" applyBorder="1" applyAlignment="1">
      <alignment horizontal="left" vertical="center" wrapText="1"/>
    </xf>
    <xf numFmtId="0" fontId="87" fillId="0" borderId="3" xfId="1" applyNumberFormat="1" applyFont="1" applyBorder="1" applyAlignment="1">
      <alignment horizontal="center" vertical="center"/>
    </xf>
    <xf numFmtId="0" fontId="87" fillId="3" borderId="3" xfId="1" applyNumberFormat="1" applyFont="1" applyFill="1" applyBorder="1" applyAlignment="1">
      <alignment horizontal="center" vertical="center" wrapText="1"/>
    </xf>
    <xf numFmtId="179" fontId="27" fillId="0" borderId="3" xfId="1" applyFont="1" applyBorder="1" applyAlignment="1">
      <alignment horizontal="center" vertical="center" wrapText="1"/>
    </xf>
    <xf numFmtId="0" fontId="27" fillId="0" borderId="3" xfId="0" applyFont="1" applyBorder="1" applyAlignment="1">
      <alignment horizontal="left" vertical="center"/>
    </xf>
    <xf numFmtId="14" fontId="27" fillId="0" borderId="3" xfId="0" applyNumberFormat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88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79" fontId="27" fillId="0" borderId="2" xfId="1" applyFont="1" applyBorder="1" applyAlignment="1">
      <alignment horizontal="left" vertical="center"/>
    </xf>
    <xf numFmtId="179" fontId="26" fillId="6" borderId="19" xfId="1" applyFont="1" applyFill="1" applyBorder="1" applyAlignment="1">
      <alignment horizontal="left" vertical="center" wrapText="1"/>
    </xf>
    <xf numFmtId="179" fontId="0" fillId="0" borderId="11" xfId="0" applyNumberFormat="1" applyBorder="1">
      <alignment vertical="center"/>
    </xf>
    <xf numFmtId="179" fontId="26" fillId="6" borderId="2" xfId="1" applyFont="1" applyFill="1" applyBorder="1" applyAlignment="1">
      <alignment horizontal="left" vertical="center" wrapText="1"/>
    </xf>
    <xf numFmtId="179" fontId="100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60" fillId="0" borderId="0" xfId="162" applyFont="1"/>
    <xf numFmtId="0" fontId="2" fillId="0" borderId="0" xfId="0" quotePrefix="1" applyFont="1">
      <alignment vertical="center"/>
    </xf>
    <xf numFmtId="0" fontId="161" fillId="0" borderId="0" xfId="0" applyFont="1">
      <alignment vertical="center"/>
    </xf>
    <xf numFmtId="0" fontId="161" fillId="0" borderId="0" xfId="0" applyFont="1" applyAlignment="1">
      <alignment horizontal="center" vertical="center"/>
    </xf>
    <xf numFmtId="0" fontId="2" fillId="0" borderId="0" xfId="3" applyNumberFormat="1" applyFont="1">
      <alignment vertical="center"/>
    </xf>
    <xf numFmtId="0" fontId="26" fillId="0" borderId="2" xfId="1" applyNumberFormat="1" applyFont="1" applyBorder="1" applyAlignment="1">
      <alignment horizontal="center" vertical="center"/>
    </xf>
    <xf numFmtId="0" fontId="103" fillId="0" borderId="2" xfId="1" applyNumberFormat="1" applyFont="1" applyBorder="1" applyAlignment="1">
      <alignment horizontal="center" vertical="center" wrapText="1"/>
    </xf>
    <xf numFmtId="0" fontId="80" fillId="0" borderId="2" xfId="1" applyNumberFormat="1" applyFont="1" applyBorder="1" applyAlignment="1">
      <alignment horizontal="center" vertical="center" wrapText="1"/>
    </xf>
    <xf numFmtId="0" fontId="38" fillId="2" borderId="2" xfId="0" applyFont="1" applyFill="1" applyBorder="1" applyAlignment="1">
      <alignment horizontal="center" vertical="center" wrapText="1"/>
    </xf>
    <xf numFmtId="14" fontId="11" fillId="8" borderId="1" xfId="1" applyNumberFormat="1" applyFont="1" applyFill="1" applyBorder="1" applyAlignment="1">
      <alignment horizontal="left" vertical="center" wrapText="1"/>
    </xf>
    <xf numFmtId="176" fontId="11" fillId="8" borderId="1" xfId="1" applyNumberFormat="1" applyFont="1" applyFill="1" applyBorder="1" applyAlignment="1">
      <alignment horizontal="left" vertical="center" wrapText="1"/>
    </xf>
    <xf numFmtId="0" fontId="11" fillId="8" borderId="1" xfId="1" applyNumberFormat="1" applyFont="1" applyFill="1" applyBorder="1" applyAlignment="1">
      <alignment horizontal="left" vertical="center"/>
    </xf>
    <xf numFmtId="0" fontId="32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82" fontId="0" fillId="0" borderId="2" xfId="3" applyNumberFormat="1" applyFont="1" applyBorder="1">
      <alignment vertical="center"/>
    </xf>
    <xf numFmtId="182" fontId="0" fillId="0" borderId="0" xfId="3" applyNumberFormat="1" applyFont="1">
      <alignment vertical="center"/>
    </xf>
    <xf numFmtId="0" fontId="162" fillId="46" borderId="2" xfId="0" applyFont="1" applyFill="1" applyBorder="1">
      <alignment vertical="center"/>
    </xf>
    <xf numFmtId="0" fontId="163" fillId="46" borderId="2" xfId="0" applyFont="1" applyFill="1" applyBorder="1">
      <alignment vertical="center"/>
    </xf>
    <xf numFmtId="182" fontId="147" fillId="0" borderId="0" xfId="3" applyNumberFormat="1" applyFont="1">
      <alignment vertical="center"/>
    </xf>
    <xf numFmtId="0" fontId="147" fillId="0" borderId="0" xfId="0" applyFont="1">
      <alignment vertical="center"/>
    </xf>
    <xf numFmtId="179" fontId="164" fillId="0" borderId="2" xfId="1" applyFont="1" applyBorder="1" applyAlignment="1">
      <alignment horizontal="center" vertical="center" wrapText="1"/>
    </xf>
    <xf numFmtId="179" fontId="26" fillId="0" borderId="2" xfId="1" applyFont="1" applyBorder="1" applyAlignment="1">
      <alignment horizontal="left" vertical="center" wrapText="1"/>
    </xf>
    <xf numFmtId="183" fontId="160" fillId="0" borderId="0" xfId="162" applyNumberFormat="1" applyFont="1"/>
    <xf numFmtId="0" fontId="11" fillId="3" borderId="1" xfId="1" applyNumberFormat="1" applyFont="1" applyFill="1" applyBorder="1" applyAlignment="1">
      <alignment horizontal="center" vertical="center" wrapText="1"/>
    </xf>
    <xf numFmtId="0" fontId="103" fillId="0" borderId="1" xfId="1" applyNumberFormat="1" applyFont="1" applyBorder="1" applyAlignment="1">
      <alignment horizontal="center" vertical="center" wrapText="1"/>
    </xf>
    <xf numFmtId="179" fontId="26" fillId="0" borderId="1" xfId="1" applyFont="1" applyBorder="1" applyAlignment="1">
      <alignment horizontal="center" vertical="center" wrapText="1"/>
    </xf>
    <xf numFmtId="14" fontId="9" fillId="0" borderId="1" xfId="0" applyNumberFormat="1" applyFont="1" applyBorder="1" applyAlignment="1">
      <alignment horizontal="left" vertical="center"/>
    </xf>
    <xf numFmtId="0" fontId="26" fillId="0" borderId="1" xfId="1" applyNumberFormat="1" applyFont="1" applyBorder="1" applyAlignment="1">
      <alignment horizontal="center" vertical="center" wrapText="1"/>
    </xf>
    <xf numFmtId="0" fontId="11" fillId="0" borderId="1" xfId="1" applyNumberFormat="1" applyFont="1" applyBorder="1" applyAlignment="1">
      <alignment horizontal="center" vertical="center"/>
    </xf>
    <xf numFmtId="177" fontId="11" fillId="0" borderId="1" xfId="1" applyNumberFormat="1" applyFont="1" applyBorder="1" applyAlignment="1">
      <alignment horizontal="center" vertical="center"/>
    </xf>
    <xf numFmtId="178" fontId="11" fillId="0" borderId="1" xfId="1" applyNumberFormat="1" applyFont="1" applyBorder="1" applyAlignment="1">
      <alignment horizontal="center" vertical="center"/>
    </xf>
    <xf numFmtId="179" fontId="88" fillId="0" borderId="1" xfId="1" applyFont="1" applyBorder="1" applyAlignment="1">
      <alignment horizontal="center" vertical="center"/>
    </xf>
    <xf numFmtId="179" fontId="88" fillId="0" borderId="68" xfId="1" applyFont="1" applyBorder="1" applyAlignment="1">
      <alignment horizontal="center" vertical="center"/>
    </xf>
    <xf numFmtId="179" fontId="165" fillId="2" borderId="0" xfId="0" applyNumberFormat="1" applyFont="1" applyFill="1">
      <alignment vertical="center"/>
    </xf>
    <xf numFmtId="179" fontId="166" fillId="0" borderId="0" xfId="0" applyNumberFormat="1" applyFont="1">
      <alignment vertical="center"/>
    </xf>
    <xf numFmtId="179" fontId="166" fillId="0" borderId="0" xfId="0" quotePrefix="1" applyNumberFormat="1" applyFont="1">
      <alignment vertical="center"/>
    </xf>
    <xf numFmtId="179" fontId="156" fillId="0" borderId="0" xfId="0" applyNumberFormat="1" applyFont="1">
      <alignment vertical="center"/>
    </xf>
    <xf numFmtId="0" fontId="2" fillId="8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179" fontId="2" fillId="4" borderId="2" xfId="0" applyNumberFormat="1" applyFont="1" applyFill="1" applyBorder="1">
      <alignment vertical="center"/>
    </xf>
    <xf numFmtId="179" fontId="88" fillId="0" borderId="51" xfId="1" applyFont="1" applyBorder="1" applyAlignment="1">
      <alignment horizontal="center" vertical="center"/>
    </xf>
    <xf numFmtId="179" fontId="27" fillId="9" borderId="2" xfId="1" applyFont="1" applyFill="1" applyBorder="1" applyAlignment="1">
      <alignment horizontal="center" vertical="center" wrapText="1"/>
    </xf>
    <xf numFmtId="179" fontId="27" fillId="35" borderId="2" xfId="1" applyFont="1" applyFill="1" applyBorder="1" applyAlignment="1">
      <alignment horizontal="center" vertical="center" wrapText="1"/>
    </xf>
    <xf numFmtId="0" fontId="27" fillId="35" borderId="2" xfId="0" applyFont="1" applyFill="1" applyBorder="1" applyAlignment="1">
      <alignment horizontal="left" vertical="center"/>
    </xf>
    <xf numFmtId="0" fontId="83" fillId="2" borderId="28" xfId="1" applyNumberFormat="1" applyFont="1" applyFill="1" applyBorder="1" applyAlignment="1">
      <alignment horizontal="left" vertical="center" wrapText="1"/>
    </xf>
    <xf numFmtId="0" fontId="26" fillId="6" borderId="4" xfId="1" applyNumberFormat="1" applyFont="1" applyFill="1" applyBorder="1" applyAlignment="1">
      <alignment horizontal="left" vertical="center" wrapText="1"/>
    </xf>
    <xf numFmtId="0" fontId="26" fillId="6" borderId="32" xfId="1" applyNumberFormat="1" applyFont="1" applyFill="1" applyBorder="1" applyAlignment="1">
      <alignment horizontal="left" vertical="center" wrapText="1"/>
    </xf>
    <xf numFmtId="0" fontId="26" fillId="6" borderId="17" xfId="1" applyNumberFormat="1" applyFont="1" applyFill="1" applyBorder="1" applyAlignment="1">
      <alignment horizontal="left" vertical="center" wrapText="1"/>
    </xf>
    <xf numFmtId="0" fontId="26" fillId="6" borderId="19" xfId="1" applyNumberFormat="1" applyFont="1" applyFill="1" applyBorder="1" applyAlignment="1">
      <alignment horizontal="left" vertical="center" wrapText="1"/>
    </xf>
    <xf numFmtId="0" fontId="26" fillId="0" borderId="3" xfId="1" applyNumberFormat="1" applyFont="1" applyBorder="1" applyAlignment="1">
      <alignment horizontal="left" vertical="center"/>
    </xf>
    <xf numFmtId="0" fontId="26" fillId="0" borderId="17" xfId="1" applyNumberFormat="1" applyFont="1" applyBorder="1" applyAlignment="1">
      <alignment horizontal="left" vertical="center"/>
    </xf>
    <xf numFmtId="0" fontId="26" fillId="0" borderId="2" xfId="1" applyNumberFormat="1" applyFont="1" applyBorder="1" applyAlignment="1">
      <alignment horizontal="left" vertical="center"/>
    </xf>
    <xf numFmtId="0" fontId="28" fillId="0" borderId="4" xfId="1" applyNumberFormat="1" applyFont="1" applyBorder="1" applyAlignment="1">
      <alignment horizontal="left" vertical="center"/>
    </xf>
    <xf numFmtId="179" fontId="155" fillId="2" borderId="0" xfId="0" applyNumberFormat="1" applyFont="1" applyFill="1">
      <alignment vertical="center"/>
    </xf>
    <xf numFmtId="179" fontId="112" fillId="0" borderId="0" xfId="0" applyNumberFormat="1" applyFont="1">
      <alignment vertical="center"/>
    </xf>
    <xf numFmtId="0" fontId="169" fillId="3" borderId="6" xfId="1" applyNumberFormat="1" applyFont="1" applyFill="1" applyBorder="1" applyAlignment="1">
      <alignment horizontal="center" vertical="center" wrapText="1"/>
    </xf>
    <xf numFmtId="0" fontId="26" fillId="0" borderId="14" xfId="1" applyNumberFormat="1" applyFont="1" applyBorder="1" applyAlignment="1">
      <alignment horizontal="left" vertical="center"/>
    </xf>
    <xf numFmtId="0" fontId="26" fillId="0" borderId="32" xfId="1" applyNumberFormat="1" applyFont="1" applyBorder="1" applyAlignment="1">
      <alignment horizontal="left" vertical="center" wrapText="1"/>
    </xf>
    <xf numFmtId="0" fontId="26" fillId="0" borderId="4" xfId="1" applyNumberFormat="1" applyFont="1" applyBorder="1" applyAlignment="1">
      <alignment horizontal="left" vertical="center"/>
    </xf>
    <xf numFmtId="0" fontId="168" fillId="2" borderId="2" xfId="1" applyNumberFormat="1" applyFont="1" applyFill="1" applyBorder="1" applyAlignment="1">
      <alignment horizontal="left" vertical="center" wrapText="1"/>
    </xf>
    <xf numFmtId="0" fontId="32" fillId="0" borderId="2" xfId="0" applyFont="1" applyBorder="1" applyAlignment="1">
      <alignment horizontal="right" vertical="center"/>
    </xf>
    <xf numFmtId="0" fontId="28" fillId="0" borderId="17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 wrapText="1"/>
    </xf>
    <xf numFmtId="14" fontId="90" fillId="0" borderId="3" xfId="1" applyNumberFormat="1" applyFont="1" applyBorder="1" applyAlignment="1">
      <alignment horizontal="left" vertical="center" wrapText="1"/>
    </xf>
    <xf numFmtId="0" fontId="90" fillId="0" borderId="3" xfId="1" applyNumberFormat="1" applyFont="1" applyBorder="1" applyAlignment="1">
      <alignment horizontal="center" vertical="center"/>
    </xf>
    <xf numFmtId="0" fontId="90" fillId="3" borderId="3" xfId="1" applyNumberFormat="1" applyFont="1" applyFill="1" applyBorder="1" applyAlignment="1">
      <alignment horizontal="center" vertical="center" wrapText="1"/>
    </xf>
    <xf numFmtId="0" fontId="28" fillId="0" borderId="3" xfId="1" applyNumberFormat="1" applyFont="1" applyBorder="1" applyAlignment="1">
      <alignment horizontal="center" vertical="center" wrapText="1"/>
    </xf>
    <xf numFmtId="179" fontId="28" fillId="0" borderId="3" xfId="1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/>
    </xf>
    <xf numFmtId="14" fontId="28" fillId="0" borderId="3" xfId="0" applyNumberFormat="1" applyFont="1" applyBorder="1" applyAlignment="1">
      <alignment horizontal="left" vertical="center"/>
    </xf>
    <xf numFmtId="179" fontId="88" fillId="0" borderId="15" xfId="1" applyFont="1" applyBorder="1" applyAlignment="1">
      <alignment horizontal="center" vertical="center"/>
    </xf>
    <xf numFmtId="0" fontId="28" fillId="0" borderId="19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 wrapText="1"/>
    </xf>
    <xf numFmtId="14" fontId="90" fillId="0" borderId="11" xfId="1" applyNumberFormat="1" applyFont="1" applyBorder="1" applyAlignment="1">
      <alignment horizontal="left" vertical="center" wrapText="1"/>
    </xf>
    <xf numFmtId="0" fontId="90" fillId="0" borderId="11" xfId="1" applyNumberFormat="1" applyFont="1" applyBorder="1" applyAlignment="1">
      <alignment horizontal="center" vertical="center"/>
    </xf>
    <xf numFmtId="0" fontId="90" fillId="3" borderId="11" xfId="1" applyNumberFormat="1" applyFont="1" applyFill="1" applyBorder="1" applyAlignment="1">
      <alignment horizontal="center" vertical="center" wrapText="1"/>
    </xf>
    <xf numFmtId="0" fontId="11" fillId="0" borderId="11" xfId="1" applyNumberFormat="1" applyFont="1" applyBorder="1" applyAlignment="1">
      <alignment horizontal="center" vertical="center"/>
    </xf>
    <xf numFmtId="0" fontId="28" fillId="0" borderId="11" xfId="1" applyNumberFormat="1" applyFont="1" applyBorder="1" applyAlignment="1">
      <alignment horizontal="center" vertical="center" wrapText="1"/>
    </xf>
    <xf numFmtId="179" fontId="28" fillId="0" borderId="11" xfId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left" vertical="center"/>
    </xf>
    <xf numFmtId="14" fontId="28" fillId="0" borderId="11" xfId="0" applyNumberFormat="1" applyFont="1" applyBorder="1" applyAlignment="1">
      <alignment horizontal="left" vertical="center"/>
    </xf>
    <xf numFmtId="0" fontId="111" fillId="2" borderId="2" xfId="0" applyFont="1" applyFill="1" applyBorder="1" applyAlignment="1">
      <alignment vertical="center" wrapText="1"/>
    </xf>
    <xf numFmtId="0" fontId="172" fillId="2" borderId="2" xfId="0" applyFont="1" applyFill="1" applyBorder="1" applyAlignment="1">
      <alignment vertical="center" wrapText="1"/>
    </xf>
    <xf numFmtId="179" fontId="2" fillId="0" borderId="0" xfId="0" applyNumberFormat="1" applyFont="1" applyAlignment="1">
      <alignment vertical="center" wrapText="1"/>
    </xf>
    <xf numFmtId="0" fontId="35" fillId="0" borderId="1" xfId="0" applyFont="1" applyBorder="1" applyAlignment="1">
      <alignment horizontal="right" vertical="center" wrapText="1"/>
    </xf>
    <xf numFmtId="0" fontId="111" fillId="2" borderId="2" xfId="0" applyFont="1" applyFill="1" applyBorder="1" applyAlignment="1">
      <alignment horizontal="right" vertical="center" wrapText="1"/>
    </xf>
    <xf numFmtId="0" fontId="172" fillId="2" borderId="2" xfId="0" applyFont="1" applyFill="1" applyBorder="1" applyAlignment="1">
      <alignment horizontal="right" vertical="center" wrapText="1"/>
    </xf>
    <xf numFmtId="0" fontId="21" fillId="9" borderId="27" xfId="0" applyFont="1" applyFill="1" applyBorder="1" applyAlignment="1">
      <alignment horizontal="right" vertical="center"/>
    </xf>
    <xf numFmtId="0" fontId="171" fillId="2" borderId="83" xfId="0" applyFont="1" applyFill="1" applyBorder="1" applyAlignment="1">
      <alignment vertical="center" wrapText="1"/>
    </xf>
    <xf numFmtId="0" fontId="171" fillId="2" borderId="4" xfId="0" applyFont="1" applyFill="1" applyBorder="1" applyAlignment="1">
      <alignment vertical="center" wrapText="1"/>
    </xf>
    <xf numFmtId="0" fontId="37" fillId="0" borderId="2" xfId="0" applyFont="1" applyBorder="1" applyAlignment="1">
      <alignment horizontal="right" vertical="center"/>
    </xf>
    <xf numFmtId="0" fontId="172" fillId="2" borderId="2" xfId="0" applyFont="1" applyFill="1" applyBorder="1">
      <alignment vertical="center"/>
    </xf>
    <xf numFmtId="0" fontId="111" fillId="2" borderId="2" xfId="0" applyFont="1" applyFill="1" applyBorder="1">
      <alignment vertical="center"/>
    </xf>
    <xf numFmtId="0" fontId="175" fillId="2" borderId="2" xfId="1" applyNumberFormat="1" applyFont="1" applyFill="1" applyBorder="1" applyAlignment="1">
      <alignment horizontal="left" vertical="center" wrapText="1"/>
    </xf>
    <xf numFmtId="179" fontId="9" fillId="0" borderId="2" xfId="1" applyFont="1" applyBorder="1" applyAlignment="1">
      <alignment horizontal="center" vertical="center"/>
    </xf>
    <xf numFmtId="179" fontId="9" fillId="0" borderId="11" xfId="1" applyFont="1" applyBorder="1" applyAlignment="1">
      <alignment horizontal="center" vertical="center"/>
    </xf>
    <xf numFmtId="179" fontId="9" fillId="0" borderId="3" xfId="1" applyFont="1" applyBorder="1" applyAlignment="1">
      <alignment horizontal="center" vertical="center"/>
    </xf>
    <xf numFmtId="0" fontId="90" fillId="0" borderId="2" xfId="1" applyNumberFormat="1" applyFont="1" applyBorder="1" applyAlignment="1">
      <alignment horizontal="left" vertical="center"/>
    </xf>
    <xf numFmtId="0" fontId="90" fillId="0" borderId="11" xfId="1" applyNumberFormat="1" applyFont="1" applyBorder="1" applyAlignment="1">
      <alignment horizontal="left" vertical="center"/>
    </xf>
    <xf numFmtId="0" fontId="90" fillId="0" borderId="3" xfId="1" applyNumberFormat="1" applyFont="1" applyBorder="1" applyAlignment="1">
      <alignment horizontal="left" vertical="center"/>
    </xf>
    <xf numFmtId="0" fontId="85" fillId="0" borderId="3" xfId="1" applyNumberFormat="1" applyFont="1" applyBorder="1" applyAlignment="1">
      <alignment horizontal="left" vertical="center"/>
    </xf>
    <xf numFmtId="0" fontId="21" fillId="47" borderId="27" xfId="0" applyFont="1" applyFill="1" applyBorder="1" applyAlignment="1">
      <alignment horizontal="right" vertical="center" wrapText="1"/>
    </xf>
    <xf numFmtId="0" fontId="31" fillId="47" borderId="27" xfId="0" applyFont="1" applyFill="1" applyBorder="1" applyAlignment="1">
      <alignment horizontal="right" vertical="center"/>
    </xf>
    <xf numFmtId="0" fontId="38" fillId="13" borderId="2" xfId="0" applyFont="1" applyFill="1" applyBorder="1" applyAlignment="1">
      <alignment vertical="center" wrapText="1"/>
    </xf>
    <xf numFmtId="182" fontId="21" fillId="8" borderId="2" xfId="3" applyNumberFormat="1" applyFont="1" applyFill="1" applyBorder="1" applyAlignment="1">
      <alignment horizontal="right" vertical="center"/>
    </xf>
    <xf numFmtId="182" fontId="2" fillId="9" borderId="2" xfId="3" applyNumberFormat="1" applyFont="1" applyFill="1" applyBorder="1" applyAlignment="1">
      <alignment horizontal="right" vertical="center"/>
    </xf>
    <xf numFmtId="182" fontId="2" fillId="45" borderId="2" xfId="3" applyNumberFormat="1" applyFont="1" applyFill="1" applyBorder="1" applyAlignment="1">
      <alignment horizontal="right" vertical="center"/>
    </xf>
    <xf numFmtId="182" fontId="2" fillId="35" borderId="2" xfId="3" applyNumberFormat="1" applyFont="1" applyFill="1" applyBorder="1" applyAlignment="1">
      <alignment horizontal="right" vertical="center"/>
    </xf>
    <xf numFmtId="182" fontId="2" fillId="32" borderId="2" xfId="3" applyNumberFormat="1" applyFont="1" applyFill="1" applyBorder="1" applyAlignment="1">
      <alignment horizontal="right" vertical="center"/>
    </xf>
    <xf numFmtId="182" fontId="21" fillId="4" borderId="2" xfId="3" applyNumberFormat="1" applyFont="1" applyFill="1" applyBorder="1" applyAlignment="1">
      <alignment horizontal="right" vertical="center"/>
    </xf>
    <xf numFmtId="182" fontId="2" fillId="9" borderId="2" xfId="3" applyNumberFormat="1" applyFont="1" applyFill="1" applyBorder="1">
      <alignment vertical="center"/>
    </xf>
    <xf numFmtId="182" fontId="2" fillId="12" borderId="2" xfId="3" applyNumberFormat="1" applyFont="1" applyFill="1" applyBorder="1">
      <alignment vertical="center"/>
    </xf>
    <xf numFmtId="182" fontId="32" fillId="12" borderId="2" xfId="3" applyNumberFormat="1" applyFont="1" applyFill="1" applyBorder="1">
      <alignment vertical="center"/>
    </xf>
    <xf numFmtId="182" fontId="32" fillId="11" borderId="2" xfId="3" applyNumberFormat="1" applyFont="1" applyFill="1" applyBorder="1">
      <alignment vertical="center"/>
    </xf>
    <xf numFmtId="182" fontId="40" fillId="9" borderId="2" xfId="3" applyNumberFormat="1" applyFont="1" applyFill="1" applyBorder="1">
      <alignment vertical="center"/>
    </xf>
    <xf numFmtId="182" fontId="32" fillId="9" borderId="2" xfId="3" applyNumberFormat="1" applyFont="1" applyFill="1" applyBorder="1">
      <alignment vertical="center"/>
    </xf>
    <xf numFmtId="182" fontId="2" fillId="8" borderId="2" xfId="3" applyNumberFormat="1" applyFont="1" applyFill="1" applyBorder="1" applyAlignment="1">
      <alignment horizontal="center" vertical="center"/>
    </xf>
    <xf numFmtId="182" fontId="2" fillId="4" borderId="2" xfId="3" applyNumberFormat="1" applyFont="1" applyFill="1" applyBorder="1" applyAlignment="1">
      <alignment horizontal="center" vertical="center"/>
    </xf>
    <xf numFmtId="182" fontId="2" fillId="3" borderId="2" xfId="3" applyNumberFormat="1" applyFont="1" applyFill="1" applyBorder="1" applyAlignment="1">
      <alignment horizontal="center" vertical="center"/>
    </xf>
    <xf numFmtId="182" fontId="32" fillId="45" borderId="2" xfId="3" applyNumberFormat="1" applyFont="1" applyFill="1" applyBorder="1" applyAlignment="1">
      <alignment horizontal="center" vertical="center"/>
    </xf>
    <xf numFmtId="182" fontId="2" fillId="9" borderId="2" xfId="3" applyNumberFormat="1" applyFont="1" applyFill="1" applyBorder="1" applyAlignment="1">
      <alignment horizontal="center" vertical="center"/>
    </xf>
    <xf numFmtId="182" fontId="2" fillId="45" borderId="2" xfId="3" applyNumberFormat="1" applyFont="1" applyFill="1" applyBorder="1" applyAlignment="1">
      <alignment horizontal="center" vertical="center"/>
    </xf>
    <xf numFmtId="182" fontId="21" fillId="9" borderId="27" xfId="0" applyNumberFormat="1" applyFont="1" applyFill="1" applyBorder="1" applyAlignment="1">
      <alignment horizontal="right" vertical="center"/>
    </xf>
    <xf numFmtId="182" fontId="31" fillId="47" borderId="27" xfId="0" applyNumberFormat="1" applyFont="1" applyFill="1" applyBorder="1" applyAlignment="1">
      <alignment horizontal="right" vertical="center"/>
    </xf>
    <xf numFmtId="0" fontId="158" fillId="2" borderId="2" xfId="0" applyFont="1" applyFill="1" applyBorder="1" applyAlignment="1">
      <alignment horizontal="center" vertical="center" wrapText="1"/>
    </xf>
    <xf numFmtId="182" fontId="34" fillId="32" borderId="2" xfId="3" applyNumberFormat="1" applyFont="1" applyFill="1" applyBorder="1" applyAlignment="1">
      <alignment horizontal="center" vertical="center"/>
    </xf>
    <xf numFmtId="0" fontId="34" fillId="32" borderId="2" xfId="0" applyFont="1" applyFill="1" applyBorder="1" applyAlignment="1">
      <alignment horizontal="center" vertical="center"/>
    </xf>
    <xf numFmtId="0" fontId="111" fillId="2" borderId="51" xfId="0" applyFont="1" applyFill="1" applyBorder="1" applyAlignment="1">
      <alignment horizontal="right" vertical="center" wrapText="1"/>
    </xf>
    <xf numFmtId="182" fontId="2" fillId="32" borderId="51" xfId="3" applyNumberFormat="1" applyFont="1" applyFill="1" applyBorder="1" applyAlignment="1">
      <alignment horizontal="right" vertical="center"/>
    </xf>
    <xf numFmtId="0" fontId="37" fillId="0" borderId="4" xfId="0" applyFont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" fillId="0" borderId="89" xfId="0" applyFont="1" applyBorder="1" applyAlignment="1">
      <alignment horizontal="right" vertical="center"/>
    </xf>
    <xf numFmtId="0" fontId="2" fillId="0" borderId="90" xfId="0" applyFont="1" applyBorder="1" applyAlignment="1">
      <alignment horizontal="right" vertical="center"/>
    </xf>
    <xf numFmtId="0" fontId="171" fillId="0" borderId="14" xfId="0" applyFont="1" applyBorder="1" applyAlignment="1">
      <alignment vertical="center" wrapText="1"/>
    </xf>
    <xf numFmtId="0" fontId="38" fillId="2" borderId="84" xfId="0" applyFont="1" applyFill="1" applyBorder="1" applyAlignment="1">
      <alignment horizontal="right" vertical="center" wrapText="1"/>
    </xf>
    <xf numFmtId="0" fontId="38" fillId="2" borderId="85" xfId="0" applyFont="1" applyFill="1" applyBorder="1" applyAlignment="1">
      <alignment horizontal="right" vertical="center" wrapText="1"/>
    </xf>
    <xf numFmtId="0" fontId="111" fillId="2" borderId="85" xfId="0" applyFont="1" applyFill="1" applyBorder="1" applyAlignment="1">
      <alignment horizontal="right" vertical="center" wrapText="1"/>
    </xf>
    <xf numFmtId="0" fontId="38" fillId="2" borderId="86" xfId="0" applyFont="1" applyFill="1" applyBorder="1" applyAlignment="1">
      <alignment horizontal="right" vertical="center" wrapText="1"/>
    </xf>
    <xf numFmtId="182" fontId="21" fillId="47" borderId="90" xfId="0" applyNumberFormat="1" applyFont="1" applyFill="1" applyBorder="1" applyAlignment="1">
      <alignment horizontal="right" vertical="center"/>
    </xf>
    <xf numFmtId="0" fontId="21" fillId="0" borderId="90" xfId="0" applyFont="1" applyBorder="1" applyAlignment="1">
      <alignment horizontal="right" vertical="center"/>
    </xf>
    <xf numFmtId="0" fontId="21" fillId="0" borderId="91" xfId="0" applyFont="1" applyBorder="1" applyAlignment="1">
      <alignment horizontal="right" vertical="center"/>
    </xf>
    <xf numFmtId="182" fontId="32" fillId="3" borderId="2" xfId="0" applyNumberFormat="1" applyFont="1" applyFill="1" applyBorder="1" applyAlignment="1">
      <alignment horizontal="right" vertical="center"/>
    </xf>
    <xf numFmtId="0" fontId="34" fillId="3" borderId="89" xfId="0" applyFont="1" applyFill="1" applyBorder="1" applyAlignment="1">
      <alignment horizontal="right" vertical="center"/>
    </xf>
    <xf numFmtId="0" fontId="34" fillId="3" borderId="90" xfId="0" applyFont="1" applyFill="1" applyBorder="1" applyAlignment="1">
      <alignment horizontal="right" vertical="center"/>
    </xf>
    <xf numFmtId="182" fontId="34" fillId="3" borderId="92" xfId="0" applyNumberFormat="1" applyFont="1" applyFill="1" applyBorder="1" applyAlignment="1">
      <alignment horizontal="right" vertical="center"/>
    </xf>
    <xf numFmtId="182" fontId="32" fillId="49" borderId="2" xfId="0" applyNumberFormat="1" applyFont="1" applyFill="1" applyBorder="1" applyAlignment="1">
      <alignment horizontal="right" vertical="center"/>
    </xf>
    <xf numFmtId="182" fontId="32" fillId="48" borderId="2" xfId="0" applyNumberFormat="1" applyFont="1" applyFill="1" applyBorder="1" applyAlignment="1">
      <alignment horizontal="right" vertical="center"/>
    </xf>
    <xf numFmtId="182" fontId="32" fillId="48" borderId="3" xfId="0" applyNumberFormat="1" applyFont="1" applyFill="1" applyBorder="1" applyAlignment="1">
      <alignment horizontal="right" vertical="center"/>
    </xf>
    <xf numFmtId="0" fontId="171" fillId="2" borderId="87" xfId="0" applyFont="1" applyFill="1" applyBorder="1" applyAlignment="1">
      <alignment horizontal="right" vertical="center"/>
    </xf>
    <xf numFmtId="0" fontId="4" fillId="2" borderId="87" xfId="0" applyFont="1" applyFill="1" applyBorder="1" applyAlignment="1">
      <alignment horizontal="right" vertical="center"/>
    </xf>
    <xf numFmtId="0" fontId="171" fillId="0" borderId="83" xfId="0" applyFont="1" applyBorder="1" applyAlignment="1">
      <alignment vertical="center" wrapText="1"/>
    </xf>
    <xf numFmtId="0" fontId="171" fillId="0" borderId="4" xfId="0" applyFont="1" applyBorder="1" applyAlignment="1">
      <alignment vertical="center" wrapText="1"/>
    </xf>
    <xf numFmtId="182" fontId="32" fillId="49" borderId="88" xfId="0" applyNumberFormat="1" applyFont="1" applyFill="1" applyBorder="1" applyAlignment="1">
      <alignment horizontal="right" vertical="center"/>
    </xf>
    <xf numFmtId="182" fontId="34" fillId="49" borderId="93" xfId="0" applyNumberFormat="1" applyFont="1" applyFill="1" applyBorder="1" applyAlignment="1">
      <alignment horizontal="right" vertical="center"/>
    </xf>
    <xf numFmtId="182" fontId="21" fillId="0" borderId="90" xfId="0" applyNumberFormat="1" applyFont="1" applyBorder="1" applyAlignment="1">
      <alignment horizontal="right" vertical="center"/>
    </xf>
    <xf numFmtId="182" fontId="34" fillId="49" borderId="92" xfId="0" applyNumberFormat="1" applyFont="1" applyFill="1" applyBorder="1" applyAlignment="1">
      <alignment horizontal="right" vertical="center"/>
    </xf>
    <xf numFmtId="0" fontId="178" fillId="0" borderId="1" xfId="0" applyFont="1" applyBorder="1" applyAlignment="1">
      <alignment horizontal="right" vertical="center" wrapText="1"/>
    </xf>
    <xf numFmtId="14" fontId="95" fillId="0" borderId="2" xfId="1" applyNumberFormat="1" applyFont="1" applyBorder="1" applyAlignment="1">
      <alignment horizontal="left" vertical="center" wrapText="1"/>
    </xf>
    <xf numFmtId="0" fontId="9" fillId="0" borderId="1" xfId="1" applyNumberFormat="1" applyFont="1" applyBorder="1" applyAlignment="1">
      <alignment horizontal="center" vertical="center"/>
    </xf>
    <xf numFmtId="179" fontId="9" fillId="0" borderId="1" xfId="1" applyFont="1" applyBorder="1" applyAlignment="1">
      <alignment horizontal="center" vertical="center"/>
    </xf>
    <xf numFmtId="179" fontId="98" fillId="0" borderId="2" xfId="1" applyFont="1" applyBorder="1" applyAlignment="1">
      <alignment horizontal="center" vertical="center"/>
    </xf>
    <xf numFmtId="0" fontId="95" fillId="0" borderId="2" xfId="1" applyNumberFormat="1" applyFont="1" applyBorder="1" applyAlignment="1">
      <alignment horizontal="left" vertical="center" wrapText="1"/>
    </xf>
    <xf numFmtId="182" fontId="21" fillId="8" borderId="2" xfId="3" applyNumberFormat="1" applyFont="1" applyFill="1" applyBorder="1">
      <alignment vertical="center"/>
    </xf>
    <xf numFmtId="179" fontId="89" fillId="0" borderId="0" xfId="0" applyNumberFormat="1" applyFont="1" applyAlignment="1" applyProtection="1">
      <alignment horizontal="left" vertical="center"/>
      <protection locked="0"/>
    </xf>
    <xf numFmtId="179" fontId="10" fillId="0" borderId="0" xfId="0" applyNumberFormat="1" applyFont="1" applyAlignment="1" applyProtection="1">
      <alignment horizontal="left" vertical="center"/>
      <protection locked="0"/>
    </xf>
    <xf numFmtId="0" fontId="85" fillId="5" borderId="2" xfId="0" applyFont="1" applyFill="1" applyBorder="1" applyAlignment="1" applyProtection="1">
      <alignment horizontal="left" vertical="center"/>
      <protection locked="0"/>
    </xf>
    <xf numFmtId="179" fontId="85" fillId="3" borderId="2" xfId="0" applyNumberFormat="1" applyFont="1" applyFill="1" applyBorder="1" applyAlignment="1" applyProtection="1">
      <alignment horizontal="left" vertical="center"/>
      <protection locked="0"/>
    </xf>
    <xf numFmtId="179" fontId="85" fillId="3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3" borderId="2" xfId="0" applyFont="1" applyFill="1" applyBorder="1" applyAlignment="1" applyProtection="1">
      <alignment horizontal="left" vertical="center"/>
      <protection locked="0"/>
    </xf>
    <xf numFmtId="14" fontId="85" fillId="3" borderId="2" xfId="0" applyNumberFormat="1" applyFont="1" applyFill="1" applyBorder="1" applyAlignment="1" applyProtection="1">
      <alignment horizontal="left" vertical="center"/>
      <protection locked="0"/>
    </xf>
    <xf numFmtId="0" fontId="85" fillId="3" borderId="2" xfId="0" applyFont="1" applyFill="1" applyBorder="1" applyAlignment="1" applyProtection="1">
      <alignment horizontal="left" vertical="center" wrapText="1"/>
      <protection locked="0"/>
    </xf>
    <xf numFmtId="179" fontId="85" fillId="4" borderId="2" xfId="0" applyNumberFormat="1" applyFont="1" applyFill="1" applyBorder="1" applyAlignment="1" applyProtection="1">
      <alignment horizontal="left" vertical="center" wrapText="1"/>
      <protection locked="0"/>
    </xf>
    <xf numFmtId="0" fontId="85" fillId="4" borderId="2" xfId="0" applyFont="1" applyFill="1" applyBorder="1" applyAlignment="1" applyProtection="1">
      <alignment horizontal="left" vertical="center" wrapText="1"/>
      <protection locked="0"/>
    </xf>
    <xf numFmtId="179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79" fontId="84" fillId="2" borderId="2" xfId="0" applyNumberFormat="1" applyFont="1" applyFill="1" applyBorder="1" applyAlignment="1" applyProtection="1">
      <alignment horizontal="left" vertical="center"/>
      <protection locked="0"/>
    </xf>
    <xf numFmtId="14" fontId="84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84" fillId="2" borderId="2" xfId="0" applyNumberFormat="1" applyFont="1" applyFill="1" applyBorder="1" applyAlignment="1" applyProtection="1">
      <alignment horizontal="left" vertical="center"/>
      <protection locked="0"/>
    </xf>
    <xf numFmtId="0" fontId="89" fillId="8" borderId="2" xfId="0" applyFont="1" applyFill="1" applyBorder="1" applyAlignment="1" applyProtection="1">
      <alignment horizontal="left" vertical="center" wrapText="1"/>
      <protection locked="0"/>
    </xf>
    <xf numFmtId="0" fontId="89" fillId="8" borderId="2" xfId="0" applyFont="1" applyFill="1" applyBorder="1" applyAlignment="1" applyProtection="1">
      <alignment horizontal="left" vertical="center"/>
      <protection locked="0"/>
    </xf>
    <xf numFmtId="0" fontId="89" fillId="8" borderId="51" xfId="0" applyFont="1" applyFill="1" applyBorder="1" applyAlignment="1" applyProtection="1">
      <alignment horizontal="left" vertical="center"/>
      <protection locked="0"/>
    </xf>
    <xf numFmtId="179" fontId="84" fillId="2" borderId="4" xfId="0" applyNumberFormat="1" applyFont="1" applyFill="1" applyBorder="1" applyAlignment="1" applyProtection="1">
      <alignment horizontal="left" vertical="center" wrapText="1"/>
      <protection locked="0"/>
    </xf>
    <xf numFmtId="0" fontId="9" fillId="5" borderId="2" xfId="0" applyFont="1" applyFill="1" applyBorder="1" applyAlignment="1" applyProtection="1">
      <alignment horizontal="left" vertical="center"/>
      <protection locked="0"/>
    </xf>
    <xf numFmtId="179" fontId="10" fillId="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63" xfId="0" applyFont="1" applyFill="1" applyBorder="1" applyAlignment="1" applyProtection="1">
      <alignment horizontal="left" vertical="center"/>
      <protection locked="0"/>
    </xf>
    <xf numFmtId="179" fontId="10" fillId="4" borderId="4" xfId="0" applyNumberFormat="1" applyFont="1" applyFill="1" applyBorder="1" applyAlignment="1" applyProtection="1">
      <alignment horizontal="left" vertical="center"/>
      <protection locked="0"/>
    </xf>
    <xf numFmtId="179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/>
      <protection locked="0"/>
    </xf>
    <xf numFmtId="14" fontId="10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2" xfId="0" applyFont="1" applyFill="1" applyBorder="1" applyAlignment="1" applyProtection="1">
      <alignment horizontal="left" vertical="center" wrapText="1"/>
      <protection locked="0"/>
    </xf>
    <xf numFmtId="179" fontId="9" fillId="4" borderId="2" xfId="0" applyNumberFormat="1" applyFont="1" applyFill="1" applyBorder="1" applyAlignment="1" applyProtection="1">
      <alignment horizontal="left" vertical="center"/>
      <protection locked="0"/>
    </xf>
    <xf numFmtId="14" fontId="89" fillId="4" borderId="2" xfId="0" applyNumberFormat="1" applyFont="1" applyFill="1" applyBorder="1" applyAlignment="1" applyProtection="1">
      <alignment horizontal="left" vertical="center"/>
      <protection locked="0"/>
    </xf>
    <xf numFmtId="14" fontId="11" fillId="4" borderId="2" xfId="0" applyNumberFormat="1" applyFont="1" applyFill="1" applyBorder="1" applyAlignment="1" applyProtection="1">
      <alignment horizontal="left" vertical="center"/>
      <protection locked="0"/>
    </xf>
    <xf numFmtId="179" fontId="89" fillId="4" borderId="2" xfId="0" applyNumberFormat="1" applyFont="1" applyFill="1" applyBorder="1" applyAlignment="1" applyProtection="1">
      <alignment horizontal="left" vertical="center"/>
      <protection locked="0"/>
    </xf>
    <xf numFmtId="0" fontId="10" fillId="0" borderId="2" xfId="0" applyFont="1" applyBorder="1" applyAlignment="1" applyProtection="1">
      <alignment horizontal="left" vertical="center"/>
      <protection locked="0"/>
    </xf>
    <xf numFmtId="0" fontId="10" fillId="0" borderId="51" xfId="0" applyFont="1" applyBorder="1" applyAlignment="1" applyProtection="1">
      <alignment horizontal="left" vertical="center"/>
      <protection locked="0"/>
    </xf>
    <xf numFmtId="0" fontId="10" fillId="4" borderId="62" xfId="0" applyFont="1" applyFill="1" applyBorder="1" applyAlignment="1" applyProtection="1">
      <alignment horizontal="left" vertical="center"/>
      <protection locked="0"/>
    </xf>
    <xf numFmtId="179" fontId="10" fillId="4" borderId="2" xfId="0" quotePrefix="1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/>
      <protection locked="0"/>
    </xf>
    <xf numFmtId="0" fontId="89" fillId="4" borderId="2" xfId="0" applyFont="1" applyFill="1" applyBorder="1" applyAlignment="1" applyProtection="1">
      <alignment horizontal="left" vertical="center" wrapText="1"/>
      <protection locked="0"/>
    </xf>
    <xf numFmtId="14" fontId="89" fillId="33" borderId="2" xfId="0" applyNumberFormat="1" applyFont="1" applyFill="1" applyBorder="1" applyAlignment="1" applyProtection="1">
      <alignment horizontal="left" vertical="center"/>
      <protection locked="0"/>
    </xf>
    <xf numFmtId="14" fontId="11" fillId="33" borderId="2" xfId="0" applyNumberFormat="1" applyFont="1" applyFill="1" applyBorder="1" applyAlignment="1" applyProtection="1">
      <alignment horizontal="left" vertical="center"/>
      <protection locked="0"/>
    </xf>
    <xf numFmtId="179" fontId="89" fillId="33" borderId="2" xfId="0" applyNumberFormat="1" applyFont="1" applyFill="1" applyBorder="1" applyAlignment="1" applyProtection="1">
      <alignment horizontal="left" vertical="center"/>
      <protection locked="0"/>
    </xf>
    <xf numFmtId="179" fontId="10" fillId="0" borderId="4" xfId="0" applyNumberFormat="1" applyFont="1" applyBorder="1" applyAlignment="1" applyProtection="1">
      <alignment horizontal="left" vertical="center"/>
      <protection locked="0"/>
    </xf>
    <xf numFmtId="179" fontId="10" fillId="0" borderId="2" xfId="0" applyNumberFormat="1" applyFont="1" applyBorder="1" applyAlignment="1" applyProtection="1">
      <alignment horizontal="left" vertical="center"/>
      <protection locked="0"/>
    </xf>
    <xf numFmtId="179" fontId="10" fillId="14" borderId="4" xfId="0" applyNumberFormat="1" applyFont="1" applyFill="1" applyBorder="1" applyAlignment="1" applyProtection="1">
      <alignment horizontal="left" vertical="center"/>
      <protection locked="0"/>
    </xf>
    <xf numFmtId="0" fontId="10" fillId="4" borderId="3" xfId="0" applyFont="1" applyFill="1" applyBorder="1" applyAlignment="1" applyProtection="1">
      <alignment horizontal="left" vertical="center"/>
      <protection locked="0"/>
    </xf>
    <xf numFmtId="179" fontId="14" fillId="4" borderId="2" xfId="0" applyNumberFormat="1" applyFont="1" applyFill="1" applyBorder="1" applyAlignment="1" applyProtection="1">
      <alignment horizontal="left" vertical="center"/>
      <protection locked="0"/>
    </xf>
    <xf numFmtId="179" fontId="89" fillId="4" borderId="2" xfId="0" applyNumberFormat="1" applyFont="1" applyFill="1" applyBorder="1" applyAlignment="1" applyProtection="1">
      <alignment horizontal="left" vertical="center" indent="1"/>
      <protection locked="0"/>
    </xf>
    <xf numFmtId="179" fontId="14" fillId="32" borderId="0" xfId="0" applyNumberFormat="1" applyFont="1" applyFill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 wrapText="1"/>
      <protection locked="0"/>
    </xf>
    <xf numFmtId="179" fontId="14" fillId="0" borderId="0" xfId="0" applyNumberFormat="1" applyFont="1" applyAlignment="1" applyProtection="1">
      <alignment horizontal="left" vertical="center"/>
      <protection locked="0"/>
    </xf>
    <xf numFmtId="0" fontId="14" fillId="4" borderId="2" xfId="0" applyFont="1" applyFill="1" applyBorder="1" applyAlignment="1" applyProtection="1">
      <alignment horizontal="left" vertical="center"/>
      <protection locked="0"/>
    </xf>
    <xf numFmtId="14" fontId="14" fillId="4" borderId="2" xfId="0" applyNumberFormat="1" applyFont="1" applyFill="1" applyBorder="1" applyAlignment="1" applyProtection="1">
      <alignment horizontal="left" vertical="center"/>
      <protection locked="0"/>
    </xf>
    <xf numFmtId="179" fontId="11" fillId="4" borderId="2" xfId="0" applyNumberFormat="1" applyFont="1" applyFill="1" applyBorder="1" applyAlignment="1" applyProtection="1">
      <alignment horizontal="left" vertical="center"/>
      <protection locked="0"/>
    </xf>
    <xf numFmtId="0" fontId="14" fillId="0" borderId="2" xfId="0" applyFont="1" applyBorder="1" applyAlignment="1" applyProtection="1">
      <alignment horizontal="left" vertical="center"/>
      <protection locked="0"/>
    </xf>
    <xf numFmtId="0" fontId="14" fillId="0" borderId="51" xfId="0" applyFont="1" applyBorder="1" applyAlignment="1" applyProtection="1">
      <alignment horizontal="left" vertical="center"/>
      <protection locked="0"/>
    </xf>
    <xf numFmtId="179" fontId="10" fillId="14" borderId="0" xfId="0" applyNumberFormat="1" applyFont="1" applyFill="1" applyAlignment="1" applyProtection="1">
      <alignment horizontal="left" vertical="center"/>
      <protection locked="0"/>
    </xf>
    <xf numFmtId="14" fontId="89" fillId="0" borderId="2" xfId="0" applyNumberFormat="1" applyFont="1" applyBorder="1" applyAlignment="1" applyProtection="1">
      <alignment horizontal="left" vertical="center"/>
      <protection locked="0"/>
    </xf>
    <xf numFmtId="14" fontId="11" fillId="0" borderId="2" xfId="0" applyNumberFormat="1" applyFont="1" applyBorder="1" applyAlignment="1" applyProtection="1">
      <alignment horizontal="left" vertical="center"/>
      <protection locked="0"/>
    </xf>
    <xf numFmtId="179" fontId="89" fillId="0" borderId="2" xfId="0" applyNumberFormat="1" applyFont="1" applyBorder="1" applyAlignment="1" applyProtection="1">
      <alignment horizontal="left" vertical="center"/>
      <protection locked="0"/>
    </xf>
    <xf numFmtId="179" fontId="10" fillId="32" borderId="0" xfId="0" applyNumberFormat="1" applyFont="1" applyFill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4" borderId="4" xfId="0" applyFont="1" applyFill="1" applyBorder="1" applyAlignment="1" applyProtection="1">
      <alignment horizontal="left" vertical="center"/>
      <protection locked="0"/>
    </xf>
    <xf numFmtId="0" fontId="9" fillId="14" borderId="2" xfId="0" applyFont="1" applyFill="1" applyBorder="1" applyAlignment="1" applyProtection="1">
      <alignment horizontal="left" vertical="center"/>
      <protection locked="0"/>
    </xf>
    <xf numFmtId="179" fontId="10" fillId="14" borderId="51" xfId="0" applyNumberFormat="1" applyFont="1" applyFill="1" applyBorder="1" applyAlignment="1" applyProtection="1">
      <alignment horizontal="left" vertical="center"/>
      <protection locked="0"/>
    </xf>
    <xf numFmtId="0" fontId="10" fillId="4" borderId="4" xfId="0" applyFont="1" applyFill="1" applyBorder="1" applyAlignment="1" applyProtection="1">
      <alignment horizontal="left" vertical="center"/>
      <protection locked="0"/>
    </xf>
    <xf numFmtId="179" fontId="10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2" xfId="0" applyFont="1" applyFill="1" applyBorder="1" applyAlignment="1" applyProtection="1">
      <alignment horizontal="left" vertical="center" wrapText="1"/>
      <protection locked="0"/>
    </xf>
    <xf numFmtId="0" fontId="10" fillId="14" borderId="2" xfId="0" applyFont="1" applyFill="1" applyBorder="1" applyAlignment="1" applyProtection="1">
      <alignment horizontal="left" vertical="center"/>
      <protection locked="0"/>
    </xf>
    <xf numFmtId="14" fontId="10" fillId="14" borderId="2" xfId="0" applyNumberFormat="1" applyFont="1" applyFill="1" applyBorder="1" applyAlignment="1" applyProtection="1">
      <alignment horizontal="left" vertical="center"/>
      <protection locked="0"/>
    </xf>
    <xf numFmtId="179" fontId="9" fillId="14" borderId="2" xfId="0" applyNumberFormat="1" applyFont="1" applyFill="1" applyBorder="1" applyAlignment="1" applyProtection="1">
      <alignment horizontal="left" vertical="center"/>
      <protection locked="0"/>
    </xf>
    <xf numFmtId="14" fontId="89" fillId="14" borderId="2" xfId="0" applyNumberFormat="1" applyFont="1" applyFill="1" applyBorder="1" applyAlignment="1" applyProtection="1">
      <alignment horizontal="left" vertical="center"/>
      <protection locked="0"/>
    </xf>
    <xf numFmtId="14" fontId="11" fillId="14" borderId="2" xfId="0" applyNumberFormat="1" applyFont="1" applyFill="1" applyBorder="1" applyAlignment="1" applyProtection="1">
      <alignment horizontal="left" vertical="center"/>
      <protection locked="0"/>
    </xf>
    <xf numFmtId="179" fontId="89" fillId="14" borderId="2" xfId="0" applyNumberFormat="1" applyFont="1" applyFill="1" applyBorder="1" applyAlignment="1" applyProtection="1">
      <alignment horizontal="left" vertical="center"/>
      <protection locked="0"/>
    </xf>
    <xf numFmtId="0" fontId="10" fillId="14" borderId="51" xfId="0" applyFont="1" applyFill="1" applyBorder="1" applyAlignment="1" applyProtection="1">
      <alignment horizontal="left" vertical="center"/>
      <protection locked="0"/>
    </xf>
    <xf numFmtId="0" fontId="93" fillId="4" borderId="2" xfId="0" applyFont="1" applyFill="1" applyBorder="1" applyAlignment="1" applyProtection="1">
      <alignment horizontal="left" vertical="center" wrapText="1"/>
      <protection locked="0"/>
    </xf>
    <xf numFmtId="179" fontId="10" fillId="4" borderId="0" xfId="0" applyNumberFormat="1" applyFont="1" applyFill="1" applyAlignment="1" applyProtection="1">
      <alignment horizontal="left" vertical="center"/>
      <protection locked="0"/>
    </xf>
    <xf numFmtId="0" fontId="88" fillId="4" borderId="2" xfId="0" applyFont="1" applyFill="1" applyBorder="1" applyAlignment="1" applyProtection="1">
      <alignment horizontal="left" vertical="center" wrapText="1"/>
      <protection locked="0"/>
    </xf>
    <xf numFmtId="0" fontId="26" fillId="4" borderId="2" xfId="0" applyFont="1" applyFill="1" applyBorder="1" applyAlignment="1" applyProtection="1">
      <alignment horizontal="left" vertical="center"/>
      <protection locked="0"/>
    </xf>
    <xf numFmtId="0" fontId="26" fillId="4" borderId="4" xfId="0" applyFont="1" applyFill="1" applyBorder="1" applyAlignment="1" applyProtection="1">
      <alignment horizontal="left" vertical="center"/>
      <protection locked="0"/>
    </xf>
    <xf numFmtId="0" fontId="11" fillId="4" borderId="2" xfId="0" applyFont="1" applyFill="1" applyBorder="1" applyAlignment="1" applyProtection="1">
      <alignment horizontal="left" vertical="center" wrapText="1"/>
      <protection locked="0"/>
    </xf>
    <xf numFmtId="179" fontId="26" fillId="4" borderId="2" xfId="0" applyNumberFormat="1" applyFont="1" applyFill="1" applyBorder="1" applyAlignment="1" applyProtection="1">
      <alignment horizontal="left" vertical="center"/>
      <protection locked="0"/>
    </xf>
    <xf numFmtId="0" fontId="14" fillId="32" borderId="2" xfId="0" applyFont="1" applyFill="1" applyBorder="1" applyAlignment="1" applyProtection="1">
      <alignment horizontal="left" vertical="center"/>
      <protection locked="0"/>
    </xf>
    <xf numFmtId="0" fontId="14" fillId="32" borderId="51" xfId="0" applyFont="1" applyFill="1" applyBorder="1" applyAlignment="1" applyProtection="1">
      <alignment horizontal="left" vertical="center"/>
      <protection locked="0"/>
    </xf>
    <xf numFmtId="0" fontId="9" fillId="4" borderId="14" xfId="0" applyFont="1" applyFill="1" applyBorder="1" applyAlignment="1" applyProtection="1">
      <alignment horizontal="left" vertical="center"/>
      <protection locked="0"/>
    </xf>
    <xf numFmtId="0" fontId="9" fillId="4" borderId="61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/>
      <protection locked="0"/>
    </xf>
    <xf numFmtId="0" fontId="9" fillId="4" borderId="63" xfId="0" applyFont="1" applyFill="1" applyBorder="1" applyAlignment="1" applyProtection="1">
      <alignment horizontal="left" vertical="center"/>
      <protection locked="0"/>
    </xf>
    <xf numFmtId="0" fontId="9" fillId="4" borderId="17" xfId="0" applyFont="1" applyFill="1" applyBorder="1" applyAlignment="1" applyProtection="1">
      <alignment horizontal="left" vertical="center"/>
      <protection locked="0"/>
    </xf>
    <xf numFmtId="0" fontId="10" fillId="4" borderId="51" xfId="0" applyFont="1" applyFill="1" applyBorder="1" applyAlignment="1" applyProtection="1">
      <alignment horizontal="left" vertical="center"/>
      <protection locked="0"/>
    </xf>
    <xf numFmtId="0" fontId="10" fillId="33" borderId="2" xfId="0" applyFont="1" applyFill="1" applyBorder="1" applyAlignment="1" applyProtection="1">
      <alignment horizontal="left" vertical="center"/>
      <protection locked="0"/>
    </xf>
    <xf numFmtId="0" fontId="9" fillId="4" borderId="64" xfId="0" applyFont="1" applyFill="1" applyBorder="1" applyAlignment="1" applyProtection="1">
      <alignment horizontal="left" vertical="center"/>
      <protection locked="0"/>
    </xf>
    <xf numFmtId="179" fontId="10" fillId="4" borderId="17" xfId="0" applyNumberFormat="1" applyFont="1" applyFill="1" applyBorder="1" applyAlignment="1" applyProtection="1">
      <alignment horizontal="left" vertical="center"/>
      <protection locked="0"/>
    </xf>
    <xf numFmtId="0" fontId="10" fillId="32" borderId="2" xfId="0" applyFont="1" applyFill="1" applyBorder="1" applyAlignment="1" applyProtection="1">
      <alignment horizontal="left" vertical="center"/>
      <protection locked="0"/>
    </xf>
    <xf numFmtId="0" fontId="10" fillId="32" borderId="51" xfId="0" applyFont="1" applyFill="1" applyBorder="1" applyAlignment="1" applyProtection="1">
      <alignment horizontal="left" vertical="center"/>
      <protection locked="0"/>
    </xf>
    <xf numFmtId="179" fontId="10" fillId="33" borderId="2" xfId="0" applyNumberFormat="1" applyFont="1" applyFill="1" applyBorder="1" applyAlignment="1" applyProtection="1">
      <alignment horizontal="left" vertical="center"/>
      <protection locked="0"/>
    </xf>
    <xf numFmtId="179" fontId="10" fillId="8" borderId="2" xfId="0" applyNumberFormat="1" applyFont="1" applyFill="1" applyBorder="1" applyAlignment="1" applyProtection="1">
      <alignment horizontal="left" vertical="center"/>
      <protection locked="0"/>
    </xf>
    <xf numFmtId="0" fontId="10" fillId="8" borderId="2" xfId="0" applyFont="1" applyFill="1" applyBorder="1" applyAlignment="1" applyProtection="1">
      <alignment horizontal="left" vertical="center"/>
      <protection locked="0"/>
    </xf>
    <xf numFmtId="14" fontId="10" fillId="8" borderId="2" xfId="0" applyNumberFormat="1" applyFont="1" applyFill="1" applyBorder="1" applyAlignment="1" applyProtection="1">
      <alignment horizontal="left" vertical="center"/>
      <protection locked="0"/>
    </xf>
    <xf numFmtId="14" fontId="89" fillId="32" borderId="2" xfId="0" applyNumberFormat="1" applyFont="1" applyFill="1" applyBorder="1" applyAlignment="1" applyProtection="1">
      <alignment horizontal="left" vertical="center"/>
      <protection locked="0"/>
    </xf>
    <xf numFmtId="14" fontId="11" fillId="32" borderId="2" xfId="0" applyNumberFormat="1" applyFont="1" applyFill="1" applyBorder="1" applyAlignment="1" applyProtection="1">
      <alignment horizontal="left" vertical="center"/>
      <protection locked="0"/>
    </xf>
    <xf numFmtId="179" fontId="89" fillId="32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0" xfId="0" applyFont="1" applyFill="1" applyAlignment="1" applyProtection="1">
      <alignment horizontal="left" vertical="center"/>
      <protection locked="0"/>
    </xf>
    <xf numFmtId="0" fontId="88" fillId="8" borderId="2" xfId="0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9" fillId="4" borderId="65" xfId="0" applyFont="1" applyFill="1" applyBorder="1" applyAlignment="1" applyProtection="1">
      <alignment horizontal="left" vertical="center"/>
      <protection locked="0"/>
    </xf>
    <xf numFmtId="0" fontId="9" fillId="4" borderId="3" xfId="0" applyFont="1" applyFill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79" fontId="10" fillId="4" borderId="14" xfId="0" applyNumberFormat="1" applyFont="1" applyFill="1" applyBorder="1" applyAlignment="1" applyProtection="1">
      <alignment horizontal="left" vertical="center"/>
      <protection locked="0"/>
    </xf>
    <xf numFmtId="179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10" fillId="0" borderId="16" xfId="0" applyNumberFormat="1" applyFont="1" applyBorder="1" applyAlignment="1" applyProtection="1">
      <alignment horizontal="left" vertical="center"/>
      <protection locked="0"/>
    </xf>
    <xf numFmtId="179" fontId="10" fillId="4" borderId="3" xfId="0" applyNumberFormat="1" applyFont="1" applyFill="1" applyBorder="1" applyAlignment="1" applyProtection="1">
      <alignment horizontal="left" vertical="center"/>
      <protection locked="0"/>
    </xf>
    <xf numFmtId="14" fontId="10" fillId="4" borderId="3" xfId="0" applyNumberFormat="1" applyFont="1" applyFill="1" applyBorder="1" applyAlignment="1" applyProtection="1">
      <alignment horizontal="left" vertical="center"/>
      <protection locked="0"/>
    </xf>
    <xf numFmtId="179" fontId="9" fillId="4" borderId="3" xfId="0" applyNumberFormat="1" applyFont="1" applyFill="1" applyBorder="1" applyAlignment="1" applyProtection="1">
      <alignment horizontal="left" vertical="center"/>
      <protection locked="0"/>
    </xf>
    <xf numFmtId="14" fontId="89" fillId="0" borderId="3" xfId="0" applyNumberFormat="1" applyFont="1" applyBorder="1" applyAlignment="1" applyProtection="1">
      <alignment horizontal="left" vertical="center"/>
      <protection locked="0"/>
    </xf>
    <xf numFmtId="14" fontId="11" fillId="0" borderId="3" xfId="0" applyNumberFormat="1" applyFont="1" applyBorder="1" applyAlignment="1" applyProtection="1">
      <alignment horizontal="left" vertical="center"/>
      <protection locked="0"/>
    </xf>
    <xf numFmtId="179" fontId="89" fillId="0" borderId="3" xfId="0" applyNumberFormat="1" applyFont="1" applyBorder="1" applyAlignment="1" applyProtection="1">
      <alignment horizontal="left" vertical="center"/>
      <protection locked="0"/>
    </xf>
    <xf numFmtId="0" fontId="10" fillId="0" borderId="3" xfId="0" applyFont="1" applyBorder="1" applyAlignment="1" applyProtection="1">
      <alignment horizontal="left" vertical="center"/>
      <protection locked="0"/>
    </xf>
    <xf numFmtId="0" fontId="10" fillId="0" borderId="15" xfId="0" applyFont="1" applyBorder="1" applyAlignment="1" applyProtection="1">
      <alignment horizontal="left" vertical="center"/>
      <protection locked="0"/>
    </xf>
    <xf numFmtId="14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0" borderId="1" xfId="0" applyNumberFormat="1" applyFont="1" applyBorder="1" applyAlignment="1" applyProtection="1">
      <alignment horizontal="left" vertical="center"/>
      <protection locked="0"/>
    </xf>
    <xf numFmtId="14" fontId="11" fillId="0" borderId="1" xfId="0" applyNumberFormat="1" applyFont="1" applyBorder="1" applyAlignment="1" applyProtection="1">
      <alignment horizontal="left" vertical="center"/>
      <protection locked="0"/>
    </xf>
    <xf numFmtId="179" fontId="89" fillId="0" borderId="1" xfId="0" applyNumberFormat="1" applyFont="1" applyBorder="1" applyAlignment="1" applyProtection="1">
      <alignment horizontal="left" vertical="center"/>
      <protection locked="0"/>
    </xf>
    <xf numFmtId="0" fontId="10" fillId="0" borderId="1" xfId="0" applyFont="1" applyBorder="1" applyAlignment="1" applyProtection="1">
      <alignment horizontal="left" vertical="center"/>
      <protection locked="0"/>
    </xf>
    <xf numFmtId="0" fontId="10" fillId="0" borderId="13" xfId="0" applyFont="1" applyBorder="1" applyAlignment="1" applyProtection="1">
      <alignment horizontal="left" vertical="center"/>
      <protection locked="0"/>
    </xf>
    <xf numFmtId="179" fontId="10" fillId="4" borderId="13" xfId="0" applyNumberFormat="1" applyFont="1" applyFill="1" applyBorder="1" applyAlignment="1" applyProtection="1">
      <alignment horizontal="left" vertical="center"/>
      <protection locked="0"/>
    </xf>
    <xf numFmtId="0" fontId="89" fillId="4" borderId="1" xfId="0" applyFont="1" applyFill="1" applyBorder="1" applyAlignment="1" applyProtection="1">
      <alignment horizontal="left" vertical="center" wrapText="1"/>
      <protection locked="0"/>
    </xf>
    <xf numFmtId="14" fontId="89" fillId="4" borderId="1" xfId="0" applyNumberFormat="1" applyFont="1" applyFill="1" applyBorder="1" applyAlignment="1" applyProtection="1">
      <alignment horizontal="left" vertical="center"/>
      <protection locked="0"/>
    </xf>
    <xf numFmtId="14" fontId="11" fillId="4" borderId="1" xfId="0" applyNumberFormat="1" applyFont="1" applyFill="1" applyBorder="1" applyAlignment="1" applyProtection="1">
      <alignment horizontal="left" vertical="center"/>
      <protection locked="0"/>
    </xf>
    <xf numFmtId="179" fontId="89" fillId="4" borderId="1" xfId="0" applyNumberFormat="1" applyFont="1" applyFill="1" applyBorder="1" applyAlignment="1" applyProtection="1">
      <alignment horizontal="left" vertical="center"/>
      <protection locked="0"/>
    </xf>
    <xf numFmtId="14" fontId="89" fillId="8" borderId="1" xfId="0" applyNumberFormat="1" applyFont="1" applyFill="1" applyBorder="1" applyAlignment="1" applyProtection="1">
      <alignment horizontal="left" vertical="center"/>
      <protection locked="0"/>
    </xf>
    <xf numFmtId="14" fontId="11" fillId="8" borderId="1" xfId="0" applyNumberFormat="1" applyFont="1" applyFill="1" applyBorder="1" applyAlignment="1" applyProtection="1">
      <alignment horizontal="left" vertical="center"/>
      <protection locked="0"/>
    </xf>
    <xf numFmtId="179" fontId="89" fillId="8" borderId="1" xfId="0" applyNumberFormat="1" applyFont="1" applyFill="1" applyBorder="1" applyAlignment="1" applyProtection="1">
      <alignment horizontal="left" vertical="center"/>
      <protection locked="0"/>
    </xf>
    <xf numFmtId="179" fontId="14" fillId="4" borderId="13" xfId="0" applyNumberFormat="1" applyFont="1" applyFill="1" applyBorder="1" applyAlignment="1" applyProtection="1">
      <alignment horizontal="left" vertical="center"/>
      <protection locked="0"/>
    </xf>
    <xf numFmtId="179" fontId="14" fillId="4" borderId="1" xfId="0" applyNumberFormat="1" applyFont="1" applyFill="1" applyBorder="1" applyAlignment="1" applyProtection="1">
      <alignment horizontal="left" vertical="center"/>
      <protection locked="0"/>
    </xf>
    <xf numFmtId="0" fontId="14" fillId="4" borderId="1" xfId="0" applyFont="1" applyFill="1" applyBorder="1" applyAlignment="1" applyProtection="1">
      <alignment horizontal="left" vertical="center"/>
      <protection locked="0"/>
    </xf>
    <xf numFmtId="14" fontId="14" fillId="4" borderId="1" xfId="0" applyNumberFormat="1" applyFont="1" applyFill="1" applyBorder="1" applyAlignment="1" applyProtection="1">
      <alignment horizontal="left" vertical="center"/>
      <protection locked="0"/>
    </xf>
    <xf numFmtId="0" fontId="11" fillId="4" borderId="1" xfId="0" applyFont="1" applyFill="1" applyBorder="1" applyAlignment="1" applyProtection="1">
      <alignment horizontal="left" vertical="center" wrapText="1"/>
      <protection locked="0"/>
    </xf>
    <xf numFmtId="179" fontId="11" fillId="4" borderId="1" xfId="0" applyNumberFormat="1" applyFont="1" applyFill="1" applyBorder="1" applyAlignment="1" applyProtection="1">
      <alignment horizontal="left" vertical="center"/>
      <protection locked="0"/>
    </xf>
    <xf numFmtId="0" fontId="88" fillId="4" borderId="1" xfId="0" applyFont="1" applyFill="1" applyBorder="1" applyAlignment="1" applyProtection="1">
      <alignment horizontal="left" vertical="center" wrapText="1"/>
      <protection locked="0"/>
    </xf>
    <xf numFmtId="0" fontId="10" fillId="4" borderId="13" xfId="0" applyFont="1" applyFill="1" applyBorder="1" applyAlignment="1" applyProtection="1">
      <alignment horizontal="left" vertical="center"/>
      <protection locked="0"/>
    </xf>
    <xf numFmtId="0" fontId="9" fillId="4" borderId="70" xfId="0" applyFont="1" applyFill="1" applyBorder="1" applyAlignment="1" applyProtection="1">
      <alignment horizontal="left" vertical="center"/>
      <protection locked="0"/>
    </xf>
    <xf numFmtId="179" fontId="10" fillId="4" borderId="6" xfId="0" applyNumberFormat="1" applyFont="1" applyFill="1" applyBorder="1" applyAlignment="1" applyProtection="1">
      <alignment horizontal="left" vertical="center"/>
      <protection locked="0"/>
    </xf>
    <xf numFmtId="179" fontId="10" fillId="4" borderId="71" xfId="0" applyNumberFormat="1" applyFont="1" applyFill="1" applyBorder="1" applyAlignment="1" applyProtection="1">
      <alignment horizontal="left" vertical="center"/>
      <protection locked="0"/>
    </xf>
    <xf numFmtId="179" fontId="10" fillId="4" borderId="72" xfId="0" applyNumberFormat="1" applyFont="1" applyFill="1" applyBorder="1" applyAlignment="1" applyProtection="1">
      <alignment horizontal="left" vertical="center"/>
      <protection locked="0"/>
    </xf>
    <xf numFmtId="0" fontId="10" fillId="4" borderId="14" xfId="0" applyFont="1" applyFill="1" applyBorder="1" applyAlignment="1" applyProtection="1">
      <alignment horizontal="left" vertical="center"/>
      <protection locked="0"/>
    </xf>
    <xf numFmtId="0" fontId="9" fillId="4" borderId="67" xfId="0" applyFont="1" applyFill="1" applyBorder="1" applyAlignment="1" applyProtection="1">
      <alignment horizontal="left" vertical="center"/>
      <protection locked="0"/>
    </xf>
    <xf numFmtId="179" fontId="10" fillId="4" borderId="68" xfId="0" applyNumberFormat="1" applyFont="1" applyFill="1" applyBorder="1" applyAlignment="1" applyProtection="1">
      <alignment horizontal="left" vertical="center"/>
      <protection locked="0"/>
    </xf>
    <xf numFmtId="0" fontId="9" fillId="4" borderId="10" xfId="0" applyFont="1" applyFill="1" applyBorder="1" applyAlignment="1" applyProtection="1">
      <alignment horizontal="left" vertical="center"/>
      <protection locked="0"/>
    </xf>
    <xf numFmtId="179" fontId="10" fillId="4" borderId="11" xfId="0" applyNumberFormat="1" applyFont="1" applyFill="1" applyBorder="1" applyAlignment="1" applyProtection="1">
      <alignment horizontal="left" vertical="center"/>
      <protection locked="0"/>
    </xf>
    <xf numFmtId="179" fontId="10" fillId="4" borderId="12" xfId="0" applyNumberFormat="1" applyFont="1" applyFill="1" applyBorder="1" applyAlignment="1" applyProtection="1">
      <alignment horizontal="left" vertical="center"/>
      <protection locked="0"/>
    </xf>
    <xf numFmtId="0" fontId="9" fillId="4" borderId="20" xfId="0" applyFont="1" applyFill="1" applyBorder="1" applyAlignment="1" applyProtection="1">
      <alignment horizontal="left" vertical="center"/>
      <protection locked="0"/>
    </xf>
    <xf numFmtId="179" fontId="10" fillId="4" borderId="69" xfId="0" applyNumberFormat="1" applyFont="1" applyFill="1" applyBorder="1" applyAlignment="1" applyProtection="1">
      <alignment horizontal="left" vertical="center"/>
      <protection locked="0"/>
    </xf>
    <xf numFmtId="179" fontId="10" fillId="4" borderId="20" xfId="0" applyNumberFormat="1" applyFont="1" applyFill="1" applyBorder="1" applyAlignment="1" applyProtection="1">
      <alignment horizontal="left" vertical="center"/>
      <protection locked="0"/>
    </xf>
    <xf numFmtId="0" fontId="10" fillId="4" borderId="20" xfId="0" applyFont="1" applyFill="1" applyBorder="1" applyAlignment="1" applyProtection="1">
      <alignment horizontal="left" vertical="center"/>
      <protection locked="0"/>
    </xf>
    <xf numFmtId="0" fontId="9" fillId="4" borderId="13" xfId="0" applyFont="1" applyFill="1" applyBorder="1" applyAlignment="1" applyProtection="1">
      <alignment horizontal="left" vertical="center"/>
      <protection locked="0"/>
    </xf>
    <xf numFmtId="179" fontId="10" fillId="4" borderId="70" xfId="0" applyNumberFormat="1" applyFont="1" applyFill="1" applyBorder="1" applyAlignment="1" applyProtection="1">
      <alignment horizontal="left" vertical="center"/>
      <protection locked="0"/>
    </xf>
    <xf numFmtId="0" fontId="10" fillId="4" borderId="72" xfId="0" applyFont="1" applyFill="1" applyBorder="1" applyAlignment="1" applyProtection="1">
      <alignment horizontal="left" vertical="center"/>
      <protection locked="0"/>
    </xf>
    <xf numFmtId="179" fontId="10" fillId="4" borderId="67" xfId="0" applyNumberFormat="1" applyFont="1" applyFill="1" applyBorder="1" applyAlignment="1" applyProtection="1">
      <alignment horizontal="left" vertical="center"/>
      <protection locked="0"/>
    </xf>
    <xf numFmtId="0" fontId="10" fillId="4" borderId="68" xfId="0" applyFont="1" applyFill="1" applyBorder="1" applyAlignment="1" applyProtection="1">
      <alignment horizontal="left" vertical="center"/>
      <protection locked="0"/>
    </xf>
    <xf numFmtId="179" fontId="10" fillId="4" borderId="10" xfId="0" applyNumberFormat="1" applyFont="1" applyFill="1" applyBorder="1" applyAlignment="1" applyProtection="1">
      <alignment horizontal="left" vertical="center"/>
      <protection locked="0"/>
    </xf>
    <xf numFmtId="0" fontId="10" fillId="4" borderId="12" xfId="0" applyFont="1" applyFill="1" applyBorder="1" applyAlignment="1" applyProtection="1">
      <alignment horizontal="left" vertical="center"/>
      <protection locked="0"/>
    </xf>
    <xf numFmtId="179" fontId="10" fillId="4" borderId="5" xfId="0" applyNumberFormat="1" applyFont="1" applyFill="1" applyBorder="1" applyAlignment="1" applyProtection="1">
      <alignment horizontal="left" vertical="center"/>
      <protection locked="0"/>
    </xf>
    <xf numFmtId="179" fontId="10" fillId="4" borderId="8" xfId="0" applyNumberFormat="1" applyFont="1" applyFill="1" applyBorder="1" applyAlignment="1" applyProtection="1">
      <alignment horizontal="left" vertical="center"/>
      <protection locked="0"/>
    </xf>
    <xf numFmtId="179" fontId="10" fillId="4" borderId="7" xfId="0" applyNumberFormat="1" applyFont="1" applyFill="1" applyBorder="1" applyAlignment="1" applyProtection="1">
      <alignment horizontal="left" vertical="center"/>
      <protection locked="0"/>
    </xf>
    <xf numFmtId="179" fontId="10" fillId="4" borderId="9" xfId="0" applyNumberFormat="1" applyFont="1" applyFill="1" applyBorder="1" applyAlignment="1" applyProtection="1">
      <alignment horizontal="left" vertical="center"/>
      <protection locked="0"/>
    </xf>
    <xf numFmtId="14" fontId="93" fillId="4" borderId="1" xfId="0" applyNumberFormat="1" applyFont="1" applyFill="1" applyBorder="1" applyAlignment="1" applyProtection="1">
      <alignment horizontal="left" vertical="center"/>
      <protection locked="0"/>
    </xf>
    <xf numFmtId="179" fontId="10" fillId="4" borderId="47" xfId="0" applyNumberFormat="1" applyFont="1" applyFill="1" applyBorder="1" applyAlignment="1" applyProtection="1">
      <alignment horizontal="left" vertical="center"/>
      <protection locked="0"/>
    </xf>
    <xf numFmtId="179" fontId="10" fillId="4" borderId="73" xfId="0" applyNumberFormat="1" applyFont="1" applyFill="1" applyBorder="1" applyAlignment="1" applyProtection="1">
      <alignment horizontal="left" vertical="center"/>
      <protection locked="0"/>
    </xf>
    <xf numFmtId="179" fontId="10" fillId="4" borderId="74" xfId="0" applyNumberFormat="1" applyFont="1" applyFill="1" applyBorder="1" applyAlignment="1" applyProtection="1">
      <alignment horizontal="left" vertical="center"/>
      <protection locked="0"/>
    </xf>
    <xf numFmtId="179" fontId="9" fillId="0" borderId="2" xfId="0" applyNumberFormat="1" applyFont="1" applyBorder="1" applyAlignment="1" applyProtection="1">
      <alignment horizontal="left" vertical="center"/>
      <protection locked="0"/>
    </xf>
    <xf numFmtId="179" fontId="10" fillId="0" borderId="1" xfId="0" applyNumberFormat="1" applyFont="1" applyBorder="1" applyAlignment="1" applyProtection="1">
      <alignment horizontal="left" vertical="center"/>
      <protection locked="0"/>
    </xf>
    <xf numFmtId="14" fontId="89" fillId="14" borderId="1" xfId="0" applyNumberFormat="1" applyFont="1" applyFill="1" applyBorder="1" applyAlignment="1" applyProtection="1">
      <alignment horizontal="left" vertical="center"/>
      <protection locked="0"/>
    </xf>
    <xf numFmtId="14" fontId="11" fillId="14" borderId="1" xfId="0" applyNumberFormat="1" applyFont="1" applyFill="1" applyBorder="1" applyAlignment="1" applyProtection="1">
      <alignment horizontal="left" vertical="center"/>
      <protection locked="0"/>
    </xf>
    <xf numFmtId="179" fontId="89" fillId="14" borderId="1" xfId="0" applyNumberFormat="1" applyFont="1" applyFill="1" applyBorder="1" applyAlignment="1" applyProtection="1">
      <alignment horizontal="left" vertical="center"/>
      <protection locked="0"/>
    </xf>
    <xf numFmtId="0" fontId="10" fillId="14" borderId="1" xfId="0" applyFont="1" applyFill="1" applyBorder="1" applyAlignment="1" applyProtection="1">
      <alignment horizontal="left" vertical="center"/>
      <protection locked="0"/>
    </xf>
    <xf numFmtId="0" fontId="10" fillId="14" borderId="13" xfId="0" applyFont="1" applyFill="1" applyBorder="1" applyAlignment="1" applyProtection="1">
      <alignment horizontal="left" vertical="center"/>
      <protection locked="0"/>
    </xf>
    <xf numFmtId="0" fontId="92" fillId="5" borderId="2" xfId="0" applyFont="1" applyFill="1" applyBorder="1" applyAlignment="1" applyProtection="1">
      <alignment horizontal="left" vertical="center"/>
      <protection locked="0"/>
    </xf>
    <xf numFmtId="0" fontId="89" fillId="0" borderId="1" xfId="0" applyFont="1" applyBorder="1" applyAlignment="1" applyProtection="1">
      <alignment horizontal="left" vertical="center" wrapText="1"/>
      <protection locked="0"/>
    </xf>
    <xf numFmtId="179" fontId="94" fillId="0" borderId="1" xfId="0" applyNumberFormat="1" applyFont="1" applyBorder="1" applyAlignment="1" applyProtection="1">
      <alignment horizontal="left" vertical="center"/>
      <protection locked="0"/>
    </xf>
    <xf numFmtId="179" fontId="10" fillId="34" borderId="1" xfId="0" applyNumberFormat="1" applyFont="1" applyFill="1" applyBorder="1" applyAlignment="1" applyProtection="1">
      <alignment horizontal="left" vertical="center"/>
      <protection locked="0"/>
    </xf>
    <xf numFmtId="179" fontId="10" fillId="14" borderId="13" xfId="0" applyNumberFormat="1" applyFont="1" applyFill="1" applyBorder="1" applyAlignment="1" applyProtection="1">
      <alignment horizontal="left" vertical="center"/>
      <protection locked="0"/>
    </xf>
    <xf numFmtId="179" fontId="10" fillId="14" borderId="1" xfId="0" applyNumberFormat="1" applyFont="1" applyFill="1" applyBorder="1" applyAlignment="1" applyProtection="1">
      <alignment horizontal="left" vertical="center"/>
      <protection locked="0"/>
    </xf>
    <xf numFmtId="14" fontId="115" fillId="14" borderId="1" xfId="0" applyNumberFormat="1" applyFont="1" applyFill="1" applyBorder="1" applyAlignment="1" applyProtection="1">
      <alignment horizontal="left" vertical="center"/>
      <protection locked="0"/>
    </xf>
    <xf numFmtId="179" fontId="105" fillId="4" borderId="0" xfId="0" applyNumberFormat="1" applyFont="1" applyFill="1" applyAlignment="1" applyProtection="1">
      <alignment horizontal="center" vertical="center"/>
      <protection locked="0"/>
    </xf>
    <xf numFmtId="179" fontId="94" fillId="4" borderId="2" xfId="0" applyNumberFormat="1" applyFont="1" applyFill="1" applyBorder="1" applyAlignment="1" applyProtection="1">
      <alignment horizontal="left" vertical="center"/>
      <protection locked="0"/>
    </xf>
    <xf numFmtId="179" fontId="94" fillId="4" borderId="1" xfId="0" applyNumberFormat="1" applyFont="1" applyFill="1" applyBorder="1" applyAlignment="1" applyProtection="1">
      <alignment horizontal="left" vertical="center"/>
      <protection locked="0"/>
    </xf>
    <xf numFmtId="14" fontId="9" fillId="4" borderId="2" xfId="55" applyNumberFormat="1" applyFont="1" applyFill="1" applyBorder="1" applyAlignment="1" applyProtection="1">
      <alignment horizontal="left"/>
      <protection locked="0"/>
    </xf>
    <xf numFmtId="0" fontId="94" fillId="4" borderId="2" xfId="0" applyFont="1" applyFill="1" applyBorder="1" applyAlignment="1" applyProtection="1">
      <alignment horizontal="left" vertical="center"/>
      <protection locked="0"/>
    </xf>
    <xf numFmtId="14" fontId="26" fillId="4" borderId="2" xfId="55" quotePrefix="1" applyNumberFormat="1" applyFont="1" applyFill="1" applyBorder="1" applyAlignment="1" applyProtection="1">
      <alignment horizontal="left" vertical="center"/>
      <protection locked="0"/>
    </xf>
    <xf numFmtId="14" fontId="104" fillId="4" borderId="2" xfId="55" quotePrefix="1" applyNumberFormat="1" applyFont="1" applyFill="1" applyBorder="1" applyAlignment="1" applyProtection="1">
      <alignment horizontal="left" vertical="center"/>
      <protection locked="0"/>
    </xf>
    <xf numFmtId="0" fontId="89" fillId="35" borderId="1" xfId="0" applyFont="1" applyFill="1" applyBorder="1" applyAlignment="1" applyProtection="1">
      <alignment horizontal="left" vertical="center" wrapText="1"/>
      <protection locked="0"/>
    </xf>
    <xf numFmtId="179" fontId="10" fillId="35" borderId="1" xfId="0" applyNumberFormat="1" applyFont="1" applyFill="1" applyBorder="1" applyAlignment="1" applyProtection="1">
      <alignment horizontal="left" vertical="center"/>
      <protection locked="0"/>
    </xf>
    <xf numFmtId="179" fontId="113" fillId="35" borderId="1" xfId="0" applyNumberFormat="1" applyFont="1" applyFill="1" applyBorder="1" applyAlignment="1" applyProtection="1">
      <alignment horizontal="left" vertical="center"/>
      <protection locked="0"/>
    </xf>
    <xf numFmtId="14" fontId="104" fillId="4" borderId="2" xfId="55" applyNumberFormat="1" applyFont="1" applyFill="1" applyBorder="1" applyAlignment="1" applyProtection="1">
      <alignment horizontal="left"/>
      <protection locked="0"/>
    </xf>
    <xf numFmtId="14" fontId="9" fillId="4" borderId="1" xfId="0" applyNumberFormat="1" applyFont="1" applyFill="1" applyBorder="1" applyAlignment="1" applyProtection="1">
      <alignment horizontal="left" vertical="center"/>
      <protection locked="0"/>
    </xf>
    <xf numFmtId="0" fontId="10" fillId="3" borderId="1" xfId="0" applyFont="1" applyFill="1" applyBorder="1" applyAlignment="1" applyProtection="1">
      <alignment horizontal="left" vertical="center"/>
      <protection locked="0"/>
    </xf>
    <xf numFmtId="179" fontId="12" fillId="4" borderId="14" xfId="0" applyNumberFormat="1" applyFont="1" applyFill="1" applyBorder="1" applyAlignment="1" applyProtection="1">
      <alignment horizontal="left" vertical="center"/>
      <protection locked="0"/>
    </xf>
    <xf numFmtId="14" fontId="89" fillId="31" borderId="1" xfId="0" applyNumberFormat="1" applyFont="1" applyFill="1" applyBorder="1" applyAlignment="1" applyProtection="1">
      <alignment horizontal="left" vertical="center"/>
      <protection locked="0"/>
    </xf>
    <xf numFmtId="14" fontId="11" fillId="31" borderId="1" xfId="0" applyNumberFormat="1" applyFont="1" applyFill="1" applyBorder="1" applyAlignment="1" applyProtection="1">
      <alignment horizontal="left" vertical="center"/>
      <protection locked="0"/>
    </xf>
    <xf numFmtId="179" fontId="89" fillId="31" borderId="1" xfId="0" applyNumberFormat="1" applyFont="1" applyFill="1" applyBorder="1" applyAlignment="1" applyProtection="1">
      <alignment horizontal="left" vertical="center"/>
      <protection locked="0"/>
    </xf>
    <xf numFmtId="0" fontId="10" fillId="31" borderId="1" xfId="0" applyFont="1" applyFill="1" applyBorder="1" applyAlignment="1" applyProtection="1">
      <alignment horizontal="left" vertical="center"/>
      <protection locked="0"/>
    </xf>
    <xf numFmtId="0" fontId="10" fillId="31" borderId="13" xfId="0" applyFont="1" applyFill="1" applyBorder="1" applyAlignment="1" applyProtection="1">
      <alignment horizontal="left" vertical="center"/>
      <protection locked="0"/>
    </xf>
    <xf numFmtId="0" fontId="10" fillId="31" borderId="2" xfId="0" applyFont="1" applyFill="1" applyBorder="1" applyAlignment="1" applyProtection="1">
      <alignment horizontal="left" vertical="center"/>
      <protection locked="0"/>
    </xf>
    <xf numFmtId="179" fontId="10" fillId="31" borderId="0" xfId="0" applyNumberFormat="1" applyFont="1" applyFill="1" applyAlignment="1" applyProtection="1">
      <alignment horizontal="left" vertical="center"/>
      <protection locked="0"/>
    </xf>
    <xf numFmtId="179" fontId="94" fillId="4" borderId="14" xfId="0" applyNumberFormat="1" applyFont="1" applyFill="1" applyBorder="1" applyAlignment="1" applyProtection="1">
      <alignment horizontal="left" vertical="center"/>
      <protection locked="0"/>
    </xf>
    <xf numFmtId="0" fontId="10" fillId="8" borderId="1" xfId="0" applyFont="1" applyFill="1" applyBorder="1" applyAlignment="1" applyProtection="1">
      <alignment horizontal="left" vertical="center"/>
      <protection locked="0"/>
    </xf>
    <xf numFmtId="0" fontId="10" fillId="4" borderId="35" xfId="0" applyFont="1" applyFill="1" applyBorder="1" applyAlignment="1" applyProtection="1">
      <alignment horizontal="left" vertical="center"/>
      <protection locked="0"/>
    </xf>
    <xf numFmtId="0" fontId="10" fillId="4" borderId="75" xfId="0" applyFont="1" applyFill="1" applyBorder="1" applyAlignment="1" applyProtection="1">
      <alignment horizontal="left" vertical="center"/>
      <protection locked="0"/>
    </xf>
    <xf numFmtId="179" fontId="119" fillId="4" borderId="14" xfId="0" applyNumberFormat="1" applyFont="1" applyFill="1" applyBorder="1" applyAlignment="1" applyProtection="1">
      <alignment horizontal="left" vertical="center"/>
      <protection locked="0"/>
    </xf>
    <xf numFmtId="14" fontId="119" fillId="4" borderId="1" xfId="0" applyNumberFormat="1" applyFont="1" applyFill="1" applyBorder="1" applyAlignment="1" applyProtection="1">
      <alignment horizontal="left" vertical="center"/>
      <protection locked="0"/>
    </xf>
    <xf numFmtId="179" fontId="12" fillId="4" borderId="2" xfId="0" applyNumberFormat="1" applyFont="1" applyFill="1" applyBorder="1" applyAlignment="1" applyProtection="1">
      <alignment horizontal="left" vertical="center"/>
      <protection locked="0"/>
    </xf>
    <xf numFmtId="0" fontId="10" fillId="4" borderId="1" xfId="0" applyFont="1" applyFill="1" applyBorder="1" applyAlignment="1" applyProtection="1">
      <alignment horizontal="left" vertical="center" wrapText="1"/>
      <protection locked="0"/>
    </xf>
    <xf numFmtId="0" fontId="119" fillId="4" borderId="1" xfId="0" applyFont="1" applyFill="1" applyBorder="1" applyAlignment="1" applyProtection="1">
      <alignment horizontal="left" vertical="center" wrapText="1"/>
      <protection locked="0"/>
    </xf>
    <xf numFmtId="0" fontId="121" fillId="4" borderId="1" xfId="0" applyFont="1" applyFill="1" applyBorder="1" applyAlignment="1" applyProtection="1">
      <alignment horizontal="left" vertical="center" wrapText="1"/>
      <protection locked="0"/>
    </xf>
    <xf numFmtId="179" fontId="94" fillId="4" borderId="4" xfId="0" applyNumberFormat="1" applyFont="1" applyFill="1" applyBorder="1" applyAlignment="1" applyProtection="1">
      <alignment horizontal="left" vertical="center"/>
      <protection locked="0"/>
    </xf>
    <xf numFmtId="0" fontId="9" fillId="4" borderId="75" xfId="0" applyFont="1" applyFill="1" applyBorder="1" applyAlignment="1" applyProtection="1">
      <alignment horizontal="left" vertical="center"/>
      <protection locked="0"/>
    </xf>
    <xf numFmtId="179" fontId="124" fillId="4" borderId="14" xfId="0" applyNumberFormat="1" applyFont="1" applyFill="1" applyBorder="1" applyAlignment="1" applyProtection="1">
      <alignment horizontal="left" vertical="center"/>
      <protection locked="0"/>
    </xf>
    <xf numFmtId="179" fontId="113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4" xfId="0" applyNumberFormat="1" applyFont="1" applyFill="1" applyBorder="1" applyAlignment="1" applyProtection="1">
      <alignment horizontal="left" vertical="center"/>
      <protection locked="0"/>
    </xf>
    <xf numFmtId="14" fontId="94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5" xfId="0" applyFont="1" applyFill="1" applyBorder="1" applyAlignment="1" applyProtection="1">
      <alignment horizontal="left" vertical="center"/>
      <protection locked="0"/>
    </xf>
    <xf numFmtId="0" fontId="92" fillId="4" borderId="2" xfId="0" applyFont="1" applyFill="1" applyBorder="1" applyAlignment="1" applyProtection="1">
      <alignment horizontal="left" vertical="center"/>
      <protection locked="0"/>
    </xf>
    <xf numFmtId="0" fontId="9" fillId="4" borderId="62" xfId="0" applyFont="1" applyFill="1" applyBorder="1" applyAlignment="1" applyProtection="1">
      <alignment horizontal="left" vertical="center" wrapText="1"/>
      <protection locked="0"/>
    </xf>
    <xf numFmtId="179" fontId="12" fillId="4" borderId="1" xfId="0" applyNumberFormat="1" applyFont="1" applyFill="1" applyBorder="1" applyAlignment="1" applyProtection="1">
      <alignment horizontal="left" vertical="center"/>
      <protection locked="0"/>
    </xf>
    <xf numFmtId="179" fontId="113" fillId="4" borderId="13" xfId="0" applyNumberFormat="1" applyFont="1" applyFill="1" applyBorder="1" applyAlignment="1" applyProtection="1">
      <alignment horizontal="left" vertical="center"/>
      <protection locked="0"/>
    </xf>
    <xf numFmtId="179" fontId="123" fillId="4" borderId="14" xfId="0" applyNumberFormat="1" applyFont="1" applyFill="1" applyBorder="1" applyAlignment="1" applyProtection="1">
      <alignment horizontal="left" vertical="center"/>
      <protection locked="0"/>
    </xf>
    <xf numFmtId="179" fontId="127" fillId="4" borderId="14" xfId="0" applyNumberFormat="1" applyFont="1" applyFill="1" applyBorder="1" applyAlignment="1" applyProtection="1">
      <alignment horizontal="left" vertical="center"/>
      <protection locked="0"/>
    </xf>
    <xf numFmtId="0" fontId="89" fillId="4" borderId="14" xfId="0" applyFont="1" applyFill="1" applyBorder="1" applyAlignment="1" applyProtection="1">
      <alignment horizontal="left" vertical="center" wrapText="1"/>
      <protection locked="0"/>
    </xf>
    <xf numFmtId="0" fontId="9" fillId="4" borderId="45" xfId="0" applyFont="1" applyFill="1" applyBorder="1" applyAlignment="1" applyProtection="1">
      <alignment horizontal="left" vertical="center"/>
      <protection locked="0"/>
    </xf>
    <xf numFmtId="0" fontId="9" fillId="4" borderId="82" xfId="0" applyFont="1" applyFill="1" applyBorder="1" applyAlignment="1" applyProtection="1">
      <alignment horizontal="left" vertical="center"/>
      <protection locked="0"/>
    </xf>
    <xf numFmtId="179" fontId="10" fillId="4" borderId="81" xfId="0" applyNumberFormat="1" applyFont="1" applyFill="1" applyBorder="1" applyAlignment="1" applyProtection="1">
      <alignment horizontal="left" vertical="center"/>
      <protection locked="0"/>
    </xf>
    <xf numFmtId="179" fontId="127" fillId="4" borderId="4" xfId="0" applyNumberFormat="1" applyFont="1" applyFill="1" applyBorder="1" applyAlignment="1" applyProtection="1">
      <alignment horizontal="left" vertical="center" wrapText="1"/>
      <protection locked="0"/>
    </xf>
    <xf numFmtId="179" fontId="127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4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0" fillId="4" borderId="14" xfId="0" applyNumberFormat="1" applyFont="1" applyFill="1" applyBorder="1" applyAlignment="1" applyProtection="1">
      <alignment horizontal="left" vertical="center" wrapText="1"/>
      <protection locked="0"/>
    </xf>
    <xf numFmtId="0" fontId="9" fillId="4" borderId="42" xfId="0" applyFont="1" applyFill="1" applyBorder="1" applyAlignment="1" applyProtection="1">
      <alignment horizontal="left" vertical="center"/>
      <protection locked="0"/>
    </xf>
    <xf numFmtId="179" fontId="94" fillId="4" borderId="14" xfId="0" applyNumberFormat="1" applyFont="1" applyFill="1" applyBorder="1" applyAlignment="1" applyProtection="1">
      <alignment horizontal="left" vertical="center" wrapText="1"/>
      <protection locked="0"/>
    </xf>
    <xf numFmtId="179" fontId="124" fillId="4" borderId="4" xfId="0" applyNumberFormat="1" applyFont="1" applyFill="1" applyBorder="1" applyAlignment="1" applyProtection="1">
      <alignment horizontal="left" vertical="center"/>
      <protection locked="0"/>
    </xf>
    <xf numFmtId="0" fontId="9" fillId="5" borderId="3" xfId="0" applyFont="1" applyFill="1" applyBorder="1" applyAlignment="1" applyProtection="1">
      <alignment horizontal="left" vertical="center"/>
      <protection locked="0"/>
    </xf>
    <xf numFmtId="179" fontId="119" fillId="4" borderId="2" xfId="0" applyNumberFormat="1" applyFont="1" applyFill="1" applyBorder="1" applyAlignment="1" applyProtection="1">
      <alignment horizontal="left" vertical="center"/>
      <protection locked="0"/>
    </xf>
    <xf numFmtId="179" fontId="119" fillId="4" borderId="1" xfId="0" applyNumberFormat="1" applyFont="1" applyFill="1" applyBorder="1" applyAlignment="1" applyProtection="1">
      <alignment horizontal="left" vertical="center"/>
      <protection locked="0"/>
    </xf>
    <xf numFmtId="0" fontId="26" fillId="4" borderId="1" xfId="0" applyFont="1" applyFill="1" applyBorder="1" applyAlignment="1" applyProtection="1">
      <alignment horizontal="left" vertical="center"/>
      <protection locked="0"/>
    </xf>
    <xf numFmtId="0" fontId="9" fillId="3" borderId="35" xfId="0" applyFont="1" applyFill="1" applyBorder="1" applyAlignment="1" applyProtection="1">
      <alignment horizontal="left" vertical="center"/>
      <protection locked="0"/>
    </xf>
    <xf numFmtId="179" fontId="119" fillId="3" borderId="14" xfId="0" applyNumberFormat="1" applyFont="1" applyFill="1" applyBorder="1" applyAlignment="1" applyProtection="1">
      <alignment horizontal="left" vertical="center"/>
      <protection locked="0"/>
    </xf>
    <xf numFmtId="179" fontId="10" fillId="3" borderId="1" xfId="0" applyNumberFormat="1" applyFont="1" applyFill="1" applyBorder="1" applyAlignment="1" applyProtection="1">
      <alignment horizontal="left" vertical="center"/>
      <protection locked="0"/>
    </xf>
    <xf numFmtId="14" fontId="119" fillId="3" borderId="1" xfId="0" applyNumberFormat="1" applyFont="1" applyFill="1" applyBorder="1" applyAlignment="1" applyProtection="1">
      <alignment horizontal="left" vertical="center"/>
      <protection locked="0"/>
    </xf>
    <xf numFmtId="0" fontId="89" fillId="3" borderId="1" xfId="0" applyFont="1" applyFill="1" applyBorder="1" applyAlignment="1" applyProtection="1">
      <alignment horizontal="left" vertical="center" wrapText="1"/>
      <protection locked="0"/>
    </xf>
    <xf numFmtId="179" fontId="30" fillId="4" borderId="14" xfId="0" applyNumberFormat="1" applyFont="1" applyFill="1" applyBorder="1" applyAlignment="1" applyProtection="1">
      <alignment horizontal="left" vertical="center"/>
      <protection locked="0"/>
    </xf>
    <xf numFmtId="0" fontId="9" fillId="4" borderId="39" xfId="0" applyFont="1" applyFill="1" applyBorder="1" applyAlignment="1" applyProtection="1">
      <alignment horizontal="left" vertical="center"/>
      <protection locked="0"/>
    </xf>
    <xf numFmtId="179" fontId="153" fillId="4" borderId="2" xfId="0" applyNumberFormat="1" applyFont="1" applyFill="1" applyBorder="1" applyProtection="1">
      <alignment vertical="center"/>
      <protection locked="0"/>
    </xf>
    <xf numFmtId="0" fontId="89" fillId="8" borderId="1" xfId="0" applyFont="1" applyFill="1" applyBorder="1" applyAlignment="1" applyProtection="1">
      <alignment horizontal="left" vertical="center" wrapText="1"/>
      <protection locked="0"/>
    </xf>
    <xf numFmtId="0" fontId="89" fillId="9" borderId="1" xfId="0" applyFont="1" applyFill="1" applyBorder="1" applyAlignment="1" applyProtection="1">
      <alignment horizontal="left" vertical="center" wrapText="1"/>
      <protection locked="0"/>
    </xf>
    <xf numFmtId="179" fontId="119" fillId="4" borderId="14" xfId="0" applyNumberFormat="1" applyFont="1" applyFill="1" applyBorder="1" applyAlignment="1" applyProtection="1">
      <alignment horizontal="left" vertical="center" wrapText="1"/>
      <protection locked="0"/>
    </xf>
    <xf numFmtId="2" fontId="10" fillId="4" borderId="1" xfId="0" applyNumberFormat="1" applyFont="1" applyFill="1" applyBorder="1" applyAlignment="1" applyProtection="1">
      <alignment horizontal="left" vertical="center"/>
      <protection locked="0"/>
    </xf>
    <xf numFmtId="179" fontId="151" fillId="4" borderId="14" xfId="0" applyNumberFormat="1" applyFont="1" applyFill="1" applyBorder="1" applyAlignment="1" applyProtection="1">
      <alignment horizontal="left" vertical="center"/>
      <protection locked="0"/>
    </xf>
    <xf numFmtId="0" fontId="180" fillId="4" borderId="0" xfId="0" applyFont="1" applyFill="1" applyProtection="1">
      <alignment vertical="center"/>
      <protection locked="0"/>
    </xf>
    <xf numFmtId="179" fontId="10" fillId="0" borderId="13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179" fontId="94" fillId="0" borderId="14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79" fontId="10" fillId="9" borderId="2" xfId="0" applyNumberFormat="1" applyFont="1" applyFill="1" applyBorder="1" applyAlignment="1" applyProtection="1">
      <alignment horizontal="left" vertical="center"/>
      <protection locked="0"/>
    </xf>
    <xf numFmtId="0" fontId="89" fillId="32" borderId="1" xfId="0" applyFont="1" applyFill="1" applyBorder="1" applyAlignment="1" applyProtection="1">
      <alignment horizontal="left" vertical="center" wrapText="1"/>
      <protection locked="0"/>
    </xf>
    <xf numFmtId="179" fontId="10" fillId="32" borderId="1" xfId="0" applyNumberFormat="1" applyFont="1" applyFill="1" applyBorder="1" applyAlignment="1" applyProtection="1">
      <alignment horizontal="left" vertical="center"/>
      <protection locked="0"/>
    </xf>
    <xf numFmtId="0" fontId="118" fillId="4" borderId="1" xfId="0" applyFont="1" applyFill="1" applyBorder="1" applyAlignment="1" applyProtection="1">
      <alignment horizontal="left" vertical="center" wrapText="1"/>
      <protection locked="0"/>
    </xf>
    <xf numFmtId="179" fontId="10" fillId="0" borderId="14" xfId="0" applyNumberFormat="1" applyFont="1" applyBorder="1" applyAlignment="1" applyProtection="1">
      <alignment horizontal="left" vertical="center"/>
      <protection locked="0"/>
    </xf>
    <xf numFmtId="179" fontId="10" fillId="0" borderId="66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79" fontId="10" fillId="0" borderId="19" xfId="0" applyNumberFormat="1" applyFont="1" applyBorder="1" applyAlignment="1" applyProtection="1">
      <alignment horizontal="left" vertical="center"/>
      <protection locked="0"/>
    </xf>
    <xf numFmtId="179" fontId="10" fillId="0" borderId="11" xfId="0" applyNumberFormat="1" applyFont="1" applyBorder="1" applyAlignment="1" applyProtection="1">
      <alignment horizontal="left" vertical="center"/>
      <protection locked="0"/>
    </xf>
    <xf numFmtId="0" fontId="10" fillId="0" borderId="11" xfId="0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0" fontId="88" fillId="0" borderId="11" xfId="0" applyFont="1" applyBorder="1" applyAlignment="1" applyProtection="1">
      <alignment horizontal="left" vertical="center" wrapText="1"/>
      <protection locked="0"/>
    </xf>
    <xf numFmtId="0" fontId="10" fillId="4" borderId="11" xfId="0" applyFont="1" applyFill="1" applyBorder="1" applyAlignment="1" applyProtection="1">
      <alignment horizontal="left" vertical="center"/>
      <protection locked="0"/>
    </xf>
    <xf numFmtId="0" fontId="89" fillId="0" borderId="11" xfId="0" applyFont="1" applyBorder="1" applyAlignment="1" applyProtection="1">
      <alignment horizontal="left" vertical="center" wrapText="1"/>
      <protection locked="0"/>
    </xf>
    <xf numFmtId="179" fontId="9" fillId="0" borderId="11" xfId="0" applyNumberFormat="1" applyFont="1" applyBorder="1" applyAlignment="1" applyProtection="1">
      <alignment horizontal="left" vertical="center"/>
      <protection locked="0"/>
    </xf>
    <xf numFmtId="14" fontId="89" fillId="0" borderId="11" xfId="0" applyNumberFormat="1" applyFont="1" applyBorder="1" applyAlignment="1" applyProtection="1">
      <alignment horizontal="left" vertical="center"/>
      <protection locked="0"/>
    </xf>
    <xf numFmtId="14" fontId="11" fillId="0" borderId="11" xfId="0" applyNumberFormat="1" applyFont="1" applyBorder="1" applyAlignment="1" applyProtection="1">
      <alignment horizontal="left" vertical="center"/>
      <protection locked="0"/>
    </xf>
    <xf numFmtId="179" fontId="89" fillId="0" borderId="11" xfId="0" applyNumberFormat="1" applyFont="1" applyBorder="1" applyAlignment="1" applyProtection="1">
      <alignment horizontal="left" vertical="center"/>
      <protection locked="0"/>
    </xf>
    <xf numFmtId="0" fontId="10" fillId="0" borderId="66" xfId="0" applyFont="1" applyBorder="1" applyAlignment="1" applyProtection="1">
      <alignment horizontal="left" vertical="center"/>
      <protection locked="0"/>
    </xf>
    <xf numFmtId="179" fontId="10" fillId="0" borderId="50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0" fontId="89" fillId="0" borderId="2" xfId="0" applyFont="1" applyBorder="1" applyAlignment="1" applyProtection="1">
      <alignment horizontal="left" vertical="center" wrapText="1"/>
      <protection locked="0"/>
    </xf>
    <xf numFmtId="0" fontId="9" fillId="9" borderId="2" xfId="0" applyFont="1" applyFill="1" applyBorder="1" applyAlignment="1" applyProtection="1">
      <alignment horizontal="left" vertical="center"/>
      <protection locked="0"/>
    </xf>
    <xf numFmtId="179" fontId="10" fillId="0" borderId="0" xfId="0" applyNumberFormat="1" applyFont="1" applyAlignment="1">
      <alignment horizontal="center" vertical="center"/>
    </xf>
    <xf numFmtId="179" fontId="89" fillId="0" borderId="0" xfId="0" applyNumberFormat="1" applyFont="1" applyAlignment="1" applyProtection="1">
      <alignment horizontal="center" vertical="center"/>
      <protection locked="0"/>
    </xf>
    <xf numFmtId="0" fontId="88" fillId="0" borderId="1" xfId="0" applyFont="1" applyBorder="1" applyAlignment="1" applyProtection="1">
      <alignment horizontal="left" vertical="center" wrapText="1"/>
      <protection locked="0"/>
    </xf>
    <xf numFmtId="0" fontId="26" fillId="32" borderId="2" xfId="1" applyNumberFormat="1" applyFont="1" applyFill="1" applyBorder="1" applyAlignment="1">
      <alignment horizontal="center" vertical="center" wrapText="1"/>
    </xf>
    <xf numFmtId="179" fontId="26" fillId="32" borderId="2" xfId="1" applyFont="1" applyFill="1" applyBorder="1" applyAlignment="1">
      <alignment horizontal="center" vertical="center" wrapText="1"/>
    </xf>
    <xf numFmtId="0" fontId="9" fillId="32" borderId="2" xfId="0" applyFont="1" applyFill="1" applyBorder="1" applyAlignment="1">
      <alignment horizontal="left" vertical="center"/>
    </xf>
    <xf numFmtId="14" fontId="9" fillId="32" borderId="2" xfId="0" applyNumberFormat="1" applyFont="1" applyFill="1" applyBorder="1" applyAlignment="1">
      <alignment horizontal="left" vertical="center"/>
    </xf>
    <xf numFmtId="177" fontId="11" fillId="32" borderId="2" xfId="1" applyNumberFormat="1" applyFont="1" applyFill="1" applyBorder="1" applyAlignment="1">
      <alignment horizontal="center" vertical="center"/>
    </xf>
    <xf numFmtId="179" fontId="2" fillId="32" borderId="2" xfId="1" applyFont="1" applyFill="1" applyBorder="1" applyAlignment="1">
      <alignment horizontal="center" vertical="center"/>
    </xf>
    <xf numFmtId="0" fontId="11" fillId="32" borderId="2" xfId="1" applyNumberFormat="1" applyFont="1" applyFill="1" applyBorder="1" applyAlignment="1">
      <alignment horizontal="center" vertical="center"/>
    </xf>
    <xf numFmtId="178" fontId="11" fillId="32" borderId="2" xfId="1" applyNumberFormat="1" applyFont="1" applyFill="1" applyBorder="1" applyAlignment="1">
      <alignment horizontal="center" vertical="center"/>
    </xf>
    <xf numFmtId="179" fontId="98" fillId="32" borderId="2" xfId="1" applyFont="1" applyFill="1" applyBorder="1" applyAlignment="1">
      <alignment horizontal="center" vertical="center"/>
    </xf>
    <xf numFmtId="179" fontId="89" fillId="0" borderId="0" xfId="0" applyNumberFormat="1" applyFont="1" applyAlignment="1">
      <alignment horizontal="left" vertical="center"/>
    </xf>
    <xf numFmtId="179" fontId="14" fillId="0" borderId="0" xfId="0" applyNumberFormat="1" applyFont="1" applyAlignment="1">
      <alignment horizontal="left" vertical="center"/>
    </xf>
    <xf numFmtId="183" fontId="89" fillId="0" borderId="0" xfId="0" applyNumberFormat="1" applyFont="1" applyAlignment="1">
      <alignment horizontal="left" vertical="center"/>
    </xf>
    <xf numFmtId="183" fontId="10" fillId="0" borderId="0" xfId="0" applyNumberFormat="1" applyFont="1" applyAlignment="1">
      <alignment horizontal="left" vertical="center"/>
    </xf>
    <xf numFmtId="0" fontId="10" fillId="0" borderId="1" xfId="0" applyFont="1" applyBorder="1" applyAlignment="1" applyProtection="1">
      <alignment horizontal="left" vertical="center" wrapText="1"/>
      <protection locked="0"/>
    </xf>
    <xf numFmtId="0" fontId="11" fillId="0" borderId="1" xfId="0" applyFont="1" applyBorder="1" applyAlignment="1" applyProtection="1">
      <alignment horizontal="left" vertical="center" wrapText="1"/>
      <protection locked="0"/>
    </xf>
    <xf numFmtId="179" fontId="44" fillId="7" borderId="35" xfId="0" applyNumberFormat="1" applyFont="1" applyFill="1" applyBorder="1" applyAlignment="1">
      <alignment horizontal="center" vertical="center"/>
    </xf>
    <xf numFmtId="179" fontId="44" fillId="7" borderId="44" xfId="0" applyNumberFormat="1" applyFont="1" applyFill="1" applyBorder="1" applyAlignment="1">
      <alignment horizontal="center" vertical="center"/>
    </xf>
    <xf numFmtId="179" fontId="44" fillId="7" borderId="36" xfId="0" applyNumberFormat="1" applyFont="1" applyFill="1" applyBorder="1" applyAlignment="1">
      <alignment horizontal="center" vertical="center"/>
    </xf>
    <xf numFmtId="179" fontId="44" fillId="7" borderId="41" xfId="0" applyNumberFormat="1" applyFont="1" applyFill="1" applyBorder="1" applyAlignment="1">
      <alignment horizontal="center" vertical="center"/>
    </xf>
    <xf numFmtId="179" fontId="42" fillId="0" borderId="48" xfId="0" applyNumberFormat="1" applyFont="1" applyBorder="1" applyAlignment="1">
      <alignment horizontal="left" vertical="center"/>
    </xf>
    <xf numFmtId="179" fontId="42" fillId="0" borderId="0" xfId="0" applyNumberFormat="1" applyFont="1" applyAlignment="1">
      <alignment horizontal="left" vertical="center"/>
    </xf>
    <xf numFmtId="179" fontId="42" fillId="0" borderId="45" xfId="0" applyNumberFormat="1" applyFont="1" applyBorder="1" applyAlignment="1">
      <alignment horizontal="left" vertical="center"/>
    </xf>
    <xf numFmtId="179" fontId="42" fillId="0" borderId="46" xfId="0" applyNumberFormat="1" applyFont="1" applyBorder="1" applyAlignment="1">
      <alignment horizontal="left" vertical="center"/>
    </xf>
    <xf numFmtId="179" fontId="42" fillId="0" borderId="38" xfId="0" applyNumberFormat="1" applyFont="1" applyBorder="1" applyAlignment="1">
      <alignment horizontal="center" vertical="center"/>
    </xf>
    <xf numFmtId="179" fontId="42" fillId="0" borderId="37" xfId="0" applyNumberFormat="1" applyFont="1" applyBorder="1" applyAlignment="1">
      <alignment horizontal="center" vertical="center"/>
    </xf>
    <xf numFmtId="179" fontId="42" fillId="0" borderId="36" xfId="0" applyNumberFormat="1" applyFont="1" applyBorder="1" applyAlignment="1">
      <alignment horizontal="center" vertical="center"/>
    </xf>
    <xf numFmtId="179" fontId="42" fillId="0" borderId="35" xfId="0" applyNumberFormat="1" applyFont="1" applyBorder="1" applyAlignment="1">
      <alignment horizontal="center" vertical="center"/>
    </xf>
    <xf numFmtId="179" fontId="42" fillId="0" borderId="39" xfId="0" applyNumberFormat="1" applyFont="1" applyBorder="1" applyAlignment="1">
      <alignment horizontal="center" vertical="center"/>
    </xf>
    <xf numFmtId="179" fontId="31" fillId="10" borderId="26" xfId="0" applyNumberFormat="1" applyFont="1" applyFill="1" applyBorder="1" applyAlignment="1">
      <alignment horizontal="center" vertical="center"/>
    </xf>
    <xf numFmtId="179" fontId="31" fillId="10" borderId="25" xfId="0" applyNumberFormat="1" applyFont="1" applyFill="1" applyBorder="1" applyAlignment="1">
      <alignment horizontal="center" vertical="center"/>
    </xf>
    <xf numFmtId="179" fontId="31" fillId="9" borderId="24" xfId="0" applyNumberFormat="1" applyFont="1" applyFill="1" applyBorder="1" applyAlignment="1">
      <alignment horizontal="center" vertical="center"/>
    </xf>
    <xf numFmtId="179" fontId="31" fillId="9" borderId="25" xfId="0" applyNumberFormat="1" applyFont="1" applyFill="1" applyBorder="1" applyAlignment="1">
      <alignment horizontal="center" vertical="center"/>
    </xf>
    <xf numFmtId="179" fontId="161" fillId="0" borderId="0" xfId="0" applyNumberFormat="1" applyFont="1" applyAlignment="1">
      <alignment horizontal="center" vertical="center"/>
    </xf>
    <xf numFmtId="179" fontId="38" fillId="13" borderId="1" xfId="0" applyNumberFormat="1" applyFont="1" applyFill="1" applyBorder="1" applyAlignment="1">
      <alignment horizontal="center" vertical="center"/>
    </xf>
    <xf numFmtId="179" fontId="7" fillId="0" borderId="0" xfId="0" applyNumberFormat="1" applyFont="1" applyAlignment="1">
      <alignment horizontal="center" vertical="center"/>
    </xf>
    <xf numFmtId="0" fontId="35" fillId="9" borderId="2" xfId="0" applyFont="1" applyFill="1" applyBorder="1" applyAlignment="1">
      <alignment horizontal="center" vertical="center" wrapText="1"/>
    </xf>
    <xf numFmtId="0" fontId="36" fillId="12" borderId="2" xfId="0" applyFont="1" applyFill="1" applyBorder="1" applyAlignment="1">
      <alignment horizontal="center" vertical="center"/>
    </xf>
    <xf numFmtId="179" fontId="37" fillId="11" borderId="2" xfId="0" applyNumberFormat="1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45" borderId="2" xfId="0" applyFont="1" applyFill="1" applyBorder="1" applyAlignment="1">
      <alignment horizontal="center" vertical="center"/>
    </xf>
    <xf numFmtId="0" fontId="21" fillId="9" borderId="51" xfId="0" applyFont="1" applyFill="1" applyBorder="1" applyAlignment="1">
      <alignment horizontal="center" vertical="center"/>
    </xf>
    <xf numFmtId="0" fontId="21" fillId="9" borderId="4" xfId="0" applyFont="1" applyFill="1" applyBorder="1" applyAlignment="1">
      <alignment horizontal="center" vertical="center"/>
    </xf>
    <xf numFmtId="0" fontId="173" fillId="13" borderId="1" xfId="0" applyFont="1" applyFill="1" applyBorder="1" applyAlignment="1">
      <alignment horizontal="right" vertical="center"/>
    </xf>
    <xf numFmtId="0" fontId="176" fillId="13" borderId="1" xfId="0" applyFont="1" applyFill="1" applyBorder="1" applyAlignment="1">
      <alignment horizontal="right" vertical="center" wrapText="1"/>
    </xf>
    <xf numFmtId="0" fontId="173" fillId="13" borderId="14" xfId="0" applyFont="1" applyFill="1" applyBorder="1" applyAlignment="1">
      <alignment horizontal="right" vertical="center" wrapText="1"/>
    </xf>
    <xf numFmtId="0" fontId="34" fillId="8" borderId="51" xfId="0" applyFont="1" applyFill="1" applyBorder="1" applyAlignment="1">
      <alignment horizontal="center" vertical="center"/>
    </xf>
    <xf numFmtId="0" fontId="34" fillId="8" borderId="4" xfId="0" applyFont="1" applyFill="1" applyBorder="1" applyAlignment="1">
      <alignment horizontal="center" vertical="center"/>
    </xf>
    <xf numFmtId="0" fontId="37" fillId="4" borderId="51" xfId="0" applyFont="1" applyFill="1" applyBorder="1" applyAlignment="1">
      <alignment horizontal="center" vertical="center" wrapText="1"/>
    </xf>
    <xf numFmtId="0" fontId="37" fillId="4" borderId="83" xfId="0" applyFont="1" applyFill="1" applyBorder="1" applyAlignment="1">
      <alignment horizontal="center" vertical="center" wrapText="1"/>
    </xf>
    <xf numFmtId="0" fontId="37" fillId="4" borderId="4" xfId="0" applyFont="1" applyFill="1" applyBorder="1" applyAlignment="1">
      <alignment horizontal="center" vertical="center" wrapText="1"/>
    </xf>
    <xf numFmtId="0" fontId="147" fillId="8" borderId="1" xfId="0" applyFont="1" applyFill="1" applyBorder="1" applyAlignment="1">
      <alignment horizontal="center" vertical="center" wrapText="1"/>
    </xf>
    <xf numFmtId="0" fontId="147" fillId="8" borderId="20" xfId="0" applyFont="1" applyFill="1" applyBorder="1" applyAlignment="1">
      <alignment horizontal="center" vertical="center" wrapText="1"/>
    </xf>
    <xf numFmtId="0" fontId="147" fillId="8" borderId="3" xfId="0" applyFont="1" applyFill="1" applyBorder="1" applyAlignment="1">
      <alignment horizontal="center" vertical="center" wrapText="1"/>
    </xf>
    <xf numFmtId="0" fontId="2" fillId="0" borderId="0" xfId="0" applyNumberFormat="1" applyFont="1">
      <alignment vertical="center"/>
    </xf>
    <xf numFmtId="0" fontId="2" fillId="0" borderId="0" xfId="0" pivotButton="1" applyNumberFormat="1" applyFont="1">
      <alignment vertical="center"/>
    </xf>
    <xf numFmtId="0" fontId="2" fillId="12" borderId="0" xfId="0" applyNumberFormat="1" applyFont="1" applyFill="1">
      <alignment vertical="center"/>
    </xf>
    <xf numFmtId="14" fontId="2" fillId="0" borderId="0" xfId="0" pivotButton="1" applyNumberFormat="1" applyFont="1">
      <alignment vertical="center"/>
    </xf>
    <xf numFmtId="14" fontId="2" fillId="12" borderId="0" xfId="0" applyNumberFormat="1" applyFont="1" applyFill="1">
      <alignment vertical="center"/>
    </xf>
  </cellXfs>
  <cellStyles count="163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2 2" xfId="7" xr:uid="{00000000-0005-0000-0000-000001000000}"/>
    <cellStyle name="20% - アクセント 2 2 2" xfId="59" xr:uid="{AC9FC9D4-C708-4F91-A5F2-2FD7DE6EE4E6}"/>
    <cellStyle name="20% - アクセント 3 2" xfId="8" xr:uid="{00000000-0005-0000-0000-000002000000}"/>
    <cellStyle name="20% - アクセント 3 2 2" xfId="60" xr:uid="{9BAD75F3-A84A-4583-A5AA-F68DD46F3243}"/>
    <cellStyle name="20% - アクセント 4 2" xfId="9" xr:uid="{00000000-0005-0000-0000-000003000000}"/>
    <cellStyle name="20% - アクセント 4 2 2" xfId="61" xr:uid="{62D91D3D-39E4-460F-A119-3C3198AA85E4}"/>
    <cellStyle name="20% - アクセント 5 2" xfId="10" xr:uid="{00000000-0005-0000-0000-000004000000}"/>
    <cellStyle name="20% - アクセント 5 2 2" xfId="62" xr:uid="{F693805B-6E87-486A-8B82-DFDDD22D6EC0}"/>
    <cellStyle name="20% - アクセント 6 2" xfId="11" xr:uid="{00000000-0005-0000-0000-000005000000}"/>
    <cellStyle name="20% - アクセント 6 2 2" xfId="63" xr:uid="{4E7BF85E-A9BB-40AC-BE0F-8CD4CB3619A2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2 2" xfId="13" xr:uid="{00000000-0005-0000-0000-000007000000}"/>
    <cellStyle name="40% - アクセント 2 2 2" xfId="65" xr:uid="{36524312-04AD-492C-B64B-C5538D23667D}"/>
    <cellStyle name="40% - アクセント 3 2" xfId="14" xr:uid="{00000000-0005-0000-0000-000008000000}"/>
    <cellStyle name="40% - アクセント 3 2 2" xfId="66" xr:uid="{EFD223D7-BC71-40B2-BF83-DBC879F84FAE}"/>
    <cellStyle name="40% - アクセント 4 2" xfId="15" xr:uid="{00000000-0005-0000-0000-000009000000}"/>
    <cellStyle name="40% - アクセント 4 2 2" xfId="67" xr:uid="{47DB0A52-B826-468A-B2B8-63E40DE40731}"/>
    <cellStyle name="40% - アクセント 5 2" xfId="16" xr:uid="{00000000-0005-0000-0000-00000A000000}"/>
    <cellStyle name="40% - アクセント 5 2 2" xfId="68" xr:uid="{214A9DB0-79CA-45BC-86BE-B0C2B3CC60B1}"/>
    <cellStyle name="40% - アクセント 6 2" xfId="17" xr:uid="{00000000-0005-0000-0000-00000B000000}"/>
    <cellStyle name="40% - アクセント 6 2 2" xfId="69" xr:uid="{A2721389-0A9B-4A8A-A42A-C070C6E5F592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2 2" xfId="19" xr:uid="{00000000-0005-0000-0000-00000D000000}"/>
    <cellStyle name="60% - アクセント 2 2 2" xfId="71" xr:uid="{AE8CAAEF-1436-4E32-B909-46784CC97E5E}"/>
    <cellStyle name="60% - アクセント 3 2" xfId="20" xr:uid="{00000000-0005-0000-0000-00000E000000}"/>
    <cellStyle name="60% - アクセント 3 2 2" xfId="72" xr:uid="{7B68782A-F43F-4039-BC04-089D3D12CDB9}"/>
    <cellStyle name="60% - アクセント 4 2" xfId="21" xr:uid="{00000000-0005-0000-0000-00000F000000}"/>
    <cellStyle name="60% - アクセント 4 2 2" xfId="73" xr:uid="{69B0D419-0D95-4BB0-9AF6-148C00235817}"/>
    <cellStyle name="60% - アクセント 5 2" xfId="22" xr:uid="{00000000-0005-0000-0000-000010000000}"/>
    <cellStyle name="60% - アクセント 5 2 2" xfId="74" xr:uid="{E269374E-8FC2-4C0C-9972-F6D503CADEC1}"/>
    <cellStyle name="60% - アクセント 6 2" xfId="23" xr:uid="{00000000-0005-0000-0000-000011000000}"/>
    <cellStyle name="60% - アクセント 6 2 2" xfId="75" xr:uid="{4FD83FC2-0CC9-4856-BD71-88F3DC188352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2 2" xfId="25" xr:uid="{00000000-0005-0000-0000-000014000000}"/>
    <cellStyle name="アクセント 2 2 2" xfId="77" xr:uid="{81EDA75B-0BBD-4BA5-A228-0E1AB604C3B0}"/>
    <cellStyle name="アクセント 3 2" xfId="26" xr:uid="{00000000-0005-0000-0000-000015000000}"/>
    <cellStyle name="アクセント 3 2 2" xfId="78" xr:uid="{B0727121-4DEB-4ACA-885D-BDDCCA4A709F}"/>
    <cellStyle name="アクセント 4 2" xfId="27" xr:uid="{00000000-0005-0000-0000-000016000000}"/>
    <cellStyle name="アクセント 4 2 2" xfId="79" xr:uid="{6F8013C0-37DC-4F2B-9910-F03530B910C3}"/>
    <cellStyle name="アクセント 5 2" xfId="28" xr:uid="{00000000-0005-0000-0000-000017000000}"/>
    <cellStyle name="アクセント 5 2 2" xfId="80" xr:uid="{E585C911-3B98-4664-A429-B3C45BA76206}"/>
    <cellStyle name="アクセント 6 2" xfId="29" xr:uid="{00000000-0005-0000-0000-000018000000}"/>
    <cellStyle name="アクセント 6 2 2" xfId="81" xr:uid="{9E07A792-8415-4A0C-9479-D16A4E2E4CD0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どちらでもない 2" xfId="32" xr:uid="{00000000-0005-0000-0000-00001B000000}"/>
    <cellStyle name="どちらでもない 2 2" xfId="84" xr:uid="{3D8FB1E7-9F50-427A-89B3-23DC0BDCC957}"/>
    <cellStyle name="メモ 2" xfId="33" xr:uid="{00000000-0005-0000-0000-00001C000000}"/>
    <cellStyle name="メモ 2 2" xfId="85" xr:uid="{A6876E94-8521-4703-B9D5-E52C2EFA0844}"/>
    <cellStyle name="リンク セル 2" xfId="34" xr:uid="{00000000-0005-0000-0000-00001D000000}"/>
    <cellStyle name="リンク セル 2 2" xfId="86" xr:uid="{F8AAC121-C414-4B85-AA84-4812B5D52F70}"/>
    <cellStyle name="百分比 2" xfId="159" xr:uid="{BC80739A-DF4E-4903-9152-AF3DF52BC4A6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_毎月提出分（ステップ管理）" xfId="53" xr:uid="{00000000-0005-0000-0000-00001F000000}"/>
    <cellStyle name="常规" xfId="0" builtinId="0"/>
    <cellStyle name="常规 10" xfId="162" xr:uid="{CC44848C-E684-4778-B19F-02DCF817589F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出力 2" xfId="43" xr:uid="{00000000-0005-0000-0000-000028000000}"/>
    <cellStyle name="出力 2 2" xfId="95" xr:uid="{B0258FE4-2647-4584-B045-7C4C654622EA}"/>
    <cellStyle name="悪い 2" xfId="35" xr:uid="{00000000-0005-0000-0000-000029000000}"/>
    <cellStyle name="悪い 2 2" xfId="87" xr:uid="{8CE7099A-76BF-4628-ADE2-BF0EB3D64C09}"/>
    <cellStyle name="桁区切り 2" xfId="102" xr:uid="{C1690814-A8E1-4493-8A29-EF2A89A54E38}"/>
    <cellStyle name="桁区切り 2 2" xfId="103" xr:uid="{1EDBC876-A183-4D1B-B51C-86BC3320BA3B}"/>
    <cellStyle name="集計 2" xfId="42" xr:uid="{00000000-0005-0000-0000-00002A000000}"/>
    <cellStyle name="集計 2 2" xfId="94" xr:uid="{07517CEE-7E28-40F7-AD10-6E2FA66061C6}"/>
    <cellStyle name="計算 2" xfId="36" xr:uid="{00000000-0005-0000-0000-00002B000000}"/>
    <cellStyle name="計算 2 2" xfId="88" xr:uid="{68EC6534-5D94-4FE4-82DA-320FE64D34BD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警告文 2" xfId="37" xr:uid="{00000000-0005-0000-0000-000030000000}"/>
    <cellStyle name="警告文 2 2" xfId="89" xr:uid="{7F18428B-D3B5-4BB8-898B-DEABCACE9830}"/>
    <cellStyle name="良い 2" xfId="48" xr:uid="{00000000-0005-0000-0000-000031000000}"/>
    <cellStyle name="良い 2 2" xfId="100" xr:uid="{36663336-0EA9-436E-AE51-8722F3990906}"/>
    <cellStyle name="千位分隔" xfId="3" builtinId="3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入力 2" xfId="46" xr:uid="{00000000-0005-0000-0000-000033000000}"/>
    <cellStyle name="入力 2 2" xfId="98" xr:uid="{95D830BD-5A92-47B7-89E3-92900CAA04D5}"/>
    <cellStyle name="説明文 2" xfId="44" xr:uid="{00000000-0005-0000-0000-000034000000}"/>
    <cellStyle name="説明文 2 2" xfId="96" xr:uid="{2115F824-121A-4A33-9CE6-0C3689B698FC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未定義" xfId="47" xr:uid="{00000000-0005-0000-0000-000036000000}"/>
    <cellStyle name="未定義 2" xfId="99" xr:uid="{61609E84-049E-47EC-A2EA-D80DF99C1FAA}"/>
  </cellStyles>
  <dxfs count="2310"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81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81" formatCode="[$-409]mmm\-yy;@"/>
    </dxf>
    <dxf>
      <numFmt numFmtId="181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309"/>
      <tableStyleElement type="headerRow" dxfId="2308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microsoft.com/office/2007/relationships/slicerCache" Target="slicerCaches/slicerCache2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chart'!$B$5:$B$17</c:f>
              <c:numCache>
                <c:formatCode>General</c:formatCode>
                <c:ptCount val="13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chart'!$C$5:$C$17</c:f>
              <c:numCache>
                <c:formatCode>General</c:formatCode>
                <c:ptCount val="13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chart'!$D$5:$D$17</c:f>
              <c:numCache>
                <c:formatCode>General</c:formatCode>
                <c:ptCount val="13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chart'!$E$5:$E$17</c:f>
              <c:numCache>
                <c:formatCode>General</c:formatCode>
                <c:ptCount val="13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chart'!$F$5:$F$17</c:f>
              <c:numCache>
                <c:formatCode>General</c:formatCode>
                <c:ptCount val="13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chart'!$G$5:$G$17</c:f>
              <c:numCache>
                <c:formatCode>General</c:formatCode>
                <c:ptCount val="13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chart'!$H$5:$H$17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chart'!$I$5:$I$17</c:f>
              <c:numCache>
                <c:formatCode>General</c:formatCode>
                <c:ptCount val="13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chart'!$J$5:$J$17</c:f>
              <c:numCache>
                <c:formatCode>General</c:formatCode>
                <c:ptCount val="13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chart'!$K$5:$K$17</c:f>
              <c:numCache>
                <c:formatCode>General</c:formatCode>
                <c:ptCount val="13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chart'!$L$5:$L$17</c:f>
              <c:numCache>
                <c:formatCode>General</c:formatCode>
                <c:ptCount val="13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chart'!$M$5:$M$17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chart'!$N$5:$N$17</c:f>
              <c:numCache>
                <c:formatCode>General</c:formatCode>
                <c:ptCount val="1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chart'!$O$5:$O$17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chart'!$P$5:$P$17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65401B-43EB-4145-9729-2386E06F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9934FA51-F427-4875-8B23-19F82729A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454025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12B9F893-5EE7-4E5E-B86A-878A91DE5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DEF3-0816-42AC-8FDE-B2AF8719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  <cell r="BB1" t="str">
            <v>Remarks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  <cell r="BB2"/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  <cell r="BB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  <cell r="BB4"/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  <cell r="BB5"/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  <cell r="BB7"/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  <cell r="BB8"/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  <cell r="BB9"/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  <cell r="BB10"/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  <cell r="BB11"/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  <cell r="BB12"/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  <cell r="BB13"/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  <cell r="BB14"/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  <cell r="BB16"/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  <cell r="BB17"/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  <cell r="BB18"/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  <cell r="BB19"/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  <cell r="BB20"/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  <cell r="BB21"/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  <cell r="BB23"/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  <cell r="BB27"/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  <cell r="BB28"/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  <cell r="BB29"/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  <cell r="BB32"/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  <cell r="BB34"/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  <cell r="BB37"/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  <cell r="BB39"/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  <cell r="BB40"/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  <cell r="BB47"/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  <cell r="BB48"/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  <cell r="BB54"/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  <cell r="BB55"/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  <cell r="BB56"/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  <cell r="BB59"/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  <cell r="BB72"/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  <cell r="BB73"/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  <cell r="BB74"/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  <cell r="BB76"/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  <cell r="BB77"/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  <cell r="BB78"/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  <cell r="BB80" t="str">
            <v>2018-10-23通知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  <cell r="BB81" t="str">
            <v>2018-10-23通知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  <cell r="BB82"/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  <cell r="BB83"/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  <cell r="BB86"/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  <cell r="BB88"/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  <cell r="BB89"/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  <cell r="BB90"/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  <cell r="BB91"/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  <cell r="BB92"/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  <cell r="BB93"/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  <cell r="BB94"/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  <cell r="BB95"/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  <cell r="BB96"/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  <cell r="BB97"/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  <cell r="BB98"/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  <cell r="BB99"/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  <cell r="BB104" t="str">
            <v>2018-10-23通知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  <cell r="BB111"/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  <cell r="BB112"/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  <cell r="BB113"/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  <cell r="BB116" t="str">
            <v>2018-10-23通知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  <cell r="BB130"/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  <cell r="BB131"/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  <cell r="BB132"/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  <cell r="BB133"/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  <cell r="BB142"/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  <cell r="BB143"/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  <cell r="BB147" t="str">
            <v>2018-10-23通知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  <cell r="BB148" t="str">
            <v>2018-10-23通知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  <cell r="BB159" t="str">
            <v>2018-10-23通知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  <cell r="BB160" t="str">
            <v>2018-10-23通知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  <cell r="BB161" t="str">
            <v>2018-10-23通知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  <cell r="BB162" t="str">
            <v>2018-10-23通知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  <cell r="BB187" t="str">
            <v>原来7月的，后来改为8月发货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  <cell r="BB189"/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  <cell r="BB196" t="str">
            <v>2018-10-23通知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  <cell r="BB197" t="str">
            <v>2018-10-23通知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  <cell r="BB198" t="str">
            <v>2018-10-23通知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  <cell r="BB199" t="str">
            <v>2018-10-23通知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  <cell r="BB200" t="str">
            <v>2018-10-23通知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  <cell r="BB201" t="str">
            <v>2018-10-23通知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  <cell r="BB202" t="str">
            <v>2018-10-23通知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  <cell r="BB205"/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  <cell r="BB210" t="str">
            <v>2018-10-23通知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  <cell r="BB211" t="str">
            <v>2018-10-23通知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  <cell r="BB212" t="str">
            <v>2018-10-23通知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  <cell r="BB213" t="str">
            <v>2018-10-23通知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  <cell r="BB215"/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  <cell r="BB216"/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  <cell r="BB218"/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  <cell r="BB230" t="str">
            <v>2018-10-23通知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  <cell r="BB231" t="str">
            <v>2018-10-23通知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  <cell r="BB234"/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  <cell r="BB235"/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  <cell r="BB244" t="str">
            <v>2018-10-23通知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  <cell r="BB245" t="str">
            <v>2018-10-23通知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  <cell r="BB246" t="str">
            <v>2018-10-23通知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  <cell r="BB252" t="str">
            <v>2018-10-23通知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  <cell r="BB253" t="str">
            <v>2018-10-23通知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  <cell r="BB272" t="str">
            <v>2018-10-23通知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  <cell r="BB273" t="str">
            <v>2018-10-23通知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  <cell r="BB274" t="str">
            <v>2018-10-23通知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  <cell r="BB275" t="str">
            <v>2018-10-23通知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  <cell r="BB278" t="str">
            <v>2018-10-23通知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  <cell r="BB279" t="str">
            <v>2018-10-23通知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  <cell r="BB280" t="str">
            <v>2018-10-23通知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  <cell r="BB284"/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  <cell r="BB285"/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  <cell r="BB286"/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  <cell r="BB291" t="str">
            <v>sales accrual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  <cell r="BB292" t="str">
            <v>sales accrual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  <cell r="BB294"/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  <cell r="BB295" t="str">
            <v>forecast July, 改为Aug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  <cell r="BB296" t="str">
            <v>forecast July, 改为Aug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  <cell r="BB520" t="str">
            <v>2022-3-25Ken邮件通知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  <cell r="BB521" t="str">
            <v>2022-3-25Ken邮件通知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  <cell r="BB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  <cell r="BB659"/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  <cell r="BB848" t="str">
            <v>2022-3-25Ken邮件通知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  <cell r="BB849" t="str">
            <v>2022-10-10Ken邮件通知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  <cell r="BB929" t="str">
            <v>2022-8-2Ken邮件通知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  <cell r="BB930" t="str">
            <v>2022-8-2Ken邮件通知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  <cell r="BB931" t="str">
            <v>2022-8-2Ken邮件通知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  <cell r="BB932" t="str">
            <v>2022-8-2Ken邮件通知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  <cell r="BB933" t="str">
            <v>2022-8-2Ken邮件通知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  <cell r="BB986" t="str">
            <v>2022-6-28合同补充文件删除合同</v>
          </cell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  <cell r="BB1006" t="str">
            <v>定金已退回</v>
          </cell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  <cell r="BB1040" t="str">
            <v>2022-8-2Ken邮件通知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  <cell r="BB1041" t="str">
            <v>2022-8-2Ken邮件通知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  <cell r="BB1042" t="str">
            <v>2022-8-2Ken邮件通知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  <cell r="BB1083" t="str">
            <v>2022-3-25Ken邮件通知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  <cell r="BB1084" t="str">
            <v>2022-3-25Ken邮件通知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  <cell r="BB1088" t="str">
            <v>2022-3-25Ken邮件通知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  <cell r="BB1089" t="str">
            <v>2022-3-25Ken邮件通知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  <cell r="BB1126" t="str">
            <v>2022-3-25Ken邮件通知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  <cell r="BB1144" t="str">
            <v>2022-3-25Ken邮件通知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  <cell r="BB1145" t="str">
            <v>2022-3-25Ken邮件通知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  <cell r="BB1146" t="str">
            <v>2022-3-25Ken邮件通知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  <cell r="BB1147" t="str">
            <v>2022-3-25Ken邮件通知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  <cell r="BB1148" t="str">
            <v>2022-10-10Ken邮件通知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  <cell r="BB1149" t="str">
            <v>2022-10-10Ken邮件通知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  <cell r="BB1150" t="str">
            <v>2022-10-10Ken邮件通知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  <cell r="BB1151" t="str">
            <v>2022-10-10Ken邮件通知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  <cell r="BB1156" t="str">
            <v>2022-8-2Ken邮件通知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  <cell r="BB1157" t="str">
            <v>2022-8-2Ken邮件通知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  <cell r="BB1158" t="str">
            <v>2022-8-2Ken邮件通知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  <cell r="BB1159" t="str">
            <v>2022-8-2Ken邮件通知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  <cell r="BB1160" t="str">
            <v>2022-8-2Ken邮件通知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  <cell r="BB1161" t="str">
            <v>2022-8-2Ken邮件通知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  <cell r="BB1162" t="str">
            <v>2022-8-2Ken邮件通知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  <cell r="BB1163" t="str">
            <v>2022-8-2Ken邮件通知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  <cell r="BB1210" t="str">
            <v>2022-3-25Ken邮件通知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  <cell r="BB1249" t="str">
            <v>2022/10/10 Ken邮件通知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  <cell r="BB1265" t="str">
            <v>2022/3/25 Ken邮件通知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  <cell r="BB1266" t="str">
            <v>2022/3/25 Ken邮件通知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  <cell r="BB1267" t="str">
            <v>2022/3/25 Ken邮件通知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  <cell r="BB1268" t="str">
            <v>2022/10/10 Ken微信通知Anna删除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  <cell r="BB1320" t="str">
            <v>2022-8-2Ken邮件通知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  <cell r="BB1322" t="str">
            <v>2022-8-2Ken邮件通知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  <cell r="BB1324" t="str">
            <v>2022-8-2Ken邮件通知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  <cell r="BB1327" t="str">
            <v>YSM10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  <cell r="BB1331" t="str">
            <v>2022-10-10Ken邮件通知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  <cell r="BB1332" t="str">
            <v>2023-12-18 Ken邮件通知Fay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  <cell r="BB1333" t="str">
            <v>2023-12-18 Ken邮件通知Fay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  <cell r="BB1334" t="str">
            <v>2023-12-18 Ken邮件通知Fay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  <cell r="BB1340" t="str">
            <v>2022-8-2Ken邮件通知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  <cell r="BB1341" t="str">
            <v>2022-8-2Ken邮件通知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  <cell r="BB1342" t="str">
            <v>2022-8-2Ken邮件通知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  <cell r="BB1343" t="str">
            <v>2022-8-2Ken邮件通知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  <cell r="BB1344" t="str">
            <v>2022-8-2Ken邮件通知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  <cell r="BB1345" t="str">
            <v>2022-8-2Ken邮件通知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  <cell r="BB1346" t="str">
            <v>2022-8-2Ken邮件通知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  <cell r="BB1347" t="str">
            <v>2022-8-2Ken邮件通知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  <cell r="BB1348" t="str">
            <v>2022-8-2Ken邮件通知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  <cell r="BB1349" t="str">
            <v>2022-8-2Ken邮件通知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  <cell r="BB1350" t="str">
            <v>2022-8-2Ken邮件通知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  <cell r="BB1351" t="str">
            <v>2022-8-2Ken邮件通知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  <cell r="BB1352" t="str">
            <v>2022-8-2Ken邮件通知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  <cell r="BB1353" t="str">
            <v>2022-8-2Ken邮件通知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  <cell r="BB1354" t="str">
            <v>2022-8-2Ken邮件通知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  <cell r="BB1355" t="str">
            <v>2022-8-2Ken邮件通知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  <cell r="BB1356" t="str">
            <v>2022-8-2Ken邮件通知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  <cell r="BB1357" t="str">
            <v>2022-8-2Ken邮件通知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  <cell r="BB1358" t="str">
            <v>2022-8-2Ken邮件通知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  <cell r="BB1359" t="str">
            <v>2022-8-2Ken邮件通知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  <cell r="BB1401" t="str">
            <v>2023-3-31Ken邮件通知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  <cell r="BB1431" t="str">
            <v>2022-10-10Ken邮件通知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  <cell r="BB1432" t="str">
            <v>2022-10-10Ken邮件通知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  <cell r="BB1433" t="str">
            <v>2022-10-10Ken邮件通知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  <cell r="BB1434" t="str">
            <v>2022-10-10Ken邮件通知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  <cell r="BB1435" t="str">
            <v>2022-10-10Ken邮件通知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  <cell r="BB1436" t="str">
            <v>2022-10-10Ken邮件通知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  <cell r="BB1445" t="str">
            <v>2023-3-31Ken邮件通知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  <cell r="BB1481" t="str">
            <v>2022-8-2Ken邮件通知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  <cell r="BB1482" t="str">
            <v>2022-8-2Ken邮件通知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  <cell r="BB1483" t="str">
            <v>2022-8-2Ken邮件通知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  <cell r="BB1484" t="str">
            <v>2022-8-2Ken邮件通知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  <cell r="BB1539" t="str">
            <v>修改合同，数量改为5台（新合同C49SZX20220057DZ）</v>
          </cell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  <cell r="BB1540" t="str">
            <v>修改合同，数量改为5台（新合同C49SZX20220057DZ）</v>
          </cell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  <cell r="BB1541" t="str">
            <v>修改合同，数量改为5台（新合同C49SZX20220057DZ）</v>
          </cell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  <cell r="BB1542" t="str">
            <v>修改合同，数量改为5台（新合同C49SZX20220057DZ）</v>
          </cell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  <cell r="BB1543" t="str">
            <v>修改合同，数量改为5台（新合同C49SZX20220057DZ）</v>
          </cell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  <cell r="BB1581" t="str">
            <v>2022/10/10 Ken邮件通知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  <cell r="BB1582" t="str">
            <v>2022/10/10 Ken邮件通知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  <cell r="BB1583" t="str">
            <v>2022/12/9 Ken邮件通知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  <cell r="BB1623" t="str">
            <v>2022-3-25Ken邮件通知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  <cell r="BB1653" t="str">
            <v>2023-3-31Ken邮件通知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  <cell r="BB1679" t="str">
            <v>银行承兑汇票，贴现日期为contract logbook登记收款日期.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  <cell r="BB1680" t="str">
            <v>银行承兑汇票，贴现日期为contract logbook登记收款日期.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  <cell r="BB1683"/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  <cell r="BB1684" t="str">
            <v>根据合同补充文件取消</v>
          </cell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  <cell r="BB1685" t="str">
            <v>根据合同补充文件取消</v>
          </cell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  <cell r="BB1686" t="str">
            <v>根据合同补充文件取消</v>
          </cell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  <cell r="BB1687" t="str">
            <v>根据合同补充文件取消</v>
          </cell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  <cell r="BB1689" t="str">
            <v>2023-12-18 Ken邮件通知Fay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  <cell r="BB1704" t="str">
            <v>2022-10-10Ken邮件通知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  <cell r="BB1705" t="str">
            <v>2022-10-10Ken邮件通知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  <cell r="BB1710" t="str">
            <v>2023-3-31Ken邮件通知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  <cell r="BB1734" t="str">
            <v>2022-6-28合同补充文件删除合同。</v>
          </cell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  <cell r="BB1758" t="str">
            <v>取消合同，详见合同解除协议.</v>
          </cell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  <cell r="BB1770" t="str">
            <v>2022-10-10Ken邮件通知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  <cell r="BB1771" t="str">
            <v>2022-8-2 Ken邮件通知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  <cell r="BB1772" t="str">
            <v>2022-8-2 Ken邮件通知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  <cell r="BB1773" t="str">
            <v>2022-8-2 Ken邮件通知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  <cell r="BB1774" t="str">
            <v>2022-8-2 Ken邮件通知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  <cell r="BB1781" t="str">
            <v>2022/3/25 Ken邮件通知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  <cell r="BB1782" t="str">
            <v>2022/3/25 Ken邮件通知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  <cell r="BB1797" t="str">
            <v>2023-3-31Ken邮件通知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  <cell r="BB1798" t="str">
            <v>2023-3-31Ken邮件通知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  <cell r="BB1799" t="str">
            <v>2023-3-31Ken邮件通知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  <cell r="BB1800" t="str">
            <v>2023-3-31Ken邮件通知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  <cell r="BB1831" t="str">
            <v>2023-3-31Ken邮件通知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  <cell r="BB1832" t="str">
            <v>2023-3-31Ken邮件通知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  <cell r="BB1835" t="str">
            <v>2022-10-10Ken邮件通知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  <cell r="BB1836" t="str">
            <v>2022-10-10Ken邮件通知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  <cell r="BB1848" t="str">
            <v>2023-3-31Ken邮件通知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  <cell r="BB1885" t="str">
            <v>2023-11-29 Ken邮件通知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  <cell r="BB1886" t="str">
            <v>2023-11-29 Ken邮件通知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  <cell r="BB1887" t="str">
            <v>2023-11-29 Ken邮件通知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  <cell r="BB1888" t="str">
            <v>2023-11-29 Ken邮件通知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  <cell r="BB1897" t="str">
            <v>所有的装机资料和安贸资料用“长沙三才”，三才合同仅作为一个补充合同，如有需要以便提交给到Yamaha .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  <cell r="BB1898" t="str">
            <v>所有的装机资料和安贸资料用“长沙三才”，三才合同仅作为一个补充合同，如有需要以便提交给到Yamaha .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  <cell r="BB1949" t="str">
            <v>2023-6-6Ken邮件通知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  <cell r="BB1950" t="str">
            <v>2023-6-6Ken邮件通知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  <cell r="BB1951" t="str">
            <v>2023-6-6Ken邮件通知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  <cell r="BB1952" t="str">
            <v>2023-6-6Ken邮件通知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  <cell r="BB1953" t="str">
            <v>2023-6-6Ken邮件通知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  <cell r="BB1954" t="str">
            <v>2023-6-6Ken邮件通知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  <cell r="BB1955" t="str">
            <v>2023-6-6Ken邮件通知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  <cell r="BB1956" t="str">
            <v>2023-6-6Ken邮件通知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  <cell r="BB1957" t="str">
            <v>2023-6-6Ken邮件通知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  <cell r="BB1958" t="str">
            <v>2023-6-6Ken邮件通知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  <cell r="BB1959" t="str">
            <v>2023-6-6Ken邮件通知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  <cell r="BB1960" t="str">
            <v>2023-6-6Ken邮件通知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  <cell r="BB1961" t="str">
            <v>2023-12-13 Ken邮件通知Fay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  <cell r="BB1962" t="str">
            <v>2023-12-13 Ken邮件通知Fay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  <cell r="BB2051" t="str">
            <v>2023-12-13 Ken邮件通知Fay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  <cell r="BB2054" t="str">
            <v>2023-12-13 Ken邮件通知Fay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  <cell r="BB2087" t="str">
            <v>2023-12-13 Ken邮件通知Fay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  <cell r="BB2092" t="str">
            <v>2023-11-29 Ken邮件通知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  <cell r="BB2093" t="str">
            <v>2023-11-29 Ken邮件通知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  <cell r="BB2094" t="str">
            <v>2023-11-29 Ken邮件通知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  <cell r="BB2095" t="str">
            <v>2023-11-29 Ken邮件通知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  <cell r="BB2107" t="str">
            <v>2023-12-13 Ken邮件通知Fay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  <cell r="BB2108" t="str">
            <v>2023-12-13 Ken邮件通知Fay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  <cell r="BB2109" t="str">
            <v>2023-12-13 Ken邮件通知Fay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  <cell r="BB2110" t="str">
            <v>2023-12-13 Ken邮件通知Fay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  <cell r="BB2111" t="str">
            <v>2023-12-13 Ken邮件通知Fay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  <cell r="BB2112" t="str">
            <v>2023-12-13 Ken邮件通知Fay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  <cell r="BB2113" t="str">
            <v>2023-12-13 Ken邮件通知Fay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  <cell r="BB2114" t="str">
            <v>2023-12-13 Ken邮件通知Fay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  <cell r="BB2115" t="str">
            <v>2023-12-13 Ken邮件通知Fay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  <cell r="BB2116" t="str">
            <v>2023-12-13 Ken邮件通知Fay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  <cell r="BB2135" t="str">
            <v>2023-12-13 Ken邮件通知Fay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  <cell r="BB2136" t="str">
            <v>2023-12-13 Ken邮件通知Fay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  <cell r="BB2137" t="str">
            <v>2023-12-18 Ken邮件通知Fay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  <cell r="BB2138" t="str">
            <v>2023-12-18 Ken邮件通知Fay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  <cell r="BB2139" t="str">
            <v>2023-12-18 Ken邮件通知Fay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  <cell r="BB2140" t="str">
            <v>2023-12-18 Ken邮件通知Fay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  <cell r="BB2142" t="str">
            <v>2023-12-13 Ken邮件通知Fay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  <cell r="BB2143" t="str">
            <v>2023-12-13 Ken邮件通知Fay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  <cell r="BB2146" t="str">
            <v>2023-12-13 Ken邮件通知Fay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  <cell r="BB2147" t="str">
            <v>2023-12-13 Ken邮件通知Fay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  <cell r="AZ2172" t="str">
            <v>Y</v>
          </cell>
          <cell r="BA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N2182">
            <v>45327</v>
          </cell>
          <cell r="O2182">
            <v>11116881</v>
          </cell>
          <cell r="P2182">
            <v>58000</v>
          </cell>
          <cell r="Q2182">
            <v>45341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N2183">
            <v>45327</v>
          </cell>
          <cell r="O2183">
            <v>11116881</v>
          </cell>
          <cell r="P2183">
            <v>58000</v>
          </cell>
          <cell r="Q2183">
            <v>45341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  <cell r="BB2189" t="str">
            <v>2023-12-13 Ken邮件通知Fay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N2190">
            <v>45356</v>
          </cell>
          <cell r="O2190">
            <v>11116883</v>
          </cell>
          <cell r="P2190">
            <v>134000</v>
          </cell>
          <cell r="Q2190">
            <v>45344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N2191">
            <v>45355</v>
          </cell>
          <cell r="O2191">
            <v>11116885</v>
          </cell>
          <cell r="P2191">
            <v>64000</v>
          </cell>
          <cell r="Q2191">
            <v>45344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N2192">
            <v>45356</v>
          </cell>
          <cell r="O2192">
            <v>11116885</v>
          </cell>
          <cell r="P2192">
            <v>45000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  <cell r="BB2196" t="str">
            <v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  <cell r="AZ2208" t="str">
            <v>Y</v>
          </cell>
          <cell r="BA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Q2211">
            <v>45348</v>
          </cell>
          <cell r="AR2211">
            <v>45348</v>
          </cell>
          <cell r="AS2211">
            <v>0</v>
          </cell>
          <cell r="AT2211">
            <v>0</v>
          </cell>
          <cell r="AX2211" t="str">
            <v>Yes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C49SZX20230009MZ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C49SZX20230009MZ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C49SZX20230009MZ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C49SZX20230009MZ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C49SZX20230009MZ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C49SZX20230010MZ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C49SZX20230010MZ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C49SZX20230010MZ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C49SZX20230010MZ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Q2229">
            <v>45343</v>
          </cell>
          <cell r="AR2229">
            <v>45343</v>
          </cell>
          <cell r="AS2229">
            <v>0</v>
          </cell>
          <cell r="AT2229">
            <v>0</v>
          </cell>
          <cell r="AX2229" t="str">
            <v>Yes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Q2230">
            <v>45343</v>
          </cell>
          <cell r="AR2230">
            <v>45343</v>
          </cell>
          <cell r="AS2230">
            <v>0</v>
          </cell>
          <cell r="AT2230">
            <v>0</v>
          </cell>
          <cell r="AX2230" t="str">
            <v>Yes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N2235">
            <v>45346</v>
          </cell>
          <cell r="O2235">
            <v>11116884</v>
          </cell>
          <cell r="P2235">
            <v>1200000</v>
          </cell>
          <cell r="Q2235">
            <v>45344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Q2235">
            <v>44978</v>
          </cell>
          <cell r="AR2235">
            <v>44978</v>
          </cell>
          <cell r="AS2235">
            <v>0</v>
          </cell>
          <cell r="AT2235">
            <v>0</v>
          </cell>
          <cell r="AX2235" t="str">
            <v>Yes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N2236">
            <v>45346</v>
          </cell>
          <cell r="O2236">
            <v>11116884</v>
          </cell>
          <cell r="P2236">
            <v>7686000</v>
          </cell>
          <cell r="Q2236">
            <v>45344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Q2236">
            <v>44978</v>
          </cell>
          <cell r="AR2236">
            <v>44978</v>
          </cell>
          <cell r="AS2236">
            <v>0</v>
          </cell>
          <cell r="AT2236">
            <v>0</v>
          </cell>
          <cell r="AX2236" t="str">
            <v>Yes</v>
          </cell>
        </row>
        <row r="2237">
          <cell r="B2237">
            <v>2087</v>
          </cell>
          <cell r="C2237" t="str">
            <v>C49SZX20240019SX</v>
          </cell>
          <cell r="D2237" t="str">
            <v>佳日兴（end user:广基达）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45324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C49SZX20240019SX</v>
          </cell>
          <cell r="D2238" t="str">
            <v>佳日兴（end user:广基达）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45324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N2239">
            <v>45341</v>
          </cell>
          <cell r="O2239">
            <v>11116882</v>
          </cell>
          <cell r="P2239">
            <v>12500000</v>
          </cell>
          <cell r="Q2239">
            <v>45343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K2243">
            <v>0.1</v>
          </cell>
          <cell r="AL2243">
            <v>63500</v>
          </cell>
          <cell r="AN2243" t="str">
            <v>No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  <row r="2247">
          <cell r="B2247">
            <v>2097</v>
          </cell>
          <cell r="C2247" t="str">
            <v>C49SZX20240028JL/HJD24020240</v>
          </cell>
          <cell r="D2247" t="str">
            <v>皓吉达</v>
          </cell>
          <cell r="E2247" t="str">
            <v>YSM10</v>
          </cell>
          <cell r="I2247" t="str">
            <v>L-&gt;R</v>
          </cell>
          <cell r="J2247" t="str">
            <v>ATS15</v>
          </cell>
          <cell r="K2247">
            <v>1</v>
          </cell>
          <cell r="R2247" t="str">
            <v>No</v>
          </cell>
          <cell r="S2247" t="str">
            <v>C49</v>
          </cell>
          <cell r="T2247" t="str">
            <v>SOUTH</v>
          </cell>
          <cell r="U2247" t="str">
            <v>深圳</v>
          </cell>
          <cell r="V2247" t="str">
            <v>HY河源</v>
          </cell>
          <cell r="W2247" t="str">
            <v>JL</v>
          </cell>
          <cell r="X2247" t="str">
            <v>RMB</v>
          </cell>
          <cell r="Y2247">
            <v>500000</v>
          </cell>
          <cell r="Z2247">
            <v>1.1299999999999999</v>
          </cell>
          <cell r="AA2247">
            <v>500000</v>
          </cell>
          <cell r="AB2247">
            <v>1.0900000000000001</v>
          </cell>
          <cell r="AC2247">
            <v>482300.88495575229</v>
          </cell>
          <cell r="AD2247">
            <v>57876.10619469027</v>
          </cell>
          <cell r="AE2247">
            <v>0.12</v>
          </cell>
          <cell r="AF2247">
            <v>45329</v>
          </cell>
          <cell r="AG2247" t="str">
            <v>DDP HY</v>
          </cell>
          <cell r="AK2247">
            <v>0.1</v>
          </cell>
          <cell r="AL2247">
            <v>50000</v>
          </cell>
          <cell r="AM2247">
            <v>45344</v>
          </cell>
          <cell r="AN2247" t="str">
            <v>Yes</v>
          </cell>
          <cell r="AO2247">
            <v>0.9</v>
          </cell>
          <cell r="AP2247">
            <v>450000</v>
          </cell>
          <cell r="AS2247">
            <v>0</v>
          </cell>
          <cell r="AT2247">
            <v>0</v>
          </cell>
        </row>
        <row r="2248">
          <cell r="B2248">
            <v>2098</v>
          </cell>
          <cell r="C2248" t="str">
            <v>C49SZX20240029JY</v>
          </cell>
          <cell r="D2248" t="str">
            <v>建航</v>
          </cell>
          <cell r="E2248" t="str">
            <v>YSM10</v>
          </cell>
          <cell r="I2248" t="str">
            <v>L-&gt;R</v>
          </cell>
          <cell r="J2248" t="str">
            <v>MVC</v>
          </cell>
          <cell r="K2248">
            <v>1</v>
          </cell>
          <cell r="R2248" t="str">
            <v>No</v>
          </cell>
          <cell r="S2248" t="str">
            <v>C49</v>
          </cell>
          <cell r="T2248" t="str">
            <v>SOUTH</v>
          </cell>
          <cell r="U2248" t="str">
            <v>深圳</v>
          </cell>
          <cell r="V2248" t="str">
            <v>深圳</v>
          </cell>
          <cell r="W2248" t="str">
            <v>JY</v>
          </cell>
          <cell r="X2248" t="str">
            <v>JPY</v>
          </cell>
          <cell r="Y2248">
            <v>8120000</v>
          </cell>
          <cell r="Z2248">
            <v>1</v>
          </cell>
          <cell r="AA2248">
            <v>8120000</v>
          </cell>
          <cell r="AB2248">
            <v>5.4100000000000002E-2</v>
          </cell>
          <cell r="AC2248">
            <v>439292</v>
          </cell>
          <cell r="AD2248">
            <v>52715.040000000001</v>
          </cell>
          <cell r="AE2248">
            <v>0.12</v>
          </cell>
          <cell r="AF2248">
            <v>45344</v>
          </cell>
          <cell r="AG2248" t="str">
            <v>DAP SZ</v>
          </cell>
          <cell r="AI2248" t="str">
            <v>JPY832,500</v>
          </cell>
          <cell r="AJ2248">
            <v>45348</v>
          </cell>
          <cell r="AK2248">
            <v>0.2</v>
          </cell>
          <cell r="AL2248">
            <v>1624000</v>
          </cell>
          <cell r="AM2248">
            <v>45348</v>
          </cell>
          <cell r="AN2248" t="str">
            <v>Yes</v>
          </cell>
          <cell r="AO2248">
            <v>0.8</v>
          </cell>
          <cell r="AP2248">
            <v>6496000</v>
          </cell>
          <cell r="AS2248">
            <v>0</v>
          </cell>
          <cell r="AT2248">
            <v>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_vti_history/1455616/Shared%20Documents/c49/c49szx.cs-common/stock%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_vti_history/1455616/Shared%20Documents/c49/c49szx.cs-common/stock%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_vti_history/1455616/Shared%20Documents/c49/c49szx.cs-common/stock%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Shared%20Documents/bu.share/share-hk.n.sz-smt.admin/AMY/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79">
      <sharedItems containsBlank="1"/>
    </cacheField>
    <cacheField name="Item" numFmtId="179">
      <sharedItems containsBlank="1"/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79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7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79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79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76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79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79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79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79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79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79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6941.09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79">
      <sharedItems containsBlank="1" count="5">
        <s v="已发货"/>
        <s v="已经到货"/>
        <s v="有交期"/>
        <s v="TBA"/>
        <m/>
      </sharedItems>
    </cacheField>
    <cacheField name="Org. " numFmtId="179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79">
      <sharedItems containsBlank="1"/>
    </cacheField>
    <cacheField name="Item" numFmtId="179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79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79">
      <sharedItems containsBlank="1"/>
    </cacheField>
    <cacheField name="Customer Reserved" numFmtId="179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79">
      <sharedItems containsBlank="1"/>
    </cacheField>
    <cacheField name="Direction2" numFmtId="179">
      <sharedItems containsBlank="1"/>
    </cacheField>
    <cacheField name="Item w config2" numFmtId="179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43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43">
      <sharedItems containsBlank="1" containsMixedTypes="1" containsNumber="1" minValue="0" maxValue="138422"/>
    </cacheField>
    <cacheField name="benificiary bank charges(JPY)" numFmtId="43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82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24.401432754632" createdVersion="7" refreshedVersion="7" minRefreshableVersion="3" recordCount="390" xr:uid="{A8AF88A4-3841-49DD-9FAD-607164C88778}">
  <cacheSource type="worksheet">
    <worksheetSource ref="A1:E39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83">
      <sharedItems count="13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</sharedItems>
    </cacheField>
  </cacheFields>
  <extLst>
    <ext xmlns:x14="http://schemas.microsoft.com/office/spreadsheetml/2009/9/main" uri="{725AE2AE-9491-48be-B2B4-4EB974FC3084}">
      <x14:pivotCacheDefinition pivotCacheId="2117931545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48.747580439813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8"/>
    </cacheField>
    <cacheField name="ETA_Month" numFmtId="179">
      <sharedItems containsBlank="1" count="5">
        <s v="已发货"/>
        <s v="已经到货"/>
        <s v="有交期"/>
        <s v="TBA."/>
        <m/>
      </sharedItems>
    </cacheField>
    <cacheField name="Org. " numFmtId="179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79">
      <sharedItems containsBlank="1"/>
    </cacheField>
    <cacheField name="Item" numFmtId="179">
      <sharedItems containsBlank="1" count="21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  <s v="YSi-V(SL)"/>
        <s v="YSi-V(DL)"/>
      </sharedItems>
    </cacheField>
    <cacheField name="Direction" numFmtId="179">
      <sharedItems containsBlank="1"/>
    </cacheField>
    <cacheField name="Item w config" numFmtId="179">
      <sharedItems containsBlank="1"/>
    </cacheField>
    <cacheField name="SN" numFmtId="0">
      <sharedItems containsBlank="1" containsMixedTypes="1" containsNumber="1" containsInteger="1" minValue="6818" maxValue="6826"/>
    </cacheField>
    <cacheField name="Machine_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3-05T00:00:00" count="274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d v="2024-02-27T00:00:00"/>
        <d v="2024-02-26T00:00:00"/>
        <d v="2024-03-03T00:00:00"/>
        <d v="2024-03-04T00:00:00"/>
        <s v="Yamaha 深圳仓库"/>
        <s v="ex-work 24年2月"/>
        <s v="ex-work 24年3月"/>
        <d v="2023-05-05T00:00:00" u="1"/>
        <s v="ex-work 23年12月" u="1"/>
        <s v="ex-work 23年1月" u="1"/>
        <s v="TBA" u="1"/>
        <s v="ex-work 23年4月" u="1"/>
        <s v="ex-work 23年10月" u="1"/>
        <d v="2023-06-21T00:00:00" u="1"/>
        <s v="ex-work 23年7月" u="1"/>
        <s v="北京单" u="1"/>
        <s v="苏州仓库 9月中下旬" u="1"/>
        <d v="2023-05-12T00:00:00" u="1"/>
        <d v="2023-11-08T00:00:00" u="1"/>
        <d v="2023-06-16T00:00:00" u="1"/>
        <s v="ex-work 23年3月" u="1"/>
        <s v="ex-work 24年1月" u="1"/>
        <s v="ex-work 23年6月" u="1"/>
        <s v="ex-work 23年9月" u="1"/>
        <d v="2023-05-03T00:00:00" u="1"/>
        <s v="疫情等待通知提货" u="1"/>
        <d v="2024-02-28T00:00:00" u="1"/>
        <s v="Yamaha 仓库" u="1"/>
        <d v="2024-03-01T00:00:00" u="1"/>
        <d v="2023-01-31T00:00:00" u="1"/>
        <s v="ex-work 23年2月" u="1"/>
        <d v="2023-09-01T00:00:00" u="1"/>
        <d v="2023-05-10T00:00:00" u="1"/>
        <s v="ex-work 23年5月" u="1"/>
        <d v="2023-01-03T00:00:00" u="1"/>
        <d v="2024-01-03T00:00:00" u="1"/>
        <d v="2024-02-23T00:00:00" u="1"/>
        <s v="已经到达仓库" u="1"/>
        <d v="2023-11-29T00:00:00" u="1"/>
        <d v="2023-09-04T00:00:00" u="1"/>
        <s v="富洛HK仓库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79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79">
      <sharedItems containsBlank="1"/>
    </cacheField>
    <cacheField name="Customer Reserved" numFmtId="179">
      <sharedItems containsBlank="1"/>
    </cacheField>
    <cacheField name="Item2" numFmtId="179">
      <sharedItems containsBlank="1"/>
    </cacheField>
    <cacheField name="Direction2" numFmtId="179">
      <sharedItems containsBlank="1"/>
    </cacheField>
    <cacheField name="Item w config2" numFmtId="179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23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90"/>
    <x v="0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MAR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98"/>
    <x v="1"/>
    <x v="0"/>
    <n v="111361"/>
    <s v="STK"/>
    <x v="1"/>
    <s v="R-&gt;L"/>
    <s v="No"/>
    <s v="Y67126"/>
    <n v="1"/>
    <s v="力合仓库(已经清关)"/>
    <x v="226"/>
    <s v="111309(拆分PO111373) Rate:0.0508"/>
    <s v="MAR 24"/>
    <n v="2023.8"/>
    <s v="JPY"/>
    <s v="C49SZX20240029JY"/>
    <s v="建航"/>
    <s v="YSM10"/>
    <s v="L-&gt;R"/>
    <s v="MVC"/>
    <s v="WRONG"/>
    <s v="DAP SZ"/>
    <d v="2024-02-22T00:00:00"/>
    <s v="Yes"/>
    <m/>
    <m/>
    <m/>
    <m/>
  </r>
  <r>
    <n v="2086"/>
    <x v="0"/>
    <x v="0"/>
    <n v="111361"/>
    <s v="STK"/>
    <x v="1"/>
    <s v="R-&gt;L"/>
    <s v="No"/>
    <s v="Y67127"/>
    <n v="1"/>
    <s v="前海保税区"/>
    <x v="226"/>
    <n v="0.05"/>
    <s v="FEB 24"/>
    <n v="2023.8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85"/>
    <x v="0"/>
    <x v="0"/>
    <n v="111362"/>
    <s v="STK"/>
    <x v="12"/>
    <s v="L-&gt;R"/>
    <s v="No"/>
    <s v="Y67128"/>
    <n v="1"/>
    <s v="前海保税区"/>
    <x v="227"/>
    <s v="NM,Coper rate 0.0512 PO#111464"/>
    <s v="FEB 24"/>
    <n v="2023.9"/>
    <s v="JPY"/>
    <s v="C49SZX20240013SX"/>
    <s v="江西优控"/>
    <s v="YSM20R-2"/>
    <s v="L-&gt;R"/>
    <s v="No"/>
    <s v="OK"/>
    <s v="DAP JX"/>
    <d v="2024-01-23T00:00:00"/>
    <s v="Yes"/>
    <m/>
    <m/>
    <m/>
    <m/>
  </r>
  <r>
    <m/>
    <x v="1"/>
    <x v="0"/>
    <n v="111362"/>
    <s v="STK"/>
    <x v="12"/>
    <s v="L-&gt;R"/>
    <s v="No"/>
    <s v="Y67129"/>
    <n v="1"/>
    <s v="前海保税区"/>
    <x v="227"/>
    <n v="0.05"/>
    <m/>
    <n v="2023.9"/>
    <e v="#N/A"/>
    <e v="#N/A"/>
    <e v="#N/A"/>
    <e v="#N/A"/>
    <e v="#N/A"/>
    <e v="#N/A"/>
    <e v="#N/A"/>
    <e v="#N/A"/>
    <e v="#N/A"/>
    <e v="#N/A"/>
    <m/>
    <m/>
    <m/>
    <m/>
  </r>
  <r>
    <n v="2087"/>
    <x v="1"/>
    <x v="0"/>
    <n v="111362"/>
    <s v="STK"/>
    <x v="12"/>
    <s v="L-&gt;R"/>
    <s v="No"/>
    <s v="Y67130"/>
    <n v="1"/>
    <s v="前海保税区"/>
    <x v="227"/>
    <s v="NM,Coper rate 0.0512 PO#111464"/>
    <s v="FEB 24"/>
    <n v="2023.9"/>
    <s v="USD"/>
    <s v="C49SZX20240019SX"/>
    <s v="佳日兴（end user:广基达）"/>
    <s v="YSM20R-2"/>
    <s v="L-&gt;R"/>
    <s v="No"/>
    <s v="OK"/>
    <s v="CIF Vietnam"/>
    <d v="2024-01-26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m/>
    <n v="2023.9"/>
    <s v="RMB"/>
    <s v="C49SZX20240025JL"/>
    <s v="博新"/>
    <s v="YSM20R-2"/>
    <s v="L-&gt;R"/>
    <s v="No"/>
    <s v="OK"/>
    <s v="DDP SZ"/>
    <d v="2024-01-31T00:00:00"/>
    <s v="No"/>
    <m/>
    <m/>
    <m/>
    <m/>
  </r>
  <r>
    <n v="2061"/>
    <x v="1"/>
    <x v="0"/>
    <n v="111362"/>
    <s v="STK"/>
    <x v="12"/>
    <s v="L-&gt;R"/>
    <s v="No"/>
    <s v="Y67132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s v="MAR 24"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70"/>
    <x v="1"/>
    <x v="0"/>
    <n v="111421"/>
    <s v="STK"/>
    <x v="1"/>
    <s v="R-&gt;L"/>
    <s v="No"/>
    <s v="Y67718"/>
    <n v="1"/>
    <s v="前海保税区"/>
    <x v="229"/>
    <s v="NM,Coper rate 0.0495"/>
    <s v="MAR 24"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m/>
    <x v="1"/>
    <x v="0"/>
    <n v="111464"/>
    <s v="STK"/>
    <x v="12"/>
    <s v="L-&gt;R"/>
    <s v="No"/>
    <s v="Y68129"/>
    <n v="1"/>
    <s v="前海保税区"/>
    <x v="231"/>
    <s v="0.05 PO#111362"/>
    <m/>
    <n v="2023.11"/>
    <e v="#N/A"/>
    <e v="#N/A"/>
    <e v="#N/A"/>
    <e v="#N/A"/>
    <e v="#N/A"/>
    <e v="#N/A"/>
    <e v="#N/A"/>
    <e v="#N/A"/>
    <e v="#N/A"/>
    <e v="#N/A"/>
    <m/>
    <m/>
    <m/>
    <m/>
  </r>
  <r>
    <n v="2005"/>
    <x v="1"/>
    <x v="0"/>
    <n v="111464"/>
    <s v="STK"/>
    <x v="12"/>
    <s v="L-&gt;R"/>
    <s v="No"/>
    <s v="Y68130"/>
    <n v="1"/>
    <s v="前海保税区"/>
    <x v="231"/>
    <s v="0.05 PO#111362"/>
    <m/>
    <n v="2023.12"/>
    <s v="JPY"/>
    <s v="C49SZX20230115JY"/>
    <s v="万有"/>
    <s v="YSM20R-2"/>
    <s v="L-&gt;R"/>
    <s v="No"/>
    <s v="OK"/>
    <s v="DAP DG"/>
    <d v="2023-11-09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,有C66的货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m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FEB 24"/>
    <n v="2023.12"/>
    <s v="USD"/>
    <s v="C49SZX20240019SX"/>
    <s v="佳日兴（end user:广基达）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7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RMB"/>
    <s v="C49SZX20240028JL/HJD24020240"/>
    <s v="皓吉达"/>
    <s v="YSM10"/>
    <s v="L-&gt;R"/>
    <s v="ATS15"/>
    <s v="WRONG"/>
    <s v="DDP HY"/>
    <d v="2024-02-07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40"/>
    <x v="1"/>
    <x v="0"/>
    <n v="111482"/>
    <s v="STK"/>
    <x v="12"/>
    <s v="L-&gt;R"/>
    <s v="cATS10+ANC+MVC+special layout"/>
    <s v="Y68427"/>
    <n v="1"/>
    <m/>
    <x v="233"/>
    <s v="JPY/HKD:0.0538,USD/HKD 固定汇率是7.8"/>
    <s v="FEB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2"/>
    <x v="1"/>
    <s v="B28111487"/>
    <s v="锐诚名义下单"/>
    <x v="13"/>
    <s v="L-&gt;R"/>
    <s v="No"/>
    <s v="Y68432"/>
    <n v="1"/>
    <m/>
    <x v="234"/>
    <s v="NM"/>
    <s v="FEB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2"/>
    <x v="0"/>
    <n v="111503"/>
    <s v="徕芬名义下单"/>
    <x v="12"/>
    <s v="L-&gt;R"/>
    <s v="cATS10+MVC+Feeder Carriage"/>
    <s v="Y68524"/>
    <n v="1"/>
    <m/>
    <x v="234"/>
    <n v="4.99E-2"/>
    <s v="FEB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2"/>
    <x v="0"/>
    <n v="111503"/>
    <s v="徕芬名义下单"/>
    <x v="12"/>
    <s v="L-&gt;R"/>
    <s v="cATS10+MVC+Feeder Carriage"/>
    <s v="Y68525"/>
    <n v="1"/>
    <m/>
    <x v="234"/>
    <n v="4.99E-2"/>
    <s v="FEB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2"/>
    <x v="1"/>
    <s v="B28111489"/>
    <s v="STK"/>
    <x v="19"/>
    <s v="L-&gt;R"/>
    <s v="No"/>
    <s v="Y68493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1"/>
    <s v="B28111489"/>
    <s v="STK"/>
    <x v="20"/>
    <s v="L-&gt;R"/>
    <s v="No"/>
    <s v="Y68494"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96"/>
    <x v="2"/>
    <x v="0"/>
    <n v="111521"/>
    <s v="STK"/>
    <x v="1"/>
    <s v="R-&gt;L"/>
    <s v="ATS15"/>
    <m/>
    <n v="1"/>
    <m/>
    <x v="236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95"/>
    <x v="2"/>
    <x v="0"/>
    <n v="111521"/>
    <s v="STK"/>
    <x v="1"/>
    <s v="R-&gt;L"/>
    <s v="ATS15"/>
    <m/>
    <n v="1"/>
    <m/>
    <x v="236"/>
    <n v="4.9299999999999997E-2"/>
    <m/>
    <m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62"/>
    <x v="2"/>
    <x v="0"/>
    <n v="111521"/>
    <s v="STK"/>
    <x v="1"/>
    <s v="R-&gt;L"/>
    <s v="No"/>
    <m/>
    <n v="1"/>
    <m/>
    <x v="236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2"/>
    <x v="0"/>
    <n v="111521"/>
    <s v="STK"/>
    <x v="1"/>
    <s v="R-&gt;L"/>
    <s v="No"/>
    <m/>
    <n v="1"/>
    <m/>
    <x v="236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2"/>
    <x v="0"/>
    <s v="111521(拆分PO111534)"/>
    <s v="STK"/>
    <x v="1"/>
    <s v="R-&gt;L"/>
    <s v="No"/>
    <m/>
    <n v="1"/>
    <m/>
    <x v="236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2065"/>
    <x v="2"/>
    <x v="0"/>
    <s v="111521(拆分PO111534)"/>
    <s v="STK"/>
    <x v="1"/>
    <s v="R-&gt;L"/>
    <s v="ATS15"/>
    <m/>
    <n v="1"/>
    <m/>
    <x v="236"/>
    <m/>
    <m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n v="2091"/>
    <x v="2"/>
    <x v="0"/>
    <s v="111521(拆分PO111534)"/>
    <s v="STK"/>
    <x v="1"/>
    <s v="R-&gt;L"/>
    <s v="No"/>
    <m/>
    <n v="1"/>
    <m/>
    <x v="236"/>
    <m/>
    <m/>
    <m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68"/>
    <x v="2"/>
    <x v="0"/>
    <n v="111522"/>
    <s v="STK"/>
    <x v="12"/>
    <s v="R-&gt;L"/>
    <m/>
    <m/>
    <n v="1"/>
    <m/>
    <x v="235"/>
    <n v="4.9299999999999997E-2"/>
    <s v="MAR 24"/>
    <m/>
    <s v="JPY"/>
    <s v="C49SZX20230009MZ"/>
    <s v="鸿楠"/>
    <s v="YSM20R-2"/>
    <s v="R-&gt;L"/>
    <s v="MVC"/>
    <s v="WRONG"/>
    <s v="CIF HK"/>
    <d v="2024-01-22T00:00:00"/>
    <s v="Yes"/>
    <m/>
    <m/>
    <m/>
    <m/>
  </r>
  <r>
    <n v="2069"/>
    <x v="2"/>
    <x v="0"/>
    <n v="111522"/>
    <s v="STK"/>
    <x v="12"/>
    <s v="R-&gt;L"/>
    <m/>
    <m/>
    <n v="1"/>
    <m/>
    <x v="235"/>
    <n v="4.9299999999999997E-2"/>
    <s v="MAR 24"/>
    <m/>
    <s v="JPY"/>
    <s v="C49SZX20230009MZ"/>
    <s v="鸿楠"/>
    <s v="YSM20R-2"/>
    <s v="R-&gt;L"/>
    <s v="No"/>
    <s v="WRONG"/>
    <s v="CIF HK"/>
    <d v="2024-01-22T00:00:00"/>
    <s v="Yes"/>
    <m/>
    <m/>
    <m/>
    <m/>
  </r>
  <r>
    <n v="2092"/>
    <x v="2"/>
    <x v="0"/>
    <n v="111522"/>
    <s v="STK"/>
    <x v="12"/>
    <s v="R-&gt;L"/>
    <m/>
    <m/>
    <n v="1"/>
    <m/>
    <x v="235"/>
    <n v="4.9299999999999997E-2"/>
    <m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2"/>
    <x v="0"/>
    <s v="111522(拆分PO111535)"/>
    <s v="STK"/>
    <x v="12"/>
    <s v="R-&gt;L"/>
    <m/>
    <m/>
    <n v="1"/>
    <m/>
    <x v="235"/>
    <s v="NM"/>
    <m/>
    <m/>
    <e v="#N/A"/>
    <e v="#N/A"/>
    <e v="#N/A"/>
    <e v="#N/A"/>
    <e v="#N/A"/>
    <e v="#N/A"/>
    <e v="#N/A"/>
    <e v="#N/A"/>
    <e v="#N/A"/>
    <e v="#N/A"/>
    <m/>
    <m/>
    <m/>
    <m/>
  </r>
  <r>
    <n v="2079"/>
    <x v="0"/>
    <x v="0"/>
    <s v="49F104695"/>
    <s v="盟思拓名义下单"/>
    <x v="0"/>
    <s v="NO"/>
    <s v="No"/>
    <s v="Y66403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0"/>
    <x v="0"/>
    <s v="49F104695"/>
    <s v="盟思拓名义下单"/>
    <x v="0"/>
    <s v="NO"/>
    <s v="No"/>
    <s v="Y66404"/>
    <n v="1"/>
    <s v="Yamaha 深圳仓库"/>
    <x v="237"/>
    <s v="RMB单"/>
    <s v="FEB 24"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66"/>
    <x v="3"/>
    <x v="0"/>
    <n v="111536"/>
    <s v="STK"/>
    <x v="1"/>
    <s v="L-&gt;R"/>
    <s v="MVC(with 5 heads) "/>
    <m/>
    <n v="1"/>
    <m/>
    <x v="238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3"/>
    <x v="0"/>
    <n v="111536"/>
    <s v="STK"/>
    <x v="1"/>
    <s v="L-&gt;R"/>
    <s v="MVC(with 5 heads) "/>
    <m/>
    <n v="1"/>
    <m/>
    <x v="238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3"/>
    <x v="0"/>
    <s v="111536(拆分PO111542)"/>
    <s v="STK"/>
    <x v="1"/>
    <s v="R-&gt;L"/>
    <s v="MVC+Coplanarity checker"/>
    <m/>
    <n v="1"/>
    <m/>
    <x v="238"/>
    <m/>
    <m/>
    <m/>
    <s v="JPY"/>
    <s v="C49SZX20230009MZ"/>
    <s v="鸿楠"/>
    <s v="YSM10"/>
    <s v="R-&gt;L"/>
    <s v="MVC"/>
    <s v="WRONG"/>
    <s v="CIF HK"/>
    <d v="2024-01-22T00:00:00"/>
    <s v="Yes"/>
    <m/>
    <m/>
    <m/>
    <m/>
  </r>
  <r>
    <m/>
    <x v="3"/>
    <x v="0"/>
    <s v="111536(拆分PO111542)"/>
    <s v="STK"/>
    <x v="1"/>
    <s v="R-&gt;L"/>
    <s v="MVC"/>
    <m/>
    <n v="1"/>
    <m/>
    <x v="238"/>
    <m/>
    <m/>
    <m/>
    <e v="#N/A"/>
    <e v="#N/A"/>
    <e v="#N/A"/>
    <e v="#N/A"/>
    <e v="#N/A"/>
    <e v="#N/A"/>
    <e v="#N/A"/>
    <e v="#N/A"/>
    <e v="#N/A"/>
    <e v="#N/A"/>
    <m/>
    <m/>
    <m/>
    <m/>
  </r>
  <r>
    <n v="2077"/>
    <x v="3"/>
    <x v="1"/>
    <s v="B28111537"/>
    <s v="鸿楠名义下单"/>
    <x v="13"/>
    <s v="L-&gt;R"/>
    <s v="No"/>
    <m/>
    <n v="1"/>
    <m/>
    <x v="238"/>
    <m/>
    <m/>
    <m/>
    <s v="JPY"/>
    <s v="C28SZX20240011MZ"/>
    <s v="鸿楠"/>
    <s v="YSi-V"/>
    <s v="R-&gt;L"/>
    <s v="No"/>
    <s v="WRONG"/>
    <s v="CIF HK"/>
    <d v="2024-01-22T00:00:00"/>
    <s v="Yes"/>
    <m/>
    <m/>
    <m/>
    <m/>
  </r>
  <r>
    <n v="2064"/>
    <x v="3"/>
    <x v="0"/>
    <s v="111547(拆分PO111552)"/>
    <s v="STK"/>
    <x v="12"/>
    <s v="L-&gt;R"/>
    <s v="No"/>
    <m/>
    <n v="1"/>
    <m/>
    <x v="239"/>
    <n v="4.8899999999999999E-2"/>
    <s v="TBA."/>
    <m/>
    <s v="RMB"/>
    <s v="C49SZX20240007MZ"/>
    <s v="飞霖"/>
    <s v="YSM20R-2"/>
    <s v="L-&gt;R"/>
    <s v="No"/>
    <s v="OK"/>
    <s v="DDP DG"/>
    <d v="2024-01-17T00:00:00"/>
    <s v="No"/>
    <m/>
    <m/>
    <m/>
    <m/>
  </r>
  <r>
    <m/>
    <x v="3"/>
    <x v="0"/>
    <s v="111547(拆分PO111552)"/>
    <s v="STK"/>
    <x v="12"/>
    <s v="L-&gt;R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7(拆分PO111552)"/>
    <s v="STK"/>
    <x v="12"/>
    <s v="R-&gt;L"/>
    <s v="No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L-&gt;R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7"/>
    <s v="STK"/>
    <x v="12"/>
    <s v="R-&gt;L"/>
    <s v="No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s v="ATS15"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46(拆分PO111551)"/>
    <s v="STK"/>
    <x v="1"/>
    <s v="L-&gt;R"/>
    <m/>
    <m/>
    <n v="1"/>
    <m/>
    <x v="239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s v="ATS15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n v="111546"/>
    <s v="STK"/>
    <x v="1"/>
    <s v="L-&gt;R"/>
    <m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16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39" firstHeaderRow="2" firstDataRow="2" firstDataCol="4"/>
  <pivotFields count="29">
    <pivotField compact="0" numFmtId="179" outline="0" showAll="0"/>
    <pivotField axis="axisRow" compact="0" outline="0" showAll="0">
      <items count="6">
        <item x="1"/>
        <item h="1" x="0"/>
        <item x="2"/>
        <item x="3"/>
        <item x="4"/>
        <item t="default"/>
      </items>
    </pivotField>
    <pivotField axis="axisRow" compact="0" numFmtId="179" outline="0" showAll="0" defaultSubtotal="0">
      <items count="4">
        <item m="1" x="3"/>
        <item x="0"/>
        <item x="2"/>
        <item x="1"/>
      </items>
    </pivotField>
    <pivotField compact="0" numFmtId="179" outline="0" showAll="0"/>
    <pivotField compact="0" numFmtId="179" outline="0" showAll="0"/>
    <pivotField axis="axisRow" compact="0" numFmtId="179" outline="0" showAll="0">
      <items count="22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x="19"/>
        <item x="20"/>
        <item t="default"/>
      </items>
    </pivotField>
    <pivotField compact="0" numFmtId="179" outline="0" showAll="0"/>
    <pivotField compact="0" numFmtId="179" outline="0" showAll="0"/>
    <pivotField compact="0" numFmtId="179" outline="0" showAll="0"/>
    <pivotField dataField="1" compact="0" outline="0" showAll="0"/>
    <pivotField compact="0" numFmtId="179" outline="0" showAll="0"/>
    <pivotField axis="axisRow" compact="0" numFmtId="179" outline="0" showAll="0" defaultSubtotal="0">
      <items count="274">
        <item x="149"/>
        <item x="113"/>
        <item x="206"/>
        <item x="207"/>
        <item x="176"/>
        <item x="210"/>
        <item m="1" x="242"/>
        <item m="1" x="263"/>
        <item m="1" x="253"/>
        <item m="1" x="244"/>
        <item m="1" x="266"/>
        <item m="1" x="243"/>
        <item x="1"/>
        <item m="1" x="260"/>
        <item m="1" x="273"/>
        <item m="1" x="249"/>
        <item m="1" x="270"/>
        <item x="2"/>
        <item m="1" x="258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7"/>
        <item m="1" x="265"/>
        <item m="1" x="240"/>
        <item m="1" x="250"/>
        <item x="216"/>
        <item x="217"/>
        <item m="1" x="248"/>
        <item m="1" x="255"/>
        <item m="1" x="252"/>
        <item m="1" x="246"/>
        <item x="137"/>
        <item x="146"/>
        <item x="154"/>
        <item x="155"/>
        <item x="161"/>
        <item x="211"/>
        <item x="218"/>
        <item x="219"/>
        <item x="220"/>
        <item x="221"/>
        <item m="1" x="247"/>
        <item x="222"/>
        <item m="1" x="256"/>
        <item x="224"/>
        <item m="1" x="264"/>
        <item x="223"/>
        <item m="1" x="272"/>
        <item x="225"/>
        <item x="226"/>
        <item x="227"/>
        <item m="1" x="245"/>
        <item m="1" x="254"/>
        <item m="1" x="251"/>
        <item m="1" x="241"/>
        <item x="228"/>
        <item m="1" x="271"/>
        <item x="229"/>
        <item x="230"/>
        <item m="1" x="268"/>
        <item m="1" x="267"/>
        <item x="238"/>
        <item x="231"/>
        <item m="1" x="262"/>
        <item x="232"/>
        <item m="1" x="269"/>
        <item x="234"/>
        <item m="1" x="259"/>
        <item x="235"/>
        <item x="237"/>
        <item x="236"/>
        <item x="239"/>
        <item m="1" x="261"/>
        <item x="233"/>
      </items>
    </pivotField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/>
    <pivotField compact="0" numFmtId="179" outline="0" showAll="0" defaultSubtotal="0"/>
    <pivotField compact="0" numFmtId="179" outline="0" showAll="0" defaultSubtotal="0"/>
  </pivotFields>
  <rowFields count="4">
    <field x="1"/>
    <field x="2"/>
    <field x="5"/>
    <field x="11"/>
  </rowFields>
  <rowItems count="33">
    <i>
      <x/>
      <x v="1"/>
      <x/>
      <x v="248"/>
    </i>
    <i r="3">
      <x v="249"/>
    </i>
    <i r="3">
      <x v="257"/>
    </i>
    <i r="3">
      <x v="262"/>
    </i>
    <i t="default" r="2">
      <x/>
    </i>
    <i r="2">
      <x v="12"/>
      <x v="250"/>
    </i>
    <i r="3">
      <x v="262"/>
    </i>
    <i r="3">
      <x v="273"/>
    </i>
    <i t="default" r="2">
      <x v="12"/>
    </i>
    <i r="2">
      <x v="18"/>
      <x v="262"/>
    </i>
    <i t="default" r="2">
      <x v="18"/>
    </i>
    <i t="default">
      <x/>
    </i>
    <i>
      <x v="2"/>
      <x v="1"/>
      <x/>
      <x v="270"/>
    </i>
    <i t="default" r="2">
      <x/>
    </i>
    <i r="2">
      <x v="12"/>
      <x v="266"/>
    </i>
    <i r="3">
      <x v="268"/>
    </i>
    <i t="default" r="2">
      <x v="12"/>
    </i>
    <i r="1">
      <x v="3"/>
      <x v="14"/>
      <x v="266"/>
    </i>
    <i t="default" r="2">
      <x v="14"/>
    </i>
    <i r="2">
      <x v="19"/>
      <x v="268"/>
    </i>
    <i t="default" r="2">
      <x v="19"/>
    </i>
    <i r="2">
      <x v="20"/>
      <x v="268"/>
    </i>
    <i t="default" r="2">
      <x v="20"/>
    </i>
    <i t="default">
      <x v="2"/>
    </i>
    <i>
      <x v="3"/>
      <x v="1"/>
      <x/>
      <x v="261"/>
    </i>
    <i r="3">
      <x v="271"/>
    </i>
    <i t="default" r="2">
      <x/>
    </i>
    <i r="2">
      <x v="12"/>
      <x v="271"/>
    </i>
    <i t="default" r="2">
      <x v="12"/>
    </i>
    <i r="1">
      <x v="3"/>
      <x v="14"/>
      <x v="261"/>
    </i>
    <i t="default" r="2">
      <x v="14"/>
    </i>
    <i t="default">
      <x v="3"/>
    </i>
    <i t="grand">
      <x/>
    </i>
  </rowItems>
  <colItems count="1">
    <i/>
  </colItems>
  <dataFields count="1">
    <dataField name="计数项:Machine_QTY" fld="9" subtotal="count" baseField="0" baseItem="0"/>
  </dataFields>
  <formats count="11">
    <format dxfId="2307">
      <pivotArea outline="0" collapsedLevelsAreSubtotals="1" fieldPosition="0"/>
    </format>
    <format dxfId="2306">
      <pivotArea dataOnly="0" labelOnly="1" outline="0" axis="axisValues" fieldPosition="0"/>
    </format>
    <format dxfId="2305">
      <pivotArea type="all" dataOnly="0" outline="0" fieldPosition="0"/>
    </format>
    <format dxfId="2304">
      <pivotArea outline="0" collapsedLevelsAreSubtotals="1" fieldPosition="0"/>
    </format>
    <format dxfId="2303">
      <pivotArea dataOnly="0" labelOnly="1" grandRow="1" outline="0" fieldPosition="0"/>
    </format>
    <format dxfId="2302">
      <pivotArea dataOnly="0" labelOnly="1" grandCol="1" outline="0" fieldPosition="0"/>
    </format>
    <format dxfId="2301">
      <pivotArea type="all" dataOnly="0" outline="0" fieldPosition="0"/>
    </format>
    <format dxfId="2300">
      <pivotArea outline="0" collapsedLevelsAreSubtotals="1" fieldPosition="0"/>
    </format>
    <format dxfId="2299">
      <pivotArea type="topRight" dataOnly="0" labelOnly="1" outline="0" fieldPosition="0"/>
    </format>
    <format dxfId="2298">
      <pivotArea dataOnly="0" labelOnly="1" grandRow="1" outline="0" fieldPosition="0"/>
    </format>
    <format dxfId="2297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5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1:T572" firstHeaderRow="1" firstDataRow="1" firstDataCol="1" rowPageCount="1" colPageCount="1"/>
  <pivotFields count="30">
    <pivotField numFmtId="179" showAll="0"/>
    <pivotField axis="axisRow" numFmtId="179" showAll="0">
      <items count="6">
        <item x="3"/>
        <item h="1" x="0"/>
        <item x="1"/>
        <item x="4"/>
        <item x="2"/>
        <item t="default"/>
      </items>
    </pivotField>
    <pivotField numFmtId="179" showAll="0" defaultSubtotal="0"/>
    <pivotField numFmtId="179" showAll="0"/>
    <pivotField numFmtId="179" showAll="0"/>
    <pivotField axis="axisRow" numFmtId="179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/>
    <pivotField numFmtId="179" showAll="0" defaultSubtotal="0"/>
    <pivotField numFmtId="179" showAll="0"/>
    <pivotField numFmtId="179" showAll="0"/>
    <pivotField axis="axisPage" dataField="1" numFmtId="179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79" showAll="0"/>
    <pivotField numFmtId="179" showAll="0"/>
    <pivotField numFmtId="179" showAll="0"/>
    <pivotField numFmtId="179" showAll="0"/>
    <pivotField showAll="0"/>
    <pivotField numFmtId="179" showAll="0"/>
    <pivotField axis="axisRow" numFmtId="179" showAll="0">
      <items count="5">
        <item h="1" x="2"/>
        <item h="1" x="0"/>
        <item x="1"/>
        <item x="3"/>
        <item t="default"/>
      </items>
    </pivotField>
    <pivotField numFmtId="179" showAll="0"/>
    <pivotField numFmtId="179" showAll="0"/>
    <pivotField numFmtId="179" showAll="0"/>
    <pivotField numFmtId="179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54">
      <pivotArea outline="0" collapsedLevelsAreSubtotals="1" fieldPosition="0"/>
    </format>
    <format dxfId="453">
      <pivotArea type="all" dataOnly="0" outline="0" fieldPosition="0"/>
    </format>
    <format dxfId="452">
      <pivotArea outline="0" collapsedLevelsAreSubtotals="1" fieldPosition="0"/>
    </format>
    <format dxfId="451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50">
      <pivotArea dataOnly="0" labelOnly="1" grandRow="1" outline="0" fieldPosition="0"/>
    </format>
    <format dxfId="449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48">
      <pivotArea dataOnly="0" labelOnly="1" grandCol="1" outline="0" fieldPosition="0"/>
    </format>
    <format dxfId="447">
      <pivotArea collapsedLevelsAreSubtotals="1" fieldPosition="0">
        <references count="1">
          <reference field="5" count="1">
            <x v="4"/>
          </reference>
        </references>
      </pivotArea>
    </format>
    <format dxfId="446">
      <pivotArea dataOnly="0" labelOnly="1" fieldPosition="0">
        <references count="1">
          <reference field="5" count="1">
            <x v="4"/>
          </reference>
        </references>
      </pivotArea>
    </format>
    <format dxfId="445">
      <pivotArea collapsedLevelsAreSubtotals="1" fieldPosition="0">
        <references count="1">
          <reference field="5" count="1">
            <x v="2"/>
          </reference>
        </references>
      </pivotArea>
    </format>
    <format dxfId="444">
      <pivotArea dataOnly="0" labelOnly="1" fieldPosition="0">
        <references count="1">
          <reference field="5" count="1">
            <x v="2"/>
          </reference>
        </references>
      </pivotArea>
    </format>
    <format dxfId="443">
      <pivotArea collapsedLevelsAreSubtotals="1" fieldPosition="0">
        <references count="1">
          <reference field="5" count="1">
            <x v="5"/>
          </reference>
        </references>
      </pivotArea>
    </format>
    <format dxfId="442">
      <pivotArea dataOnly="0" labelOnly="1" fieldPosition="0">
        <references count="1">
          <reference field="5" count="1">
            <x v="5"/>
          </reference>
        </references>
      </pivotArea>
    </format>
    <format dxfId="441">
      <pivotArea collapsedLevelsAreSubtotals="1" fieldPosition="0">
        <references count="1">
          <reference field="5" count="1">
            <x v="8"/>
          </reference>
        </references>
      </pivotArea>
    </format>
    <format dxfId="440">
      <pivotArea dataOnly="0" labelOnly="1" fieldPosition="0">
        <references count="1">
          <reference field="5" count="1">
            <x v="8"/>
          </reference>
        </references>
      </pivotArea>
    </format>
    <format dxfId="439">
      <pivotArea type="all" dataOnly="0" outline="0" fieldPosition="0"/>
    </format>
    <format dxfId="438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37">
      <pivotArea dataOnly="0" labelOnly="1" grandRow="1" outline="0" fieldPosition="0"/>
    </format>
    <format dxfId="436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35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34">
      <pivotArea dataOnly="0" labelOnly="1" grandCol="1" outline="0" fieldPosition="0"/>
    </format>
    <format dxfId="433">
      <pivotArea collapsedLevelsAreSubtotals="1" fieldPosition="0">
        <references count="1">
          <reference field="5" count="1">
            <x v="12"/>
          </reference>
        </references>
      </pivotArea>
    </format>
    <format dxfId="432">
      <pivotArea dataOnly="0" labelOnly="1" fieldPosition="0">
        <references count="1">
          <reference field="5" count="1">
            <x v="12"/>
          </reference>
        </references>
      </pivotArea>
    </format>
    <format dxfId="431">
      <pivotArea outline="0" collapsedLevelsAreSubtotals="1" fieldPosition="0"/>
    </format>
    <format dxfId="430">
      <pivotArea dataOnly="0" labelOnly="1" outline="0" fieldPosition="0">
        <references count="1">
          <reference field="17" count="0"/>
        </references>
      </pivotArea>
    </format>
    <format dxfId="42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B74-1B49-444E-A831-2B371CAB5AB9}" name="数据透视表1" cacheId="8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7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428">
      <pivotArea outline="0" fieldPosition="0">
        <references count="1">
          <reference field="4294967294" count="1" selected="0">
            <x v="1"/>
          </reference>
        </references>
      </pivotArea>
    </format>
    <format dxfId="427">
      <pivotArea type="topRight" dataOnly="0" labelOnly="1" outline="0" fieldPosition="0"/>
    </format>
    <format dxfId="4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25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424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423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22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421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42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419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418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17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416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415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14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413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412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411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10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409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408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407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406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405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404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403">
      <pivotArea dataOnly="0" labelOnly="1" outline="0" fieldPosition="0">
        <references count="1">
          <reference field="8" count="1">
            <x v="215"/>
          </reference>
        </references>
      </pivotArea>
    </format>
    <format dxfId="402">
      <pivotArea dataOnly="0" labelOnly="1" outline="0" fieldPosition="0">
        <references count="1">
          <reference field="8" count="1">
            <x v="229"/>
          </reference>
        </references>
      </pivotArea>
    </format>
    <format dxfId="401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400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399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398">
      <pivotArea dataOnly="0" labelOnly="1" outline="0" fieldPosition="0">
        <references count="1">
          <reference field="8" count="1">
            <x v="168"/>
          </reference>
        </references>
      </pivotArea>
    </format>
    <format dxfId="397">
      <pivotArea dataOnly="0" labelOnly="1" outline="0" fieldPosition="0">
        <references count="1">
          <reference field="8" count="1">
            <x v="165"/>
          </reference>
        </references>
      </pivotArea>
    </format>
    <format dxfId="396">
      <pivotArea dataOnly="0" labelOnly="1" outline="0" fieldPosition="0">
        <references count="1">
          <reference field="8" count="1">
            <x v="169"/>
          </reference>
        </references>
      </pivotArea>
    </format>
    <format dxfId="395">
      <pivotArea dataOnly="0" labelOnly="1" outline="0" fieldPosition="0">
        <references count="1">
          <reference field="8" count="1">
            <x v="164"/>
          </reference>
        </references>
      </pivotArea>
    </format>
    <format dxfId="394">
      <pivotArea dataOnly="0" labelOnly="1" outline="0" fieldPosition="0">
        <references count="1">
          <reference field="8" count="1">
            <x v="167"/>
          </reference>
        </references>
      </pivotArea>
    </format>
    <format dxfId="393">
      <pivotArea dataOnly="0" labelOnly="1" outline="0" fieldPosition="0">
        <references count="1">
          <reference field="8" count="1">
            <x v="166"/>
          </reference>
        </references>
      </pivotArea>
    </format>
    <format dxfId="392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1">
      <pivotArea dataOnly="0" labelOnly="1" outline="0" fieldPosition="0">
        <references count="1">
          <reference field="8" count="1">
            <x v="247"/>
          </reference>
        </references>
      </pivotArea>
    </format>
    <format dxfId="390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89">
      <pivotArea dataOnly="0" labelOnly="1" outline="0" fieldPosition="0">
        <references count="1">
          <reference field="8" count="1">
            <x v="247"/>
          </reference>
        </references>
      </pivotArea>
    </format>
    <format dxfId="388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387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386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385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384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383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382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381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380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379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378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377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376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375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374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73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72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371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370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369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68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367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66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65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364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63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62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61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360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59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58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57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56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55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354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353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52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51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50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349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348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47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46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45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44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43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42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41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340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339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338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337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336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335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334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33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32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31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30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29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28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327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26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25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324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323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22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321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320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319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318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17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16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15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14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13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12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311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310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09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308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307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306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305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304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303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302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301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300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299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298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297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296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295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294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293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292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91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90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289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88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287">
      <pivotArea type="origin" dataOnly="0" labelOnly="1" outline="0" fieldPosition="0"/>
    </format>
    <format dxfId="286">
      <pivotArea field="8" type="button" dataOnly="0" labelOnly="1" outline="0" axis="axisRow" fieldPosition="0"/>
    </format>
    <format dxfId="285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84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283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282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281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280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79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27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6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277">
      <pivotArea outline="0" fieldPosition="0">
        <references count="1">
          <reference field="4294967294" count="1" selected="0">
            <x v="1"/>
          </reference>
        </references>
      </pivotArea>
    </format>
    <format dxfId="276">
      <pivotArea type="topRight" dataOnly="0" labelOnly="1" outline="0" fieldPosition="0"/>
    </format>
    <format dxfId="27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7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27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27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7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6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6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6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26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265">
      <pivotArea outline="0" fieldPosition="0">
        <references count="1">
          <reference field="12" count="1" selected="0" defaultSubtotal="1">
            <x v="10"/>
          </reference>
        </references>
      </pivotArea>
    </format>
    <format dxfId="264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263">
      <pivotArea outline="0" fieldPosition="0">
        <references count="1">
          <reference field="12" count="1" selected="0" defaultSubtotal="1">
            <x v="13"/>
          </reference>
        </references>
      </pivotArea>
    </format>
    <format dxfId="262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261">
      <pivotArea outline="0" fieldPosition="0">
        <references count="1">
          <reference field="12" count="1" selected="0" defaultSubtotal="1">
            <x v="14"/>
          </reference>
        </references>
      </pivotArea>
    </format>
    <format dxfId="260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259">
      <pivotArea outline="0" fieldPosition="0">
        <references count="1">
          <reference field="12" count="1" selected="0" defaultSubtotal="1">
            <x v="17"/>
          </reference>
        </references>
      </pivotArea>
    </format>
    <format dxfId="258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257">
      <pivotArea outline="0" fieldPosition="0">
        <references count="1">
          <reference field="12" count="1" selected="0" defaultSubtotal="1">
            <x v="9"/>
          </reference>
        </references>
      </pivotArea>
    </format>
    <format dxfId="256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255">
      <pivotArea outline="0" fieldPosition="0">
        <references count="1">
          <reference field="12" count="1" selected="0" defaultSubtotal="1">
            <x v="0"/>
          </reference>
        </references>
      </pivotArea>
    </format>
    <format dxfId="254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253">
      <pivotArea type="origin" dataOnly="0" labelOnly="1" outline="0" fieldPosition="0"/>
    </format>
    <format dxfId="252">
      <pivotArea field="8" type="button" dataOnly="0" labelOnly="1" outline="0" axis="axisRow" fieldPosition="0"/>
    </format>
    <format dxfId="251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250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249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24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4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247">
      <pivotArea outline="0" fieldPosition="0">
        <references count="1">
          <reference field="4294967294" count="1" selected="0">
            <x v="1"/>
          </reference>
        </references>
      </pivotArea>
    </format>
    <format dxfId="246">
      <pivotArea type="topRight" dataOnly="0" labelOnly="1" outline="0" fieldPosition="0"/>
    </format>
    <format dxfId="24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4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24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24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4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39">
      <pivotArea field="8" type="button" dataOnly="0" labelOnly="1" outline="0" axis="axisRow" fieldPosition="1"/>
    </format>
    <format dxfId="23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37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36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235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234">
      <pivotArea outline="0" fieldPosition="0">
        <references count="1">
          <reference field="10" count="1" selected="0" defaultSubtotal="1">
            <x v="46"/>
          </reference>
        </references>
      </pivotArea>
    </format>
    <format dxfId="233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232">
      <pivotArea outline="0" fieldPosition="0">
        <references count="1">
          <reference field="10" count="1" selected="0" defaultSubtotal="1">
            <x v="52"/>
          </reference>
        </references>
      </pivotArea>
    </format>
    <format dxfId="231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230">
      <pivotArea outline="0" fieldPosition="0">
        <references count="1">
          <reference field="10" count="1" selected="0" defaultSubtotal="1">
            <x v="56"/>
          </reference>
        </references>
      </pivotArea>
    </format>
    <format dxfId="229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228">
      <pivotArea outline="0" fieldPosition="0">
        <references count="1">
          <reference field="10" count="1" selected="0" defaultSubtotal="1">
            <x v="57"/>
          </reference>
        </references>
      </pivotArea>
    </format>
    <format dxfId="227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226">
      <pivotArea outline="0" fieldPosition="0">
        <references count="1">
          <reference field="10" count="1" selected="0" defaultSubtotal="1">
            <x v="64"/>
          </reference>
        </references>
      </pivotArea>
    </format>
    <format dxfId="225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224">
      <pivotArea outline="0" fieldPosition="0">
        <references count="1">
          <reference field="10" count="1" selected="0" defaultSubtotal="1">
            <x v="60"/>
          </reference>
        </references>
      </pivotArea>
    </format>
    <format dxfId="223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222">
      <pivotArea outline="0" fieldPosition="0">
        <references count="1">
          <reference field="10" count="1" selected="0" defaultSubtotal="1">
            <x v="61"/>
          </reference>
        </references>
      </pivotArea>
    </format>
    <format dxfId="221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220">
      <pivotArea outline="0" fieldPosition="0">
        <references count="1">
          <reference field="10" count="1" selected="0" defaultSubtotal="1">
            <x v="62"/>
          </reference>
        </references>
      </pivotArea>
    </format>
    <format dxfId="219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218">
      <pivotArea outline="0" fieldPosition="0">
        <references count="1">
          <reference field="10" count="1" selected="0" defaultSubtotal="1">
            <x v="63"/>
          </reference>
        </references>
      </pivotArea>
    </format>
    <format dxfId="217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216">
      <pivotArea outline="0" fieldPosition="0">
        <references count="1">
          <reference field="10" count="1" selected="0" defaultSubtotal="1">
            <x v="70"/>
          </reference>
        </references>
      </pivotArea>
    </format>
    <format dxfId="215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214">
      <pivotArea outline="0" fieldPosition="0">
        <references count="1">
          <reference field="10" count="1" selected="0" defaultSubtotal="1">
            <x v="74"/>
          </reference>
        </references>
      </pivotArea>
    </format>
    <format dxfId="213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212">
      <pivotArea outline="0" fieldPosition="0">
        <references count="1">
          <reference field="10" count="1" selected="0" defaultSubtotal="1">
            <x v="77"/>
          </reference>
        </references>
      </pivotArea>
    </format>
    <format dxfId="211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210">
      <pivotArea outline="0" fieldPosition="0">
        <references count="1">
          <reference field="10" count="1" selected="0" defaultSubtotal="1">
            <x v="78"/>
          </reference>
        </references>
      </pivotArea>
    </format>
    <format dxfId="209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208">
      <pivotArea outline="0" fieldPosition="0">
        <references count="1">
          <reference field="10" count="1" selected="0" defaultSubtotal="1">
            <x v="84"/>
          </reference>
        </references>
      </pivotArea>
    </format>
    <format dxfId="207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206">
      <pivotArea outline="0" fieldPosition="0">
        <references count="1">
          <reference field="10" count="1" selected="0" defaultSubtotal="1">
            <x v="82"/>
          </reference>
        </references>
      </pivotArea>
    </format>
    <format dxfId="205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204">
      <pivotArea outline="0" fieldPosition="0">
        <references count="1">
          <reference field="10" count="1" selected="0" defaultSubtotal="1">
            <x v="83"/>
          </reference>
        </references>
      </pivotArea>
    </format>
    <format dxfId="203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202">
      <pivotArea outline="0" fieldPosition="0">
        <references count="1">
          <reference field="10" count="1" selected="0" defaultSubtotal="1">
            <x v="85"/>
          </reference>
        </references>
      </pivotArea>
    </format>
    <format dxfId="201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200">
      <pivotArea dataOnly="0" labelOnly="1" outline="0" fieldPosition="0">
        <references count="1">
          <reference field="10" count="1">
            <x v="77"/>
          </reference>
        </references>
      </pivotArea>
    </format>
    <format dxfId="199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98">
      <pivotArea outline="0" fieldPosition="0">
        <references count="1">
          <reference field="10" count="1" selected="0" defaultSubtotal="1">
            <x v="86"/>
          </reference>
        </references>
      </pivotArea>
    </format>
    <format dxfId="197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196">
      <pivotArea type="origin" dataOnly="0" labelOnly="1" outline="0" fieldPosition="0"/>
    </format>
    <format dxfId="195">
      <pivotArea field="10" type="button" dataOnly="0" labelOnly="1" outline="0" axis="axisRow" fieldPosition="3"/>
    </format>
    <format dxfId="194">
      <pivotArea dataOnly="0" labelOnly="1" outline="0" fieldPosition="0">
        <references count="1">
          <reference field="10" count="1">
            <x v="46"/>
          </reference>
        </references>
      </pivotArea>
    </format>
    <format dxfId="193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92">
      <pivotArea dataOnly="0" labelOnly="1" outline="0" fieldPosition="0">
        <references count="1">
          <reference field="10" count="1">
            <x v="52"/>
          </reference>
        </references>
      </pivotArea>
    </format>
    <format dxfId="191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90">
      <pivotArea dataOnly="0" labelOnly="1" outline="0" fieldPosition="0">
        <references count="1">
          <reference field="10" count="1">
            <x v="56"/>
          </reference>
        </references>
      </pivotArea>
    </format>
    <format dxfId="189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88">
      <pivotArea dataOnly="0" labelOnly="1" outline="0" fieldPosition="0">
        <references count="1">
          <reference field="10" count="1">
            <x v="57"/>
          </reference>
        </references>
      </pivotArea>
    </format>
    <format dxfId="187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86">
      <pivotArea dataOnly="0" labelOnly="1" outline="0" fieldPosition="0">
        <references count="1">
          <reference field="10" count="1">
            <x v="60"/>
          </reference>
        </references>
      </pivotArea>
    </format>
    <format dxfId="185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84">
      <pivotArea dataOnly="0" labelOnly="1" outline="0" fieldPosition="0">
        <references count="1">
          <reference field="10" count="1">
            <x v="74"/>
          </reference>
        </references>
      </pivotArea>
    </format>
    <format dxfId="183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82">
      <pivotArea dataOnly="0" labelOnly="1" outline="0" fieldPosition="0">
        <references count="1">
          <reference field="10" count="1">
            <x v="78"/>
          </reference>
        </references>
      </pivotArea>
    </format>
    <format dxfId="181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80">
      <pivotArea dataOnly="0" labelOnly="1" outline="0" fieldPosition="0">
        <references count="1">
          <reference field="10" count="1">
            <x v="82"/>
          </reference>
        </references>
      </pivotArea>
    </format>
    <format dxfId="179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78">
      <pivotArea dataOnly="0" labelOnly="1" outline="0" fieldPosition="0">
        <references count="1">
          <reference field="10" count="1">
            <x v="83"/>
          </reference>
        </references>
      </pivotArea>
    </format>
    <format dxfId="177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76">
      <pivotArea dataOnly="0" labelOnly="1" outline="0" fieldPosition="0">
        <references count="1">
          <reference field="10" count="1">
            <x v="84"/>
          </reference>
        </references>
      </pivotArea>
    </format>
    <format dxfId="175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74">
      <pivotArea dataOnly="0" labelOnly="1" outline="0" fieldPosition="0">
        <references count="1">
          <reference field="10" count="1">
            <x v="85"/>
          </reference>
        </references>
      </pivotArea>
    </format>
    <format dxfId="173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72">
      <pivotArea type="origin" dataOnly="0" labelOnly="1" outline="0" fieldPosition="0"/>
    </format>
    <format dxfId="171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70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69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68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67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66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65">
      <pivotArea outline="0" fieldPosition="0">
        <references count="1">
          <reference field="12" count="1" selected="0" defaultSubtotal="1">
            <x v="18"/>
          </reference>
        </references>
      </pivotArea>
    </format>
    <format dxfId="164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163">
      <pivotArea dataOnly="0" labelOnly="1" outline="0" fieldPosition="0">
        <references count="1">
          <reference field="0" count="0"/>
        </references>
      </pivotArea>
    </format>
    <format dxfId="162">
      <pivotArea outline="0" fieldPosition="0">
        <references count="1">
          <reference field="12" count="1" selected="0" defaultSubtotal="1">
            <x v="9"/>
          </reference>
        </references>
      </pivotArea>
    </format>
    <format dxfId="161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60">
      <pivotArea outline="0" fieldPosition="0">
        <references count="1">
          <reference field="12" count="1" selected="0" defaultSubtotal="1">
            <x v="2"/>
          </reference>
        </references>
      </pivotArea>
    </format>
    <format dxfId="159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158">
      <pivotArea outline="0" fieldPosition="0">
        <references count="1">
          <reference field="12" count="1" selected="0" defaultSubtotal="1">
            <x v="0"/>
          </reference>
        </references>
      </pivotArea>
    </format>
    <format dxfId="157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56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0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155">
      <pivotArea outline="0" collapsedLevelsAreSubtotals="1" fieldPosition="0"/>
    </format>
    <format dxfId="154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153">
      <pivotArea outline="0" collapsedLevelsAreSubtotals="1" fieldPosition="0"/>
    </format>
    <format dxfId="152">
      <pivotArea dataOnly="0" labelOnly="1" outline="0" axis="axisValues" fieldPosition="0"/>
    </format>
    <format dxfId="151">
      <pivotArea type="all" dataOnly="0" outline="0" fieldPosition="0"/>
    </format>
    <format dxfId="150">
      <pivotArea outline="0" collapsedLevelsAreSubtotals="1" fieldPosition="0"/>
    </format>
    <format dxfId="149">
      <pivotArea type="origin" dataOnly="0" labelOnly="1" outline="0" fieldPosition="0"/>
    </format>
    <format dxfId="148">
      <pivotArea field="1" type="button" dataOnly="0" labelOnly="1" outline="0" axis="axisCol" fieldPosition="0"/>
    </format>
    <format dxfId="147">
      <pivotArea type="topRight" dataOnly="0" labelOnly="1" outline="0" fieldPosition="0"/>
    </format>
    <format dxfId="146">
      <pivotArea field="0" type="button" dataOnly="0" labelOnly="1" outline="0" axis="axisRow" fieldPosition="0"/>
    </format>
    <format dxfId="145">
      <pivotArea dataOnly="0" labelOnly="1" fieldPosition="0">
        <references count="1">
          <reference field="0" count="0"/>
        </references>
      </pivotArea>
    </format>
    <format dxfId="144">
      <pivotArea dataOnly="0" labelOnly="1" grandRow="1" outline="0" fieldPosition="0"/>
    </format>
    <format dxfId="143">
      <pivotArea dataOnly="0" labelOnly="1" fieldPosition="0">
        <references count="1">
          <reference field="1" count="0"/>
        </references>
      </pivotArea>
    </format>
    <format dxfId="142">
      <pivotArea dataOnly="0" labelOnly="1" grandCol="1" outline="0" fieldPosition="0"/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type="origin" dataOnly="0" labelOnly="1" outline="0" fieldPosition="0"/>
    </format>
    <format dxfId="138">
      <pivotArea field="1" type="button" dataOnly="0" labelOnly="1" outline="0" axis="axisCol" fieldPosition="0"/>
    </format>
    <format dxfId="137">
      <pivotArea type="topRight" dataOnly="0" labelOnly="1" outline="0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0"/>
        </references>
      </pivotArea>
    </format>
    <format dxfId="134">
      <pivotArea dataOnly="0" labelOnly="1" grandRow="1" outline="0" fieldPosition="0"/>
    </format>
    <format dxfId="133">
      <pivotArea dataOnly="0" labelOnly="1" fieldPosition="0">
        <references count="1">
          <reference field="1" count="0"/>
        </references>
      </pivotArea>
    </format>
    <format dxfId="13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131">
      <pivotArea collapsedLevelsAreSubtotals="1" fieldPosition="0">
        <references count="1">
          <reference field="3" count="1">
            <x v="0"/>
          </reference>
        </references>
      </pivotArea>
    </format>
    <format dxfId="130">
      <pivotArea collapsedLevelsAreSubtotals="1" fieldPosition="0">
        <references count="1">
          <reference field="3" count="1">
            <x v="1"/>
          </reference>
        </references>
      </pivotArea>
    </format>
    <format dxfId="129">
      <pivotArea collapsedLevelsAreSubtotals="1" fieldPosition="0">
        <references count="1">
          <reference field="3" count="1">
            <x v="2"/>
          </reference>
        </references>
      </pivotArea>
    </format>
    <format dxfId="128">
      <pivotArea collapsedLevelsAreSubtotals="1" fieldPosition="0">
        <references count="1">
          <reference field="3" count="1">
            <x v="3"/>
          </reference>
        </references>
      </pivotArea>
    </format>
    <format dxfId="127">
      <pivotArea collapsedLevelsAreSubtotals="1" fieldPosition="0">
        <references count="1">
          <reference field="3" count="1">
            <x v="4"/>
          </reference>
        </references>
      </pivotArea>
    </format>
    <format dxfId="126">
      <pivotArea collapsedLevelsAreSubtotals="1" fieldPosition="0">
        <references count="1">
          <reference field="3" count="1">
            <x v="5"/>
          </reference>
        </references>
      </pivotArea>
    </format>
    <format dxfId="125">
      <pivotArea collapsedLevelsAreSubtotals="1" fieldPosition="0">
        <references count="1">
          <reference field="3" count="1">
            <x v="6"/>
          </reference>
        </references>
      </pivotArea>
    </format>
    <format dxfId="124">
      <pivotArea collapsedLevelsAreSubtotals="1" fieldPosition="0">
        <references count="1">
          <reference field="3" count="1">
            <x v="7"/>
          </reference>
        </references>
      </pivotArea>
    </format>
    <format dxfId="123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22">
      <pivotArea dataOnly="0" labelOnly="1" outline="0" axis="axisValues" fieldPosition="0"/>
    </format>
    <format dxfId="121">
      <pivotArea outline="0" fieldPosition="0">
        <references count="1">
          <reference field="0" count="0" selected="0"/>
        </references>
      </pivotArea>
    </format>
    <format dxfId="120">
      <pivotArea field="0" type="button" dataOnly="0" labelOnly="1" outline="0" axis="axisCol" fieldPosition="0"/>
    </format>
    <format dxfId="119">
      <pivotArea type="topRight" dataOnly="0" labelOnly="1" outline="0" fieldPosition="0"/>
    </format>
    <format dxfId="118">
      <pivotArea dataOnly="0" labelOnly="1" outline="0" fieldPosition="0">
        <references count="1">
          <reference field="0" count="0"/>
        </references>
      </pivotArea>
    </format>
    <format dxfId="117">
      <pivotArea grandCol="1" outline="0" collapsedLevelsAreSubtotals="1" fieldPosition="0"/>
    </format>
    <format dxfId="116">
      <pivotArea type="origin" dataOnly="0" labelOnly="1" outline="0" fieldPosition="0"/>
    </format>
    <format dxfId="115">
      <pivotArea field="3" type="button" dataOnly="0" labelOnly="1" outline="0" axis="axisRow" fieldPosition="0"/>
    </format>
    <format dxfId="114">
      <pivotArea dataOnly="0" labelOnly="1" outline="0" fieldPosition="0">
        <references count="1">
          <reference field="3" count="0"/>
        </references>
      </pivotArea>
    </format>
    <format dxfId="113">
      <pivotArea dataOnly="0" labelOnly="1" grandRow="1" outline="0" fieldPosition="0"/>
    </format>
    <format dxfId="112">
      <pivotArea dataOnly="0" labelOnly="1" outline="0" fieldPosition="0">
        <references count="1">
          <reference field="3" count="1">
            <x v="19"/>
          </reference>
        </references>
      </pivotArea>
    </format>
    <format dxfId="111">
      <pivotArea dataOnly="0" labelOnly="1" outline="0" fieldPosition="0">
        <references count="1">
          <reference field="3" count="1">
            <x v="22"/>
          </reference>
        </references>
      </pivotArea>
    </format>
    <format dxfId="110">
      <pivotArea dataOnly="0" labelOnly="1" outline="0" fieldPosition="0">
        <references count="1">
          <reference field="3" count="1">
            <x v="23"/>
          </reference>
        </references>
      </pivotArea>
    </format>
    <format dxfId="109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108">
      <pivotArea dataOnly="0" labelOnly="1" outline="0" fieldPosition="0">
        <references count="1">
          <reference field="3" count="1">
            <x v="27"/>
          </reference>
        </references>
      </pivotArea>
    </format>
    <format dxfId="107">
      <pivotArea dataOnly="0" labelOnly="1" outline="0" fieldPosition="0">
        <references count="1">
          <reference field="3" count="1">
            <x v="28"/>
          </reference>
        </references>
      </pivotArea>
    </format>
    <format dxfId="106">
      <pivotArea dataOnly="0" labelOnly="1" outline="0" fieldPosition="0">
        <references count="1">
          <reference field="3" count="1">
            <x v="29"/>
          </reference>
        </references>
      </pivotArea>
    </format>
    <format dxfId="105">
      <pivotArea dataOnly="0" labelOnly="1" outline="0" fieldPosition="0">
        <references count="1">
          <reference field="3" count="1">
            <x v="30"/>
          </reference>
        </references>
      </pivotArea>
    </format>
    <format dxfId="104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2117931545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2117931545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69"/>
  <sheetViews>
    <sheetView topLeftCell="A3" workbookViewId="0">
      <selection activeCell="G32" sqref="G32"/>
    </sheetView>
  </sheetViews>
  <sheetFormatPr defaultColWidth="9" defaultRowHeight="14.25"/>
  <cols>
    <col min="1" max="1" width="13.25" style="1" customWidth="1"/>
    <col min="2" max="2" width="6" style="342" customWidth="1"/>
    <col min="3" max="3" width="14.75" style="1" customWidth="1"/>
    <col min="4" max="4" width="16.375" style="382" customWidth="1"/>
    <col min="5" max="5" width="9" style="1" customWidth="1"/>
    <col min="6" max="6" width="7.75" style="1" bestFit="1" customWidth="1"/>
    <col min="7" max="7" width="6.75" style="1" customWidth="1"/>
    <col min="8" max="8" width="5.25" style="1" customWidth="1"/>
    <col min="9" max="9" width="15.75" style="1" customWidth="1"/>
    <col min="10" max="10" width="6.75" style="1" customWidth="1"/>
    <col min="11" max="11" width="11.75" style="1" customWidth="1"/>
    <col min="12" max="13" width="12.25" style="1" customWidth="1"/>
    <col min="14" max="14" width="16.25" style="1" customWidth="1"/>
    <col min="15" max="15" width="17.25" style="1" customWidth="1"/>
    <col min="16" max="16" width="34.25" style="1" customWidth="1"/>
    <col min="17" max="17" width="35.25" style="1" customWidth="1"/>
    <col min="18" max="18" width="6.25" style="1" customWidth="1"/>
    <col min="19" max="19" width="14" style="1" bestFit="1" customWidth="1"/>
    <col min="20" max="20" width="11.25" style="1" bestFit="1" customWidth="1"/>
    <col min="21" max="21" width="16.25" style="1" bestFit="1" customWidth="1"/>
    <col min="22" max="23" width="5.75" style="1" customWidth="1"/>
    <col min="24" max="24" width="6.25" style="1" customWidth="1"/>
    <col min="25" max="25" width="14" style="1" bestFit="1" customWidth="1"/>
    <col min="26" max="26" width="7.25" style="1" customWidth="1"/>
    <col min="27" max="27" width="5.75" style="1" customWidth="1"/>
    <col min="28" max="28" width="17.75" style="1" bestFit="1" customWidth="1"/>
    <col min="29" max="30" width="5.75" style="1" customWidth="1"/>
    <col min="31" max="32" width="7.75" style="1" customWidth="1"/>
    <col min="33" max="33" width="6.25" style="1" customWidth="1"/>
    <col min="34" max="34" width="10.25" style="1" bestFit="1" customWidth="1"/>
    <col min="35" max="35" width="9.75" style="1" bestFit="1" customWidth="1"/>
    <col min="36" max="39" width="7.75" style="1" customWidth="1"/>
    <col min="40" max="40" width="35.75" style="1" bestFit="1" customWidth="1"/>
    <col min="41" max="41" width="13.25" style="1" bestFit="1" customWidth="1"/>
    <col min="42" max="42" width="15.25" style="1" bestFit="1" customWidth="1"/>
    <col min="43" max="43" width="12.75" style="1" bestFit="1" customWidth="1"/>
    <col min="44" max="45" width="9.25" style="1" bestFit="1" customWidth="1"/>
    <col min="46" max="46" width="16.25" style="1" bestFit="1" customWidth="1"/>
    <col min="47" max="47" width="5.75" style="1" customWidth="1"/>
    <col min="48" max="49" width="7.75" style="1" customWidth="1"/>
    <col min="50" max="50" width="5.75" style="1" customWidth="1"/>
    <col min="51" max="51" width="17.75" style="1" bestFit="1" customWidth="1"/>
    <col min="52" max="53" width="5.75" style="1" customWidth="1"/>
    <col min="54" max="54" width="7.75" style="1" customWidth="1"/>
    <col min="55" max="55" width="5.75" style="1" customWidth="1"/>
    <col min="56" max="56" width="9.75" style="1" bestFit="1" customWidth="1"/>
    <col min="57" max="57" width="7.75" style="1" customWidth="1"/>
    <col min="58" max="59" width="5.75" style="1" customWidth="1"/>
    <col min="60" max="60" width="7.75" style="1" customWidth="1"/>
    <col min="61" max="61" width="5.75" style="1" customWidth="1"/>
    <col min="62" max="62" width="7.75" style="1" customWidth="1"/>
    <col min="63" max="63" width="6.25" style="1" customWidth="1"/>
    <col min="64" max="64" width="15.25" style="1" bestFit="1" customWidth="1"/>
    <col min="65" max="65" width="10" style="1" bestFit="1" customWidth="1"/>
    <col min="66" max="67" width="5.75" style="1" customWidth="1"/>
    <col min="68" max="68" width="6.25" style="1" customWidth="1"/>
    <col min="69" max="69" width="8" style="1" customWidth="1"/>
    <col min="70" max="70" width="13.25" style="1" bestFit="1" customWidth="1"/>
    <col min="71" max="71" width="5.75" style="1" customWidth="1"/>
    <col min="72" max="16384" width="9" style="1"/>
  </cols>
  <sheetData>
    <row r="1" spans="1:14">
      <c r="A1"/>
      <c r="B1" s="256"/>
      <c r="C1"/>
      <c r="D1" s="381" t="s">
        <v>4372</v>
      </c>
      <c r="E1"/>
      <c r="F1"/>
      <c r="G1"/>
      <c r="H1"/>
      <c r="I1" s="18"/>
      <c r="J1" s="18"/>
    </row>
    <row r="2" spans="1:14" ht="15">
      <c r="A2"/>
      <c r="B2" s="256"/>
      <c r="C2"/>
      <c r="D2" s="381"/>
      <c r="E2"/>
      <c r="F2"/>
      <c r="G2"/>
      <c r="H2"/>
      <c r="I2" s="19" t="s">
        <v>235</v>
      </c>
      <c r="J2" s="19" t="s">
        <v>236</v>
      </c>
      <c r="K2" s="19" t="s">
        <v>237</v>
      </c>
      <c r="L2" s="20" t="s">
        <v>238</v>
      </c>
      <c r="M2" s="20" t="s">
        <v>239</v>
      </c>
      <c r="N2" s="21" t="s">
        <v>240</v>
      </c>
    </row>
    <row r="3" spans="1:14" ht="14.25" customHeight="1">
      <c r="A3"/>
      <c r="B3" s="256"/>
      <c r="C3"/>
      <c r="D3" s="381"/>
      <c r="E3"/>
      <c r="F3"/>
      <c r="G3"/>
      <c r="I3" s="22" t="s">
        <v>241</v>
      </c>
      <c r="J3" s="22">
        <v>2</v>
      </c>
      <c r="K3" s="22">
        <v>15</v>
      </c>
      <c r="L3" s="23">
        <v>0</v>
      </c>
      <c r="M3" s="23" t="s">
        <v>242</v>
      </c>
      <c r="N3" s="24">
        <v>6</v>
      </c>
    </row>
    <row r="4" spans="1:14" ht="14.25" customHeight="1">
      <c r="A4"/>
      <c r="B4" s="256"/>
      <c r="C4"/>
      <c r="D4" s="381"/>
      <c r="E4"/>
      <c r="F4"/>
      <c r="G4"/>
      <c r="I4" s="22" t="s">
        <v>243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5.75" thickBot="1">
      <c r="A5" s="887" t="s">
        <v>4608</v>
      </c>
      <c r="B5" s="886"/>
      <c r="C5" s="886"/>
      <c r="D5" s="342"/>
      <c r="E5" s="886"/>
      <c r="F5"/>
      <c r="G5"/>
      <c r="H5"/>
      <c r="I5" s="25" t="s">
        <v>244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6.5" thickTop="1">
      <c r="A6" s="887" t="s">
        <v>4596</v>
      </c>
      <c r="B6" s="887" t="s">
        <v>0</v>
      </c>
      <c r="C6" s="887" t="s">
        <v>2</v>
      </c>
      <c r="D6" s="889" t="s">
        <v>5</v>
      </c>
      <c r="E6" s="886" t="s">
        <v>204</v>
      </c>
      <c r="F6"/>
      <c r="G6"/>
      <c r="H6"/>
      <c r="I6" s="31"/>
      <c r="J6" s="862">
        <f>SUM(J5:K5)</f>
        <v>86</v>
      </c>
      <c r="K6" s="863"/>
      <c r="L6" s="860">
        <f>SUM(L5:M5)</f>
        <v>69</v>
      </c>
      <c r="M6" s="861"/>
      <c r="N6" s="32">
        <f>SUM(N5)</f>
        <v>48</v>
      </c>
    </row>
    <row r="7" spans="1:14">
      <c r="A7" s="886" t="s">
        <v>75</v>
      </c>
      <c r="B7" s="886" t="s">
        <v>15</v>
      </c>
      <c r="C7" s="886" t="s">
        <v>17</v>
      </c>
      <c r="D7" s="342">
        <v>45175</v>
      </c>
      <c r="E7" s="886">
        <v>1</v>
      </c>
      <c r="F7"/>
      <c r="G7"/>
      <c r="H7"/>
    </row>
    <row r="8" spans="1:14">
      <c r="A8" s="886"/>
      <c r="B8" s="886"/>
      <c r="C8" s="886"/>
      <c r="D8" s="342">
        <v>45194</v>
      </c>
      <c r="E8" s="886">
        <v>1</v>
      </c>
      <c r="F8"/>
      <c r="G8"/>
      <c r="H8"/>
    </row>
    <row r="9" spans="1:14" ht="15" thickBot="1">
      <c r="A9" s="886"/>
      <c r="B9" s="886"/>
      <c r="C9" s="886"/>
      <c r="D9" s="342">
        <v>45261</v>
      </c>
      <c r="E9" s="886">
        <v>2</v>
      </c>
      <c r="F9"/>
      <c r="G9"/>
      <c r="H9"/>
    </row>
    <row r="10" spans="1:14" ht="15.75" thickBot="1">
      <c r="A10" s="886"/>
      <c r="B10" s="886"/>
      <c r="C10" s="886"/>
      <c r="D10" s="342">
        <v>45296</v>
      </c>
      <c r="E10" s="886">
        <v>3</v>
      </c>
      <c r="F10"/>
      <c r="G10"/>
      <c r="H10"/>
      <c r="I10" s="858" t="s">
        <v>245</v>
      </c>
      <c r="J10" s="857" t="s">
        <v>246</v>
      </c>
      <c r="K10" s="856"/>
      <c r="L10" s="855" t="s">
        <v>247</v>
      </c>
      <c r="M10" s="856"/>
      <c r="N10" s="33"/>
    </row>
    <row r="11" spans="1:14" ht="15.75" thickBot="1">
      <c r="A11" s="886"/>
      <c r="B11" s="886"/>
      <c r="C11" s="888" t="s">
        <v>3653</v>
      </c>
      <c r="D11" s="890"/>
      <c r="E11" s="888">
        <v>7</v>
      </c>
      <c r="F11"/>
      <c r="G11"/>
      <c r="H11"/>
      <c r="I11" s="859"/>
      <c r="J11" s="34" t="s">
        <v>248</v>
      </c>
      <c r="K11" s="34" t="s">
        <v>249</v>
      </c>
      <c r="L11" s="34" t="s">
        <v>248</v>
      </c>
      <c r="M11" s="34" t="s">
        <v>249</v>
      </c>
      <c r="N11" s="33"/>
    </row>
    <row r="12" spans="1:14" ht="15.75" thickBot="1">
      <c r="A12" s="886"/>
      <c r="B12" s="886"/>
      <c r="C12" s="886" t="s">
        <v>58</v>
      </c>
      <c r="D12" s="342">
        <v>45205</v>
      </c>
      <c r="E12" s="886">
        <v>4</v>
      </c>
      <c r="F12"/>
      <c r="G12"/>
      <c r="H12"/>
      <c r="I12" s="35" t="s">
        <v>250</v>
      </c>
      <c r="J12" s="34">
        <v>22</v>
      </c>
      <c r="K12" s="34">
        <v>2</v>
      </c>
      <c r="L12" s="34"/>
      <c r="M12" s="34"/>
      <c r="N12" s="36"/>
    </row>
    <row r="13" spans="1:14" ht="15.75" thickBot="1">
      <c r="A13" s="886"/>
      <c r="B13" s="886"/>
      <c r="C13" s="886"/>
      <c r="D13" s="342">
        <v>45296</v>
      </c>
      <c r="E13" s="886">
        <v>4</v>
      </c>
      <c r="F13"/>
      <c r="G13"/>
      <c r="H13"/>
      <c r="I13" s="35" t="s">
        <v>251</v>
      </c>
      <c r="J13" s="34">
        <v>5</v>
      </c>
      <c r="K13" s="34">
        <v>5</v>
      </c>
      <c r="L13" s="34"/>
      <c r="M13" s="34"/>
      <c r="N13" s="37"/>
    </row>
    <row r="14" spans="1:14" ht="15.75" thickBot="1">
      <c r="A14" s="886"/>
      <c r="B14" s="886"/>
      <c r="C14" s="886"/>
      <c r="D14" s="342">
        <v>45349</v>
      </c>
      <c r="E14" s="886">
        <v>1</v>
      </c>
      <c r="F14"/>
      <c r="G14"/>
      <c r="H14"/>
      <c r="I14" s="38" t="s">
        <v>20</v>
      </c>
      <c r="J14" s="39">
        <v>1</v>
      </c>
      <c r="K14" s="39">
        <v>19</v>
      </c>
      <c r="L14" s="39"/>
      <c r="M14" s="39"/>
      <c r="N14" s="37"/>
    </row>
    <row r="15" spans="1:14" ht="15.75" thickBot="1">
      <c r="A15" s="886"/>
      <c r="B15" s="886"/>
      <c r="C15" s="888" t="s">
        <v>3661</v>
      </c>
      <c r="D15" s="890"/>
      <c r="E15" s="888">
        <v>9</v>
      </c>
      <c r="F15"/>
      <c r="G15"/>
      <c r="H15"/>
      <c r="I15" s="847" t="s">
        <v>252</v>
      </c>
      <c r="J15" s="40">
        <f>SUM(J12:J14)</f>
        <v>28</v>
      </c>
      <c r="K15" s="40">
        <f>SUM(K12:K14)</f>
        <v>26</v>
      </c>
      <c r="L15" s="40"/>
      <c r="M15" s="40"/>
      <c r="N15" s="847"/>
    </row>
    <row r="16" spans="1:14" ht="15.75" thickBot="1">
      <c r="A16" s="886"/>
      <c r="B16" s="886"/>
      <c r="C16" s="886" t="s">
        <v>4247</v>
      </c>
      <c r="D16" s="342">
        <v>45296</v>
      </c>
      <c r="E16" s="886">
        <v>1</v>
      </c>
      <c r="F16"/>
      <c r="G16"/>
      <c r="H16"/>
      <c r="I16" s="848"/>
      <c r="J16" s="849">
        <f>J15+K15</f>
        <v>54</v>
      </c>
      <c r="K16" s="850"/>
      <c r="L16" s="849"/>
      <c r="M16" s="850"/>
      <c r="N16" s="848"/>
    </row>
    <row r="17" spans="1:14" ht="15" thickBot="1">
      <c r="A17" s="886"/>
      <c r="B17" s="886"/>
      <c r="C17" s="888" t="s">
        <v>4514</v>
      </c>
      <c r="D17" s="890"/>
      <c r="E17" s="888">
        <v>1</v>
      </c>
      <c r="F17"/>
      <c r="G17"/>
      <c r="H17"/>
      <c r="I17" s="33"/>
      <c r="J17" s="33"/>
      <c r="K17" s="33"/>
      <c r="L17" s="33"/>
      <c r="M17" s="33"/>
      <c r="N17" s="33"/>
    </row>
    <row r="18" spans="1:14" ht="15">
      <c r="A18" s="886" t="s">
        <v>4513</v>
      </c>
      <c r="B18" s="886"/>
      <c r="C18" s="886"/>
      <c r="D18" s="342"/>
      <c r="E18" s="886">
        <v>17</v>
      </c>
      <c r="F18"/>
      <c r="G18"/>
      <c r="H18"/>
      <c r="I18" s="853" t="s">
        <v>253</v>
      </c>
      <c r="J18" s="854"/>
      <c r="K18" s="41"/>
      <c r="L18" s="33"/>
      <c r="M18" s="33"/>
      <c r="N18" s="33"/>
    </row>
    <row r="19" spans="1:14" ht="15.75" thickBot="1">
      <c r="A19" s="886" t="s">
        <v>2980</v>
      </c>
      <c r="B19" s="886" t="s">
        <v>15</v>
      </c>
      <c r="C19" s="886" t="s">
        <v>17</v>
      </c>
      <c r="D19" s="342">
        <v>45355</v>
      </c>
      <c r="E19" s="886">
        <v>12</v>
      </c>
      <c r="F19"/>
      <c r="G19"/>
      <c r="H19"/>
      <c r="I19" s="851" t="s">
        <v>254</v>
      </c>
      <c r="J19" s="852"/>
      <c r="K19" s="34"/>
      <c r="L19" s="33"/>
      <c r="M19" s="33"/>
      <c r="N19" s="33"/>
    </row>
    <row r="20" spans="1:14" ht="15.75" thickBot="1">
      <c r="A20" s="886"/>
      <c r="B20" s="886"/>
      <c r="C20" s="888" t="s">
        <v>3653</v>
      </c>
      <c r="D20" s="890"/>
      <c r="E20" s="888">
        <v>12</v>
      </c>
      <c r="F20"/>
      <c r="G20"/>
      <c r="H20"/>
      <c r="I20" s="42"/>
      <c r="J20" s="43"/>
      <c r="K20" s="34"/>
      <c r="L20" s="33"/>
      <c r="M20" s="33"/>
      <c r="N20" s="33"/>
    </row>
    <row r="21" spans="1:14">
      <c r="A21" s="886"/>
      <c r="B21" s="886"/>
      <c r="C21" s="886" t="s">
        <v>58</v>
      </c>
      <c r="D21" s="342">
        <v>45348</v>
      </c>
      <c r="E21" s="886">
        <v>2</v>
      </c>
      <c r="F21"/>
      <c r="G21"/>
      <c r="H21"/>
    </row>
    <row r="22" spans="1:14">
      <c r="A22" s="886"/>
      <c r="B22" s="886"/>
      <c r="C22" s="886"/>
      <c r="D22" s="342">
        <v>45354</v>
      </c>
      <c r="E22" s="886">
        <v>4</v>
      </c>
      <c r="F22"/>
      <c r="G22"/>
      <c r="H22"/>
    </row>
    <row r="23" spans="1:14" ht="15" thickBot="1">
      <c r="A23" s="886"/>
      <c r="B23" s="886"/>
      <c r="C23" s="888" t="s">
        <v>3661</v>
      </c>
      <c r="D23" s="890"/>
      <c r="E23" s="888">
        <v>6</v>
      </c>
      <c r="F23"/>
      <c r="G23"/>
      <c r="H23"/>
    </row>
    <row r="24" spans="1:14" ht="15.75" thickBot="1">
      <c r="A24" s="886"/>
      <c r="B24" s="886" t="s">
        <v>4056</v>
      </c>
      <c r="C24" s="886" t="s">
        <v>201</v>
      </c>
      <c r="D24" s="342">
        <v>45348</v>
      </c>
      <c r="E24" s="886">
        <v>1</v>
      </c>
      <c r="F24"/>
      <c r="G24"/>
      <c r="H24"/>
      <c r="I24" s="858" t="s">
        <v>255</v>
      </c>
      <c r="J24" s="857" t="s">
        <v>246</v>
      </c>
      <c r="K24" s="856"/>
      <c r="L24" s="855" t="s">
        <v>247</v>
      </c>
      <c r="M24" s="856"/>
      <c r="N24" s="33"/>
    </row>
    <row r="25" spans="1:14" ht="15.75" thickBot="1">
      <c r="A25" s="886"/>
      <c r="B25" s="886"/>
      <c r="C25" s="888" t="s">
        <v>4516</v>
      </c>
      <c r="D25" s="890"/>
      <c r="E25" s="888">
        <v>1</v>
      </c>
      <c r="F25"/>
      <c r="G25"/>
      <c r="H25"/>
      <c r="I25" s="859"/>
      <c r="J25" s="34" t="s">
        <v>248</v>
      </c>
      <c r="K25" s="34" t="s">
        <v>249</v>
      </c>
      <c r="L25" s="34" t="s">
        <v>248</v>
      </c>
      <c r="M25" s="34" t="s">
        <v>249</v>
      </c>
      <c r="N25" s="33"/>
    </row>
    <row r="26" spans="1:14" ht="15.75" thickBot="1">
      <c r="A26" s="886"/>
      <c r="B26" s="886"/>
      <c r="C26" s="886" t="s">
        <v>4587</v>
      </c>
      <c r="D26" s="342">
        <v>45354</v>
      </c>
      <c r="E26" s="886">
        <v>1</v>
      </c>
      <c r="F26"/>
      <c r="G26"/>
      <c r="H26"/>
      <c r="I26" s="35" t="s">
        <v>250</v>
      </c>
      <c r="J26" s="34">
        <v>29</v>
      </c>
      <c r="K26" s="34">
        <v>14</v>
      </c>
      <c r="L26" s="34"/>
      <c r="M26" s="34"/>
      <c r="N26" s="36"/>
    </row>
    <row r="27" spans="1:14" ht="15.75" thickBot="1">
      <c r="A27" s="886"/>
      <c r="B27" s="886"/>
      <c r="C27" s="888" t="s">
        <v>4597</v>
      </c>
      <c r="D27" s="890"/>
      <c r="E27" s="888">
        <v>1</v>
      </c>
      <c r="F27"/>
      <c r="G27"/>
      <c r="H27"/>
      <c r="I27" s="35" t="s">
        <v>251</v>
      </c>
      <c r="J27" s="34">
        <v>3</v>
      </c>
      <c r="K27" s="34">
        <v>0</v>
      </c>
      <c r="L27" s="34"/>
      <c r="M27" s="34"/>
      <c r="N27" s="37"/>
    </row>
    <row r="28" spans="1:14" ht="15.75" thickBot="1">
      <c r="A28" s="886"/>
      <c r="B28" s="886"/>
      <c r="C28" s="886" t="s">
        <v>4589</v>
      </c>
      <c r="D28" s="342">
        <v>45354</v>
      </c>
      <c r="E28" s="886">
        <v>1</v>
      </c>
      <c r="F28"/>
      <c r="G28"/>
      <c r="H28"/>
      <c r="I28" s="38" t="s">
        <v>20</v>
      </c>
      <c r="J28" s="39">
        <v>0</v>
      </c>
      <c r="K28" s="39">
        <v>0</v>
      </c>
      <c r="L28" s="39"/>
      <c r="M28" s="39"/>
      <c r="N28" s="37"/>
    </row>
    <row r="29" spans="1:14" ht="15.75" thickBot="1">
      <c r="A29" s="886"/>
      <c r="B29" s="886"/>
      <c r="C29" s="888" t="s">
        <v>4598</v>
      </c>
      <c r="D29" s="890"/>
      <c r="E29" s="888">
        <v>1</v>
      </c>
      <c r="F29"/>
      <c r="G29"/>
      <c r="H29"/>
      <c r="I29" s="847" t="s">
        <v>252</v>
      </c>
      <c r="J29" s="40">
        <f>SUM(J26:J28)</f>
        <v>32</v>
      </c>
      <c r="K29" s="40">
        <f>SUM(K26:K28)</f>
        <v>14</v>
      </c>
      <c r="L29" s="40"/>
      <c r="M29" s="40"/>
      <c r="N29" s="847"/>
    </row>
    <row r="30" spans="1:14" ht="15.75" thickBot="1">
      <c r="A30" s="886" t="s">
        <v>4515</v>
      </c>
      <c r="B30" s="886"/>
      <c r="C30" s="886"/>
      <c r="D30" s="342"/>
      <c r="E30" s="886">
        <v>21</v>
      </c>
      <c r="F30"/>
      <c r="G30"/>
      <c r="H30"/>
      <c r="I30" s="848"/>
      <c r="J30" s="849">
        <f>J29+K29</f>
        <v>46</v>
      </c>
      <c r="K30" s="850"/>
      <c r="L30" s="849"/>
      <c r="M30" s="850"/>
      <c r="N30" s="848"/>
    </row>
    <row r="31" spans="1:14" ht="15" thickBot="1">
      <c r="A31" s="886" t="s">
        <v>4349</v>
      </c>
      <c r="B31" s="886" t="s">
        <v>15</v>
      </c>
      <c r="C31" s="886" t="s">
        <v>17</v>
      </c>
      <c r="D31" s="342" t="s">
        <v>4446</v>
      </c>
      <c r="E31" s="886">
        <v>4</v>
      </c>
      <c r="F31"/>
      <c r="G31"/>
      <c r="H31"/>
      <c r="I31" s="33"/>
      <c r="J31" s="33"/>
      <c r="K31" s="33"/>
      <c r="L31" s="33"/>
      <c r="M31" s="33"/>
      <c r="N31" s="33"/>
    </row>
    <row r="32" spans="1:14" ht="15">
      <c r="A32" s="886"/>
      <c r="B32" s="886"/>
      <c r="C32" s="886"/>
      <c r="D32" s="342" t="s">
        <v>4572</v>
      </c>
      <c r="E32" s="886">
        <v>10</v>
      </c>
      <c r="F32"/>
      <c r="G32"/>
      <c r="H32"/>
      <c r="I32" s="853" t="s">
        <v>253</v>
      </c>
      <c r="J32" s="854"/>
      <c r="K32" s="41"/>
      <c r="L32" s="33"/>
      <c r="M32" s="33"/>
      <c r="N32" s="33"/>
    </row>
    <row r="33" spans="1:14" ht="15.75" thickBot="1">
      <c r="A33" s="886"/>
      <c r="B33" s="886"/>
      <c r="C33" s="888" t="s">
        <v>3653</v>
      </c>
      <c r="D33" s="890"/>
      <c r="E33" s="888">
        <v>14</v>
      </c>
      <c r="F33"/>
      <c r="G33"/>
      <c r="H33"/>
      <c r="I33" s="851" t="s">
        <v>254</v>
      </c>
      <c r="J33" s="852"/>
      <c r="K33" s="34"/>
      <c r="L33" s="33"/>
      <c r="M33" s="33"/>
      <c r="N33" s="33"/>
    </row>
    <row r="34" spans="1:14" ht="15.75" thickBot="1">
      <c r="A34" s="886"/>
      <c r="B34" s="886"/>
      <c r="C34" s="886" t="s">
        <v>58</v>
      </c>
      <c r="D34" s="342" t="s">
        <v>4572</v>
      </c>
      <c r="E34" s="886">
        <v>10</v>
      </c>
      <c r="F34"/>
      <c r="G34"/>
      <c r="H34"/>
      <c r="I34" s="42"/>
      <c r="J34" s="43"/>
      <c r="K34" s="34"/>
      <c r="L34" s="33"/>
      <c r="M34" s="33"/>
      <c r="N34" s="33"/>
    </row>
    <row r="35" spans="1:14">
      <c r="A35" s="886"/>
      <c r="B35" s="886"/>
      <c r="C35" s="888" t="s">
        <v>3661</v>
      </c>
      <c r="D35" s="890"/>
      <c r="E35" s="888">
        <v>10</v>
      </c>
      <c r="F35"/>
      <c r="G35"/>
      <c r="H35"/>
    </row>
    <row r="36" spans="1:14">
      <c r="A36" s="886"/>
      <c r="B36" s="886" t="s">
        <v>4056</v>
      </c>
      <c r="C36" s="886" t="s">
        <v>201</v>
      </c>
      <c r="D36" s="342" t="s">
        <v>4446</v>
      </c>
      <c r="E36" s="886">
        <v>1</v>
      </c>
      <c r="F36"/>
      <c r="G36"/>
      <c r="H36"/>
    </row>
    <row r="37" spans="1:14">
      <c r="A37" s="886"/>
      <c r="B37" s="886"/>
      <c r="C37" s="888" t="s">
        <v>4516</v>
      </c>
      <c r="D37" s="890"/>
      <c r="E37" s="888">
        <v>1</v>
      </c>
      <c r="F37"/>
      <c r="G37"/>
      <c r="H37"/>
    </row>
    <row r="38" spans="1:14">
      <c r="A38" s="886" t="s">
        <v>4517</v>
      </c>
      <c r="B38" s="886"/>
      <c r="C38" s="886"/>
      <c r="D38" s="342"/>
      <c r="E38" s="886">
        <v>25</v>
      </c>
      <c r="F38"/>
      <c r="G38"/>
      <c r="H38"/>
    </row>
    <row r="39" spans="1:14">
      <c r="A39" s="886" t="s">
        <v>214</v>
      </c>
      <c r="B39" s="886"/>
      <c r="C39" s="886"/>
      <c r="D39" s="342"/>
      <c r="E39" s="886">
        <v>63</v>
      </c>
      <c r="F39"/>
      <c r="G39"/>
      <c r="H39"/>
      <c r="I39"/>
      <c r="J39"/>
    </row>
    <row r="40" spans="1:14">
      <c r="A40"/>
      <c r="B40"/>
      <c r="C40"/>
      <c r="D40" s="256"/>
      <c r="E40"/>
      <c r="F40"/>
      <c r="G40"/>
      <c r="H40"/>
      <c r="I40"/>
      <c r="J40"/>
    </row>
    <row r="41" spans="1:14">
      <c r="A41"/>
      <c r="B41"/>
      <c r="C41"/>
      <c r="D41" s="256"/>
      <c r="E41"/>
      <c r="F41"/>
      <c r="G41"/>
      <c r="H41"/>
      <c r="I41"/>
      <c r="J41"/>
    </row>
    <row r="42" spans="1:14">
      <c r="A42"/>
      <c r="B42"/>
      <c r="C42"/>
      <c r="D42" s="256"/>
      <c r="E42"/>
      <c r="F42"/>
      <c r="G42"/>
      <c r="H42"/>
      <c r="I42"/>
      <c r="J42"/>
    </row>
    <row r="43" spans="1:14">
      <c r="A43"/>
      <c r="B43"/>
      <c r="C43"/>
      <c r="D43" s="256"/>
      <c r="E43"/>
      <c r="F43"/>
      <c r="G43"/>
      <c r="H43"/>
      <c r="I43"/>
      <c r="J43"/>
    </row>
    <row r="44" spans="1:14">
      <c r="A44"/>
      <c r="B44"/>
      <c r="C44"/>
      <c r="D44" s="256"/>
      <c r="E44"/>
      <c r="F44"/>
      <c r="G44"/>
      <c r="H44"/>
      <c r="I44"/>
      <c r="J44"/>
    </row>
    <row r="45" spans="1:14">
      <c r="A45"/>
      <c r="B45"/>
      <c r="C45"/>
      <c r="D45" s="256"/>
      <c r="E45"/>
      <c r="F45"/>
      <c r="G45"/>
      <c r="H45"/>
    </row>
    <row r="46" spans="1:14">
      <c r="A46"/>
      <c r="B46"/>
      <c r="C46"/>
      <c r="D46" s="256"/>
      <c r="E46"/>
      <c r="F46"/>
      <c r="G46"/>
      <c r="H46"/>
    </row>
    <row r="47" spans="1:14">
      <c r="A47"/>
      <c r="B47"/>
      <c r="C47"/>
      <c r="D47" s="256"/>
      <c r="E47"/>
      <c r="F47"/>
      <c r="G47"/>
      <c r="H47"/>
    </row>
    <row r="48" spans="1:14">
      <c r="A48"/>
      <c r="B48"/>
      <c r="C48"/>
      <c r="D48" s="256"/>
      <c r="E48"/>
      <c r="F48"/>
      <c r="G48"/>
      <c r="H48"/>
    </row>
    <row r="49" spans="1:8">
      <c r="A49"/>
      <c r="B49"/>
      <c r="C49"/>
      <c r="D49" s="256"/>
      <c r="E49"/>
      <c r="F49"/>
      <c r="G49"/>
      <c r="H49"/>
    </row>
    <row r="50" spans="1:8">
      <c r="A50"/>
      <c r="B50"/>
      <c r="C50"/>
      <c r="D50" s="256"/>
      <c r="E50"/>
      <c r="F50"/>
      <c r="G50"/>
      <c r="H50"/>
    </row>
    <row r="51" spans="1:8">
      <c r="A51"/>
      <c r="B51"/>
      <c r="C51"/>
      <c r="D51" s="256"/>
      <c r="E51"/>
      <c r="F51"/>
      <c r="G51"/>
      <c r="H51"/>
    </row>
    <row r="52" spans="1:8">
      <c r="A52"/>
      <c r="B52"/>
      <c r="C52"/>
      <c r="D52" s="256"/>
      <c r="E52"/>
      <c r="F52"/>
      <c r="G52"/>
      <c r="H52"/>
    </row>
    <row r="53" spans="1:8">
      <c r="A53"/>
      <c r="B53"/>
      <c r="C53"/>
      <c r="D53" s="256"/>
      <c r="E53"/>
      <c r="F53"/>
      <c r="G53"/>
      <c r="H53"/>
    </row>
    <row r="54" spans="1:8">
      <c r="A54"/>
      <c r="B54"/>
      <c r="C54"/>
      <c r="D54" s="256"/>
      <c r="E54"/>
      <c r="F54"/>
      <c r="G54"/>
      <c r="H54"/>
    </row>
    <row r="55" spans="1:8">
      <c r="A55"/>
      <c r="B55"/>
      <c r="C55"/>
      <c r="D55" s="256"/>
      <c r="E55"/>
      <c r="F55"/>
      <c r="G55"/>
      <c r="H55"/>
    </row>
    <row r="56" spans="1:8">
      <c r="A56"/>
      <c r="B56"/>
      <c r="C56"/>
      <c r="D56" s="256"/>
      <c r="E56"/>
      <c r="F56"/>
      <c r="G56"/>
      <c r="H56"/>
    </row>
    <row r="57" spans="1:8">
      <c r="A57"/>
      <c r="B57"/>
      <c r="C57"/>
      <c r="D57" s="256"/>
      <c r="E57"/>
      <c r="F57"/>
      <c r="G57"/>
      <c r="H57"/>
    </row>
    <row r="58" spans="1:8">
      <c r="A58"/>
      <c r="B58"/>
      <c r="C58"/>
      <c r="D58" s="256"/>
      <c r="E58"/>
      <c r="F58"/>
      <c r="G58"/>
      <c r="H58"/>
    </row>
    <row r="59" spans="1:8">
      <c r="A59"/>
      <c r="B59"/>
      <c r="C59"/>
      <c r="D59" s="256"/>
      <c r="E59"/>
      <c r="F59"/>
      <c r="G59"/>
      <c r="H59"/>
    </row>
    <row r="60" spans="1:8">
      <c r="A60"/>
      <c r="B60"/>
      <c r="C60"/>
      <c r="D60" s="256"/>
      <c r="E60"/>
      <c r="F60"/>
      <c r="G60"/>
      <c r="H60"/>
    </row>
    <row r="61" spans="1:8">
      <c r="A61"/>
      <c r="B61"/>
      <c r="C61"/>
      <c r="D61" s="256"/>
      <c r="E61"/>
    </row>
    <row r="62" spans="1:8">
      <c r="A62"/>
      <c r="B62"/>
      <c r="C62"/>
      <c r="D62" s="256"/>
      <c r="E62"/>
    </row>
    <row r="63" spans="1:8">
      <c r="A63"/>
      <c r="B63"/>
      <c r="C63"/>
      <c r="D63" s="256"/>
      <c r="E63"/>
    </row>
    <row r="64" spans="1:8">
      <c r="A64"/>
      <c r="B64"/>
      <c r="C64"/>
      <c r="D64" s="256"/>
      <c r="E64"/>
    </row>
    <row r="65" spans="1:5">
      <c r="A65"/>
      <c r="B65"/>
      <c r="C65"/>
      <c r="D65" s="256"/>
      <c r="E65"/>
    </row>
    <row r="66" spans="1:5">
      <c r="A66"/>
      <c r="B66"/>
      <c r="C66"/>
      <c r="D66" s="256"/>
      <c r="E66"/>
    </row>
    <row r="67" spans="1:5">
      <c r="A67"/>
      <c r="B67"/>
      <c r="C67"/>
      <c r="D67" s="256"/>
      <c r="E67"/>
    </row>
    <row r="68" spans="1:5">
      <c r="A68"/>
      <c r="B68"/>
      <c r="C68"/>
      <c r="D68" s="256"/>
      <c r="E68"/>
    </row>
    <row r="69" spans="1:5">
      <c r="A69"/>
      <c r="B69"/>
      <c r="C69"/>
      <c r="D69" s="256"/>
      <c r="E69"/>
    </row>
    <row r="70" spans="1:5">
      <c r="A70"/>
      <c r="B70"/>
      <c r="C70"/>
      <c r="D70" s="256"/>
      <c r="E70"/>
    </row>
    <row r="71" spans="1:5">
      <c r="A71"/>
      <c r="B71"/>
      <c r="C71"/>
      <c r="D71" s="256"/>
      <c r="E71"/>
    </row>
    <row r="72" spans="1:5">
      <c r="A72"/>
      <c r="B72"/>
      <c r="C72"/>
      <c r="D72" s="256"/>
      <c r="E72"/>
    </row>
    <row r="73" spans="1:5">
      <c r="A73"/>
      <c r="B73"/>
      <c r="C73"/>
      <c r="D73" s="256"/>
      <c r="E73"/>
    </row>
    <row r="74" spans="1:5">
      <c r="A74"/>
      <c r="B74"/>
      <c r="C74"/>
      <c r="D74" s="256"/>
      <c r="E74"/>
    </row>
    <row r="75" spans="1:5">
      <c r="A75"/>
      <c r="B75"/>
      <c r="C75"/>
      <c r="D75" s="256"/>
      <c r="E75"/>
    </row>
    <row r="76" spans="1:5">
      <c r="A76"/>
      <c r="B76"/>
      <c r="C76"/>
      <c r="D76" s="256"/>
      <c r="E76"/>
    </row>
    <row r="77" spans="1:5">
      <c r="A77"/>
      <c r="B77"/>
      <c r="C77"/>
      <c r="D77" s="256"/>
      <c r="E77"/>
    </row>
    <row r="78" spans="1:5">
      <c r="A78"/>
      <c r="B78"/>
      <c r="C78"/>
      <c r="D78" s="256"/>
      <c r="E78"/>
    </row>
    <row r="79" spans="1:5">
      <c r="A79"/>
      <c r="B79"/>
      <c r="C79"/>
      <c r="D79" s="256"/>
      <c r="E79"/>
    </row>
    <row r="80" spans="1:5">
      <c r="A80"/>
      <c r="B80"/>
      <c r="C80"/>
      <c r="D80" s="256"/>
      <c r="E80"/>
    </row>
    <row r="81" spans="1:5">
      <c r="A81"/>
      <c r="B81"/>
      <c r="C81"/>
      <c r="D81" s="256"/>
      <c r="E81"/>
    </row>
    <row r="82" spans="1:5">
      <c r="A82"/>
      <c r="B82"/>
      <c r="C82"/>
      <c r="D82" s="256"/>
      <c r="E82"/>
    </row>
    <row r="83" spans="1:5">
      <c r="A83"/>
      <c r="B83"/>
      <c r="C83"/>
      <c r="D83" s="256"/>
      <c r="E83"/>
    </row>
    <row r="84" spans="1:5">
      <c r="A84"/>
      <c r="B84"/>
      <c r="C84"/>
      <c r="D84" s="256"/>
      <c r="E84"/>
    </row>
    <row r="85" spans="1:5">
      <c r="A85"/>
      <c r="B85"/>
      <c r="C85"/>
      <c r="D85" s="256"/>
      <c r="E85"/>
    </row>
    <row r="86" spans="1:5">
      <c r="A86"/>
      <c r="B86"/>
      <c r="C86"/>
      <c r="D86" s="256"/>
      <c r="E86"/>
    </row>
    <row r="87" spans="1:5">
      <c r="A87"/>
      <c r="B87"/>
      <c r="C87"/>
      <c r="D87" s="256"/>
      <c r="E87"/>
    </row>
    <row r="88" spans="1:5">
      <c r="A88"/>
      <c r="B88"/>
      <c r="C88"/>
      <c r="D88" s="256"/>
      <c r="E88"/>
    </row>
    <row r="89" spans="1:5">
      <c r="A89"/>
      <c r="B89"/>
      <c r="C89"/>
      <c r="D89" s="256"/>
      <c r="E89"/>
    </row>
    <row r="90" spans="1:5">
      <c r="A90"/>
      <c r="B90"/>
      <c r="C90"/>
      <c r="D90" s="256"/>
      <c r="E90"/>
    </row>
    <row r="91" spans="1:5">
      <c r="A91"/>
      <c r="B91"/>
      <c r="C91"/>
      <c r="D91" s="256"/>
      <c r="E91"/>
    </row>
    <row r="92" spans="1:5">
      <c r="A92"/>
      <c r="B92"/>
      <c r="C92"/>
      <c r="D92" s="256"/>
      <c r="E92"/>
    </row>
    <row r="93" spans="1:5">
      <c r="A93"/>
      <c r="B93"/>
      <c r="C93"/>
      <c r="D93" s="256"/>
      <c r="E93"/>
    </row>
    <row r="94" spans="1:5">
      <c r="A94"/>
      <c r="B94"/>
      <c r="C94"/>
      <c r="D94" s="256"/>
      <c r="E94"/>
    </row>
    <row r="95" spans="1:5">
      <c r="A95"/>
      <c r="B95"/>
      <c r="C95"/>
      <c r="D95" s="256"/>
      <c r="E95"/>
    </row>
    <row r="96" spans="1:5">
      <c r="A96"/>
      <c r="B96"/>
      <c r="C96"/>
      <c r="D96" s="256"/>
      <c r="E96"/>
    </row>
    <row r="97" spans="1:5">
      <c r="A97"/>
      <c r="B97"/>
      <c r="C97"/>
      <c r="D97" s="256"/>
      <c r="E97"/>
    </row>
    <row r="98" spans="1:5">
      <c r="A98"/>
      <c r="B98"/>
      <c r="C98"/>
      <c r="D98" s="256"/>
      <c r="E98"/>
    </row>
    <row r="99" spans="1:5">
      <c r="A99"/>
      <c r="B99"/>
      <c r="C99"/>
      <c r="D99" s="256"/>
      <c r="E99"/>
    </row>
    <row r="100" spans="1:5">
      <c r="A100"/>
      <c r="B100"/>
      <c r="C100"/>
      <c r="D100" s="256"/>
      <c r="E100"/>
    </row>
    <row r="101" spans="1:5">
      <c r="A101"/>
      <c r="B101"/>
      <c r="C101"/>
      <c r="D101" s="256"/>
      <c r="E101"/>
    </row>
    <row r="102" spans="1:5">
      <c r="A102"/>
      <c r="B102"/>
      <c r="C102"/>
      <c r="D102" s="256"/>
      <c r="E102"/>
    </row>
    <row r="103" spans="1:5">
      <c r="A103"/>
      <c r="B103"/>
      <c r="C103"/>
      <c r="D103" s="256"/>
      <c r="E103"/>
    </row>
    <row r="104" spans="1:5">
      <c r="A104"/>
      <c r="B104"/>
      <c r="C104"/>
      <c r="D104" s="256"/>
      <c r="E104"/>
    </row>
    <row r="105" spans="1:5">
      <c r="A105"/>
      <c r="B105"/>
      <c r="C105"/>
      <c r="D105" s="256"/>
      <c r="E105"/>
    </row>
    <row r="106" spans="1:5">
      <c r="A106"/>
      <c r="B106"/>
      <c r="C106"/>
      <c r="D106" s="256"/>
      <c r="E106"/>
    </row>
    <row r="107" spans="1:5">
      <c r="A107"/>
      <c r="B107"/>
      <c r="C107"/>
      <c r="D107" s="256"/>
      <c r="E107"/>
    </row>
    <row r="108" spans="1:5">
      <c r="A108"/>
      <c r="B108"/>
      <c r="C108"/>
      <c r="D108" s="256"/>
      <c r="E108"/>
    </row>
    <row r="109" spans="1:5">
      <c r="A109"/>
      <c r="B109"/>
      <c r="C109"/>
      <c r="D109" s="256"/>
      <c r="E109"/>
    </row>
    <row r="110" spans="1:5">
      <c r="A110"/>
      <c r="B110"/>
      <c r="C110"/>
      <c r="D110" s="256"/>
      <c r="E110"/>
    </row>
    <row r="111" spans="1:5">
      <c r="A111"/>
      <c r="B111"/>
      <c r="C111"/>
      <c r="D111" s="256"/>
      <c r="E111"/>
    </row>
    <row r="112" spans="1:5">
      <c r="A112"/>
      <c r="B112"/>
      <c r="C112"/>
      <c r="D112" s="256"/>
      <c r="E112"/>
    </row>
    <row r="113" spans="1:5">
      <c r="A113"/>
      <c r="B113"/>
      <c r="C113"/>
      <c r="D113" s="256"/>
      <c r="E113"/>
    </row>
    <row r="114" spans="1:5">
      <c r="A114"/>
      <c r="B114"/>
      <c r="C114"/>
      <c r="D114" s="256"/>
      <c r="E114"/>
    </row>
    <row r="115" spans="1:5">
      <c r="A115"/>
      <c r="B115"/>
      <c r="C115"/>
      <c r="D115" s="256"/>
      <c r="E115"/>
    </row>
    <row r="116" spans="1:5">
      <c r="A116"/>
      <c r="B116"/>
      <c r="C116"/>
      <c r="D116" s="256"/>
      <c r="E116"/>
    </row>
    <row r="117" spans="1:5">
      <c r="A117"/>
      <c r="B117"/>
      <c r="C117"/>
      <c r="D117" s="256"/>
      <c r="E117"/>
    </row>
    <row r="118" spans="1:5">
      <c r="A118"/>
      <c r="B118"/>
      <c r="C118"/>
      <c r="D118" s="256"/>
      <c r="E118"/>
    </row>
    <row r="119" spans="1:5">
      <c r="A119"/>
      <c r="B119"/>
      <c r="C119"/>
      <c r="D119" s="256"/>
      <c r="E119"/>
    </row>
    <row r="120" spans="1:5">
      <c r="A120"/>
      <c r="B120"/>
      <c r="C120"/>
      <c r="D120" s="256"/>
      <c r="E120"/>
    </row>
    <row r="121" spans="1:5">
      <c r="A121"/>
      <c r="B121"/>
      <c r="C121"/>
      <c r="D121" s="256"/>
      <c r="E121"/>
    </row>
    <row r="122" spans="1:5">
      <c r="A122"/>
      <c r="B122"/>
      <c r="C122"/>
      <c r="D122" s="256"/>
      <c r="E122"/>
    </row>
    <row r="123" spans="1:5">
      <c r="A123"/>
      <c r="B123"/>
      <c r="C123"/>
      <c r="D123" s="256"/>
      <c r="E123"/>
    </row>
    <row r="124" spans="1:5">
      <c r="A124"/>
      <c r="B124"/>
      <c r="C124"/>
      <c r="D124" s="256"/>
      <c r="E124"/>
    </row>
    <row r="125" spans="1:5">
      <c r="A125"/>
      <c r="B125"/>
      <c r="C125"/>
      <c r="D125" s="256"/>
      <c r="E125"/>
    </row>
    <row r="126" spans="1:5">
      <c r="A126"/>
      <c r="B126"/>
      <c r="C126"/>
      <c r="D126" s="256"/>
      <c r="E126"/>
    </row>
    <row r="127" spans="1:5">
      <c r="A127"/>
      <c r="B127"/>
      <c r="C127"/>
      <c r="D127" s="256"/>
      <c r="E127"/>
    </row>
    <row r="128" spans="1:5">
      <c r="A128"/>
      <c r="B128"/>
      <c r="C128"/>
      <c r="D128" s="256"/>
      <c r="E128"/>
    </row>
    <row r="129" spans="1:5">
      <c r="A129"/>
      <c r="B129"/>
      <c r="C129"/>
      <c r="D129" s="256"/>
      <c r="E129"/>
    </row>
    <row r="130" spans="1:5">
      <c r="A130"/>
      <c r="B130"/>
      <c r="C130"/>
      <c r="D130" s="256"/>
      <c r="E130"/>
    </row>
    <row r="131" spans="1:5">
      <c r="A131"/>
      <c r="B131"/>
      <c r="C131"/>
      <c r="D131" s="256"/>
      <c r="E131"/>
    </row>
    <row r="132" spans="1:5">
      <c r="A132"/>
      <c r="B132"/>
      <c r="C132"/>
      <c r="D132" s="256"/>
      <c r="E132"/>
    </row>
    <row r="133" spans="1:5">
      <c r="A133"/>
      <c r="B133"/>
      <c r="C133"/>
      <c r="D133" s="256"/>
      <c r="E133"/>
    </row>
    <row r="134" spans="1:5">
      <c r="A134"/>
      <c r="B134"/>
      <c r="C134"/>
      <c r="D134" s="256"/>
      <c r="E134"/>
    </row>
    <row r="135" spans="1:5">
      <c r="A135"/>
      <c r="B135"/>
      <c r="C135"/>
      <c r="D135" s="256"/>
      <c r="E135"/>
    </row>
    <row r="136" spans="1:5">
      <c r="A136"/>
      <c r="B136"/>
      <c r="C136"/>
      <c r="D136" s="256"/>
      <c r="E136"/>
    </row>
    <row r="137" spans="1:5">
      <c r="A137"/>
      <c r="B137"/>
      <c r="C137"/>
      <c r="D137" s="256"/>
      <c r="E137"/>
    </row>
    <row r="138" spans="1:5">
      <c r="A138"/>
      <c r="B138"/>
      <c r="C138"/>
      <c r="D138" s="256"/>
      <c r="E138"/>
    </row>
    <row r="139" spans="1:5">
      <c r="A139"/>
      <c r="B139"/>
      <c r="C139"/>
      <c r="D139" s="256"/>
      <c r="E139"/>
    </row>
    <row r="140" spans="1:5">
      <c r="A140"/>
      <c r="B140"/>
      <c r="C140"/>
      <c r="D140" s="256"/>
      <c r="E140"/>
    </row>
    <row r="141" spans="1:5">
      <c r="A141"/>
      <c r="B141"/>
      <c r="C141"/>
      <c r="D141" s="256"/>
      <c r="E141"/>
    </row>
    <row r="142" spans="1:5">
      <c r="A142"/>
      <c r="B142"/>
      <c r="C142"/>
      <c r="D142" s="256"/>
      <c r="E142"/>
    </row>
    <row r="143" spans="1:5">
      <c r="A143"/>
      <c r="B143"/>
      <c r="C143"/>
      <c r="D143" s="256"/>
      <c r="E143"/>
    </row>
    <row r="144" spans="1:5">
      <c r="A144"/>
      <c r="B144"/>
      <c r="C144"/>
      <c r="D144" s="256"/>
      <c r="E144"/>
    </row>
    <row r="145" spans="1:5">
      <c r="A145"/>
      <c r="B145"/>
      <c r="C145"/>
      <c r="D145" s="256"/>
      <c r="E145"/>
    </row>
    <row r="146" spans="1:5">
      <c r="A146"/>
      <c r="B146"/>
      <c r="C146"/>
      <c r="D146" s="256"/>
      <c r="E146"/>
    </row>
    <row r="147" spans="1:5">
      <c r="A147"/>
      <c r="B147"/>
      <c r="C147"/>
      <c r="D147" s="256"/>
      <c r="E147"/>
    </row>
    <row r="148" spans="1:5">
      <c r="A148"/>
      <c r="B148"/>
      <c r="C148"/>
      <c r="D148" s="256"/>
      <c r="E148"/>
    </row>
    <row r="149" spans="1:5">
      <c r="A149"/>
      <c r="B149"/>
      <c r="C149"/>
      <c r="D149" s="256"/>
      <c r="E149"/>
    </row>
    <row r="150" spans="1:5">
      <c r="A150"/>
      <c r="B150"/>
      <c r="C150"/>
      <c r="D150" s="256"/>
      <c r="E150"/>
    </row>
    <row r="151" spans="1:5">
      <c r="A151"/>
      <c r="B151"/>
      <c r="C151"/>
      <c r="D151" s="256"/>
      <c r="E151"/>
    </row>
    <row r="152" spans="1:5">
      <c r="A152"/>
      <c r="B152"/>
      <c r="C152"/>
      <c r="D152" s="256"/>
      <c r="E152"/>
    </row>
    <row r="153" spans="1:5">
      <c r="A153"/>
      <c r="B153"/>
      <c r="C153"/>
      <c r="D153" s="256"/>
      <c r="E153"/>
    </row>
    <row r="154" spans="1:5">
      <c r="A154"/>
      <c r="B154"/>
      <c r="C154"/>
      <c r="D154" s="256"/>
      <c r="E154"/>
    </row>
    <row r="155" spans="1:5">
      <c r="A155"/>
      <c r="B155"/>
      <c r="C155"/>
      <c r="D155" s="256"/>
      <c r="E155"/>
    </row>
    <row r="156" spans="1:5">
      <c r="A156"/>
      <c r="B156"/>
      <c r="C156"/>
      <c r="D156" s="256"/>
      <c r="E156"/>
    </row>
    <row r="157" spans="1:5">
      <c r="A157"/>
      <c r="B157"/>
      <c r="C157"/>
      <c r="D157" s="256"/>
      <c r="E157"/>
    </row>
    <row r="158" spans="1:5">
      <c r="A158"/>
      <c r="B158"/>
      <c r="C158"/>
      <c r="D158" s="256"/>
      <c r="E158"/>
    </row>
    <row r="159" spans="1:5">
      <c r="A159"/>
      <c r="B159"/>
      <c r="C159"/>
      <c r="D159" s="256"/>
      <c r="E159"/>
    </row>
    <row r="160" spans="1:5">
      <c r="A160"/>
      <c r="B160"/>
      <c r="C160"/>
      <c r="D160" s="256"/>
      <c r="E160"/>
    </row>
    <row r="161" spans="1:5">
      <c r="A161"/>
      <c r="B161"/>
      <c r="C161"/>
      <c r="D161" s="256"/>
      <c r="E161"/>
    </row>
    <row r="162" spans="1:5">
      <c r="A162"/>
      <c r="B162"/>
      <c r="C162"/>
      <c r="D162" s="256"/>
      <c r="E162"/>
    </row>
    <row r="163" spans="1:5">
      <c r="A163"/>
      <c r="B163"/>
      <c r="C163"/>
      <c r="D163" s="256"/>
      <c r="E163"/>
    </row>
    <row r="164" spans="1:5">
      <c r="A164"/>
      <c r="B164"/>
      <c r="C164"/>
      <c r="D164" s="256"/>
      <c r="E164"/>
    </row>
    <row r="165" spans="1:5">
      <c r="A165"/>
      <c r="B165"/>
      <c r="C165"/>
      <c r="D165" s="256"/>
      <c r="E165"/>
    </row>
    <row r="166" spans="1:5">
      <c r="A166"/>
      <c r="B166"/>
      <c r="C166"/>
      <c r="D166" s="256"/>
      <c r="E166"/>
    </row>
    <row r="167" spans="1:5">
      <c r="A167"/>
      <c r="B167"/>
      <c r="C167"/>
      <c r="D167" s="256"/>
      <c r="E167"/>
    </row>
    <row r="168" spans="1:5">
      <c r="A168"/>
      <c r="B168"/>
      <c r="C168"/>
      <c r="D168" s="256"/>
      <c r="E168"/>
    </row>
    <row r="169" spans="1:5">
      <c r="A169"/>
      <c r="B169"/>
      <c r="C169"/>
      <c r="D169" s="256"/>
      <c r="E169"/>
    </row>
    <row r="170" spans="1:5">
      <c r="A170"/>
      <c r="B170"/>
      <c r="C170"/>
      <c r="D170" s="256"/>
      <c r="E170"/>
    </row>
    <row r="171" spans="1:5">
      <c r="A171"/>
      <c r="B171"/>
      <c r="C171"/>
      <c r="D171" s="256"/>
      <c r="E171"/>
    </row>
    <row r="172" spans="1:5">
      <c r="A172"/>
      <c r="B172"/>
      <c r="C172"/>
      <c r="D172" s="256"/>
      <c r="E172"/>
    </row>
    <row r="173" spans="1:5">
      <c r="A173"/>
      <c r="B173"/>
      <c r="C173"/>
      <c r="D173" s="256"/>
      <c r="E173"/>
    </row>
    <row r="174" spans="1:5">
      <c r="A174"/>
      <c r="B174"/>
      <c r="C174"/>
      <c r="D174" s="256"/>
      <c r="E174"/>
    </row>
    <row r="175" spans="1:5">
      <c r="A175"/>
      <c r="B175"/>
      <c r="C175"/>
      <c r="D175" s="256"/>
      <c r="E175"/>
    </row>
    <row r="176" spans="1:5">
      <c r="A176"/>
      <c r="B176"/>
      <c r="C176"/>
      <c r="D176" s="256"/>
      <c r="E176"/>
    </row>
    <row r="177" spans="1:5">
      <c r="A177"/>
      <c r="B177"/>
      <c r="C177"/>
      <c r="D177" s="256"/>
      <c r="E177"/>
    </row>
    <row r="178" spans="1:5">
      <c r="A178"/>
      <c r="B178"/>
      <c r="C178"/>
      <c r="D178" s="256"/>
      <c r="E178"/>
    </row>
    <row r="179" spans="1:5">
      <c r="A179"/>
      <c r="B179"/>
      <c r="C179"/>
      <c r="D179" s="256"/>
      <c r="E179"/>
    </row>
    <row r="180" spans="1:5">
      <c r="A180"/>
      <c r="B180"/>
      <c r="C180"/>
      <c r="D180" s="256"/>
      <c r="E180"/>
    </row>
    <row r="181" spans="1:5">
      <c r="A181"/>
      <c r="B181"/>
      <c r="C181"/>
      <c r="D181" s="256"/>
      <c r="E181"/>
    </row>
    <row r="182" spans="1:5">
      <c r="A182"/>
      <c r="B182"/>
      <c r="C182"/>
      <c r="D182" s="256"/>
      <c r="E182"/>
    </row>
    <row r="183" spans="1:5">
      <c r="A183"/>
      <c r="B183"/>
      <c r="C183"/>
      <c r="D183" s="256"/>
      <c r="E183"/>
    </row>
    <row r="184" spans="1:5">
      <c r="A184"/>
      <c r="B184"/>
      <c r="C184"/>
      <c r="D184" s="256"/>
      <c r="E184"/>
    </row>
    <row r="185" spans="1:5">
      <c r="A185"/>
      <c r="B185"/>
      <c r="C185"/>
      <c r="D185" s="256"/>
      <c r="E185"/>
    </row>
    <row r="186" spans="1:5">
      <c r="A186"/>
      <c r="B186"/>
      <c r="C186"/>
      <c r="D186" s="256"/>
      <c r="E186"/>
    </row>
    <row r="187" spans="1:5">
      <c r="A187"/>
      <c r="B187"/>
      <c r="C187"/>
      <c r="D187" s="256"/>
      <c r="E187"/>
    </row>
    <row r="188" spans="1:5">
      <c r="A188"/>
      <c r="B188"/>
      <c r="C188"/>
      <c r="D188" s="256"/>
      <c r="E188"/>
    </row>
    <row r="189" spans="1:5">
      <c r="A189"/>
      <c r="B189"/>
      <c r="C189"/>
      <c r="D189" s="256"/>
      <c r="E189"/>
    </row>
    <row r="190" spans="1:5">
      <c r="A190"/>
      <c r="B190"/>
      <c r="C190"/>
      <c r="D190" s="256"/>
      <c r="E190"/>
    </row>
    <row r="191" spans="1:5">
      <c r="A191"/>
      <c r="B191"/>
      <c r="C191"/>
      <c r="D191" s="256"/>
      <c r="E191"/>
    </row>
    <row r="192" spans="1:5">
      <c r="A192"/>
      <c r="B192"/>
      <c r="C192"/>
      <c r="D192" s="256"/>
      <c r="E192"/>
    </row>
    <row r="193" spans="1:5">
      <c r="A193"/>
      <c r="B193"/>
      <c r="C193"/>
      <c r="D193" s="256"/>
      <c r="E193"/>
    </row>
    <row r="194" spans="1:5">
      <c r="A194"/>
      <c r="B194"/>
      <c r="C194"/>
      <c r="D194" s="256"/>
      <c r="E194"/>
    </row>
    <row r="195" spans="1:5">
      <c r="A195"/>
      <c r="B195"/>
      <c r="C195"/>
      <c r="D195" s="256"/>
      <c r="E195"/>
    </row>
    <row r="196" spans="1:5">
      <c r="A196"/>
      <c r="B196"/>
      <c r="C196"/>
      <c r="D196" s="256"/>
      <c r="E196"/>
    </row>
    <row r="197" spans="1:5">
      <c r="A197"/>
      <c r="B197"/>
      <c r="C197"/>
      <c r="D197" s="256"/>
      <c r="E197"/>
    </row>
    <row r="198" spans="1:5">
      <c r="A198"/>
      <c r="B198"/>
      <c r="C198"/>
      <c r="D198" s="256"/>
      <c r="E198"/>
    </row>
    <row r="199" spans="1:5">
      <c r="A199"/>
      <c r="B199"/>
      <c r="C199"/>
      <c r="D199" s="256"/>
      <c r="E199"/>
    </row>
    <row r="200" spans="1:5">
      <c r="A200"/>
      <c r="B200"/>
      <c r="C200"/>
      <c r="D200" s="256"/>
      <c r="E200"/>
    </row>
    <row r="201" spans="1:5">
      <c r="A201"/>
      <c r="B201"/>
      <c r="C201"/>
      <c r="D201" s="256"/>
      <c r="E201"/>
    </row>
    <row r="202" spans="1:5">
      <c r="A202"/>
      <c r="B202"/>
      <c r="C202"/>
      <c r="D202" s="256"/>
      <c r="E202"/>
    </row>
    <row r="203" spans="1:5">
      <c r="A203"/>
      <c r="B203"/>
      <c r="C203"/>
      <c r="D203" s="256"/>
      <c r="E203"/>
    </row>
    <row r="204" spans="1:5">
      <c r="A204"/>
      <c r="B204"/>
      <c r="C204"/>
      <c r="D204" s="256"/>
      <c r="E204"/>
    </row>
    <row r="205" spans="1:5">
      <c r="A205"/>
      <c r="B205"/>
      <c r="C205"/>
      <c r="D205" s="256"/>
      <c r="E205"/>
    </row>
    <row r="206" spans="1:5">
      <c r="A206"/>
      <c r="B206"/>
      <c r="C206"/>
      <c r="D206" s="256"/>
      <c r="E206"/>
    </row>
    <row r="207" spans="1:5">
      <c r="A207"/>
      <c r="B207"/>
      <c r="C207"/>
      <c r="D207" s="256"/>
      <c r="E207"/>
    </row>
    <row r="208" spans="1:5">
      <c r="A208"/>
      <c r="B208"/>
      <c r="C208"/>
      <c r="D208" s="256"/>
      <c r="E208"/>
    </row>
    <row r="209" spans="1:5">
      <c r="A209"/>
      <c r="B209"/>
      <c r="C209"/>
      <c r="D209" s="256"/>
      <c r="E209"/>
    </row>
    <row r="210" spans="1:5">
      <c r="A210"/>
      <c r="B210"/>
      <c r="C210"/>
      <c r="D210" s="256"/>
      <c r="E210"/>
    </row>
    <row r="211" spans="1:5">
      <c r="A211"/>
      <c r="B211"/>
      <c r="C211"/>
      <c r="D211" s="256"/>
      <c r="E211"/>
    </row>
    <row r="212" spans="1:5">
      <c r="A212"/>
      <c r="B212"/>
      <c r="C212"/>
      <c r="D212" s="256"/>
      <c r="E212"/>
    </row>
    <row r="213" spans="1:5">
      <c r="A213"/>
      <c r="B213"/>
      <c r="C213"/>
      <c r="D213" s="256"/>
      <c r="E213"/>
    </row>
    <row r="214" spans="1:5">
      <c r="A214"/>
      <c r="B214"/>
      <c r="C214"/>
      <c r="D214" s="256"/>
      <c r="E214"/>
    </row>
    <row r="215" spans="1:5">
      <c r="A215"/>
      <c r="B215"/>
      <c r="C215"/>
      <c r="D215" s="256"/>
      <c r="E215"/>
    </row>
    <row r="216" spans="1:5">
      <c r="A216"/>
      <c r="B216"/>
      <c r="C216"/>
      <c r="D216" s="256"/>
      <c r="E216"/>
    </row>
    <row r="217" spans="1:5">
      <c r="A217"/>
      <c r="B217"/>
      <c r="C217"/>
      <c r="D217" s="256"/>
      <c r="E217"/>
    </row>
    <row r="218" spans="1:5">
      <c r="A218"/>
      <c r="B218"/>
      <c r="C218"/>
      <c r="D218" s="256"/>
      <c r="E218"/>
    </row>
    <row r="219" spans="1:5">
      <c r="A219"/>
      <c r="B219"/>
      <c r="C219"/>
      <c r="D219" s="256"/>
      <c r="E219"/>
    </row>
    <row r="220" spans="1:5">
      <c r="A220"/>
      <c r="B220"/>
      <c r="C220"/>
      <c r="D220" s="256"/>
      <c r="E220"/>
    </row>
    <row r="221" spans="1:5">
      <c r="A221"/>
      <c r="B221"/>
      <c r="C221"/>
      <c r="D221" s="256"/>
      <c r="E221"/>
    </row>
    <row r="222" spans="1:5">
      <c r="A222"/>
      <c r="B222"/>
      <c r="C222"/>
      <c r="D222" s="256"/>
      <c r="E222"/>
    </row>
    <row r="223" spans="1:5">
      <c r="A223"/>
      <c r="B223"/>
      <c r="C223"/>
      <c r="D223" s="256"/>
      <c r="E223"/>
    </row>
    <row r="224" spans="1:5">
      <c r="A224"/>
      <c r="B224"/>
      <c r="C224"/>
      <c r="D224" s="256"/>
      <c r="E224"/>
    </row>
    <row r="225" spans="1:5">
      <c r="A225"/>
      <c r="B225"/>
      <c r="C225"/>
      <c r="D225" s="256"/>
      <c r="E225"/>
    </row>
    <row r="226" spans="1:5">
      <c r="A226"/>
      <c r="B226"/>
      <c r="C226"/>
      <c r="D226" s="256"/>
      <c r="E226"/>
    </row>
    <row r="227" spans="1:5">
      <c r="A227"/>
      <c r="B227"/>
      <c r="C227"/>
      <c r="D227" s="256"/>
      <c r="E227"/>
    </row>
    <row r="228" spans="1:5">
      <c r="A228"/>
      <c r="B228"/>
      <c r="C228"/>
      <c r="D228" s="256"/>
      <c r="E228"/>
    </row>
    <row r="229" spans="1:5">
      <c r="A229"/>
      <c r="B229"/>
      <c r="C229"/>
      <c r="D229" s="256"/>
      <c r="E229"/>
    </row>
    <row r="230" spans="1:5">
      <c r="A230"/>
      <c r="B230"/>
      <c r="C230"/>
      <c r="D230" s="256"/>
      <c r="E230"/>
    </row>
    <row r="231" spans="1:5">
      <c r="A231"/>
      <c r="B231"/>
      <c r="C231"/>
      <c r="D231" s="256"/>
      <c r="E231"/>
    </row>
    <row r="232" spans="1:5">
      <c r="A232"/>
      <c r="B232"/>
      <c r="C232"/>
      <c r="D232" s="256"/>
      <c r="E232"/>
    </row>
    <row r="233" spans="1:5">
      <c r="A233"/>
      <c r="B233"/>
      <c r="C233"/>
      <c r="D233" s="256"/>
      <c r="E233"/>
    </row>
    <row r="234" spans="1:5">
      <c r="A234"/>
      <c r="B234"/>
      <c r="C234"/>
      <c r="D234" s="256"/>
      <c r="E234"/>
    </row>
    <row r="235" spans="1:5">
      <c r="A235"/>
      <c r="B235"/>
      <c r="C235"/>
      <c r="D235" s="256"/>
      <c r="E235"/>
    </row>
    <row r="236" spans="1:5">
      <c r="A236"/>
      <c r="B236"/>
      <c r="C236"/>
      <c r="D236" s="256"/>
      <c r="E236"/>
    </row>
    <row r="237" spans="1:5">
      <c r="A237"/>
      <c r="B237"/>
      <c r="C237"/>
      <c r="D237" s="256"/>
      <c r="E237"/>
    </row>
    <row r="238" spans="1:5">
      <c r="A238"/>
      <c r="B238"/>
      <c r="C238"/>
      <c r="D238" s="256"/>
      <c r="E238"/>
    </row>
    <row r="239" spans="1:5">
      <c r="A239"/>
      <c r="B239"/>
      <c r="C239"/>
      <c r="D239" s="256"/>
      <c r="E239"/>
    </row>
    <row r="240" spans="1:5">
      <c r="A240"/>
      <c r="B240"/>
      <c r="C240"/>
      <c r="D240" s="256"/>
      <c r="E240"/>
    </row>
    <row r="241" spans="1:5">
      <c r="A241"/>
      <c r="B241"/>
      <c r="C241"/>
      <c r="D241" s="256"/>
      <c r="E241"/>
    </row>
    <row r="242" spans="1:5">
      <c r="A242"/>
      <c r="B242"/>
      <c r="C242"/>
      <c r="D242" s="256"/>
      <c r="E242"/>
    </row>
    <row r="243" spans="1:5">
      <c r="A243"/>
      <c r="B243"/>
      <c r="C243"/>
      <c r="D243" s="256"/>
      <c r="E243"/>
    </row>
    <row r="244" spans="1:5">
      <c r="A244"/>
      <c r="B244"/>
      <c r="C244"/>
      <c r="D244" s="256"/>
      <c r="E244"/>
    </row>
    <row r="245" spans="1:5">
      <c r="A245"/>
      <c r="B245"/>
      <c r="C245"/>
      <c r="D245" s="256"/>
      <c r="E245"/>
    </row>
    <row r="246" spans="1:5">
      <c r="A246"/>
      <c r="B246"/>
      <c r="C246"/>
      <c r="D246" s="256"/>
      <c r="E246"/>
    </row>
    <row r="247" spans="1:5">
      <c r="A247"/>
      <c r="B247"/>
      <c r="C247"/>
      <c r="D247" s="256"/>
      <c r="E247"/>
    </row>
    <row r="248" spans="1:5">
      <c r="A248"/>
      <c r="B248"/>
      <c r="C248"/>
      <c r="D248" s="256"/>
      <c r="E248"/>
    </row>
    <row r="249" spans="1:5">
      <c r="A249"/>
      <c r="B249"/>
      <c r="C249"/>
      <c r="D249" s="256"/>
      <c r="E249"/>
    </row>
    <row r="250" spans="1:5">
      <c r="A250"/>
      <c r="B250"/>
      <c r="C250"/>
      <c r="D250" s="256"/>
      <c r="E250"/>
    </row>
    <row r="251" spans="1:5">
      <c r="A251"/>
      <c r="B251"/>
      <c r="C251"/>
      <c r="D251" s="256"/>
      <c r="E251"/>
    </row>
    <row r="252" spans="1:5">
      <c r="A252"/>
      <c r="B252"/>
      <c r="C252"/>
      <c r="D252" s="256"/>
      <c r="E252"/>
    </row>
    <row r="253" spans="1:5">
      <c r="A253"/>
      <c r="B253"/>
      <c r="C253"/>
      <c r="D253" s="256"/>
      <c r="E253"/>
    </row>
    <row r="254" spans="1:5">
      <c r="A254"/>
      <c r="B254"/>
      <c r="C254"/>
      <c r="D254" s="256"/>
      <c r="E254"/>
    </row>
    <row r="255" spans="1:5">
      <c r="A255"/>
      <c r="B255"/>
      <c r="C255"/>
      <c r="D255" s="256"/>
      <c r="E255"/>
    </row>
    <row r="256" spans="1:5">
      <c r="A256"/>
      <c r="B256"/>
      <c r="C256"/>
      <c r="D256" s="256"/>
      <c r="E256"/>
    </row>
    <row r="257" spans="1:5">
      <c r="A257"/>
      <c r="B257"/>
      <c r="C257"/>
      <c r="D257" s="256"/>
      <c r="E257"/>
    </row>
    <row r="258" spans="1:5">
      <c r="A258"/>
      <c r="B258"/>
      <c r="C258"/>
      <c r="D258" s="256"/>
      <c r="E258"/>
    </row>
    <row r="259" spans="1:5">
      <c r="A259"/>
      <c r="B259"/>
      <c r="C259"/>
      <c r="D259" s="256"/>
      <c r="E259"/>
    </row>
    <row r="260" spans="1:5">
      <c r="A260"/>
      <c r="B260"/>
      <c r="C260"/>
      <c r="D260" s="256"/>
      <c r="E260"/>
    </row>
    <row r="261" spans="1:5">
      <c r="A261"/>
      <c r="B261"/>
      <c r="C261"/>
      <c r="D261" s="256"/>
      <c r="E261"/>
    </row>
    <row r="262" spans="1:5">
      <c r="A262"/>
      <c r="B262"/>
      <c r="C262"/>
      <c r="D262" s="256"/>
      <c r="E262"/>
    </row>
    <row r="263" spans="1:5">
      <c r="A263"/>
      <c r="B263"/>
      <c r="C263"/>
      <c r="D263" s="256"/>
      <c r="E263"/>
    </row>
    <row r="264" spans="1:5">
      <c r="A264"/>
      <c r="B264"/>
      <c r="C264"/>
      <c r="D264" s="256"/>
      <c r="E264"/>
    </row>
    <row r="265" spans="1:5">
      <c r="A265"/>
      <c r="B265"/>
      <c r="C265"/>
      <c r="D265" s="256"/>
      <c r="E265"/>
    </row>
    <row r="266" spans="1:5">
      <c r="A266"/>
      <c r="B266"/>
      <c r="C266"/>
      <c r="D266" s="256"/>
      <c r="E266"/>
    </row>
    <row r="267" spans="1:5">
      <c r="A267"/>
      <c r="B267"/>
      <c r="C267"/>
      <c r="D267" s="256"/>
      <c r="E267"/>
    </row>
    <row r="268" spans="1:5">
      <c r="A268"/>
      <c r="B268"/>
      <c r="C268"/>
      <c r="D268" s="256"/>
      <c r="E268"/>
    </row>
    <row r="269" spans="1:5">
      <c r="A269"/>
      <c r="B269"/>
      <c r="C269"/>
      <c r="D269" s="256"/>
      <c r="E269"/>
    </row>
    <row r="270" spans="1:5">
      <c r="A270"/>
      <c r="B270"/>
      <c r="C270"/>
      <c r="D270" s="256"/>
      <c r="E270"/>
    </row>
    <row r="271" spans="1:5">
      <c r="A271"/>
      <c r="B271"/>
      <c r="C271"/>
      <c r="D271" s="256"/>
      <c r="E271"/>
    </row>
    <row r="272" spans="1:5">
      <c r="A272"/>
      <c r="B272"/>
      <c r="C272"/>
      <c r="D272" s="256"/>
      <c r="E272"/>
    </row>
    <row r="273" spans="1:5">
      <c r="A273"/>
      <c r="B273"/>
      <c r="C273"/>
      <c r="D273" s="256"/>
      <c r="E273"/>
    </row>
    <row r="274" spans="1:5">
      <c r="A274"/>
      <c r="B274"/>
      <c r="C274"/>
      <c r="D274" s="256"/>
      <c r="E274"/>
    </row>
    <row r="275" spans="1:5">
      <c r="A275"/>
      <c r="B275"/>
      <c r="C275"/>
      <c r="D275" s="256"/>
      <c r="E275"/>
    </row>
    <row r="276" spans="1:5">
      <c r="A276"/>
      <c r="B276"/>
      <c r="C276"/>
      <c r="D276" s="256"/>
      <c r="E276"/>
    </row>
    <row r="277" spans="1:5">
      <c r="A277"/>
      <c r="B277"/>
      <c r="C277"/>
      <c r="D277" s="256"/>
      <c r="E277"/>
    </row>
    <row r="278" spans="1:5">
      <c r="A278"/>
      <c r="B278"/>
      <c r="C278"/>
      <c r="D278" s="256"/>
      <c r="E278"/>
    </row>
    <row r="279" spans="1:5">
      <c r="A279"/>
      <c r="B279"/>
      <c r="C279"/>
      <c r="D279" s="256"/>
      <c r="E279"/>
    </row>
    <row r="280" spans="1:5">
      <c r="A280"/>
      <c r="B280"/>
      <c r="C280"/>
      <c r="D280" s="256"/>
      <c r="E280"/>
    </row>
    <row r="281" spans="1:5">
      <c r="A281"/>
      <c r="B281"/>
      <c r="C281"/>
      <c r="D281" s="256"/>
      <c r="E281"/>
    </row>
    <row r="282" spans="1:5">
      <c r="A282"/>
      <c r="B282"/>
      <c r="C282"/>
      <c r="D282" s="256"/>
      <c r="E282"/>
    </row>
    <row r="283" spans="1:5">
      <c r="A283"/>
      <c r="B283"/>
      <c r="C283"/>
      <c r="D283" s="256"/>
      <c r="E283"/>
    </row>
    <row r="284" spans="1:5">
      <c r="A284"/>
      <c r="B284"/>
      <c r="C284"/>
      <c r="D284" s="256"/>
      <c r="E284"/>
    </row>
    <row r="285" spans="1:5">
      <c r="A285"/>
      <c r="B285"/>
      <c r="C285"/>
      <c r="D285" s="256"/>
      <c r="E285"/>
    </row>
    <row r="286" spans="1:5">
      <c r="A286"/>
      <c r="B286"/>
      <c r="C286"/>
      <c r="D286" s="256"/>
      <c r="E286"/>
    </row>
    <row r="287" spans="1:5">
      <c r="A287"/>
      <c r="B287"/>
      <c r="C287"/>
      <c r="D287" s="256"/>
      <c r="E287"/>
    </row>
    <row r="288" spans="1:5">
      <c r="A288"/>
      <c r="B288"/>
      <c r="C288"/>
      <c r="D288" s="256"/>
      <c r="E288"/>
    </row>
    <row r="289" spans="1:5">
      <c r="A289"/>
      <c r="B289"/>
      <c r="C289"/>
      <c r="D289" s="256"/>
      <c r="E289"/>
    </row>
    <row r="290" spans="1:5">
      <c r="A290"/>
      <c r="B290"/>
      <c r="C290"/>
      <c r="D290" s="256"/>
      <c r="E290"/>
    </row>
    <row r="291" spans="1:5">
      <c r="A291"/>
      <c r="B291"/>
      <c r="C291"/>
      <c r="D291" s="256"/>
      <c r="E291"/>
    </row>
    <row r="292" spans="1:5">
      <c r="A292"/>
      <c r="B292"/>
      <c r="C292"/>
      <c r="D292" s="256"/>
      <c r="E292"/>
    </row>
    <row r="293" spans="1:5">
      <c r="A293"/>
      <c r="B293"/>
      <c r="C293"/>
      <c r="D293" s="256"/>
      <c r="E293"/>
    </row>
    <row r="294" spans="1:5">
      <c r="A294"/>
      <c r="B294"/>
      <c r="C294"/>
      <c r="D294" s="256"/>
      <c r="E294"/>
    </row>
    <row r="295" spans="1:5">
      <c r="A295"/>
      <c r="B295"/>
      <c r="C295"/>
      <c r="D295" s="256"/>
      <c r="E295"/>
    </row>
    <row r="296" spans="1:5">
      <c r="A296"/>
      <c r="B296"/>
      <c r="C296"/>
      <c r="D296" s="256"/>
      <c r="E296"/>
    </row>
    <row r="297" spans="1:5">
      <c r="A297"/>
      <c r="B297"/>
      <c r="C297"/>
      <c r="D297" s="256"/>
      <c r="E297"/>
    </row>
    <row r="298" spans="1:5">
      <c r="A298"/>
      <c r="B298"/>
      <c r="C298"/>
      <c r="D298" s="256"/>
      <c r="E298"/>
    </row>
    <row r="299" spans="1:5">
      <c r="A299"/>
      <c r="B299"/>
      <c r="C299"/>
      <c r="D299" s="256"/>
      <c r="E299"/>
    </row>
    <row r="300" spans="1:5">
      <c r="A300"/>
      <c r="B300"/>
      <c r="C300"/>
      <c r="D300" s="256"/>
      <c r="E300"/>
    </row>
    <row r="301" spans="1:5">
      <c r="A301"/>
      <c r="B301"/>
      <c r="C301"/>
      <c r="D301" s="256"/>
      <c r="E301"/>
    </row>
    <row r="302" spans="1:5">
      <c r="A302"/>
      <c r="B302"/>
      <c r="C302"/>
      <c r="D302" s="256"/>
      <c r="E302"/>
    </row>
    <row r="303" spans="1:5">
      <c r="A303"/>
      <c r="B303"/>
      <c r="C303"/>
      <c r="D303" s="256"/>
      <c r="E303"/>
    </row>
    <row r="304" spans="1:5">
      <c r="A304"/>
      <c r="B304"/>
      <c r="C304"/>
      <c r="D304" s="256"/>
      <c r="E304"/>
    </row>
    <row r="305" spans="1:5">
      <c r="A305"/>
      <c r="B305"/>
      <c r="C305"/>
      <c r="D305" s="256"/>
      <c r="E305"/>
    </row>
    <row r="306" spans="1:5">
      <c r="A306"/>
      <c r="B306"/>
      <c r="C306"/>
      <c r="D306" s="256"/>
      <c r="E306"/>
    </row>
    <row r="307" spans="1:5">
      <c r="A307"/>
      <c r="B307"/>
      <c r="C307"/>
      <c r="D307" s="256"/>
      <c r="E307"/>
    </row>
    <row r="308" spans="1:5">
      <c r="A308"/>
      <c r="B308"/>
      <c r="C308"/>
      <c r="D308" s="256"/>
      <c r="E308"/>
    </row>
    <row r="309" spans="1:5">
      <c r="A309"/>
      <c r="B309"/>
      <c r="C309"/>
      <c r="D309" s="256"/>
      <c r="E309"/>
    </row>
    <row r="310" spans="1:5">
      <c r="A310"/>
      <c r="B310"/>
      <c r="C310"/>
      <c r="D310" s="256"/>
      <c r="E310"/>
    </row>
    <row r="311" spans="1:5">
      <c r="A311"/>
      <c r="B311"/>
      <c r="C311"/>
      <c r="D311" s="256"/>
      <c r="E311"/>
    </row>
    <row r="312" spans="1:5">
      <c r="A312"/>
      <c r="B312"/>
      <c r="C312"/>
      <c r="D312" s="256"/>
      <c r="E312"/>
    </row>
    <row r="313" spans="1:5">
      <c r="A313"/>
      <c r="B313"/>
      <c r="C313"/>
      <c r="D313" s="256"/>
      <c r="E313"/>
    </row>
    <row r="314" spans="1:5">
      <c r="A314"/>
      <c r="B314"/>
      <c r="C314"/>
      <c r="D314" s="256"/>
      <c r="E314"/>
    </row>
    <row r="315" spans="1:5">
      <c r="A315"/>
      <c r="B315"/>
      <c r="C315"/>
      <c r="D315" s="256"/>
      <c r="E315"/>
    </row>
    <row r="316" spans="1:5">
      <c r="A316"/>
      <c r="B316"/>
      <c r="C316"/>
      <c r="D316" s="256"/>
      <c r="E316"/>
    </row>
    <row r="317" spans="1:5">
      <c r="A317"/>
      <c r="B317"/>
      <c r="C317"/>
      <c r="D317" s="256"/>
      <c r="E317"/>
    </row>
    <row r="318" spans="1:5">
      <c r="A318"/>
      <c r="B318"/>
      <c r="C318"/>
      <c r="D318" s="256"/>
      <c r="E318"/>
    </row>
    <row r="319" spans="1:5">
      <c r="A319"/>
      <c r="B319"/>
      <c r="C319"/>
      <c r="D319" s="256"/>
      <c r="E319"/>
    </row>
    <row r="320" spans="1:5">
      <c r="A320"/>
      <c r="B320"/>
      <c r="C320"/>
      <c r="D320" s="256"/>
      <c r="E320"/>
    </row>
    <row r="321" spans="1:5">
      <c r="A321"/>
      <c r="B321"/>
      <c r="C321"/>
      <c r="D321" s="256"/>
      <c r="E321"/>
    </row>
    <row r="322" spans="1:5">
      <c r="A322"/>
      <c r="B322"/>
      <c r="C322"/>
      <c r="D322" s="256"/>
      <c r="E322"/>
    </row>
    <row r="323" spans="1:5">
      <c r="A323"/>
      <c r="B323"/>
      <c r="C323"/>
      <c r="D323" s="256"/>
      <c r="E323"/>
    </row>
    <row r="324" spans="1:5">
      <c r="A324"/>
      <c r="B324"/>
      <c r="C324"/>
      <c r="D324" s="256"/>
      <c r="E324"/>
    </row>
    <row r="325" spans="1:5">
      <c r="A325"/>
      <c r="B325"/>
      <c r="C325"/>
      <c r="D325" s="256"/>
      <c r="E325"/>
    </row>
    <row r="326" spans="1:5">
      <c r="A326"/>
      <c r="B326"/>
      <c r="C326"/>
      <c r="D326" s="256"/>
      <c r="E326"/>
    </row>
    <row r="327" spans="1:5">
      <c r="A327"/>
      <c r="B327"/>
      <c r="C327"/>
      <c r="D327" s="256"/>
      <c r="E327"/>
    </row>
    <row r="328" spans="1:5">
      <c r="A328"/>
      <c r="B328"/>
      <c r="C328"/>
      <c r="D328" s="256"/>
      <c r="E328"/>
    </row>
    <row r="329" spans="1:5">
      <c r="A329"/>
      <c r="B329"/>
      <c r="C329"/>
      <c r="D329" s="256"/>
      <c r="E329"/>
    </row>
    <row r="330" spans="1:5">
      <c r="A330"/>
      <c r="B330"/>
      <c r="C330"/>
      <c r="D330" s="256"/>
      <c r="E330"/>
    </row>
    <row r="331" spans="1:5">
      <c r="A331"/>
      <c r="B331"/>
      <c r="C331"/>
      <c r="D331" s="256"/>
      <c r="E331"/>
    </row>
    <row r="332" spans="1:5">
      <c r="A332"/>
      <c r="B332"/>
      <c r="C332"/>
      <c r="D332" s="256"/>
      <c r="E332"/>
    </row>
    <row r="333" spans="1:5">
      <c r="A333"/>
      <c r="B333"/>
      <c r="C333"/>
      <c r="D333" s="256"/>
      <c r="E333"/>
    </row>
    <row r="334" spans="1:5">
      <c r="A334"/>
      <c r="B334"/>
      <c r="C334"/>
      <c r="D334" s="256"/>
      <c r="E334"/>
    </row>
    <row r="335" spans="1:5">
      <c r="A335"/>
      <c r="B335"/>
      <c r="C335"/>
      <c r="D335" s="256"/>
      <c r="E335"/>
    </row>
    <row r="336" spans="1:5">
      <c r="A336"/>
      <c r="B336"/>
      <c r="C336"/>
      <c r="D336" s="256"/>
      <c r="E336"/>
    </row>
    <row r="337" spans="1:5">
      <c r="A337"/>
      <c r="B337"/>
      <c r="C337"/>
      <c r="D337" s="256"/>
      <c r="E337"/>
    </row>
    <row r="338" spans="1:5">
      <c r="A338"/>
      <c r="B338"/>
      <c r="C338"/>
      <c r="D338" s="256"/>
      <c r="E338"/>
    </row>
    <row r="339" spans="1:5">
      <c r="A339"/>
      <c r="B339"/>
      <c r="C339"/>
      <c r="D339" s="256"/>
      <c r="E339"/>
    </row>
    <row r="340" spans="1:5">
      <c r="A340"/>
      <c r="B340"/>
      <c r="C340"/>
      <c r="D340" s="256"/>
      <c r="E340"/>
    </row>
    <row r="341" spans="1:5">
      <c r="A341"/>
      <c r="B341"/>
      <c r="C341"/>
      <c r="D341" s="256"/>
      <c r="E341"/>
    </row>
    <row r="342" spans="1:5">
      <c r="A342"/>
      <c r="B342"/>
      <c r="C342"/>
      <c r="D342" s="256"/>
      <c r="E342"/>
    </row>
    <row r="343" spans="1:5">
      <c r="A343"/>
      <c r="B343"/>
      <c r="C343"/>
      <c r="D343" s="256"/>
      <c r="E343"/>
    </row>
    <row r="344" spans="1:5">
      <c r="A344"/>
      <c r="B344"/>
      <c r="C344"/>
      <c r="D344" s="256"/>
      <c r="E344"/>
    </row>
    <row r="345" spans="1:5">
      <c r="A345"/>
      <c r="B345"/>
      <c r="C345"/>
      <c r="D345" s="256"/>
      <c r="E345"/>
    </row>
    <row r="346" spans="1:5">
      <c r="A346"/>
      <c r="B346"/>
      <c r="C346"/>
      <c r="D346" s="256"/>
      <c r="E346"/>
    </row>
    <row r="347" spans="1:5">
      <c r="A347"/>
      <c r="B347"/>
      <c r="C347"/>
      <c r="D347" s="256"/>
      <c r="E347"/>
    </row>
    <row r="348" spans="1:5">
      <c r="A348"/>
      <c r="B348"/>
      <c r="C348"/>
      <c r="D348" s="256"/>
      <c r="E348"/>
    </row>
    <row r="349" spans="1:5">
      <c r="A349"/>
      <c r="B349"/>
      <c r="C349"/>
      <c r="D349" s="256"/>
      <c r="E349"/>
    </row>
    <row r="350" spans="1:5">
      <c r="A350"/>
      <c r="B350"/>
      <c r="C350"/>
      <c r="D350" s="256"/>
      <c r="E350"/>
    </row>
    <row r="351" spans="1:5">
      <c r="A351"/>
      <c r="B351"/>
      <c r="C351"/>
      <c r="D351" s="256"/>
      <c r="E351"/>
    </row>
    <row r="352" spans="1:5">
      <c r="A352"/>
      <c r="B352"/>
      <c r="C352"/>
      <c r="D352" s="256"/>
      <c r="E352"/>
    </row>
    <row r="353" spans="1:5">
      <c r="A353"/>
      <c r="B353"/>
      <c r="C353"/>
      <c r="D353" s="256"/>
      <c r="E353"/>
    </row>
    <row r="354" spans="1:5">
      <c r="A354"/>
      <c r="B354"/>
      <c r="C354"/>
      <c r="D354" s="256"/>
      <c r="E354"/>
    </row>
    <row r="355" spans="1:5">
      <c r="A355"/>
      <c r="B355"/>
      <c r="C355"/>
      <c r="D355" s="256"/>
      <c r="E355"/>
    </row>
    <row r="356" spans="1:5">
      <c r="A356"/>
      <c r="B356"/>
      <c r="C356"/>
      <c r="D356" s="256"/>
      <c r="E356"/>
    </row>
    <row r="357" spans="1:5">
      <c r="A357"/>
      <c r="B357"/>
      <c r="C357"/>
      <c r="D357" s="256"/>
      <c r="E357"/>
    </row>
    <row r="358" spans="1:5">
      <c r="A358"/>
      <c r="B358"/>
      <c r="C358"/>
      <c r="D358" s="256"/>
      <c r="E358"/>
    </row>
    <row r="359" spans="1:5">
      <c r="A359"/>
      <c r="B359"/>
      <c r="C359"/>
      <c r="D359" s="256"/>
      <c r="E359"/>
    </row>
    <row r="360" spans="1:5">
      <c r="A360"/>
      <c r="B360"/>
      <c r="C360"/>
      <c r="D360" s="256"/>
      <c r="E360"/>
    </row>
    <row r="361" spans="1:5">
      <c r="A361"/>
      <c r="B361"/>
      <c r="C361"/>
      <c r="D361" s="256"/>
      <c r="E361"/>
    </row>
    <row r="362" spans="1:5">
      <c r="A362"/>
      <c r="B362"/>
      <c r="C362"/>
      <c r="D362" s="256"/>
      <c r="E362"/>
    </row>
    <row r="363" spans="1:5">
      <c r="A363"/>
      <c r="B363"/>
      <c r="C363"/>
      <c r="D363" s="256"/>
      <c r="E363"/>
    </row>
    <row r="364" spans="1:5">
      <c r="A364"/>
      <c r="B364"/>
      <c r="C364"/>
      <c r="D364" s="256"/>
      <c r="E364"/>
    </row>
    <row r="365" spans="1:5">
      <c r="A365"/>
      <c r="B365"/>
      <c r="C365"/>
      <c r="D365" s="256"/>
      <c r="E365"/>
    </row>
    <row r="366" spans="1:5">
      <c r="A366"/>
      <c r="B366"/>
      <c r="C366"/>
      <c r="D366" s="256"/>
      <c r="E366"/>
    </row>
    <row r="367" spans="1:5">
      <c r="A367"/>
      <c r="B367"/>
      <c r="C367"/>
      <c r="D367" s="256"/>
      <c r="E367"/>
    </row>
    <row r="368" spans="1:5">
      <c r="A368"/>
      <c r="B368"/>
      <c r="C368"/>
      <c r="D368" s="256"/>
      <c r="E368"/>
    </row>
    <row r="369" spans="1:5">
      <c r="A369"/>
      <c r="B369"/>
      <c r="C369"/>
      <c r="D369" s="256"/>
      <c r="E369"/>
    </row>
  </sheetData>
  <mergeCells count="20">
    <mergeCell ref="L6:M6"/>
    <mergeCell ref="L10:M10"/>
    <mergeCell ref="J10:K10"/>
    <mergeCell ref="I10:I11"/>
    <mergeCell ref="J6:K6"/>
    <mergeCell ref="N15:N16"/>
    <mergeCell ref="L16:M16"/>
    <mergeCell ref="I18:J18"/>
    <mergeCell ref="J16:K16"/>
    <mergeCell ref="I15:I16"/>
    <mergeCell ref="L24:M24"/>
    <mergeCell ref="J24:K24"/>
    <mergeCell ref="I24:I25"/>
    <mergeCell ref="I19:J19"/>
    <mergeCell ref="J30:K30"/>
    <mergeCell ref="N29:N30"/>
    <mergeCell ref="L30:M30"/>
    <mergeCell ref="I29:I30"/>
    <mergeCell ref="I33:J33"/>
    <mergeCell ref="I32:J32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BQ2532"/>
  <sheetViews>
    <sheetView tabSelected="1" zoomScaleNormal="100"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K1554" sqref="K1554"/>
    </sheetView>
  </sheetViews>
  <sheetFormatPr defaultColWidth="9" defaultRowHeight="12.75"/>
  <cols>
    <col min="1" max="1" width="5" style="564" customWidth="1"/>
    <col min="2" max="2" width="11.75" style="586" customWidth="1"/>
    <col min="3" max="3" width="4.25" style="586" customWidth="1"/>
    <col min="4" max="4" width="17.375" style="576" customWidth="1"/>
    <col min="5" max="5" width="16.25" style="586" customWidth="1"/>
    <col min="6" max="6" width="11.25" style="586" customWidth="1"/>
    <col min="7" max="7" width="5.25" style="586" customWidth="1"/>
    <col min="8" max="8" width="25.375" style="586" customWidth="1"/>
    <col min="9" max="9" width="12.25" style="576" customWidth="1"/>
    <col min="10" max="10" width="3.375" style="576" customWidth="1"/>
    <col min="11" max="11" width="17.75" style="586" customWidth="1"/>
    <col min="12" max="12" width="18.25" style="826" customWidth="1"/>
    <col min="13" max="13" width="12.75" style="827" customWidth="1"/>
    <col min="14" max="14" width="7.25" style="568" customWidth="1"/>
    <col min="15" max="15" width="11" style="569" customWidth="1"/>
    <col min="16" max="16" width="5" style="827" customWidth="1"/>
    <col min="17" max="17" width="24.625" style="586" customWidth="1"/>
    <col min="18" max="18" width="19" style="586" customWidth="1"/>
    <col min="19" max="19" width="11.75" style="586" customWidth="1"/>
    <col min="20" max="20" width="8.25" style="586" customWidth="1"/>
    <col min="21" max="21" width="29.75" style="586" customWidth="1"/>
    <col min="22" max="22" width="11.25" style="714" customWidth="1"/>
    <col min="23" max="23" width="10.25" style="828" customWidth="1"/>
    <col min="24" max="24" width="10.25" style="826" customWidth="1"/>
    <col min="25" max="25" width="10" style="586" bestFit="1" customWidth="1"/>
    <col min="26" max="26" width="16.375" style="600" hidden="1" customWidth="1"/>
    <col min="27" max="27" width="12" style="601" hidden="1" customWidth="1"/>
    <col min="28" max="28" width="26.75" style="602" hidden="1" customWidth="1"/>
    <col min="29" max="29" width="54" style="586" bestFit="1" customWidth="1"/>
    <col min="30" max="34" width="9" style="576"/>
    <col min="35" max="35" width="9" style="577"/>
    <col min="36" max="39" width="9" style="576"/>
    <col min="40" max="40" width="9" style="585"/>
    <col min="41" max="41" width="9" style="829" customWidth="1"/>
    <col min="42" max="42" width="14.375" style="259" customWidth="1"/>
    <col min="43" max="43" width="16.625" style="259" customWidth="1"/>
    <col min="44" max="44" width="30.75" style="259" customWidth="1"/>
    <col min="45" max="45" width="15.75" style="844" bestFit="1" customWidth="1"/>
    <col min="46" max="16384" width="9" style="259"/>
  </cols>
  <sheetData>
    <row r="1" spans="1:48" s="841" customFormat="1" ht="33.75" customHeight="1">
      <c r="A1" s="548" t="s">
        <v>259</v>
      </c>
      <c r="B1" s="550" t="s">
        <v>4596</v>
      </c>
      <c r="C1" s="550" t="s">
        <v>260</v>
      </c>
      <c r="D1" s="550" t="s">
        <v>261</v>
      </c>
      <c r="E1" s="550" t="s">
        <v>262</v>
      </c>
      <c r="F1" s="549" t="s">
        <v>235</v>
      </c>
      <c r="G1" s="549" t="s">
        <v>3</v>
      </c>
      <c r="H1" s="549" t="s">
        <v>4</v>
      </c>
      <c r="I1" s="551" t="s">
        <v>263</v>
      </c>
      <c r="J1" s="551" t="s">
        <v>4602</v>
      </c>
      <c r="K1" s="549" t="s">
        <v>265</v>
      </c>
      <c r="L1" s="552" t="s">
        <v>4603</v>
      </c>
      <c r="M1" s="553" t="s">
        <v>266</v>
      </c>
      <c r="N1" s="554" t="s">
        <v>267</v>
      </c>
      <c r="O1" s="555" t="s">
        <v>268</v>
      </c>
      <c r="P1" s="556" t="s">
        <v>269</v>
      </c>
      <c r="Q1" s="556" t="s">
        <v>270</v>
      </c>
      <c r="R1" s="556" t="s">
        <v>4601</v>
      </c>
      <c r="S1" s="556" t="s">
        <v>235</v>
      </c>
      <c r="T1" s="556" t="s">
        <v>271</v>
      </c>
      <c r="U1" s="556" t="s">
        <v>272</v>
      </c>
      <c r="V1" s="557" t="s">
        <v>11</v>
      </c>
      <c r="W1" s="557" t="s">
        <v>273</v>
      </c>
      <c r="X1" s="558" t="s">
        <v>274</v>
      </c>
      <c r="Y1" s="556" t="s">
        <v>275</v>
      </c>
      <c r="Z1" s="559" t="s">
        <v>12</v>
      </c>
      <c r="AA1" s="559" t="s">
        <v>13</v>
      </c>
      <c r="AB1" s="557" t="s">
        <v>276</v>
      </c>
      <c r="AC1" s="557" t="s">
        <v>277</v>
      </c>
      <c r="AD1" s="560" t="s">
        <v>278</v>
      </c>
      <c r="AE1" s="561" t="s">
        <v>264</v>
      </c>
      <c r="AF1" s="560" t="s">
        <v>278</v>
      </c>
      <c r="AG1" s="561" t="s">
        <v>264</v>
      </c>
      <c r="AH1" s="560" t="s">
        <v>278</v>
      </c>
      <c r="AI1" s="562" t="s">
        <v>264</v>
      </c>
      <c r="AJ1" s="560" t="s">
        <v>278</v>
      </c>
      <c r="AK1" s="561" t="s">
        <v>264</v>
      </c>
      <c r="AL1" s="560" t="s">
        <v>278</v>
      </c>
      <c r="AM1" s="561" t="s">
        <v>264</v>
      </c>
      <c r="AN1" s="563" t="s">
        <v>279</v>
      </c>
      <c r="AO1" s="830" t="s">
        <v>4496</v>
      </c>
      <c r="AP1" s="546" t="s">
        <v>4585</v>
      </c>
      <c r="AQ1" s="830" t="s">
        <v>4581</v>
      </c>
      <c r="AR1" s="841" t="s">
        <v>4582</v>
      </c>
      <c r="AS1" s="843" t="s">
        <v>4586</v>
      </c>
      <c r="AT1" s="841" t="s">
        <v>4595</v>
      </c>
      <c r="AU1" s="841" t="s">
        <v>4600</v>
      </c>
      <c r="AV1" s="841" t="s">
        <v>4599</v>
      </c>
    </row>
    <row r="2" spans="1:48" hidden="1">
      <c r="A2" s="564">
        <v>518</v>
      </c>
      <c r="B2" s="565" t="s">
        <v>280</v>
      </c>
      <c r="C2" s="565" t="s">
        <v>281</v>
      </c>
      <c r="D2" s="566">
        <v>109218</v>
      </c>
      <c r="E2" s="567" t="s">
        <v>282</v>
      </c>
      <c r="F2" s="568" t="s">
        <v>149</v>
      </c>
      <c r="G2" s="568" t="s">
        <v>283</v>
      </c>
      <c r="H2" s="568" t="s">
        <v>26</v>
      </c>
      <c r="I2" s="569" t="s">
        <v>284</v>
      </c>
      <c r="J2" s="569">
        <v>1</v>
      </c>
      <c r="K2" s="568" t="s">
        <v>285</v>
      </c>
      <c r="L2" s="570">
        <v>43278</v>
      </c>
      <c r="M2" s="571">
        <v>5.9499999999999997E-2</v>
      </c>
      <c r="N2" s="568" t="s">
        <v>286</v>
      </c>
      <c r="O2" s="568"/>
      <c r="P2" s="571" t="str">
        <f>VLOOKUP(A2,'[1]Raw data'!$B:$BB,23,FALSE)</f>
        <v>RMB</v>
      </c>
      <c r="Q2" s="568" t="str">
        <f>VLOOKUP(A2,'[1]Raw data'!$B:$Z,2,FALSE)</f>
        <v>C49SZX20190175SX</v>
      </c>
      <c r="R2" s="568" t="str">
        <f>VLOOKUP(A2,'[1]Raw data'!$B:$Z,3,FALSE)</f>
        <v>安林</v>
      </c>
      <c r="S2" s="568" t="str">
        <f>VLOOKUP(A2,'[1]Raw data'!$B:$Z,4,FALSE)</f>
        <v>YSM40R-4</v>
      </c>
      <c r="T2" s="568" t="str">
        <f>VLOOKUP(A2,'[1]Raw data'!$B:$Z,8,FALSE)</f>
        <v>L-&gt;R</v>
      </c>
      <c r="U2" s="568" t="str">
        <f>VLOOKUP(A2,'[1]Raw data'!$B:$Z,9,FALSE)</f>
        <v>No</v>
      </c>
      <c r="V2" s="572" t="str">
        <f t="shared" ref="V2:V33" si="0">IF(G2&amp;H2=T2&amp;U2,"OK","WRONG")</f>
        <v>WRONG</v>
      </c>
      <c r="W2" s="568" t="str">
        <f>VLOOKUP(A2,'[1]Raw data'!$B:$AG,32,FALSE)</f>
        <v>DDP DG</v>
      </c>
      <c r="X2" s="568">
        <f>VLOOKUP(A2,'[1]Raw data'!$B:$BA,31,FALSE)</f>
        <v>43796</v>
      </c>
      <c r="Y2" s="568" t="str">
        <f>VLOOKUP(A2,'[1]Raw data'!$B:$AS,39,FALSE)</f>
        <v>Yes</v>
      </c>
      <c r="Z2" s="573">
        <v>43315</v>
      </c>
      <c r="AA2" s="574">
        <v>43328</v>
      </c>
      <c r="AB2" s="575"/>
      <c r="AC2" s="568" t="s">
        <v>287</v>
      </c>
      <c r="AN2" s="547"/>
      <c r="AO2" s="829" t="str">
        <f>IFERROR(IF(Y2&lt;&gt;"",Y2,"No"),"No")</f>
        <v>Yes</v>
      </c>
      <c r="AP2" s="259" t="str">
        <f>IFERROR(IF(N2&lt;&gt;"",N2,"blank"),"NA")</f>
        <v>DEC 19</v>
      </c>
      <c r="AQ2" s="547" t="str">
        <f>IFERROR(IF(AND(AO2="Yes", AP2&lt;&gt;"blank"), "有定金+有預留客戶", IF(AND(AO2="Yes", AP2="blank"), "有定金+无客戶送貨期", IF(AND(OR(AO2="No", ISBLANK(AO2), AO2="NA"), AP2&lt;&gt;"blank"), "无定金+有預留客戶", IF(AND(OR(AO2="No", ISBLANK(AO2), AO2="NA"), AP2="blank"), "无定金+无預留客戶", "")))), "")</f>
        <v>有定金+有預留客戶</v>
      </c>
      <c r="AR2" s="259" t="str">
        <f>IFERROR(IF(B2="已经到货", "Instock", IF(B2="有交期", "Incoming_Stock_With_YAMAHA_Schedule", IF(B2="TBA.", "Incoming_Stock_No_YAMAHA_Schedule", IF(B2="已发货", "Shipped_Stock", "")))), "")</f>
        <v>Shipped_Stock</v>
      </c>
      <c r="AS2" s="259" t="str">
        <f>IF(AND(B2="有交期", L2&lt;&gt;""), L2, "")</f>
        <v/>
      </c>
      <c r="AT2" s="259" t="str">
        <f>IFERROR(IF(R2&lt;&gt;"",R2),"-")</f>
        <v>安林</v>
      </c>
      <c r="AU2" s="259" t="str">
        <f>IFERROR(IF(Q2&lt;&gt;"",Q2),"-")</f>
        <v>C49SZX20190175SX</v>
      </c>
      <c r="AV2" s="259" t="str">
        <f>IF(L2="","-",TEXT(L2,"mmm-dd"))</f>
        <v>Jun-27</v>
      </c>
    </row>
    <row r="3" spans="1:48" hidden="1">
      <c r="A3" s="564">
        <v>123</v>
      </c>
      <c r="B3" s="565" t="s">
        <v>280</v>
      </c>
      <c r="C3" s="565" t="s">
        <v>281</v>
      </c>
      <c r="D3" s="566">
        <v>109282</v>
      </c>
      <c r="E3" s="567" t="s">
        <v>236</v>
      </c>
      <c r="F3" s="568" t="s">
        <v>17</v>
      </c>
      <c r="G3" s="568" t="s">
        <v>24</v>
      </c>
      <c r="H3" s="568" t="s">
        <v>34</v>
      </c>
      <c r="I3" s="569" t="s">
        <v>288</v>
      </c>
      <c r="J3" s="569">
        <v>1</v>
      </c>
      <c r="K3" s="568" t="s">
        <v>285</v>
      </c>
      <c r="L3" s="570">
        <v>43278</v>
      </c>
      <c r="M3" s="571">
        <v>5.9499999999999997E-2</v>
      </c>
      <c r="N3" s="568" t="s">
        <v>289</v>
      </c>
      <c r="O3" s="568"/>
      <c r="P3" s="571" t="str">
        <f>VLOOKUP(A3,'[1]Raw data'!$B:$BB,23,FALSE)</f>
        <v>JPY</v>
      </c>
      <c r="Q3" s="568" t="str">
        <f>VLOOKUP(A3,'[1]Raw data'!$B:$Z,2,FALSE)</f>
        <v>C49SZX20180133SX</v>
      </c>
      <c r="R3" s="568" t="str">
        <f>VLOOKUP(A3,'[1]Raw data'!$B:$Z,3,FALSE)</f>
        <v>维众</v>
      </c>
      <c r="S3" s="568" t="str">
        <f>VLOOKUP(A3,'[1]Raw data'!$B:$Z,4,FALSE)</f>
        <v>YSM10</v>
      </c>
      <c r="T3" s="568" t="str">
        <f>VLOOKUP(A3,'[1]Raw data'!$B:$Z,8,FALSE)</f>
        <v>L-&gt;R</v>
      </c>
      <c r="U3" s="568" t="str">
        <f>VLOOKUP(A3,'[1]Raw data'!$B:$Z,9,FALSE)</f>
        <v>MVC+ATS15</v>
      </c>
      <c r="V3" s="572" t="str">
        <f t="shared" si="0"/>
        <v>OK</v>
      </c>
      <c r="W3" s="568" t="str">
        <f>VLOOKUP(A3,'[1]Raw data'!$B:$AG,32,FALSE)</f>
        <v>DAP 东莞</v>
      </c>
      <c r="X3" s="568">
        <f>VLOOKUP(A3,'[1]Raw data'!$B:$BA,31,FALSE)</f>
        <v>43335</v>
      </c>
      <c r="Y3" s="568" t="str">
        <f>VLOOKUP(A3,'[1]Raw data'!$B:$AS,39,FALSE)</f>
        <v>Yes</v>
      </c>
      <c r="Z3" s="573" t="s">
        <v>290</v>
      </c>
      <c r="AA3" s="574" t="s">
        <v>290</v>
      </c>
      <c r="AB3" s="575"/>
      <c r="AC3" s="568" t="s">
        <v>291</v>
      </c>
      <c r="AN3" s="547"/>
      <c r="AO3" s="829" t="str">
        <f t="shared" ref="AO3:AO66" si="1">IFERROR(IF(Y3&lt;&gt;"",Y3,"No"),"No")</f>
        <v>Yes</v>
      </c>
      <c r="AP3" s="259" t="str">
        <f t="shared" ref="AP3:AP66" si="2">IFERROR(IF(N3&lt;&gt;"",N3,"blank"),"NA")</f>
        <v>DEC 18</v>
      </c>
      <c r="AQ3" s="547" t="str">
        <f t="shared" ref="AQ3:AQ66" si="3">IFERROR(IF(AND(AO3="Yes", AP3&lt;&gt;"blank"), "有定金+有預留客戶", IF(AND(AO3="Yes", AP3="blank"), "有定金+无客戶送貨期", IF(AND(OR(AO3="No", ISBLANK(AO3), AO3="NA"), AP3&lt;&gt;"blank"), "无定金+有預留客戶", IF(AND(OR(AO3="No", ISBLANK(AO3), AO3="NA"), AP3="blank"), "无定金+无預留客戶", "")))), "")</f>
        <v>有定金+有預留客戶</v>
      </c>
      <c r="AR3" s="259" t="str">
        <f t="shared" ref="AR3:AR66" si="4">IFERROR(IF(B3="已经到货", "Instock", IF(B3="有交期", "Incoming_Stock_With_YAMAHA_Schedule", IF(B3="TBA.", "Incoming_Stock_No_YAMAHA_Schedule", IF(B3="已发货", "Shipped_Stock", "")))), "")</f>
        <v>Shipped_Stock</v>
      </c>
      <c r="AS3" s="259" t="str">
        <f t="shared" ref="AS3:AS66" si="5">IF(AND(B3="有交期", L3&lt;&gt;""), L3, "")</f>
        <v/>
      </c>
      <c r="AT3" s="259" t="str">
        <f t="shared" ref="AT3:AT66" si="6">IFERROR(IF(R3&lt;&gt;"",R3),"-")</f>
        <v>维众</v>
      </c>
      <c r="AU3" s="259" t="str">
        <f t="shared" ref="AU3:AU66" si="7">IFERROR(IF(Q3&lt;&gt;"",Q3),"-")</f>
        <v>C49SZX20180133SX</v>
      </c>
      <c r="AV3" s="259" t="str">
        <f t="shared" ref="AV3:AV66" si="8">IF(L3="","-",TEXT(L3,"mmm-dd"))</f>
        <v>Jun-27</v>
      </c>
    </row>
    <row r="4" spans="1:48" hidden="1">
      <c r="A4" s="564">
        <v>124</v>
      </c>
      <c r="B4" s="565" t="s">
        <v>280</v>
      </c>
      <c r="C4" s="565" t="s">
        <v>281</v>
      </c>
      <c r="D4" s="566">
        <v>109282</v>
      </c>
      <c r="E4" s="567" t="s">
        <v>236</v>
      </c>
      <c r="F4" s="568" t="s">
        <v>17</v>
      </c>
      <c r="G4" s="568" t="s">
        <v>24</v>
      </c>
      <c r="H4" s="568" t="s">
        <v>292</v>
      </c>
      <c r="I4" s="569" t="s">
        <v>293</v>
      </c>
      <c r="J4" s="569">
        <v>1</v>
      </c>
      <c r="K4" s="568" t="s">
        <v>285</v>
      </c>
      <c r="L4" s="570">
        <v>43278</v>
      </c>
      <c r="M4" s="571">
        <v>5.9499999999999997E-2</v>
      </c>
      <c r="N4" s="568" t="s">
        <v>289</v>
      </c>
      <c r="O4" s="568"/>
      <c r="P4" s="571" t="str">
        <f>VLOOKUP(A4,'[1]Raw data'!$B:$BB,23,FALSE)</f>
        <v>JPY</v>
      </c>
      <c r="Q4" s="568" t="str">
        <f>VLOOKUP(A4,'[1]Raw data'!$B:$Z,2,FALSE)</f>
        <v>C49SZX20180133SX</v>
      </c>
      <c r="R4" s="568" t="str">
        <f>VLOOKUP(A4,'[1]Raw data'!$B:$Z,3,FALSE)</f>
        <v>维众</v>
      </c>
      <c r="S4" s="568" t="str">
        <f>VLOOKUP(A4,'[1]Raw data'!$B:$Z,4,FALSE)</f>
        <v>YSM10</v>
      </c>
      <c r="T4" s="568" t="str">
        <f>VLOOKUP(A4,'[1]Raw data'!$B:$Z,8,FALSE)</f>
        <v>L-&gt;R</v>
      </c>
      <c r="U4" s="568" t="str">
        <f>VLOOKUP(A4,'[1]Raw data'!$B:$Z,9,FALSE)</f>
        <v>MVC+ATS15</v>
      </c>
      <c r="V4" s="572" t="str">
        <f t="shared" si="0"/>
        <v>OK</v>
      </c>
      <c r="W4" s="568" t="str">
        <f>VLOOKUP(A4,'[1]Raw data'!$B:$AG,32,FALSE)</f>
        <v>DAP 东莞</v>
      </c>
      <c r="X4" s="568">
        <f>VLOOKUP(A4,'[1]Raw data'!$B:$BA,31,FALSE)</f>
        <v>43335</v>
      </c>
      <c r="Y4" s="568" t="str">
        <f>VLOOKUP(A4,'[1]Raw data'!$B:$AS,39,FALSE)</f>
        <v>Yes</v>
      </c>
      <c r="Z4" s="573" t="s">
        <v>290</v>
      </c>
      <c r="AA4" s="574" t="s">
        <v>290</v>
      </c>
      <c r="AB4" s="575"/>
      <c r="AC4" s="568" t="s">
        <v>291</v>
      </c>
      <c r="AN4" s="547"/>
      <c r="AO4" s="829" t="str">
        <f t="shared" si="1"/>
        <v>Yes</v>
      </c>
      <c r="AP4" s="259" t="str">
        <f t="shared" si="2"/>
        <v>DEC 18</v>
      </c>
      <c r="AQ4" s="547" t="str">
        <f t="shared" si="3"/>
        <v>有定金+有預留客戶</v>
      </c>
      <c r="AR4" s="259" t="str">
        <f t="shared" si="4"/>
        <v>Shipped_Stock</v>
      </c>
      <c r="AS4" s="259" t="str">
        <f t="shared" si="5"/>
        <v/>
      </c>
      <c r="AT4" s="259" t="str">
        <f t="shared" si="6"/>
        <v>维众</v>
      </c>
      <c r="AU4" s="259" t="str">
        <f t="shared" si="7"/>
        <v>C49SZX20180133SX</v>
      </c>
      <c r="AV4" s="259" t="str">
        <f t="shared" si="8"/>
        <v>Jun-27</v>
      </c>
    </row>
    <row r="5" spans="1:48" ht="13.5" hidden="1" thickBot="1">
      <c r="A5" s="564">
        <v>152</v>
      </c>
      <c r="B5" s="565" t="s">
        <v>280</v>
      </c>
      <c r="C5" s="565" t="s">
        <v>281</v>
      </c>
      <c r="D5" s="578">
        <v>109218</v>
      </c>
      <c r="E5" s="567" t="s">
        <v>282</v>
      </c>
      <c r="F5" s="568" t="s">
        <v>149</v>
      </c>
      <c r="G5" s="568" t="s">
        <v>283</v>
      </c>
      <c r="H5" s="568" t="s">
        <v>26</v>
      </c>
      <c r="I5" s="569" t="s">
        <v>294</v>
      </c>
      <c r="J5" s="569">
        <v>1</v>
      </c>
      <c r="K5" s="568" t="s">
        <v>295</v>
      </c>
      <c r="L5" s="570">
        <v>43278</v>
      </c>
      <c r="M5" s="571">
        <v>5.9499999999999997E-2</v>
      </c>
      <c r="N5" s="568" t="s">
        <v>296</v>
      </c>
      <c r="O5" s="568"/>
      <c r="P5" s="571" t="str">
        <f>VLOOKUP(A5,'[1]Raw data'!$B:$BB,23,FALSE)</f>
        <v>RMB</v>
      </c>
      <c r="Q5" s="568" t="str">
        <f>VLOOKUP(A5,'[1]Raw data'!$B:$Z,2,FALSE)</f>
        <v>C49SZX20180162SS</v>
      </c>
      <c r="R5" s="568" t="str">
        <f>VLOOKUP(A5,'[1]Raw data'!$B:$Z,3,FALSE)</f>
        <v>龙大光电</v>
      </c>
      <c r="S5" s="568" t="str">
        <f>VLOOKUP(A5,'[1]Raw data'!$B:$Z,4,FALSE)</f>
        <v>YSM40R-4</v>
      </c>
      <c r="T5" s="568" t="str">
        <f>VLOOKUP(A5,'[1]Raw data'!$B:$Z,8,FALSE)</f>
        <v>R-&gt;L</v>
      </c>
      <c r="U5" s="568" t="str">
        <f>VLOOKUP(A5,'[1]Raw data'!$B:$Z,9,FALSE)</f>
        <v>No</v>
      </c>
      <c r="V5" s="572" t="str">
        <f t="shared" si="0"/>
        <v>WRONG</v>
      </c>
      <c r="W5" s="568" t="str">
        <f>VLOOKUP(A5,'[1]Raw data'!$B:$AG,32,FALSE)</f>
        <v>含税到厂</v>
      </c>
      <c r="X5" s="568">
        <f>VLOOKUP(A5,'[1]Raw data'!$B:$BA,31,FALSE)</f>
        <v>43411</v>
      </c>
      <c r="Y5" s="568" t="str">
        <f>VLOOKUP(A5,'[1]Raw data'!$B:$AS,39,FALSE)</f>
        <v>Yes</v>
      </c>
      <c r="Z5" s="573">
        <v>43388</v>
      </c>
      <c r="AA5" s="574">
        <v>43399</v>
      </c>
      <c r="AB5" s="575"/>
      <c r="AC5" s="568" t="s">
        <v>291</v>
      </c>
      <c r="AN5" s="547"/>
      <c r="AO5" s="829" t="str">
        <f t="shared" si="1"/>
        <v>Yes</v>
      </c>
      <c r="AP5" s="259" t="str">
        <f t="shared" si="2"/>
        <v>JAN 19</v>
      </c>
      <c r="AQ5" s="547" t="str">
        <f t="shared" si="3"/>
        <v>有定金+有預留客戶</v>
      </c>
      <c r="AR5" s="259" t="str">
        <f t="shared" si="4"/>
        <v>Shipped_Stock</v>
      </c>
      <c r="AS5" s="259" t="str">
        <f t="shared" si="5"/>
        <v/>
      </c>
      <c r="AT5" s="259" t="str">
        <f t="shared" si="6"/>
        <v>龙大光电</v>
      </c>
      <c r="AU5" s="259" t="str">
        <f t="shared" si="7"/>
        <v>C49SZX20180162SS</v>
      </c>
      <c r="AV5" s="259" t="str">
        <f t="shared" si="8"/>
        <v>Jun-27</v>
      </c>
    </row>
    <row r="6" spans="1:48" hidden="1">
      <c r="A6" s="564">
        <v>153</v>
      </c>
      <c r="B6" s="565" t="s">
        <v>280</v>
      </c>
      <c r="C6" s="565" t="s">
        <v>281</v>
      </c>
      <c r="D6" s="569">
        <v>109218</v>
      </c>
      <c r="E6" s="567" t="s">
        <v>282</v>
      </c>
      <c r="F6" s="568" t="s">
        <v>149</v>
      </c>
      <c r="G6" s="568" t="s">
        <v>283</v>
      </c>
      <c r="H6" s="568" t="s">
        <v>26</v>
      </c>
      <c r="I6" s="569" t="s">
        <v>297</v>
      </c>
      <c r="J6" s="569">
        <v>1</v>
      </c>
      <c r="K6" s="568" t="s">
        <v>295</v>
      </c>
      <c r="L6" s="570">
        <v>43278</v>
      </c>
      <c r="M6" s="571">
        <v>5.9499999999999997E-2</v>
      </c>
      <c r="N6" s="579" t="s">
        <v>296</v>
      </c>
      <c r="O6" s="579"/>
      <c r="P6" s="571" t="str">
        <f>VLOOKUP(A6,'[1]Raw data'!$B:$BB,23,FALSE)</f>
        <v>RMB</v>
      </c>
      <c r="Q6" s="568" t="str">
        <f>VLOOKUP(A6,'[1]Raw data'!$B:$Z,2,FALSE)</f>
        <v>C49SZX20180162SS</v>
      </c>
      <c r="R6" s="568" t="str">
        <f>VLOOKUP(A6,'[1]Raw data'!$B:$Z,3,FALSE)</f>
        <v>龙大光电</v>
      </c>
      <c r="S6" s="568" t="str">
        <f>VLOOKUP(A6,'[1]Raw data'!$B:$Z,4,FALSE)</f>
        <v>YSM40R-4</v>
      </c>
      <c r="T6" s="568" t="str">
        <f>VLOOKUP(A6,'[1]Raw data'!$B:$Z,8,FALSE)</f>
        <v>R-&gt;L</v>
      </c>
      <c r="U6" s="568" t="str">
        <f>VLOOKUP(A6,'[1]Raw data'!$B:$Z,9,FALSE)</f>
        <v>No</v>
      </c>
      <c r="V6" s="572" t="str">
        <f t="shared" si="0"/>
        <v>WRONG</v>
      </c>
      <c r="W6" s="568" t="str">
        <f>VLOOKUP(A6,'[1]Raw data'!$B:$AG,32,FALSE)</f>
        <v>含税到厂</v>
      </c>
      <c r="X6" s="568">
        <f>VLOOKUP(A6,'[1]Raw data'!$B:$BA,31,FALSE)</f>
        <v>43411</v>
      </c>
      <c r="Y6" s="568" t="str">
        <f>VLOOKUP(A6,'[1]Raw data'!$B:$AS,39,FALSE)</f>
        <v>Yes</v>
      </c>
      <c r="Z6" s="573">
        <v>43315</v>
      </c>
      <c r="AA6" s="574">
        <v>43328</v>
      </c>
      <c r="AB6" s="575"/>
      <c r="AC6" s="568" t="s">
        <v>291</v>
      </c>
      <c r="AN6" s="547"/>
      <c r="AO6" s="829" t="str">
        <f t="shared" si="1"/>
        <v>Yes</v>
      </c>
      <c r="AP6" s="259" t="str">
        <f t="shared" si="2"/>
        <v>JAN 19</v>
      </c>
      <c r="AQ6" s="547" t="str">
        <f t="shared" si="3"/>
        <v>有定金+有預留客戶</v>
      </c>
      <c r="AR6" s="259" t="str">
        <f t="shared" si="4"/>
        <v>Shipped_Stock</v>
      </c>
      <c r="AS6" s="259" t="str">
        <f t="shared" si="5"/>
        <v/>
      </c>
      <c r="AT6" s="259" t="str">
        <f t="shared" si="6"/>
        <v>龙大光电</v>
      </c>
      <c r="AU6" s="259" t="str">
        <f t="shared" si="7"/>
        <v>C49SZX20180162SS</v>
      </c>
      <c r="AV6" s="259" t="str">
        <f t="shared" si="8"/>
        <v>Jun-27</v>
      </c>
    </row>
    <row r="7" spans="1:48" hidden="1">
      <c r="A7" s="564">
        <v>563</v>
      </c>
      <c r="B7" s="565" t="s">
        <v>280</v>
      </c>
      <c r="C7" s="565" t="s">
        <v>281</v>
      </c>
      <c r="D7" s="580">
        <v>109218</v>
      </c>
      <c r="E7" s="567" t="s">
        <v>282</v>
      </c>
      <c r="F7" s="568" t="s">
        <v>298</v>
      </c>
      <c r="G7" s="568" t="s">
        <v>283</v>
      </c>
      <c r="H7" s="568" t="s">
        <v>26</v>
      </c>
      <c r="I7" s="569" t="s">
        <v>299</v>
      </c>
      <c r="J7" s="569">
        <v>1</v>
      </c>
      <c r="K7" s="568" t="s">
        <v>295</v>
      </c>
      <c r="L7" s="570">
        <v>43278</v>
      </c>
      <c r="M7" s="581">
        <v>5.9499999999999997E-2</v>
      </c>
      <c r="N7" s="568" t="s">
        <v>300</v>
      </c>
      <c r="O7" s="568"/>
      <c r="P7" s="571" t="str">
        <f>VLOOKUP(A7,'[1]Raw data'!$B:$BB,23,FALSE)</f>
        <v>RMB</v>
      </c>
      <c r="Q7" s="568" t="str">
        <f>VLOOKUP(A7,'[1]Raw data'!$B:$Z,2,FALSE)</f>
        <v>C49SZX20190193SS</v>
      </c>
      <c r="R7" s="568" t="str">
        <f>VLOOKUP(A7,'[1]Raw data'!$B:$Z,3,FALSE)</f>
        <v>明昌</v>
      </c>
      <c r="S7" s="568" t="str">
        <f>VLOOKUP(A7,'[1]Raw data'!$B:$Z,4,FALSE)</f>
        <v>YSM40R-4</v>
      </c>
      <c r="T7" s="568" t="str">
        <f>VLOOKUP(A7,'[1]Raw data'!$B:$Z,8,FALSE)</f>
        <v>L-&gt;R</v>
      </c>
      <c r="U7" s="568" t="str">
        <f>VLOOKUP(A7,'[1]Raw data'!$B:$Z,9,FALSE)</f>
        <v>No</v>
      </c>
      <c r="V7" s="572" t="str">
        <f t="shared" si="0"/>
        <v>WRONG</v>
      </c>
      <c r="W7" s="568" t="str">
        <f>VLOOKUP(A7,'[1]Raw data'!$B:$AG,32,FALSE)</f>
        <v>含税到厂</v>
      </c>
      <c r="X7" s="568">
        <f>VLOOKUP(A7,'[1]Raw data'!$B:$BA,31,FALSE)</f>
        <v>43838</v>
      </c>
      <c r="Y7" s="568" t="str">
        <f>VLOOKUP(A7,'[1]Raw data'!$B:$AS,39,FALSE)</f>
        <v>Yes</v>
      </c>
      <c r="Z7" s="582"/>
      <c r="AA7" s="583"/>
      <c r="AB7" s="584"/>
      <c r="AC7" s="568" t="s">
        <v>301</v>
      </c>
      <c r="AN7" s="547"/>
      <c r="AO7" s="829" t="str">
        <f t="shared" si="1"/>
        <v>Yes</v>
      </c>
      <c r="AP7" s="259" t="str">
        <f t="shared" si="2"/>
        <v>JUL 20</v>
      </c>
      <c r="AQ7" s="547" t="str">
        <f t="shared" si="3"/>
        <v>有定金+有預留客戶</v>
      </c>
      <c r="AR7" s="259" t="str">
        <f t="shared" si="4"/>
        <v>Shipped_Stock</v>
      </c>
      <c r="AS7" s="259" t="str">
        <f t="shared" si="5"/>
        <v/>
      </c>
      <c r="AT7" s="259" t="str">
        <f t="shared" si="6"/>
        <v>明昌</v>
      </c>
      <c r="AU7" s="259" t="str">
        <f t="shared" si="7"/>
        <v>C49SZX20190193SS</v>
      </c>
      <c r="AV7" s="259" t="str">
        <f t="shared" si="8"/>
        <v>Jun-27</v>
      </c>
    </row>
    <row r="8" spans="1:48" hidden="1">
      <c r="A8" s="564">
        <v>166</v>
      </c>
      <c r="B8" s="568" t="s">
        <v>280</v>
      </c>
      <c r="C8" s="565" t="s">
        <v>281</v>
      </c>
      <c r="D8" s="569">
        <v>109482</v>
      </c>
      <c r="E8" s="568" t="s">
        <v>302</v>
      </c>
      <c r="F8" s="568" t="s">
        <v>303</v>
      </c>
      <c r="G8" s="568" t="s">
        <v>18</v>
      </c>
      <c r="H8" s="568" t="s">
        <v>26</v>
      </c>
      <c r="I8" s="569" t="s">
        <v>304</v>
      </c>
      <c r="J8" s="569">
        <v>1</v>
      </c>
      <c r="K8" s="568" t="s">
        <v>305</v>
      </c>
      <c r="L8" s="570" t="s">
        <v>306</v>
      </c>
      <c r="M8" s="571" t="s">
        <v>307</v>
      </c>
      <c r="N8" s="568" t="s">
        <v>289</v>
      </c>
      <c r="O8" s="568"/>
      <c r="P8" s="571" t="str">
        <f>VLOOKUP(A8,'[1]Raw data'!$B:$BB,23,FALSE)</f>
        <v>JPY</v>
      </c>
      <c r="Q8" s="568" t="str">
        <f>VLOOKUP(A8,'[1]Raw data'!$B:$Z,2,FALSE)</f>
        <v>C49SZX20180166ZX</v>
      </c>
      <c r="R8" s="568" t="str">
        <f>VLOOKUP(A8,'[1]Raw data'!$B:$Z,3,FALSE)</f>
        <v>比泰利</v>
      </c>
      <c r="S8" s="568" t="str">
        <f>VLOOKUP(A8,'[1]Raw data'!$B:$Z,4,FALSE)</f>
        <v>YS12</v>
      </c>
      <c r="T8" s="568" t="str">
        <f>VLOOKUP(A8,'[1]Raw data'!$B:$Z,8,FALSE)</f>
        <v>L-&gt;R</v>
      </c>
      <c r="U8" s="568" t="str">
        <f>VLOOKUP(A8,'[1]Raw data'!$B:$Z,9,FALSE)</f>
        <v>MVC+Rear 站位</v>
      </c>
      <c r="V8" s="572" t="str">
        <f t="shared" si="0"/>
        <v>WRONG</v>
      </c>
      <c r="W8" s="568" t="str">
        <f>VLOOKUP(A8,'[1]Raw data'!$B:$AG,32,FALSE)</f>
        <v>DAP</v>
      </c>
      <c r="X8" s="568">
        <f>VLOOKUP(A8,'[1]Raw data'!$B:$BA,31,FALSE)</f>
        <v>43416</v>
      </c>
      <c r="Y8" s="568" t="str">
        <f>VLOOKUP(A8,'[1]Raw data'!$B:$AS,39,FALSE)</f>
        <v>Yes</v>
      </c>
      <c r="Z8" s="573" t="s">
        <v>290</v>
      </c>
      <c r="AA8" s="574" t="s">
        <v>290</v>
      </c>
      <c r="AB8" s="575"/>
      <c r="AC8" s="568" t="s">
        <v>291</v>
      </c>
      <c r="AO8" s="829" t="str">
        <f t="shared" si="1"/>
        <v>Yes</v>
      </c>
      <c r="AP8" s="259" t="str">
        <f t="shared" si="2"/>
        <v>DEC 18</v>
      </c>
      <c r="AQ8" s="547" t="str">
        <f t="shared" si="3"/>
        <v>有定金+有預留客戶</v>
      </c>
      <c r="AR8" s="259" t="str">
        <f t="shared" si="4"/>
        <v>Shipped_Stock</v>
      </c>
      <c r="AS8" s="259" t="str">
        <f t="shared" si="5"/>
        <v/>
      </c>
      <c r="AT8" s="259" t="str">
        <f t="shared" si="6"/>
        <v>比泰利</v>
      </c>
      <c r="AU8" s="259" t="str">
        <f t="shared" si="7"/>
        <v>C49SZX20180166ZX</v>
      </c>
      <c r="AV8" s="259" t="str">
        <f t="shared" si="8"/>
        <v>Wkk 仓库</v>
      </c>
    </row>
    <row r="9" spans="1:48" hidden="1">
      <c r="A9" s="564">
        <v>167</v>
      </c>
      <c r="B9" s="568" t="s">
        <v>280</v>
      </c>
      <c r="C9" s="565" t="s">
        <v>281</v>
      </c>
      <c r="D9" s="569">
        <v>109482</v>
      </c>
      <c r="E9" s="568" t="s">
        <v>302</v>
      </c>
      <c r="F9" s="568" t="s">
        <v>303</v>
      </c>
      <c r="G9" s="568" t="s">
        <v>18</v>
      </c>
      <c r="H9" s="568" t="s">
        <v>26</v>
      </c>
      <c r="I9" s="569" t="s">
        <v>308</v>
      </c>
      <c r="J9" s="569">
        <v>1</v>
      </c>
      <c r="K9" s="568" t="s">
        <v>305</v>
      </c>
      <c r="L9" s="570" t="s">
        <v>306</v>
      </c>
      <c r="M9" s="571" t="s">
        <v>307</v>
      </c>
      <c r="N9" s="568" t="s">
        <v>289</v>
      </c>
      <c r="O9" s="568"/>
      <c r="P9" s="571" t="str">
        <f>VLOOKUP(A9,'[1]Raw data'!$B:$BB,23,FALSE)</f>
        <v>JPY</v>
      </c>
      <c r="Q9" s="568" t="str">
        <f>VLOOKUP(A9,'[1]Raw data'!$B:$Z,2,FALSE)</f>
        <v>C49SZX20180166ZX</v>
      </c>
      <c r="R9" s="568" t="str">
        <f>VLOOKUP(A9,'[1]Raw data'!$B:$Z,3,FALSE)</f>
        <v>比泰利</v>
      </c>
      <c r="S9" s="568" t="str">
        <f>VLOOKUP(A9,'[1]Raw data'!$B:$Z,4,FALSE)</f>
        <v>YS12</v>
      </c>
      <c r="T9" s="568" t="str">
        <f>VLOOKUP(A9,'[1]Raw data'!$B:$Z,8,FALSE)</f>
        <v>R-&gt;L</v>
      </c>
      <c r="U9" s="568" t="str">
        <f>VLOOKUP(A9,'[1]Raw data'!$B:$Z,9,FALSE)</f>
        <v>MVC+Rear 站位</v>
      </c>
      <c r="V9" s="572" t="str">
        <f t="shared" si="0"/>
        <v>WRONG</v>
      </c>
      <c r="W9" s="568" t="str">
        <f>VLOOKUP(A9,'[1]Raw data'!$B:$AG,32,FALSE)</f>
        <v>DAP</v>
      </c>
      <c r="X9" s="568">
        <f>VLOOKUP(A9,'[1]Raw data'!$B:$BA,31,FALSE)</f>
        <v>43416</v>
      </c>
      <c r="Y9" s="568" t="str">
        <f>VLOOKUP(A9,'[1]Raw data'!$B:$AS,39,FALSE)</f>
        <v>Yes</v>
      </c>
      <c r="Z9" s="573" t="s">
        <v>290</v>
      </c>
      <c r="AA9" s="574" t="s">
        <v>290</v>
      </c>
      <c r="AB9" s="575"/>
      <c r="AC9" s="568" t="s">
        <v>291</v>
      </c>
      <c r="AO9" s="829" t="str">
        <f t="shared" si="1"/>
        <v>Yes</v>
      </c>
      <c r="AP9" s="259" t="str">
        <f t="shared" si="2"/>
        <v>DEC 18</v>
      </c>
      <c r="AQ9" s="547" t="str">
        <f t="shared" si="3"/>
        <v>有定金+有預留客戶</v>
      </c>
      <c r="AR9" s="259" t="str">
        <f t="shared" si="4"/>
        <v>Shipped_Stock</v>
      </c>
      <c r="AS9" s="259" t="str">
        <f t="shared" si="5"/>
        <v/>
      </c>
      <c r="AT9" s="259" t="str">
        <f t="shared" si="6"/>
        <v>比泰利</v>
      </c>
      <c r="AU9" s="259" t="str">
        <f t="shared" si="7"/>
        <v>C49SZX20180166ZX</v>
      </c>
      <c r="AV9" s="259" t="str">
        <f t="shared" si="8"/>
        <v>Wkk 仓库</v>
      </c>
    </row>
    <row r="10" spans="1:48" hidden="1">
      <c r="A10" s="564">
        <v>96</v>
      </c>
      <c r="B10" s="568" t="s">
        <v>280</v>
      </c>
      <c r="C10" s="565" t="s">
        <v>281</v>
      </c>
      <c r="D10" s="569">
        <v>109382</v>
      </c>
      <c r="E10" s="568" t="s">
        <v>309</v>
      </c>
      <c r="F10" s="568" t="s">
        <v>256</v>
      </c>
      <c r="G10" s="568" t="s">
        <v>24</v>
      </c>
      <c r="H10" s="568" t="s">
        <v>159</v>
      </c>
      <c r="I10" s="569" t="s">
        <v>310</v>
      </c>
      <c r="J10" s="569">
        <v>1</v>
      </c>
      <c r="K10" s="568" t="s">
        <v>311</v>
      </c>
      <c r="L10" s="570" t="s">
        <v>312</v>
      </c>
      <c r="M10" s="571">
        <v>6.1600000000000002E-2</v>
      </c>
      <c r="N10" s="568" t="s">
        <v>313</v>
      </c>
      <c r="P10" s="571" t="str">
        <f>VLOOKUP(A10,'[1]Raw data'!$B:$BB,23,FALSE)</f>
        <v>JPY</v>
      </c>
      <c r="Q10" s="568" t="str">
        <f>VLOOKUP(A10,'[1]Raw data'!$B:$Z,2,FALSE)</f>
        <v>C49SZX20180101JL</v>
      </c>
      <c r="R10" s="568" t="str">
        <f>VLOOKUP(A10,'[1]Raw data'!$B:$Z,3,FALSE)</f>
        <v>易而达</v>
      </c>
      <c r="S10" s="568" t="str">
        <f>VLOOKUP(A10,'[1]Raw data'!$B:$Z,4,FALSE)</f>
        <v>YSM20-2</v>
      </c>
      <c r="T10" s="568" t="str">
        <f>VLOOKUP(A10,'[1]Raw data'!$B:$Z,8,FALSE)</f>
        <v>L-&gt;R</v>
      </c>
      <c r="U10" s="568" t="str">
        <f>VLOOKUP(A10,'[1]Raw data'!$B:$Z,9,FALSE)</f>
        <v>cATS10+MVC+special layout</v>
      </c>
      <c r="V10" s="572" t="str">
        <f t="shared" si="0"/>
        <v>OK</v>
      </c>
      <c r="W10" s="568" t="str">
        <f>VLOOKUP(A10,'[1]Raw data'!$B:$AG,32,FALSE)</f>
        <v>DAP 广州</v>
      </c>
      <c r="X10" s="568">
        <f>VLOOKUP(A10,'[1]Raw data'!$B:$BA,31,FALSE)</f>
        <v>43266</v>
      </c>
      <c r="Y10" s="568" t="str">
        <f>VLOOKUP(A10,'[1]Raw data'!$B:$AS,39,FALSE)</f>
        <v>Yes</v>
      </c>
      <c r="Z10" s="573" t="s">
        <v>290</v>
      </c>
      <c r="AA10" s="574" t="s">
        <v>290</v>
      </c>
      <c r="AB10" s="575"/>
      <c r="AC10" s="568" t="s">
        <v>291</v>
      </c>
      <c r="AO10" s="829" t="str">
        <f t="shared" si="1"/>
        <v>Yes</v>
      </c>
      <c r="AP10" s="259" t="str">
        <f t="shared" si="2"/>
        <v>OCT 18</v>
      </c>
      <c r="AQ10" s="547" t="str">
        <f t="shared" si="3"/>
        <v>有定金+有預留客戶</v>
      </c>
      <c r="AR10" s="259" t="str">
        <f t="shared" si="4"/>
        <v>Shipped_Stock</v>
      </c>
      <c r="AS10" s="259" t="str">
        <f t="shared" si="5"/>
        <v/>
      </c>
      <c r="AT10" s="259" t="str">
        <f t="shared" si="6"/>
        <v>易而达</v>
      </c>
      <c r="AU10" s="259" t="str">
        <f t="shared" si="7"/>
        <v>C49SZX20180101JL</v>
      </c>
      <c r="AV10" s="259" t="str">
        <f t="shared" si="8"/>
        <v>已经发货</v>
      </c>
    </row>
    <row r="11" spans="1:48" hidden="1">
      <c r="A11" s="564">
        <v>97</v>
      </c>
      <c r="B11" s="568" t="s">
        <v>280</v>
      </c>
      <c r="C11" s="565" t="s">
        <v>281</v>
      </c>
      <c r="D11" s="569">
        <v>109382</v>
      </c>
      <c r="E11" s="568" t="s">
        <v>309</v>
      </c>
      <c r="F11" s="568" t="s">
        <v>243</v>
      </c>
      <c r="G11" s="568" t="s">
        <v>24</v>
      </c>
      <c r="H11" s="568" t="s">
        <v>26</v>
      </c>
      <c r="I11" s="569" t="s">
        <v>314</v>
      </c>
      <c r="J11" s="569">
        <v>1</v>
      </c>
      <c r="K11" s="568" t="s">
        <v>311</v>
      </c>
      <c r="L11" s="570" t="s">
        <v>312</v>
      </c>
      <c r="M11" s="571">
        <v>6.1600000000000002E-2</v>
      </c>
      <c r="N11" s="568" t="s">
        <v>313</v>
      </c>
      <c r="P11" s="571" t="str">
        <f>VLOOKUP(A11,'[1]Raw data'!$B:$BB,23,FALSE)</f>
        <v>JPY</v>
      </c>
      <c r="Q11" s="568" t="str">
        <f>VLOOKUP(A11,'[1]Raw data'!$B:$Z,2,FALSE)</f>
        <v>C49SZX20180101JL</v>
      </c>
      <c r="R11" s="568" t="str">
        <f>VLOOKUP(A11,'[1]Raw data'!$B:$Z,3,FALSE)</f>
        <v>易而达</v>
      </c>
      <c r="S11" s="568" t="str">
        <f>VLOOKUP(A11,'[1]Raw data'!$B:$Z,4,FALSE)</f>
        <v>YSM20-2</v>
      </c>
      <c r="T11" s="568" t="str">
        <f>VLOOKUP(A11,'[1]Raw data'!$B:$Z,8,FALSE)</f>
        <v>L-&gt;R</v>
      </c>
      <c r="U11" s="568" t="str">
        <f>VLOOKUP(A11,'[1]Raw data'!$B:$Z,9,FALSE)</f>
        <v>No</v>
      </c>
      <c r="V11" s="572" t="str">
        <f t="shared" si="0"/>
        <v>OK</v>
      </c>
      <c r="W11" s="568" t="str">
        <f>VLOOKUP(A11,'[1]Raw data'!$B:$AG,32,FALSE)</f>
        <v>DAP 广州</v>
      </c>
      <c r="X11" s="568">
        <f>VLOOKUP(A11,'[1]Raw data'!$B:$BA,31,FALSE)</f>
        <v>43266</v>
      </c>
      <c r="Y11" s="568" t="str">
        <f>VLOOKUP(A11,'[1]Raw data'!$B:$AS,39,FALSE)</f>
        <v>Yes</v>
      </c>
      <c r="Z11" s="573" t="s">
        <v>290</v>
      </c>
      <c r="AA11" s="574" t="s">
        <v>290</v>
      </c>
      <c r="AB11" s="575"/>
      <c r="AC11" s="568" t="s">
        <v>291</v>
      </c>
      <c r="AO11" s="829" t="str">
        <f t="shared" si="1"/>
        <v>Yes</v>
      </c>
      <c r="AP11" s="259" t="str">
        <f t="shared" si="2"/>
        <v>OCT 18</v>
      </c>
      <c r="AQ11" s="547" t="str">
        <f t="shared" si="3"/>
        <v>有定金+有預留客戶</v>
      </c>
      <c r="AR11" s="259" t="str">
        <f t="shared" si="4"/>
        <v>Shipped_Stock</v>
      </c>
      <c r="AS11" s="259" t="str">
        <f t="shared" si="5"/>
        <v/>
      </c>
      <c r="AT11" s="259" t="str">
        <f t="shared" si="6"/>
        <v>易而达</v>
      </c>
      <c r="AU11" s="259" t="str">
        <f t="shared" si="7"/>
        <v>C49SZX20180101JL</v>
      </c>
      <c r="AV11" s="259" t="str">
        <f t="shared" si="8"/>
        <v>已经发货</v>
      </c>
    </row>
    <row r="12" spans="1:48" hidden="1">
      <c r="A12" s="564">
        <v>146</v>
      </c>
      <c r="B12" s="568" t="s">
        <v>280</v>
      </c>
      <c r="C12" s="565" t="s">
        <v>281</v>
      </c>
      <c r="D12" s="569">
        <v>109264</v>
      </c>
      <c r="E12" s="568" t="s">
        <v>315</v>
      </c>
      <c r="F12" s="568" t="s">
        <v>256</v>
      </c>
      <c r="G12" s="568" t="s">
        <v>24</v>
      </c>
      <c r="H12" s="568" t="s">
        <v>26</v>
      </c>
      <c r="I12" s="569" t="s">
        <v>316</v>
      </c>
      <c r="J12" s="569">
        <v>1</v>
      </c>
      <c r="K12" s="568" t="s">
        <v>311</v>
      </c>
      <c r="L12" s="570" t="s">
        <v>312</v>
      </c>
      <c r="M12" s="571">
        <v>6.2399999999999997E-2</v>
      </c>
      <c r="N12" s="568" t="s">
        <v>313</v>
      </c>
      <c r="P12" s="571" t="str">
        <f>VLOOKUP(A12,'[1]Raw data'!$B:$BB,23,FALSE)</f>
        <v>JPY</v>
      </c>
      <c r="Q12" s="568" t="str">
        <f>VLOOKUP(A12,'[1]Raw data'!$B:$Z,2,FALSE)</f>
        <v>C49SZX20180152ZX</v>
      </c>
      <c r="R12" s="568" t="str">
        <f>VLOOKUP(A12,'[1]Raw data'!$B:$Z,3,FALSE)</f>
        <v>雅鑫特</v>
      </c>
      <c r="S12" s="568" t="str">
        <f>VLOOKUP(A12,'[1]Raw data'!$B:$Z,4,FALSE)</f>
        <v>C49SZX20210065JD</v>
      </c>
      <c r="T12" s="568" t="str">
        <f>VLOOKUP(A12,'[1]Raw data'!$B:$Z,8,FALSE)</f>
        <v>L-&gt;R</v>
      </c>
      <c r="U12" s="568" t="str">
        <f>VLOOKUP(A12,'[1]Raw data'!$B:$Z,9,FALSE)</f>
        <v>No</v>
      </c>
      <c r="V12" s="572" t="str">
        <f t="shared" si="0"/>
        <v>OK</v>
      </c>
      <c r="W12" s="568" t="str">
        <f>VLOOKUP(A12,'[1]Raw data'!$B:$AG,32,FALSE)</f>
        <v>CIF</v>
      </c>
      <c r="X12" s="568">
        <f>VLOOKUP(A12,'[1]Raw data'!$B:$BA,31,FALSE)</f>
        <v>43383</v>
      </c>
      <c r="Y12" s="568" t="str">
        <f>VLOOKUP(A12,'[1]Raw data'!$B:$AS,39,FALSE)</f>
        <v>Yes</v>
      </c>
      <c r="Z12" s="573" t="s">
        <v>290</v>
      </c>
      <c r="AA12" s="574" t="s">
        <v>290</v>
      </c>
      <c r="AB12" s="575"/>
      <c r="AC12" s="568" t="s">
        <v>291</v>
      </c>
      <c r="AO12" s="829" t="str">
        <f t="shared" si="1"/>
        <v>Yes</v>
      </c>
      <c r="AP12" s="259" t="str">
        <f t="shared" si="2"/>
        <v>OCT 18</v>
      </c>
      <c r="AQ12" s="547" t="str">
        <f t="shared" si="3"/>
        <v>有定金+有預留客戶</v>
      </c>
      <c r="AR12" s="259" t="str">
        <f t="shared" si="4"/>
        <v>Shipped_Stock</v>
      </c>
      <c r="AS12" s="259" t="str">
        <f t="shared" si="5"/>
        <v/>
      </c>
      <c r="AT12" s="259" t="str">
        <f t="shared" si="6"/>
        <v>雅鑫特</v>
      </c>
      <c r="AU12" s="259" t="str">
        <f t="shared" si="7"/>
        <v>C49SZX20180152ZX</v>
      </c>
      <c r="AV12" s="259" t="str">
        <f t="shared" si="8"/>
        <v>已经发货</v>
      </c>
    </row>
    <row r="13" spans="1:48" hidden="1">
      <c r="A13" s="564">
        <v>147</v>
      </c>
      <c r="B13" s="568" t="s">
        <v>280</v>
      </c>
      <c r="C13" s="565" t="s">
        <v>281</v>
      </c>
      <c r="D13" s="569">
        <v>109264</v>
      </c>
      <c r="E13" s="568" t="s">
        <v>315</v>
      </c>
      <c r="F13" s="568" t="s">
        <v>256</v>
      </c>
      <c r="G13" s="568" t="s">
        <v>24</v>
      </c>
      <c r="H13" s="568" t="s">
        <v>26</v>
      </c>
      <c r="I13" s="569" t="s">
        <v>317</v>
      </c>
      <c r="J13" s="569">
        <v>1</v>
      </c>
      <c r="K13" s="568" t="s">
        <v>311</v>
      </c>
      <c r="L13" s="570" t="s">
        <v>312</v>
      </c>
      <c r="M13" s="571">
        <v>6.2399999999999997E-2</v>
      </c>
      <c r="N13" s="568" t="s">
        <v>313</v>
      </c>
      <c r="P13" s="571" t="str">
        <f>VLOOKUP(A13,'[1]Raw data'!$B:$BB,23,FALSE)</f>
        <v>JPY</v>
      </c>
      <c r="Q13" s="568" t="str">
        <f>VLOOKUP(A13,'[1]Raw data'!$B:$Z,2,FALSE)</f>
        <v>C49SZX20180152ZX</v>
      </c>
      <c r="R13" s="568" t="str">
        <f>VLOOKUP(A13,'[1]Raw data'!$B:$Z,3,FALSE)</f>
        <v>雅鑫特</v>
      </c>
      <c r="S13" s="568" t="str">
        <f>VLOOKUP(A13,'[1]Raw data'!$B:$Z,4,FALSE)</f>
        <v>YSM20R(SV)-2</v>
      </c>
      <c r="T13" s="568" t="str">
        <f>VLOOKUP(A13,'[1]Raw data'!$B:$Z,8,FALSE)</f>
        <v>L-&gt;R</v>
      </c>
      <c r="U13" s="568" t="str">
        <f>VLOOKUP(A13,'[1]Raw data'!$B:$Z,9,FALSE)</f>
        <v>No</v>
      </c>
      <c r="V13" s="572" t="str">
        <f t="shared" si="0"/>
        <v>OK</v>
      </c>
      <c r="W13" s="568" t="str">
        <f>VLOOKUP(A13,'[1]Raw data'!$B:$AG,32,FALSE)</f>
        <v>CIF</v>
      </c>
      <c r="X13" s="568">
        <f>VLOOKUP(A13,'[1]Raw data'!$B:$BA,31,FALSE)</f>
        <v>43383</v>
      </c>
      <c r="Y13" s="568" t="str">
        <f>VLOOKUP(A13,'[1]Raw data'!$B:$AS,39,FALSE)</f>
        <v>Yes</v>
      </c>
      <c r="Z13" s="573" t="s">
        <v>290</v>
      </c>
      <c r="AA13" s="574" t="s">
        <v>290</v>
      </c>
      <c r="AB13" s="575"/>
      <c r="AC13" s="568" t="s">
        <v>291</v>
      </c>
      <c r="AO13" s="829" t="str">
        <f t="shared" si="1"/>
        <v>Yes</v>
      </c>
      <c r="AP13" s="259" t="str">
        <f t="shared" si="2"/>
        <v>OCT 18</v>
      </c>
      <c r="AQ13" s="547" t="str">
        <f t="shared" si="3"/>
        <v>有定金+有預留客戶</v>
      </c>
      <c r="AR13" s="259" t="str">
        <f t="shared" si="4"/>
        <v>Shipped_Stock</v>
      </c>
      <c r="AS13" s="259" t="str">
        <f t="shared" si="5"/>
        <v/>
      </c>
      <c r="AT13" s="259" t="str">
        <f t="shared" si="6"/>
        <v>雅鑫特</v>
      </c>
      <c r="AU13" s="259" t="str">
        <f t="shared" si="7"/>
        <v>C49SZX20180152ZX</v>
      </c>
      <c r="AV13" s="259" t="str">
        <f t="shared" si="8"/>
        <v>已经发货</v>
      </c>
    </row>
    <row r="14" spans="1:48" hidden="1">
      <c r="A14" s="564">
        <v>404</v>
      </c>
      <c r="B14" s="568" t="s">
        <v>280</v>
      </c>
      <c r="C14" s="565" t="s">
        <v>281</v>
      </c>
      <c r="D14" s="569" t="s">
        <v>318</v>
      </c>
      <c r="E14" s="568"/>
      <c r="F14" s="568"/>
      <c r="G14" s="568"/>
      <c r="H14" s="568"/>
      <c r="I14" s="569" t="s">
        <v>319</v>
      </c>
      <c r="J14" s="569">
        <v>1</v>
      </c>
      <c r="K14" s="568"/>
      <c r="L14" s="570"/>
      <c r="M14" s="571">
        <v>6.4799999999999996E-2</v>
      </c>
      <c r="N14" s="568" t="s">
        <v>320</v>
      </c>
      <c r="O14" s="568"/>
      <c r="P14" s="571" t="str">
        <f>VLOOKUP(A14,'[1]Raw data'!$B:$BB,23,FALSE)</f>
        <v>RMB</v>
      </c>
      <c r="Q14" s="568" t="str">
        <f>VLOOKUP(A14,'[1]Raw data'!$B:$Z,2,FALSE)</f>
        <v>C49SZX20190121JY</v>
      </c>
      <c r="R14" s="568" t="str">
        <f>VLOOKUP(A14,'[1]Raw data'!$B:$Z,3,FALSE)</f>
        <v>建航</v>
      </c>
      <c r="S14" s="568" t="str">
        <f>VLOOKUP(A14,'[1]Raw data'!$B:$Z,4,FALSE)</f>
        <v>YSM10</v>
      </c>
      <c r="T14" s="568" t="str">
        <f>VLOOKUP(A14,'[1]Raw data'!$B:$Z,8,FALSE)</f>
        <v>L-&gt;R</v>
      </c>
      <c r="U14" s="568" t="str">
        <f>VLOOKUP(A14,'[1]Raw data'!$B:$Z,9,FALSE)</f>
        <v>MVC</v>
      </c>
      <c r="V14" s="572" t="str">
        <f t="shared" si="0"/>
        <v>WRONG</v>
      </c>
      <c r="W14" s="568" t="str">
        <f>VLOOKUP(A14,'[1]Raw data'!$B:$AG,32,FALSE)</f>
        <v>含税到厂</v>
      </c>
      <c r="X14" s="568">
        <f>VLOOKUP(A14,'[1]Raw data'!$B:$BA,31,FALSE)</f>
        <v>43698</v>
      </c>
      <c r="Y14" s="568" t="str">
        <f>VLOOKUP(A14,'[1]Raw data'!$B:$AS,39,FALSE)</f>
        <v>Yes</v>
      </c>
      <c r="Z14" s="573"/>
      <c r="AA14" s="574"/>
      <c r="AB14" s="575"/>
      <c r="AC14" s="568" t="s">
        <v>321</v>
      </c>
      <c r="AN14" s="587"/>
      <c r="AO14" s="829" t="str">
        <f t="shared" si="1"/>
        <v>Yes</v>
      </c>
      <c r="AP14" s="259" t="str">
        <f t="shared" si="2"/>
        <v>SEP 19</v>
      </c>
      <c r="AQ14" s="547" t="str">
        <f t="shared" si="3"/>
        <v>有定金+有預留客戶</v>
      </c>
      <c r="AR14" s="259" t="str">
        <f t="shared" si="4"/>
        <v>Shipped_Stock</v>
      </c>
      <c r="AS14" s="259" t="str">
        <f t="shared" si="5"/>
        <v/>
      </c>
      <c r="AT14" s="259" t="str">
        <f t="shared" si="6"/>
        <v>建航</v>
      </c>
      <c r="AU14" s="259" t="str">
        <f t="shared" si="7"/>
        <v>C49SZX20190121JY</v>
      </c>
      <c r="AV14" s="259" t="str">
        <f t="shared" si="8"/>
        <v>-</v>
      </c>
    </row>
    <row r="15" spans="1:48" ht="29.25" hidden="1" customHeight="1">
      <c r="A15" s="564">
        <v>375</v>
      </c>
      <c r="B15" s="565" t="s">
        <v>280</v>
      </c>
      <c r="C15" s="565" t="s">
        <v>281</v>
      </c>
      <c r="D15" s="588">
        <v>109285</v>
      </c>
      <c r="E15" s="568" t="s">
        <v>236</v>
      </c>
      <c r="F15" s="568" t="s">
        <v>322</v>
      </c>
      <c r="G15" s="568" t="s">
        <v>24</v>
      </c>
      <c r="H15" s="568" t="s">
        <v>323</v>
      </c>
      <c r="I15" s="569" t="s">
        <v>324</v>
      </c>
      <c r="J15" s="569">
        <v>1</v>
      </c>
      <c r="K15" s="568" t="s">
        <v>295</v>
      </c>
      <c r="L15" s="570">
        <v>43292</v>
      </c>
      <c r="M15" s="571">
        <v>6.08E-2</v>
      </c>
      <c r="N15" s="568" t="s">
        <v>325</v>
      </c>
      <c r="O15" s="568"/>
      <c r="P15" s="571" t="str">
        <f>VLOOKUP(A15,'[1]Raw data'!$B:$BB,23,FALSE)</f>
        <v>RMB</v>
      </c>
      <c r="Q15" s="568" t="str">
        <f>VLOOKUP(A15,'[1]Raw data'!$B:$Z,2,FALSE)</f>
        <v>C49SZX20190107DZ</v>
      </c>
      <c r="R15" s="568" t="str">
        <f>VLOOKUP(A15,'[1]Raw data'!$B:$Z,3,FALSE)</f>
        <v>方案集</v>
      </c>
      <c r="S15" s="568" t="str">
        <f>VLOOKUP(A15,'[1]Raw data'!$B:$Z,4,FALSE)</f>
        <v>YS24X</v>
      </c>
      <c r="T15" s="568" t="str">
        <f>VLOOKUP(A15,'[1]Raw data'!$B:$Z,8,FALSE)</f>
        <v>L-&gt;R</v>
      </c>
      <c r="U15" s="568" t="str">
        <f>VLOOKUP(A15,'[1]Raw data'!$B:$Z,9,FALSE)</f>
        <v>No</v>
      </c>
      <c r="V15" s="572" t="str">
        <f t="shared" si="0"/>
        <v>WRONG</v>
      </c>
      <c r="W15" s="568" t="str">
        <f>VLOOKUP(A15,'[1]Raw data'!$B:$AG,32,FALSE)</f>
        <v>含税到厂</v>
      </c>
      <c r="X15" s="568">
        <f>VLOOKUP(A15,'[1]Raw data'!$B:$BA,31,FALSE)</f>
        <v>43649</v>
      </c>
      <c r="Y15" s="568" t="str">
        <f>VLOOKUP(A15,'[1]Raw data'!$B:$AS,39,FALSE)</f>
        <v>Yes</v>
      </c>
      <c r="Z15" s="573"/>
      <c r="AA15" s="574"/>
      <c r="AB15" s="575"/>
      <c r="AC15" s="568" t="s">
        <v>326</v>
      </c>
      <c r="AN15" s="547"/>
      <c r="AO15" s="829" t="str">
        <f t="shared" si="1"/>
        <v>Yes</v>
      </c>
      <c r="AP15" s="259" t="str">
        <f t="shared" si="2"/>
        <v>JUL 19</v>
      </c>
      <c r="AQ15" s="547" t="str">
        <f t="shared" si="3"/>
        <v>有定金+有預留客戶</v>
      </c>
      <c r="AR15" s="259" t="str">
        <f t="shared" si="4"/>
        <v>Shipped_Stock</v>
      </c>
      <c r="AS15" s="259" t="str">
        <f t="shared" si="5"/>
        <v/>
      </c>
      <c r="AT15" s="259" t="str">
        <f t="shared" si="6"/>
        <v>方案集</v>
      </c>
      <c r="AU15" s="259" t="str">
        <f t="shared" si="7"/>
        <v>C49SZX20190107DZ</v>
      </c>
      <c r="AV15" s="259" t="str">
        <f t="shared" si="8"/>
        <v>Jul-11</v>
      </c>
    </row>
    <row r="16" spans="1:48" ht="15" hidden="1" customHeight="1">
      <c r="A16" s="564">
        <v>142</v>
      </c>
      <c r="B16" s="568" t="s">
        <v>280</v>
      </c>
      <c r="C16" s="565" t="s">
        <v>281</v>
      </c>
      <c r="D16" s="588">
        <v>109322</v>
      </c>
      <c r="E16" s="568" t="s">
        <v>327</v>
      </c>
      <c r="F16" s="568" t="s">
        <v>17</v>
      </c>
      <c r="G16" s="568" t="s">
        <v>24</v>
      </c>
      <c r="H16" s="568" t="s">
        <v>26</v>
      </c>
      <c r="I16" s="569" t="s">
        <v>328</v>
      </c>
      <c r="J16" s="569">
        <v>1</v>
      </c>
      <c r="K16" s="568" t="s">
        <v>295</v>
      </c>
      <c r="L16" s="570">
        <v>43292</v>
      </c>
      <c r="M16" s="571">
        <v>6.08E-2</v>
      </c>
      <c r="N16" s="568" t="s">
        <v>289</v>
      </c>
      <c r="O16" s="568"/>
      <c r="P16" s="571" t="str">
        <f>VLOOKUP(A16,'[1]Raw data'!$B:$BB,23,FALSE)</f>
        <v>RMB</v>
      </c>
      <c r="Q16" s="568" t="str">
        <f>VLOOKUP(A16,'[1]Raw data'!$B:$Z,2,FALSE)</f>
        <v>SDPUR-20180047</v>
      </c>
      <c r="R16" s="568" t="str">
        <f>VLOOKUP(A16,'[1]Raw data'!$B:$Z,3,FALSE)</f>
        <v>上达</v>
      </c>
      <c r="S16" s="568" t="str">
        <f>VLOOKUP(A16,'[1]Raw data'!$B:$Z,4,FALSE)</f>
        <v>YSM10</v>
      </c>
      <c r="T16" s="568" t="str">
        <f>VLOOKUP(A16,'[1]Raw data'!$B:$Z,8,FALSE)</f>
        <v>L-&gt;R</v>
      </c>
      <c r="U16" s="568" t="str">
        <f>VLOOKUP(A16,'[1]Raw data'!$B:$Z,9,FALSE)</f>
        <v>MVC</v>
      </c>
      <c r="V16" s="572" t="str">
        <f t="shared" si="0"/>
        <v>WRONG</v>
      </c>
      <c r="W16" s="568" t="str">
        <f>VLOOKUP(A16,'[1]Raw data'!$B:$AG,32,FALSE)</f>
        <v>含税到厂</v>
      </c>
      <c r="X16" s="568">
        <f>VLOOKUP(A16,'[1]Raw data'!$B:$BA,31,FALSE)</f>
        <v>43279</v>
      </c>
      <c r="Y16" s="568" t="str">
        <f>VLOOKUP(A16,'[1]Raw data'!$B:$AS,39,FALSE)</f>
        <v>Yes</v>
      </c>
      <c r="Z16" s="573" t="s">
        <v>329</v>
      </c>
      <c r="AA16" s="574" t="s">
        <v>329</v>
      </c>
      <c r="AB16" s="575"/>
      <c r="AC16" s="568" t="s">
        <v>291</v>
      </c>
      <c r="AN16" s="547"/>
      <c r="AO16" s="829" t="str">
        <f t="shared" si="1"/>
        <v>Yes</v>
      </c>
      <c r="AP16" s="259" t="str">
        <f t="shared" si="2"/>
        <v>DEC 18</v>
      </c>
      <c r="AQ16" s="547" t="str">
        <f t="shared" si="3"/>
        <v>有定金+有預留客戶</v>
      </c>
      <c r="AR16" s="259" t="str">
        <f t="shared" si="4"/>
        <v>Shipped_Stock</v>
      </c>
      <c r="AS16" s="259" t="str">
        <f t="shared" si="5"/>
        <v/>
      </c>
      <c r="AT16" s="259" t="str">
        <f t="shared" si="6"/>
        <v>上达</v>
      </c>
      <c r="AU16" s="259" t="str">
        <f t="shared" si="7"/>
        <v>SDPUR-20180047</v>
      </c>
      <c r="AV16" s="259" t="str">
        <f t="shared" si="8"/>
        <v>Jul-11</v>
      </c>
    </row>
    <row r="17" spans="1:48" ht="15" hidden="1" customHeight="1">
      <c r="A17" s="564">
        <v>143</v>
      </c>
      <c r="B17" s="568" t="s">
        <v>280</v>
      </c>
      <c r="C17" s="565" t="s">
        <v>281</v>
      </c>
      <c r="D17" s="569">
        <v>109322</v>
      </c>
      <c r="E17" s="568" t="s">
        <v>327</v>
      </c>
      <c r="F17" s="568" t="s">
        <v>17</v>
      </c>
      <c r="G17" s="568" t="s">
        <v>24</v>
      </c>
      <c r="H17" s="568" t="s">
        <v>26</v>
      </c>
      <c r="I17" s="569" t="s">
        <v>330</v>
      </c>
      <c r="J17" s="569">
        <v>1</v>
      </c>
      <c r="K17" s="568" t="s">
        <v>295</v>
      </c>
      <c r="L17" s="570">
        <v>43292</v>
      </c>
      <c r="M17" s="571">
        <v>6.08E-2</v>
      </c>
      <c r="N17" s="568" t="s">
        <v>289</v>
      </c>
      <c r="O17" s="568"/>
      <c r="P17" s="571" t="str">
        <f>VLOOKUP(A17,'[1]Raw data'!$B:$BB,23,FALSE)</f>
        <v>RMB</v>
      </c>
      <c r="Q17" s="568" t="str">
        <f>VLOOKUP(A17,'[1]Raw data'!$B:$Z,2,FALSE)</f>
        <v>SDPUR-20180047</v>
      </c>
      <c r="R17" s="568" t="str">
        <f>VLOOKUP(A17,'[1]Raw data'!$B:$Z,3,FALSE)</f>
        <v>上达</v>
      </c>
      <c r="S17" s="568" t="str">
        <f>VLOOKUP(A17,'[1]Raw data'!$B:$Z,4,FALSE)</f>
        <v>YSM10</v>
      </c>
      <c r="T17" s="568" t="str">
        <f>VLOOKUP(A17,'[1]Raw data'!$B:$Z,8,FALSE)</f>
        <v>L-&gt;R</v>
      </c>
      <c r="U17" s="568" t="str">
        <f>VLOOKUP(A17,'[1]Raw data'!$B:$Z,9,FALSE)</f>
        <v>MVC</v>
      </c>
      <c r="V17" s="572" t="str">
        <f t="shared" si="0"/>
        <v>WRONG</v>
      </c>
      <c r="W17" s="568" t="str">
        <f>VLOOKUP(A17,'[1]Raw data'!$B:$AG,32,FALSE)</f>
        <v>含税到厂</v>
      </c>
      <c r="X17" s="568">
        <f>VLOOKUP(A17,'[1]Raw data'!$B:$BA,31,FALSE)</f>
        <v>43279</v>
      </c>
      <c r="Y17" s="568" t="str">
        <f>VLOOKUP(A17,'[1]Raw data'!$B:$AS,39,FALSE)</f>
        <v>Yes</v>
      </c>
      <c r="Z17" s="573" t="s">
        <v>329</v>
      </c>
      <c r="AA17" s="574" t="s">
        <v>329</v>
      </c>
      <c r="AB17" s="575"/>
      <c r="AC17" s="568" t="s">
        <v>291</v>
      </c>
      <c r="AN17" s="547"/>
      <c r="AO17" s="829" t="str">
        <f t="shared" si="1"/>
        <v>Yes</v>
      </c>
      <c r="AP17" s="259" t="str">
        <f t="shared" si="2"/>
        <v>DEC 18</v>
      </c>
      <c r="AQ17" s="547" t="str">
        <f t="shared" si="3"/>
        <v>有定金+有預留客戶</v>
      </c>
      <c r="AR17" s="259" t="str">
        <f t="shared" si="4"/>
        <v>Shipped_Stock</v>
      </c>
      <c r="AS17" s="259" t="str">
        <f t="shared" si="5"/>
        <v/>
      </c>
      <c r="AT17" s="259" t="str">
        <f t="shared" si="6"/>
        <v>上达</v>
      </c>
      <c r="AU17" s="259" t="str">
        <f t="shared" si="7"/>
        <v>SDPUR-20180047</v>
      </c>
      <c r="AV17" s="259" t="str">
        <f t="shared" si="8"/>
        <v>Jul-11</v>
      </c>
    </row>
    <row r="18" spans="1:48" ht="15" hidden="1" customHeight="1">
      <c r="A18" s="564">
        <v>120</v>
      </c>
      <c r="B18" s="568" t="s">
        <v>280</v>
      </c>
      <c r="C18" s="565" t="s">
        <v>281</v>
      </c>
      <c r="D18" s="569">
        <v>109284</v>
      </c>
      <c r="E18" s="568" t="s">
        <v>236</v>
      </c>
      <c r="F18" s="568" t="s">
        <v>17</v>
      </c>
      <c r="G18" s="568" t="s">
        <v>24</v>
      </c>
      <c r="H18" s="568" t="s">
        <v>34</v>
      </c>
      <c r="I18" s="569" t="s">
        <v>331</v>
      </c>
      <c r="J18" s="569">
        <v>1</v>
      </c>
      <c r="K18" s="568" t="s">
        <v>311</v>
      </c>
      <c r="L18" s="570">
        <v>43310</v>
      </c>
      <c r="M18" s="571">
        <v>6.08E-2</v>
      </c>
      <c r="N18" s="568" t="s">
        <v>289</v>
      </c>
      <c r="O18" s="568"/>
      <c r="P18" s="571" t="str">
        <f>VLOOKUP(A18,'[1]Raw data'!$B:$BB,23,FALSE)</f>
        <v>JPY</v>
      </c>
      <c r="Q18" s="568" t="str">
        <f>VLOOKUP(A18,'[1]Raw data'!$B:$Z,2,FALSE)</f>
        <v>C49SZX20180131DZ</v>
      </c>
      <c r="R18" s="568" t="str">
        <f>VLOOKUP(A18,'[1]Raw data'!$B:$Z,3,FALSE)</f>
        <v>朗特</v>
      </c>
      <c r="S18" s="568" t="str">
        <f>VLOOKUP(A18,'[1]Raw data'!$B:$Z,4,FALSE)</f>
        <v>YSM10</v>
      </c>
      <c r="T18" s="568" t="str">
        <f>VLOOKUP(A18,'[1]Raw data'!$B:$Z,8,FALSE)</f>
        <v>R-&gt;L</v>
      </c>
      <c r="U18" s="568" t="str">
        <f>VLOOKUP(A18,'[1]Raw data'!$B:$Z,9,FALSE)</f>
        <v>MVC+ATS15</v>
      </c>
      <c r="V18" s="572" t="str">
        <f t="shared" si="0"/>
        <v>WRONG</v>
      </c>
      <c r="W18" s="568" t="str">
        <f>VLOOKUP(A18,'[1]Raw data'!$B:$AG,32,FALSE)</f>
        <v>CIF</v>
      </c>
      <c r="X18" s="568">
        <f>VLOOKUP(A18,'[1]Raw data'!$B:$BA,31,FALSE)</f>
        <v>43325</v>
      </c>
      <c r="Y18" s="568" t="str">
        <f>VLOOKUP(A18,'[1]Raw data'!$B:$AS,39,FALSE)</f>
        <v>Yes</v>
      </c>
      <c r="Z18" s="573" t="s">
        <v>290</v>
      </c>
      <c r="AA18" s="574" t="s">
        <v>290</v>
      </c>
      <c r="AB18" s="575"/>
      <c r="AC18" s="568" t="s">
        <v>291</v>
      </c>
      <c r="AN18" s="547"/>
      <c r="AO18" s="829" t="str">
        <f t="shared" si="1"/>
        <v>Yes</v>
      </c>
      <c r="AP18" s="259" t="str">
        <f t="shared" si="2"/>
        <v>DEC 18</v>
      </c>
      <c r="AQ18" s="547" t="str">
        <f t="shared" si="3"/>
        <v>有定金+有預留客戶</v>
      </c>
      <c r="AR18" s="259" t="str">
        <f t="shared" si="4"/>
        <v>Shipped_Stock</v>
      </c>
      <c r="AS18" s="259" t="str">
        <f t="shared" si="5"/>
        <v/>
      </c>
      <c r="AT18" s="259" t="str">
        <f t="shared" si="6"/>
        <v>朗特</v>
      </c>
      <c r="AU18" s="259" t="str">
        <f t="shared" si="7"/>
        <v>C49SZX20180131DZ</v>
      </c>
      <c r="AV18" s="259" t="str">
        <f t="shared" si="8"/>
        <v>Jul-29</v>
      </c>
    </row>
    <row r="19" spans="1:48" ht="15" hidden="1" customHeight="1">
      <c r="A19" s="564">
        <v>145</v>
      </c>
      <c r="B19" s="568" t="s">
        <v>280</v>
      </c>
      <c r="C19" s="565" t="s">
        <v>281</v>
      </c>
      <c r="D19" s="569">
        <v>109284</v>
      </c>
      <c r="E19" s="568" t="s">
        <v>236</v>
      </c>
      <c r="F19" s="568" t="s">
        <v>17</v>
      </c>
      <c r="G19" s="568" t="s">
        <v>24</v>
      </c>
      <c r="H19" s="568" t="s">
        <v>34</v>
      </c>
      <c r="I19" s="569" t="s">
        <v>332</v>
      </c>
      <c r="J19" s="569">
        <v>1</v>
      </c>
      <c r="K19" s="568" t="s">
        <v>285</v>
      </c>
      <c r="L19" s="570">
        <v>43310</v>
      </c>
      <c r="M19" s="571">
        <v>6.08E-2</v>
      </c>
      <c r="N19" s="568" t="s">
        <v>313</v>
      </c>
      <c r="O19" s="568"/>
      <c r="P19" s="571" t="str">
        <f>VLOOKUP(A19,'[1]Raw data'!$B:$BB,23,FALSE)</f>
        <v>JPY</v>
      </c>
      <c r="Q19" s="568" t="str">
        <f>VLOOKUP(A19,'[1]Raw data'!$B:$Z,2,FALSE)</f>
        <v>C49SZX20180152ZX</v>
      </c>
      <c r="R19" s="568" t="str">
        <f>VLOOKUP(A19,'[1]Raw data'!$B:$Z,3,FALSE)</f>
        <v>雅鑫特</v>
      </c>
      <c r="S19" s="568" t="str">
        <f>VLOOKUP(A19,'[1]Raw data'!$B:$Z,4,FALSE)</f>
        <v>YSM10</v>
      </c>
      <c r="T19" s="568" t="str">
        <f>VLOOKUP(A19,'[1]Raw data'!$B:$Z,8,FALSE)</f>
        <v>L-&gt;R</v>
      </c>
      <c r="U19" s="568" t="str">
        <f>VLOOKUP(A19,'[1]Raw data'!$B:$Z,9,FALSE)</f>
        <v>MVC+ATS15</v>
      </c>
      <c r="V19" s="572" t="str">
        <f t="shared" si="0"/>
        <v>OK</v>
      </c>
      <c r="W19" s="568" t="str">
        <f>VLOOKUP(A19,'[1]Raw data'!$B:$AG,32,FALSE)</f>
        <v>CIF</v>
      </c>
      <c r="X19" s="568">
        <f>VLOOKUP(A19,'[1]Raw data'!$B:$BA,31,FALSE)</f>
        <v>43383</v>
      </c>
      <c r="Y19" s="568" t="str">
        <f>VLOOKUP(A19,'[1]Raw data'!$B:$AS,39,FALSE)</f>
        <v>Yes</v>
      </c>
      <c r="Z19" s="573" t="s">
        <v>290</v>
      </c>
      <c r="AA19" s="574" t="s">
        <v>290</v>
      </c>
      <c r="AB19" s="575"/>
      <c r="AC19" s="568" t="s">
        <v>291</v>
      </c>
      <c r="AN19" s="547"/>
      <c r="AO19" s="829" t="str">
        <f t="shared" si="1"/>
        <v>Yes</v>
      </c>
      <c r="AP19" s="259" t="str">
        <f t="shared" si="2"/>
        <v>OCT 18</v>
      </c>
      <c r="AQ19" s="547" t="str">
        <f t="shared" si="3"/>
        <v>有定金+有預留客戶</v>
      </c>
      <c r="AR19" s="259" t="str">
        <f t="shared" si="4"/>
        <v>Shipped_Stock</v>
      </c>
      <c r="AS19" s="259" t="str">
        <f t="shared" si="5"/>
        <v/>
      </c>
      <c r="AT19" s="259" t="str">
        <f t="shared" si="6"/>
        <v>雅鑫特</v>
      </c>
      <c r="AU19" s="259" t="str">
        <f t="shared" si="7"/>
        <v>C49SZX20180152ZX</v>
      </c>
      <c r="AV19" s="259" t="str">
        <f t="shared" si="8"/>
        <v>Jul-29</v>
      </c>
    </row>
    <row r="20" spans="1:48" hidden="1">
      <c r="A20" s="564">
        <v>78</v>
      </c>
      <c r="B20" s="568" t="s">
        <v>280</v>
      </c>
      <c r="C20" s="565" t="s">
        <v>281</v>
      </c>
      <c r="D20" s="569">
        <v>109238</v>
      </c>
      <c r="E20" s="568" t="s">
        <v>236</v>
      </c>
      <c r="F20" s="568" t="s">
        <v>17</v>
      </c>
      <c r="G20" s="568" t="s">
        <v>24</v>
      </c>
      <c r="H20" s="568" t="s">
        <v>34</v>
      </c>
      <c r="I20" s="569" t="s">
        <v>333</v>
      </c>
      <c r="J20" s="569">
        <v>1</v>
      </c>
      <c r="K20" s="568" t="s">
        <v>285</v>
      </c>
      <c r="L20" s="570">
        <v>43327</v>
      </c>
      <c r="M20" s="571">
        <v>6.1499999999999999E-2</v>
      </c>
      <c r="N20" s="568" t="s">
        <v>334</v>
      </c>
      <c r="O20" s="568"/>
      <c r="P20" s="571" t="str">
        <f>VLOOKUP(A20,'[1]Raw data'!$B:$BB,23,FALSE)</f>
        <v>JPY</v>
      </c>
      <c r="Q20" s="568" t="str">
        <f>VLOOKUP(A20,'[1]Raw data'!$B:$Z,2,FALSE)</f>
        <v>C49SZX20180086DZ</v>
      </c>
      <c r="R20" s="568" t="str">
        <f>VLOOKUP(A20,'[1]Raw data'!$B:$Z,3,FALSE)</f>
        <v>BBS好兄弟</v>
      </c>
      <c r="S20" s="568" t="str">
        <f>VLOOKUP(A20,'[1]Raw data'!$B:$Z,4,FALSE)</f>
        <v>YSM10</v>
      </c>
      <c r="T20" s="568" t="str">
        <f>VLOOKUP(A20,'[1]Raw data'!$B:$Z,8,FALSE)</f>
        <v>L-&gt;R</v>
      </c>
      <c r="U20" s="568" t="str">
        <f>VLOOKUP(A20,'[1]Raw data'!$B:$Z,9,FALSE)</f>
        <v>MVC+ATS15</v>
      </c>
      <c r="V20" s="572" t="str">
        <f t="shared" si="0"/>
        <v>OK</v>
      </c>
      <c r="W20" s="568" t="str">
        <f>VLOOKUP(A20,'[1]Raw data'!$B:$AG,32,FALSE)</f>
        <v>CIF HK</v>
      </c>
      <c r="X20" s="568">
        <f>VLOOKUP(A20,'[1]Raw data'!$B:$BA,31,FALSE)</f>
        <v>43251</v>
      </c>
      <c r="Y20" s="568" t="str">
        <f>VLOOKUP(A20,'[1]Raw data'!$B:$AS,39,FALSE)</f>
        <v>Yes</v>
      </c>
      <c r="Z20" s="573" t="s">
        <v>290</v>
      </c>
      <c r="AA20" s="574" t="s">
        <v>290</v>
      </c>
      <c r="AB20" s="575"/>
      <c r="AC20" s="568" t="s">
        <v>291</v>
      </c>
      <c r="AN20" s="547"/>
      <c r="AO20" s="829" t="str">
        <f t="shared" si="1"/>
        <v>Yes</v>
      </c>
      <c r="AP20" s="259" t="str">
        <f t="shared" si="2"/>
        <v>MAR 19</v>
      </c>
      <c r="AQ20" s="547" t="str">
        <f t="shared" si="3"/>
        <v>有定金+有預留客戶</v>
      </c>
      <c r="AR20" s="259" t="str">
        <f t="shared" si="4"/>
        <v>Shipped_Stock</v>
      </c>
      <c r="AS20" s="259" t="str">
        <f t="shared" si="5"/>
        <v/>
      </c>
      <c r="AT20" s="259" t="str">
        <f t="shared" si="6"/>
        <v>BBS好兄弟</v>
      </c>
      <c r="AU20" s="259" t="str">
        <f t="shared" si="7"/>
        <v>C49SZX20180086DZ</v>
      </c>
      <c r="AV20" s="259" t="str">
        <f t="shared" si="8"/>
        <v>Aug-15</v>
      </c>
    </row>
    <row r="21" spans="1:48" ht="15" hidden="1" customHeight="1">
      <c r="A21" s="564">
        <v>79</v>
      </c>
      <c r="B21" s="568" t="s">
        <v>280</v>
      </c>
      <c r="C21" s="565" t="s">
        <v>281</v>
      </c>
      <c r="D21" s="569">
        <v>109238</v>
      </c>
      <c r="E21" s="568" t="s">
        <v>236</v>
      </c>
      <c r="F21" s="568" t="s">
        <v>17</v>
      </c>
      <c r="G21" s="568" t="s">
        <v>24</v>
      </c>
      <c r="H21" s="568" t="s">
        <v>34</v>
      </c>
      <c r="I21" s="569" t="s">
        <v>335</v>
      </c>
      <c r="J21" s="569">
        <v>1</v>
      </c>
      <c r="K21" s="568" t="s">
        <v>285</v>
      </c>
      <c r="L21" s="570">
        <v>43327</v>
      </c>
      <c r="M21" s="571">
        <v>6.1499999999999999E-2</v>
      </c>
      <c r="N21" s="568" t="s">
        <v>334</v>
      </c>
      <c r="O21" s="568"/>
      <c r="P21" s="571" t="str">
        <f>VLOOKUP(A21,'[1]Raw data'!$B:$BB,23,FALSE)</f>
        <v>JPY</v>
      </c>
      <c r="Q21" s="568" t="str">
        <f>VLOOKUP(A21,'[1]Raw data'!$B:$Z,2,FALSE)</f>
        <v>C49SZX20180086DZ</v>
      </c>
      <c r="R21" s="568" t="str">
        <f>VLOOKUP(A21,'[1]Raw data'!$B:$Z,3,FALSE)</f>
        <v>BBS好兄弟</v>
      </c>
      <c r="S21" s="568" t="str">
        <f>VLOOKUP(A21,'[1]Raw data'!$B:$Z,4,FALSE)</f>
        <v>YSM10</v>
      </c>
      <c r="T21" s="568" t="str">
        <f>VLOOKUP(A21,'[1]Raw data'!$B:$Z,8,FALSE)</f>
        <v>L-&gt;R</v>
      </c>
      <c r="U21" s="568" t="str">
        <f>VLOOKUP(A21,'[1]Raw data'!$B:$Z,9,FALSE)</f>
        <v>MVC+ATS15</v>
      </c>
      <c r="V21" s="572" t="str">
        <f t="shared" si="0"/>
        <v>OK</v>
      </c>
      <c r="W21" s="568" t="str">
        <f>VLOOKUP(A21,'[1]Raw data'!$B:$AG,32,FALSE)</f>
        <v>CIF HK</v>
      </c>
      <c r="X21" s="568">
        <f>VLOOKUP(A21,'[1]Raw data'!$B:$BA,31,FALSE)</f>
        <v>43251</v>
      </c>
      <c r="Y21" s="568" t="str">
        <f>VLOOKUP(A21,'[1]Raw data'!$B:$AS,39,FALSE)</f>
        <v>Yes</v>
      </c>
      <c r="Z21" s="573" t="s">
        <v>290</v>
      </c>
      <c r="AA21" s="574" t="s">
        <v>290</v>
      </c>
      <c r="AB21" s="575"/>
      <c r="AC21" s="568" t="s">
        <v>291</v>
      </c>
      <c r="AN21" s="547"/>
      <c r="AO21" s="829" t="str">
        <f t="shared" si="1"/>
        <v>Yes</v>
      </c>
      <c r="AP21" s="259" t="str">
        <f t="shared" si="2"/>
        <v>MAR 19</v>
      </c>
      <c r="AQ21" s="547" t="str">
        <f t="shared" si="3"/>
        <v>有定金+有預留客戶</v>
      </c>
      <c r="AR21" s="259" t="str">
        <f t="shared" si="4"/>
        <v>Shipped_Stock</v>
      </c>
      <c r="AS21" s="259" t="str">
        <f t="shared" si="5"/>
        <v/>
      </c>
      <c r="AT21" s="259" t="str">
        <f t="shared" si="6"/>
        <v>BBS好兄弟</v>
      </c>
      <c r="AU21" s="259" t="str">
        <f t="shared" si="7"/>
        <v>C49SZX20180086DZ</v>
      </c>
      <c r="AV21" s="259" t="str">
        <f t="shared" si="8"/>
        <v>Aug-15</v>
      </c>
    </row>
    <row r="22" spans="1:48" ht="15" hidden="1" customHeight="1">
      <c r="A22" s="564">
        <v>186</v>
      </c>
      <c r="B22" s="568" t="s">
        <v>280</v>
      </c>
      <c r="C22" s="565" t="s">
        <v>281</v>
      </c>
      <c r="D22" s="569">
        <v>109238</v>
      </c>
      <c r="E22" s="568" t="s">
        <v>236</v>
      </c>
      <c r="F22" s="568" t="s">
        <v>17</v>
      </c>
      <c r="G22" s="568" t="s">
        <v>24</v>
      </c>
      <c r="H22" s="568" t="s">
        <v>27</v>
      </c>
      <c r="I22" s="569" t="s">
        <v>336</v>
      </c>
      <c r="J22" s="569">
        <v>1</v>
      </c>
      <c r="K22" s="568" t="s">
        <v>285</v>
      </c>
      <c r="L22" s="570">
        <v>43327</v>
      </c>
      <c r="M22" s="571">
        <v>6.1499999999999999E-2</v>
      </c>
      <c r="N22" s="568" t="s">
        <v>289</v>
      </c>
      <c r="O22" s="568"/>
      <c r="P22" s="571" t="str">
        <f>VLOOKUP(A22,'[1]Raw data'!$B:$BB,23,FALSE)</f>
        <v>JPY</v>
      </c>
      <c r="Q22" s="568" t="str">
        <f>VLOOKUP(A22,'[1]Raw data'!$B:$Z,2,FALSE)</f>
        <v>C49SZX20180180ZX</v>
      </c>
      <c r="R22" s="568" t="str">
        <f>VLOOKUP(A22,'[1]Raw data'!$B:$Z,3,FALSE)</f>
        <v>世达威</v>
      </c>
      <c r="S22" s="568" t="str">
        <f>VLOOKUP(A22,'[1]Raw data'!$B:$Z,4,FALSE)</f>
        <v>YSM10</v>
      </c>
      <c r="T22" s="568" t="str">
        <f>VLOOKUP(A22,'[1]Raw data'!$B:$Z,8,FALSE)</f>
        <v>L-&gt;R</v>
      </c>
      <c r="U22" s="568" t="str">
        <f>VLOOKUP(A22,'[1]Raw data'!$B:$Z,9,FALSE)</f>
        <v>MVC</v>
      </c>
      <c r="V22" s="572" t="str">
        <f t="shared" si="0"/>
        <v>OK</v>
      </c>
      <c r="W22" s="568" t="str">
        <f>VLOOKUP(A22,'[1]Raw data'!$B:$AG,32,FALSE)</f>
        <v>DAP深圳</v>
      </c>
      <c r="X22" s="568">
        <f>VLOOKUP(A22,'[1]Raw data'!$B:$BA,31,FALSE)</f>
        <v>43431</v>
      </c>
      <c r="Y22" s="568" t="str">
        <f>VLOOKUP(A22,'[1]Raw data'!$B:$AS,39,FALSE)</f>
        <v>Yes</v>
      </c>
      <c r="Z22" s="573" t="s">
        <v>290</v>
      </c>
      <c r="AA22" s="574" t="s">
        <v>290</v>
      </c>
      <c r="AB22" s="575"/>
      <c r="AC22" s="568" t="s">
        <v>291</v>
      </c>
      <c r="AN22" s="547"/>
      <c r="AO22" s="829" t="str">
        <f t="shared" si="1"/>
        <v>Yes</v>
      </c>
      <c r="AP22" s="259" t="str">
        <f t="shared" si="2"/>
        <v>DEC 18</v>
      </c>
      <c r="AQ22" s="547" t="str">
        <f t="shared" si="3"/>
        <v>有定金+有預留客戶</v>
      </c>
      <c r="AR22" s="259" t="str">
        <f t="shared" si="4"/>
        <v>Shipped_Stock</v>
      </c>
      <c r="AS22" s="259" t="str">
        <f t="shared" si="5"/>
        <v/>
      </c>
      <c r="AT22" s="259" t="str">
        <f t="shared" si="6"/>
        <v>世达威</v>
      </c>
      <c r="AU22" s="259" t="str">
        <f t="shared" si="7"/>
        <v>C49SZX20180180ZX</v>
      </c>
      <c r="AV22" s="259" t="str">
        <f t="shared" si="8"/>
        <v>Aug-15</v>
      </c>
    </row>
    <row r="23" spans="1:48" ht="15" hidden="1" customHeight="1">
      <c r="A23" s="564">
        <v>177</v>
      </c>
      <c r="B23" s="568" t="s">
        <v>280</v>
      </c>
      <c r="C23" s="565" t="s">
        <v>281</v>
      </c>
      <c r="D23" s="569">
        <v>109238</v>
      </c>
      <c r="E23" s="568" t="s">
        <v>236</v>
      </c>
      <c r="F23" s="568" t="s">
        <v>17</v>
      </c>
      <c r="G23" s="568" t="s">
        <v>24</v>
      </c>
      <c r="H23" s="568" t="s">
        <v>34</v>
      </c>
      <c r="I23" s="569" t="s">
        <v>337</v>
      </c>
      <c r="J23" s="569">
        <v>1</v>
      </c>
      <c r="K23" s="568" t="s">
        <v>295</v>
      </c>
      <c r="L23" s="570">
        <v>43327</v>
      </c>
      <c r="M23" s="571">
        <v>6.1499999999999999E-2</v>
      </c>
      <c r="N23" s="568" t="s">
        <v>325</v>
      </c>
      <c r="O23" s="568"/>
      <c r="P23" s="571" t="str">
        <f>VLOOKUP(A23,'[1]Raw data'!$B:$BB,23,FALSE)</f>
        <v>JPY</v>
      </c>
      <c r="Q23" s="568" t="str">
        <f>VLOOKUP(A23,'[1]Raw data'!$B:$Z,2,FALSE)</f>
        <v>C49SZX20180154JL</v>
      </c>
      <c r="R23" s="568" t="str">
        <f>VLOOKUP(A23,'[1]Raw data'!$B:$Z,3,FALSE)</f>
        <v>奥晨</v>
      </c>
      <c r="S23" s="568" t="str">
        <f>VLOOKUP(A23,'[1]Raw data'!$B:$Z,4,FALSE)</f>
        <v>YSM10</v>
      </c>
      <c r="T23" s="568" t="str">
        <f>VLOOKUP(A23,'[1]Raw data'!$B:$Z,8,FALSE)</f>
        <v>L-&gt;R</v>
      </c>
      <c r="U23" s="568" t="str">
        <f>VLOOKUP(A23,'[1]Raw data'!$B:$Z,9,FALSE)</f>
        <v>MVC+ATS15</v>
      </c>
      <c r="V23" s="572" t="str">
        <f t="shared" si="0"/>
        <v>OK</v>
      </c>
      <c r="W23" s="568" t="str">
        <f>VLOOKUP(A23,'[1]Raw data'!$B:$AG,32,FALSE)</f>
        <v>DAP东莞</v>
      </c>
      <c r="X23" s="568">
        <f>VLOOKUP(A23,'[1]Raw data'!$B:$BA,31,FALSE)</f>
        <v>43388</v>
      </c>
      <c r="Y23" s="568" t="str">
        <f>VLOOKUP(A23,'[1]Raw data'!$B:$AS,39,FALSE)</f>
        <v>Yes</v>
      </c>
      <c r="Z23" s="573" t="s">
        <v>290</v>
      </c>
      <c r="AA23" s="574" t="s">
        <v>290</v>
      </c>
      <c r="AB23" s="575"/>
      <c r="AC23" s="589" t="s">
        <v>338</v>
      </c>
      <c r="AN23" s="547"/>
      <c r="AO23" s="829" t="str">
        <f t="shared" si="1"/>
        <v>Yes</v>
      </c>
      <c r="AP23" s="259" t="str">
        <f t="shared" si="2"/>
        <v>JUL 19</v>
      </c>
      <c r="AQ23" s="547" t="str">
        <f t="shared" si="3"/>
        <v>有定金+有預留客戶</v>
      </c>
      <c r="AR23" s="259" t="str">
        <f t="shared" si="4"/>
        <v>Shipped_Stock</v>
      </c>
      <c r="AS23" s="259" t="str">
        <f t="shared" si="5"/>
        <v/>
      </c>
      <c r="AT23" s="259" t="str">
        <f t="shared" si="6"/>
        <v>奥晨</v>
      </c>
      <c r="AU23" s="259" t="str">
        <f t="shared" si="7"/>
        <v>C49SZX20180154JL</v>
      </c>
      <c r="AV23" s="259" t="str">
        <f t="shared" si="8"/>
        <v>Aug-15</v>
      </c>
    </row>
    <row r="24" spans="1:48" ht="15" hidden="1" customHeight="1">
      <c r="A24" s="564">
        <v>30</v>
      </c>
      <c r="B24" s="568" t="s">
        <v>280</v>
      </c>
      <c r="C24" s="565" t="s">
        <v>281</v>
      </c>
      <c r="D24" s="569">
        <v>109238</v>
      </c>
      <c r="E24" s="568" t="s">
        <v>236</v>
      </c>
      <c r="F24" s="568" t="s">
        <v>339</v>
      </c>
      <c r="G24" s="568" t="s">
        <v>24</v>
      </c>
      <c r="H24" s="568" t="s">
        <v>27</v>
      </c>
      <c r="I24" s="569" t="s">
        <v>340</v>
      </c>
      <c r="J24" s="569">
        <v>1</v>
      </c>
      <c r="K24" s="568" t="s">
        <v>295</v>
      </c>
      <c r="L24" s="570">
        <v>43327</v>
      </c>
      <c r="M24" s="571">
        <v>6.1499999999999999E-2</v>
      </c>
      <c r="N24" s="568" t="s">
        <v>341</v>
      </c>
      <c r="O24" s="568"/>
      <c r="P24" s="571" t="str">
        <f>VLOOKUP(A24,'[1]Raw data'!$B:$BB,23,FALSE)</f>
        <v>RMB</v>
      </c>
      <c r="Q24" s="568" t="str">
        <f>VLOOKUP(A24,'[1]Raw data'!$B:$Z,2,FALSE)</f>
        <v>C49SZX20180058KW</v>
      </c>
      <c r="R24" s="568" t="str">
        <f>VLOOKUP(A24,'[1]Raw data'!$B:$Z,3,FALSE)</f>
        <v>STK深台</v>
      </c>
      <c r="S24" s="568" t="str">
        <f>VLOOKUP(A24,'[1]Raw data'!$B:$Z,4,FALSE)</f>
        <v>YSM10</v>
      </c>
      <c r="T24" s="568" t="str">
        <f>VLOOKUP(A24,'[1]Raw data'!$B:$Z,8,FALSE)</f>
        <v>L-&gt;R</v>
      </c>
      <c r="U24" s="568" t="str">
        <f>VLOOKUP(A24,'[1]Raw data'!$B:$Z,9,FALSE)</f>
        <v>MVC</v>
      </c>
      <c r="V24" s="572" t="str">
        <f t="shared" si="0"/>
        <v>OK</v>
      </c>
      <c r="W24" s="568" t="str">
        <f>VLOOKUP(A24,'[1]Raw data'!$B:$AG,32,FALSE)</f>
        <v>DDP SZ</v>
      </c>
      <c r="X24" s="568">
        <f>VLOOKUP(A24,'[1]Raw data'!$B:$BA,31,FALSE)</f>
        <v>43230</v>
      </c>
      <c r="Y24" s="568" t="str">
        <f>VLOOKUP(A24,'[1]Raw data'!$B:$AS,39,FALSE)</f>
        <v>Yes</v>
      </c>
      <c r="Z24" s="573"/>
      <c r="AA24" s="574"/>
      <c r="AB24" s="590"/>
      <c r="AC24" s="568" t="s">
        <v>291</v>
      </c>
      <c r="AN24" s="547"/>
      <c r="AO24" s="829" t="str">
        <f t="shared" si="1"/>
        <v>Yes</v>
      </c>
      <c r="AP24" s="259" t="str">
        <f t="shared" si="2"/>
        <v>APR 19</v>
      </c>
      <c r="AQ24" s="547" t="str">
        <f t="shared" si="3"/>
        <v>有定金+有預留客戶</v>
      </c>
      <c r="AR24" s="259" t="str">
        <f t="shared" si="4"/>
        <v>Shipped_Stock</v>
      </c>
      <c r="AS24" s="259" t="str">
        <f t="shared" si="5"/>
        <v/>
      </c>
      <c r="AT24" s="259" t="str">
        <f t="shared" si="6"/>
        <v>STK深台</v>
      </c>
      <c r="AU24" s="259" t="str">
        <f t="shared" si="7"/>
        <v>C49SZX20180058KW</v>
      </c>
      <c r="AV24" s="259" t="str">
        <f t="shared" si="8"/>
        <v>Aug-15</v>
      </c>
    </row>
    <row r="25" spans="1:48" ht="15" hidden="1" customHeight="1">
      <c r="A25" s="564">
        <v>115</v>
      </c>
      <c r="B25" s="568" t="s">
        <v>280</v>
      </c>
      <c r="C25" s="565" t="s">
        <v>281</v>
      </c>
      <c r="D25" s="569">
        <v>109202</v>
      </c>
      <c r="E25" s="568" t="s">
        <v>342</v>
      </c>
      <c r="F25" s="568" t="s">
        <v>343</v>
      </c>
      <c r="G25" s="568" t="s">
        <v>24</v>
      </c>
      <c r="H25" s="568" t="s">
        <v>26</v>
      </c>
      <c r="I25" s="569" t="s">
        <v>344</v>
      </c>
      <c r="J25" s="569">
        <v>1</v>
      </c>
      <c r="K25" s="568" t="s">
        <v>311</v>
      </c>
      <c r="L25" s="570">
        <v>43348</v>
      </c>
      <c r="M25" s="571">
        <v>6.3E-2</v>
      </c>
      <c r="N25" s="568" t="s">
        <v>345</v>
      </c>
      <c r="O25" s="568"/>
      <c r="P25" s="571" t="str">
        <f>VLOOKUP(A25,'[1]Raw data'!$B:$BB,23,FALSE)</f>
        <v>JPY</v>
      </c>
      <c r="Q25" s="568" t="str">
        <f>VLOOKUP(A25,'[1]Raw data'!$B:$Z,2,FALSE)</f>
        <v>C49SZX20180124JL</v>
      </c>
      <c r="R25" s="568" t="str">
        <f>VLOOKUP(A25,'[1]Raw data'!$B:$Z,3,FALSE)</f>
        <v>通通旺</v>
      </c>
      <c r="S25" s="568" t="str">
        <f>VLOOKUP(A25,'[1]Raw data'!$B:$Z,4,FALSE)</f>
        <v>YSM20R(SV)-2</v>
      </c>
      <c r="T25" s="568" t="str">
        <f>VLOOKUP(A25,'[1]Raw data'!$B:$Z,8,FALSE)</f>
        <v>L-&gt;R</v>
      </c>
      <c r="U25" s="568" t="str">
        <f>VLOOKUP(A25,'[1]Raw data'!$B:$Z,9,FALSE)</f>
        <v>No</v>
      </c>
      <c r="V25" s="572" t="str">
        <f t="shared" si="0"/>
        <v>OK</v>
      </c>
      <c r="W25" s="568" t="str">
        <f>VLOOKUP(A25,'[1]Raw data'!$B:$AG,32,FALSE)</f>
        <v>CIF HK</v>
      </c>
      <c r="X25" s="568">
        <f>VLOOKUP(A25,'[1]Raw data'!$B:$BA,31,FALSE)</f>
        <v>43322</v>
      </c>
      <c r="Y25" s="568" t="str">
        <f>VLOOKUP(A25,'[1]Raw data'!$B:$AS,39,FALSE)</f>
        <v>Yes</v>
      </c>
      <c r="Z25" s="573" t="s">
        <v>290</v>
      </c>
      <c r="AA25" s="574" t="s">
        <v>290</v>
      </c>
      <c r="AB25" s="575"/>
      <c r="AC25" s="568" t="s">
        <v>291</v>
      </c>
      <c r="AN25" s="547"/>
      <c r="AO25" s="829" t="str">
        <f t="shared" si="1"/>
        <v>Yes</v>
      </c>
      <c r="AP25" s="259" t="str">
        <f t="shared" si="2"/>
        <v>NOV 18</v>
      </c>
      <c r="AQ25" s="547" t="str">
        <f t="shared" si="3"/>
        <v>有定金+有預留客戶</v>
      </c>
      <c r="AR25" s="259" t="str">
        <f t="shared" si="4"/>
        <v>Shipped_Stock</v>
      </c>
      <c r="AS25" s="259" t="str">
        <f t="shared" si="5"/>
        <v/>
      </c>
      <c r="AT25" s="259" t="str">
        <f t="shared" si="6"/>
        <v>通通旺</v>
      </c>
      <c r="AU25" s="259" t="str">
        <f t="shared" si="7"/>
        <v>C49SZX20180124JL</v>
      </c>
      <c r="AV25" s="259" t="str">
        <f t="shared" si="8"/>
        <v>Sep-05</v>
      </c>
    </row>
    <row r="26" spans="1:48" ht="15" hidden="1" customHeight="1">
      <c r="A26" s="564">
        <v>98</v>
      </c>
      <c r="B26" s="568" t="s">
        <v>280</v>
      </c>
      <c r="C26" s="565" t="s">
        <v>281</v>
      </c>
      <c r="D26" s="569">
        <v>109202</v>
      </c>
      <c r="E26" s="568" t="s">
        <v>342</v>
      </c>
      <c r="F26" s="568" t="s">
        <v>343</v>
      </c>
      <c r="G26" s="568" t="s">
        <v>24</v>
      </c>
      <c r="H26" s="568" t="s">
        <v>159</v>
      </c>
      <c r="I26" s="569" t="s">
        <v>346</v>
      </c>
      <c r="J26" s="569">
        <v>1</v>
      </c>
      <c r="K26" s="568" t="s">
        <v>347</v>
      </c>
      <c r="L26" s="570">
        <v>43348</v>
      </c>
      <c r="M26" s="571">
        <v>6.3E-2</v>
      </c>
      <c r="N26" s="568" t="s">
        <v>289</v>
      </c>
      <c r="O26" s="568"/>
      <c r="P26" s="571" t="str">
        <f>VLOOKUP(A26,'[1]Raw data'!$B:$BB,23,FALSE)</f>
        <v>JPY</v>
      </c>
      <c r="Q26" s="568" t="str">
        <f>VLOOKUP(A26,'[1]Raw data'!$B:$Z,2,FALSE)</f>
        <v>C49SZX20180102JL</v>
      </c>
      <c r="R26" s="568" t="str">
        <f>VLOOKUP(A26,'[1]Raw data'!$B:$Z,3,FALSE)</f>
        <v>易而达</v>
      </c>
      <c r="S26" s="568" t="str">
        <f>VLOOKUP(A26,'[1]Raw data'!$B:$Z,4,FALSE)</f>
        <v>YSM20-2</v>
      </c>
      <c r="T26" s="568" t="str">
        <f>VLOOKUP(A26,'[1]Raw data'!$B:$Z,8,FALSE)</f>
        <v>L-&gt;R</v>
      </c>
      <c r="U26" s="568" t="str">
        <f>VLOOKUP(A26,'[1]Raw data'!$B:$Z,9,FALSE)</f>
        <v>cATS10+MVC+special layout</v>
      </c>
      <c r="V26" s="572" t="str">
        <f t="shared" si="0"/>
        <v>OK</v>
      </c>
      <c r="W26" s="568" t="str">
        <f>VLOOKUP(A26,'[1]Raw data'!$B:$AG,32,FALSE)</f>
        <v>DAP 广州</v>
      </c>
      <c r="X26" s="568">
        <f>VLOOKUP(A26,'[1]Raw data'!$B:$BA,31,FALSE)</f>
        <v>43266</v>
      </c>
      <c r="Y26" s="568" t="str">
        <f>VLOOKUP(A26,'[1]Raw data'!$B:$AS,39,FALSE)</f>
        <v>Yes</v>
      </c>
      <c r="Z26" s="573" t="s">
        <v>290</v>
      </c>
      <c r="AA26" s="574" t="s">
        <v>290</v>
      </c>
      <c r="AB26" s="575"/>
      <c r="AC26" s="568" t="s">
        <v>291</v>
      </c>
      <c r="AN26" s="547"/>
      <c r="AO26" s="829" t="str">
        <f t="shared" si="1"/>
        <v>Yes</v>
      </c>
      <c r="AP26" s="259" t="str">
        <f t="shared" si="2"/>
        <v>DEC 18</v>
      </c>
      <c r="AQ26" s="547" t="str">
        <f t="shared" si="3"/>
        <v>有定金+有預留客戶</v>
      </c>
      <c r="AR26" s="259" t="str">
        <f t="shared" si="4"/>
        <v>Shipped_Stock</v>
      </c>
      <c r="AS26" s="259" t="str">
        <f t="shared" si="5"/>
        <v/>
      </c>
      <c r="AT26" s="259" t="str">
        <f t="shared" si="6"/>
        <v>易而达</v>
      </c>
      <c r="AU26" s="259" t="str">
        <f t="shared" si="7"/>
        <v>C49SZX20180102JL</v>
      </c>
      <c r="AV26" s="259" t="str">
        <f t="shared" si="8"/>
        <v>Sep-05</v>
      </c>
    </row>
    <row r="27" spans="1:48" ht="15" hidden="1" customHeight="1">
      <c r="A27" s="564">
        <v>104</v>
      </c>
      <c r="B27" s="568" t="s">
        <v>280</v>
      </c>
      <c r="C27" s="565" t="s">
        <v>281</v>
      </c>
      <c r="D27" s="569">
        <v>109202</v>
      </c>
      <c r="E27" s="568" t="s">
        <v>342</v>
      </c>
      <c r="F27" s="568" t="s">
        <v>343</v>
      </c>
      <c r="G27" s="568" t="s">
        <v>24</v>
      </c>
      <c r="H27" s="568" t="s">
        <v>26</v>
      </c>
      <c r="I27" s="569" t="s">
        <v>348</v>
      </c>
      <c r="J27" s="569">
        <v>1</v>
      </c>
      <c r="K27" s="568" t="s">
        <v>347</v>
      </c>
      <c r="L27" s="570">
        <v>43348</v>
      </c>
      <c r="M27" s="571">
        <v>6.3E-2</v>
      </c>
      <c r="N27" s="568" t="s">
        <v>313</v>
      </c>
      <c r="O27" s="568"/>
      <c r="P27" s="571" t="str">
        <f>VLOOKUP(A27,'[1]Raw data'!$B:$BB,23,FALSE)</f>
        <v>JPY</v>
      </c>
      <c r="Q27" s="568" t="str">
        <f>VLOOKUP(A27,'[1]Raw data'!$B:$Z,2,FALSE)</f>
        <v>C49SZX20180109SX</v>
      </c>
      <c r="R27" s="568" t="str">
        <f>VLOOKUP(A27,'[1]Raw data'!$B:$Z,3,FALSE)</f>
        <v>利速达</v>
      </c>
      <c r="S27" s="568" t="str">
        <f>VLOOKUP(A27,'[1]Raw data'!$B:$Z,4,FALSE)</f>
        <v>YSM20-2</v>
      </c>
      <c r="T27" s="568" t="str">
        <f>VLOOKUP(A27,'[1]Raw data'!$B:$Z,8,FALSE)</f>
        <v>L-&gt;R</v>
      </c>
      <c r="U27" s="568" t="str">
        <f>VLOOKUP(A27,'[1]Raw data'!$B:$Z,9,FALSE)</f>
        <v>No</v>
      </c>
      <c r="V27" s="572" t="str">
        <f t="shared" si="0"/>
        <v>OK</v>
      </c>
      <c r="W27" s="568" t="str">
        <f>VLOOKUP(A27,'[1]Raw data'!$B:$AG,32,FALSE)</f>
        <v>DAP SZ</v>
      </c>
      <c r="X27" s="568">
        <f>VLOOKUP(A27,'[1]Raw data'!$B:$BA,31,FALSE)</f>
        <v>43264</v>
      </c>
      <c r="Y27" s="568" t="str">
        <f>VLOOKUP(A27,'[1]Raw data'!$B:$AS,39,FALSE)</f>
        <v>Yes</v>
      </c>
      <c r="Z27" s="573" t="s">
        <v>290</v>
      </c>
      <c r="AA27" s="574" t="s">
        <v>290</v>
      </c>
      <c r="AB27" s="575"/>
      <c r="AC27" s="568" t="s">
        <v>291</v>
      </c>
      <c r="AN27" s="547"/>
      <c r="AO27" s="829" t="str">
        <f t="shared" si="1"/>
        <v>Yes</v>
      </c>
      <c r="AP27" s="259" t="str">
        <f t="shared" si="2"/>
        <v>OCT 18</v>
      </c>
      <c r="AQ27" s="547" t="str">
        <f t="shared" si="3"/>
        <v>有定金+有預留客戶</v>
      </c>
      <c r="AR27" s="259" t="str">
        <f t="shared" si="4"/>
        <v>Shipped_Stock</v>
      </c>
      <c r="AS27" s="259" t="str">
        <f t="shared" si="5"/>
        <v/>
      </c>
      <c r="AT27" s="259" t="str">
        <f t="shared" si="6"/>
        <v>利速达</v>
      </c>
      <c r="AU27" s="259" t="str">
        <f t="shared" si="7"/>
        <v>C49SZX20180109SX</v>
      </c>
      <c r="AV27" s="259" t="str">
        <f t="shared" si="8"/>
        <v>Sep-05</v>
      </c>
    </row>
    <row r="28" spans="1:48" ht="15" hidden="1" customHeight="1">
      <c r="A28" s="564">
        <v>141</v>
      </c>
      <c r="B28" s="568" t="s">
        <v>280</v>
      </c>
      <c r="C28" s="565" t="s">
        <v>281</v>
      </c>
      <c r="D28" s="569">
        <v>109239</v>
      </c>
      <c r="E28" s="568" t="s">
        <v>236</v>
      </c>
      <c r="F28" s="568" t="s">
        <v>17</v>
      </c>
      <c r="G28" s="568" t="s">
        <v>24</v>
      </c>
      <c r="H28" s="568" t="s">
        <v>26</v>
      </c>
      <c r="I28" s="569" t="s">
        <v>349</v>
      </c>
      <c r="J28" s="569">
        <v>1</v>
      </c>
      <c r="K28" s="568" t="s">
        <v>311</v>
      </c>
      <c r="L28" s="570">
        <v>43350</v>
      </c>
      <c r="M28" s="571">
        <v>6.3E-2</v>
      </c>
      <c r="N28" s="568" t="s">
        <v>345</v>
      </c>
      <c r="O28" s="568"/>
      <c r="P28" s="571" t="str">
        <f>VLOOKUP(A28,'[1]Raw data'!$B:$BB,23,FALSE)</f>
        <v>JPY</v>
      </c>
      <c r="Q28" s="568" t="str">
        <f>VLOOKUP(A28,'[1]Raw data'!$B:$Z,2,FALSE)</f>
        <v>P8544EQYM44</v>
      </c>
      <c r="R28" s="568" t="str">
        <f>VLOOKUP(A28,'[1]Raw data'!$B:$Z,3,FALSE)</f>
        <v>PROTECH</v>
      </c>
      <c r="S28" s="568" t="str">
        <f>VLOOKUP(A28,'[1]Raw data'!$B:$Z,4,FALSE)</f>
        <v>YSM10</v>
      </c>
      <c r="T28" s="568" t="str">
        <f>VLOOKUP(A28,'[1]Raw data'!$B:$Z,8,FALSE)</f>
        <v>L-&gt;R</v>
      </c>
      <c r="U28" s="568" t="str">
        <f>VLOOKUP(A28,'[1]Raw data'!$B:$Z,9,FALSE)</f>
        <v>No</v>
      </c>
      <c r="V28" s="572" t="str">
        <f t="shared" si="0"/>
        <v>OK</v>
      </c>
      <c r="W28" s="568" t="str">
        <f>VLOOKUP(A28,'[1]Raw data'!$B:$AG,32,FALSE)</f>
        <v xml:space="preserve">CIF  </v>
      </c>
      <c r="X28" s="568">
        <f>VLOOKUP(A28,'[1]Raw data'!$B:$BA,31,FALSE)</f>
        <v>43340</v>
      </c>
      <c r="Y28" s="568" t="str">
        <f>VLOOKUP(A28,'[1]Raw data'!$B:$AS,39,FALSE)</f>
        <v>Yes</v>
      </c>
      <c r="Z28" s="573" t="s">
        <v>290</v>
      </c>
      <c r="AA28" s="574" t="s">
        <v>290</v>
      </c>
      <c r="AB28" s="575"/>
      <c r="AC28" s="568" t="s">
        <v>291</v>
      </c>
      <c r="AN28" s="547"/>
      <c r="AO28" s="829" t="str">
        <f t="shared" si="1"/>
        <v>Yes</v>
      </c>
      <c r="AP28" s="259" t="str">
        <f t="shared" si="2"/>
        <v>NOV 18</v>
      </c>
      <c r="AQ28" s="547" t="str">
        <f t="shared" si="3"/>
        <v>有定金+有預留客戶</v>
      </c>
      <c r="AR28" s="259" t="str">
        <f t="shared" si="4"/>
        <v>Shipped_Stock</v>
      </c>
      <c r="AS28" s="259" t="str">
        <f t="shared" si="5"/>
        <v/>
      </c>
      <c r="AT28" s="259" t="str">
        <f t="shared" si="6"/>
        <v>PROTECH</v>
      </c>
      <c r="AU28" s="259" t="str">
        <f t="shared" si="7"/>
        <v>P8544EQYM44</v>
      </c>
      <c r="AV28" s="259" t="str">
        <f t="shared" si="8"/>
        <v>Sep-07</v>
      </c>
    </row>
    <row r="29" spans="1:48" ht="15" hidden="1" customHeight="1">
      <c r="A29" s="564">
        <v>76</v>
      </c>
      <c r="B29" s="568" t="s">
        <v>280</v>
      </c>
      <c r="C29" s="565" t="s">
        <v>281</v>
      </c>
      <c r="D29" s="569">
        <v>109239</v>
      </c>
      <c r="E29" s="568" t="s">
        <v>236</v>
      </c>
      <c r="F29" s="568" t="s">
        <v>17</v>
      </c>
      <c r="G29" s="568" t="s">
        <v>24</v>
      </c>
      <c r="H29" s="568" t="s">
        <v>26</v>
      </c>
      <c r="I29" s="569" t="s">
        <v>350</v>
      </c>
      <c r="J29" s="569">
        <v>1</v>
      </c>
      <c r="K29" s="568" t="s">
        <v>311</v>
      </c>
      <c r="L29" s="570">
        <v>43350</v>
      </c>
      <c r="M29" s="571">
        <v>6.3E-2</v>
      </c>
      <c r="N29" s="568" t="s">
        <v>345</v>
      </c>
      <c r="O29" s="568"/>
      <c r="P29" s="571" t="str">
        <f>VLOOKUP(A29,'[1]Raw data'!$B:$BB,23,FALSE)</f>
        <v>JPY</v>
      </c>
      <c r="Q29" s="568" t="str">
        <f>VLOOKUP(A29,'[1]Raw data'!$B:$Z,2,FALSE)</f>
        <v>C49SZX20180083DZ</v>
      </c>
      <c r="R29" s="568" t="str">
        <f>VLOOKUP(A29,'[1]Raw data'!$B:$Z,3,FALSE)</f>
        <v>HangTe航特</v>
      </c>
      <c r="S29" s="568" t="str">
        <f>VLOOKUP(A29,'[1]Raw data'!$B:$Z,4,FALSE)</f>
        <v>YSM10</v>
      </c>
      <c r="T29" s="568" t="str">
        <f>VLOOKUP(A29,'[1]Raw data'!$B:$Z,8,FALSE)</f>
        <v>L-&gt;R</v>
      </c>
      <c r="U29" s="568" t="str">
        <f>VLOOKUP(A29,'[1]Raw data'!$B:$Z,9,FALSE)</f>
        <v>No</v>
      </c>
      <c r="V29" s="572" t="str">
        <f t="shared" si="0"/>
        <v>OK</v>
      </c>
      <c r="W29" s="568" t="str">
        <f>VLOOKUP(A29,'[1]Raw data'!$B:$AG,32,FALSE)</f>
        <v>DAP SZ</v>
      </c>
      <c r="X29" s="568">
        <f>VLOOKUP(A29,'[1]Raw data'!$B:$BA,31,FALSE)</f>
        <v>43238</v>
      </c>
      <c r="Y29" s="568" t="str">
        <f>VLOOKUP(A29,'[1]Raw data'!$B:$AS,39,FALSE)</f>
        <v>Yes</v>
      </c>
      <c r="Z29" s="573" t="s">
        <v>290</v>
      </c>
      <c r="AA29" s="574" t="s">
        <v>290</v>
      </c>
      <c r="AB29" s="575"/>
      <c r="AC29" s="568" t="s">
        <v>291</v>
      </c>
      <c r="AN29" s="547"/>
      <c r="AO29" s="829" t="str">
        <f t="shared" si="1"/>
        <v>Yes</v>
      </c>
      <c r="AP29" s="259" t="str">
        <f t="shared" si="2"/>
        <v>NOV 18</v>
      </c>
      <c r="AQ29" s="547" t="str">
        <f t="shared" si="3"/>
        <v>有定金+有預留客戶</v>
      </c>
      <c r="AR29" s="259" t="str">
        <f t="shared" si="4"/>
        <v>Shipped_Stock</v>
      </c>
      <c r="AS29" s="259" t="str">
        <f t="shared" si="5"/>
        <v/>
      </c>
      <c r="AT29" s="259" t="str">
        <f t="shared" si="6"/>
        <v>HangTe航特</v>
      </c>
      <c r="AU29" s="259" t="str">
        <f t="shared" si="7"/>
        <v>C49SZX20180083DZ</v>
      </c>
      <c r="AV29" s="259" t="str">
        <f t="shared" si="8"/>
        <v>Sep-07</v>
      </c>
    </row>
    <row r="30" spans="1:48" ht="15" hidden="1" customHeight="1">
      <c r="A30" s="564">
        <v>77</v>
      </c>
      <c r="B30" s="568" t="s">
        <v>280</v>
      </c>
      <c r="C30" s="565" t="s">
        <v>281</v>
      </c>
      <c r="D30" s="569">
        <v>109239</v>
      </c>
      <c r="E30" s="568" t="s">
        <v>236</v>
      </c>
      <c r="F30" s="568" t="s">
        <v>17</v>
      </c>
      <c r="G30" s="568" t="s">
        <v>24</v>
      </c>
      <c r="H30" s="568" t="s">
        <v>26</v>
      </c>
      <c r="I30" s="569" t="s">
        <v>351</v>
      </c>
      <c r="J30" s="569">
        <v>1</v>
      </c>
      <c r="K30" s="568" t="s">
        <v>285</v>
      </c>
      <c r="L30" s="570">
        <v>43350</v>
      </c>
      <c r="M30" s="571">
        <v>6.3E-2</v>
      </c>
      <c r="N30" s="568" t="s">
        <v>345</v>
      </c>
      <c r="O30" s="568"/>
      <c r="P30" s="571" t="str">
        <f>VLOOKUP(A30,'[1]Raw data'!$B:$BB,23,FALSE)</f>
        <v>JPY</v>
      </c>
      <c r="Q30" s="568" t="str">
        <f>VLOOKUP(A30,'[1]Raw data'!$B:$Z,2,FALSE)</f>
        <v>C49SZX20180083DZ</v>
      </c>
      <c r="R30" s="568" t="str">
        <f>VLOOKUP(A30,'[1]Raw data'!$B:$Z,3,FALSE)</f>
        <v>HangTe航特</v>
      </c>
      <c r="S30" s="568" t="str">
        <f>VLOOKUP(A30,'[1]Raw data'!$B:$Z,4,FALSE)</f>
        <v>YSM10</v>
      </c>
      <c r="T30" s="568" t="str">
        <f>VLOOKUP(A30,'[1]Raw data'!$B:$Z,8,FALSE)</f>
        <v>L-&gt;R</v>
      </c>
      <c r="U30" s="568" t="str">
        <f>VLOOKUP(A30,'[1]Raw data'!$B:$Z,9,FALSE)</f>
        <v>No</v>
      </c>
      <c r="V30" s="572" t="str">
        <f t="shared" si="0"/>
        <v>OK</v>
      </c>
      <c r="W30" s="568" t="str">
        <f>VLOOKUP(A30,'[1]Raw data'!$B:$AG,32,FALSE)</f>
        <v>DAP SZ</v>
      </c>
      <c r="X30" s="568">
        <f>VLOOKUP(A30,'[1]Raw data'!$B:$BA,31,FALSE)</f>
        <v>43238</v>
      </c>
      <c r="Y30" s="568" t="str">
        <f>VLOOKUP(A30,'[1]Raw data'!$B:$AS,39,FALSE)</f>
        <v>Yes</v>
      </c>
      <c r="Z30" s="573" t="s">
        <v>290</v>
      </c>
      <c r="AA30" s="574" t="s">
        <v>290</v>
      </c>
      <c r="AB30" s="575"/>
      <c r="AC30" s="568" t="s">
        <v>291</v>
      </c>
      <c r="AN30" s="547"/>
      <c r="AO30" s="829" t="str">
        <f t="shared" si="1"/>
        <v>Yes</v>
      </c>
      <c r="AP30" s="259" t="str">
        <f t="shared" si="2"/>
        <v>NOV 18</v>
      </c>
      <c r="AQ30" s="547" t="str">
        <f t="shared" si="3"/>
        <v>有定金+有預留客戶</v>
      </c>
      <c r="AR30" s="259" t="str">
        <f t="shared" si="4"/>
        <v>Shipped_Stock</v>
      </c>
      <c r="AS30" s="259" t="str">
        <f t="shared" si="5"/>
        <v/>
      </c>
      <c r="AT30" s="259" t="str">
        <f t="shared" si="6"/>
        <v>HangTe航特</v>
      </c>
      <c r="AU30" s="259" t="str">
        <f t="shared" si="7"/>
        <v>C49SZX20180083DZ</v>
      </c>
      <c r="AV30" s="259" t="str">
        <f t="shared" si="8"/>
        <v>Sep-07</v>
      </c>
    </row>
    <row r="31" spans="1:48" ht="15" hidden="1" customHeight="1">
      <c r="A31" s="564">
        <v>125</v>
      </c>
      <c r="B31" s="568" t="s">
        <v>280</v>
      </c>
      <c r="C31" s="565" t="s">
        <v>281</v>
      </c>
      <c r="D31" s="569">
        <v>109239</v>
      </c>
      <c r="E31" s="568" t="s">
        <v>236</v>
      </c>
      <c r="F31" s="568" t="s">
        <v>17</v>
      </c>
      <c r="G31" s="568" t="s">
        <v>24</v>
      </c>
      <c r="H31" s="568" t="s">
        <v>26</v>
      </c>
      <c r="I31" s="569" t="s">
        <v>352</v>
      </c>
      <c r="J31" s="569">
        <v>1</v>
      </c>
      <c r="K31" s="568" t="s">
        <v>285</v>
      </c>
      <c r="L31" s="570">
        <v>43350</v>
      </c>
      <c r="M31" s="571">
        <v>6.3E-2</v>
      </c>
      <c r="N31" s="568" t="s">
        <v>289</v>
      </c>
      <c r="O31" s="568"/>
      <c r="P31" s="571" t="str">
        <f>VLOOKUP(A31,'[1]Raw data'!$B:$BB,23,FALSE)</f>
        <v>JPY</v>
      </c>
      <c r="Q31" s="568" t="str">
        <f>VLOOKUP(A31,'[1]Raw data'!$B:$Z,2,FALSE)</f>
        <v>C49SZX20180133SX</v>
      </c>
      <c r="R31" s="568" t="str">
        <f>VLOOKUP(A31,'[1]Raw data'!$B:$Z,3,FALSE)</f>
        <v>维众</v>
      </c>
      <c r="S31" s="568" t="str">
        <f>VLOOKUP(A31,'[1]Raw data'!$B:$Z,4,FALSE)</f>
        <v>YSM10</v>
      </c>
      <c r="T31" s="568" t="str">
        <f>VLOOKUP(A31,'[1]Raw data'!$B:$Z,8,FALSE)</f>
        <v>L-&gt;R</v>
      </c>
      <c r="U31" s="568" t="str">
        <f>VLOOKUP(A31,'[1]Raw data'!$B:$Z,9,FALSE)</f>
        <v>No</v>
      </c>
      <c r="V31" s="572" t="str">
        <f t="shared" si="0"/>
        <v>OK</v>
      </c>
      <c r="W31" s="568" t="str">
        <f>VLOOKUP(A31,'[1]Raw data'!$B:$AG,32,FALSE)</f>
        <v>DAP 东莞</v>
      </c>
      <c r="X31" s="568">
        <f>VLOOKUP(A31,'[1]Raw data'!$B:$BA,31,FALSE)</f>
        <v>43335</v>
      </c>
      <c r="Y31" s="568" t="str">
        <f>VLOOKUP(A31,'[1]Raw data'!$B:$AS,39,FALSE)</f>
        <v>Yes</v>
      </c>
      <c r="Z31" s="573" t="s">
        <v>329</v>
      </c>
      <c r="AA31" s="574" t="s">
        <v>329</v>
      </c>
      <c r="AB31" s="575"/>
      <c r="AC31" s="568" t="s">
        <v>291</v>
      </c>
      <c r="AN31" s="547"/>
      <c r="AO31" s="829" t="str">
        <f t="shared" si="1"/>
        <v>Yes</v>
      </c>
      <c r="AP31" s="259" t="str">
        <f t="shared" si="2"/>
        <v>DEC 18</v>
      </c>
      <c r="AQ31" s="547" t="str">
        <f t="shared" si="3"/>
        <v>有定金+有預留客戶</v>
      </c>
      <c r="AR31" s="259" t="str">
        <f t="shared" si="4"/>
        <v>Shipped_Stock</v>
      </c>
      <c r="AS31" s="259" t="str">
        <f t="shared" si="5"/>
        <v/>
      </c>
      <c r="AT31" s="259" t="str">
        <f t="shared" si="6"/>
        <v>维众</v>
      </c>
      <c r="AU31" s="259" t="str">
        <f t="shared" si="7"/>
        <v>C49SZX20180133SX</v>
      </c>
      <c r="AV31" s="259" t="str">
        <f t="shared" si="8"/>
        <v>Sep-07</v>
      </c>
    </row>
    <row r="32" spans="1:48" ht="15" hidden="1" customHeight="1">
      <c r="A32" s="564">
        <v>99</v>
      </c>
      <c r="B32" s="568" t="s">
        <v>280</v>
      </c>
      <c r="C32" s="565" t="s">
        <v>281</v>
      </c>
      <c r="D32" s="569">
        <v>109352</v>
      </c>
      <c r="E32" s="568" t="s">
        <v>353</v>
      </c>
      <c r="F32" s="568" t="s">
        <v>343</v>
      </c>
      <c r="G32" s="568" t="s">
        <v>24</v>
      </c>
      <c r="H32" s="568" t="s">
        <v>26</v>
      </c>
      <c r="I32" s="569" t="s">
        <v>354</v>
      </c>
      <c r="J32" s="569">
        <v>1</v>
      </c>
      <c r="K32" s="568" t="s">
        <v>311</v>
      </c>
      <c r="L32" s="570">
        <v>43358</v>
      </c>
      <c r="M32" s="571">
        <v>6.3E-2</v>
      </c>
      <c r="N32" s="568" t="s">
        <v>289</v>
      </c>
      <c r="O32" s="568"/>
      <c r="P32" s="571" t="str">
        <f>VLOOKUP(A32,'[1]Raw data'!$B:$BB,23,FALSE)</f>
        <v>JPY</v>
      </c>
      <c r="Q32" s="568" t="str">
        <f>VLOOKUP(A32,'[1]Raw data'!$B:$Z,2,FALSE)</f>
        <v>C49SZX20180102JL</v>
      </c>
      <c r="R32" s="568" t="str">
        <f>VLOOKUP(A32,'[1]Raw data'!$B:$Z,3,FALSE)</f>
        <v>易而达</v>
      </c>
      <c r="S32" s="568" t="str">
        <f>VLOOKUP(A32,'[1]Raw data'!$B:$Z,4,FALSE)</f>
        <v>YSM20-2</v>
      </c>
      <c r="T32" s="568" t="str">
        <f>VLOOKUP(A32,'[1]Raw data'!$B:$Z,8,FALSE)</f>
        <v>L-&gt;R</v>
      </c>
      <c r="U32" s="568" t="str">
        <f>VLOOKUP(A32,'[1]Raw data'!$B:$Z,9,FALSE)</f>
        <v>No</v>
      </c>
      <c r="V32" s="572" t="str">
        <f t="shared" si="0"/>
        <v>OK</v>
      </c>
      <c r="W32" s="568" t="str">
        <f>VLOOKUP(A32,'[1]Raw data'!$B:$AG,32,FALSE)</f>
        <v>DAP 广州</v>
      </c>
      <c r="X32" s="568">
        <f>VLOOKUP(A32,'[1]Raw data'!$B:$BA,31,FALSE)</f>
        <v>43266</v>
      </c>
      <c r="Y32" s="568" t="str">
        <f>VLOOKUP(A32,'[1]Raw data'!$B:$AS,39,FALSE)</f>
        <v>Yes</v>
      </c>
      <c r="Z32" s="573" t="s">
        <v>290</v>
      </c>
      <c r="AA32" s="574" t="s">
        <v>290</v>
      </c>
      <c r="AB32" s="575"/>
      <c r="AC32" s="568" t="s">
        <v>291</v>
      </c>
      <c r="AN32" s="547"/>
      <c r="AO32" s="829" t="str">
        <f t="shared" si="1"/>
        <v>Yes</v>
      </c>
      <c r="AP32" s="259" t="str">
        <f t="shared" si="2"/>
        <v>DEC 18</v>
      </c>
      <c r="AQ32" s="547" t="str">
        <f t="shared" si="3"/>
        <v>有定金+有預留客戶</v>
      </c>
      <c r="AR32" s="259" t="str">
        <f t="shared" si="4"/>
        <v>Shipped_Stock</v>
      </c>
      <c r="AS32" s="259" t="str">
        <f t="shared" si="5"/>
        <v/>
      </c>
      <c r="AT32" s="259" t="str">
        <f t="shared" si="6"/>
        <v>易而达</v>
      </c>
      <c r="AU32" s="259" t="str">
        <f t="shared" si="7"/>
        <v>C49SZX20180102JL</v>
      </c>
      <c r="AV32" s="259" t="str">
        <f t="shared" si="8"/>
        <v>Sep-15</v>
      </c>
    </row>
    <row r="33" spans="1:69" ht="15" hidden="1" customHeight="1">
      <c r="A33" s="564">
        <v>265</v>
      </c>
      <c r="B33" s="568" t="s">
        <v>280</v>
      </c>
      <c r="C33" s="565" t="s">
        <v>281</v>
      </c>
      <c r="D33" s="569">
        <v>109352</v>
      </c>
      <c r="E33" s="568" t="s">
        <v>353</v>
      </c>
      <c r="F33" s="568" t="s">
        <v>343</v>
      </c>
      <c r="G33" s="568" t="s">
        <v>24</v>
      </c>
      <c r="H33" s="568" t="s">
        <v>26</v>
      </c>
      <c r="I33" s="569" t="s">
        <v>355</v>
      </c>
      <c r="J33" s="569">
        <v>1</v>
      </c>
      <c r="K33" s="568" t="s">
        <v>311</v>
      </c>
      <c r="L33" s="570">
        <v>43358</v>
      </c>
      <c r="M33" s="571">
        <v>6.3E-2</v>
      </c>
      <c r="N33" s="568" t="s">
        <v>341</v>
      </c>
      <c r="O33" s="568"/>
      <c r="P33" s="571" t="str">
        <f>VLOOKUP(A33,'[1]Raw data'!$B:$BB,23,FALSE)</f>
        <v>JPY</v>
      </c>
      <c r="Q33" s="568" t="str">
        <f>VLOOKUP(A33,'[1]Raw data'!$B:$Z,2,FALSE)</f>
        <v>C49SZX20190032SX</v>
      </c>
      <c r="R33" s="568" t="str">
        <f>VLOOKUP(A33,'[1]Raw data'!$B:$Z,3,FALSE)</f>
        <v>凌鑫</v>
      </c>
      <c r="S33" s="568" t="str">
        <f>VLOOKUP(A33,'[1]Raw data'!$B:$Z,4,FALSE)</f>
        <v>YSM20-2</v>
      </c>
      <c r="T33" s="568" t="str">
        <f>VLOOKUP(A33,'[1]Raw data'!$B:$Z,8,FALSE)</f>
        <v>L-&gt;R</v>
      </c>
      <c r="U33" s="568" t="str">
        <f>VLOOKUP(A33,'[1]Raw data'!$B:$Z,9,FALSE)</f>
        <v>No</v>
      </c>
      <c r="V33" s="572" t="str">
        <f t="shared" si="0"/>
        <v>OK</v>
      </c>
      <c r="W33" s="568" t="str">
        <f>VLOOKUP(A33,'[1]Raw data'!$B:$AG,32,FALSE)</f>
        <v>DAP 深圳</v>
      </c>
      <c r="X33" s="568">
        <f>VLOOKUP(A33,'[1]Raw data'!$B:$BA,31,FALSE)</f>
        <v>43545</v>
      </c>
      <c r="Y33" s="568" t="str">
        <f>VLOOKUP(A33,'[1]Raw data'!$B:$AS,39,FALSE)</f>
        <v>Yes</v>
      </c>
      <c r="Z33" s="573" t="s">
        <v>290</v>
      </c>
      <c r="AA33" s="574" t="s">
        <v>290</v>
      </c>
      <c r="AB33" s="575"/>
      <c r="AC33" s="568" t="s">
        <v>291</v>
      </c>
      <c r="AN33" s="547"/>
      <c r="AO33" s="829" t="str">
        <f t="shared" si="1"/>
        <v>Yes</v>
      </c>
      <c r="AP33" s="259" t="str">
        <f t="shared" si="2"/>
        <v>APR 19</v>
      </c>
      <c r="AQ33" s="547" t="str">
        <f t="shared" si="3"/>
        <v>有定金+有預留客戶</v>
      </c>
      <c r="AR33" s="259" t="str">
        <f t="shared" si="4"/>
        <v>Shipped_Stock</v>
      </c>
      <c r="AS33" s="259" t="str">
        <f t="shared" si="5"/>
        <v/>
      </c>
      <c r="AT33" s="259" t="str">
        <f t="shared" si="6"/>
        <v>凌鑫</v>
      </c>
      <c r="AU33" s="259" t="str">
        <f t="shared" si="7"/>
        <v>C49SZX20190032SX</v>
      </c>
      <c r="AV33" s="259" t="str">
        <f t="shared" si="8"/>
        <v>Sep-15</v>
      </c>
    </row>
    <row r="34" spans="1:69" ht="15" hidden="1" customHeight="1">
      <c r="A34" s="564">
        <v>267</v>
      </c>
      <c r="B34" s="568" t="s">
        <v>280</v>
      </c>
      <c r="C34" s="565" t="s">
        <v>281</v>
      </c>
      <c r="D34" s="569">
        <v>109352</v>
      </c>
      <c r="E34" s="568" t="s">
        <v>353</v>
      </c>
      <c r="F34" s="568" t="s">
        <v>343</v>
      </c>
      <c r="G34" s="568" t="s">
        <v>24</v>
      </c>
      <c r="H34" s="568" t="s">
        <v>26</v>
      </c>
      <c r="I34" s="569" t="s">
        <v>356</v>
      </c>
      <c r="J34" s="569">
        <v>1</v>
      </c>
      <c r="K34" s="568" t="s">
        <v>311</v>
      </c>
      <c r="L34" s="570">
        <v>43358</v>
      </c>
      <c r="M34" s="571">
        <v>6.3E-2</v>
      </c>
      <c r="N34" s="568" t="s">
        <v>341</v>
      </c>
      <c r="O34" s="568"/>
      <c r="P34" s="571" t="str">
        <f>VLOOKUP(A34,'[1]Raw data'!$B:$BB,23,FALSE)</f>
        <v>JPY</v>
      </c>
      <c r="Q34" s="568" t="str">
        <f>VLOOKUP(A34,'[1]Raw data'!$B:$Z,2,FALSE)</f>
        <v>C49SZX20190046SX</v>
      </c>
      <c r="R34" s="568" t="str">
        <f>VLOOKUP(A34,'[1]Raw data'!$B:$Z,3,FALSE)</f>
        <v>永顺创</v>
      </c>
      <c r="S34" s="568" t="str">
        <f>VLOOKUP(A34,'[1]Raw data'!$B:$Z,4,FALSE)</f>
        <v>YSM20-2</v>
      </c>
      <c r="T34" s="568" t="str">
        <f>VLOOKUP(A34,'[1]Raw data'!$B:$Z,8,FALSE)</f>
        <v>L-&gt;R</v>
      </c>
      <c r="U34" s="568" t="str">
        <f>VLOOKUP(A34,'[1]Raw data'!$B:$Z,9,FALSE)</f>
        <v>MVC</v>
      </c>
      <c r="V34" s="572" t="str">
        <f t="shared" ref="V34:V65" si="9">IF(G34&amp;H34=T34&amp;U34,"OK","WRONG")</f>
        <v>WRONG</v>
      </c>
      <c r="W34" s="568" t="str">
        <f>VLOOKUP(A34,'[1]Raw data'!$B:$AG,32,FALSE)</f>
        <v>DAP 深圳</v>
      </c>
      <c r="X34" s="568">
        <f>VLOOKUP(A34,'[1]Raw data'!$B:$BA,31,FALSE)</f>
        <v>43546</v>
      </c>
      <c r="Y34" s="568" t="str">
        <f>VLOOKUP(A34,'[1]Raw data'!$B:$AS,39,FALSE)</f>
        <v>Yes</v>
      </c>
      <c r="Z34" s="573" t="s">
        <v>290</v>
      </c>
      <c r="AA34" s="574" t="s">
        <v>290</v>
      </c>
      <c r="AB34" s="575"/>
      <c r="AC34" s="568" t="s">
        <v>291</v>
      </c>
      <c r="AN34" s="547"/>
      <c r="AO34" s="829" t="str">
        <f t="shared" si="1"/>
        <v>Yes</v>
      </c>
      <c r="AP34" s="259" t="str">
        <f t="shared" si="2"/>
        <v>APR 19</v>
      </c>
      <c r="AQ34" s="547" t="str">
        <f t="shared" si="3"/>
        <v>有定金+有預留客戶</v>
      </c>
      <c r="AR34" s="259" t="str">
        <f t="shared" si="4"/>
        <v>Shipped_Stock</v>
      </c>
      <c r="AS34" s="259" t="str">
        <f t="shared" si="5"/>
        <v/>
      </c>
      <c r="AT34" s="259" t="str">
        <f t="shared" si="6"/>
        <v>永顺创</v>
      </c>
      <c r="AU34" s="259" t="str">
        <f t="shared" si="7"/>
        <v>C49SZX20190046SX</v>
      </c>
      <c r="AV34" s="259" t="str">
        <f t="shared" si="8"/>
        <v>Sep-15</v>
      </c>
    </row>
    <row r="35" spans="1:69" ht="15" hidden="1" customHeight="1">
      <c r="A35" s="564">
        <v>149</v>
      </c>
      <c r="B35" s="568" t="s">
        <v>280</v>
      </c>
      <c r="C35" s="565" t="s">
        <v>281</v>
      </c>
      <c r="D35" s="569">
        <v>109352</v>
      </c>
      <c r="E35" s="568" t="s">
        <v>353</v>
      </c>
      <c r="F35" s="568" t="s">
        <v>343</v>
      </c>
      <c r="G35" s="568" t="s">
        <v>24</v>
      </c>
      <c r="H35" s="568" t="s">
        <v>26</v>
      </c>
      <c r="I35" s="569" t="s">
        <v>357</v>
      </c>
      <c r="J35" s="569">
        <v>1</v>
      </c>
      <c r="K35" s="568" t="s">
        <v>311</v>
      </c>
      <c r="L35" s="570">
        <v>43358</v>
      </c>
      <c r="M35" s="571">
        <v>6.3E-2</v>
      </c>
      <c r="N35" s="568" t="s">
        <v>345</v>
      </c>
      <c r="O35" s="568"/>
      <c r="P35" s="571" t="str">
        <f>VLOOKUP(A35,'[1]Raw data'!$B:$BB,23,FALSE)</f>
        <v>JPY</v>
      </c>
      <c r="Q35" s="568" t="str">
        <f>VLOOKUP(A35,'[1]Raw data'!$B:$Z,2,FALSE)</f>
        <v>C49SZX20180158ZX</v>
      </c>
      <c r="R35" s="568" t="str">
        <f>VLOOKUP(A35,'[1]Raw data'!$B:$Z,3,FALSE)</f>
        <v>德兰明海</v>
      </c>
      <c r="S35" s="568" t="str">
        <f>VLOOKUP(A35,'[1]Raw data'!$B:$Z,4,FALSE)</f>
        <v>YSM20-2</v>
      </c>
      <c r="T35" s="568" t="str">
        <f>VLOOKUP(A35,'[1]Raw data'!$B:$Z,8,FALSE)</f>
        <v>L-&gt;R</v>
      </c>
      <c r="U35" s="568" t="str">
        <f>VLOOKUP(A35,'[1]Raw data'!$B:$Z,9,FALSE)</f>
        <v>No</v>
      </c>
      <c r="V35" s="572" t="str">
        <f t="shared" si="9"/>
        <v>OK</v>
      </c>
      <c r="W35" s="568" t="str">
        <f>VLOOKUP(A35,'[1]Raw data'!$B:$AG,32,FALSE)</f>
        <v>DAP 深圳</v>
      </c>
      <c r="X35" s="568">
        <f>VLOOKUP(A35,'[1]Raw data'!$B:$BA,31,FALSE)</f>
        <v>43397</v>
      </c>
      <c r="Y35" s="568" t="str">
        <f>VLOOKUP(A35,'[1]Raw data'!$B:$AS,39,FALSE)</f>
        <v>Yes</v>
      </c>
      <c r="Z35" s="573" t="s">
        <v>290</v>
      </c>
      <c r="AA35" s="574" t="s">
        <v>290</v>
      </c>
      <c r="AB35" s="575"/>
      <c r="AC35" s="568" t="s">
        <v>291</v>
      </c>
      <c r="AN35" s="547"/>
      <c r="AO35" s="829" t="str">
        <f t="shared" si="1"/>
        <v>Yes</v>
      </c>
      <c r="AP35" s="259" t="str">
        <f t="shared" si="2"/>
        <v>NOV 18</v>
      </c>
      <c r="AQ35" s="547" t="str">
        <f t="shared" si="3"/>
        <v>有定金+有預留客戶</v>
      </c>
      <c r="AR35" s="259" t="str">
        <f t="shared" si="4"/>
        <v>Shipped_Stock</v>
      </c>
      <c r="AS35" s="259" t="str">
        <f t="shared" si="5"/>
        <v/>
      </c>
      <c r="AT35" s="259" t="str">
        <f t="shared" si="6"/>
        <v>德兰明海</v>
      </c>
      <c r="AU35" s="259" t="str">
        <f t="shared" si="7"/>
        <v>C49SZX20180158ZX</v>
      </c>
      <c r="AV35" s="259" t="str">
        <f t="shared" si="8"/>
        <v>Sep-15</v>
      </c>
    </row>
    <row r="36" spans="1:69" ht="15" hidden="1" customHeight="1">
      <c r="A36" s="564">
        <v>271</v>
      </c>
      <c r="B36" s="568" t="s">
        <v>280</v>
      </c>
      <c r="C36" s="565" t="s">
        <v>281</v>
      </c>
      <c r="D36" s="569">
        <v>109352</v>
      </c>
      <c r="E36" s="568" t="s">
        <v>353</v>
      </c>
      <c r="F36" s="568" t="s">
        <v>343</v>
      </c>
      <c r="G36" s="568" t="s">
        <v>24</v>
      </c>
      <c r="H36" s="568" t="s">
        <v>26</v>
      </c>
      <c r="I36" s="569" t="s">
        <v>358</v>
      </c>
      <c r="J36" s="569">
        <v>1</v>
      </c>
      <c r="K36" s="568" t="s">
        <v>311</v>
      </c>
      <c r="L36" s="570">
        <v>43358</v>
      </c>
      <c r="M36" s="571">
        <v>6.3E-2</v>
      </c>
      <c r="N36" s="568" t="s">
        <v>341</v>
      </c>
      <c r="O36" s="568"/>
      <c r="P36" s="571" t="str">
        <f>VLOOKUP(A36,'[1]Raw data'!$B:$BB,23,FALSE)</f>
        <v>JPY</v>
      </c>
      <c r="Q36" s="568" t="str">
        <f>VLOOKUP(A36,'[1]Raw data'!$B:$Z,2,FALSE)</f>
        <v>C49SZX20190040JL</v>
      </c>
      <c r="R36" s="568" t="str">
        <f>VLOOKUP(A36,'[1]Raw data'!$B:$Z,3,FALSE)</f>
        <v>瑞福联</v>
      </c>
      <c r="S36" s="568" t="str">
        <f>VLOOKUP(A36,'[1]Raw data'!$B:$Z,4,FALSE)</f>
        <v>YSM20-2</v>
      </c>
      <c r="T36" s="568" t="str">
        <f>VLOOKUP(A36,'[1]Raw data'!$B:$Z,8,FALSE)</f>
        <v>L-&gt;R</v>
      </c>
      <c r="U36" s="568" t="str">
        <f>VLOOKUP(A36,'[1]Raw data'!$B:$Z,9,FALSE)</f>
        <v>No</v>
      </c>
      <c r="V36" s="572" t="str">
        <f t="shared" si="9"/>
        <v>OK</v>
      </c>
      <c r="W36" s="568" t="str">
        <f>VLOOKUP(A36,'[1]Raw data'!$B:$AG,32,FALSE)</f>
        <v>CIF HK</v>
      </c>
      <c r="X36" s="568">
        <f>VLOOKUP(A36,'[1]Raw data'!$B:$BA,31,FALSE)</f>
        <v>43549</v>
      </c>
      <c r="Y36" s="568" t="str">
        <f>VLOOKUP(A36,'[1]Raw data'!$B:$AS,39,FALSE)</f>
        <v>Yes</v>
      </c>
      <c r="Z36" s="573" t="s">
        <v>290</v>
      </c>
      <c r="AA36" s="574" t="s">
        <v>290</v>
      </c>
      <c r="AB36" s="575"/>
      <c r="AC36" s="568" t="s">
        <v>291</v>
      </c>
      <c r="AN36" s="547"/>
      <c r="AO36" s="829" t="str">
        <f t="shared" si="1"/>
        <v>Yes</v>
      </c>
      <c r="AP36" s="259" t="str">
        <f t="shared" si="2"/>
        <v>APR 19</v>
      </c>
      <c r="AQ36" s="547" t="str">
        <f t="shared" si="3"/>
        <v>有定金+有預留客戶</v>
      </c>
      <c r="AR36" s="259" t="str">
        <f t="shared" si="4"/>
        <v>Shipped_Stock</v>
      </c>
      <c r="AS36" s="259" t="str">
        <f t="shared" si="5"/>
        <v/>
      </c>
      <c r="AT36" s="259" t="str">
        <f t="shared" si="6"/>
        <v>瑞福联</v>
      </c>
      <c r="AU36" s="259" t="str">
        <f t="shared" si="7"/>
        <v>C49SZX20190040JL</v>
      </c>
      <c r="AV36" s="259" t="str">
        <f t="shared" si="8"/>
        <v>Sep-15</v>
      </c>
    </row>
    <row r="37" spans="1:69" ht="15" hidden="1" customHeight="1">
      <c r="A37" s="564">
        <v>272</v>
      </c>
      <c r="B37" s="568" t="s">
        <v>280</v>
      </c>
      <c r="C37" s="565" t="s">
        <v>281</v>
      </c>
      <c r="D37" s="569">
        <v>109352</v>
      </c>
      <c r="E37" s="568" t="s">
        <v>353</v>
      </c>
      <c r="F37" s="568" t="s">
        <v>343</v>
      </c>
      <c r="G37" s="568" t="s">
        <v>24</v>
      </c>
      <c r="H37" s="568" t="s">
        <v>26</v>
      </c>
      <c r="I37" s="569" t="s">
        <v>359</v>
      </c>
      <c r="J37" s="569">
        <v>1</v>
      </c>
      <c r="K37" s="568" t="s">
        <v>311</v>
      </c>
      <c r="L37" s="570">
        <v>43358</v>
      </c>
      <c r="M37" s="571">
        <v>6.3E-2</v>
      </c>
      <c r="N37" s="568" t="s">
        <v>341</v>
      </c>
      <c r="O37" s="568"/>
      <c r="P37" s="571" t="str">
        <f>VLOOKUP(A37,'[1]Raw data'!$B:$BB,23,FALSE)</f>
        <v>JPY</v>
      </c>
      <c r="Q37" s="568" t="str">
        <f>VLOOKUP(A37,'[1]Raw data'!$B:$Z,2,FALSE)</f>
        <v>C49SZX20190040JL</v>
      </c>
      <c r="R37" s="568" t="str">
        <f>VLOOKUP(A37,'[1]Raw data'!$B:$Z,3,FALSE)</f>
        <v>瑞福联</v>
      </c>
      <c r="S37" s="568" t="str">
        <f>VLOOKUP(A37,'[1]Raw data'!$B:$Z,4,FALSE)</f>
        <v>YSM20-2</v>
      </c>
      <c r="T37" s="568" t="str">
        <f>VLOOKUP(A37,'[1]Raw data'!$B:$Z,8,FALSE)</f>
        <v>L-&gt;R</v>
      </c>
      <c r="U37" s="568" t="str">
        <f>VLOOKUP(A37,'[1]Raw data'!$B:$Z,9,FALSE)</f>
        <v>No</v>
      </c>
      <c r="V37" s="572" t="str">
        <f t="shared" si="9"/>
        <v>OK</v>
      </c>
      <c r="W37" s="568" t="str">
        <f>VLOOKUP(A37,'[1]Raw data'!$B:$AG,32,FALSE)</f>
        <v>CIF HK</v>
      </c>
      <c r="X37" s="568">
        <f>VLOOKUP(A37,'[1]Raw data'!$B:$BA,31,FALSE)</f>
        <v>43549</v>
      </c>
      <c r="Y37" s="568" t="str">
        <f>VLOOKUP(A37,'[1]Raw data'!$B:$AS,39,FALSE)</f>
        <v>Yes</v>
      </c>
      <c r="Z37" s="573" t="s">
        <v>290</v>
      </c>
      <c r="AA37" s="574" t="s">
        <v>290</v>
      </c>
      <c r="AB37" s="575"/>
      <c r="AC37" s="568" t="s">
        <v>291</v>
      </c>
      <c r="AN37" s="547"/>
      <c r="AO37" s="829" t="str">
        <f t="shared" si="1"/>
        <v>Yes</v>
      </c>
      <c r="AP37" s="259" t="str">
        <f t="shared" si="2"/>
        <v>APR 19</v>
      </c>
      <c r="AQ37" s="547" t="str">
        <f t="shared" si="3"/>
        <v>有定金+有預留客戶</v>
      </c>
      <c r="AR37" s="259" t="str">
        <f t="shared" si="4"/>
        <v>Shipped_Stock</v>
      </c>
      <c r="AS37" s="259" t="str">
        <f t="shared" si="5"/>
        <v/>
      </c>
      <c r="AT37" s="259" t="str">
        <f t="shared" si="6"/>
        <v>瑞福联</v>
      </c>
      <c r="AU37" s="259" t="str">
        <f t="shared" si="7"/>
        <v>C49SZX20190040JL</v>
      </c>
      <c r="AV37" s="259" t="str">
        <f t="shared" si="8"/>
        <v>Sep-15</v>
      </c>
    </row>
    <row r="38" spans="1:69" ht="15" hidden="1" customHeight="1">
      <c r="A38" s="564">
        <v>278</v>
      </c>
      <c r="B38" s="568" t="s">
        <v>280</v>
      </c>
      <c r="C38" s="565" t="s">
        <v>281</v>
      </c>
      <c r="D38" s="569">
        <v>109352</v>
      </c>
      <c r="E38" s="568" t="s">
        <v>353</v>
      </c>
      <c r="F38" s="568" t="s">
        <v>343</v>
      </c>
      <c r="G38" s="568" t="s">
        <v>24</v>
      </c>
      <c r="H38" s="568" t="s">
        <v>26</v>
      </c>
      <c r="I38" s="569" t="s">
        <v>360</v>
      </c>
      <c r="J38" s="569">
        <v>1</v>
      </c>
      <c r="K38" s="568" t="s">
        <v>311</v>
      </c>
      <c r="L38" s="570">
        <v>43358</v>
      </c>
      <c r="M38" s="571">
        <v>6.3E-2</v>
      </c>
      <c r="N38" s="568" t="s">
        <v>341</v>
      </c>
      <c r="O38" s="568"/>
      <c r="P38" s="571" t="str">
        <f>VLOOKUP(A38,'[1]Raw data'!$B:$BB,23,FALSE)</f>
        <v>JPY</v>
      </c>
      <c r="Q38" s="568" t="str">
        <f>VLOOKUP(A38,'[1]Raw data'!$B:$Z,2,FALSE)</f>
        <v>C49SZX20190048JY</v>
      </c>
      <c r="R38" s="568" t="str">
        <f>VLOOKUP(A38,'[1]Raw data'!$B:$Z,3,FALSE)</f>
        <v>络鑫</v>
      </c>
      <c r="S38" s="568" t="str">
        <f>VLOOKUP(A38,'[1]Raw data'!$B:$Z,4,FALSE)</f>
        <v>YSM20-2</v>
      </c>
      <c r="T38" s="568" t="str">
        <f>VLOOKUP(A38,'[1]Raw data'!$B:$Z,8,FALSE)</f>
        <v>L-&gt;R</v>
      </c>
      <c r="U38" s="568" t="str">
        <f>VLOOKUP(A38,'[1]Raw data'!$B:$Z,9,FALSE)</f>
        <v>No</v>
      </c>
      <c r="V38" s="572" t="str">
        <f t="shared" si="9"/>
        <v>OK</v>
      </c>
      <c r="W38" s="568" t="str">
        <f>VLOOKUP(A38,'[1]Raw data'!$B:$AG,32,FALSE)</f>
        <v>DAP东莞</v>
      </c>
      <c r="X38" s="568">
        <f>VLOOKUP(A38,'[1]Raw data'!$B:$BA,31,FALSE)</f>
        <v>43558</v>
      </c>
      <c r="Y38" s="568" t="str">
        <f>VLOOKUP(A38,'[1]Raw data'!$B:$AS,39,FALSE)</f>
        <v>Yes</v>
      </c>
      <c r="Z38" s="573" t="s">
        <v>290</v>
      </c>
      <c r="AA38" s="574" t="s">
        <v>290</v>
      </c>
      <c r="AB38" s="575"/>
      <c r="AC38" s="568" t="s">
        <v>291</v>
      </c>
      <c r="AN38" s="547"/>
      <c r="AO38" s="829" t="str">
        <f t="shared" si="1"/>
        <v>Yes</v>
      </c>
      <c r="AP38" s="259" t="str">
        <f t="shared" si="2"/>
        <v>APR 19</v>
      </c>
      <c r="AQ38" s="547" t="str">
        <f t="shared" si="3"/>
        <v>有定金+有預留客戶</v>
      </c>
      <c r="AR38" s="259" t="str">
        <f t="shared" si="4"/>
        <v>Shipped_Stock</v>
      </c>
      <c r="AS38" s="259" t="str">
        <f t="shared" si="5"/>
        <v/>
      </c>
      <c r="AT38" s="259" t="str">
        <f t="shared" si="6"/>
        <v>络鑫</v>
      </c>
      <c r="AU38" s="259" t="str">
        <f t="shared" si="7"/>
        <v>C49SZX20190048JY</v>
      </c>
      <c r="AV38" s="259" t="str">
        <f t="shared" si="8"/>
        <v>Sep-15</v>
      </c>
    </row>
    <row r="39" spans="1:69" ht="15" hidden="1" customHeight="1">
      <c r="A39" s="564">
        <v>31</v>
      </c>
      <c r="B39" s="568" t="s">
        <v>280</v>
      </c>
      <c r="C39" s="565" t="s">
        <v>281</v>
      </c>
      <c r="D39" s="569">
        <v>109352</v>
      </c>
      <c r="E39" s="568" t="s">
        <v>353</v>
      </c>
      <c r="F39" s="568" t="s">
        <v>343</v>
      </c>
      <c r="G39" s="568" t="s">
        <v>24</v>
      </c>
      <c r="H39" s="568" t="s">
        <v>26</v>
      </c>
      <c r="I39" s="569" t="s">
        <v>361</v>
      </c>
      <c r="J39" s="569">
        <v>1</v>
      </c>
      <c r="K39" s="568" t="s">
        <v>295</v>
      </c>
      <c r="L39" s="570">
        <v>43358</v>
      </c>
      <c r="M39" s="571">
        <v>6.3E-2</v>
      </c>
      <c r="N39" s="568" t="s">
        <v>341</v>
      </c>
      <c r="O39" s="568"/>
      <c r="P39" s="571" t="str">
        <f>VLOOKUP(A39,'[1]Raw data'!$B:$BB,23,FALSE)</f>
        <v>RMB</v>
      </c>
      <c r="Q39" s="568" t="str">
        <f>VLOOKUP(A39,'[1]Raw data'!$B:$Z,2,FALSE)</f>
        <v>C49SZX20180058KW</v>
      </c>
      <c r="R39" s="568" t="str">
        <f>VLOOKUP(A39,'[1]Raw data'!$B:$Z,3,FALSE)</f>
        <v>STK深台</v>
      </c>
      <c r="S39" s="568" t="str">
        <f>VLOOKUP(A39,'[1]Raw data'!$B:$Z,4,FALSE)</f>
        <v>YSM20-2</v>
      </c>
      <c r="T39" s="568" t="str">
        <f>VLOOKUP(A39,'[1]Raw data'!$B:$Z,8,FALSE)</f>
        <v>L-&gt;R</v>
      </c>
      <c r="U39" s="568" t="str">
        <f>VLOOKUP(A39,'[1]Raw data'!$B:$Z,9,FALSE)</f>
        <v>No</v>
      </c>
      <c r="V39" s="572" t="str">
        <f t="shared" si="9"/>
        <v>OK</v>
      </c>
      <c r="W39" s="568" t="str">
        <f>VLOOKUP(A39,'[1]Raw data'!$B:$AG,32,FALSE)</f>
        <v>DDP SZ</v>
      </c>
      <c r="X39" s="568">
        <f>VLOOKUP(A39,'[1]Raw data'!$B:$BA,31,FALSE)</f>
        <v>43230</v>
      </c>
      <c r="Y39" s="568" t="str">
        <f>VLOOKUP(A39,'[1]Raw data'!$B:$AS,39,FALSE)</f>
        <v>Yes</v>
      </c>
      <c r="Z39" s="573" t="s">
        <v>290</v>
      </c>
      <c r="AA39" s="574" t="s">
        <v>290</v>
      </c>
      <c r="AB39" s="575"/>
      <c r="AC39" s="568" t="s">
        <v>291</v>
      </c>
      <c r="AN39" s="547"/>
      <c r="AO39" s="829" t="str">
        <f t="shared" si="1"/>
        <v>Yes</v>
      </c>
      <c r="AP39" s="259" t="str">
        <f t="shared" si="2"/>
        <v>APR 19</v>
      </c>
      <c r="AQ39" s="547" t="str">
        <f t="shared" si="3"/>
        <v>有定金+有預留客戶</v>
      </c>
      <c r="AR39" s="259" t="str">
        <f t="shared" si="4"/>
        <v>Shipped_Stock</v>
      </c>
      <c r="AS39" s="259" t="str">
        <f t="shared" si="5"/>
        <v/>
      </c>
      <c r="AT39" s="259" t="str">
        <f t="shared" si="6"/>
        <v>STK深台</v>
      </c>
      <c r="AU39" s="259" t="str">
        <f t="shared" si="7"/>
        <v>C49SZX20180058KW</v>
      </c>
      <c r="AV39" s="259" t="str">
        <f t="shared" si="8"/>
        <v>Sep-15</v>
      </c>
    </row>
    <row r="40" spans="1:69" ht="15" hidden="1" customHeight="1">
      <c r="A40" s="564">
        <v>187</v>
      </c>
      <c r="B40" s="568" t="s">
        <v>280</v>
      </c>
      <c r="C40" s="565" t="s">
        <v>281</v>
      </c>
      <c r="D40" s="569">
        <v>109360</v>
      </c>
      <c r="E40" s="568" t="s">
        <v>236</v>
      </c>
      <c r="F40" s="568" t="s">
        <v>17</v>
      </c>
      <c r="G40" s="568" t="s">
        <v>24</v>
      </c>
      <c r="H40" s="568" t="s">
        <v>26</v>
      </c>
      <c r="I40" s="569" t="s">
        <v>362</v>
      </c>
      <c r="J40" s="569">
        <v>1</v>
      </c>
      <c r="K40" s="568" t="s">
        <v>285</v>
      </c>
      <c r="L40" s="570">
        <v>43362</v>
      </c>
      <c r="M40" s="571">
        <v>6.3E-2</v>
      </c>
      <c r="N40" s="568" t="s">
        <v>363</v>
      </c>
      <c r="O40" s="568"/>
      <c r="P40" s="571" t="str">
        <f>VLOOKUP(A40,'[1]Raw data'!$B:$BB,23,FALSE)</f>
        <v>JPY</v>
      </c>
      <c r="Q40" s="568" t="str">
        <f>VLOOKUP(A40,'[1]Raw data'!$B:$Z,2,FALSE)</f>
        <v>C49SZX20180161RY</v>
      </c>
      <c r="R40" s="568" t="str">
        <f>VLOOKUP(A40,'[1]Raw data'!$B:$Z,3,FALSE)</f>
        <v>恩圣</v>
      </c>
      <c r="S40" s="568" t="str">
        <f>VLOOKUP(A40,'[1]Raw data'!$B:$Z,4,FALSE)</f>
        <v>YSM10</v>
      </c>
      <c r="T40" s="568" t="str">
        <f>VLOOKUP(A40,'[1]Raw data'!$B:$Z,8,FALSE)</f>
        <v>L-&gt;R</v>
      </c>
      <c r="U40" s="568" t="str">
        <f>VLOOKUP(A40,'[1]Raw data'!$B:$Z,9,FALSE)</f>
        <v>No</v>
      </c>
      <c r="V40" s="572" t="str">
        <f t="shared" si="9"/>
        <v>OK</v>
      </c>
      <c r="W40" s="568" t="str">
        <f>VLOOKUP(A40,'[1]Raw data'!$B:$AG,32,FALSE)</f>
        <v>DAP深圳</v>
      </c>
      <c r="X40" s="568">
        <f>VLOOKUP(A40,'[1]Raw data'!$B:$BA,31,FALSE)</f>
        <v>43445</v>
      </c>
      <c r="Y40" s="568" t="str">
        <f>VLOOKUP(A40,'[1]Raw data'!$B:$AS,39,FALSE)</f>
        <v>Yes</v>
      </c>
      <c r="Z40" s="573" t="s">
        <v>329</v>
      </c>
      <c r="AA40" s="574" t="s">
        <v>290</v>
      </c>
      <c r="AB40" s="575"/>
      <c r="AC40" s="568" t="s">
        <v>291</v>
      </c>
      <c r="AN40" s="547"/>
      <c r="AO40" s="829" t="str">
        <f t="shared" si="1"/>
        <v>Yes</v>
      </c>
      <c r="AP40" s="259" t="str">
        <f t="shared" si="2"/>
        <v>FEB 19</v>
      </c>
      <c r="AQ40" s="547" t="str">
        <f t="shared" si="3"/>
        <v>有定金+有預留客戶</v>
      </c>
      <c r="AR40" s="259" t="str">
        <f t="shared" si="4"/>
        <v>Shipped_Stock</v>
      </c>
      <c r="AS40" s="259" t="str">
        <f t="shared" si="5"/>
        <v/>
      </c>
      <c r="AT40" s="259" t="str">
        <f t="shared" si="6"/>
        <v>恩圣</v>
      </c>
      <c r="AU40" s="259" t="str">
        <f t="shared" si="7"/>
        <v>C49SZX20180161RY</v>
      </c>
      <c r="AV40" s="259" t="str">
        <f t="shared" si="8"/>
        <v>Sep-19</v>
      </c>
    </row>
    <row r="41" spans="1:69" ht="15" hidden="1" customHeight="1">
      <c r="A41" s="564">
        <v>213</v>
      </c>
      <c r="B41" s="568" t="s">
        <v>280</v>
      </c>
      <c r="C41" s="565" t="s">
        <v>281</v>
      </c>
      <c r="D41" s="569">
        <v>109360</v>
      </c>
      <c r="E41" s="568" t="s">
        <v>236</v>
      </c>
      <c r="F41" s="568" t="s">
        <v>17</v>
      </c>
      <c r="G41" s="568" t="s">
        <v>24</v>
      </c>
      <c r="H41" s="568" t="s">
        <v>26</v>
      </c>
      <c r="I41" s="569" t="s">
        <v>364</v>
      </c>
      <c r="J41" s="569">
        <v>1</v>
      </c>
      <c r="K41" s="568" t="s">
        <v>285</v>
      </c>
      <c r="L41" s="570">
        <v>43362</v>
      </c>
      <c r="M41" s="571">
        <v>6.3E-2</v>
      </c>
      <c r="N41" s="568" t="s">
        <v>334</v>
      </c>
      <c r="O41" s="568"/>
      <c r="P41" s="571" t="str">
        <f>VLOOKUP(A41,'[1]Raw data'!$B:$BB,23,FALSE)</f>
        <v>JPY</v>
      </c>
      <c r="Q41" s="568" t="str">
        <f>VLOOKUP(A41,'[1]Raw data'!$B:$Z,2,FALSE)</f>
        <v>C49SZX20190007JL</v>
      </c>
      <c r="R41" s="568" t="str">
        <f>VLOOKUP(A41,'[1]Raw data'!$B:$Z,3,FALSE)</f>
        <v>昶达CHEERSTAR</v>
      </c>
      <c r="S41" s="568" t="str">
        <f>VLOOKUP(A41,'[1]Raw data'!$B:$Z,4,FALSE)</f>
        <v>YSM10</v>
      </c>
      <c r="T41" s="568" t="str">
        <f>VLOOKUP(A41,'[1]Raw data'!$B:$Z,8,FALSE)</f>
        <v>R-&gt;L</v>
      </c>
      <c r="U41" s="568" t="str">
        <f>VLOOKUP(A41,'[1]Raw data'!$B:$Z,9,FALSE)</f>
        <v>No</v>
      </c>
      <c r="V41" s="572" t="str">
        <f t="shared" si="9"/>
        <v>WRONG</v>
      </c>
      <c r="W41" s="568" t="str">
        <f>VLOOKUP(A41,'[1]Raw data'!$B:$AG,32,FALSE)</f>
        <v>CIF</v>
      </c>
      <c r="X41" s="568">
        <f>VLOOKUP(A41,'[1]Raw data'!$B:$BA,31,FALSE)</f>
        <v>43480</v>
      </c>
      <c r="Y41" s="568" t="str">
        <f>VLOOKUP(A41,'[1]Raw data'!$B:$AS,39,FALSE)</f>
        <v>Yes</v>
      </c>
      <c r="Z41" s="573" t="s">
        <v>329</v>
      </c>
      <c r="AA41" s="574" t="s">
        <v>290</v>
      </c>
      <c r="AB41" s="575"/>
      <c r="AC41" s="568" t="s">
        <v>291</v>
      </c>
      <c r="AN41" s="547"/>
      <c r="AO41" s="829" t="str">
        <f t="shared" si="1"/>
        <v>Yes</v>
      </c>
      <c r="AP41" s="259" t="str">
        <f t="shared" si="2"/>
        <v>MAR 19</v>
      </c>
      <c r="AQ41" s="547" t="str">
        <f t="shared" si="3"/>
        <v>有定金+有預留客戶</v>
      </c>
      <c r="AR41" s="259" t="str">
        <f t="shared" si="4"/>
        <v>Shipped_Stock</v>
      </c>
      <c r="AS41" s="259" t="str">
        <f t="shared" si="5"/>
        <v/>
      </c>
      <c r="AT41" s="259" t="str">
        <f t="shared" si="6"/>
        <v>昶达CHEERSTAR</v>
      </c>
      <c r="AU41" s="259" t="str">
        <f t="shared" si="7"/>
        <v>C49SZX20190007JL</v>
      </c>
      <c r="AV41" s="259" t="str">
        <f t="shared" si="8"/>
        <v>Sep-19</v>
      </c>
    </row>
    <row r="42" spans="1:69" ht="15" hidden="1" customHeight="1">
      <c r="A42" s="564">
        <v>234</v>
      </c>
      <c r="B42" s="568" t="s">
        <v>280</v>
      </c>
      <c r="C42" s="565" t="s">
        <v>281</v>
      </c>
      <c r="D42" s="569">
        <v>109416</v>
      </c>
      <c r="E42" s="568" t="s">
        <v>236</v>
      </c>
      <c r="F42" s="568" t="s">
        <v>17</v>
      </c>
      <c r="G42" s="568" t="s">
        <v>24</v>
      </c>
      <c r="H42" s="568" t="s">
        <v>34</v>
      </c>
      <c r="I42" s="569" t="s">
        <v>365</v>
      </c>
      <c r="J42" s="569">
        <v>1</v>
      </c>
      <c r="K42" s="568" t="s">
        <v>285</v>
      </c>
      <c r="L42" s="570">
        <v>43362</v>
      </c>
      <c r="M42" s="571">
        <v>6.3E-2</v>
      </c>
      <c r="N42" s="568" t="s">
        <v>341</v>
      </c>
      <c r="O42" s="568"/>
      <c r="P42" s="571" t="str">
        <f>VLOOKUP(A42,'[1]Raw data'!$B:$BB,23,FALSE)</f>
        <v>RMB</v>
      </c>
      <c r="Q42" s="568" t="str">
        <f>VLOOKUP(A42,'[1]Raw data'!$B:$Z,2,FALSE)</f>
        <v>C49SZX20190016KW</v>
      </c>
      <c r="R42" s="568" t="str">
        <f>VLOOKUP(A42,'[1]Raw data'!$B:$Z,3,FALSE)</f>
        <v>同基</v>
      </c>
      <c r="S42" s="568" t="str">
        <f>VLOOKUP(A42,'[1]Raw data'!$B:$Z,4,FALSE)</f>
        <v>YSM10</v>
      </c>
      <c r="T42" s="568" t="str">
        <f>VLOOKUP(A42,'[1]Raw data'!$B:$Z,8,FALSE)</f>
        <v>L-&gt;R</v>
      </c>
      <c r="U42" s="568" t="str">
        <f>VLOOKUP(A42,'[1]Raw data'!$B:$Z,9,FALSE)</f>
        <v>MVC+ATS15</v>
      </c>
      <c r="V42" s="572" t="str">
        <f t="shared" si="9"/>
        <v>OK</v>
      </c>
      <c r="W42" s="568" t="str">
        <f>VLOOKUP(A42,'[1]Raw data'!$B:$AG,32,FALSE)</f>
        <v>DAP 深圳</v>
      </c>
      <c r="X42" s="568">
        <f>VLOOKUP(A42,'[1]Raw data'!$B:$BA,31,FALSE)</f>
        <v>43490</v>
      </c>
      <c r="Y42" s="568" t="str">
        <f>VLOOKUP(A42,'[1]Raw data'!$B:$AS,39,FALSE)</f>
        <v>Yes</v>
      </c>
      <c r="Z42" s="573" t="s">
        <v>290</v>
      </c>
      <c r="AA42" s="574" t="s">
        <v>290</v>
      </c>
      <c r="AB42" s="575"/>
      <c r="AC42" s="568" t="s">
        <v>291</v>
      </c>
      <c r="AN42" s="547"/>
      <c r="AO42" s="829" t="str">
        <f t="shared" si="1"/>
        <v>Yes</v>
      </c>
      <c r="AP42" s="259" t="str">
        <f t="shared" si="2"/>
        <v>APR 19</v>
      </c>
      <c r="AQ42" s="547" t="str">
        <f t="shared" si="3"/>
        <v>有定金+有預留客戶</v>
      </c>
      <c r="AR42" s="259" t="str">
        <f t="shared" si="4"/>
        <v>Shipped_Stock</v>
      </c>
      <c r="AS42" s="259" t="str">
        <f t="shared" si="5"/>
        <v/>
      </c>
      <c r="AT42" s="259" t="str">
        <f t="shared" si="6"/>
        <v>同基</v>
      </c>
      <c r="AU42" s="259" t="str">
        <f t="shared" si="7"/>
        <v>C49SZX20190016KW</v>
      </c>
      <c r="AV42" s="259" t="str">
        <f t="shared" si="8"/>
        <v>Sep-19</v>
      </c>
    </row>
    <row r="43" spans="1:69" ht="15" hidden="1" customHeight="1">
      <c r="A43" s="564">
        <v>235</v>
      </c>
      <c r="B43" s="568" t="s">
        <v>280</v>
      </c>
      <c r="C43" s="565" t="s">
        <v>281</v>
      </c>
      <c r="D43" s="569">
        <v>109416</v>
      </c>
      <c r="E43" s="568" t="s">
        <v>236</v>
      </c>
      <c r="F43" s="568" t="s">
        <v>17</v>
      </c>
      <c r="G43" s="568" t="s">
        <v>24</v>
      </c>
      <c r="H43" s="568" t="s">
        <v>292</v>
      </c>
      <c r="I43" s="569" t="s">
        <v>366</v>
      </c>
      <c r="J43" s="569">
        <v>1</v>
      </c>
      <c r="K43" s="568" t="s">
        <v>285</v>
      </c>
      <c r="L43" s="570">
        <v>43362</v>
      </c>
      <c r="M43" s="571">
        <v>6.3E-2</v>
      </c>
      <c r="N43" s="568" t="s">
        <v>341</v>
      </c>
      <c r="O43" s="568"/>
      <c r="P43" s="571" t="str">
        <f>VLOOKUP(A43,'[1]Raw data'!$B:$BB,23,FALSE)</f>
        <v>RMB</v>
      </c>
      <c r="Q43" s="568" t="str">
        <f>VLOOKUP(A43,'[1]Raw data'!$B:$Z,2,FALSE)</f>
        <v>C49SZX20190016KW</v>
      </c>
      <c r="R43" s="568" t="str">
        <f>VLOOKUP(A43,'[1]Raw data'!$B:$Z,3,FALSE)</f>
        <v>同基</v>
      </c>
      <c r="S43" s="568" t="str">
        <f>VLOOKUP(A43,'[1]Raw data'!$B:$Z,4,FALSE)</f>
        <v>YSM10</v>
      </c>
      <c r="T43" s="568" t="str">
        <f>VLOOKUP(A43,'[1]Raw data'!$B:$Z,8,FALSE)</f>
        <v>L-&gt;R</v>
      </c>
      <c r="U43" s="568" t="str">
        <f>VLOOKUP(A43,'[1]Raw data'!$B:$Z,9,FALSE)</f>
        <v>MVC+ATS15</v>
      </c>
      <c r="V43" s="572" t="str">
        <f t="shared" si="9"/>
        <v>OK</v>
      </c>
      <c r="W43" s="568" t="str">
        <f>VLOOKUP(A43,'[1]Raw data'!$B:$AG,32,FALSE)</f>
        <v>DAP 深圳</v>
      </c>
      <c r="X43" s="568">
        <f>VLOOKUP(A43,'[1]Raw data'!$B:$BA,31,FALSE)</f>
        <v>43490</v>
      </c>
      <c r="Y43" s="568" t="str">
        <f>VLOOKUP(A43,'[1]Raw data'!$B:$AS,39,FALSE)</f>
        <v>Yes</v>
      </c>
      <c r="Z43" s="573" t="s">
        <v>290</v>
      </c>
      <c r="AA43" s="574" t="s">
        <v>290</v>
      </c>
      <c r="AB43" s="575"/>
      <c r="AC43" s="568" t="s">
        <v>291</v>
      </c>
      <c r="AN43" s="547"/>
      <c r="AO43" s="829" t="str">
        <f t="shared" si="1"/>
        <v>Yes</v>
      </c>
      <c r="AP43" s="259" t="str">
        <f t="shared" si="2"/>
        <v>APR 19</v>
      </c>
      <c r="AQ43" s="547" t="str">
        <f t="shared" si="3"/>
        <v>有定金+有預留客戶</v>
      </c>
      <c r="AR43" s="259" t="str">
        <f t="shared" si="4"/>
        <v>Shipped_Stock</v>
      </c>
      <c r="AS43" s="259" t="str">
        <f t="shared" si="5"/>
        <v/>
      </c>
      <c r="AT43" s="259" t="str">
        <f t="shared" si="6"/>
        <v>同基</v>
      </c>
      <c r="AU43" s="259" t="str">
        <f t="shared" si="7"/>
        <v>C49SZX20190016KW</v>
      </c>
      <c r="AV43" s="259" t="str">
        <f t="shared" si="8"/>
        <v>Sep-19</v>
      </c>
    </row>
    <row r="44" spans="1:69" ht="15" hidden="1" customHeight="1">
      <c r="A44" s="564">
        <v>212</v>
      </c>
      <c r="B44" s="568" t="s">
        <v>280</v>
      </c>
      <c r="C44" s="565" t="s">
        <v>281</v>
      </c>
      <c r="D44" s="569">
        <v>109381</v>
      </c>
      <c r="E44" s="568" t="s">
        <v>236</v>
      </c>
      <c r="F44" s="568" t="s">
        <v>17</v>
      </c>
      <c r="G44" s="568" t="s">
        <v>24</v>
      </c>
      <c r="H44" s="568" t="s">
        <v>27</v>
      </c>
      <c r="I44" s="569" t="s">
        <v>367</v>
      </c>
      <c r="J44" s="569">
        <v>1</v>
      </c>
      <c r="K44" s="568" t="s">
        <v>368</v>
      </c>
      <c r="L44" s="570">
        <v>43385</v>
      </c>
      <c r="M44" s="571">
        <v>6.2399999999999997E-2</v>
      </c>
      <c r="N44" s="568" t="s">
        <v>334</v>
      </c>
      <c r="O44" s="568"/>
      <c r="P44" s="571" t="str">
        <f>VLOOKUP(A44,'[1]Raw data'!$B:$BB,23,FALSE)</f>
        <v>JPY</v>
      </c>
      <c r="Q44" s="568" t="str">
        <f>VLOOKUP(A44,'[1]Raw data'!$B:$Z,2,FALSE)</f>
        <v>C49SZX20190007JL</v>
      </c>
      <c r="R44" s="568" t="str">
        <f>VLOOKUP(A44,'[1]Raw data'!$B:$Z,3,FALSE)</f>
        <v>昶达CHEERSTAR</v>
      </c>
      <c r="S44" s="568" t="str">
        <f>VLOOKUP(A44,'[1]Raw data'!$B:$Z,4,FALSE)</f>
        <v>YSM10</v>
      </c>
      <c r="T44" s="568" t="str">
        <f>VLOOKUP(A44,'[1]Raw data'!$B:$Z,8,FALSE)</f>
        <v>R-&gt;L</v>
      </c>
      <c r="U44" s="568" t="str">
        <f>VLOOKUP(A44,'[1]Raw data'!$B:$Z,9,FALSE)</f>
        <v>MVC</v>
      </c>
      <c r="V44" s="572" t="str">
        <f t="shared" si="9"/>
        <v>WRONG</v>
      </c>
      <c r="W44" s="568" t="str">
        <f>VLOOKUP(A44,'[1]Raw data'!$B:$AG,32,FALSE)</f>
        <v>CIF</v>
      </c>
      <c r="X44" s="568">
        <f>VLOOKUP(A44,'[1]Raw data'!$B:$BA,31,FALSE)</f>
        <v>43480</v>
      </c>
      <c r="Y44" s="568" t="str">
        <f>VLOOKUP(A44,'[1]Raw data'!$B:$AS,39,FALSE)</f>
        <v>Yes</v>
      </c>
      <c r="Z44" s="573" t="s">
        <v>290</v>
      </c>
      <c r="AA44" s="574" t="s">
        <v>290</v>
      </c>
      <c r="AB44" s="575"/>
      <c r="AC44" s="568" t="s">
        <v>291</v>
      </c>
      <c r="AN44" s="547"/>
      <c r="AO44" s="829" t="str">
        <f t="shared" si="1"/>
        <v>Yes</v>
      </c>
      <c r="AP44" s="259" t="str">
        <f t="shared" si="2"/>
        <v>MAR 19</v>
      </c>
      <c r="AQ44" s="547" t="str">
        <f t="shared" si="3"/>
        <v>有定金+有預留客戶</v>
      </c>
      <c r="AR44" s="259" t="str">
        <f t="shared" si="4"/>
        <v>Shipped_Stock</v>
      </c>
      <c r="AS44" s="259" t="str">
        <f t="shared" si="5"/>
        <v/>
      </c>
      <c r="AT44" s="259" t="str">
        <f t="shared" si="6"/>
        <v>昶达CHEERSTAR</v>
      </c>
      <c r="AU44" s="259" t="str">
        <f t="shared" si="7"/>
        <v>C49SZX20190007JL</v>
      </c>
      <c r="AV44" s="259" t="str">
        <f t="shared" si="8"/>
        <v>Oct-12</v>
      </c>
    </row>
    <row r="45" spans="1:69" ht="15" hidden="1" customHeight="1">
      <c r="A45" s="564">
        <v>181</v>
      </c>
      <c r="B45" s="568" t="s">
        <v>280</v>
      </c>
      <c r="C45" s="565" t="s">
        <v>281</v>
      </c>
      <c r="D45" s="569">
        <v>109381</v>
      </c>
      <c r="E45" s="568" t="s">
        <v>236</v>
      </c>
      <c r="F45" s="568" t="s">
        <v>17</v>
      </c>
      <c r="G45" s="568" t="s">
        <v>24</v>
      </c>
      <c r="H45" s="568" t="s">
        <v>27</v>
      </c>
      <c r="I45" s="569" t="s">
        <v>369</v>
      </c>
      <c r="J45" s="569">
        <v>1</v>
      </c>
      <c r="K45" s="568" t="s">
        <v>285</v>
      </c>
      <c r="L45" s="570">
        <v>43385</v>
      </c>
      <c r="M45" s="571">
        <v>6.2399999999999997E-2</v>
      </c>
      <c r="N45" s="568" t="s">
        <v>289</v>
      </c>
      <c r="O45" s="568"/>
      <c r="P45" s="571" t="str">
        <f>VLOOKUP(A45,'[1]Raw data'!$B:$BB,23,FALSE)</f>
        <v>JPY</v>
      </c>
      <c r="Q45" s="568" t="str">
        <f>VLOOKUP(A45,'[1]Raw data'!$B:$Z,2,FALSE)</f>
        <v>C49SZX20180172ZX</v>
      </c>
      <c r="R45" s="568" t="str">
        <f>VLOOKUP(A45,'[1]Raw data'!$B:$Z,3,FALSE)</f>
        <v>网娱视通</v>
      </c>
      <c r="S45" s="568" t="str">
        <f>VLOOKUP(A45,'[1]Raw data'!$B:$Z,4,FALSE)</f>
        <v>YSM10</v>
      </c>
      <c r="T45" s="568" t="str">
        <f>VLOOKUP(A45,'[1]Raw data'!$B:$Z,8,FALSE)</f>
        <v>L-&gt;R</v>
      </c>
      <c r="U45" s="568" t="str">
        <f>VLOOKUP(A45,'[1]Raw data'!$B:$Z,9,FALSE)</f>
        <v>MVC</v>
      </c>
      <c r="V45" s="572" t="str">
        <f t="shared" si="9"/>
        <v>OK</v>
      </c>
      <c r="W45" s="568" t="str">
        <f>VLOOKUP(A45,'[1]Raw data'!$B:$AG,32,FALSE)</f>
        <v>DAP深圳</v>
      </c>
      <c r="X45" s="568">
        <f>VLOOKUP(A45,'[1]Raw data'!$B:$BA,31,FALSE)</f>
        <v>43425</v>
      </c>
      <c r="Y45" s="568" t="str">
        <f>VLOOKUP(A45,'[1]Raw data'!$B:$AS,39,FALSE)</f>
        <v>Yes</v>
      </c>
      <c r="Z45" s="573" t="s">
        <v>290</v>
      </c>
      <c r="AA45" s="574" t="s">
        <v>329</v>
      </c>
      <c r="AB45" s="575"/>
      <c r="AC45" s="568" t="s">
        <v>291</v>
      </c>
      <c r="AN45" s="547"/>
      <c r="AO45" s="829" t="str">
        <f t="shared" si="1"/>
        <v>Yes</v>
      </c>
      <c r="AP45" s="259" t="str">
        <f t="shared" si="2"/>
        <v>DEC 18</v>
      </c>
      <c r="AQ45" s="547" t="str">
        <f t="shared" si="3"/>
        <v>有定金+有預留客戶</v>
      </c>
      <c r="AR45" s="259" t="str">
        <f t="shared" si="4"/>
        <v>Shipped_Stock</v>
      </c>
      <c r="AS45" s="259" t="str">
        <f t="shared" si="5"/>
        <v/>
      </c>
      <c r="AT45" s="259" t="str">
        <f t="shared" si="6"/>
        <v>网娱视通</v>
      </c>
      <c r="AU45" s="259" t="str">
        <f t="shared" si="7"/>
        <v>C49SZX20180172ZX</v>
      </c>
      <c r="AV45" s="259" t="str">
        <f t="shared" si="8"/>
        <v>Oct-12</v>
      </c>
    </row>
    <row r="46" spans="1:69" ht="15" hidden="1" customHeight="1">
      <c r="A46" s="564">
        <v>253</v>
      </c>
      <c r="B46" s="568" t="s">
        <v>280</v>
      </c>
      <c r="C46" s="565" t="s">
        <v>281</v>
      </c>
      <c r="D46" s="569">
        <v>109381</v>
      </c>
      <c r="E46" s="568" t="s">
        <v>236</v>
      </c>
      <c r="F46" s="568" t="s">
        <v>17</v>
      </c>
      <c r="G46" s="568" t="s">
        <v>24</v>
      </c>
      <c r="H46" s="568" t="s">
        <v>292</v>
      </c>
      <c r="I46" s="569" t="s">
        <v>370</v>
      </c>
      <c r="J46" s="569">
        <v>1</v>
      </c>
      <c r="K46" s="568" t="s">
        <v>285</v>
      </c>
      <c r="L46" s="570">
        <v>43385</v>
      </c>
      <c r="M46" s="571">
        <v>6.2399999999999997E-2</v>
      </c>
      <c r="N46" s="568" t="s">
        <v>341</v>
      </c>
      <c r="O46" s="568"/>
      <c r="P46" s="571" t="str">
        <f>VLOOKUP(A46,'[1]Raw data'!$B:$BB,23,FALSE)</f>
        <v>JPY</v>
      </c>
      <c r="Q46" s="568" t="str">
        <f>VLOOKUP(A46,'[1]Raw data'!$B:$Z,2,FALSE)</f>
        <v>C49SZX20190027MZ</v>
      </c>
      <c r="R46" s="568" t="str">
        <f>VLOOKUP(A46,'[1]Raw data'!$B:$Z,3,FALSE)</f>
        <v>魔乐视/end user:拓普赛特</v>
      </c>
      <c r="S46" s="568" t="str">
        <f>VLOOKUP(A46,'[1]Raw data'!$B:$Z,4,FALSE)</f>
        <v>YSM10</v>
      </c>
      <c r="T46" s="568" t="str">
        <f>VLOOKUP(A46,'[1]Raw data'!$B:$Z,8,FALSE)</f>
        <v>L-&gt;R</v>
      </c>
      <c r="U46" s="568" t="str">
        <f>VLOOKUP(A46,'[1]Raw data'!$B:$Z,9,FALSE)</f>
        <v>MVC+ATS15</v>
      </c>
      <c r="V46" s="572" t="str">
        <f t="shared" si="9"/>
        <v>OK</v>
      </c>
      <c r="W46" s="568" t="str">
        <f>VLOOKUP(A46,'[1]Raw data'!$B:$AG,32,FALSE)</f>
        <v>DAP 深圳</v>
      </c>
      <c r="X46" s="568">
        <f>VLOOKUP(A46,'[1]Raw data'!$B:$BA,31,FALSE)</f>
        <v>43536</v>
      </c>
      <c r="Y46" s="568" t="str">
        <f>VLOOKUP(A46,'[1]Raw data'!$B:$AS,39,FALSE)</f>
        <v>Yes</v>
      </c>
      <c r="Z46" s="573" t="s">
        <v>329</v>
      </c>
      <c r="AA46" s="574" t="s">
        <v>329</v>
      </c>
      <c r="AB46" s="575"/>
      <c r="AC46" s="568" t="s">
        <v>371</v>
      </c>
      <c r="AN46" s="547"/>
      <c r="AO46" s="829" t="str">
        <f t="shared" si="1"/>
        <v>Yes</v>
      </c>
      <c r="AP46" s="259" t="str">
        <f t="shared" si="2"/>
        <v>APR 19</v>
      </c>
      <c r="AQ46" s="547" t="str">
        <f t="shared" si="3"/>
        <v>有定金+有預留客戶</v>
      </c>
      <c r="AR46" s="259" t="str">
        <f t="shared" si="4"/>
        <v>Shipped_Stock</v>
      </c>
      <c r="AS46" s="259" t="str">
        <f t="shared" si="5"/>
        <v/>
      </c>
      <c r="AT46" s="259" t="str">
        <f t="shared" si="6"/>
        <v>魔乐视/end user:拓普赛特</v>
      </c>
      <c r="AU46" s="259" t="str">
        <f t="shared" si="7"/>
        <v>C49SZX20190027MZ</v>
      </c>
      <c r="AV46" s="259" t="str">
        <f t="shared" si="8"/>
        <v>Oct-12</v>
      </c>
    </row>
    <row r="47" spans="1:69" ht="15" hidden="1" customHeight="1">
      <c r="A47" s="564">
        <v>276</v>
      </c>
      <c r="B47" s="568" t="s">
        <v>280</v>
      </c>
      <c r="C47" s="565" t="s">
        <v>281</v>
      </c>
      <c r="D47" s="569">
        <v>109381</v>
      </c>
      <c r="E47" s="568" t="s">
        <v>236</v>
      </c>
      <c r="F47" s="568" t="s">
        <v>17</v>
      </c>
      <c r="G47" s="568" t="s">
        <v>24</v>
      </c>
      <c r="H47" s="568" t="s">
        <v>34</v>
      </c>
      <c r="I47" s="569" t="s">
        <v>372</v>
      </c>
      <c r="J47" s="569">
        <v>1</v>
      </c>
      <c r="K47" s="568" t="s">
        <v>285</v>
      </c>
      <c r="L47" s="570">
        <v>43385</v>
      </c>
      <c r="M47" s="571">
        <v>6.2399999999999997E-2</v>
      </c>
      <c r="N47" s="568" t="s">
        <v>341</v>
      </c>
      <c r="O47" s="568"/>
      <c r="P47" s="571" t="str">
        <f>VLOOKUP(A47,'[1]Raw data'!$B:$BB,23,FALSE)</f>
        <v>JPY</v>
      </c>
      <c r="Q47" s="568" t="str">
        <f>VLOOKUP(A47,'[1]Raw data'!$B:$Z,2,FALSE)</f>
        <v>C49SZX20190049SS</v>
      </c>
      <c r="R47" s="568" t="str">
        <f>VLOOKUP(A47,'[1]Raw data'!$B:$Z,3,FALSE)</f>
        <v>存封</v>
      </c>
      <c r="S47" s="568" t="str">
        <f>VLOOKUP(A47,'[1]Raw data'!$B:$Z,4,FALSE)</f>
        <v>YSM10</v>
      </c>
      <c r="T47" s="568" t="str">
        <f>VLOOKUP(A47,'[1]Raw data'!$B:$Z,8,FALSE)</f>
        <v>L-&gt;R</v>
      </c>
      <c r="U47" s="568" t="str">
        <f>VLOOKUP(A47,'[1]Raw data'!$B:$Z,9,FALSE)</f>
        <v>MVC+ATS15</v>
      </c>
      <c r="V47" s="572" t="str">
        <f t="shared" si="9"/>
        <v>OK</v>
      </c>
      <c r="W47" s="568" t="str">
        <f>VLOOKUP(A47,'[1]Raw data'!$B:$AG,32,FALSE)</f>
        <v>DAP 深圳</v>
      </c>
      <c r="X47" s="568">
        <f>VLOOKUP(A47,'[1]Raw data'!$B:$BA,31,FALSE)</f>
        <v>43557</v>
      </c>
      <c r="Y47" s="568" t="str">
        <f>VLOOKUP(A47,'[1]Raw data'!$B:$AS,39,FALSE)</f>
        <v>Yes</v>
      </c>
      <c r="Z47" s="573">
        <v>43342</v>
      </c>
      <c r="AA47" s="574">
        <v>43355</v>
      </c>
      <c r="AB47" s="575"/>
      <c r="AC47" s="568" t="s">
        <v>373</v>
      </c>
      <c r="AN47" s="547"/>
      <c r="AO47" s="829" t="str">
        <f t="shared" si="1"/>
        <v>Yes</v>
      </c>
      <c r="AP47" s="259" t="str">
        <f t="shared" si="2"/>
        <v>APR 19</v>
      </c>
      <c r="AQ47" s="547" t="str">
        <f t="shared" si="3"/>
        <v>有定金+有預留客戶</v>
      </c>
      <c r="AR47" s="259" t="str">
        <f t="shared" si="4"/>
        <v>Shipped_Stock</v>
      </c>
      <c r="AS47" s="259" t="str">
        <f t="shared" si="5"/>
        <v/>
      </c>
      <c r="AT47" s="259" t="str">
        <f t="shared" si="6"/>
        <v>存封</v>
      </c>
      <c r="AU47" s="259" t="str">
        <f t="shared" si="7"/>
        <v>C49SZX20190049SS</v>
      </c>
      <c r="AV47" s="259" t="str">
        <f t="shared" si="8"/>
        <v>Oct-12</v>
      </c>
    </row>
    <row r="48" spans="1:69" ht="15" hidden="1" customHeight="1">
      <c r="A48" s="564">
        <v>263</v>
      </c>
      <c r="B48" s="568" t="s">
        <v>280</v>
      </c>
      <c r="C48" s="565" t="s">
        <v>281</v>
      </c>
      <c r="D48" s="569">
        <v>109381</v>
      </c>
      <c r="E48" s="568" t="s">
        <v>236</v>
      </c>
      <c r="F48" s="568" t="s">
        <v>241</v>
      </c>
      <c r="G48" s="568" t="s">
        <v>24</v>
      </c>
      <c r="H48" s="568" t="s">
        <v>26</v>
      </c>
      <c r="I48" s="569" t="s">
        <v>374</v>
      </c>
      <c r="J48" s="569">
        <v>1</v>
      </c>
      <c r="K48" s="568" t="s">
        <v>285</v>
      </c>
      <c r="L48" s="570">
        <v>43385</v>
      </c>
      <c r="M48" s="571">
        <v>6.2399999999999997E-2</v>
      </c>
      <c r="N48" s="568" t="s">
        <v>341</v>
      </c>
      <c r="O48" s="568"/>
      <c r="P48" s="571" t="str">
        <f>VLOOKUP(A48,'[1]Raw data'!$B:$BB,23,FALSE)</f>
        <v>JPY</v>
      </c>
      <c r="Q48" s="568" t="str">
        <f>VLOOKUP(A48,'[1]Raw data'!$B:$Z,2,FALSE)</f>
        <v>C49SZX20190035ZX</v>
      </c>
      <c r="R48" s="568" t="str">
        <f>VLOOKUP(A48,'[1]Raw data'!$B:$Z,3,FALSE)</f>
        <v>恒泰创新</v>
      </c>
      <c r="S48" s="568" t="str">
        <f>VLOOKUP(A48,'[1]Raw data'!$B:$Z,4,FALSE)</f>
        <v>YSM10</v>
      </c>
      <c r="T48" s="568" t="str">
        <f>VLOOKUP(A48,'[1]Raw data'!$B:$Z,8,FALSE)</f>
        <v>L-&gt;R</v>
      </c>
      <c r="U48" s="568" t="str">
        <f>VLOOKUP(A48,'[1]Raw data'!$B:$Z,9,FALSE)</f>
        <v>MVC</v>
      </c>
      <c r="V48" s="572" t="str">
        <f t="shared" si="9"/>
        <v>WRONG</v>
      </c>
      <c r="W48" s="568" t="str">
        <f>VLOOKUP(A48,'[1]Raw data'!$B:$AG,32,FALSE)</f>
        <v>DAP 深圳</v>
      </c>
      <c r="X48" s="568">
        <f>VLOOKUP(A48,'[1]Raw data'!$B:$BA,31,FALSE)</f>
        <v>43544</v>
      </c>
      <c r="Y48" s="568" t="str">
        <f>VLOOKUP(A48,'[1]Raw data'!$B:$AS,39,FALSE)</f>
        <v>Yes</v>
      </c>
      <c r="Z48" s="573" t="s">
        <v>329</v>
      </c>
      <c r="AA48" s="574" t="s">
        <v>329</v>
      </c>
      <c r="AB48" s="575"/>
      <c r="AC48" s="568" t="s">
        <v>291</v>
      </c>
      <c r="AN48" s="547"/>
      <c r="AO48" s="829" t="str">
        <f t="shared" si="1"/>
        <v>Yes</v>
      </c>
      <c r="AP48" s="259" t="str">
        <f t="shared" si="2"/>
        <v>APR 19</v>
      </c>
      <c r="AQ48" s="547" t="str">
        <f t="shared" si="3"/>
        <v>有定金+有預留客戶</v>
      </c>
      <c r="AR48" s="259" t="str">
        <f t="shared" si="4"/>
        <v>Shipped_Stock</v>
      </c>
      <c r="AS48" s="259" t="str">
        <f t="shared" si="5"/>
        <v/>
      </c>
      <c r="AT48" s="259" t="str">
        <f t="shared" si="6"/>
        <v>恒泰创新</v>
      </c>
      <c r="AU48" s="259" t="str">
        <f t="shared" si="7"/>
        <v>C49SZX20190035ZX</v>
      </c>
      <c r="AV48" s="259" t="str">
        <f t="shared" si="8"/>
        <v>Oct-12</v>
      </c>
      <c r="AW48" s="842"/>
      <c r="AX48" s="842"/>
      <c r="AY48" s="842"/>
      <c r="AZ48" s="842"/>
      <c r="BA48" s="842"/>
      <c r="BB48" s="842"/>
      <c r="BC48" s="842"/>
      <c r="BD48" s="842"/>
      <c r="BE48" s="842"/>
      <c r="BF48" s="842"/>
      <c r="BG48" s="842"/>
      <c r="BH48" s="842"/>
      <c r="BI48" s="842"/>
      <c r="BJ48" s="842"/>
      <c r="BK48" s="842"/>
      <c r="BL48" s="842"/>
      <c r="BM48" s="842"/>
      <c r="BN48" s="842"/>
      <c r="BO48" s="842"/>
      <c r="BP48" s="842"/>
      <c r="BQ48" s="842"/>
    </row>
    <row r="49" spans="1:69" ht="15" hidden="1" customHeight="1">
      <c r="A49" s="564">
        <v>275</v>
      </c>
      <c r="B49" s="568" t="s">
        <v>280</v>
      </c>
      <c r="C49" s="565" t="s">
        <v>281</v>
      </c>
      <c r="D49" s="569">
        <v>109381</v>
      </c>
      <c r="E49" s="568" t="s">
        <v>236</v>
      </c>
      <c r="F49" s="568" t="s">
        <v>17</v>
      </c>
      <c r="G49" s="568" t="s">
        <v>24</v>
      </c>
      <c r="H49" s="568" t="s">
        <v>26</v>
      </c>
      <c r="I49" s="569" t="s">
        <v>375</v>
      </c>
      <c r="J49" s="569">
        <v>1</v>
      </c>
      <c r="K49" s="568" t="s">
        <v>285</v>
      </c>
      <c r="L49" s="570">
        <v>43385</v>
      </c>
      <c r="M49" s="571">
        <v>6.2399999999999997E-2</v>
      </c>
      <c r="N49" s="568" t="s">
        <v>341</v>
      </c>
      <c r="O49" s="568"/>
      <c r="P49" s="571" t="str">
        <f>VLOOKUP(A49,'[1]Raw data'!$B:$BB,23,FALSE)</f>
        <v>JPY</v>
      </c>
      <c r="Q49" s="568" t="str">
        <f>VLOOKUP(A49,'[1]Raw data'!$B:$Z,2,FALSE)</f>
        <v>C49SZX20190047SS</v>
      </c>
      <c r="R49" s="568" t="str">
        <f>VLOOKUP(A49,'[1]Raw data'!$B:$Z,3,FALSE)</f>
        <v>卡迪圣</v>
      </c>
      <c r="S49" s="568" t="str">
        <f>VLOOKUP(A49,'[1]Raw data'!$B:$Z,4,FALSE)</f>
        <v>YSM10</v>
      </c>
      <c r="T49" s="568" t="str">
        <f>VLOOKUP(A49,'[1]Raw data'!$B:$Z,8,FALSE)</f>
        <v>L-&gt;R</v>
      </c>
      <c r="U49" s="568" t="str">
        <f>VLOOKUP(A49,'[1]Raw data'!$B:$Z,9,FALSE)</f>
        <v>MVC</v>
      </c>
      <c r="V49" s="572" t="str">
        <f t="shared" si="9"/>
        <v>WRONG</v>
      </c>
      <c r="W49" s="568" t="str">
        <f>VLOOKUP(A49,'[1]Raw data'!$B:$AG,32,FALSE)</f>
        <v>DAP 深圳</v>
      </c>
      <c r="X49" s="568">
        <f>VLOOKUP(A49,'[1]Raw data'!$B:$BA,31,FALSE)</f>
        <v>43556</v>
      </c>
      <c r="Y49" s="568" t="str">
        <f>VLOOKUP(A49,'[1]Raw data'!$B:$AS,39,FALSE)</f>
        <v>Yes</v>
      </c>
      <c r="Z49" s="573">
        <v>43266</v>
      </c>
      <c r="AA49" s="574">
        <v>43283</v>
      </c>
      <c r="AB49" s="575"/>
      <c r="AC49" s="568" t="s">
        <v>291</v>
      </c>
      <c r="AN49" s="547"/>
      <c r="AO49" s="829" t="str">
        <f t="shared" si="1"/>
        <v>Yes</v>
      </c>
      <c r="AP49" s="259" t="str">
        <f t="shared" si="2"/>
        <v>APR 19</v>
      </c>
      <c r="AQ49" s="547" t="str">
        <f t="shared" si="3"/>
        <v>有定金+有預留客戶</v>
      </c>
      <c r="AR49" s="259" t="str">
        <f t="shared" si="4"/>
        <v>Shipped_Stock</v>
      </c>
      <c r="AS49" s="259" t="str">
        <f t="shared" si="5"/>
        <v/>
      </c>
      <c r="AT49" s="259" t="str">
        <f t="shared" si="6"/>
        <v>卡迪圣</v>
      </c>
      <c r="AU49" s="259" t="str">
        <f t="shared" si="7"/>
        <v>C49SZX20190047SS</v>
      </c>
      <c r="AV49" s="259" t="str">
        <f t="shared" si="8"/>
        <v>Oct-12</v>
      </c>
      <c r="AW49" s="842"/>
      <c r="AX49" s="842"/>
      <c r="AY49" s="842"/>
      <c r="AZ49" s="842"/>
      <c r="BA49" s="842"/>
      <c r="BB49" s="842"/>
      <c r="BC49" s="842"/>
      <c r="BD49" s="842"/>
      <c r="BE49" s="842"/>
      <c r="BF49" s="842"/>
      <c r="BG49" s="842"/>
      <c r="BH49" s="842"/>
      <c r="BI49" s="842"/>
      <c r="BJ49" s="842"/>
      <c r="BK49" s="842"/>
      <c r="BL49" s="842"/>
      <c r="BM49" s="842"/>
      <c r="BN49" s="842"/>
      <c r="BO49" s="842"/>
      <c r="BP49" s="842"/>
      <c r="BQ49" s="842"/>
    </row>
    <row r="50" spans="1:69" ht="15" hidden="1" customHeight="1">
      <c r="A50" s="564">
        <v>42</v>
      </c>
      <c r="B50" s="568" t="s">
        <v>280</v>
      </c>
      <c r="C50" s="565" t="s">
        <v>281</v>
      </c>
      <c r="D50" s="569">
        <v>109381</v>
      </c>
      <c r="E50" s="568" t="s">
        <v>236</v>
      </c>
      <c r="F50" s="568" t="s">
        <v>17</v>
      </c>
      <c r="G50" s="568" t="s">
        <v>24</v>
      </c>
      <c r="H50" s="568" t="s">
        <v>26</v>
      </c>
      <c r="I50" s="569" t="s">
        <v>376</v>
      </c>
      <c r="J50" s="569">
        <v>1</v>
      </c>
      <c r="K50" s="568" t="s">
        <v>285</v>
      </c>
      <c r="L50" s="570">
        <v>43385</v>
      </c>
      <c r="M50" s="571">
        <v>6.2399999999999997E-2</v>
      </c>
      <c r="N50" s="568" t="s">
        <v>334</v>
      </c>
      <c r="O50" s="568"/>
      <c r="P50" s="571" t="str">
        <f>VLOOKUP(A50,'[1]Raw data'!$B:$BB,23,FALSE)</f>
        <v>JPY</v>
      </c>
      <c r="Q50" s="568" t="str">
        <f>VLOOKUP(A50,'[1]Raw data'!$B:$Z,2,FALSE)</f>
        <v>C49SZX20180066JY</v>
      </c>
      <c r="R50" s="568" t="str">
        <f>VLOOKUP(A50,'[1]Raw data'!$B:$Z,3,FALSE)</f>
        <v>格力创</v>
      </c>
      <c r="S50" s="568" t="str">
        <f>VLOOKUP(A50,'[1]Raw data'!$B:$Z,4,FALSE)</f>
        <v>YSM10</v>
      </c>
      <c r="T50" s="568" t="str">
        <f>VLOOKUP(A50,'[1]Raw data'!$B:$Z,8,FALSE)</f>
        <v>R-&gt;L</v>
      </c>
      <c r="U50" s="568" t="str">
        <f>VLOOKUP(A50,'[1]Raw data'!$B:$Z,9,FALSE)</f>
        <v>No</v>
      </c>
      <c r="V50" s="572" t="str">
        <f t="shared" si="9"/>
        <v>WRONG</v>
      </c>
      <c r="W50" s="568" t="str">
        <f>VLOOKUP(A50,'[1]Raw data'!$B:$AG,32,FALSE)</f>
        <v>DAP SZ</v>
      </c>
      <c r="X50" s="568">
        <f>VLOOKUP(A50,'[1]Raw data'!$B:$BA,31,FALSE)</f>
        <v>43256</v>
      </c>
      <c r="Y50" s="568" t="str">
        <f>VLOOKUP(A50,'[1]Raw data'!$B:$AS,39,FALSE)</f>
        <v>Yes</v>
      </c>
      <c r="Z50" s="573"/>
      <c r="AA50" s="574"/>
      <c r="AB50" s="575"/>
      <c r="AC50" s="568" t="s">
        <v>291</v>
      </c>
      <c r="AN50" s="547"/>
      <c r="AO50" s="829" t="str">
        <f t="shared" si="1"/>
        <v>Yes</v>
      </c>
      <c r="AP50" s="259" t="str">
        <f t="shared" si="2"/>
        <v>MAR 19</v>
      </c>
      <c r="AQ50" s="547" t="str">
        <f t="shared" si="3"/>
        <v>有定金+有預留客戶</v>
      </c>
      <c r="AR50" s="259" t="str">
        <f t="shared" si="4"/>
        <v>Shipped_Stock</v>
      </c>
      <c r="AS50" s="259" t="str">
        <f t="shared" si="5"/>
        <v/>
      </c>
      <c r="AT50" s="259" t="str">
        <f t="shared" si="6"/>
        <v>格力创</v>
      </c>
      <c r="AU50" s="259" t="str">
        <f t="shared" si="7"/>
        <v>C49SZX20180066JY</v>
      </c>
      <c r="AV50" s="259" t="str">
        <f t="shared" si="8"/>
        <v>Oct-12</v>
      </c>
    </row>
    <row r="51" spans="1:69" ht="15" hidden="1" customHeight="1">
      <c r="A51" s="564">
        <v>43</v>
      </c>
      <c r="B51" s="568" t="s">
        <v>280</v>
      </c>
      <c r="C51" s="565" t="s">
        <v>281</v>
      </c>
      <c r="D51" s="569">
        <v>109381</v>
      </c>
      <c r="E51" s="568" t="s">
        <v>236</v>
      </c>
      <c r="F51" s="568" t="s">
        <v>17</v>
      </c>
      <c r="G51" s="568" t="s">
        <v>24</v>
      </c>
      <c r="H51" s="568" t="s">
        <v>26</v>
      </c>
      <c r="I51" s="569" t="s">
        <v>377</v>
      </c>
      <c r="J51" s="569">
        <v>1</v>
      </c>
      <c r="K51" s="568" t="s">
        <v>285</v>
      </c>
      <c r="L51" s="570">
        <v>43385</v>
      </c>
      <c r="M51" s="571">
        <v>6.2399999999999997E-2</v>
      </c>
      <c r="N51" s="568" t="s">
        <v>334</v>
      </c>
      <c r="O51" s="568"/>
      <c r="P51" s="571" t="str">
        <f>VLOOKUP(A51,'[1]Raw data'!$B:$BB,23,FALSE)</f>
        <v>JPY</v>
      </c>
      <c r="Q51" s="568" t="str">
        <f>VLOOKUP(A51,'[1]Raw data'!$B:$Z,2,FALSE)</f>
        <v>C49SZX20180066JY</v>
      </c>
      <c r="R51" s="568" t="str">
        <f>VLOOKUP(A51,'[1]Raw data'!$B:$Z,3,FALSE)</f>
        <v>格力创</v>
      </c>
      <c r="S51" s="568" t="str">
        <f>VLOOKUP(A51,'[1]Raw data'!$B:$Z,4,FALSE)</f>
        <v>YSM10</v>
      </c>
      <c r="T51" s="568" t="str">
        <f>VLOOKUP(A51,'[1]Raw data'!$B:$Z,8,FALSE)</f>
        <v>L-&gt;R</v>
      </c>
      <c r="U51" s="568" t="str">
        <f>VLOOKUP(A51,'[1]Raw data'!$B:$Z,9,FALSE)</f>
        <v>No</v>
      </c>
      <c r="V51" s="572" t="str">
        <f t="shared" si="9"/>
        <v>OK</v>
      </c>
      <c r="W51" s="568" t="str">
        <f>VLOOKUP(A51,'[1]Raw data'!$B:$AG,32,FALSE)</f>
        <v>DAP SZ</v>
      </c>
      <c r="X51" s="568">
        <f>VLOOKUP(A51,'[1]Raw data'!$B:$BA,31,FALSE)</f>
        <v>43256</v>
      </c>
      <c r="Y51" s="568" t="str">
        <f>VLOOKUP(A51,'[1]Raw data'!$B:$AS,39,FALSE)</f>
        <v>Yes</v>
      </c>
      <c r="Z51" s="568"/>
      <c r="AA51" s="589"/>
      <c r="AB51" s="575"/>
      <c r="AC51" s="568" t="s">
        <v>291</v>
      </c>
      <c r="AN51" s="547"/>
      <c r="AO51" s="829" t="str">
        <f t="shared" si="1"/>
        <v>Yes</v>
      </c>
      <c r="AP51" s="259" t="str">
        <f t="shared" si="2"/>
        <v>MAR 19</v>
      </c>
      <c r="AQ51" s="547" t="str">
        <f t="shared" si="3"/>
        <v>有定金+有預留客戶</v>
      </c>
      <c r="AR51" s="259" t="str">
        <f t="shared" si="4"/>
        <v>Shipped_Stock</v>
      </c>
      <c r="AS51" s="259" t="str">
        <f t="shared" si="5"/>
        <v/>
      </c>
      <c r="AT51" s="259" t="str">
        <f t="shared" si="6"/>
        <v>格力创</v>
      </c>
      <c r="AU51" s="259" t="str">
        <f t="shared" si="7"/>
        <v>C49SZX20180066JY</v>
      </c>
      <c r="AV51" s="259" t="str">
        <f t="shared" si="8"/>
        <v>Oct-12</v>
      </c>
    </row>
    <row r="52" spans="1:69" ht="15" hidden="1" customHeight="1">
      <c r="A52" s="564">
        <v>281</v>
      </c>
      <c r="B52" s="568" t="s">
        <v>280</v>
      </c>
      <c r="C52" s="565" t="s">
        <v>281</v>
      </c>
      <c r="D52" s="569">
        <v>109381</v>
      </c>
      <c r="E52" s="568" t="s">
        <v>236</v>
      </c>
      <c r="F52" s="568" t="s">
        <v>17</v>
      </c>
      <c r="G52" s="568" t="s">
        <v>24</v>
      </c>
      <c r="H52" s="568" t="s">
        <v>26</v>
      </c>
      <c r="I52" s="569" t="s">
        <v>378</v>
      </c>
      <c r="J52" s="569">
        <v>1</v>
      </c>
      <c r="K52" s="568" t="s">
        <v>285</v>
      </c>
      <c r="L52" s="570">
        <v>43385</v>
      </c>
      <c r="M52" s="571">
        <v>6.2399999999999997E-2</v>
      </c>
      <c r="N52" s="568" t="s">
        <v>341</v>
      </c>
      <c r="O52" s="568"/>
      <c r="P52" s="571" t="str">
        <f>VLOOKUP(A52,'[1]Raw data'!$B:$BB,23,FALSE)</f>
        <v>JPY</v>
      </c>
      <c r="Q52" s="568" t="str">
        <f>VLOOKUP(A52,'[1]Raw data'!$B:$Z,2,FALSE)</f>
        <v>C49SZX20190052SS</v>
      </c>
      <c r="R52" s="568" t="str">
        <f>VLOOKUP(A52,'[1]Raw data'!$B:$Z,3,FALSE)</f>
        <v>乐上</v>
      </c>
      <c r="S52" s="568" t="str">
        <f>VLOOKUP(A52,'[1]Raw data'!$B:$Z,4,FALSE)</f>
        <v>YSM10</v>
      </c>
      <c r="T52" s="568" t="str">
        <f>VLOOKUP(A52,'[1]Raw data'!$B:$Z,8,FALSE)</f>
        <v>L-&gt;R</v>
      </c>
      <c r="U52" s="568" t="str">
        <f>VLOOKUP(A52,'[1]Raw data'!$B:$Z,9,FALSE)</f>
        <v>MVC</v>
      </c>
      <c r="V52" s="572" t="str">
        <f t="shared" si="9"/>
        <v>WRONG</v>
      </c>
      <c r="W52" s="568" t="str">
        <f>VLOOKUP(A52,'[1]Raw data'!$B:$AG,32,FALSE)</f>
        <v>DAP东莞</v>
      </c>
      <c r="X52" s="568">
        <f>VLOOKUP(A52,'[1]Raw data'!$B:$BA,31,FALSE)</f>
        <v>43567</v>
      </c>
      <c r="Y52" s="568" t="str">
        <f>VLOOKUP(A52,'[1]Raw data'!$B:$AS,39,FALSE)</f>
        <v>Yes</v>
      </c>
      <c r="Z52" s="573" t="s">
        <v>290</v>
      </c>
      <c r="AA52" s="574" t="s">
        <v>290</v>
      </c>
      <c r="AB52" s="575"/>
      <c r="AC52" s="568" t="s">
        <v>291</v>
      </c>
      <c r="AN52" s="547"/>
      <c r="AO52" s="829" t="str">
        <f t="shared" si="1"/>
        <v>Yes</v>
      </c>
      <c r="AP52" s="259" t="str">
        <f t="shared" si="2"/>
        <v>APR 19</v>
      </c>
      <c r="AQ52" s="547" t="str">
        <f t="shared" si="3"/>
        <v>有定金+有預留客戶</v>
      </c>
      <c r="AR52" s="259" t="str">
        <f t="shared" si="4"/>
        <v>Shipped_Stock</v>
      </c>
      <c r="AS52" s="259" t="str">
        <f t="shared" si="5"/>
        <v/>
      </c>
      <c r="AT52" s="259" t="str">
        <f t="shared" si="6"/>
        <v>乐上</v>
      </c>
      <c r="AU52" s="259" t="str">
        <f t="shared" si="7"/>
        <v>C49SZX20190052SS</v>
      </c>
      <c r="AV52" s="259" t="str">
        <f t="shared" si="8"/>
        <v>Oct-12</v>
      </c>
    </row>
    <row r="53" spans="1:69" ht="13.5" hidden="1" customHeight="1">
      <c r="A53" s="564">
        <v>282</v>
      </c>
      <c r="B53" s="568" t="s">
        <v>280</v>
      </c>
      <c r="C53" s="565" t="s">
        <v>281</v>
      </c>
      <c r="D53" s="569">
        <v>109381</v>
      </c>
      <c r="E53" s="568" t="s">
        <v>236</v>
      </c>
      <c r="F53" s="568" t="s">
        <v>17</v>
      </c>
      <c r="G53" s="568" t="s">
        <v>24</v>
      </c>
      <c r="H53" s="568" t="s">
        <v>26</v>
      </c>
      <c r="I53" s="569" t="s">
        <v>379</v>
      </c>
      <c r="J53" s="569">
        <v>1</v>
      </c>
      <c r="K53" s="568" t="s">
        <v>285</v>
      </c>
      <c r="L53" s="570">
        <v>43385</v>
      </c>
      <c r="M53" s="571">
        <v>6.2399999999999997E-2</v>
      </c>
      <c r="N53" s="568" t="s">
        <v>341</v>
      </c>
      <c r="O53" s="568"/>
      <c r="P53" s="571" t="str">
        <f>VLOOKUP(A53,'[1]Raw data'!$B:$BB,23,FALSE)</f>
        <v>JPY</v>
      </c>
      <c r="Q53" s="568" t="str">
        <f>VLOOKUP(A53,'[1]Raw data'!$B:$Z,2,FALSE)</f>
        <v>C49SZX20190052SS</v>
      </c>
      <c r="R53" s="568" t="str">
        <f>VLOOKUP(A53,'[1]Raw data'!$B:$Z,3,FALSE)</f>
        <v>乐上</v>
      </c>
      <c r="S53" s="568" t="str">
        <f>VLOOKUP(A53,'[1]Raw data'!$B:$Z,4,FALSE)</f>
        <v>YSM10</v>
      </c>
      <c r="T53" s="568" t="str">
        <f>VLOOKUP(A53,'[1]Raw data'!$B:$Z,8,FALSE)</f>
        <v>L-&gt;R</v>
      </c>
      <c r="U53" s="568" t="str">
        <f>VLOOKUP(A53,'[1]Raw data'!$B:$Z,9,FALSE)</f>
        <v>MVC</v>
      </c>
      <c r="V53" s="572" t="str">
        <f t="shared" si="9"/>
        <v>WRONG</v>
      </c>
      <c r="W53" s="568" t="str">
        <f>VLOOKUP(A53,'[1]Raw data'!$B:$AG,32,FALSE)</f>
        <v>DAP东莞</v>
      </c>
      <c r="X53" s="568">
        <f>VLOOKUP(A53,'[1]Raw data'!$B:$BA,31,FALSE)</f>
        <v>43567</v>
      </c>
      <c r="Y53" s="568" t="str">
        <f>VLOOKUP(A53,'[1]Raw data'!$B:$AS,39,FALSE)</f>
        <v>Yes</v>
      </c>
      <c r="Z53" s="573" t="s">
        <v>329</v>
      </c>
      <c r="AA53" s="574" t="s">
        <v>329</v>
      </c>
      <c r="AB53" s="575"/>
      <c r="AC53" s="568" t="s">
        <v>291</v>
      </c>
      <c r="AN53" s="547"/>
      <c r="AO53" s="829" t="str">
        <f t="shared" si="1"/>
        <v>Yes</v>
      </c>
      <c r="AP53" s="259" t="str">
        <f t="shared" si="2"/>
        <v>APR 19</v>
      </c>
      <c r="AQ53" s="547" t="str">
        <f t="shared" si="3"/>
        <v>有定金+有預留客戶</v>
      </c>
      <c r="AR53" s="259" t="str">
        <f t="shared" si="4"/>
        <v>Shipped_Stock</v>
      </c>
      <c r="AS53" s="259" t="str">
        <f t="shared" si="5"/>
        <v/>
      </c>
      <c r="AT53" s="259" t="str">
        <f t="shared" si="6"/>
        <v>乐上</v>
      </c>
      <c r="AU53" s="259" t="str">
        <f t="shared" si="7"/>
        <v>C49SZX20190052SS</v>
      </c>
      <c r="AV53" s="259" t="str">
        <f t="shared" si="8"/>
        <v>Oct-12</v>
      </c>
    </row>
    <row r="54" spans="1:69" ht="15" hidden="1" customHeight="1">
      <c r="A54" s="564">
        <v>298</v>
      </c>
      <c r="B54" s="568" t="s">
        <v>280</v>
      </c>
      <c r="C54" s="565" t="s">
        <v>281</v>
      </c>
      <c r="D54" s="569">
        <v>109381</v>
      </c>
      <c r="E54" s="568" t="s">
        <v>236</v>
      </c>
      <c r="F54" s="568" t="s">
        <v>17</v>
      </c>
      <c r="G54" s="568" t="s">
        <v>24</v>
      </c>
      <c r="H54" s="568" t="s">
        <v>26</v>
      </c>
      <c r="I54" s="569" t="s">
        <v>380</v>
      </c>
      <c r="J54" s="569">
        <v>1</v>
      </c>
      <c r="K54" s="568" t="s">
        <v>285</v>
      </c>
      <c r="L54" s="570">
        <v>43385</v>
      </c>
      <c r="M54" s="571">
        <v>6.2399999999999997E-2</v>
      </c>
      <c r="N54" s="568" t="s">
        <v>381</v>
      </c>
      <c r="O54" s="568"/>
      <c r="P54" s="571" t="str">
        <f>VLOOKUP(A54,'[1]Raw data'!$B:$BB,23,FALSE)</f>
        <v>JPY</v>
      </c>
      <c r="Q54" s="568" t="str">
        <f>VLOOKUP(A54,'[1]Raw data'!$B:$Z,2,FALSE)</f>
        <v>C49SZX20190061JL</v>
      </c>
      <c r="R54" s="568" t="str">
        <f>VLOOKUP(A54,'[1]Raw data'!$B:$Z,3,FALSE)</f>
        <v>微力创/end user 昶达</v>
      </c>
      <c r="S54" s="568" t="str">
        <f>VLOOKUP(A54,'[1]Raw data'!$B:$Z,4,FALSE)</f>
        <v>YSM10</v>
      </c>
      <c r="T54" s="568" t="str">
        <f>VLOOKUP(A54,'[1]Raw data'!$B:$Z,8,FALSE)</f>
        <v>L-&gt;R</v>
      </c>
      <c r="U54" s="568" t="str">
        <f>VLOOKUP(A54,'[1]Raw data'!$B:$Z,9,FALSE)</f>
        <v>MVC</v>
      </c>
      <c r="V54" s="572" t="str">
        <f t="shared" si="9"/>
        <v>WRONG</v>
      </c>
      <c r="W54" s="568" t="str">
        <f>VLOOKUP(A54,'[1]Raw data'!$B:$AG,32,FALSE)</f>
        <v>CIF HK</v>
      </c>
      <c r="X54" s="568">
        <f>VLOOKUP(A54,'[1]Raw data'!$B:$BA,31,FALSE)</f>
        <v>43582</v>
      </c>
      <c r="Y54" s="568" t="str">
        <f>VLOOKUP(A54,'[1]Raw data'!$B:$AS,39,FALSE)</f>
        <v>Yes</v>
      </c>
      <c r="Z54" s="573" t="s">
        <v>329</v>
      </c>
      <c r="AA54" s="574" t="s">
        <v>329</v>
      </c>
      <c r="AB54" s="575"/>
      <c r="AC54" s="568" t="s">
        <v>382</v>
      </c>
      <c r="AN54" s="547"/>
      <c r="AO54" s="829" t="str">
        <f t="shared" si="1"/>
        <v>Yes</v>
      </c>
      <c r="AP54" s="259" t="str">
        <f t="shared" si="2"/>
        <v>MAY 19</v>
      </c>
      <c r="AQ54" s="547" t="str">
        <f t="shared" si="3"/>
        <v>有定金+有預留客戶</v>
      </c>
      <c r="AR54" s="259" t="str">
        <f t="shared" si="4"/>
        <v>Shipped_Stock</v>
      </c>
      <c r="AS54" s="259" t="str">
        <f t="shared" si="5"/>
        <v/>
      </c>
      <c r="AT54" s="259" t="str">
        <f t="shared" si="6"/>
        <v>微力创/end user 昶达</v>
      </c>
      <c r="AU54" s="259" t="str">
        <f t="shared" si="7"/>
        <v>C49SZX20190061JL</v>
      </c>
      <c r="AV54" s="259" t="str">
        <f t="shared" si="8"/>
        <v>Oct-12</v>
      </c>
    </row>
    <row r="55" spans="1:69" ht="15" hidden="1" customHeight="1">
      <c r="A55" s="564">
        <v>243</v>
      </c>
      <c r="B55" s="568" t="s">
        <v>280</v>
      </c>
      <c r="C55" s="565" t="s">
        <v>281</v>
      </c>
      <c r="D55" s="569">
        <v>109381</v>
      </c>
      <c r="E55" s="568" t="s">
        <v>236</v>
      </c>
      <c r="F55" s="568" t="s">
        <v>17</v>
      </c>
      <c r="G55" s="568" t="s">
        <v>24</v>
      </c>
      <c r="H55" s="568" t="s">
        <v>26</v>
      </c>
      <c r="I55" s="569" t="s">
        <v>383</v>
      </c>
      <c r="J55" s="569">
        <v>1</v>
      </c>
      <c r="K55" s="568" t="s">
        <v>285</v>
      </c>
      <c r="L55" s="570">
        <v>43385</v>
      </c>
      <c r="M55" s="571">
        <v>6.2399999999999997E-2</v>
      </c>
      <c r="N55" s="568" t="s">
        <v>334</v>
      </c>
      <c r="O55" s="568"/>
      <c r="P55" s="571" t="str">
        <f>VLOOKUP(A55,'[1]Raw data'!$B:$BB,23,FALSE)</f>
        <v>JPY</v>
      </c>
      <c r="Q55" s="568" t="str">
        <f>VLOOKUP(A55,'[1]Raw data'!$B:$Z,2,FALSE)</f>
        <v>C49SZX20190023SS</v>
      </c>
      <c r="R55" s="568" t="str">
        <f>VLOOKUP(A55,'[1]Raw data'!$B:$Z,3,FALSE)</f>
        <v>世启纳</v>
      </c>
      <c r="S55" s="568" t="str">
        <f>VLOOKUP(A55,'[1]Raw data'!$B:$Z,4,FALSE)</f>
        <v>YSM10</v>
      </c>
      <c r="T55" s="568" t="str">
        <f>VLOOKUP(A55,'[1]Raw data'!$B:$Z,8,FALSE)</f>
        <v>R-&gt;L</v>
      </c>
      <c r="U55" s="568" t="str">
        <f>VLOOKUP(A55,'[1]Raw data'!$B:$Z,9,FALSE)</f>
        <v>MVC</v>
      </c>
      <c r="V55" s="572" t="str">
        <f t="shared" si="9"/>
        <v>WRONG</v>
      </c>
      <c r="W55" s="568" t="str">
        <f>VLOOKUP(A55,'[1]Raw data'!$B:$AG,32,FALSE)</f>
        <v>DAP 深圳</v>
      </c>
      <c r="X55" s="568">
        <f>VLOOKUP(A55,'[1]Raw data'!$B:$BA,31,FALSE)</f>
        <v>43523</v>
      </c>
      <c r="Y55" s="568" t="str">
        <f>VLOOKUP(A55,'[1]Raw data'!$B:$AS,39,FALSE)</f>
        <v>Yes</v>
      </c>
      <c r="Z55" s="573"/>
      <c r="AA55" s="574" t="s">
        <v>329</v>
      </c>
      <c r="AB55" s="575"/>
      <c r="AC55" s="568" t="s">
        <v>291</v>
      </c>
      <c r="AN55" s="547"/>
      <c r="AO55" s="829" t="str">
        <f t="shared" si="1"/>
        <v>Yes</v>
      </c>
      <c r="AP55" s="259" t="str">
        <f t="shared" si="2"/>
        <v>MAR 19</v>
      </c>
      <c r="AQ55" s="547" t="str">
        <f t="shared" si="3"/>
        <v>有定金+有預留客戶</v>
      </c>
      <c r="AR55" s="259" t="str">
        <f t="shared" si="4"/>
        <v>Shipped_Stock</v>
      </c>
      <c r="AS55" s="259" t="str">
        <f t="shared" si="5"/>
        <v/>
      </c>
      <c r="AT55" s="259" t="str">
        <f t="shared" si="6"/>
        <v>世启纳</v>
      </c>
      <c r="AU55" s="259" t="str">
        <f t="shared" si="7"/>
        <v>C49SZX20190023SS</v>
      </c>
      <c r="AV55" s="259" t="str">
        <f t="shared" si="8"/>
        <v>Oct-12</v>
      </c>
    </row>
    <row r="56" spans="1:69" ht="15" hidden="1" customHeight="1">
      <c r="A56" s="564">
        <v>266</v>
      </c>
      <c r="B56" s="568" t="s">
        <v>280</v>
      </c>
      <c r="C56" s="565" t="s">
        <v>281</v>
      </c>
      <c r="D56" s="569">
        <v>109413</v>
      </c>
      <c r="E56" s="568" t="s">
        <v>236</v>
      </c>
      <c r="F56" s="568" t="s">
        <v>17</v>
      </c>
      <c r="G56" s="568" t="s">
        <v>24</v>
      </c>
      <c r="H56" s="568" t="s">
        <v>27</v>
      </c>
      <c r="I56" s="569" t="s">
        <v>384</v>
      </c>
      <c r="J56" s="569">
        <v>1</v>
      </c>
      <c r="K56" s="568" t="s">
        <v>285</v>
      </c>
      <c r="L56" s="570">
        <v>43385</v>
      </c>
      <c r="M56" s="571">
        <v>6.2399999999999997E-2</v>
      </c>
      <c r="N56" s="568" t="s">
        <v>341</v>
      </c>
      <c r="O56" s="568"/>
      <c r="P56" s="571" t="str">
        <f>VLOOKUP(A56,'[1]Raw data'!$B:$BB,23,FALSE)</f>
        <v>JPY</v>
      </c>
      <c r="Q56" s="568" t="str">
        <f>VLOOKUP(A56,'[1]Raw data'!$B:$Z,2,FALSE)</f>
        <v>C49SZX20190032SX</v>
      </c>
      <c r="R56" s="568" t="str">
        <f>VLOOKUP(A56,'[1]Raw data'!$B:$Z,3,FALSE)</f>
        <v>凌鑫</v>
      </c>
      <c r="S56" s="568" t="str">
        <f>VLOOKUP(A56,'[1]Raw data'!$B:$Z,4,FALSE)</f>
        <v>YSM10</v>
      </c>
      <c r="T56" s="568" t="str">
        <f>VLOOKUP(A56,'[1]Raw data'!$B:$Z,8,FALSE)</f>
        <v>L-&gt;R</v>
      </c>
      <c r="U56" s="568" t="str">
        <f>VLOOKUP(A56,'[1]Raw data'!$B:$Z,9,FALSE)</f>
        <v>MVC</v>
      </c>
      <c r="V56" s="572" t="str">
        <f t="shared" si="9"/>
        <v>OK</v>
      </c>
      <c r="W56" s="568" t="str">
        <f>VLOOKUP(A56,'[1]Raw data'!$B:$AG,32,FALSE)</f>
        <v>DAP 深圳</v>
      </c>
      <c r="X56" s="568">
        <f>VLOOKUP(A56,'[1]Raw data'!$B:$BA,31,FALSE)</f>
        <v>43545</v>
      </c>
      <c r="Y56" s="568" t="str">
        <f>VLOOKUP(A56,'[1]Raw data'!$B:$AS,39,FALSE)</f>
        <v>Yes</v>
      </c>
      <c r="Z56" s="573" t="s">
        <v>290</v>
      </c>
      <c r="AA56" s="574" t="s">
        <v>290</v>
      </c>
      <c r="AB56" s="575"/>
      <c r="AC56" s="568" t="s">
        <v>291</v>
      </c>
      <c r="AN56" s="547"/>
      <c r="AO56" s="829" t="str">
        <f t="shared" si="1"/>
        <v>Yes</v>
      </c>
      <c r="AP56" s="259" t="str">
        <f t="shared" si="2"/>
        <v>APR 19</v>
      </c>
      <c r="AQ56" s="547" t="str">
        <f t="shared" si="3"/>
        <v>有定金+有預留客戶</v>
      </c>
      <c r="AR56" s="259" t="str">
        <f t="shared" si="4"/>
        <v>Shipped_Stock</v>
      </c>
      <c r="AS56" s="259" t="str">
        <f t="shared" si="5"/>
        <v/>
      </c>
      <c r="AT56" s="259" t="str">
        <f t="shared" si="6"/>
        <v>凌鑫</v>
      </c>
      <c r="AU56" s="259" t="str">
        <f t="shared" si="7"/>
        <v>C49SZX20190032SX</v>
      </c>
      <c r="AV56" s="259" t="str">
        <f t="shared" si="8"/>
        <v>Oct-12</v>
      </c>
    </row>
    <row r="57" spans="1:69" ht="12.75" hidden="1" customHeight="1">
      <c r="A57" s="564">
        <v>242</v>
      </c>
      <c r="B57" s="568" t="s">
        <v>280</v>
      </c>
      <c r="C57" s="565" t="s">
        <v>281</v>
      </c>
      <c r="D57" s="569">
        <v>109413</v>
      </c>
      <c r="E57" s="568" t="s">
        <v>236</v>
      </c>
      <c r="F57" s="568" t="s">
        <v>17</v>
      </c>
      <c r="G57" s="568" t="s">
        <v>24</v>
      </c>
      <c r="H57" s="568" t="s">
        <v>26</v>
      </c>
      <c r="I57" s="569" t="s">
        <v>385</v>
      </c>
      <c r="J57" s="569">
        <v>1</v>
      </c>
      <c r="K57" s="568" t="s">
        <v>285</v>
      </c>
      <c r="L57" s="570">
        <v>43385</v>
      </c>
      <c r="M57" s="571">
        <v>6.2399999999999997E-2</v>
      </c>
      <c r="N57" s="568" t="s">
        <v>334</v>
      </c>
      <c r="O57" s="568"/>
      <c r="P57" s="571" t="str">
        <f>VLOOKUP(A57,'[1]Raw data'!$B:$BB,23,FALSE)</f>
        <v>JPY</v>
      </c>
      <c r="Q57" s="568" t="str">
        <f>VLOOKUP(A57,'[1]Raw data'!$B:$Z,2,FALSE)</f>
        <v>C49SZX20190023SS</v>
      </c>
      <c r="R57" s="568" t="str">
        <f>VLOOKUP(A57,'[1]Raw data'!$B:$Z,3,FALSE)</f>
        <v>世启纳</v>
      </c>
      <c r="S57" s="568" t="str">
        <f>VLOOKUP(A57,'[1]Raw data'!$B:$Z,4,FALSE)</f>
        <v>YSM10</v>
      </c>
      <c r="T57" s="568" t="str">
        <f>VLOOKUP(A57,'[1]Raw data'!$B:$Z,8,FALSE)</f>
        <v>L-&gt;R</v>
      </c>
      <c r="U57" s="568" t="str">
        <f>VLOOKUP(A57,'[1]Raw data'!$B:$Z,9,FALSE)</f>
        <v>MVC</v>
      </c>
      <c r="V57" s="572" t="str">
        <f t="shared" si="9"/>
        <v>WRONG</v>
      </c>
      <c r="W57" s="568" t="str">
        <f>VLOOKUP(A57,'[1]Raw data'!$B:$AG,32,FALSE)</f>
        <v>DAP 深圳</v>
      </c>
      <c r="X57" s="568">
        <f>VLOOKUP(A57,'[1]Raw data'!$B:$BA,31,FALSE)</f>
        <v>43523</v>
      </c>
      <c r="Y57" s="568" t="str">
        <f>VLOOKUP(A57,'[1]Raw data'!$B:$AS,39,FALSE)</f>
        <v>Yes</v>
      </c>
      <c r="Z57" s="573"/>
      <c r="AA57" s="574" t="s">
        <v>329</v>
      </c>
      <c r="AB57" s="575"/>
      <c r="AC57" s="568" t="s">
        <v>291</v>
      </c>
      <c r="AN57" s="547"/>
      <c r="AO57" s="829" t="str">
        <f t="shared" si="1"/>
        <v>Yes</v>
      </c>
      <c r="AP57" s="259" t="str">
        <f t="shared" si="2"/>
        <v>MAR 19</v>
      </c>
      <c r="AQ57" s="547" t="str">
        <f t="shared" si="3"/>
        <v>有定金+有預留客戶</v>
      </c>
      <c r="AR57" s="259" t="str">
        <f t="shared" si="4"/>
        <v>Shipped_Stock</v>
      </c>
      <c r="AS57" s="259" t="str">
        <f t="shared" si="5"/>
        <v/>
      </c>
      <c r="AT57" s="259" t="str">
        <f t="shared" si="6"/>
        <v>世启纳</v>
      </c>
      <c r="AU57" s="259" t="str">
        <f t="shared" si="7"/>
        <v>C49SZX20190023SS</v>
      </c>
      <c r="AV57" s="259" t="str">
        <f t="shared" si="8"/>
        <v>Oct-12</v>
      </c>
    </row>
    <row r="58" spans="1:69" ht="15" hidden="1" customHeight="1">
      <c r="A58" s="564">
        <v>48</v>
      </c>
      <c r="B58" s="568" t="s">
        <v>280</v>
      </c>
      <c r="C58" s="565" t="s">
        <v>281</v>
      </c>
      <c r="D58" s="569">
        <v>109331</v>
      </c>
      <c r="E58" s="568" t="s">
        <v>386</v>
      </c>
      <c r="F58" s="568" t="s">
        <v>256</v>
      </c>
      <c r="G58" s="568" t="s">
        <v>24</v>
      </c>
      <c r="H58" s="568" t="s">
        <v>27</v>
      </c>
      <c r="I58" s="569" t="s">
        <v>387</v>
      </c>
      <c r="J58" s="569">
        <v>1</v>
      </c>
      <c r="K58" s="568" t="s">
        <v>388</v>
      </c>
      <c r="L58" s="570">
        <v>43405</v>
      </c>
      <c r="M58" s="571">
        <v>6.1600000000000002E-2</v>
      </c>
      <c r="N58" s="568" t="s">
        <v>345</v>
      </c>
      <c r="P58" s="571" t="str">
        <f>VLOOKUP(A58,'[1]Raw data'!$B:$BB,23,FALSE)</f>
        <v>JPY</v>
      </c>
      <c r="Q58" s="568" t="str">
        <f>VLOOKUP(A58,'[1]Raw data'!$B:$Z,2,FALSE)</f>
        <v>C49SZX20180070SX</v>
      </c>
      <c r="R58" s="568" t="str">
        <f>VLOOKUP(A58,'[1]Raw data'!$B:$Z,3,FALSE)</f>
        <v>永顺创（Sales accurel in Oct)</v>
      </c>
      <c r="S58" s="568" t="str">
        <f>VLOOKUP(A58,'[1]Raw data'!$B:$Z,4,FALSE)</f>
        <v>YSM20-2</v>
      </c>
      <c r="T58" s="568" t="str">
        <f>VLOOKUP(A58,'[1]Raw data'!$B:$Z,8,FALSE)</f>
        <v>L-&gt;R</v>
      </c>
      <c r="U58" s="568" t="str">
        <f>VLOOKUP(A58,'[1]Raw data'!$B:$Z,9,FALSE)</f>
        <v>MVC</v>
      </c>
      <c r="V58" s="572" t="str">
        <f t="shared" si="9"/>
        <v>OK</v>
      </c>
      <c r="W58" s="568" t="str">
        <f>VLOOKUP(A58,'[1]Raw data'!$B:$AG,32,FALSE)</f>
        <v>DAP SZ</v>
      </c>
      <c r="X58" s="568">
        <f>VLOOKUP(A58,'[1]Raw data'!$B:$BA,31,FALSE)</f>
        <v>43208</v>
      </c>
      <c r="Y58" s="568" t="str">
        <f>VLOOKUP(A58,'[1]Raw data'!$B:$AS,39,FALSE)</f>
        <v>Yes</v>
      </c>
      <c r="Z58" s="573" t="s">
        <v>290</v>
      </c>
      <c r="AA58" s="574" t="s">
        <v>290</v>
      </c>
      <c r="AB58" s="575" t="s">
        <v>389</v>
      </c>
      <c r="AC58" s="568" t="s">
        <v>291</v>
      </c>
      <c r="AN58" s="547"/>
      <c r="AO58" s="829" t="str">
        <f t="shared" si="1"/>
        <v>Yes</v>
      </c>
      <c r="AP58" s="259" t="str">
        <f t="shared" si="2"/>
        <v>NOV 18</v>
      </c>
      <c r="AQ58" s="547" t="str">
        <f t="shared" si="3"/>
        <v>有定金+有預留客戶</v>
      </c>
      <c r="AR58" s="259" t="str">
        <f t="shared" si="4"/>
        <v>Shipped_Stock</v>
      </c>
      <c r="AS58" s="259" t="str">
        <f t="shared" si="5"/>
        <v/>
      </c>
      <c r="AT58" s="259" t="str">
        <f t="shared" si="6"/>
        <v>永顺创（Sales accurel in Oct)</v>
      </c>
      <c r="AU58" s="259" t="str">
        <f t="shared" si="7"/>
        <v>C49SZX20180070SX</v>
      </c>
      <c r="AV58" s="259" t="str">
        <f t="shared" si="8"/>
        <v>Nov-01</v>
      </c>
    </row>
    <row r="59" spans="1:69" ht="15" hidden="1" customHeight="1">
      <c r="A59" s="564">
        <v>49</v>
      </c>
      <c r="B59" s="568" t="s">
        <v>280</v>
      </c>
      <c r="C59" s="565" t="s">
        <v>281</v>
      </c>
      <c r="D59" s="569">
        <v>109331</v>
      </c>
      <c r="E59" s="568" t="s">
        <v>386</v>
      </c>
      <c r="F59" s="568" t="s">
        <v>256</v>
      </c>
      <c r="G59" s="568" t="s">
        <v>24</v>
      </c>
      <c r="H59" s="568" t="s">
        <v>27</v>
      </c>
      <c r="I59" s="569" t="s">
        <v>390</v>
      </c>
      <c r="J59" s="569">
        <v>1</v>
      </c>
      <c r="K59" s="568" t="s">
        <v>388</v>
      </c>
      <c r="L59" s="570">
        <v>43405</v>
      </c>
      <c r="M59" s="571">
        <v>6.1600000000000002E-2</v>
      </c>
      <c r="N59" s="568" t="s">
        <v>345</v>
      </c>
      <c r="P59" s="571" t="str">
        <f>VLOOKUP(A59,'[1]Raw data'!$B:$BB,23,FALSE)</f>
        <v>JPY</v>
      </c>
      <c r="Q59" s="568" t="str">
        <f>VLOOKUP(A59,'[1]Raw data'!$B:$Z,2,FALSE)</f>
        <v>C49SZX20180070SX</v>
      </c>
      <c r="R59" s="568" t="str">
        <f>VLOOKUP(A59,'[1]Raw data'!$B:$Z,3,FALSE)</f>
        <v>永顺创（Sales accurel in Oct)</v>
      </c>
      <c r="S59" s="568" t="str">
        <f>VLOOKUP(A59,'[1]Raw data'!$B:$Z,4,FALSE)</f>
        <v>YSM20-2</v>
      </c>
      <c r="T59" s="568" t="str">
        <f>VLOOKUP(A59,'[1]Raw data'!$B:$Z,8,FALSE)</f>
        <v>L-&gt;R</v>
      </c>
      <c r="U59" s="568" t="str">
        <f>VLOOKUP(A59,'[1]Raw data'!$B:$Z,9,FALSE)</f>
        <v>MVC</v>
      </c>
      <c r="V59" s="572" t="str">
        <f t="shared" si="9"/>
        <v>OK</v>
      </c>
      <c r="W59" s="568" t="str">
        <f>VLOOKUP(A59,'[1]Raw data'!$B:$AG,32,FALSE)</f>
        <v>DAP SZ</v>
      </c>
      <c r="X59" s="568">
        <f>VLOOKUP(A59,'[1]Raw data'!$B:$BA,31,FALSE)</f>
        <v>43208</v>
      </c>
      <c r="Y59" s="568" t="str">
        <f>VLOOKUP(A59,'[1]Raw data'!$B:$AS,39,FALSE)</f>
        <v>Yes</v>
      </c>
      <c r="Z59" s="573" t="s">
        <v>290</v>
      </c>
      <c r="AA59" s="574" t="s">
        <v>290</v>
      </c>
      <c r="AB59" s="575" t="s">
        <v>389</v>
      </c>
      <c r="AC59" s="568" t="s">
        <v>291</v>
      </c>
      <c r="AN59" s="547"/>
      <c r="AO59" s="829" t="str">
        <f t="shared" si="1"/>
        <v>Yes</v>
      </c>
      <c r="AP59" s="259" t="str">
        <f t="shared" si="2"/>
        <v>NOV 18</v>
      </c>
      <c r="AQ59" s="547" t="str">
        <f t="shared" si="3"/>
        <v>有定金+有預留客戶</v>
      </c>
      <c r="AR59" s="259" t="str">
        <f t="shared" si="4"/>
        <v>Shipped_Stock</v>
      </c>
      <c r="AS59" s="259" t="str">
        <f t="shared" si="5"/>
        <v/>
      </c>
      <c r="AT59" s="259" t="str">
        <f t="shared" si="6"/>
        <v>永顺创（Sales accurel in Oct)</v>
      </c>
      <c r="AU59" s="259" t="str">
        <f t="shared" si="7"/>
        <v>C49SZX20180070SX</v>
      </c>
      <c r="AV59" s="259" t="str">
        <f t="shared" si="8"/>
        <v>Nov-01</v>
      </c>
    </row>
    <row r="60" spans="1:69" ht="15" hidden="1" customHeight="1">
      <c r="A60" s="564">
        <v>127</v>
      </c>
      <c r="B60" s="568" t="s">
        <v>280</v>
      </c>
      <c r="C60" s="565" t="s">
        <v>281</v>
      </c>
      <c r="D60" s="569">
        <v>109288</v>
      </c>
      <c r="E60" s="568" t="s">
        <v>391</v>
      </c>
      <c r="F60" s="568" t="s">
        <v>256</v>
      </c>
      <c r="G60" s="568" t="s">
        <v>24</v>
      </c>
      <c r="H60" s="568" t="s">
        <v>26</v>
      </c>
      <c r="I60" s="569" t="s">
        <v>392</v>
      </c>
      <c r="J60" s="569">
        <v>1</v>
      </c>
      <c r="K60" s="568" t="s">
        <v>388</v>
      </c>
      <c r="L60" s="570">
        <v>43407</v>
      </c>
      <c r="M60" s="571">
        <v>6.1600000000000002E-2</v>
      </c>
      <c r="N60" s="568" t="s">
        <v>345</v>
      </c>
      <c r="P60" s="571" t="str">
        <f>VLOOKUP(A60,'[1]Raw data'!$B:$BB,23,FALSE)</f>
        <v>JPY</v>
      </c>
      <c r="Q60" s="568" t="str">
        <f>VLOOKUP(A60,'[1]Raw data'!$B:$Z,2,FALSE)</f>
        <v>C49SZX20180135SX</v>
      </c>
      <c r="R60" s="568" t="str">
        <f>VLOOKUP(A60,'[1]Raw data'!$B:$Z,3,FALSE)</f>
        <v>兴开泰</v>
      </c>
      <c r="S60" s="568" t="str">
        <f>VLOOKUP(A60,'[1]Raw data'!$B:$Z,4,FALSE)</f>
        <v>YSM20R(SV)-2</v>
      </c>
      <c r="T60" s="568" t="str">
        <f>VLOOKUP(A60,'[1]Raw data'!$B:$Z,8,FALSE)</f>
        <v>L-&gt;R</v>
      </c>
      <c r="U60" s="568" t="str">
        <f>VLOOKUP(A60,'[1]Raw data'!$B:$Z,9,FALSE)</f>
        <v>No</v>
      </c>
      <c r="V60" s="572" t="str">
        <f t="shared" si="9"/>
        <v>OK</v>
      </c>
      <c r="W60" s="568" t="str">
        <f>VLOOKUP(A60,'[1]Raw data'!$B:$AG,32,FALSE)</f>
        <v xml:space="preserve">CIF </v>
      </c>
      <c r="X60" s="568">
        <f>VLOOKUP(A60,'[1]Raw data'!$B:$BA,31,FALSE)</f>
        <v>43341</v>
      </c>
      <c r="Y60" s="568" t="str">
        <f>VLOOKUP(A60,'[1]Raw data'!$B:$AS,39,FALSE)</f>
        <v>Yes</v>
      </c>
      <c r="Z60" s="573" t="s">
        <v>329</v>
      </c>
      <c r="AA60" s="574" t="s">
        <v>329</v>
      </c>
      <c r="AB60" s="575"/>
      <c r="AC60" s="568" t="s">
        <v>291</v>
      </c>
      <c r="AN60" s="547"/>
      <c r="AO60" s="829" t="str">
        <f t="shared" si="1"/>
        <v>Yes</v>
      </c>
      <c r="AP60" s="259" t="str">
        <f t="shared" si="2"/>
        <v>NOV 18</v>
      </c>
      <c r="AQ60" s="547" t="str">
        <f t="shared" si="3"/>
        <v>有定金+有預留客戶</v>
      </c>
      <c r="AR60" s="259" t="str">
        <f t="shared" si="4"/>
        <v>Shipped_Stock</v>
      </c>
      <c r="AS60" s="259" t="str">
        <f t="shared" si="5"/>
        <v/>
      </c>
      <c r="AT60" s="259" t="str">
        <f t="shared" si="6"/>
        <v>兴开泰</v>
      </c>
      <c r="AU60" s="259" t="str">
        <f t="shared" si="7"/>
        <v>C49SZX20180135SX</v>
      </c>
      <c r="AV60" s="259" t="str">
        <f t="shared" si="8"/>
        <v>Nov-03</v>
      </c>
    </row>
    <row r="61" spans="1:69" ht="13.5" hidden="1" customHeight="1">
      <c r="A61" s="564">
        <v>128</v>
      </c>
      <c r="B61" s="568" t="s">
        <v>280</v>
      </c>
      <c r="C61" s="565" t="s">
        <v>281</v>
      </c>
      <c r="D61" s="569">
        <v>109288</v>
      </c>
      <c r="E61" s="568" t="s">
        <v>391</v>
      </c>
      <c r="F61" s="568" t="s">
        <v>256</v>
      </c>
      <c r="G61" s="568" t="s">
        <v>24</v>
      </c>
      <c r="H61" s="568" t="s">
        <v>26</v>
      </c>
      <c r="I61" s="569" t="s">
        <v>393</v>
      </c>
      <c r="J61" s="569">
        <v>1</v>
      </c>
      <c r="K61" s="568" t="s">
        <v>388</v>
      </c>
      <c r="L61" s="570">
        <v>43407</v>
      </c>
      <c r="M61" s="571">
        <v>6.1600000000000002E-2</v>
      </c>
      <c r="N61" s="568" t="s">
        <v>345</v>
      </c>
      <c r="P61" s="571" t="str">
        <f>VLOOKUP(A61,'[1]Raw data'!$B:$BB,23,FALSE)</f>
        <v>JPY</v>
      </c>
      <c r="Q61" s="568" t="str">
        <f>VLOOKUP(A61,'[1]Raw data'!$B:$Z,2,FALSE)</f>
        <v>C49SZX20180135SX</v>
      </c>
      <c r="R61" s="568" t="str">
        <f>VLOOKUP(A61,'[1]Raw data'!$B:$Z,3,FALSE)</f>
        <v>兴开泰</v>
      </c>
      <c r="S61" s="568" t="str">
        <f>VLOOKUP(A61,'[1]Raw data'!$B:$Z,4,FALSE)</f>
        <v>YSM20R(SV)-2</v>
      </c>
      <c r="T61" s="568" t="str">
        <f>VLOOKUP(A61,'[1]Raw data'!$B:$Z,8,FALSE)</f>
        <v>L-&gt;R</v>
      </c>
      <c r="U61" s="568" t="str">
        <f>VLOOKUP(A61,'[1]Raw data'!$B:$Z,9,FALSE)</f>
        <v>No</v>
      </c>
      <c r="V61" s="572" t="str">
        <f t="shared" si="9"/>
        <v>OK</v>
      </c>
      <c r="W61" s="568" t="str">
        <f>VLOOKUP(A61,'[1]Raw data'!$B:$AG,32,FALSE)</f>
        <v xml:space="preserve">CIF </v>
      </c>
      <c r="X61" s="568">
        <f>VLOOKUP(A61,'[1]Raw data'!$B:$BA,31,FALSE)</f>
        <v>43341</v>
      </c>
      <c r="Y61" s="568" t="str">
        <f>VLOOKUP(A61,'[1]Raw data'!$B:$AS,39,FALSE)</f>
        <v>Yes</v>
      </c>
      <c r="Z61" s="573" t="s">
        <v>329</v>
      </c>
      <c r="AA61" s="574" t="s">
        <v>329</v>
      </c>
      <c r="AB61" s="575"/>
      <c r="AC61" s="568" t="s">
        <v>291</v>
      </c>
      <c r="AN61" s="547"/>
      <c r="AO61" s="829" t="str">
        <f t="shared" si="1"/>
        <v>Yes</v>
      </c>
      <c r="AP61" s="259" t="str">
        <f t="shared" si="2"/>
        <v>NOV 18</v>
      </c>
      <c r="AQ61" s="547" t="str">
        <f t="shared" si="3"/>
        <v>有定金+有預留客戶</v>
      </c>
      <c r="AR61" s="259" t="str">
        <f t="shared" si="4"/>
        <v>Shipped_Stock</v>
      </c>
      <c r="AS61" s="259" t="str">
        <f t="shared" si="5"/>
        <v/>
      </c>
      <c r="AT61" s="259" t="str">
        <f t="shared" si="6"/>
        <v>兴开泰</v>
      </c>
      <c r="AU61" s="259" t="str">
        <f t="shared" si="7"/>
        <v>C49SZX20180135SX</v>
      </c>
      <c r="AV61" s="259" t="str">
        <f t="shared" si="8"/>
        <v>Nov-03</v>
      </c>
    </row>
    <row r="62" spans="1:69" ht="15" hidden="1" customHeight="1">
      <c r="A62" s="564">
        <v>423</v>
      </c>
      <c r="B62" s="568" t="s">
        <v>280</v>
      </c>
      <c r="C62" s="565" t="s">
        <v>281</v>
      </c>
      <c r="D62" s="569">
        <v>109308</v>
      </c>
      <c r="E62" s="568" t="s">
        <v>394</v>
      </c>
      <c r="F62" s="568" t="s">
        <v>256</v>
      </c>
      <c r="G62" s="568" t="s">
        <v>24</v>
      </c>
      <c r="H62" s="568" t="s">
        <v>176</v>
      </c>
      <c r="I62" s="569" t="s">
        <v>395</v>
      </c>
      <c r="J62" s="569">
        <v>1</v>
      </c>
      <c r="K62" s="568" t="s">
        <v>295</v>
      </c>
      <c r="L62" s="570">
        <v>43415</v>
      </c>
      <c r="M62" s="571">
        <v>6.1600000000000002E-2</v>
      </c>
      <c r="N62" s="568" t="s">
        <v>320</v>
      </c>
      <c r="P62" s="571" t="str">
        <f>VLOOKUP(A62,'[1]Raw data'!$B:$BB,23,FALSE)</f>
        <v>RMB</v>
      </c>
      <c r="Q62" s="568" t="str">
        <f>VLOOKUP(A62,'[1]Raw data'!$B:$Z,2,FALSE)</f>
        <v>C49SZX20190135SX</v>
      </c>
      <c r="R62" s="568" t="str">
        <f>VLOOKUP(A62,'[1]Raw data'!$B:$Z,3,FALSE)</f>
        <v>迅丰</v>
      </c>
      <c r="S62" s="568" t="str">
        <f>VLOOKUP(A62,'[1]Raw data'!$B:$Z,4,FALSE)</f>
        <v>YSM20R(SV)-2</v>
      </c>
      <c r="T62" s="568" t="str">
        <f>VLOOKUP(A62,'[1]Raw data'!$B:$Z,8,FALSE)</f>
        <v>L-&gt;R</v>
      </c>
      <c r="U62" s="568" t="str">
        <f>VLOOKUP(A62,'[1]Raw data'!$B:$Z,9,FALSE)</f>
        <v>cATS10+MVC+special layout</v>
      </c>
      <c r="V62" s="572" t="str">
        <f t="shared" si="9"/>
        <v>WRONG</v>
      </c>
      <c r="W62" s="568" t="str">
        <f>VLOOKUP(A62,'[1]Raw data'!$B:$AG,32,FALSE)</f>
        <v>含税到厂</v>
      </c>
      <c r="X62" s="568">
        <f>VLOOKUP(A62,'[1]Raw data'!$B:$BA,31,FALSE)</f>
        <v>43715</v>
      </c>
      <c r="Y62" s="568" t="str">
        <f>VLOOKUP(A62,'[1]Raw data'!$B:$AS,39,FALSE)</f>
        <v>Yes</v>
      </c>
      <c r="Z62" s="573" t="s">
        <v>290</v>
      </c>
      <c r="AA62" s="574" t="s">
        <v>290</v>
      </c>
      <c r="AB62" s="575"/>
      <c r="AC62" s="568" t="s">
        <v>396</v>
      </c>
      <c r="AN62" s="547"/>
      <c r="AO62" s="829" t="str">
        <f t="shared" si="1"/>
        <v>Yes</v>
      </c>
      <c r="AP62" s="259" t="str">
        <f t="shared" si="2"/>
        <v>SEP 19</v>
      </c>
      <c r="AQ62" s="547" t="str">
        <f t="shared" si="3"/>
        <v>有定金+有預留客戶</v>
      </c>
      <c r="AR62" s="259" t="str">
        <f t="shared" si="4"/>
        <v>Shipped_Stock</v>
      </c>
      <c r="AS62" s="259" t="str">
        <f t="shared" si="5"/>
        <v/>
      </c>
      <c r="AT62" s="259" t="str">
        <f t="shared" si="6"/>
        <v>迅丰</v>
      </c>
      <c r="AU62" s="259" t="str">
        <f t="shared" si="7"/>
        <v>C49SZX20190135SX</v>
      </c>
      <c r="AV62" s="259" t="str">
        <f t="shared" si="8"/>
        <v>Nov-11</v>
      </c>
    </row>
    <row r="63" spans="1:69" ht="15" hidden="1" customHeight="1">
      <c r="A63" s="564">
        <v>429</v>
      </c>
      <c r="B63" s="568" t="s">
        <v>280</v>
      </c>
      <c r="C63" s="565" t="s">
        <v>281</v>
      </c>
      <c r="D63" s="569">
        <v>109308</v>
      </c>
      <c r="E63" s="568" t="s">
        <v>394</v>
      </c>
      <c r="F63" s="568" t="s">
        <v>256</v>
      </c>
      <c r="G63" s="568" t="s">
        <v>24</v>
      </c>
      <c r="H63" s="568" t="s">
        <v>176</v>
      </c>
      <c r="I63" s="569" t="s">
        <v>397</v>
      </c>
      <c r="J63" s="569">
        <v>1</v>
      </c>
      <c r="K63" s="568" t="s">
        <v>295</v>
      </c>
      <c r="L63" s="570">
        <v>43415</v>
      </c>
      <c r="M63" s="571">
        <v>6.1600000000000002E-2</v>
      </c>
      <c r="N63" s="568" t="s">
        <v>320</v>
      </c>
      <c r="P63" s="571" t="str">
        <f>VLOOKUP(A63,'[1]Raw data'!$B:$BB,23,FALSE)</f>
        <v>RMB</v>
      </c>
      <c r="Q63" s="568" t="str">
        <f>VLOOKUP(A63,'[1]Raw data'!$B:$Z,2,FALSE)</f>
        <v>C49SZX201900131JL</v>
      </c>
      <c r="R63" s="568" t="str">
        <f>VLOOKUP(A63,'[1]Raw data'!$B:$Z,3,FALSE)</f>
        <v>杉川/end user:放德劲</v>
      </c>
      <c r="S63" s="568" t="str">
        <f>VLOOKUP(A63,'[1]Raw data'!$B:$Z,4,FALSE)</f>
        <v>YSM20R(SV)-2</v>
      </c>
      <c r="T63" s="568" t="str">
        <f>VLOOKUP(A63,'[1]Raw data'!$B:$Z,8,FALSE)</f>
        <v>L-&gt;R</v>
      </c>
      <c r="U63" s="568" t="str">
        <f>VLOOKUP(A63,'[1]Raw data'!$B:$Z,9,FALSE)</f>
        <v>cATS10+MVC+special layout</v>
      </c>
      <c r="V63" s="572" t="str">
        <f t="shared" si="9"/>
        <v>WRONG</v>
      </c>
      <c r="W63" s="568" t="str">
        <f>VLOOKUP(A63,'[1]Raw data'!$B:$AG,32,FALSE)</f>
        <v>含税到厂</v>
      </c>
      <c r="X63" s="568">
        <f>VLOOKUP(A63,'[1]Raw data'!$B:$BA,31,FALSE)</f>
        <v>43717</v>
      </c>
      <c r="Y63" s="568" t="str">
        <f>VLOOKUP(A63,'[1]Raw data'!$B:$AS,39,FALSE)</f>
        <v>Yes</v>
      </c>
      <c r="Z63" s="573"/>
      <c r="AA63" s="574"/>
      <c r="AB63" s="575"/>
      <c r="AC63" s="568" t="s">
        <v>398</v>
      </c>
      <c r="AN63" s="547"/>
      <c r="AO63" s="829" t="str">
        <f t="shared" si="1"/>
        <v>Yes</v>
      </c>
      <c r="AP63" s="259" t="str">
        <f t="shared" si="2"/>
        <v>SEP 19</v>
      </c>
      <c r="AQ63" s="547" t="str">
        <f t="shared" si="3"/>
        <v>有定金+有預留客戶</v>
      </c>
      <c r="AR63" s="259" t="str">
        <f t="shared" si="4"/>
        <v>Shipped_Stock</v>
      </c>
      <c r="AS63" s="259" t="str">
        <f t="shared" si="5"/>
        <v/>
      </c>
      <c r="AT63" s="259" t="str">
        <f t="shared" si="6"/>
        <v>杉川/end user:放德劲</v>
      </c>
      <c r="AU63" s="259" t="str">
        <f t="shared" si="7"/>
        <v>C49SZX201900131JL</v>
      </c>
      <c r="AV63" s="259" t="str">
        <f t="shared" si="8"/>
        <v>Nov-11</v>
      </c>
    </row>
    <row r="64" spans="1:69" ht="15" hidden="1" customHeight="1">
      <c r="A64" s="564">
        <v>246</v>
      </c>
      <c r="B64" s="568" t="s">
        <v>280</v>
      </c>
      <c r="C64" s="565" t="s">
        <v>281</v>
      </c>
      <c r="D64" s="569">
        <v>109295</v>
      </c>
      <c r="E64" s="568" t="s">
        <v>236</v>
      </c>
      <c r="F64" s="568" t="s">
        <v>17</v>
      </c>
      <c r="G64" s="568" t="s">
        <v>24</v>
      </c>
      <c r="H64" s="568" t="s">
        <v>26</v>
      </c>
      <c r="I64" s="569" t="s">
        <v>399</v>
      </c>
      <c r="J64" s="569">
        <v>1</v>
      </c>
      <c r="K64" s="568" t="s">
        <v>285</v>
      </c>
      <c r="L64" s="570">
        <v>43418</v>
      </c>
      <c r="M64" s="571">
        <v>6.2799999999999995E-2</v>
      </c>
      <c r="N64" s="568" t="s">
        <v>381</v>
      </c>
      <c r="O64" s="568"/>
      <c r="P64" s="571" t="str">
        <f>VLOOKUP(A64,'[1]Raw data'!$B:$BB,23,FALSE)</f>
        <v>JPY</v>
      </c>
      <c r="Q64" s="568" t="str">
        <f>VLOOKUP(A64,'[1]Raw data'!$B:$Z,2,FALSE)</f>
        <v>C49SZX20190031MZ</v>
      </c>
      <c r="R64" s="568" t="str">
        <f>VLOOKUP(A64,'[1]Raw data'!$B:$Z,3,FALSE)</f>
        <v>鸿南</v>
      </c>
      <c r="S64" s="568" t="str">
        <f>VLOOKUP(A64,'[1]Raw data'!$B:$Z,4,FALSE)</f>
        <v>YSM10</v>
      </c>
      <c r="T64" s="568" t="str">
        <f>VLOOKUP(A64,'[1]Raw data'!$B:$Z,8,FALSE)</f>
        <v>R-&gt;L</v>
      </c>
      <c r="U64" s="568" t="str">
        <f>VLOOKUP(A64,'[1]Raw data'!$B:$Z,9,FALSE)</f>
        <v>MVC</v>
      </c>
      <c r="V64" s="572" t="str">
        <f t="shared" si="9"/>
        <v>WRONG</v>
      </c>
      <c r="W64" s="568" t="str">
        <f>VLOOKUP(A64,'[1]Raw data'!$B:$AG,32,FALSE)</f>
        <v>CIF HK</v>
      </c>
      <c r="X64" s="568">
        <f>VLOOKUP(A64,'[1]Raw data'!$B:$BA,31,FALSE)</f>
        <v>43532</v>
      </c>
      <c r="Y64" s="568" t="str">
        <f>VLOOKUP(A64,'[1]Raw data'!$B:$AS,39,FALSE)</f>
        <v>Yes</v>
      </c>
      <c r="Z64" s="573" t="s">
        <v>329</v>
      </c>
      <c r="AA64" s="574" t="s">
        <v>329</v>
      </c>
      <c r="AB64" s="575"/>
      <c r="AC64" s="568" t="s">
        <v>400</v>
      </c>
      <c r="AN64" s="547"/>
      <c r="AO64" s="829" t="str">
        <f t="shared" si="1"/>
        <v>Yes</v>
      </c>
      <c r="AP64" s="259" t="str">
        <f t="shared" si="2"/>
        <v>MAY 19</v>
      </c>
      <c r="AQ64" s="547" t="str">
        <f t="shared" si="3"/>
        <v>有定金+有預留客戶</v>
      </c>
      <c r="AR64" s="259" t="str">
        <f t="shared" si="4"/>
        <v>Shipped_Stock</v>
      </c>
      <c r="AS64" s="259" t="str">
        <f t="shared" si="5"/>
        <v/>
      </c>
      <c r="AT64" s="259" t="str">
        <f t="shared" si="6"/>
        <v>鸿南</v>
      </c>
      <c r="AU64" s="259" t="str">
        <f t="shared" si="7"/>
        <v>C49SZX20190031MZ</v>
      </c>
      <c r="AV64" s="259" t="str">
        <f t="shared" si="8"/>
        <v>Nov-14</v>
      </c>
    </row>
    <row r="65" spans="1:48" ht="13.5" hidden="1" customHeight="1">
      <c r="A65" s="564">
        <v>247</v>
      </c>
      <c r="B65" s="568" t="s">
        <v>280</v>
      </c>
      <c r="C65" s="565" t="s">
        <v>281</v>
      </c>
      <c r="D65" s="569">
        <v>109295</v>
      </c>
      <c r="E65" s="568" t="s">
        <v>236</v>
      </c>
      <c r="F65" s="568" t="s">
        <v>17</v>
      </c>
      <c r="G65" s="568" t="s">
        <v>24</v>
      </c>
      <c r="H65" s="568" t="s">
        <v>26</v>
      </c>
      <c r="I65" s="569" t="s">
        <v>401</v>
      </c>
      <c r="J65" s="569">
        <v>1</v>
      </c>
      <c r="K65" s="568" t="s">
        <v>285</v>
      </c>
      <c r="L65" s="570">
        <v>43418</v>
      </c>
      <c r="M65" s="571">
        <v>6.2799999999999995E-2</v>
      </c>
      <c r="N65" s="568" t="s">
        <v>381</v>
      </c>
      <c r="O65" s="568"/>
      <c r="P65" s="571" t="str">
        <f>VLOOKUP(A65,'[1]Raw data'!$B:$BB,23,FALSE)</f>
        <v>JPY</v>
      </c>
      <c r="Q65" s="568" t="str">
        <f>VLOOKUP(A65,'[1]Raw data'!$B:$Z,2,FALSE)</f>
        <v>C49SZX20190031MZ</v>
      </c>
      <c r="R65" s="568" t="str">
        <f>VLOOKUP(A65,'[1]Raw data'!$B:$Z,3,FALSE)</f>
        <v>鸿南</v>
      </c>
      <c r="S65" s="568" t="str">
        <f>VLOOKUP(A65,'[1]Raw data'!$B:$Z,4,FALSE)</f>
        <v>YSM10</v>
      </c>
      <c r="T65" s="568" t="str">
        <f>VLOOKUP(A65,'[1]Raw data'!$B:$Z,8,FALSE)</f>
        <v>R-&gt;L</v>
      </c>
      <c r="U65" s="568" t="str">
        <f>VLOOKUP(A65,'[1]Raw data'!$B:$Z,9,FALSE)</f>
        <v>MVC</v>
      </c>
      <c r="V65" s="572" t="str">
        <f t="shared" si="9"/>
        <v>WRONG</v>
      </c>
      <c r="W65" s="568" t="str">
        <f>VLOOKUP(A65,'[1]Raw data'!$B:$AG,32,FALSE)</f>
        <v>CIF HK</v>
      </c>
      <c r="X65" s="568">
        <f>VLOOKUP(A65,'[1]Raw data'!$B:$BA,31,FALSE)</f>
        <v>43532</v>
      </c>
      <c r="Y65" s="568" t="str">
        <f>VLOOKUP(A65,'[1]Raw data'!$B:$AS,39,FALSE)</f>
        <v>Yes</v>
      </c>
      <c r="Z65" s="573" t="s">
        <v>329</v>
      </c>
      <c r="AA65" s="574" t="s">
        <v>329</v>
      </c>
      <c r="AB65" s="575"/>
      <c r="AC65" s="568" t="s">
        <v>400</v>
      </c>
      <c r="AN65" s="547"/>
      <c r="AO65" s="829" t="str">
        <f t="shared" si="1"/>
        <v>Yes</v>
      </c>
      <c r="AP65" s="259" t="str">
        <f t="shared" si="2"/>
        <v>MAY 19</v>
      </c>
      <c r="AQ65" s="547" t="str">
        <f t="shared" si="3"/>
        <v>有定金+有預留客戶</v>
      </c>
      <c r="AR65" s="259" t="str">
        <f t="shared" si="4"/>
        <v>Shipped_Stock</v>
      </c>
      <c r="AS65" s="259" t="str">
        <f t="shared" si="5"/>
        <v/>
      </c>
      <c r="AT65" s="259" t="str">
        <f t="shared" si="6"/>
        <v>鸿南</v>
      </c>
      <c r="AU65" s="259" t="str">
        <f t="shared" si="7"/>
        <v>C49SZX20190031MZ</v>
      </c>
      <c r="AV65" s="259" t="str">
        <f t="shared" si="8"/>
        <v>Nov-14</v>
      </c>
    </row>
    <row r="66" spans="1:48" ht="15" hidden="1" customHeight="1">
      <c r="A66" s="564" t="s">
        <v>402</v>
      </c>
      <c r="B66" s="568" t="s">
        <v>280</v>
      </c>
      <c r="C66" s="565" t="s">
        <v>281</v>
      </c>
      <c r="D66" s="569">
        <v>109295</v>
      </c>
      <c r="E66" s="568" t="s">
        <v>236</v>
      </c>
      <c r="F66" s="568" t="s">
        <v>17</v>
      </c>
      <c r="G66" s="568" t="s">
        <v>24</v>
      </c>
      <c r="H66" s="568" t="s">
        <v>26</v>
      </c>
      <c r="I66" s="569" t="s">
        <v>403</v>
      </c>
      <c r="J66" s="569">
        <v>1</v>
      </c>
      <c r="K66" s="568" t="s">
        <v>295</v>
      </c>
      <c r="L66" s="570">
        <v>43418</v>
      </c>
      <c r="M66" s="571">
        <v>6.2799999999999995E-2</v>
      </c>
      <c r="N66" s="568" t="s">
        <v>404</v>
      </c>
      <c r="O66" s="568"/>
      <c r="P66" s="571" t="e">
        <f>VLOOKUP(A66,'[1]Raw data'!$B:$BB,23,FALSE)</f>
        <v>#N/A</v>
      </c>
      <c r="Q66" s="568" t="e">
        <f>VLOOKUP(A66,'[1]Raw data'!$B:$Z,2,FALSE)</f>
        <v>#N/A</v>
      </c>
      <c r="R66" s="568" t="e">
        <f>VLOOKUP(A66,'[1]Raw data'!$B:$Z,3,FALSE)</f>
        <v>#N/A</v>
      </c>
      <c r="S66" s="568" t="e">
        <f>VLOOKUP(A66,'[1]Raw data'!$B:$Z,4,FALSE)</f>
        <v>#N/A</v>
      </c>
      <c r="T66" s="568" t="e">
        <f>VLOOKUP(A66,'[1]Raw data'!$B:$Z,8,FALSE)</f>
        <v>#N/A</v>
      </c>
      <c r="U66" s="568" t="e">
        <f>VLOOKUP(A66,'[1]Raw data'!$B:$Z,9,FALSE)</f>
        <v>#N/A</v>
      </c>
      <c r="V66" s="572" t="e">
        <f t="shared" ref="V66:V97" si="10">IF(G66&amp;H66=T66&amp;U66,"OK","WRONG")</f>
        <v>#N/A</v>
      </c>
      <c r="W66" s="568" t="e">
        <f>VLOOKUP(A66,'[1]Raw data'!$B:$AG,32,FALSE)</f>
        <v>#N/A</v>
      </c>
      <c r="X66" s="568" t="e">
        <f>VLOOKUP(A66,'[1]Raw data'!$B:$BA,31,FALSE)</f>
        <v>#N/A</v>
      </c>
      <c r="Y66" s="568" t="e">
        <f>VLOOKUP(A66,'[1]Raw data'!$B:$AS,39,FALSE)</f>
        <v>#N/A</v>
      </c>
      <c r="Z66" s="573">
        <v>43252</v>
      </c>
      <c r="AA66" s="574">
        <v>43266</v>
      </c>
      <c r="AB66" s="575"/>
      <c r="AC66" s="568" t="s">
        <v>405</v>
      </c>
      <c r="AN66" s="547"/>
      <c r="AO66" s="829" t="str">
        <f t="shared" si="1"/>
        <v>No</v>
      </c>
      <c r="AP66" s="259" t="str">
        <f t="shared" si="2"/>
        <v>JUN 19</v>
      </c>
      <c r="AQ66" s="547" t="str">
        <f t="shared" si="3"/>
        <v>无定金+有預留客戶</v>
      </c>
      <c r="AR66" s="259" t="str">
        <f t="shared" si="4"/>
        <v>Shipped_Stock</v>
      </c>
      <c r="AS66" s="259" t="str">
        <f t="shared" si="5"/>
        <v/>
      </c>
      <c r="AT66" s="259" t="str">
        <f t="shared" si="6"/>
        <v>-</v>
      </c>
      <c r="AU66" s="259" t="str">
        <f t="shared" si="7"/>
        <v>-</v>
      </c>
      <c r="AV66" s="259" t="str">
        <f t="shared" si="8"/>
        <v>Nov-14</v>
      </c>
    </row>
    <row r="67" spans="1:48" ht="15" hidden="1" customHeight="1">
      <c r="A67" s="564">
        <v>344</v>
      </c>
      <c r="B67" s="568" t="s">
        <v>280</v>
      </c>
      <c r="C67" s="565" t="s">
        <v>281</v>
      </c>
      <c r="D67" s="569">
        <v>109295</v>
      </c>
      <c r="E67" s="568" t="s">
        <v>236</v>
      </c>
      <c r="F67" s="568" t="s">
        <v>17</v>
      </c>
      <c r="G67" s="568" t="s">
        <v>24</v>
      </c>
      <c r="H67" s="568" t="s">
        <v>26</v>
      </c>
      <c r="I67" s="569" t="s">
        <v>406</v>
      </c>
      <c r="J67" s="569">
        <v>1</v>
      </c>
      <c r="K67" s="568" t="s">
        <v>295</v>
      </c>
      <c r="L67" s="570">
        <v>43418</v>
      </c>
      <c r="M67" s="571">
        <v>6.2799999999999995E-2</v>
      </c>
      <c r="N67" s="568" t="s">
        <v>404</v>
      </c>
      <c r="O67" s="568"/>
      <c r="P67" s="571" t="str">
        <f>VLOOKUP(A67,'[1]Raw data'!$B:$BB,23,FALSE)</f>
        <v>RMB</v>
      </c>
      <c r="Q67" s="568" t="str">
        <f>VLOOKUP(A67,'[1]Raw data'!$B:$Z,2,FALSE)</f>
        <v>C49SZX20190091JL</v>
      </c>
      <c r="R67" s="568" t="str">
        <f>VLOOKUP(A67,'[1]Raw data'!$B:$Z,3,FALSE)</f>
        <v>达人高科</v>
      </c>
      <c r="S67" s="568" t="str">
        <f>VLOOKUP(A67,'[1]Raw data'!$B:$Z,4,FALSE)</f>
        <v>YSM10</v>
      </c>
      <c r="T67" s="568" t="str">
        <f>VLOOKUP(A67,'[1]Raw data'!$B:$Z,8,FALSE)</f>
        <v>L-&gt;R</v>
      </c>
      <c r="U67" s="568" t="str">
        <f>VLOOKUP(A67,'[1]Raw data'!$B:$Z,9,FALSE)</f>
        <v>No</v>
      </c>
      <c r="V67" s="572" t="str">
        <f t="shared" si="10"/>
        <v>OK</v>
      </c>
      <c r="W67" s="568" t="str">
        <f>VLOOKUP(A67,'[1]Raw data'!$B:$AG,32,FALSE)</f>
        <v>含税到厂</v>
      </c>
      <c r="X67" s="568">
        <f>VLOOKUP(A67,'[1]Raw data'!$B:$BA,31,FALSE)</f>
        <v>43622</v>
      </c>
      <c r="Y67" s="568" t="str">
        <f>VLOOKUP(A67,'[1]Raw data'!$B:$AS,39,FALSE)</f>
        <v>Yes</v>
      </c>
      <c r="Z67" s="573" t="s">
        <v>329</v>
      </c>
      <c r="AA67" s="574" t="s">
        <v>329</v>
      </c>
      <c r="AB67" s="575"/>
      <c r="AC67" s="568" t="s">
        <v>407</v>
      </c>
      <c r="AN67" s="547"/>
      <c r="AO67" s="829" t="str">
        <f t="shared" ref="AO67:AO130" si="11">IFERROR(IF(Y67&lt;&gt;"",Y67,"No"),"No")</f>
        <v>Yes</v>
      </c>
      <c r="AP67" s="259" t="str">
        <f t="shared" ref="AP67:AP130" si="12">IFERROR(IF(N67&lt;&gt;"",N67,"blank"),"NA")</f>
        <v>JUN 19</v>
      </c>
      <c r="AQ67" s="547" t="str">
        <f t="shared" ref="AQ67:AQ130" si="13">IFERROR(IF(AND(AO67="Yes", AP67&lt;&gt;"blank"), "有定金+有預留客戶", IF(AND(AO67="Yes", AP67="blank"), "有定金+无客戶送貨期", IF(AND(OR(AO67="No", ISBLANK(AO67), AO67="NA"), AP67&lt;&gt;"blank"), "无定金+有預留客戶", IF(AND(OR(AO67="No", ISBLANK(AO67), AO67="NA"), AP67="blank"), "无定金+无預留客戶", "")))), "")</f>
        <v>有定金+有預留客戶</v>
      </c>
      <c r="AR67" s="259" t="str">
        <f t="shared" ref="AR67:AR130" si="14">IFERROR(IF(B67="已经到货", "Instock", IF(B67="有交期", "Incoming_Stock_With_YAMAHA_Schedule", IF(B67="TBA.", "Incoming_Stock_No_YAMAHA_Schedule", IF(B67="已发货", "Shipped_Stock", "")))), "")</f>
        <v>Shipped_Stock</v>
      </c>
      <c r="AS67" s="259" t="str">
        <f t="shared" ref="AS67:AS130" si="15">IF(AND(B67="有交期", L67&lt;&gt;""), L67, "")</f>
        <v/>
      </c>
      <c r="AT67" s="259" t="str">
        <f t="shared" ref="AT67:AT130" si="16">IFERROR(IF(R67&lt;&gt;"",R67),"-")</f>
        <v>达人高科</v>
      </c>
      <c r="AU67" s="259" t="str">
        <f t="shared" ref="AU67:AU130" si="17">IFERROR(IF(Q67&lt;&gt;"",Q67),"-")</f>
        <v>C49SZX20190091JL</v>
      </c>
      <c r="AV67" s="259" t="str">
        <f t="shared" ref="AV67:AV130" si="18">IF(L67="","-",TEXT(L67,"mmm-dd"))</f>
        <v>Nov-14</v>
      </c>
    </row>
    <row r="68" spans="1:48" ht="15" hidden="1" customHeight="1">
      <c r="A68" s="564">
        <v>345</v>
      </c>
      <c r="B68" s="568" t="s">
        <v>280</v>
      </c>
      <c r="C68" s="565" t="s">
        <v>281</v>
      </c>
      <c r="D68" s="569">
        <v>109295</v>
      </c>
      <c r="E68" s="568" t="s">
        <v>236</v>
      </c>
      <c r="F68" s="568" t="s">
        <v>17</v>
      </c>
      <c r="G68" s="568" t="s">
        <v>24</v>
      </c>
      <c r="H68" s="568" t="s">
        <v>26</v>
      </c>
      <c r="I68" s="569" t="s">
        <v>408</v>
      </c>
      <c r="J68" s="569">
        <v>1</v>
      </c>
      <c r="K68" s="568" t="s">
        <v>295</v>
      </c>
      <c r="L68" s="570">
        <v>43418</v>
      </c>
      <c r="M68" s="571">
        <v>6.2799999999999995E-2</v>
      </c>
      <c r="N68" s="568" t="s">
        <v>404</v>
      </c>
      <c r="O68" s="568"/>
      <c r="P68" s="571" t="str">
        <f>VLOOKUP(A68,'[1]Raw data'!$B:$BB,23,FALSE)</f>
        <v>RMB</v>
      </c>
      <c r="Q68" s="568" t="str">
        <f>VLOOKUP(A68,'[1]Raw data'!$B:$Z,2,FALSE)</f>
        <v>C49SZX20190091JL</v>
      </c>
      <c r="R68" s="568" t="str">
        <f>VLOOKUP(A68,'[1]Raw data'!$B:$Z,3,FALSE)</f>
        <v>达人高科</v>
      </c>
      <c r="S68" s="568" t="str">
        <f>VLOOKUP(A68,'[1]Raw data'!$B:$Z,4,FALSE)</f>
        <v>YSM10</v>
      </c>
      <c r="T68" s="568" t="str">
        <f>VLOOKUP(A68,'[1]Raw data'!$B:$Z,8,FALSE)</f>
        <v>R-&gt;L</v>
      </c>
      <c r="U68" s="568" t="str">
        <f>VLOOKUP(A68,'[1]Raw data'!$B:$Z,9,FALSE)</f>
        <v>No</v>
      </c>
      <c r="V68" s="572" t="str">
        <f t="shared" si="10"/>
        <v>WRONG</v>
      </c>
      <c r="W68" s="568" t="str">
        <f>VLOOKUP(A68,'[1]Raw data'!$B:$AG,32,FALSE)</f>
        <v>含税到厂</v>
      </c>
      <c r="X68" s="568">
        <f>VLOOKUP(A68,'[1]Raw data'!$B:$BA,31,FALSE)</f>
        <v>43622</v>
      </c>
      <c r="Y68" s="568" t="str">
        <f>VLOOKUP(A68,'[1]Raw data'!$B:$AS,39,FALSE)</f>
        <v>Yes</v>
      </c>
      <c r="Z68" s="573" t="s">
        <v>329</v>
      </c>
      <c r="AA68" s="574" t="s">
        <v>329</v>
      </c>
      <c r="AB68" s="575"/>
      <c r="AC68" s="568" t="s">
        <v>407</v>
      </c>
      <c r="AN68" s="547"/>
      <c r="AO68" s="829" t="str">
        <f t="shared" si="11"/>
        <v>Yes</v>
      </c>
      <c r="AP68" s="259" t="str">
        <f t="shared" si="12"/>
        <v>JUN 19</v>
      </c>
      <c r="AQ68" s="547" t="str">
        <f t="shared" si="13"/>
        <v>有定金+有預留客戶</v>
      </c>
      <c r="AR68" s="259" t="str">
        <f t="shared" si="14"/>
        <v>Shipped_Stock</v>
      </c>
      <c r="AS68" s="259" t="str">
        <f t="shared" si="15"/>
        <v/>
      </c>
      <c r="AT68" s="259" t="str">
        <f t="shared" si="16"/>
        <v>达人高科</v>
      </c>
      <c r="AU68" s="259" t="str">
        <f t="shared" si="17"/>
        <v>C49SZX20190091JL</v>
      </c>
      <c r="AV68" s="259" t="str">
        <f t="shared" si="18"/>
        <v>Nov-14</v>
      </c>
    </row>
    <row r="69" spans="1:48" ht="15" hidden="1" customHeight="1">
      <c r="A69" s="564">
        <v>355</v>
      </c>
      <c r="B69" s="568" t="s">
        <v>280</v>
      </c>
      <c r="C69" s="565" t="s">
        <v>281</v>
      </c>
      <c r="D69" s="569">
        <v>109295</v>
      </c>
      <c r="E69" s="568" t="s">
        <v>236</v>
      </c>
      <c r="F69" s="568" t="s">
        <v>17</v>
      </c>
      <c r="G69" s="568" t="s">
        <v>24</v>
      </c>
      <c r="H69" s="568" t="s">
        <v>26</v>
      </c>
      <c r="I69" s="569" t="s">
        <v>409</v>
      </c>
      <c r="J69" s="569">
        <v>1</v>
      </c>
      <c r="K69" s="568" t="s">
        <v>295</v>
      </c>
      <c r="L69" s="570">
        <v>43418</v>
      </c>
      <c r="M69" s="571">
        <v>6.2799999999999995E-2</v>
      </c>
      <c r="N69" s="568" t="s">
        <v>404</v>
      </c>
      <c r="O69" s="568"/>
      <c r="P69" s="571" t="str">
        <f>VLOOKUP(A69,'[1]Raw data'!$B:$BB,23,FALSE)</f>
        <v>RMB</v>
      </c>
      <c r="Q69" s="568" t="str">
        <f>VLOOKUP(A69,'[1]Raw data'!$B:$Z,2,FALSE)</f>
        <v>C49SZX20190099SX</v>
      </c>
      <c r="R69" s="568" t="str">
        <f>VLOOKUP(A69,'[1]Raw data'!$B:$Z,3,FALSE)</f>
        <v>柏星</v>
      </c>
      <c r="S69" s="568" t="str">
        <f>VLOOKUP(A69,'[1]Raw data'!$B:$Z,4,FALSE)</f>
        <v>YSM10</v>
      </c>
      <c r="T69" s="568" t="str">
        <f>VLOOKUP(A69,'[1]Raw data'!$B:$Z,8,FALSE)</f>
        <v>L-&gt;R</v>
      </c>
      <c r="U69" s="568" t="str">
        <f>VLOOKUP(A69,'[1]Raw data'!$B:$Z,9,FALSE)</f>
        <v>No</v>
      </c>
      <c r="V69" s="572" t="str">
        <f t="shared" si="10"/>
        <v>OK</v>
      </c>
      <c r="W69" s="568" t="str">
        <f>VLOOKUP(A69,'[1]Raw data'!$B:$AG,32,FALSE)</f>
        <v>含税到厂</v>
      </c>
      <c r="X69" s="568">
        <f>VLOOKUP(A69,'[1]Raw data'!$B:$BA,31,FALSE)</f>
        <v>43634</v>
      </c>
      <c r="Y69" s="568" t="str">
        <f>VLOOKUP(A69,'[1]Raw data'!$B:$AS,39,FALSE)</f>
        <v>Yes</v>
      </c>
      <c r="Z69" s="573" t="s">
        <v>290</v>
      </c>
      <c r="AA69" s="574" t="s">
        <v>290</v>
      </c>
      <c r="AB69" s="575"/>
      <c r="AC69" s="568" t="s">
        <v>410</v>
      </c>
      <c r="AN69" s="547"/>
      <c r="AO69" s="829" t="str">
        <f t="shared" si="11"/>
        <v>Yes</v>
      </c>
      <c r="AP69" s="259" t="str">
        <f t="shared" si="12"/>
        <v>JUN 19</v>
      </c>
      <c r="AQ69" s="547" t="str">
        <f t="shared" si="13"/>
        <v>有定金+有預留客戶</v>
      </c>
      <c r="AR69" s="259" t="str">
        <f t="shared" si="14"/>
        <v>Shipped_Stock</v>
      </c>
      <c r="AS69" s="259" t="str">
        <f t="shared" si="15"/>
        <v/>
      </c>
      <c r="AT69" s="259" t="str">
        <f t="shared" si="16"/>
        <v>柏星</v>
      </c>
      <c r="AU69" s="259" t="str">
        <f t="shared" si="17"/>
        <v>C49SZX20190099SX</v>
      </c>
      <c r="AV69" s="259" t="str">
        <f t="shared" si="18"/>
        <v>Nov-14</v>
      </c>
    </row>
    <row r="70" spans="1:48" ht="15" hidden="1" customHeight="1">
      <c r="A70" s="564">
        <v>15</v>
      </c>
      <c r="B70" s="568" t="s">
        <v>280</v>
      </c>
      <c r="C70" s="565" t="s">
        <v>281</v>
      </c>
      <c r="D70" s="569">
        <v>109421</v>
      </c>
      <c r="E70" s="568" t="s">
        <v>236</v>
      </c>
      <c r="F70" s="568" t="s">
        <v>411</v>
      </c>
      <c r="G70" s="568" t="s">
        <v>24</v>
      </c>
      <c r="H70" s="568" t="s">
        <v>26</v>
      </c>
      <c r="I70" s="592" t="s">
        <v>412</v>
      </c>
      <c r="J70" s="569">
        <v>1</v>
      </c>
      <c r="K70" s="568" t="s">
        <v>311</v>
      </c>
      <c r="L70" s="570">
        <v>43435</v>
      </c>
      <c r="M70" s="571">
        <v>6.25E-2</v>
      </c>
      <c r="N70" s="568" t="s">
        <v>334</v>
      </c>
      <c r="O70" s="568"/>
      <c r="P70" s="571" t="str">
        <f>VLOOKUP(A70,'[1]Raw data'!$B:$BB,23,FALSE)</f>
        <v>JPY</v>
      </c>
      <c r="Q70" s="568" t="str">
        <f>VLOOKUP(A70,'[1]Raw data'!$B:$Z,2,FALSE)</f>
        <v>C49SZX20180033GL</v>
      </c>
      <c r="R70" s="568" t="str">
        <f>VLOOKUP(A70,'[1]Raw data'!$B:$Z,3,FALSE)</f>
        <v>鼎鸿</v>
      </c>
      <c r="S70" s="568" t="str">
        <f>VLOOKUP(A70,'[1]Raw data'!$B:$Z,4,FALSE)</f>
        <v>YS24</v>
      </c>
      <c r="T70" s="568" t="str">
        <f>VLOOKUP(A70,'[1]Raw data'!$B:$Z,8,FALSE)</f>
        <v>L-&gt;R</v>
      </c>
      <c r="U70" s="568" t="str">
        <f>VLOOKUP(A70,'[1]Raw data'!$B:$Z,9,FALSE)</f>
        <v>No</v>
      </c>
      <c r="V70" s="572" t="str">
        <f t="shared" si="10"/>
        <v>OK</v>
      </c>
      <c r="W70" s="568" t="str">
        <f>VLOOKUP(A70,'[1]Raw data'!$B:$AG,32,FALSE)</f>
        <v>CIF</v>
      </c>
      <c r="X70" s="568">
        <f>VLOOKUP(A70,'[1]Raw data'!$B:$BA,31,FALSE)</f>
        <v>43133</v>
      </c>
      <c r="Y70" s="568" t="str">
        <f>VLOOKUP(A70,'[1]Raw data'!$B:$AS,39,FALSE)</f>
        <v>Yes</v>
      </c>
      <c r="Z70" s="573" t="s">
        <v>290</v>
      </c>
      <c r="AA70" s="574" t="s">
        <v>290</v>
      </c>
      <c r="AB70" s="575"/>
      <c r="AC70" s="568" t="s">
        <v>413</v>
      </c>
      <c r="AN70" s="547"/>
      <c r="AO70" s="829" t="str">
        <f t="shared" si="11"/>
        <v>Yes</v>
      </c>
      <c r="AP70" s="259" t="str">
        <f t="shared" si="12"/>
        <v>MAR 19</v>
      </c>
      <c r="AQ70" s="547" t="str">
        <f t="shared" si="13"/>
        <v>有定金+有預留客戶</v>
      </c>
      <c r="AR70" s="259" t="str">
        <f t="shared" si="14"/>
        <v>Shipped_Stock</v>
      </c>
      <c r="AS70" s="259" t="str">
        <f t="shared" si="15"/>
        <v/>
      </c>
      <c r="AT70" s="259" t="str">
        <f t="shared" si="16"/>
        <v>鼎鸿</v>
      </c>
      <c r="AU70" s="259" t="str">
        <f t="shared" si="17"/>
        <v>C49SZX20180033GL</v>
      </c>
      <c r="AV70" s="259" t="str">
        <f t="shared" si="18"/>
        <v>Dec-01</v>
      </c>
    </row>
    <row r="71" spans="1:48" ht="15" hidden="1" customHeight="1">
      <c r="A71" s="564">
        <v>154</v>
      </c>
      <c r="B71" s="568" t="s">
        <v>280</v>
      </c>
      <c r="C71" s="565" t="s">
        <v>281</v>
      </c>
      <c r="D71" s="569">
        <v>109421</v>
      </c>
      <c r="E71" s="568" t="s">
        <v>236</v>
      </c>
      <c r="F71" s="568" t="s">
        <v>411</v>
      </c>
      <c r="G71" s="568" t="s">
        <v>24</v>
      </c>
      <c r="H71" s="568" t="s">
        <v>26</v>
      </c>
      <c r="I71" s="592" t="s">
        <v>414</v>
      </c>
      <c r="J71" s="569">
        <v>1</v>
      </c>
      <c r="K71" s="568" t="s">
        <v>311</v>
      </c>
      <c r="L71" s="570">
        <v>43435</v>
      </c>
      <c r="M71" s="571">
        <v>6.25E-2</v>
      </c>
      <c r="N71" s="568" t="s">
        <v>289</v>
      </c>
      <c r="O71" s="568"/>
      <c r="P71" s="571" t="str">
        <f>VLOOKUP(A71,'[1]Raw data'!$B:$BB,23,FALSE)</f>
        <v>JPY</v>
      </c>
      <c r="Q71" s="568" t="str">
        <f>VLOOKUP(A71,'[1]Raw data'!$B:$Z,2,FALSE)</f>
        <v>C49SZX20180165ZX</v>
      </c>
      <c r="R71" s="568" t="str">
        <f>VLOOKUP(A71,'[1]Raw data'!$B:$Z,3,FALSE)</f>
        <v>格美通</v>
      </c>
      <c r="S71" s="568" t="str">
        <f>VLOOKUP(A71,'[1]Raw data'!$B:$Z,4,FALSE)</f>
        <v>YS24</v>
      </c>
      <c r="T71" s="568" t="str">
        <f>VLOOKUP(A71,'[1]Raw data'!$B:$Z,8,FALSE)</f>
        <v>L-&gt;R</v>
      </c>
      <c r="U71" s="568" t="str">
        <f>VLOOKUP(A71,'[1]Raw data'!$B:$Z,9,FALSE)</f>
        <v>No</v>
      </c>
      <c r="V71" s="572" t="str">
        <f t="shared" si="10"/>
        <v>OK</v>
      </c>
      <c r="W71" s="568" t="str">
        <f>VLOOKUP(A71,'[1]Raw data'!$B:$AG,32,FALSE)</f>
        <v>DAP 深圳</v>
      </c>
      <c r="X71" s="568">
        <f>VLOOKUP(A71,'[1]Raw data'!$B:$BA,31,FALSE)</f>
        <v>43412</v>
      </c>
      <c r="Y71" s="568" t="str">
        <f>VLOOKUP(A71,'[1]Raw data'!$B:$AS,39,FALSE)</f>
        <v>Yes</v>
      </c>
      <c r="Z71" s="573" t="s">
        <v>290</v>
      </c>
      <c r="AA71" s="574" t="s">
        <v>290</v>
      </c>
      <c r="AB71" s="575" t="s">
        <v>415</v>
      </c>
      <c r="AC71" s="568" t="s">
        <v>291</v>
      </c>
      <c r="AN71" s="547"/>
      <c r="AO71" s="829" t="str">
        <f t="shared" si="11"/>
        <v>Yes</v>
      </c>
      <c r="AP71" s="259" t="str">
        <f t="shared" si="12"/>
        <v>DEC 18</v>
      </c>
      <c r="AQ71" s="547" t="str">
        <f t="shared" si="13"/>
        <v>有定金+有預留客戶</v>
      </c>
      <c r="AR71" s="259" t="str">
        <f t="shared" si="14"/>
        <v>Shipped_Stock</v>
      </c>
      <c r="AS71" s="259" t="str">
        <f t="shared" si="15"/>
        <v/>
      </c>
      <c r="AT71" s="259" t="str">
        <f t="shared" si="16"/>
        <v>格美通</v>
      </c>
      <c r="AU71" s="259" t="str">
        <f t="shared" si="17"/>
        <v>C49SZX20180165ZX</v>
      </c>
      <c r="AV71" s="259" t="str">
        <f t="shared" si="18"/>
        <v>Dec-01</v>
      </c>
    </row>
    <row r="72" spans="1:48" ht="15" hidden="1" customHeight="1">
      <c r="A72" s="564">
        <v>291</v>
      </c>
      <c r="B72" s="568" t="s">
        <v>280</v>
      </c>
      <c r="C72" s="565" t="s">
        <v>281</v>
      </c>
      <c r="D72" s="569">
        <v>109421</v>
      </c>
      <c r="E72" s="568" t="s">
        <v>236</v>
      </c>
      <c r="F72" s="568" t="s">
        <v>411</v>
      </c>
      <c r="G72" s="568" t="s">
        <v>24</v>
      </c>
      <c r="H72" s="568" t="s">
        <v>26</v>
      </c>
      <c r="I72" s="592" t="s">
        <v>416</v>
      </c>
      <c r="J72" s="569">
        <v>1</v>
      </c>
      <c r="K72" s="568" t="s">
        <v>285</v>
      </c>
      <c r="L72" s="570">
        <v>43435</v>
      </c>
      <c r="M72" s="571">
        <v>6.25E-2</v>
      </c>
      <c r="N72" s="568" t="s">
        <v>417</v>
      </c>
      <c r="O72" s="568"/>
      <c r="P72" s="571" t="str">
        <f>VLOOKUP(A72,'[1]Raw data'!$B:$BB,23,FALSE)</f>
        <v>JPY</v>
      </c>
      <c r="Q72" s="568" t="str">
        <f>VLOOKUP(A72,'[1]Raw data'!$B:$Z,2,FALSE)</f>
        <v>C49SZX20190060DZ</v>
      </c>
      <c r="R72" s="568" t="str">
        <f>VLOOKUP(A72,'[1]Raw data'!$B:$Z,3,FALSE)</f>
        <v>宝捷</v>
      </c>
      <c r="S72" s="568" t="str">
        <f>VLOOKUP(A72,'[1]Raw data'!$B:$Z,4,FALSE)</f>
        <v>YS24</v>
      </c>
      <c r="T72" s="568" t="str">
        <f>VLOOKUP(A72,'[1]Raw data'!$B:$Z,8,FALSE)</f>
        <v>L-&gt;R</v>
      </c>
      <c r="U72" s="568" t="str">
        <f>VLOOKUP(A72,'[1]Raw data'!$B:$Z,9,FALSE)</f>
        <v>MVC</v>
      </c>
      <c r="V72" s="572" t="str">
        <f t="shared" si="10"/>
        <v>WRONG</v>
      </c>
      <c r="W72" s="568" t="str">
        <f>VLOOKUP(A72,'[1]Raw data'!$B:$AG,32,FALSE)</f>
        <v>CIF HK</v>
      </c>
      <c r="X72" s="568">
        <f>VLOOKUP(A72,'[1]Raw data'!$B:$BA,31,FALSE)</f>
        <v>43579</v>
      </c>
      <c r="Y72" s="568" t="str">
        <f>VLOOKUP(A72,'[1]Raw data'!$B:$AS,39,FALSE)</f>
        <v>Yes</v>
      </c>
      <c r="Z72" s="573" t="s">
        <v>290</v>
      </c>
      <c r="AA72" s="574" t="s">
        <v>290</v>
      </c>
      <c r="AB72" s="575"/>
      <c r="AC72" s="568" t="s">
        <v>418</v>
      </c>
      <c r="AN72" s="547"/>
      <c r="AO72" s="829" t="str">
        <f t="shared" si="11"/>
        <v>Yes</v>
      </c>
      <c r="AP72" s="259" t="str">
        <f t="shared" si="12"/>
        <v>AUG 19</v>
      </c>
      <c r="AQ72" s="547" t="str">
        <f t="shared" si="13"/>
        <v>有定金+有預留客戶</v>
      </c>
      <c r="AR72" s="259" t="str">
        <f t="shared" si="14"/>
        <v>Shipped_Stock</v>
      </c>
      <c r="AS72" s="259" t="str">
        <f t="shared" si="15"/>
        <v/>
      </c>
      <c r="AT72" s="259" t="str">
        <f t="shared" si="16"/>
        <v>宝捷</v>
      </c>
      <c r="AU72" s="259" t="str">
        <f t="shared" si="17"/>
        <v>C49SZX20190060DZ</v>
      </c>
      <c r="AV72" s="259" t="str">
        <f t="shared" si="18"/>
        <v>Dec-01</v>
      </c>
    </row>
    <row r="73" spans="1:48" ht="15" hidden="1" customHeight="1">
      <c r="A73" s="564">
        <v>248</v>
      </c>
      <c r="B73" s="568" t="s">
        <v>280</v>
      </c>
      <c r="C73" s="565" t="s">
        <v>281</v>
      </c>
      <c r="D73" s="569">
        <v>109421</v>
      </c>
      <c r="E73" s="568" t="s">
        <v>236</v>
      </c>
      <c r="F73" s="568" t="s">
        <v>411</v>
      </c>
      <c r="G73" s="568" t="s">
        <v>24</v>
      </c>
      <c r="H73" s="568" t="s">
        <v>26</v>
      </c>
      <c r="I73" s="592" t="s">
        <v>419</v>
      </c>
      <c r="J73" s="569">
        <v>1</v>
      </c>
      <c r="K73" s="568" t="s">
        <v>285</v>
      </c>
      <c r="L73" s="570">
        <v>43435</v>
      </c>
      <c r="M73" s="571">
        <v>6.25E-2</v>
      </c>
      <c r="N73" s="568" t="s">
        <v>334</v>
      </c>
      <c r="O73" s="568"/>
      <c r="P73" s="571" t="str">
        <f>VLOOKUP(A73,'[1]Raw data'!$B:$BB,23,FALSE)</f>
        <v>JPY</v>
      </c>
      <c r="Q73" s="568" t="str">
        <f>VLOOKUP(A73,'[1]Raw data'!$B:$Z,2,FALSE)</f>
        <v>C49SZX20190030SX</v>
      </c>
      <c r="R73" s="568" t="str">
        <f>VLOOKUP(A73,'[1]Raw data'!$B:$Z,3,FALSE)</f>
        <v>惠阳锐诚</v>
      </c>
      <c r="S73" s="568" t="str">
        <f>VLOOKUP(A73,'[1]Raw data'!$B:$Z,4,FALSE)</f>
        <v>YS24</v>
      </c>
      <c r="T73" s="568" t="str">
        <f>VLOOKUP(A73,'[1]Raw data'!$B:$Z,8,FALSE)</f>
        <v>L-&gt;R</v>
      </c>
      <c r="U73" s="568" t="str">
        <f>VLOOKUP(A73,'[1]Raw data'!$B:$Z,9,FALSE)</f>
        <v>No</v>
      </c>
      <c r="V73" s="572" t="str">
        <f t="shared" si="10"/>
        <v>OK</v>
      </c>
      <c r="W73" s="568" t="str">
        <f>VLOOKUP(A73,'[1]Raw data'!$B:$AG,32,FALSE)</f>
        <v>DAP惠阳</v>
      </c>
      <c r="X73" s="568">
        <f>VLOOKUP(A73,'[1]Raw data'!$B:$BA,31,FALSE)</f>
        <v>43531</v>
      </c>
      <c r="Y73" s="568" t="str">
        <f>VLOOKUP(A73,'[1]Raw data'!$B:$AS,39,FALSE)</f>
        <v>Yes</v>
      </c>
      <c r="Z73" s="573" t="s">
        <v>290</v>
      </c>
      <c r="AA73" s="574" t="s">
        <v>290</v>
      </c>
      <c r="AB73" s="575"/>
      <c r="AC73" s="568" t="s">
        <v>291</v>
      </c>
      <c r="AN73" s="547"/>
      <c r="AO73" s="829" t="str">
        <f t="shared" si="11"/>
        <v>Yes</v>
      </c>
      <c r="AP73" s="259" t="str">
        <f t="shared" si="12"/>
        <v>MAR 19</v>
      </c>
      <c r="AQ73" s="547" t="str">
        <f t="shared" si="13"/>
        <v>有定金+有預留客戶</v>
      </c>
      <c r="AR73" s="259" t="str">
        <f t="shared" si="14"/>
        <v>Shipped_Stock</v>
      </c>
      <c r="AS73" s="259" t="str">
        <f t="shared" si="15"/>
        <v/>
      </c>
      <c r="AT73" s="259" t="str">
        <f t="shared" si="16"/>
        <v>惠阳锐诚</v>
      </c>
      <c r="AU73" s="259" t="str">
        <f t="shared" si="17"/>
        <v>C49SZX20190030SX</v>
      </c>
      <c r="AV73" s="259" t="str">
        <f t="shared" si="18"/>
        <v>Dec-01</v>
      </c>
    </row>
    <row r="74" spans="1:48" ht="15" hidden="1" customHeight="1">
      <c r="A74" s="564">
        <v>211</v>
      </c>
      <c r="B74" s="568" t="s">
        <v>280</v>
      </c>
      <c r="C74" s="565" t="s">
        <v>281</v>
      </c>
      <c r="D74" s="569">
        <v>109421</v>
      </c>
      <c r="E74" s="568" t="s">
        <v>236</v>
      </c>
      <c r="F74" s="568" t="s">
        <v>411</v>
      </c>
      <c r="G74" s="568" t="s">
        <v>24</v>
      </c>
      <c r="H74" s="568" t="s">
        <v>26</v>
      </c>
      <c r="I74" s="592" t="s">
        <v>420</v>
      </c>
      <c r="J74" s="569">
        <v>1</v>
      </c>
      <c r="K74" s="568" t="s">
        <v>295</v>
      </c>
      <c r="L74" s="570">
        <v>43435</v>
      </c>
      <c r="M74" s="571">
        <v>6.25E-2</v>
      </c>
      <c r="N74" s="568" t="s">
        <v>363</v>
      </c>
      <c r="O74" s="568"/>
      <c r="P74" s="571" t="str">
        <f>VLOOKUP(A74,'[1]Raw data'!$B:$BB,23,FALSE)</f>
        <v>RMB</v>
      </c>
      <c r="Q74" s="568" t="str">
        <f>VLOOKUP(A74,'[1]Raw data'!$B:$Z,2,FALSE)</f>
        <v>C49SZX20190011SX</v>
      </c>
      <c r="R74" s="568" t="str">
        <f>VLOOKUP(A74,'[1]Raw data'!$B:$Z,3,FALSE)</f>
        <v>安林An Lin</v>
      </c>
      <c r="S74" s="568" t="str">
        <f>VLOOKUP(A74,'[1]Raw data'!$B:$Z,4,FALSE)</f>
        <v>YS24</v>
      </c>
      <c r="T74" s="568" t="str">
        <f>VLOOKUP(A74,'[1]Raw data'!$B:$Z,8,FALSE)</f>
        <v>L-&gt;R</v>
      </c>
      <c r="U74" s="568" t="str">
        <f>VLOOKUP(A74,'[1]Raw data'!$B:$Z,9,FALSE)</f>
        <v>No</v>
      </c>
      <c r="V74" s="572" t="str">
        <f t="shared" si="10"/>
        <v>OK</v>
      </c>
      <c r="W74" s="568" t="str">
        <f>VLOOKUP(A74,'[1]Raw data'!$B:$AG,32,FALSE)</f>
        <v>含税到厂</v>
      </c>
      <c r="X74" s="568">
        <f>VLOOKUP(A74,'[1]Raw data'!$B:$BA,31,FALSE)</f>
        <v>43480</v>
      </c>
      <c r="Y74" s="568" t="str">
        <f>VLOOKUP(A74,'[1]Raw data'!$B:$AS,39,FALSE)</f>
        <v>Yes</v>
      </c>
      <c r="Z74" s="573" t="s">
        <v>290</v>
      </c>
      <c r="AA74" s="574" t="s">
        <v>290</v>
      </c>
      <c r="AB74" s="575"/>
      <c r="AC74" s="568" t="s">
        <v>291</v>
      </c>
      <c r="AN74" s="547"/>
      <c r="AO74" s="829" t="str">
        <f t="shared" si="11"/>
        <v>Yes</v>
      </c>
      <c r="AP74" s="259" t="str">
        <f t="shared" si="12"/>
        <v>FEB 19</v>
      </c>
      <c r="AQ74" s="547" t="str">
        <f t="shared" si="13"/>
        <v>有定金+有預留客戶</v>
      </c>
      <c r="AR74" s="259" t="str">
        <f t="shared" si="14"/>
        <v>Shipped_Stock</v>
      </c>
      <c r="AS74" s="259" t="str">
        <f t="shared" si="15"/>
        <v/>
      </c>
      <c r="AT74" s="259" t="str">
        <f t="shared" si="16"/>
        <v>安林An Lin</v>
      </c>
      <c r="AU74" s="259" t="str">
        <f t="shared" si="17"/>
        <v>C49SZX20190011SX</v>
      </c>
      <c r="AV74" s="259" t="str">
        <f t="shared" si="18"/>
        <v>Dec-01</v>
      </c>
    </row>
    <row r="75" spans="1:48" ht="15" hidden="1" customHeight="1">
      <c r="A75" s="564">
        <v>208</v>
      </c>
      <c r="B75" s="568" t="s">
        <v>280</v>
      </c>
      <c r="C75" s="565" t="s">
        <v>281</v>
      </c>
      <c r="D75" s="569">
        <v>109421</v>
      </c>
      <c r="E75" s="568" t="s">
        <v>236</v>
      </c>
      <c r="F75" s="568" t="s">
        <v>411</v>
      </c>
      <c r="G75" s="568" t="s">
        <v>24</v>
      </c>
      <c r="H75" s="568" t="s">
        <v>4537</v>
      </c>
      <c r="I75" s="592" t="s">
        <v>421</v>
      </c>
      <c r="J75" s="569">
        <v>1</v>
      </c>
      <c r="K75" s="568" t="s">
        <v>295</v>
      </c>
      <c r="L75" s="570">
        <v>43435</v>
      </c>
      <c r="M75" s="571">
        <v>6.25E-2</v>
      </c>
      <c r="N75" s="568" t="s">
        <v>363</v>
      </c>
      <c r="O75" s="568"/>
      <c r="P75" s="571" t="str">
        <f>VLOOKUP(A75,'[1]Raw data'!$B:$BB,23,FALSE)</f>
        <v>RMB</v>
      </c>
      <c r="Q75" s="568" t="str">
        <f>VLOOKUP(A75,'[1]Raw data'!$B:$Z,2,FALSE)</f>
        <v>C49SZX20190005SX</v>
      </c>
      <c r="R75" s="568" t="str">
        <f>VLOOKUP(A75,'[1]Raw data'!$B:$Z,3,FALSE)</f>
        <v>An Lin东莞安林</v>
      </c>
      <c r="S75" s="568" t="str">
        <f>VLOOKUP(A75,'[1]Raw data'!$B:$Z,4,FALSE)</f>
        <v>YS24</v>
      </c>
      <c r="T75" s="568" t="str">
        <f>VLOOKUP(A75,'[1]Raw data'!$B:$Z,8,FALSE)</f>
        <v>L-&gt;R</v>
      </c>
      <c r="U75" s="568" t="str">
        <f>VLOOKUP(A75,'[1]Raw data'!$B:$Z,9,FALSE)</f>
        <v>No</v>
      </c>
      <c r="V75" s="572" t="str">
        <f t="shared" si="10"/>
        <v>OK</v>
      </c>
      <c r="W75" s="568" t="str">
        <f>VLOOKUP(A75,'[1]Raw data'!$B:$AG,32,FALSE)</f>
        <v>含税到厂</v>
      </c>
      <c r="X75" s="568">
        <f>VLOOKUP(A75,'[1]Raw data'!$B:$BA,31,FALSE)</f>
        <v>43474</v>
      </c>
      <c r="Y75" s="568" t="str">
        <f>VLOOKUP(A75,'[1]Raw data'!$B:$AS,39,FALSE)</f>
        <v>Yes</v>
      </c>
      <c r="Z75" s="573" t="s">
        <v>290</v>
      </c>
      <c r="AA75" s="574" t="s">
        <v>290</v>
      </c>
      <c r="AB75" s="575"/>
      <c r="AC75" s="568" t="s">
        <v>291</v>
      </c>
      <c r="AN75" s="547"/>
      <c r="AO75" s="829" t="str">
        <f t="shared" si="11"/>
        <v>Yes</v>
      </c>
      <c r="AP75" s="259" t="str">
        <f t="shared" si="12"/>
        <v>FEB 19</v>
      </c>
      <c r="AQ75" s="547" t="str">
        <f t="shared" si="13"/>
        <v>有定金+有預留客戶</v>
      </c>
      <c r="AR75" s="259" t="str">
        <f t="shared" si="14"/>
        <v>Shipped_Stock</v>
      </c>
      <c r="AS75" s="259" t="str">
        <f t="shared" si="15"/>
        <v/>
      </c>
      <c r="AT75" s="259" t="str">
        <f t="shared" si="16"/>
        <v>An Lin东莞安林</v>
      </c>
      <c r="AU75" s="259" t="str">
        <f t="shared" si="17"/>
        <v>C49SZX20190005SX</v>
      </c>
      <c r="AV75" s="259" t="str">
        <f t="shared" si="18"/>
        <v>Dec-01</v>
      </c>
    </row>
    <row r="76" spans="1:48" ht="15" hidden="1" customHeight="1">
      <c r="A76" s="564">
        <v>222</v>
      </c>
      <c r="B76" s="568" t="s">
        <v>280</v>
      </c>
      <c r="C76" s="565" t="s">
        <v>281</v>
      </c>
      <c r="D76" s="569">
        <v>109388</v>
      </c>
      <c r="E76" s="568" t="s">
        <v>353</v>
      </c>
      <c r="F76" s="568" t="s">
        <v>256</v>
      </c>
      <c r="G76" s="568" t="s">
        <v>24</v>
      </c>
      <c r="H76" s="568" t="s">
        <v>26</v>
      </c>
      <c r="I76" s="569" t="s">
        <v>422</v>
      </c>
      <c r="J76" s="569">
        <v>1</v>
      </c>
      <c r="K76" s="568" t="s">
        <v>311</v>
      </c>
      <c r="L76" s="570">
        <v>43439</v>
      </c>
      <c r="M76" s="571">
        <v>6.25E-2</v>
      </c>
      <c r="N76" s="568" t="s">
        <v>296</v>
      </c>
      <c r="P76" s="571" t="str">
        <f>VLOOKUP(A76,'[1]Raw data'!$B:$BB,23,FALSE)</f>
        <v>JPY</v>
      </c>
      <c r="Q76" s="568" t="str">
        <f>VLOOKUP(A76,'[1]Raw data'!$B:$Z,2,FALSE)</f>
        <v>C49SZX20190012SX</v>
      </c>
      <c r="R76" s="568" t="str">
        <f>VLOOKUP(A76,'[1]Raw data'!$B:$Z,3,FALSE)</f>
        <v>恒泰</v>
      </c>
      <c r="S76" s="568" t="str">
        <f>VLOOKUP(A76,'[1]Raw data'!$B:$Z,4,FALSE)</f>
        <v>YSM20-2</v>
      </c>
      <c r="T76" s="568" t="str">
        <f>VLOOKUP(A76,'[1]Raw data'!$B:$Z,8,FALSE)</f>
        <v>L-&gt;R</v>
      </c>
      <c r="U76" s="568" t="str">
        <f>VLOOKUP(A76,'[1]Raw data'!$B:$Z,9,FALSE)</f>
        <v>No</v>
      </c>
      <c r="V76" s="572" t="str">
        <f t="shared" si="10"/>
        <v>OK</v>
      </c>
      <c r="W76" s="568" t="str">
        <f>VLOOKUP(A76,'[1]Raw data'!$B:$AG,32,FALSE)</f>
        <v>DAP 江西</v>
      </c>
      <c r="X76" s="568">
        <f>VLOOKUP(A76,'[1]Raw data'!$B:$BA,31,FALSE)</f>
        <v>43481</v>
      </c>
      <c r="Y76" s="568" t="str">
        <f>VLOOKUP(A76,'[1]Raw data'!$B:$AS,39,FALSE)</f>
        <v>Yes</v>
      </c>
      <c r="Z76" s="573" t="s">
        <v>290</v>
      </c>
      <c r="AA76" s="574" t="s">
        <v>290</v>
      </c>
      <c r="AB76" s="575"/>
      <c r="AC76" s="568" t="s">
        <v>291</v>
      </c>
      <c r="AN76" s="593"/>
      <c r="AO76" s="829" t="str">
        <f t="shared" si="11"/>
        <v>Yes</v>
      </c>
      <c r="AP76" s="259" t="str">
        <f t="shared" si="12"/>
        <v>JAN 19</v>
      </c>
      <c r="AQ76" s="547" t="str">
        <f t="shared" si="13"/>
        <v>有定金+有預留客戶</v>
      </c>
      <c r="AR76" s="259" t="str">
        <f t="shared" si="14"/>
        <v>Shipped_Stock</v>
      </c>
      <c r="AS76" s="259" t="str">
        <f t="shared" si="15"/>
        <v/>
      </c>
      <c r="AT76" s="259" t="str">
        <f t="shared" si="16"/>
        <v>恒泰</v>
      </c>
      <c r="AU76" s="259" t="str">
        <f t="shared" si="17"/>
        <v>C49SZX20190012SX</v>
      </c>
      <c r="AV76" s="259" t="str">
        <f t="shared" si="18"/>
        <v>Dec-05</v>
      </c>
    </row>
    <row r="77" spans="1:48" ht="15" hidden="1" customHeight="1">
      <c r="A77" s="564">
        <v>131</v>
      </c>
      <c r="B77" s="568" t="s">
        <v>280</v>
      </c>
      <c r="C77" s="565" t="s">
        <v>281</v>
      </c>
      <c r="D77" s="594">
        <v>109279</v>
      </c>
      <c r="E77" s="589" t="s">
        <v>423</v>
      </c>
      <c r="F77" s="568" t="s">
        <v>256</v>
      </c>
      <c r="G77" s="568" t="s">
        <v>24</v>
      </c>
      <c r="H77" s="568" t="s">
        <v>26</v>
      </c>
      <c r="I77" s="594" t="s">
        <v>424</v>
      </c>
      <c r="J77" s="594">
        <v>1</v>
      </c>
      <c r="K77" s="589" t="s">
        <v>425</v>
      </c>
      <c r="L77" s="595">
        <v>43439</v>
      </c>
      <c r="M77" s="592">
        <v>6.2199999999999998E-2</v>
      </c>
      <c r="N77" s="568" t="s">
        <v>289</v>
      </c>
      <c r="P77" s="571" t="str">
        <f>VLOOKUP(A77,'[1]Raw data'!$B:$BB,23,FALSE)</f>
        <v>JPY</v>
      </c>
      <c r="Q77" s="568" t="str">
        <f>VLOOKUP(A77,'[1]Raw data'!$B:$Z,2,FALSE)</f>
        <v>C49SZX20180137DZ</v>
      </c>
      <c r="R77" s="568" t="str">
        <f>VLOOKUP(A77,'[1]Raw data'!$B:$Z,3,FALSE)</f>
        <v>朗特</v>
      </c>
      <c r="S77" s="568" t="str">
        <f>VLOOKUP(A77,'[1]Raw data'!$B:$Z,4,FALSE)</f>
        <v>YSM20R(SV)-2</v>
      </c>
      <c r="T77" s="568" t="str">
        <f>VLOOKUP(A77,'[1]Raw data'!$B:$Z,8,FALSE)</f>
        <v>R-&gt;L</v>
      </c>
      <c r="U77" s="568" t="str">
        <f>VLOOKUP(A77,'[1]Raw data'!$B:$Z,9,FALSE)</f>
        <v>No</v>
      </c>
      <c r="V77" s="572" t="str">
        <f t="shared" si="10"/>
        <v>WRONG</v>
      </c>
      <c r="W77" s="568" t="str">
        <f>VLOOKUP(A77,'[1]Raw data'!$B:$AG,32,FALSE)</f>
        <v>CIF</v>
      </c>
      <c r="X77" s="568">
        <f>VLOOKUP(A77,'[1]Raw data'!$B:$BA,31,FALSE)</f>
        <v>43343</v>
      </c>
      <c r="Y77" s="568" t="str">
        <f>VLOOKUP(A77,'[1]Raw data'!$B:$AS,39,FALSE)</f>
        <v>Yes</v>
      </c>
      <c r="Z77" s="574" t="s">
        <v>290</v>
      </c>
      <c r="AA77" s="574" t="s">
        <v>290</v>
      </c>
      <c r="AB77" s="596"/>
      <c r="AC77" s="568" t="s">
        <v>291</v>
      </c>
      <c r="AD77" s="597"/>
      <c r="AE77" s="597"/>
      <c r="AF77" s="597"/>
      <c r="AG77" s="597"/>
      <c r="AH77" s="597"/>
      <c r="AI77" s="598"/>
      <c r="AJ77" s="597"/>
      <c r="AK77" s="597"/>
      <c r="AL77" s="597"/>
      <c r="AM77" s="597"/>
      <c r="AN77" s="547"/>
      <c r="AO77" s="829" t="str">
        <f t="shared" si="11"/>
        <v>Yes</v>
      </c>
      <c r="AP77" s="259" t="str">
        <f t="shared" si="12"/>
        <v>DEC 18</v>
      </c>
      <c r="AQ77" s="547" t="str">
        <f t="shared" si="13"/>
        <v>有定金+有預留客戶</v>
      </c>
      <c r="AR77" s="259" t="str">
        <f t="shared" si="14"/>
        <v>Shipped_Stock</v>
      </c>
      <c r="AS77" s="259" t="str">
        <f t="shared" si="15"/>
        <v/>
      </c>
      <c r="AT77" s="259" t="str">
        <f t="shared" si="16"/>
        <v>朗特</v>
      </c>
      <c r="AU77" s="259" t="str">
        <f t="shared" si="17"/>
        <v>C49SZX20180137DZ</v>
      </c>
      <c r="AV77" s="259" t="str">
        <f t="shared" si="18"/>
        <v>Dec-05</v>
      </c>
    </row>
    <row r="78" spans="1:48" ht="15" hidden="1" customHeight="1">
      <c r="A78" s="564">
        <v>132</v>
      </c>
      <c r="B78" s="568" t="s">
        <v>280</v>
      </c>
      <c r="C78" s="565" t="s">
        <v>281</v>
      </c>
      <c r="D78" s="594">
        <v>109279</v>
      </c>
      <c r="E78" s="589" t="s">
        <v>423</v>
      </c>
      <c r="F78" s="568" t="s">
        <v>256</v>
      </c>
      <c r="G78" s="568" t="s">
        <v>24</v>
      </c>
      <c r="H78" s="568" t="s">
        <v>26</v>
      </c>
      <c r="I78" s="594" t="s">
        <v>426</v>
      </c>
      <c r="J78" s="594">
        <v>1</v>
      </c>
      <c r="K78" s="589" t="s">
        <v>425</v>
      </c>
      <c r="L78" s="595">
        <v>43439</v>
      </c>
      <c r="M78" s="592">
        <v>6.2199999999999998E-2</v>
      </c>
      <c r="N78" s="568" t="s">
        <v>289</v>
      </c>
      <c r="P78" s="571" t="str">
        <f>VLOOKUP(A78,'[1]Raw data'!$B:$BB,23,FALSE)</f>
        <v>JPY</v>
      </c>
      <c r="Q78" s="568" t="str">
        <f>VLOOKUP(A78,'[1]Raw data'!$B:$Z,2,FALSE)</f>
        <v>C49SZX20180137DZ</v>
      </c>
      <c r="R78" s="568" t="str">
        <f>VLOOKUP(A78,'[1]Raw data'!$B:$Z,3,FALSE)</f>
        <v>朗特</v>
      </c>
      <c r="S78" s="568" t="str">
        <f>VLOOKUP(A78,'[1]Raw data'!$B:$Z,4,FALSE)</f>
        <v>YSM20R(SV)-2</v>
      </c>
      <c r="T78" s="568" t="str">
        <f>VLOOKUP(A78,'[1]Raw data'!$B:$Z,8,FALSE)</f>
        <v>R-&gt;L</v>
      </c>
      <c r="U78" s="568" t="str">
        <f>VLOOKUP(A78,'[1]Raw data'!$B:$Z,9,FALSE)</f>
        <v>No</v>
      </c>
      <c r="V78" s="572" t="str">
        <f t="shared" si="10"/>
        <v>WRONG</v>
      </c>
      <c r="W78" s="568" t="str">
        <f>VLOOKUP(A78,'[1]Raw data'!$B:$AG,32,FALSE)</f>
        <v>CIF</v>
      </c>
      <c r="X78" s="568">
        <f>VLOOKUP(A78,'[1]Raw data'!$B:$BA,31,FALSE)</f>
        <v>43343</v>
      </c>
      <c r="Y78" s="568" t="str">
        <f>VLOOKUP(A78,'[1]Raw data'!$B:$AS,39,FALSE)</f>
        <v>Yes</v>
      </c>
      <c r="Z78" s="574" t="s">
        <v>290</v>
      </c>
      <c r="AA78" s="574" t="s">
        <v>290</v>
      </c>
      <c r="AB78" s="596"/>
      <c r="AC78" s="568" t="s">
        <v>291</v>
      </c>
      <c r="AD78" s="597"/>
      <c r="AE78" s="597"/>
      <c r="AF78" s="597"/>
      <c r="AG78" s="597"/>
      <c r="AH78" s="597"/>
      <c r="AI78" s="598"/>
      <c r="AJ78" s="597"/>
      <c r="AK78" s="597"/>
      <c r="AL78" s="597"/>
      <c r="AM78" s="597"/>
      <c r="AN78" s="547"/>
      <c r="AO78" s="829" t="str">
        <f t="shared" si="11"/>
        <v>Yes</v>
      </c>
      <c r="AP78" s="259" t="str">
        <f t="shared" si="12"/>
        <v>DEC 18</v>
      </c>
      <c r="AQ78" s="547" t="str">
        <f t="shared" si="13"/>
        <v>有定金+有預留客戶</v>
      </c>
      <c r="AR78" s="259" t="str">
        <f t="shared" si="14"/>
        <v>Shipped_Stock</v>
      </c>
      <c r="AS78" s="259" t="str">
        <f t="shared" si="15"/>
        <v/>
      </c>
      <c r="AT78" s="259" t="str">
        <f t="shared" si="16"/>
        <v>朗特</v>
      </c>
      <c r="AU78" s="259" t="str">
        <f t="shared" si="17"/>
        <v>C49SZX20180137DZ</v>
      </c>
      <c r="AV78" s="259" t="str">
        <f t="shared" si="18"/>
        <v>Dec-05</v>
      </c>
    </row>
    <row r="79" spans="1:48" ht="15" hidden="1" customHeight="1">
      <c r="A79" s="564">
        <v>119</v>
      </c>
      <c r="B79" s="568" t="s">
        <v>280</v>
      </c>
      <c r="C79" s="565" t="s">
        <v>281</v>
      </c>
      <c r="D79" s="594">
        <v>109279</v>
      </c>
      <c r="E79" s="589" t="s">
        <v>423</v>
      </c>
      <c r="F79" s="568" t="s">
        <v>256</v>
      </c>
      <c r="G79" s="568" t="s">
        <v>24</v>
      </c>
      <c r="H79" s="568" t="s">
        <v>26</v>
      </c>
      <c r="I79" s="594" t="s">
        <v>427</v>
      </c>
      <c r="J79" s="594">
        <v>1</v>
      </c>
      <c r="K79" s="589" t="s">
        <v>425</v>
      </c>
      <c r="L79" s="595">
        <v>43439</v>
      </c>
      <c r="M79" s="592">
        <v>6.2199999999999998E-2</v>
      </c>
      <c r="N79" s="568" t="s">
        <v>289</v>
      </c>
      <c r="P79" s="571" t="str">
        <f>VLOOKUP(A79,'[1]Raw data'!$B:$BB,23,FALSE)</f>
        <v>JPY</v>
      </c>
      <c r="Q79" s="568" t="str">
        <f>VLOOKUP(A79,'[1]Raw data'!$B:$Z,2,FALSE)</f>
        <v>C49SZX20180131DZ</v>
      </c>
      <c r="R79" s="568" t="str">
        <f>VLOOKUP(A79,'[1]Raw data'!$B:$Z,3,FALSE)</f>
        <v>朗特</v>
      </c>
      <c r="S79" s="568" t="str">
        <f>VLOOKUP(A79,'[1]Raw data'!$B:$Z,4,FALSE)</f>
        <v>YSM20R(SV)-2</v>
      </c>
      <c r="T79" s="568" t="str">
        <f>VLOOKUP(A79,'[1]Raw data'!$B:$Z,8,FALSE)</f>
        <v>R-&gt;L</v>
      </c>
      <c r="U79" s="568" t="str">
        <f>VLOOKUP(A79,'[1]Raw data'!$B:$Z,9,FALSE)</f>
        <v>No</v>
      </c>
      <c r="V79" s="572" t="str">
        <f t="shared" si="10"/>
        <v>WRONG</v>
      </c>
      <c r="W79" s="568" t="str">
        <f>VLOOKUP(A79,'[1]Raw data'!$B:$AG,32,FALSE)</f>
        <v>CIF</v>
      </c>
      <c r="X79" s="568">
        <f>VLOOKUP(A79,'[1]Raw data'!$B:$BA,31,FALSE)</f>
        <v>43325</v>
      </c>
      <c r="Y79" s="568" t="str">
        <f>VLOOKUP(A79,'[1]Raw data'!$B:$AS,39,FALSE)</f>
        <v>Yes</v>
      </c>
      <c r="Z79" s="574" t="s">
        <v>290</v>
      </c>
      <c r="AA79" s="574" t="s">
        <v>290</v>
      </c>
      <c r="AB79" s="596"/>
      <c r="AC79" s="568" t="s">
        <v>291</v>
      </c>
      <c r="AD79" s="597"/>
      <c r="AE79" s="597"/>
      <c r="AF79" s="597"/>
      <c r="AG79" s="597"/>
      <c r="AH79" s="597"/>
      <c r="AI79" s="598"/>
      <c r="AJ79" s="597"/>
      <c r="AK79" s="597"/>
      <c r="AL79" s="597"/>
      <c r="AM79" s="597"/>
      <c r="AN79" s="547"/>
      <c r="AO79" s="829" t="str">
        <f t="shared" si="11"/>
        <v>Yes</v>
      </c>
      <c r="AP79" s="259" t="str">
        <f t="shared" si="12"/>
        <v>DEC 18</v>
      </c>
      <c r="AQ79" s="547" t="str">
        <f t="shared" si="13"/>
        <v>有定金+有預留客戶</v>
      </c>
      <c r="AR79" s="259" t="str">
        <f t="shared" si="14"/>
        <v>Shipped_Stock</v>
      </c>
      <c r="AS79" s="259" t="str">
        <f t="shared" si="15"/>
        <v/>
      </c>
      <c r="AT79" s="259" t="str">
        <f t="shared" si="16"/>
        <v>朗特</v>
      </c>
      <c r="AU79" s="259" t="str">
        <f t="shared" si="17"/>
        <v>C49SZX20180131DZ</v>
      </c>
      <c r="AV79" s="259" t="str">
        <f t="shared" si="18"/>
        <v>Dec-05</v>
      </c>
    </row>
    <row r="80" spans="1:48" ht="15" hidden="1" customHeight="1">
      <c r="A80" s="564">
        <v>182</v>
      </c>
      <c r="B80" s="568" t="s">
        <v>280</v>
      </c>
      <c r="C80" s="565" t="s">
        <v>281</v>
      </c>
      <c r="D80" s="594">
        <v>109279</v>
      </c>
      <c r="E80" s="589" t="s">
        <v>423</v>
      </c>
      <c r="F80" s="568" t="s">
        <v>256</v>
      </c>
      <c r="G80" s="568" t="s">
        <v>24</v>
      </c>
      <c r="H80" s="568" t="s">
        <v>26</v>
      </c>
      <c r="I80" s="594" t="s">
        <v>428</v>
      </c>
      <c r="J80" s="594">
        <v>1</v>
      </c>
      <c r="K80" s="589" t="s">
        <v>425</v>
      </c>
      <c r="L80" s="595">
        <v>43439</v>
      </c>
      <c r="M80" s="592">
        <v>6.2199999999999998E-2</v>
      </c>
      <c r="N80" s="568" t="s">
        <v>289</v>
      </c>
      <c r="P80" s="571" t="str">
        <f>VLOOKUP(A80,'[1]Raw data'!$B:$BB,23,FALSE)</f>
        <v>JPY</v>
      </c>
      <c r="Q80" s="568" t="str">
        <f>VLOOKUP(A80,'[1]Raw data'!$B:$Z,2,FALSE)</f>
        <v>C49SZX20180173ZX</v>
      </c>
      <c r="R80" s="568" t="str">
        <f>VLOOKUP(A80,'[1]Raw data'!$B:$Z,3,FALSE)</f>
        <v>网娱视通</v>
      </c>
      <c r="S80" s="568" t="str">
        <f>VLOOKUP(A80,'[1]Raw data'!$B:$Z,4,FALSE)</f>
        <v>YSM20R(SV)-2</v>
      </c>
      <c r="T80" s="568" t="str">
        <f>VLOOKUP(A80,'[1]Raw data'!$B:$Z,8,FALSE)</f>
        <v>L-&gt;R</v>
      </c>
      <c r="U80" s="568" t="str">
        <f>VLOOKUP(A80,'[1]Raw data'!$B:$Z,9,FALSE)</f>
        <v>No</v>
      </c>
      <c r="V80" s="572" t="str">
        <f t="shared" si="10"/>
        <v>OK</v>
      </c>
      <c r="W80" s="568" t="str">
        <f>VLOOKUP(A80,'[1]Raw data'!$B:$AG,32,FALSE)</f>
        <v>DAP深圳</v>
      </c>
      <c r="X80" s="568">
        <f>VLOOKUP(A80,'[1]Raw data'!$B:$BA,31,FALSE)</f>
        <v>43425</v>
      </c>
      <c r="Y80" s="568" t="str">
        <f>VLOOKUP(A80,'[1]Raw data'!$B:$AS,39,FALSE)</f>
        <v>Yes</v>
      </c>
      <c r="Z80" s="574" t="s">
        <v>290</v>
      </c>
      <c r="AA80" s="574" t="s">
        <v>290</v>
      </c>
      <c r="AB80" s="596"/>
      <c r="AC80" s="568" t="s">
        <v>291</v>
      </c>
      <c r="AD80" s="597"/>
      <c r="AE80" s="597"/>
      <c r="AF80" s="597"/>
      <c r="AG80" s="597"/>
      <c r="AH80" s="597"/>
      <c r="AI80" s="598"/>
      <c r="AJ80" s="597"/>
      <c r="AK80" s="597"/>
      <c r="AL80" s="597"/>
      <c r="AM80" s="597"/>
      <c r="AN80" s="547"/>
      <c r="AO80" s="829" t="str">
        <f t="shared" si="11"/>
        <v>Yes</v>
      </c>
      <c r="AP80" s="259" t="str">
        <f t="shared" si="12"/>
        <v>DEC 18</v>
      </c>
      <c r="AQ80" s="547" t="str">
        <f t="shared" si="13"/>
        <v>有定金+有預留客戶</v>
      </c>
      <c r="AR80" s="259" t="str">
        <f t="shared" si="14"/>
        <v>Shipped_Stock</v>
      </c>
      <c r="AS80" s="259" t="str">
        <f t="shared" si="15"/>
        <v/>
      </c>
      <c r="AT80" s="259" t="str">
        <f t="shared" si="16"/>
        <v>网娱视通</v>
      </c>
      <c r="AU80" s="259" t="str">
        <f t="shared" si="17"/>
        <v>C49SZX20180173ZX</v>
      </c>
      <c r="AV80" s="259" t="str">
        <f t="shared" si="18"/>
        <v>Dec-05</v>
      </c>
    </row>
    <row r="81" spans="1:69" ht="15" hidden="1" customHeight="1">
      <c r="A81" s="564">
        <v>209</v>
      </c>
      <c r="B81" s="568" t="s">
        <v>280</v>
      </c>
      <c r="C81" s="565" t="s">
        <v>281</v>
      </c>
      <c r="D81" s="569">
        <v>109388</v>
      </c>
      <c r="E81" s="568" t="s">
        <v>353</v>
      </c>
      <c r="F81" s="568" t="s">
        <v>256</v>
      </c>
      <c r="G81" s="568" t="s">
        <v>24</v>
      </c>
      <c r="H81" s="568" t="s">
        <v>26</v>
      </c>
      <c r="I81" s="569" t="s">
        <v>429</v>
      </c>
      <c r="J81" s="569">
        <v>1</v>
      </c>
      <c r="K81" s="568" t="s">
        <v>295</v>
      </c>
      <c r="L81" s="570">
        <v>43439</v>
      </c>
      <c r="M81" s="571">
        <v>6.25E-2</v>
      </c>
      <c r="N81" s="568" t="s">
        <v>363</v>
      </c>
      <c r="P81" s="571" t="str">
        <f>VLOOKUP(A81,'[1]Raw data'!$B:$BB,23,FALSE)</f>
        <v>RMB</v>
      </c>
      <c r="Q81" s="568" t="str">
        <f>VLOOKUP(A81,'[1]Raw data'!$B:$Z,2,FALSE)</f>
        <v>C49SZX20190006ZX</v>
      </c>
      <c r="R81" s="568" t="str">
        <f>VLOOKUP(A81,'[1]Raw data'!$B:$Z,3,FALSE)</f>
        <v>KeChengDa科诚达</v>
      </c>
      <c r="S81" s="568" t="str">
        <f>VLOOKUP(A81,'[1]Raw data'!$B:$Z,4,FALSE)</f>
        <v>YSM20R(SV)-2</v>
      </c>
      <c r="T81" s="568" t="str">
        <f>VLOOKUP(A81,'[1]Raw data'!$B:$Z,8,FALSE)</f>
        <v>L-&gt;R</v>
      </c>
      <c r="U81" s="568" t="str">
        <f>VLOOKUP(A81,'[1]Raw data'!$B:$Z,9,FALSE)</f>
        <v>No</v>
      </c>
      <c r="V81" s="572" t="str">
        <f t="shared" si="10"/>
        <v>OK</v>
      </c>
      <c r="W81" s="568" t="str">
        <f>VLOOKUP(A81,'[1]Raw data'!$B:$AG,32,FALSE)</f>
        <v>含税到厂</v>
      </c>
      <c r="X81" s="568">
        <f>VLOOKUP(A81,'[1]Raw data'!$B:$BA,31,FALSE)</f>
        <v>43474</v>
      </c>
      <c r="Y81" s="568" t="str">
        <f>VLOOKUP(A81,'[1]Raw data'!$B:$AS,39,FALSE)</f>
        <v>Yes</v>
      </c>
      <c r="Z81" s="573" t="s">
        <v>290</v>
      </c>
      <c r="AA81" s="574" t="s">
        <v>290</v>
      </c>
      <c r="AB81" s="575" t="s">
        <v>389</v>
      </c>
      <c r="AC81" s="568" t="s">
        <v>291</v>
      </c>
      <c r="AN81" s="547"/>
      <c r="AO81" s="829" t="str">
        <f t="shared" si="11"/>
        <v>Yes</v>
      </c>
      <c r="AP81" s="259" t="str">
        <f t="shared" si="12"/>
        <v>FEB 19</v>
      </c>
      <c r="AQ81" s="547" t="str">
        <f t="shared" si="13"/>
        <v>有定金+有預留客戶</v>
      </c>
      <c r="AR81" s="259" t="str">
        <f t="shared" si="14"/>
        <v>Shipped_Stock</v>
      </c>
      <c r="AS81" s="259" t="str">
        <f t="shared" si="15"/>
        <v/>
      </c>
      <c r="AT81" s="259" t="str">
        <f t="shared" si="16"/>
        <v>KeChengDa科诚达</v>
      </c>
      <c r="AU81" s="259" t="str">
        <f t="shared" si="17"/>
        <v>C49SZX20190006ZX</v>
      </c>
      <c r="AV81" s="259" t="str">
        <f t="shared" si="18"/>
        <v>Dec-05</v>
      </c>
    </row>
    <row r="82" spans="1:69" ht="15" hidden="1" customHeight="1">
      <c r="A82" s="564">
        <v>210</v>
      </c>
      <c r="B82" s="568" t="s">
        <v>280</v>
      </c>
      <c r="C82" s="565" t="s">
        <v>281</v>
      </c>
      <c r="D82" s="569">
        <v>109388</v>
      </c>
      <c r="E82" s="568" t="s">
        <v>353</v>
      </c>
      <c r="F82" s="568" t="s">
        <v>256</v>
      </c>
      <c r="G82" s="568" t="s">
        <v>24</v>
      </c>
      <c r="H82" s="568" t="s">
        <v>26</v>
      </c>
      <c r="I82" s="569" t="s">
        <v>430</v>
      </c>
      <c r="J82" s="569">
        <v>1</v>
      </c>
      <c r="K82" s="568" t="s">
        <v>295</v>
      </c>
      <c r="L82" s="570">
        <v>43439</v>
      </c>
      <c r="M82" s="571">
        <v>6.25E-2</v>
      </c>
      <c r="N82" s="568" t="s">
        <v>363</v>
      </c>
      <c r="P82" s="571" t="str">
        <f>VLOOKUP(A82,'[1]Raw data'!$B:$BB,23,FALSE)</f>
        <v>RMB</v>
      </c>
      <c r="Q82" s="568" t="str">
        <f>VLOOKUP(A82,'[1]Raw data'!$B:$Z,2,FALSE)</f>
        <v>C49SZX20190006ZX</v>
      </c>
      <c r="R82" s="568" t="str">
        <f>VLOOKUP(A82,'[1]Raw data'!$B:$Z,3,FALSE)</f>
        <v>KeChengDa科诚达</v>
      </c>
      <c r="S82" s="568" t="str">
        <f>VLOOKUP(A82,'[1]Raw data'!$B:$Z,4,FALSE)</f>
        <v>YSM20R(SV)-2</v>
      </c>
      <c r="T82" s="568" t="str">
        <f>VLOOKUP(A82,'[1]Raw data'!$B:$Z,8,FALSE)</f>
        <v>L-&gt;R</v>
      </c>
      <c r="U82" s="568" t="str">
        <f>VLOOKUP(A82,'[1]Raw data'!$B:$Z,9,FALSE)</f>
        <v>No</v>
      </c>
      <c r="V82" s="572" t="str">
        <f t="shared" si="10"/>
        <v>OK</v>
      </c>
      <c r="W82" s="568" t="str">
        <f>VLOOKUP(A82,'[1]Raw data'!$B:$AG,32,FALSE)</f>
        <v>含税到厂</v>
      </c>
      <c r="X82" s="568">
        <f>VLOOKUP(A82,'[1]Raw data'!$B:$BA,31,FALSE)</f>
        <v>43474</v>
      </c>
      <c r="Y82" s="568" t="str">
        <f>VLOOKUP(A82,'[1]Raw data'!$B:$AS,39,FALSE)</f>
        <v>Yes</v>
      </c>
      <c r="Z82" s="573" t="s">
        <v>290</v>
      </c>
      <c r="AA82" s="574" t="s">
        <v>290</v>
      </c>
      <c r="AB82" s="575" t="s">
        <v>389</v>
      </c>
      <c r="AC82" s="568" t="s">
        <v>291</v>
      </c>
      <c r="AN82" s="547"/>
      <c r="AO82" s="829" t="str">
        <f t="shared" si="11"/>
        <v>Yes</v>
      </c>
      <c r="AP82" s="259" t="str">
        <f t="shared" si="12"/>
        <v>FEB 19</v>
      </c>
      <c r="AQ82" s="547" t="str">
        <f t="shared" si="13"/>
        <v>有定金+有預留客戶</v>
      </c>
      <c r="AR82" s="259" t="str">
        <f t="shared" si="14"/>
        <v>Shipped_Stock</v>
      </c>
      <c r="AS82" s="259" t="str">
        <f t="shared" si="15"/>
        <v/>
      </c>
      <c r="AT82" s="259" t="str">
        <f t="shared" si="16"/>
        <v>KeChengDa科诚达</v>
      </c>
      <c r="AU82" s="259" t="str">
        <f t="shared" si="17"/>
        <v>C49SZX20190006ZX</v>
      </c>
      <c r="AV82" s="259" t="str">
        <f t="shared" si="18"/>
        <v>Dec-05</v>
      </c>
    </row>
    <row r="83" spans="1:69" ht="15.75" hidden="1" customHeight="1">
      <c r="A83" s="564">
        <v>320</v>
      </c>
      <c r="B83" s="568" t="s">
        <v>280</v>
      </c>
      <c r="C83" s="565" t="s">
        <v>281</v>
      </c>
      <c r="D83" s="569">
        <v>109454</v>
      </c>
      <c r="E83" s="568" t="s">
        <v>236</v>
      </c>
      <c r="F83" s="568" t="s">
        <v>17</v>
      </c>
      <c r="G83" s="568" t="s">
        <v>24</v>
      </c>
      <c r="H83" s="568" t="s">
        <v>26</v>
      </c>
      <c r="I83" s="569" t="s">
        <v>431</v>
      </c>
      <c r="J83" s="569">
        <v>1</v>
      </c>
      <c r="K83" s="568" t="s">
        <v>285</v>
      </c>
      <c r="L83" s="570">
        <v>43442</v>
      </c>
      <c r="M83" s="571">
        <v>6.2199999999999998E-2</v>
      </c>
      <c r="N83" s="568" t="s">
        <v>404</v>
      </c>
      <c r="O83" s="568"/>
      <c r="P83" s="571" t="str">
        <f>VLOOKUP(A83,'[1]Raw data'!$B:$BB,23,FALSE)</f>
        <v>RMB</v>
      </c>
      <c r="Q83" s="568" t="str">
        <f>VLOOKUP(A83,'[1]Raw data'!$B:$Z,2,FALSE)</f>
        <v>C49SZX20190077SX</v>
      </c>
      <c r="R83" s="568" t="str">
        <f>VLOOKUP(A83,'[1]Raw data'!$B:$Z,3,FALSE)</f>
        <v>An Lin东莞安林</v>
      </c>
      <c r="S83" s="568" t="str">
        <f>VLOOKUP(A83,'[1]Raw data'!$B:$Z,4,FALSE)</f>
        <v>YSM10</v>
      </c>
      <c r="T83" s="568" t="str">
        <f>VLOOKUP(A83,'[1]Raw data'!$B:$Z,8,FALSE)</f>
        <v>R-&gt;L</v>
      </c>
      <c r="U83" s="568" t="str">
        <f>VLOOKUP(A83,'[1]Raw data'!$B:$Z,9,FALSE)</f>
        <v>MVC</v>
      </c>
      <c r="V83" s="572" t="str">
        <f t="shared" si="10"/>
        <v>WRONG</v>
      </c>
      <c r="W83" s="568" t="str">
        <f>VLOOKUP(A83,'[1]Raw data'!$B:$AG,32,FALSE)</f>
        <v>含税到厂</v>
      </c>
      <c r="X83" s="568">
        <f>VLOOKUP(A83,'[1]Raw data'!$B:$BA,31,FALSE)</f>
        <v>43607</v>
      </c>
      <c r="Y83" s="568" t="str">
        <f>VLOOKUP(A83,'[1]Raw data'!$B:$AS,39,FALSE)</f>
        <v>Yes</v>
      </c>
      <c r="Z83" s="573" t="s">
        <v>329</v>
      </c>
      <c r="AA83" s="574" t="s">
        <v>329</v>
      </c>
      <c r="AB83" s="575"/>
      <c r="AC83" s="568" t="s">
        <v>432</v>
      </c>
      <c r="AN83" s="547"/>
      <c r="AO83" s="829" t="str">
        <f t="shared" si="11"/>
        <v>Yes</v>
      </c>
      <c r="AP83" s="259" t="str">
        <f t="shared" si="12"/>
        <v>JUN 19</v>
      </c>
      <c r="AQ83" s="547" t="str">
        <f t="shared" si="13"/>
        <v>有定金+有預留客戶</v>
      </c>
      <c r="AR83" s="259" t="str">
        <f t="shared" si="14"/>
        <v>Shipped_Stock</v>
      </c>
      <c r="AS83" s="259" t="str">
        <f t="shared" si="15"/>
        <v/>
      </c>
      <c r="AT83" s="259" t="str">
        <f t="shared" si="16"/>
        <v>An Lin东莞安林</v>
      </c>
      <c r="AU83" s="259" t="str">
        <f t="shared" si="17"/>
        <v>C49SZX20190077SX</v>
      </c>
      <c r="AV83" s="259" t="str">
        <f t="shared" si="18"/>
        <v>Dec-08</v>
      </c>
    </row>
    <row r="84" spans="1:69" ht="15" hidden="1" customHeight="1">
      <c r="A84" s="564">
        <v>314</v>
      </c>
      <c r="B84" s="568" t="s">
        <v>280</v>
      </c>
      <c r="C84" s="565" t="s">
        <v>281</v>
      </c>
      <c r="D84" s="569">
        <v>109454</v>
      </c>
      <c r="E84" s="568" t="s">
        <v>236</v>
      </c>
      <c r="F84" s="568" t="s">
        <v>17</v>
      </c>
      <c r="G84" s="568" t="s">
        <v>24</v>
      </c>
      <c r="H84" s="568" t="s">
        <v>433</v>
      </c>
      <c r="I84" s="569" t="s">
        <v>434</v>
      </c>
      <c r="J84" s="569">
        <v>1</v>
      </c>
      <c r="K84" s="568" t="s">
        <v>295</v>
      </c>
      <c r="L84" s="570">
        <v>43442</v>
      </c>
      <c r="M84" s="571">
        <v>6.2199999999999998E-2</v>
      </c>
      <c r="N84" s="568" t="s">
        <v>404</v>
      </c>
      <c r="O84" s="568"/>
      <c r="P84" s="571" t="str">
        <f>VLOOKUP(A84,'[1]Raw data'!$B:$BB,23,FALSE)</f>
        <v>RMB</v>
      </c>
      <c r="Q84" s="568" t="str">
        <f>VLOOKUP(A84,'[1]Raw data'!$B:$Z,2,FALSE)</f>
        <v>C49SZX20190066MZ</v>
      </c>
      <c r="R84" s="568" t="str">
        <f>VLOOKUP(A84,'[1]Raw data'!$B:$Z,3,FALSE)</f>
        <v>派诺</v>
      </c>
      <c r="S84" s="568" t="str">
        <f>VLOOKUP(A84,'[1]Raw data'!$B:$Z,4,FALSE)</f>
        <v>YSM10</v>
      </c>
      <c r="T84" s="568" t="str">
        <f>VLOOKUP(A84,'[1]Raw data'!$B:$Z,8,FALSE)</f>
        <v>R-&gt;L</v>
      </c>
      <c r="U84" s="568" t="str">
        <f>VLOOKUP(A84,'[1]Raw data'!$B:$Z,9,FALSE)</f>
        <v>Rear站位</v>
      </c>
      <c r="V84" s="572" t="str">
        <f t="shared" si="10"/>
        <v>WRONG</v>
      </c>
      <c r="W84" s="568" t="str">
        <f>VLOOKUP(A84,'[1]Raw data'!$B:$AG,32,FALSE)</f>
        <v>含税到厂</v>
      </c>
      <c r="X84" s="568">
        <f>VLOOKUP(A84,'[1]Raw data'!$B:$BA,31,FALSE)</f>
        <v>43600</v>
      </c>
      <c r="Y84" s="568" t="str">
        <f>VLOOKUP(A84,'[1]Raw data'!$B:$AS,39,FALSE)</f>
        <v>Yes</v>
      </c>
      <c r="Z84" s="573"/>
      <c r="AA84" s="574"/>
      <c r="AB84" s="575"/>
      <c r="AC84" s="568" t="s">
        <v>435</v>
      </c>
      <c r="AN84" s="547"/>
      <c r="AO84" s="829" t="str">
        <f t="shared" si="11"/>
        <v>Yes</v>
      </c>
      <c r="AP84" s="259" t="str">
        <f t="shared" si="12"/>
        <v>JUN 19</v>
      </c>
      <c r="AQ84" s="547" t="str">
        <f t="shared" si="13"/>
        <v>有定金+有預留客戶</v>
      </c>
      <c r="AR84" s="259" t="str">
        <f t="shared" si="14"/>
        <v>Shipped_Stock</v>
      </c>
      <c r="AS84" s="259" t="str">
        <f t="shared" si="15"/>
        <v/>
      </c>
      <c r="AT84" s="259" t="str">
        <f t="shared" si="16"/>
        <v>派诺</v>
      </c>
      <c r="AU84" s="259" t="str">
        <f t="shared" si="17"/>
        <v>C49SZX20190066MZ</v>
      </c>
      <c r="AV84" s="259" t="str">
        <f t="shared" si="18"/>
        <v>Dec-08</v>
      </c>
    </row>
    <row r="85" spans="1:69" ht="15" hidden="1" customHeight="1">
      <c r="A85" s="564">
        <v>236</v>
      </c>
      <c r="B85" s="568" t="s">
        <v>280</v>
      </c>
      <c r="C85" s="565" t="s">
        <v>281</v>
      </c>
      <c r="D85" s="569">
        <v>109454</v>
      </c>
      <c r="E85" s="568" t="s">
        <v>236</v>
      </c>
      <c r="F85" s="568" t="s">
        <v>17</v>
      </c>
      <c r="G85" s="568" t="s">
        <v>24</v>
      </c>
      <c r="H85" s="568" t="s">
        <v>34</v>
      </c>
      <c r="I85" s="569" t="s">
        <v>436</v>
      </c>
      <c r="J85" s="569">
        <v>1</v>
      </c>
      <c r="K85" s="568" t="s">
        <v>437</v>
      </c>
      <c r="L85" s="570">
        <v>43442</v>
      </c>
      <c r="M85" s="571">
        <v>6.2199999999999998E-2</v>
      </c>
      <c r="N85" s="568" t="s">
        <v>334</v>
      </c>
      <c r="O85" s="568"/>
      <c r="P85" s="571" t="str">
        <f>VLOOKUP(A85,'[1]Raw data'!$B:$BB,23,FALSE)</f>
        <v>JPY</v>
      </c>
      <c r="Q85" s="568" t="str">
        <f>VLOOKUP(A85,'[1]Raw data'!$B:$Z,2,FALSE)</f>
        <v>C49SZX20190019SX</v>
      </c>
      <c r="R85" s="568" t="str">
        <f>VLOOKUP(A85,'[1]Raw data'!$B:$Z,3,FALSE)</f>
        <v>永顺创</v>
      </c>
      <c r="S85" s="568" t="str">
        <f>VLOOKUP(A85,'[1]Raw data'!$B:$Z,4,FALSE)</f>
        <v>YSM10</v>
      </c>
      <c r="T85" s="568" t="str">
        <f>VLOOKUP(A85,'[1]Raw data'!$B:$Z,8,FALSE)</f>
        <v>L-&gt;R</v>
      </c>
      <c r="U85" s="568" t="str">
        <f>VLOOKUP(A85,'[1]Raw data'!$B:$Z,9,FALSE)</f>
        <v>MVC+ATS15</v>
      </c>
      <c r="V85" s="572" t="str">
        <f t="shared" si="10"/>
        <v>OK</v>
      </c>
      <c r="W85" s="568" t="str">
        <f>VLOOKUP(A85,'[1]Raw data'!$B:$AG,32,FALSE)</f>
        <v>DAP 深圳</v>
      </c>
      <c r="X85" s="568">
        <f>VLOOKUP(A85,'[1]Raw data'!$B:$BA,31,FALSE)</f>
        <v>43517</v>
      </c>
      <c r="Y85" s="568" t="str">
        <f>VLOOKUP(A85,'[1]Raw data'!$B:$AS,39,FALSE)</f>
        <v>Yes</v>
      </c>
      <c r="Z85" s="573" t="s">
        <v>290</v>
      </c>
      <c r="AA85" s="574" t="s">
        <v>290</v>
      </c>
      <c r="AB85" s="575"/>
      <c r="AC85" s="568" t="s">
        <v>291</v>
      </c>
      <c r="AN85" s="593"/>
      <c r="AO85" s="829" t="str">
        <f t="shared" si="11"/>
        <v>Yes</v>
      </c>
      <c r="AP85" s="259" t="str">
        <f t="shared" si="12"/>
        <v>MAR 19</v>
      </c>
      <c r="AQ85" s="547" t="str">
        <f t="shared" si="13"/>
        <v>有定金+有預留客戶</v>
      </c>
      <c r="AR85" s="259" t="str">
        <f t="shared" si="14"/>
        <v>Shipped_Stock</v>
      </c>
      <c r="AS85" s="259" t="str">
        <f t="shared" si="15"/>
        <v/>
      </c>
      <c r="AT85" s="259" t="str">
        <f t="shared" si="16"/>
        <v>永顺创</v>
      </c>
      <c r="AU85" s="259" t="str">
        <f t="shared" si="17"/>
        <v>C49SZX20190019SX</v>
      </c>
      <c r="AV85" s="259" t="str">
        <f t="shared" si="18"/>
        <v>Dec-08</v>
      </c>
    </row>
    <row r="86" spans="1:69" ht="15" hidden="1" customHeight="1">
      <c r="A86" s="564">
        <v>202</v>
      </c>
      <c r="B86" s="568" t="s">
        <v>280</v>
      </c>
      <c r="C86" s="565" t="s">
        <v>281</v>
      </c>
      <c r="D86" s="569">
        <v>109454</v>
      </c>
      <c r="E86" s="568" t="s">
        <v>236</v>
      </c>
      <c r="F86" s="568" t="s">
        <v>241</v>
      </c>
      <c r="G86" s="568" t="s">
        <v>24</v>
      </c>
      <c r="H86" s="568" t="s">
        <v>34</v>
      </c>
      <c r="I86" s="569" t="s">
        <v>438</v>
      </c>
      <c r="J86" s="569">
        <v>1</v>
      </c>
      <c r="K86" s="568" t="s">
        <v>437</v>
      </c>
      <c r="L86" s="570">
        <v>43442</v>
      </c>
      <c r="M86" s="571">
        <v>6.2199999999999998E-2</v>
      </c>
      <c r="N86" s="568" t="s">
        <v>404</v>
      </c>
      <c r="O86" s="568"/>
      <c r="P86" s="571" t="str">
        <f>VLOOKUP(A86,'[1]Raw data'!$B:$BB,23,FALSE)</f>
        <v>JPY</v>
      </c>
      <c r="Q86" s="568" t="str">
        <f>VLOOKUP(A86,'[1]Raw data'!$B:$Z,2,FALSE)</f>
        <v>C49SZX20190001JY</v>
      </c>
      <c r="R86" s="568" t="str">
        <f>VLOOKUP(A86,'[1]Raw data'!$B:$Z,3,FALSE)</f>
        <v>Kingtron络鑫</v>
      </c>
      <c r="S86" s="568" t="str">
        <f>VLOOKUP(A86,'[1]Raw data'!$B:$Z,4,FALSE)</f>
        <v>YSM10</v>
      </c>
      <c r="T86" s="568" t="str">
        <f>VLOOKUP(A86,'[1]Raw data'!$B:$Z,8,FALSE)</f>
        <v>L-&gt;R</v>
      </c>
      <c r="U86" s="568" t="str">
        <f>VLOOKUP(A86,'[1]Raw data'!$B:$Z,9,FALSE)</f>
        <v>MVC+ATS15</v>
      </c>
      <c r="V86" s="572" t="str">
        <f t="shared" si="10"/>
        <v>OK</v>
      </c>
      <c r="W86" s="568" t="str">
        <f>VLOOKUP(A86,'[1]Raw data'!$B:$AG,32,FALSE)</f>
        <v>CIF HK</v>
      </c>
      <c r="X86" s="568">
        <f>VLOOKUP(A86,'[1]Raw data'!$B:$BA,31,FALSE)</f>
        <v>43473</v>
      </c>
      <c r="Y86" s="568" t="str">
        <f>VLOOKUP(A86,'[1]Raw data'!$B:$AS,39,FALSE)</f>
        <v>Yes</v>
      </c>
      <c r="Z86" s="573" t="s">
        <v>290</v>
      </c>
      <c r="AA86" s="574" t="s">
        <v>290</v>
      </c>
      <c r="AB86" s="575"/>
      <c r="AC86" s="568" t="s">
        <v>439</v>
      </c>
      <c r="AN86" s="593"/>
      <c r="AO86" s="829" t="str">
        <f t="shared" si="11"/>
        <v>Yes</v>
      </c>
      <c r="AP86" s="259" t="str">
        <f t="shared" si="12"/>
        <v>JUN 19</v>
      </c>
      <c r="AQ86" s="547" t="str">
        <f t="shared" si="13"/>
        <v>有定金+有預留客戶</v>
      </c>
      <c r="AR86" s="259" t="str">
        <f t="shared" si="14"/>
        <v>Shipped_Stock</v>
      </c>
      <c r="AS86" s="259" t="str">
        <f t="shared" si="15"/>
        <v/>
      </c>
      <c r="AT86" s="259" t="str">
        <f t="shared" si="16"/>
        <v>Kingtron络鑫</v>
      </c>
      <c r="AU86" s="259" t="str">
        <f t="shared" si="17"/>
        <v>C49SZX20190001JY</v>
      </c>
      <c r="AV86" s="259" t="str">
        <f t="shared" si="18"/>
        <v>Dec-08</v>
      </c>
    </row>
    <row r="87" spans="1:69" ht="15" hidden="1" customHeight="1">
      <c r="A87" s="564">
        <v>327</v>
      </c>
      <c r="B87" s="568" t="s">
        <v>280</v>
      </c>
      <c r="C87" s="565" t="s">
        <v>281</v>
      </c>
      <c r="D87" s="569">
        <v>109454</v>
      </c>
      <c r="E87" s="568" t="s">
        <v>236</v>
      </c>
      <c r="F87" s="568" t="s">
        <v>17</v>
      </c>
      <c r="G87" s="568" t="s">
        <v>24</v>
      </c>
      <c r="H87" s="568" t="s">
        <v>34</v>
      </c>
      <c r="I87" s="569" t="s">
        <v>440</v>
      </c>
      <c r="J87" s="569">
        <v>1</v>
      </c>
      <c r="K87" s="568" t="s">
        <v>437</v>
      </c>
      <c r="L87" s="570">
        <v>43442</v>
      </c>
      <c r="M87" s="571">
        <v>6.2199999999999998E-2</v>
      </c>
      <c r="N87" s="568" t="s">
        <v>404</v>
      </c>
      <c r="O87" s="568"/>
      <c r="P87" s="571" t="str">
        <f>VLOOKUP(A87,'[1]Raw data'!$B:$BB,23,FALSE)</f>
        <v>JPY</v>
      </c>
      <c r="Q87" s="568" t="str">
        <f>VLOOKUP(A87,'[1]Raw data'!$B:$Z,2,FALSE)</f>
        <v>C49SZX20190075ZX</v>
      </c>
      <c r="R87" s="568" t="str">
        <f>VLOOKUP(A87,'[1]Raw data'!$B:$Z,3,FALSE)</f>
        <v>宽宏/End user:亿联</v>
      </c>
      <c r="S87" s="568" t="str">
        <f>VLOOKUP(A87,'[1]Raw data'!$B:$Z,4,FALSE)</f>
        <v>YSM10</v>
      </c>
      <c r="T87" s="568" t="str">
        <f>VLOOKUP(A87,'[1]Raw data'!$B:$Z,8,FALSE)</f>
        <v>L-&gt;R</v>
      </c>
      <c r="U87" s="568" t="str">
        <f>VLOOKUP(A87,'[1]Raw data'!$B:$Z,9,FALSE)</f>
        <v>MVC+ATS15</v>
      </c>
      <c r="V87" s="572" t="str">
        <f t="shared" si="10"/>
        <v>OK</v>
      </c>
      <c r="W87" s="568" t="str">
        <f>VLOOKUP(A87,'[1]Raw data'!$B:$AG,32,FALSE)</f>
        <v>CIF HK</v>
      </c>
      <c r="X87" s="568">
        <f>VLOOKUP(A87,'[1]Raw data'!$B:$BA,31,FALSE)</f>
        <v>43612</v>
      </c>
      <c r="Y87" s="568" t="str">
        <f>VLOOKUP(A87,'[1]Raw data'!$B:$AS,39,FALSE)</f>
        <v>Yes</v>
      </c>
      <c r="Z87" s="573" t="s">
        <v>290</v>
      </c>
      <c r="AA87" s="574" t="s">
        <v>290</v>
      </c>
      <c r="AB87" s="575"/>
      <c r="AC87" s="568" t="s">
        <v>441</v>
      </c>
      <c r="AN87" s="593"/>
      <c r="AO87" s="829" t="str">
        <f t="shared" si="11"/>
        <v>Yes</v>
      </c>
      <c r="AP87" s="259" t="str">
        <f t="shared" si="12"/>
        <v>JUN 19</v>
      </c>
      <c r="AQ87" s="547" t="str">
        <f t="shared" si="13"/>
        <v>有定金+有預留客戶</v>
      </c>
      <c r="AR87" s="259" t="str">
        <f t="shared" si="14"/>
        <v>Shipped_Stock</v>
      </c>
      <c r="AS87" s="259" t="str">
        <f t="shared" si="15"/>
        <v/>
      </c>
      <c r="AT87" s="259" t="str">
        <f t="shared" si="16"/>
        <v>宽宏/End user:亿联</v>
      </c>
      <c r="AU87" s="259" t="str">
        <f t="shared" si="17"/>
        <v>C49SZX20190075ZX</v>
      </c>
      <c r="AV87" s="259" t="str">
        <f t="shared" si="18"/>
        <v>Dec-08</v>
      </c>
    </row>
    <row r="88" spans="1:69" ht="15" hidden="1" customHeight="1">
      <c r="A88" s="564">
        <v>237</v>
      </c>
      <c r="B88" s="568" t="s">
        <v>280</v>
      </c>
      <c r="C88" s="565" t="s">
        <v>281</v>
      </c>
      <c r="D88" s="569">
        <v>109454</v>
      </c>
      <c r="E88" s="568" t="s">
        <v>236</v>
      </c>
      <c r="F88" s="568" t="s">
        <v>17</v>
      </c>
      <c r="G88" s="568" t="s">
        <v>24</v>
      </c>
      <c r="H88" s="568" t="s">
        <v>34</v>
      </c>
      <c r="I88" s="569" t="s">
        <v>442</v>
      </c>
      <c r="J88" s="569">
        <v>1</v>
      </c>
      <c r="K88" s="568" t="s">
        <v>437</v>
      </c>
      <c r="L88" s="570">
        <v>43442</v>
      </c>
      <c r="M88" s="571">
        <v>6.2199999999999998E-2</v>
      </c>
      <c r="N88" s="568" t="s">
        <v>404</v>
      </c>
      <c r="O88" s="568"/>
      <c r="P88" s="571" t="str">
        <f>VLOOKUP(A88,'[1]Raw data'!$B:$BB,23,FALSE)</f>
        <v>RMB</v>
      </c>
      <c r="Q88" s="568" t="str">
        <f>VLOOKUP(A88,'[1]Raw data'!$B:$Z,2,FALSE)</f>
        <v>C49SZX20190021JL</v>
      </c>
      <c r="R88" s="568" t="str">
        <f>VLOOKUP(A88,'[1]Raw data'!$B:$Z,3,FALSE)</f>
        <v>名佳</v>
      </c>
      <c r="S88" s="568" t="str">
        <f>VLOOKUP(A88,'[1]Raw data'!$B:$Z,4,FALSE)</f>
        <v>YSM10</v>
      </c>
      <c r="T88" s="568" t="str">
        <f>VLOOKUP(A88,'[1]Raw data'!$B:$Z,8,FALSE)</f>
        <v>R-&gt;L</v>
      </c>
      <c r="U88" s="568" t="str">
        <f>VLOOKUP(A88,'[1]Raw data'!$B:$Z,9,FALSE)</f>
        <v>MVC+ATS15</v>
      </c>
      <c r="V88" s="572" t="str">
        <f t="shared" si="10"/>
        <v>WRONG</v>
      </c>
      <c r="W88" s="568" t="str">
        <f>VLOOKUP(A88,'[1]Raw data'!$B:$AG,32,FALSE)</f>
        <v>含税到厂</v>
      </c>
      <c r="X88" s="568">
        <f>VLOOKUP(A88,'[1]Raw data'!$B:$BA,31,FALSE)</f>
        <v>43522</v>
      </c>
      <c r="Y88" s="568" t="str">
        <f>VLOOKUP(A88,'[1]Raw data'!$B:$AS,39,FALSE)</f>
        <v>Yes</v>
      </c>
      <c r="Z88" s="573" t="s">
        <v>290</v>
      </c>
      <c r="AA88" s="574" t="s">
        <v>290</v>
      </c>
      <c r="AB88" s="575"/>
      <c r="AC88" s="568" t="s">
        <v>443</v>
      </c>
      <c r="AN88" s="547"/>
      <c r="AO88" s="829" t="str">
        <f t="shared" si="11"/>
        <v>Yes</v>
      </c>
      <c r="AP88" s="259" t="str">
        <f t="shared" si="12"/>
        <v>JUN 19</v>
      </c>
      <c r="AQ88" s="547" t="str">
        <f t="shared" si="13"/>
        <v>有定金+有預留客戶</v>
      </c>
      <c r="AR88" s="259" t="str">
        <f t="shared" si="14"/>
        <v>Shipped_Stock</v>
      </c>
      <c r="AS88" s="259" t="str">
        <f t="shared" si="15"/>
        <v/>
      </c>
      <c r="AT88" s="259" t="str">
        <f t="shared" si="16"/>
        <v>名佳</v>
      </c>
      <c r="AU88" s="259" t="str">
        <f t="shared" si="17"/>
        <v>C49SZX20190021JL</v>
      </c>
      <c r="AV88" s="259" t="str">
        <f t="shared" si="18"/>
        <v>Dec-08</v>
      </c>
    </row>
    <row r="89" spans="1:69" s="842" customFormat="1" ht="15" hidden="1" customHeight="1">
      <c r="A89" s="564">
        <v>197</v>
      </c>
      <c r="B89" s="568" t="s">
        <v>280</v>
      </c>
      <c r="C89" s="565" t="s">
        <v>281</v>
      </c>
      <c r="D89" s="569">
        <v>109454</v>
      </c>
      <c r="E89" s="568" t="s">
        <v>236</v>
      </c>
      <c r="F89" s="568" t="s">
        <v>17</v>
      </c>
      <c r="G89" s="568" t="s">
        <v>24</v>
      </c>
      <c r="H89" s="568" t="s">
        <v>27</v>
      </c>
      <c r="I89" s="569" t="s">
        <v>444</v>
      </c>
      <c r="J89" s="569">
        <v>1</v>
      </c>
      <c r="K89" s="568" t="s">
        <v>437</v>
      </c>
      <c r="L89" s="570">
        <v>43442</v>
      </c>
      <c r="M89" s="571">
        <v>6.2199999999999998E-2</v>
      </c>
      <c r="N89" s="568" t="s">
        <v>334</v>
      </c>
      <c r="O89" s="568"/>
      <c r="P89" s="571" t="str">
        <f>VLOOKUP(A89,'[1]Raw data'!$B:$BB,23,FALSE)</f>
        <v>JPY</v>
      </c>
      <c r="Q89" s="568" t="str">
        <f>VLOOKUP(A89,'[1]Raw data'!$B:$Z,2,FALSE)</f>
        <v>C49SZX20180177JL</v>
      </c>
      <c r="R89" s="568" t="str">
        <f>VLOOKUP(A89,'[1]Raw data'!$B:$Z,3,FALSE)</f>
        <v>Tuopuai拓普艾</v>
      </c>
      <c r="S89" s="568" t="str">
        <f>VLOOKUP(A89,'[1]Raw data'!$B:$Z,4,FALSE)</f>
        <v>YSM10</v>
      </c>
      <c r="T89" s="568" t="str">
        <f>VLOOKUP(A89,'[1]Raw data'!$B:$Z,8,FALSE)</f>
        <v>L-&gt;R</v>
      </c>
      <c r="U89" s="568" t="str">
        <f>VLOOKUP(A89,'[1]Raw data'!$B:$Z,9,FALSE)</f>
        <v>MVC</v>
      </c>
      <c r="V89" s="572" t="str">
        <f t="shared" si="10"/>
        <v>OK</v>
      </c>
      <c r="W89" s="568" t="str">
        <f>VLOOKUP(A89,'[1]Raw data'!$B:$AG,32,FALSE)</f>
        <v>CIF</v>
      </c>
      <c r="X89" s="568">
        <f>VLOOKUP(A89,'[1]Raw data'!$B:$BA,31,FALSE)</f>
        <v>43203</v>
      </c>
      <c r="Y89" s="568" t="str">
        <f>VLOOKUP(A89,'[1]Raw data'!$B:$AS,39,FALSE)</f>
        <v>Yes</v>
      </c>
      <c r="Z89" s="573" t="s">
        <v>445</v>
      </c>
      <c r="AA89" s="574" t="s">
        <v>329</v>
      </c>
      <c r="AB89" s="575"/>
      <c r="AC89" s="568" t="s">
        <v>291</v>
      </c>
      <c r="AD89" s="576"/>
      <c r="AE89" s="576"/>
      <c r="AF89" s="576"/>
      <c r="AG89" s="576"/>
      <c r="AH89" s="576"/>
      <c r="AI89" s="577"/>
      <c r="AJ89" s="576"/>
      <c r="AK89" s="576"/>
      <c r="AL89" s="576"/>
      <c r="AM89" s="576"/>
      <c r="AN89" s="547"/>
      <c r="AO89" s="829" t="str">
        <f t="shared" si="11"/>
        <v>Yes</v>
      </c>
      <c r="AP89" s="259" t="str">
        <f t="shared" si="12"/>
        <v>MAR 19</v>
      </c>
      <c r="AQ89" s="547" t="str">
        <f t="shared" si="13"/>
        <v>有定金+有預留客戶</v>
      </c>
      <c r="AR89" s="259" t="str">
        <f t="shared" si="14"/>
        <v>Shipped_Stock</v>
      </c>
      <c r="AS89" s="259" t="str">
        <f t="shared" si="15"/>
        <v/>
      </c>
      <c r="AT89" s="259" t="str">
        <f t="shared" si="16"/>
        <v>Tuopuai拓普艾</v>
      </c>
      <c r="AU89" s="259" t="str">
        <f t="shared" si="17"/>
        <v>C49SZX20180177JL</v>
      </c>
      <c r="AV89" s="259" t="str">
        <f t="shared" si="18"/>
        <v>Dec-08</v>
      </c>
      <c r="AW89" s="259"/>
      <c r="AX89" s="259"/>
      <c r="AY89" s="259"/>
      <c r="AZ89" s="259"/>
      <c r="BA89" s="259"/>
      <c r="BB89" s="259"/>
      <c r="BC89" s="259"/>
      <c r="BD89" s="259"/>
      <c r="BE89" s="259"/>
      <c r="BF89" s="259"/>
      <c r="BG89" s="259"/>
      <c r="BH89" s="259"/>
      <c r="BI89" s="259"/>
      <c r="BJ89" s="259"/>
      <c r="BK89" s="259"/>
      <c r="BL89" s="259"/>
      <c r="BM89" s="259"/>
      <c r="BN89" s="259"/>
      <c r="BO89" s="259"/>
      <c r="BP89" s="259"/>
      <c r="BQ89" s="259"/>
    </row>
    <row r="90" spans="1:69" s="842" customFormat="1" ht="15" hidden="1" customHeight="1">
      <c r="A90" s="564">
        <v>199</v>
      </c>
      <c r="B90" s="568" t="s">
        <v>280</v>
      </c>
      <c r="C90" s="565" t="s">
        <v>281</v>
      </c>
      <c r="D90" s="569">
        <v>109454</v>
      </c>
      <c r="E90" s="568" t="s">
        <v>236</v>
      </c>
      <c r="F90" s="568" t="s">
        <v>17</v>
      </c>
      <c r="G90" s="568" t="s">
        <v>24</v>
      </c>
      <c r="H90" s="568" t="s">
        <v>27</v>
      </c>
      <c r="I90" s="569" t="s">
        <v>446</v>
      </c>
      <c r="J90" s="569">
        <v>1</v>
      </c>
      <c r="K90" s="568" t="s">
        <v>437</v>
      </c>
      <c r="L90" s="570">
        <v>43442</v>
      </c>
      <c r="M90" s="571">
        <v>6.2199999999999998E-2</v>
      </c>
      <c r="N90" s="568" t="s">
        <v>334</v>
      </c>
      <c r="O90" s="568"/>
      <c r="P90" s="571" t="str">
        <f>VLOOKUP(A90,'[1]Raw data'!$B:$BB,23,FALSE)</f>
        <v>JPY</v>
      </c>
      <c r="Q90" s="568" t="str">
        <f>VLOOKUP(A90,'[1]Raw data'!$B:$Z,2,FALSE)</f>
        <v>C49SZX20180177JL</v>
      </c>
      <c r="R90" s="568" t="str">
        <f>VLOOKUP(A90,'[1]Raw data'!$B:$Z,3,FALSE)</f>
        <v>Tuopuai拓普艾</v>
      </c>
      <c r="S90" s="568" t="str">
        <f>VLOOKUP(A90,'[1]Raw data'!$B:$Z,4,FALSE)</f>
        <v>YSM10</v>
      </c>
      <c r="T90" s="568" t="str">
        <f>VLOOKUP(A90,'[1]Raw data'!$B:$Z,8,FALSE)</f>
        <v>L-&gt;R</v>
      </c>
      <c r="U90" s="568" t="str">
        <f>VLOOKUP(A90,'[1]Raw data'!$B:$Z,9,FALSE)</f>
        <v>MVC</v>
      </c>
      <c r="V90" s="572" t="str">
        <f t="shared" si="10"/>
        <v>OK</v>
      </c>
      <c r="W90" s="568" t="str">
        <f>VLOOKUP(A90,'[1]Raw data'!$B:$AG,32,FALSE)</f>
        <v>CIF</v>
      </c>
      <c r="X90" s="568">
        <f>VLOOKUP(A90,'[1]Raw data'!$B:$BA,31,FALSE)</f>
        <v>43203</v>
      </c>
      <c r="Y90" s="568" t="str">
        <f>VLOOKUP(A90,'[1]Raw data'!$B:$AS,39,FALSE)</f>
        <v>Yes</v>
      </c>
      <c r="Z90" s="573" t="s">
        <v>329</v>
      </c>
      <c r="AA90" s="574" t="s">
        <v>329</v>
      </c>
      <c r="AB90" s="575"/>
      <c r="AC90" s="568" t="s">
        <v>291</v>
      </c>
      <c r="AD90" s="576"/>
      <c r="AE90" s="576"/>
      <c r="AF90" s="576"/>
      <c r="AG90" s="576"/>
      <c r="AH90" s="576"/>
      <c r="AI90" s="577"/>
      <c r="AJ90" s="576"/>
      <c r="AK90" s="576"/>
      <c r="AL90" s="576"/>
      <c r="AM90" s="576"/>
      <c r="AN90" s="547"/>
      <c r="AO90" s="829" t="str">
        <f t="shared" si="11"/>
        <v>Yes</v>
      </c>
      <c r="AP90" s="259" t="str">
        <f t="shared" si="12"/>
        <v>MAR 19</v>
      </c>
      <c r="AQ90" s="547" t="str">
        <f t="shared" si="13"/>
        <v>有定金+有預留客戶</v>
      </c>
      <c r="AR90" s="259" t="str">
        <f t="shared" si="14"/>
        <v>Shipped_Stock</v>
      </c>
      <c r="AS90" s="259" t="str">
        <f t="shared" si="15"/>
        <v/>
      </c>
      <c r="AT90" s="259" t="str">
        <f t="shared" si="16"/>
        <v>Tuopuai拓普艾</v>
      </c>
      <c r="AU90" s="259" t="str">
        <f t="shared" si="17"/>
        <v>C49SZX20180177JL</v>
      </c>
      <c r="AV90" s="259" t="str">
        <f t="shared" si="18"/>
        <v>Dec-08</v>
      </c>
      <c r="AW90" s="259"/>
      <c r="AX90" s="259"/>
      <c r="AY90" s="259"/>
      <c r="AZ90" s="259"/>
      <c r="BA90" s="259"/>
      <c r="BB90" s="259"/>
      <c r="BC90" s="259"/>
      <c r="BD90" s="259"/>
      <c r="BE90" s="259"/>
      <c r="BF90" s="259"/>
      <c r="BG90" s="259"/>
      <c r="BH90" s="259"/>
      <c r="BI90" s="259"/>
      <c r="BJ90" s="259"/>
      <c r="BK90" s="259"/>
      <c r="BL90" s="259"/>
      <c r="BM90" s="259"/>
      <c r="BN90" s="259"/>
      <c r="BO90" s="259"/>
      <c r="BP90" s="259"/>
      <c r="BQ90" s="259"/>
    </row>
    <row r="91" spans="1:69" s="842" customFormat="1" ht="15" hidden="1" customHeight="1">
      <c r="A91" s="564">
        <v>336</v>
      </c>
      <c r="B91" s="568" t="s">
        <v>280</v>
      </c>
      <c r="C91" s="565" t="s">
        <v>281</v>
      </c>
      <c r="D91" s="569">
        <v>109454</v>
      </c>
      <c r="E91" s="568" t="s">
        <v>236</v>
      </c>
      <c r="F91" s="568" t="s">
        <v>17</v>
      </c>
      <c r="G91" s="568" t="s">
        <v>24</v>
      </c>
      <c r="H91" s="568" t="s">
        <v>27</v>
      </c>
      <c r="I91" s="569" t="s">
        <v>447</v>
      </c>
      <c r="J91" s="569">
        <v>1</v>
      </c>
      <c r="K91" s="568" t="s">
        <v>437</v>
      </c>
      <c r="L91" s="570">
        <v>43442</v>
      </c>
      <c r="M91" s="571">
        <v>6.2199999999999998E-2</v>
      </c>
      <c r="N91" s="568" t="s">
        <v>381</v>
      </c>
      <c r="O91" s="568"/>
      <c r="P91" s="571" t="str">
        <f>VLOOKUP(A91,'[1]Raw data'!$B:$BB,23,FALSE)</f>
        <v>RMB</v>
      </c>
      <c r="Q91" s="568" t="str">
        <f>VLOOKUP(A91,'[1]Raw data'!$B:$Z,2,FALSE)</f>
        <v>C49SZX20190085JL</v>
      </c>
      <c r="R91" s="568" t="str">
        <f>VLOOKUP(A91,'[1]Raw data'!$B:$Z,3,FALSE)</f>
        <v>鹏鑫达/end user:晶昌</v>
      </c>
      <c r="S91" s="568" t="str">
        <f>VLOOKUP(A91,'[1]Raw data'!$B:$Z,4,FALSE)</f>
        <v>YSM10</v>
      </c>
      <c r="T91" s="568" t="str">
        <f>VLOOKUP(A91,'[1]Raw data'!$B:$Z,8,FALSE)</f>
        <v>R-&gt;L</v>
      </c>
      <c r="U91" s="568" t="str">
        <f>VLOOKUP(A91,'[1]Raw data'!$B:$Z,9,FALSE)</f>
        <v>MVC</v>
      </c>
      <c r="V91" s="572" t="str">
        <f t="shared" si="10"/>
        <v>WRONG</v>
      </c>
      <c r="W91" s="568" t="str">
        <f>VLOOKUP(A91,'[1]Raw data'!$B:$AG,32,FALSE)</f>
        <v>DAP SZ</v>
      </c>
      <c r="X91" s="568">
        <f>VLOOKUP(A91,'[1]Raw data'!$B:$BA,31,FALSE)</f>
        <v>43613</v>
      </c>
      <c r="Y91" s="568" t="str">
        <f>VLOOKUP(A91,'[1]Raw data'!$B:$AS,39,FALSE)</f>
        <v>Yes</v>
      </c>
      <c r="Z91" s="573" t="s">
        <v>290</v>
      </c>
      <c r="AA91" s="574" t="s">
        <v>290</v>
      </c>
      <c r="AB91" s="575"/>
      <c r="AC91" s="568" t="s">
        <v>448</v>
      </c>
      <c r="AD91" s="576"/>
      <c r="AE91" s="576"/>
      <c r="AF91" s="576"/>
      <c r="AG91" s="576"/>
      <c r="AH91" s="576"/>
      <c r="AI91" s="577"/>
      <c r="AJ91" s="576"/>
      <c r="AK91" s="576"/>
      <c r="AL91" s="576"/>
      <c r="AM91" s="576"/>
      <c r="AN91" s="547"/>
      <c r="AO91" s="829" t="str">
        <f t="shared" si="11"/>
        <v>Yes</v>
      </c>
      <c r="AP91" s="259" t="str">
        <f t="shared" si="12"/>
        <v>MAY 19</v>
      </c>
      <c r="AQ91" s="547" t="str">
        <f t="shared" si="13"/>
        <v>有定金+有預留客戶</v>
      </c>
      <c r="AR91" s="259" t="str">
        <f t="shared" si="14"/>
        <v>Shipped_Stock</v>
      </c>
      <c r="AS91" s="259" t="str">
        <f t="shared" si="15"/>
        <v/>
      </c>
      <c r="AT91" s="259" t="str">
        <f t="shared" si="16"/>
        <v>鹏鑫达/end user:晶昌</v>
      </c>
      <c r="AU91" s="259" t="str">
        <f t="shared" si="17"/>
        <v>C49SZX20190085JL</v>
      </c>
      <c r="AV91" s="259" t="str">
        <f t="shared" si="18"/>
        <v>Dec-08</v>
      </c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9"/>
      <c r="BO91" s="259"/>
      <c r="BP91" s="259"/>
      <c r="BQ91" s="259"/>
    </row>
    <row r="92" spans="1:69" s="842" customFormat="1" ht="15" hidden="1" customHeight="1">
      <c r="A92" s="564">
        <v>203</v>
      </c>
      <c r="B92" s="568" t="s">
        <v>280</v>
      </c>
      <c r="C92" s="565" t="s">
        <v>281</v>
      </c>
      <c r="D92" s="569">
        <v>109454</v>
      </c>
      <c r="E92" s="568" t="s">
        <v>236</v>
      </c>
      <c r="F92" s="568" t="s">
        <v>17</v>
      </c>
      <c r="G92" s="568" t="s">
        <v>24</v>
      </c>
      <c r="H92" s="568" t="s">
        <v>26</v>
      </c>
      <c r="I92" s="569"/>
      <c r="J92" s="569">
        <v>1</v>
      </c>
      <c r="K92" s="568" t="s">
        <v>437</v>
      </c>
      <c r="L92" s="570">
        <v>43442</v>
      </c>
      <c r="M92" s="571">
        <v>6.2199999999999998E-2</v>
      </c>
      <c r="N92" s="568" t="s">
        <v>404</v>
      </c>
      <c r="O92" s="568"/>
      <c r="P92" s="571" t="str">
        <f>VLOOKUP(A92,'[1]Raw data'!$B:$BB,23,FALSE)</f>
        <v>JPY</v>
      </c>
      <c r="Q92" s="568" t="str">
        <f>VLOOKUP(A92,'[1]Raw data'!$B:$Z,2,FALSE)</f>
        <v>C49SZX20190001JY</v>
      </c>
      <c r="R92" s="568" t="str">
        <f>VLOOKUP(A92,'[1]Raw data'!$B:$Z,3,FALSE)</f>
        <v>Kingtron络鑫</v>
      </c>
      <c r="S92" s="568" t="str">
        <f>VLOOKUP(A92,'[1]Raw data'!$B:$Z,4,FALSE)</f>
        <v>YSM10</v>
      </c>
      <c r="T92" s="568" t="str">
        <f>VLOOKUP(A92,'[1]Raw data'!$B:$Z,8,FALSE)</f>
        <v>L-&gt;R</v>
      </c>
      <c r="U92" s="568" t="str">
        <f>VLOOKUP(A92,'[1]Raw data'!$B:$Z,9,FALSE)</f>
        <v>MVC</v>
      </c>
      <c r="V92" s="572" t="str">
        <f t="shared" si="10"/>
        <v>WRONG</v>
      </c>
      <c r="W92" s="568" t="str">
        <f>VLOOKUP(A92,'[1]Raw data'!$B:$AG,32,FALSE)</f>
        <v>CIF HK</v>
      </c>
      <c r="X92" s="568">
        <f>VLOOKUP(A92,'[1]Raw data'!$B:$BA,31,FALSE)</f>
        <v>43473</v>
      </c>
      <c r="Y92" s="568" t="str">
        <f>VLOOKUP(A92,'[1]Raw data'!$B:$AS,39,FALSE)</f>
        <v>Yes</v>
      </c>
      <c r="Z92" s="573" t="s">
        <v>329</v>
      </c>
      <c r="AA92" s="574" t="s">
        <v>329</v>
      </c>
      <c r="AB92" s="575"/>
      <c r="AC92" s="568" t="s">
        <v>439</v>
      </c>
      <c r="AD92" s="576"/>
      <c r="AE92" s="576"/>
      <c r="AF92" s="576"/>
      <c r="AG92" s="576"/>
      <c r="AH92" s="576"/>
      <c r="AI92" s="577"/>
      <c r="AJ92" s="576"/>
      <c r="AK92" s="576"/>
      <c r="AL92" s="576"/>
      <c r="AM92" s="576"/>
      <c r="AN92" s="547"/>
      <c r="AO92" s="829" t="str">
        <f t="shared" si="11"/>
        <v>Yes</v>
      </c>
      <c r="AP92" s="259" t="str">
        <f t="shared" si="12"/>
        <v>JUN 19</v>
      </c>
      <c r="AQ92" s="547" t="str">
        <f t="shared" si="13"/>
        <v>有定金+有預留客戶</v>
      </c>
      <c r="AR92" s="259" t="str">
        <f t="shared" si="14"/>
        <v>Shipped_Stock</v>
      </c>
      <c r="AS92" s="259" t="str">
        <f t="shared" si="15"/>
        <v/>
      </c>
      <c r="AT92" s="259" t="str">
        <f t="shared" si="16"/>
        <v>Kingtron络鑫</v>
      </c>
      <c r="AU92" s="259" t="str">
        <f t="shared" si="17"/>
        <v>C49SZX20190001JY</v>
      </c>
      <c r="AV92" s="259" t="str">
        <f t="shared" si="18"/>
        <v>Dec-08</v>
      </c>
      <c r="AW92" s="259"/>
      <c r="AX92" s="259"/>
      <c r="AY92" s="259"/>
      <c r="AZ92" s="259"/>
      <c r="BA92" s="259"/>
      <c r="BB92" s="259"/>
      <c r="BC92" s="259"/>
      <c r="BD92" s="259"/>
      <c r="BE92" s="259"/>
      <c r="BF92" s="259"/>
      <c r="BG92" s="259"/>
      <c r="BH92" s="259"/>
      <c r="BI92" s="259"/>
      <c r="BJ92" s="259"/>
      <c r="BK92" s="259"/>
      <c r="BL92" s="259"/>
      <c r="BM92" s="259"/>
      <c r="BN92" s="259"/>
      <c r="BO92" s="259"/>
      <c r="BP92" s="259"/>
      <c r="BQ92" s="259"/>
    </row>
    <row r="93" spans="1:69" ht="15" hidden="1" customHeight="1">
      <c r="A93" s="564">
        <v>7</v>
      </c>
      <c r="B93" s="568" t="s">
        <v>280</v>
      </c>
      <c r="C93" s="565" t="s">
        <v>281</v>
      </c>
      <c r="D93" s="569">
        <v>109422</v>
      </c>
      <c r="E93" s="568" t="s">
        <v>236</v>
      </c>
      <c r="F93" s="568" t="s">
        <v>411</v>
      </c>
      <c r="G93" s="568" t="s">
        <v>18</v>
      </c>
      <c r="H93" s="568" t="s">
        <v>26</v>
      </c>
      <c r="I93" s="592" t="s">
        <v>449</v>
      </c>
      <c r="J93" s="569">
        <v>1</v>
      </c>
      <c r="K93" s="568" t="s">
        <v>311</v>
      </c>
      <c r="L93" s="570">
        <v>43446</v>
      </c>
      <c r="M93" s="571">
        <v>6.25E-2</v>
      </c>
      <c r="N93" s="568" t="s">
        <v>289</v>
      </c>
      <c r="O93" s="568"/>
      <c r="P93" s="571" t="str">
        <f>VLOOKUP(A93,'[1]Raw data'!$B:$BB,23,FALSE)</f>
        <v>JPY</v>
      </c>
      <c r="Q93" s="568" t="str">
        <f>VLOOKUP(A93,'[1]Raw data'!$B:$Z,2,FALSE)</f>
        <v>C49SZX201800038SS</v>
      </c>
      <c r="R93" s="568" t="str">
        <f>VLOOKUP(A93,'[1]Raw data'!$B:$Z,3,FALSE)</f>
        <v>祥弘瑞</v>
      </c>
      <c r="S93" s="568" t="str">
        <f>VLOOKUP(A93,'[1]Raw data'!$B:$Z,4,FALSE)</f>
        <v>YS24</v>
      </c>
      <c r="T93" s="568" t="str">
        <f>VLOOKUP(A93,'[1]Raw data'!$B:$Z,8,FALSE)</f>
        <v>R-&gt;L</v>
      </c>
      <c r="U93" s="568" t="str">
        <f>VLOOKUP(A93,'[1]Raw data'!$B:$Z,9,FALSE)</f>
        <v>No</v>
      </c>
      <c r="V93" s="572" t="str">
        <f t="shared" si="10"/>
        <v>OK</v>
      </c>
      <c r="W93" s="568" t="str">
        <f>VLOOKUP(A93,'[1]Raw data'!$B:$AG,32,FALSE)</f>
        <v>DAP</v>
      </c>
      <c r="X93" s="568">
        <f>VLOOKUP(A93,'[1]Raw data'!$B:$BA,31,FALSE)</f>
        <v>43132</v>
      </c>
      <c r="Y93" s="568" t="str">
        <f>VLOOKUP(A93,'[1]Raw data'!$B:$AS,39,FALSE)</f>
        <v>Yes</v>
      </c>
      <c r="Z93" s="573" t="s">
        <v>290</v>
      </c>
      <c r="AA93" s="574" t="s">
        <v>290</v>
      </c>
      <c r="AB93" s="575"/>
      <c r="AC93" s="568" t="s">
        <v>291</v>
      </c>
      <c r="AN93" s="547"/>
      <c r="AO93" s="829" t="str">
        <f t="shared" si="11"/>
        <v>Yes</v>
      </c>
      <c r="AP93" s="259" t="str">
        <f t="shared" si="12"/>
        <v>DEC 18</v>
      </c>
      <c r="AQ93" s="547" t="str">
        <f t="shared" si="13"/>
        <v>有定金+有預留客戶</v>
      </c>
      <c r="AR93" s="259" t="str">
        <f t="shared" si="14"/>
        <v>Shipped_Stock</v>
      </c>
      <c r="AS93" s="259" t="str">
        <f t="shared" si="15"/>
        <v/>
      </c>
      <c r="AT93" s="259" t="str">
        <f t="shared" si="16"/>
        <v>祥弘瑞</v>
      </c>
      <c r="AU93" s="259" t="str">
        <f t="shared" si="17"/>
        <v>C49SZX201800038SS</v>
      </c>
      <c r="AV93" s="259" t="str">
        <f t="shared" si="18"/>
        <v>Dec-12</v>
      </c>
    </row>
    <row r="94" spans="1:69" ht="15" hidden="1" customHeight="1">
      <c r="A94" s="564">
        <v>239</v>
      </c>
      <c r="B94" s="568" t="s">
        <v>280</v>
      </c>
      <c r="C94" s="565" t="s">
        <v>281</v>
      </c>
      <c r="D94" s="569">
        <v>109422</v>
      </c>
      <c r="E94" s="568" t="s">
        <v>236</v>
      </c>
      <c r="F94" s="568" t="s">
        <v>411</v>
      </c>
      <c r="G94" s="568" t="s">
        <v>24</v>
      </c>
      <c r="H94" s="568" t="s">
        <v>26</v>
      </c>
      <c r="I94" s="592" t="s">
        <v>450</v>
      </c>
      <c r="J94" s="569">
        <v>1</v>
      </c>
      <c r="K94" s="568" t="s">
        <v>437</v>
      </c>
      <c r="L94" s="570">
        <v>43446</v>
      </c>
      <c r="M94" s="571">
        <v>6.25E-2</v>
      </c>
      <c r="N94" s="568" t="s">
        <v>334</v>
      </c>
      <c r="O94" s="568"/>
      <c r="P94" s="571" t="str">
        <f>VLOOKUP(A94,'[1]Raw data'!$B:$BB,23,FALSE)</f>
        <v>JPY</v>
      </c>
      <c r="Q94" s="568" t="str">
        <f>VLOOKUP(A94,'[1]Raw data'!$B:$Z,2,FALSE)</f>
        <v>C49SZX20190024JL</v>
      </c>
      <c r="R94" s="568" t="str">
        <f>VLOOKUP(A94,'[1]Raw data'!$B:$Z,3,FALSE)</f>
        <v>睿视科技</v>
      </c>
      <c r="S94" s="568" t="str">
        <f>VLOOKUP(A94,'[1]Raw data'!$B:$Z,4,FALSE)</f>
        <v>YS24</v>
      </c>
      <c r="T94" s="568" t="str">
        <f>VLOOKUP(A94,'[1]Raw data'!$B:$Z,8,FALSE)</f>
        <v>L-&gt;R</v>
      </c>
      <c r="U94" s="568" t="str">
        <f>VLOOKUP(A94,'[1]Raw data'!$B:$Z,9,FALSE)</f>
        <v>No</v>
      </c>
      <c r="V94" s="572" t="str">
        <f t="shared" si="10"/>
        <v>OK</v>
      </c>
      <c r="W94" s="568" t="str">
        <f>VLOOKUP(A94,'[1]Raw data'!$B:$AG,32,FALSE)</f>
        <v>CIF</v>
      </c>
      <c r="X94" s="568">
        <f>VLOOKUP(A94,'[1]Raw data'!$B:$BA,31,FALSE)</f>
        <v>43524</v>
      </c>
      <c r="Y94" s="568" t="str">
        <f>VLOOKUP(A94,'[1]Raw data'!$B:$AS,39,FALSE)</f>
        <v>Yes</v>
      </c>
      <c r="Z94" s="573" t="s">
        <v>290</v>
      </c>
      <c r="AA94" s="574" t="s">
        <v>290</v>
      </c>
      <c r="AB94" s="575"/>
      <c r="AC94" s="568" t="s">
        <v>291</v>
      </c>
      <c r="AN94" s="547"/>
      <c r="AO94" s="829" t="str">
        <f t="shared" si="11"/>
        <v>Yes</v>
      </c>
      <c r="AP94" s="259" t="str">
        <f t="shared" si="12"/>
        <v>MAR 19</v>
      </c>
      <c r="AQ94" s="547" t="str">
        <f t="shared" si="13"/>
        <v>有定金+有預留客戶</v>
      </c>
      <c r="AR94" s="259" t="str">
        <f t="shared" si="14"/>
        <v>Shipped_Stock</v>
      </c>
      <c r="AS94" s="259" t="str">
        <f t="shared" si="15"/>
        <v/>
      </c>
      <c r="AT94" s="259" t="str">
        <f t="shared" si="16"/>
        <v>睿视科技</v>
      </c>
      <c r="AU94" s="259" t="str">
        <f t="shared" si="17"/>
        <v>C49SZX20190024JL</v>
      </c>
      <c r="AV94" s="259" t="str">
        <f t="shared" si="18"/>
        <v>Dec-12</v>
      </c>
    </row>
    <row r="95" spans="1:69" ht="15" hidden="1" customHeight="1">
      <c r="A95" s="564">
        <v>240</v>
      </c>
      <c r="B95" s="568" t="s">
        <v>280</v>
      </c>
      <c r="C95" s="565" t="s">
        <v>281</v>
      </c>
      <c r="D95" s="569">
        <v>109422</v>
      </c>
      <c r="E95" s="568" t="s">
        <v>236</v>
      </c>
      <c r="F95" s="568" t="s">
        <v>411</v>
      </c>
      <c r="G95" s="568" t="s">
        <v>24</v>
      </c>
      <c r="H95" s="568" t="s">
        <v>26</v>
      </c>
      <c r="I95" s="592" t="s">
        <v>451</v>
      </c>
      <c r="J95" s="569">
        <v>1</v>
      </c>
      <c r="K95" s="568" t="s">
        <v>437</v>
      </c>
      <c r="L95" s="570">
        <v>43446</v>
      </c>
      <c r="M95" s="571">
        <v>6.25E-2</v>
      </c>
      <c r="N95" s="568" t="s">
        <v>334</v>
      </c>
      <c r="O95" s="568"/>
      <c r="P95" s="571" t="str">
        <f>VLOOKUP(A95,'[1]Raw data'!$B:$BB,23,FALSE)</f>
        <v>JPY</v>
      </c>
      <c r="Q95" s="568" t="str">
        <f>VLOOKUP(A95,'[1]Raw data'!$B:$Z,2,FALSE)</f>
        <v>C49SZX20190024JL</v>
      </c>
      <c r="R95" s="568" t="str">
        <f>VLOOKUP(A95,'[1]Raw data'!$B:$Z,3,FALSE)</f>
        <v>睿视科技</v>
      </c>
      <c r="S95" s="568" t="str">
        <f>VLOOKUP(A95,'[1]Raw data'!$B:$Z,4,FALSE)</f>
        <v>YS24</v>
      </c>
      <c r="T95" s="568" t="str">
        <f>VLOOKUP(A95,'[1]Raw data'!$B:$Z,8,FALSE)</f>
        <v>L-&gt;R</v>
      </c>
      <c r="U95" s="568" t="str">
        <f>VLOOKUP(A95,'[1]Raw data'!$B:$Z,9,FALSE)</f>
        <v>No</v>
      </c>
      <c r="V95" s="572" t="str">
        <f t="shared" si="10"/>
        <v>OK</v>
      </c>
      <c r="W95" s="568" t="str">
        <f>VLOOKUP(A95,'[1]Raw data'!$B:$AG,32,FALSE)</f>
        <v>CIF</v>
      </c>
      <c r="X95" s="568">
        <f>VLOOKUP(A95,'[1]Raw data'!$B:$BA,31,FALSE)</f>
        <v>43524</v>
      </c>
      <c r="Y95" s="568" t="str">
        <f>VLOOKUP(A95,'[1]Raw data'!$B:$AS,39,FALSE)</f>
        <v>Yes</v>
      </c>
      <c r="Z95" s="573" t="s">
        <v>290</v>
      </c>
      <c r="AA95" s="574" t="s">
        <v>290</v>
      </c>
      <c r="AB95" s="575"/>
      <c r="AC95" s="568" t="s">
        <v>291</v>
      </c>
      <c r="AN95" s="547"/>
      <c r="AO95" s="829" t="str">
        <f t="shared" si="11"/>
        <v>Yes</v>
      </c>
      <c r="AP95" s="259" t="str">
        <f t="shared" si="12"/>
        <v>MAR 19</v>
      </c>
      <c r="AQ95" s="547" t="str">
        <f t="shared" si="13"/>
        <v>有定金+有預留客戶</v>
      </c>
      <c r="AR95" s="259" t="str">
        <f t="shared" si="14"/>
        <v>Shipped_Stock</v>
      </c>
      <c r="AS95" s="259" t="str">
        <f t="shared" si="15"/>
        <v/>
      </c>
      <c r="AT95" s="259" t="str">
        <f t="shared" si="16"/>
        <v>睿视科技</v>
      </c>
      <c r="AU95" s="259" t="str">
        <f t="shared" si="17"/>
        <v>C49SZX20190024JL</v>
      </c>
      <c r="AV95" s="259" t="str">
        <f t="shared" si="18"/>
        <v>Dec-12</v>
      </c>
    </row>
    <row r="96" spans="1:69" ht="15" hidden="1" customHeight="1">
      <c r="A96" s="564">
        <v>241</v>
      </c>
      <c r="B96" s="568" t="s">
        <v>280</v>
      </c>
      <c r="C96" s="565" t="s">
        <v>281</v>
      </c>
      <c r="D96" s="569">
        <v>109422</v>
      </c>
      <c r="E96" s="568" t="s">
        <v>236</v>
      </c>
      <c r="F96" s="568" t="s">
        <v>411</v>
      </c>
      <c r="G96" s="568" t="s">
        <v>24</v>
      </c>
      <c r="H96" s="568" t="s">
        <v>26</v>
      </c>
      <c r="I96" s="592" t="s">
        <v>452</v>
      </c>
      <c r="J96" s="569">
        <v>1</v>
      </c>
      <c r="K96" s="568" t="s">
        <v>437</v>
      </c>
      <c r="L96" s="570">
        <v>43446</v>
      </c>
      <c r="M96" s="571">
        <v>6.25E-2</v>
      </c>
      <c r="N96" s="568" t="s">
        <v>334</v>
      </c>
      <c r="O96" s="568"/>
      <c r="P96" s="571" t="str">
        <f>VLOOKUP(A96,'[1]Raw data'!$B:$BB,23,FALSE)</f>
        <v>JPY</v>
      </c>
      <c r="Q96" s="568" t="str">
        <f>VLOOKUP(A96,'[1]Raw data'!$B:$Z,2,FALSE)</f>
        <v>C49SZX20190024JL</v>
      </c>
      <c r="R96" s="568" t="str">
        <f>VLOOKUP(A96,'[1]Raw data'!$B:$Z,3,FALSE)</f>
        <v>睿视科技</v>
      </c>
      <c r="S96" s="568" t="str">
        <f>VLOOKUP(A96,'[1]Raw data'!$B:$Z,4,FALSE)</f>
        <v>YS24</v>
      </c>
      <c r="T96" s="568" t="str">
        <f>VLOOKUP(A96,'[1]Raw data'!$B:$Z,8,FALSE)</f>
        <v>L-&gt;R</v>
      </c>
      <c r="U96" s="568" t="str">
        <f>VLOOKUP(A96,'[1]Raw data'!$B:$Z,9,FALSE)</f>
        <v>No</v>
      </c>
      <c r="V96" s="572" t="str">
        <f t="shared" si="10"/>
        <v>OK</v>
      </c>
      <c r="W96" s="568" t="str">
        <f>VLOOKUP(A96,'[1]Raw data'!$B:$AG,32,FALSE)</f>
        <v>CIF</v>
      </c>
      <c r="X96" s="568">
        <f>VLOOKUP(A96,'[1]Raw data'!$B:$BA,31,FALSE)</f>
        <v>43524</v>
      </c>
      <c r="Y96" s="568" t="str">
        <f>VLOOKUP(A96,'[1]Raw data'!$B:$AS,39,FALSE)</f>
        <v>Yes</v>
      </c>
      <c r="Z96" s="573" t="s">
        <v>290</v>
      </c>
      <c r="AA96" s="574" t="s">
        <v>290</v>
      </c>
      <c r="AB96" s="575"/>
      <c r="AC96" s="568" t="s">
        <v>291</v>
      </c>
      <c r="AN96" s="547"/>
      <c r="AO96" s="829" t="str">
        <f t="shared" si="11"/>
        <v>Yes</v>
      </c>
      <c r="AP96" s="259" t="str">
        <f t="shared" si="12"/>
        <v>MAR 19</v>
      </c>
      <c r="AQ96" s="547" t="str">
        <f t="shared" si="13"/>
        <v>有定金+有預留客戶</v>
      </c>
      <c r="AR96" s="259" t="str">
        <f t="shared" si="14"/>
        <v>Shipped_Stock</v>
      </c>
      <c r="AS96" s="259" t="str">
        <f t="shared" si="15"/>
        <v/>
      </c>
      <c r="AT96" s="259" t="str">
        <f t="shared" si="16"/>
        <v>睿视科技</v>
      </c>
      <c r="AU96" s="259" t="str">
        <f t="shared" si="17"/>
        <v>C49SZX20190024JL</v>
      </c>
      <c r="AV96" s="259" t="str">
        <f t="shared" si="18"/>
        <v>Dec-12</v>
      </c>
    </row>
    <row r="97" spans="1:48" ht="15" hidden="1" customHeight="1">
      <c r="A97" s="564">
        <v>233</v>
      </c>
      <c r="B97" s="568" t="s">
        <v>280</v>
      </c>
      <c r="C97" s="565" t="s">
        <v>281</v>
      </c>
      <c r="D97" s="569">
        <v>109422</v>
      </c>
      <c r="E97" s="568" t="s">
        <v>236</v>
      </c>
      <c r="F97" s="568" t="s">
        <v>411</v>
      </c>
      <c r="G97" s="568" t="s">
        <v>24</v>
      </c>
      <c r="H97" s="568" t="s">
        <v>26</v>
      </c>
      <c r="I97" s="592" t="s">
        <v>453</v>
      </c>
      <c r="J97" s="569">
        <v>1</v>
      </c>
      <c r="K97" s="568" t="s">
        <v>437</v>
      </c>
      <c r="L97" s="570">
        <v>43446</v>
      </c>
      <c r="M97" s="571">
        <v>6.25E-2</v>
      </c>
      <c r="N97" s="568" t="s">
        <v>341</v>
      </c>
      <c r="O97" s="568"/>
      <c r="P97" s="571" t="str">
        <f>VLOOKUP(A97,'[1]Raw data'!$B:$BB,23,FALSE)</f>
        <v>RMB</v>
      </c>
      <c r="Q97" s="568" t="str">
        <f>VLOOKUP(A97,'[1]Raw data'!$B:$Z,2,FALSE)</f>
        <v>C49SZX20190016KW</v>
      </c>
      <c r="R97" s="568" t="str">
        <f>VLOOKUP(A97,'[1]Raw data'!$B:$Z,3,FALSE)</f>
        <v>同基</v>
      </c>
      <c r="S97" s="568" t="str">
        <f>VLOOKUP(A97,'[1]Raw data'!$B:$Z,4,FALSE)</f>
        <v>YS24</v>
      </c>
      <c r="T97" s="568" t="str">
        <f>VLOOKUP(A97,'[1]Raw data'!$B:$Z,8,FALSE)</f>
        <v>L-&gt;R</v>
      </c>
      <c r="U97" s="568" t="str">
        <f>VLOOKUP(A97,'[1]Raw data'!$B:$Z,9,FALSE)</f>
        <v>No</v>
      </c>
      <c r="V97" s="572" t="str">
        <f t="shared" si="10"/>
        <v>OK</v>
      </c>
      <c r="W97" s="568" t="str">
        <f>VLOOKUP(A97,'[1]Raw data'!$B:$AG,32,FALSE)</f>
        <v>DAP 深圳</v>
      </c>
      <c r="X97" s="568">
        <f>VLOOKUP(A97,'[1]Raw data'!$B:$BA,31,FALSE)</f>
        <v>43490</v>
      </c>
      <c r="Y97" s="568" t="str">
        <f>VLOOKUP(A97,'[1]Raw data'!$B:$AS,39,FALSE)</f>
        <v>Yes</v>
      </c>
      <c r="Z97" s="573" t="s">
        <v>290</v>
      </c>
      <c r="AA97" s="574" t="s">
        <v>290</v>
      </c>
      <c r="AB97" s="575" t="s">
        <v>389</v>
      </c>
      <c r="AC97" s="568" t="s">
        <v>291</v>
      </c>
      <c r="AN97" s="547"/>
      <c r="AO97" s="829" t="str">
        <f t="shared" si="11"/>
        <v>Yes</v>
      </c>
      <c r="AP97" s="259" t="str">
        <f t="shared" si="12"/>
        <v>APR 19</v>
      </c>
      <c r="AQ97" s="547" t="str">
        <f t="shared" si="13"/>
        <v>有定金+有預留客戶</v>
      </c>
      <c r="AR97" s="259" t="str">
        <f t="shared" si="14"/>
        <v>Shipped_Stock</v>
      </c>
      <c r="AS97" s="259" t="str">
        <f t="shared" si="15"/>
        <v/>
      </c>
      <c r="AT97" s="259" t="str">
        <f t="shared" si="16"/>
        <v>同基</v>
      </c>
      <c r="AU97" s="259" t="str">
        <f t="shared" si="17"/>
        <v>C49SZX20190016KW</v>
      </c>
      <c r="AV97" s="259" t="str">
        <f t="shared" si="18"/>
        <v>Dec-12</v>
      </c>
    </row>
    <row r="98" spans="1:48" ht="15" hidden="1" customHeight="1">
      <c r="A98" s="564">
        <v>50</v>
      </c>
      <c r="B98" s="568" t="s">
        <v>280</v>
      </c>
      <c r="C98" s="565" t="s">
        <v>281</v>
      </c>
      <c r="D98" s="569">
        <v>109237</v>
      </c>
      <c r="E98" s="568" t="s">
        <v>454</v>
      </c>
      <c r="F98" s="568" t="s">
        <v>256</v>
      </c>
      <c r="G98" s="568" t="s">
        <v>18</v>
      </c>
      <c r="H98" s="568" t="s">
        <v>26</v>
      </c>
      <c r="I98" s="569" t="s">
        <v>455</v>
      </c>
      <c r="J98" s="569">
        <v>1</v>
      </c>
      <c r="K98" s="568" t="s">
        <v>388</v>
      </c>
      <c r="L98" s="570">
        <v>43453</v>
      </c>
      <c r="M98" s="571">
        <v>6.25E-2</v>
      </c>
      <c r="N98" s="568" t="s">
        <v>289</v>
      </c>
      <c r="P98" s="571" t="str">
        <f>VLOOKUP(A98,'[1]Raw data'!$B:$BB,23,FALSE)</f>
        <v>JPY</v>
      </c>
      <c r="Q98" s="568" t="str">
        <f>VLOOKUP(A98,'[1]Raw data'!$B:$Z,2,FALSE)</f>
        <v>C49SZX20180078DZ</v>
      </c>
      <c r="R98" s="568" t="str">
        <f>VLOOKUP(A98,'[1]Raw data'!$B:$Z,3,FALSE)</f>
        <v>朗特</v>
      </c>
      <c r="S98" s="568" t="str">
        <f>VLOOKUP(A98,'[1]Raw data'!$B:$Z,4,FALSE)</f>
        <v>YSM20-2</v>
      </c>
      <c r="T98" s="568" t="str">
        <f>VLOOKUP(A98,'[1]Raw data'!$B:$Z,8,FALSE)</f>
        <v>R-&gt;L</v>
      </c>
      <c r="U98" s="568" t="str">
        <f>VLOOKUP(A98,'[1]Raw data'!$B:$Z,9,FALSE)</f>
        <v>No</v>
      </c>
      <c r="V98" s="572" t="str">
        <f t="shared" ref="V98:V120" si="19">IF(G98&amp;H98=T98&amp;U98,"OK","WRONG")</f>
        <v>OK</v>
      </c>
      <c r="W98" s="568" t="str">
        <f>VLOOKUP(A98,'[1]Raw data'!$B:$AG,32,FALSE)</f>
        <v>CIF</v>
      </c>
      <c r="X98" s="568">
        <f>VLOOKUP(A98,'[1]Raw data'!$B:$BA,31,FALSE)</f>
        <v>43218</v>
      </c>
      <c r="Y98" s="568" t="str">
        <f>VLOOKUP(A98,'[1]Raw data'!$B:$AS,39,FALSE)</f>
        <v>Yes</v>
      </c>
      <c r="Z98" s="573" t="s">
        <v>329</v>
      </c>
      <c r="AA98" s="574" t="s">
        <v>329</v>
      </c>
      <c r="AB98" s="575" t="s">
        <v>456</v>
      </c>
      <c r="AC98" s="568" t="s">
        <v>291</v>
      </c>
      <c r="AN98" s="547"/>
      <c r="AO98" s="829" t="str">
        <f t="shared" si="11"/>
        <v>Yes</v>
      </c>
      <c r="AP98" s="259" t="str">
        <f t="shared" si="12"/>
        <v>DEC 18</v>
      </c>
      <c r="AQ98" s="547" t="str">
        <f t="shared" si="13"/>
        <v>有定金+有預留客戶</v>
      </c>
      <c r="AR98" s="259" t="str">
        <f t="shared" si="14"/>
        <v>Shipped_Stock</v>
      </c>
      <c r="AS98" s="259" t="str">
        <f t="shared" si="15"/>
        <v/>
      </c>
      <c r="AT98" s="259" t="str">
        <f t="shared" si="16"/>
        <v>朗特</v>
      </c>
      <c r="AU98" s="259" t="str">
        <f t="shared" si="17"/>
        <v>C49SZX20180078DZ</v>
      </c>
      <c r="AV98" s="259" t="str">
        <f t="shared" si="18"/>
        <v>Dec-19</v>
      </c>
    </row>
    <row r="99" spans="1:48" ht="15" hidden="1" customHeight="1">
      <c r="A99" s="564">
        <v>51</v>
      </c>
      <c r="B99" s="568" t="s">
        <v>280</v>
      </c>
      <c r="C99" s="565" t="s">
        <v>281</v>
      </c>
      <c r="D99" s="569">
        <v>109237</v>
      </c>
      <c r="E99" s="568" t="s">
        <v>454</v>
      </c>
      <c r="F99" s="568" t="s">
        <v>256</v>
      </c>
      <c r="G99" s="568" t="s">
        <v>18</v>
      </c>
      <c r="H99" s="568" t="s">
        <v>26</v>
      </c>
      <c r="I99" s="569" t="s">
        <v>457</v>
      </c>
      <c r="J99" s="569">
        <v>1</v>
      </c>
      <c r="K99" s="568" t="s">
        <v>388</v>
      </c>
      <c r="L99" s="570">
        <v>43453</v>
      </c>
      <c r="M99" s="571">
        <v>6.25E-2</v>
      </c>
      <c r="N99" s="568" t="s">
        <v>289</v>
      </c>
      <c r="P99" s="571" t="str">
        <f>VLOOKUP(A99,'[1]Raw data'!$B:$BB,23,FALSE)</f>
        <v>JPY</v>
      </c>
      <c r="Q99" s="568" t="str">
        <f>VLOOKUP(A99,'[1]Raw data'!$B:$Z,2,FALSE)</f>
        <v>C49SZX20180078DZ</v>
      </c>
      <c r="R99" s="568" t="str">
        <f>VLOOKUP(A99,'[1]Raw data'!$B:$Z,3,FALSE)</f>
        <v>朗特</v>
      </c>
      <c r="S99" s="568" t="str">
        <f>VLOOKUP(A99,'[1]Raw data'!$B:$Z,4,FALSE)</f>
        <v>YSM20-2</v>
      </c>
      <c r="T99" s="568" t="str">
        <f>VLOOKUP(A99,'[1]Raw data'!$B:$Z,8,FALSE)</f>
        <v>R-&gt;L</v>
      </c>
      <c r="U99" s="568" t="str">
        <f>VLOOKUP(A99,'[1]Raw data'!$B:$Z,9,FALSE)</f>
        <v>No</v>
      </c>
      <c r="V99" s="572" t="str">
        <f t="shared" si="19"/>
        <v>OK</v>
      </c>
      <c r="W99" s="568" t="str">
        <f>VLOOKUP(A99,'[1]Raw data'!$B:$AG,32,FALSE)</f>
        <v>CIF</v>
      </c>
      <c r="X99" s="568">
        <f>VLOOKUP(A99,'[1]Raw data'!$B:$BA,31,FALSE)</f>
        <v>43218</v>
      </c>
      <c r="Y99" s="568" t="str">
        <f>VLOOKUP(A99,'[1]Raw data'!$B:$AS,39,FALSE)</f>
        <v>Yes</v>
      </c>
      <c r="Z99" s="573" t="s">
        <v>329</v>
      </c>
      <c r="AA99" s="574" t="s">
        <v>329</v>
      </c>
      <c r="AB99" s="575" t="s">
        <v>456</v>
      </c>
      <c r="AC99" s="568" t="s">
        <v>291</v>
      </c>
      <c r="AN99" s="547"/>
      <c r="AO99" s="829" t="str">
        <f t="shared" si="11"/>
        <v>Yes</v>
      </c>
      <c r="AP99" s="259" t="str">
        <f t="shared" si="12"/>
        <v>DEC 18</v>
      </c>
      <c r="AQ99" s="547" t="str">
        <f t="shared" si="13"/>
        <v>有定金+有預留客戶</v>
      </c>
      <c r="AR99" s="259" t="str">
        <f t="shared" si="14"/>
        <v>Shipped_Stock</v>
      </c>
      <c r="AS99" s="259" t="str">
        <f t="shared" si="15"/>
        <v/>
      </c>
      <c r="AT99" s="259" t="str">
        <f t="shared" si="16"/>
        <v>朗特</v>
      </c>
      <c r="AU99" s="259" t="str">
        <f t="shared" si="17"/>
        <v>C49SZX20180078DZ</v>
      </c>
      <c r="AV99" s="259" t="str">
        <f t="shared" si="18"/>
        <v>Dec-19</v>
      </c>
    </row>
    <row r="100" spans="1:48" ht="15" hidden="1" customHeight="1">
      <c r="A100" s="564">
        <v>101</v>
      </c>
      <c r="B100" s="568" t="s">
        <v>280</v>
      </c>
      <c r="C100" s="565" t="s">
        <v>281</v>
      </c>
      <c r="D100" s="569">
        <v>109423</v>
      </c>
      <c r="E100" s="568" t="s">
        <v>236</v>
      </c>
      <c r="F100" s="568" t="s">
        <v>411</v>
      </c>
      <c r="G100" s="568" t="s">
        <v>18</v>
      </c>
      <c r="H100" s="568" t="s">
        <v>26</v>
      </c>
      <c r="I100" s="592" t="s">
        <v>458</v>
      </c>
      <c r="J100" s="569">
        <v>1</v>
      </c>
      <c r="K100" s="568" t="s">
        <v>388</v>
      </c>
      <c r="L100" s="570">
        <v>43455</v>
      </c>
      <c r="M100" s="571">
        <v>6.25E-2</v>
      </c>
      <c r="N100" s="568" t="s">
        <v>289</v>
      </c>
      <c r="O100" s="568"/>
      <c r="P100" s="571" t="str">
        <f>VLOOKUP(A100,'[1]Raw data'!$B:$BB,23,FALSE)</f>
        <v>JPY</v>
      </c>
      <c r="Q100" s="568" t="str">
        <f>VLOOKUP(A100,'[1]Raw data'!$B:$Z,2,FALSE)</f>
        <v>C49SZX20180105JY</v>
      </c>
      <c r="R100" s="568" t="str">
        <f>VLOOKUP(A100,'[1]Raw data'!$B:$Z,3,FALSE)</f>
        <v>恒润</v>
      </c>
      <c r="S100" s="568" t="str">
        <f>VLOOKUP(A100,'[1]Raw data'!$B:$Z,4,FALSE)</f>
        <v>YS24</v>
      </c>
      <c r="T100" s="568" t="str">
        <f>VLOOKUP(A100,'[1]Raw data'!$B:$Z,8,FALSE)</f>
        <v>R-&gt;L</v>
      </c>
      <c r="U100" s="568" t="str">
        <f>VLOOKUP(A100,'[1]Raw data'!$B:$Z,9,FALSE)</f>
        <v>No</v>
      </c>
      <c r="V100" s="572" t="str">
        <f t="shared" si="19"/>
        <v>OK</v>
      </c>
      <c r="W100" s="568" t="str">
        <f>VLOOKUP(A100,'[1]Raw data'!$B:$AG,32,FALSE)</f>
        <v>DAP 东莞</v>
      </c>
      <c r="X100" s="568">
        <f>VLOOKUP(A100,'[1]Raw data'!$B:$BA,31,FALSE)</f>
        <v>43266</v>
      </c>
      <c r="Y100" s="568" t="str">
        <f>VLOOKUP(A100,'[1]Raw data'!$B:$AS,39,FALSE)</f>
        <v>Yes</v>
      </c>
      <c r="Z100" s="573" t="s">
        <v>290</v>
      </c>
      <c r="AA100" s="574" t="s">
        <v>290</v>
      </c>
      <c r="AB100" s="575" t="s">
        <v>459</v>
      </c>
      <c r="AC100" s="568" t="s">
        <v>291</v>
      </c>
      <c r="AN100" s="547"/>
      <c r="AO100" s="829" t="str">
        <f t="shared" si="11"/>
        <v>Yes</v>
      </c>
      <c r="AP100" s="259" t="str">
        <f t="shared" si="12"/>
        <v>DEC 18</v>
      </c>
      <c r="AQ100" s="547" t="str">
        <f t="shared" si="13"/>
        <v>有定金+有預留客戶</v>
      </c>
      <c r="AR100" s="259" t="str">
        <f t="shared" si="14"/>
        <v>Shipped_Stock</v>
      </c>
      <c r="AS100" s="259" t="str">
        <f t="shared" si="15"/>
        <v/>
      </c>
      <c r="AT100" s="259" t="str">
        <f t="shared" si="16"/>
        <v>恒润</v>
      </c>
      <c r="AU100" s="259" t="str">
        <f t="shared" si="17"/>
        <v>C49SZX20180105JY</v>
      </c>
      <c r="AV100" s="259" t="str">
        <f t="shared" si="18"/>
        <v>Dec-21</v>
      </c>
    </row>
    <row r="101" spans="1:48" ht="15" hidden="1" customHeight="1">
      <c r="A101" s="564">
        <v>129</v>
      </c>
      <c r="B101" s="568" t="s">
        <v>280</v>
      </c>
      <c r="C101" s="565" t="s">
        <v>281</v>
      </c>
      <c r="D101" s="569">
        <v>109443</v>
      </c>
      <c r="E101" s="568" t="s">
        <v>460</v>
      </c>
      <c r="F101" s="568" t="s">
        <v>256</v>
      </c>
      <c r="G101" s="568" t="s">
        <v>24</v>
      </c>
      <c r="H101" s="568" t="s">
        <v>26</v>
      </c>
      <c r="I101" s="592" t="s">
        <v>461</v>
      </c>
      <c r="J101" s="569">
        <v>1</v>
      </c>
      <c r="K101" s="568" t="s">
        <v>311</v>
      </c>
      <c r="L101" s="570">
        <v>43509</v>
      </c>
      <c r="M101" s="571">
        <v>6.2899999999999998E-2</v>
      </c>
      <c r="N101" s="568" t="s">
        <v>363</v>
      </c>
      <c r="P101" s="571" t="str">
        <f>VLOOKUP(A101,'[1]Raw data'!$B:$BB,23,FALSE)</f>
        <v>JPY</v>
      </c>
      <c r="Q101" s="568" t="str">
        <f>VLOOKUP(A101,'[1]Raw data'!$B:$Z,2,FALSE)</f>
        <v>C49SZX20180136JY</v>
      </c>
      <c r="R101" s="568" t="str">
        <f>VLOOKUP(A101,'[1]Raw data'!$B:$Z,3,FALSE)</f>
        <v>安嘉</v>
      </c>
      <c r="S101" s="568" t="str">
        <f>VLOOKUP(A101,'[1]Raw data'!$B:$Z,4,FALSE)</f>
        <v>YSM20R(SV)-2</v>
      </c>
      <c r="T101" s="568" t="str">
        <f>VLOOKUP(A101,'[1]Raw data'!$B:$Z,8,FALSE)</f>
        <v>L-&gt;R</v>
      </c>
      <c r="U101" s="568" t="str">
        <f>VLOOKUP(A101,'[1]Raw data'!$B:$Z,9,FALSE)</f>
        <v>No</v>
      </c>
      <c r="V101" s="572" t="str">
        <f t="shared" si="19"/>
        <v>OK</v>
      </c>
      <c r="W101" s="568" t="str">
        <f>VLOOKUP(A101,'[1]Raw data'!$B:$AG,32,FALSE)</f>
        <v>DAP深圳</v>
      </c>
      <c r="X101" s="568">
        <f>VLOOKUP(A101,'[1]Raw data'!$B:$BA,31,FALSE)</f>
        <v>43342</v>
      </c>
      <c r="Y101" s="568" t="str">
        <f>VLOOKUP(A101,'[1]Raw data'!$B:$AS,39,FALSE)</f>
        <v>Yes</v>
      </c>
      <c r="Z101" s="573" t="s">
        <v>329</v>
      </c>
      <c r="AA101" s="574" t="s">
        <v>329</v>
      </c>
      <c r="AB101" s="575"/>
      <c r="AC101" s="568" t="s">
        <v>291</v>
      </c>
      <c r="AN101" s="547"/>
      <c r="AO101" s="829" t="str">
        <f t="shared" si="11"/>
        <v>Yes</v>
      </c>
      <c r="AP101" s="259" t="str">
        <f t="shared" si="12"/>
        <v>FEB 19</v>
      </c>
      <c r="AQ101" s="547" t="str">
        <f t="shared" si="13"/>
        <v>有定金+有預留客戶</v>
      </c>
      <c r="AR101" s="259" t="str">
        <f t="shared" si="14"/>
        <v>Shipped_Stock</v>
      </c>
      <c r="AS101" s="259" t="str">
        <f t="shared" si="15"/>
        <v/>
      </c>
      <c r="AT101" s="259" t="str">
        <f t="shared" si="16"/>
        <v>安嘉</v>
      </c>
      <c r="AU101" s="259" t="str">
        <f t="shared" si="17"/>
        <v>C49SZX20180136JY</v>
      </c>
      <c r="AV101" s="259" t="str">
        <f t="shared" si="18"/>
        <v>Feb-13</v>
      </c>
    </row>
    <row r="102" spans="1:48" ht="15" hidden="1" customHeight="1">
      <c r="A102" s="564">
        <v>189</v>
      </c>
      <c r="B102" s="568" t="s">
        <v>280</v>
      </c>
      <c r="C102" s="565" t="s">
        <v>281</v>
      </c>
      <c r="D102" s="569">
        <v>109443</v>
      </c>
      <c r="E102" s="568" t="s">
        <v>460</v>
      </c>
      <c r="F102" s="568" t="s">
        <v>256</v>
      </c>
      <c r="G102" s="568" t="s">
        <v>24</v>
      </c>
      <c r="H102" s="568" t="s">
        <v>26</v>
      </c>
      <c r="I102" s="592" t="s">
        <v>462</v>
      </c>
      <c r="J102" s="569">
        <v>1</v>
      </c>
      <c r="K102" s="568" t="s">
        <v>311</v>
      </c>
      <c r="L102" s="570">
        <v>43509</v>
      </c>
      <c r="M102" s="571">
        <v>6.2899999999999998E-2</v>
      </c>
      <c r="N102" s="568" t="s">
        <v>363</v>
      </c>
      <c r="P102" s="571" t="str">
        <f>VLOOKUP(A102,'[1]Raw data'!$B:$BB,23,FALSE)</f>
        <v>RMB</v>
      </c>
      <c r="Q102" s="568" t="str">
        <f>VLOOKUP(A102,'[1]Raw data'!$B:$Z,2,FALSE)</f>
        <v>C49SZX20180185ZX</v>
      </c>
      <c r="R102" s="568" t="str">
        <f>VLOOKUP(A102,'[1]Raw data'!$B:$Z,3,FALSE)</f>
        <v>美斯特</v>
      </c>
      <c r="S102" s="568" t="str">
        <f>VLOOKUP(A102,'[1]Raw data'!$B:$Z,4,FALSE)</f>
        <v>YSM20R(SV)-2</v>
      </c>
      <c r="T102" s="568" t="str">
        <f>VLOOKUP(A102,'[1]Raw data'!$B:$Z,8,FALSE)</f>
        <v>L-&gt;R</v>
      </c>
      <c r="U102" s="568" t="str">
        <f>VLOOKUP(A102,'[1]Raw data'!$B:$Z,9,FALSE)</f>
        <v>No</v>
      </c>
      <c r="V102" s="572" t="str">
        <f t="shared" si="19"/>
        <v>OK</v>
      </c>
      <c r="W102" s="568" t="str">
        <f>VLOOKUP(A102,'[1]Raw data'!$B:$AG,32,FALSE)</f>
        <v>含税到厂</v>
      </c>
      <c r="X102" s="568">
        <f>VLOOKUP(A102,'[1]Raw data'!$B:$BA,31,FALSE)</f>
        <v>43456</v>
      </c>
      <c r="Y102" s="568" t="str">
        <f>VLOOKUP(A102,'[1]Raw data'!$B:$AS,39,FALSE)</f>
        <v>Yes</v>
      </c>
      <c r="Z102" s="573" t="s">
        <v>290</v>
      </c>
      <c r="AA102" s="574" t="s">
        <v>290</v>
      </c>
      <c r="AB102" s="575"/>
      <c r="AC102" s="568" t="s">
        <v>463</v>
      </c>
      <c r="AN102" s="547"/>
      <c r="AO102" s="829" t="str">
        <f t="shared" si="11"/>
        <v>Yes</v>
      </c>
      <c r="AP102" s="259" t="str">
        <f t="shared" si="12"/>
        <v>FEB 19</v>
      </c>
      <c r="AQ102" s="547" t="str">
        <f t="shared" si="13"/>
        <v>有定金+有預留客戶</v>
      </c>
      <c r="AR102" s="259" t="str">
        <f t="shared" si="14"/>
        <v>Shipped_Stock</v>
      </c>
      <c r="AS102" s="259" t="str">
        <f t="shared" si="15"/>
        <v/>
      </c>
      <c r="AT102" s="259" t="str">
        <f t="shared" si="16"/>
        <v>美斯特</v>
      </c>
      <c r="AU102" s="259" t="str">
        <f t="shared" si="17"/>
        <v>C49SZX20180185ZX</v>
      </c>
      <c r="AV102" s="259" t="str">
        <f t="shared" si="18"/>
        <v>Feb-13</v>
      </c>
    </row>
    <row r="103" spans="1:48" ht="14.25" hidden="1" customHeight="1">
      <c r="A103" s="564">
        <v>100</v>
      </c>
      <c r="B103" s="568" t="s">
        <v>280</v>
      </c>
      <c r="C103" s="565" t="s">
        <v>281</v>
      </c>
      <c r="D103" s="569">
        <v>109446</v>
      </c>
      <c r="E103" s="568" t="s">
        <v>464</v>
      </c>
      <c r="F103" s="568" t="s">
        <v>256</v>
      </c>
      <c r="G103" s="568" t="s">
        <v>24</v>
      </c>
      <c r="H103" s="568" t="s">
        <v>465</v>
      </c>
      <c r="I103" s="569" t="s">
        <v>466</v>
      </c>
      <c r="J103" s="569">
        <v>1</v>
      </c>
      <c r="K103" s="568" t="s">
        <v>311</v>
      </c>
      <c r="L103" s="570">
        <v>43512</v>
      </c>
      <c r="M103" s="571">
        <v>6.2899999999999998E-2</v>
      </c>
      <c r="N103" s="568" t="s">
        <v>363</v>
      </c>
      <c r="P103" s="571" t="str">
        <f>VLOOKUP(A103,'[1]Raw data'!$B:$BB,23,FALSE)</f>
        <v>JPY</v>
      </c>
      <c r="Q103" s="568" t="str">
        <f>VLOOKUP(A103,'[1]Raw data'!$B:$Z,2,FALSE)</f>
        <v>C49SZX20180103MZ</v>
      </c>
      <c r="R103" s="568" t="str">
        <f>VLOOKUP(A103,'[1]Raw data'!$B:$Z,3,FALSE)</f>
        <v>小耳朵</v>
      </c>
      <c r="S103" s="568" t="str">
        <f>VLOOKUP(A103,'[1]Raw data'!$B:$Z,4,FALSE)</f>
        <v>YSM20-2</v>
      </c>
      <c r="T103" s="568" t="str">
        <f>VLOOKUP(A103,'[1]Raw data'!$B:$Z,8,FALSE)</f>
        <v>L-&gt;R</v>
      </c>
      <c r="U103" s="568" t="str">
        <f>VLOOKUP(A103,'[1]Raw data'!$B:$Z,9,FALSE)</f>
        <v>cATS30+MVC+special layout</v>
      </c>
      <c r="V103" s="572" t="str">
        <f t="shared" si="19"/>
        <v>OK</v>
      </c>
      <c r="W103" s="568" t="str">
        <f>VLOOKUP(A103,'[1]Raw data'!$B:$AG,32,FALSE)</f>
        <v>DAP 惠州</v>
      </c>
      <c r="X103" s="568">
        <f>VLOOKUP(A103,'[1]Raw data'!$B:$BA,31,FALSE)</f>
        <v>43264</v>
      </c>
      <c r="Y103" s="568" t="str">
        <f>VLOOKUP(A103,'[1]Raw data'!$B:$AS,39,FALSE)</f>
        <v>Yes</v>
      </c>
      <c r="Z103" s="573" t="s">
        <v>290</v>
      </c>
      <c r="AA103" s="574" t="s">
        <v>290</v>
      </c>
      <c r="AB103" s="575"/>
      <c r="AC103" s="568" t="s">
        <v>467</v>
      </c>
      <c r="AN103" s="547"/>
      <c r="AO103" s="829" t="str">
        <f t="shared" si="11"/>
        <v>Yes</v>
      </c>
      <c r="AP103" s="259" t="str">
        <f t="shared" si="12"/>
        <v>FEB 19</v>
      </c>
      <c r="AQ103" s="547" t="str">
        <f t="shared" si="13"/>
        <v>有定金+有預留客戶</v>
      </c>
      <c r="AR103" s="259" t="str">
        <f t="shared" si="14"/>
        <v>Shipped_Stock</v>
      </c>
      <c r="AS103" s="259" t="str">
        <f t="shared" si="15"/>
        <v/>
      </c>
      <c r="AT103" s="259" t="str">
        <f t="shared" si="16"/>
        <v>小耳朵</v>
      </c>
      <c r="AU103" s="259" t="str">
        <f t="shared" si="17"/>
        <v>C49SZX20180103MZ</v>
      </c>
      <c r="AV103" s="259" t="str">
        <f t="shared" si="18"/>
        <v>Feb-16</v>
      </c>
    </row>
    <row r="104" spans="1:48" ht="15" hidden="1" customHeight="1">
      <c r="A104" s="564">
        <v>130</v>
      </c>
      <c r="B104" s="568" t="s">
        <v>280</v>
      </c>
      <c r="C104" s="565" t="s">
        <v>281</v>
      </c>
      <c r="D104" s="569">
        <v>109490</v>
      </c>
      <c r="E104" s="568" t="s">
        <v>454</v>
      </c>
      <c r="F104" s="568" t="s">
        <v>256</v>
      </c>
      <c r="G104" s="568" t="s">
        <v>18</v>
      </c>
      <c r="H104" s="568" t="s">
        <v>26</v>
      </c>
      <c r="I104" s="569" t="s">
        <v>468</v>
      </c>
      <c r="J104" s="569">
        <v>1</v>
      </c>
      <c r="K104" s="568" t="s">
        <v>311</v>
      </c>
      <c r="L104" s="570">
        <v>43512</v>
      </c>
      <c r="M104" s="571">
        <v>6.2899999999999998E-2</v>
      </c>
      <c r="N104" s="568" t="s">
        <v>363</v>
      </c>
      <c r="P104" s="571" t="str">
        <f>VLOOKUP(A104,'[1]Raw data'!$B:$BB,23,FALSE)</f>
        <v>JPY</v>
      </c>
      <c r="Q104" s="568" t="str">
        <f>VLOOKUP(A104,'[1]Raw data'!$B:$Z,2,FALSE)</f>
        <v>C49SZX20180136JY</v>
      </c>
      <c r="R104" s="568" t="str">
        <f>VLOOKUP(A104,'[1]Raw data'!$B:$Z,3,FALSE)</f>
        <v>安嘉</v>
      </c>
      <c r="S104" s="568" t="str">
        <f>VLOOKUP(A104,'[1]Raw data'!$B:$Z,4,FALSE)</f>
        <v>YSM20R(SV)-2</v>
      </c>
      <c r="T104" s="568" t="str">
        <f>VLOOKUP(A104,'[1]Raw data'!$B:$Z,8,FALSE)</f>
        <v>R-&gt;L</v>
      </c>
      <c r="U104" s="568" t="str">
        <f>VLOOKUP(A104,'[1]Raw data'!$B:$Z,9,FALSE)</f>
        <v>No</v>
      </c>
      <c r="V104" s="572" t="str">
        <f t="shared" si="19"/>
        <v>OK</v>
      </c>
      <c r="W104" s="568" t="str">
        <f>VLOOKUP(A104,'[1]Raw data'!$B:$AG,32,FALSE)</f>
        <v>DAP深圳</v>
      </c>
      <c r="X104" s="568">
        <f>VLOOKUP(A104,'[1]Raw data'!$B:$BA,31,FALSE)</f>
        <v>43342</v>
      </c>
      <c r="Y104" s="568" t="str">
        <f>VLOOKUP(A104,'[1]Raw data'!$B:$AS,39,FALSE)</f>
        <v>Yes</v>
      </c>
      <c r="Z104" s="573" t="s">
        <v>329</v>
      </c>
      <c r="AA104" s="574" t="s">
        <v>329</v>
      </c>
      <c r="AB104" s="575"/>
      <c r="AC104" s="568" t="s">
        <v>291</v>
      </c>
      <c r="AN104" s="547"/>
      <c r="AO104" s="829" t="str">
        <f t="shared" si="11"/>
        <v>Yes</v>
      </c>
      <c r="AP104" s="259" t="str">
        <f t="shared" si="12"/>
        <v>FEB 19</v>
      </c>
      <c r="AQ104" s="547" t="str">
        <f t="shared" si="13"/>
        <v>有定金+有預留客戶</v>
      </c>
      <c r="AR104" s="259" t="str">
        <f t="shared" si="14"/>
        <v>Shipped_Stock</v>
      </c>
      <c r="AS104" s="259" t="str">
        <f t="shared" si="15"/>
        <v/>
      </c>
      <c r="AT104" s="259" t="str">
        <f t="shared" si="16"/>
        <v>安嘉</v>
      </c>
      <c r="AU104" s="259" t="str">
        <f t="shared" si="17"/>
        <v>C49SZX20180136JY</v>
      </c>
      <c r="AV104" s="259" t="str">
        <f t="shared" si="18"/>
        <v>Feb-16</v>
      </c>
    </row>
    <row r="105" spans="1:48" ht="15" hidden="1" customHeight="1">
      <c r="A105" s="564">
        <v>183</v>
      </c>
      <c r="B105" s="568" t="s">
        <v>280</v>
      </c>
      <c r="C105" s="565" t="s">
        <v>281</v>
      </c>
      <c r="D105" s="569">
        <v>109490</v>
      </c>
      <c r="E105" s="568" t="s">
        <v>454</v>
      </c>
      <c r="F105" s="568" t="s">
        <v>256</v>
      </c>
      <c r="G105" s="568" t="s">
        <v>18</v>
      </c>
      <c r="H105" s="568" t="s">
        <v>26</v>
      </c>
      <c r="I105" s="569" t="s">
        <v>469</v>
      </c>
      <c r="J105" s="569">
        <v>1</v>
      </c>
      <c r="K105" s="568" t="s">
        <v>311</v>
      </c>
      <c r="L105" s="570">
        <v>43512</v>
      </c>
      <c r="M105" s="571">
        <v>6.2899999999999998E-2</v>
      </c>
      <c r="N105" s="568" t="s">
        <v>363</v>
      </c>
      <c r="P105" s="571" t="str">
        <f>VLOOKUP(A105,'[1]Raw data'!$B:$BB,23,FALSE)</f>
        <v>JPY</v>
      </c>
      <c r="Q105" s="568" t="str">
        <f>VLOOKUP(A105,'[1]Raw data'!$B:$Z,2,FALSE)</f>
        <v>C49SZX20180176SX</v>
      </c>
      <c r="R105" s="568" t="str">
        <f>VLOOKUP(A105,'[1]Raw data'!$B:$Z,3,FALSE)</f>
        <v>柏星</v>
      </c>
      <c r="S105" s="568" t="str">
        <f>VLOOKUP(A105,'[1]Raw data'!$B:$Z,4,FALSE)</f>
        <v>YSM20R(SV)-2</v>
      </c>
      <c r="T105" s="568" t="str">
        <f>VLOOKUP(A105,'[1]Raw data'!$B:$Z,8,FALSE)</f>
        <v>R-&gt;L</v>
      </c>
      <c r="U105" s="568" t="str">
        <f>VLOOKUP(A105,'[1]Raw data'!$B:$Z,9,FALSE)</f>
        <v>MVC</v>
      </c>
      <c r="V105" s="572" t="str">
        <f t="shared" si="19"/>
        <v>WRONG</v>
      </c>
      <c r="W105" s="568" t="str">
        <f>VLOOKUP(A105,'[1]Raw data'!$B:$AG,32,FALSE)</f>
        <v>DAP东莞</v>
      </c>
      <c r="X105" s="568">
        <f>VLOOKUP(A105,'[1]Raw data'!$B:$BA,31,FALSE)</f>
        <v>43425</v>
      </c>
      <c r="Y105" s="568" t="str">
        <f>VLOOKUP(A105,'[1]Raw data'!$B:$AS,39,FALSE)</f>
        <v>Yes</v>
      </c>
      <c r="Z105" s="573" t="s">
        <v>329</v>
      </c>
      <c r="AA105" s="574" t="s">
        <v>329</v>
      </c>
      <c r="AB105" s="575" t="s">
        <v>389</v>
      </c>
      <c r="AC105" s="568" t="s">
        <v>410</v>
      </c>
      <c r="AN105" s="547"/>
      <c r="AO105" s="829" t="str">
        <f t="shared" si="11"/>
        <v>Yes</v>
      </c>
      <c r="AP105" s="259" t="str">
        <f t="shared" si="12"/>
        <v>FEB 19</v>
      </c>
      <c r="AQ105" s="547" t="str">
        <f t="shared" si="13"/>
        <v>有定金+有預留客戶</v>
      </c>
      <c r="AR105" s="259" t="str">
        <f t="shared" si="14"/>
        <v>Shipped_Stock</v>
      </c>
      <c r="AS105" s="259" t="str">
        <f t="shared" si="15"/>
        <v/>
      </c>
      <c r="AT105" s="259" t="str">
        <f t="shared" si="16"/>
        <v>柏星</v>
      </c>
      <c r="AU105" s="259" t="str">
        <f t="shared" si="17"/>
        <v>C49SZX20180176SX</v>
      </c>
      <c r="AV105" s="259" t="str">
        <f t="shared" si="18"/>
        <v>Feb-16</v>
      </c>
    </row>
    <row r="106" spans="1:48" ht="15" hidden="1" customHeight="1">
      <c r="A106" s="564">
        <v>196</v>
      </c>
      <c r="B106" s="568" t="s">
        <v>280</v>
      </c>
      <c r="C106" s="565" t="s">
        <v>281</v>
      </c>
      <c r="D106" s="569">
        <v>109478</v>
      </c>
      <c r="E106" s="568" t="s">
        <v>353</v>
      </c>
      <c r="F106" s="568" t="s">
        <v>256</v>
      </c>
      <c r="G106" s="568" t="s">
        <v>24</v>
      </c>
      <c r="H106" s="568" t="s">
        <v>26</v>
      </c>
      <c r="I106" s="569" t="s">
        <v>470</v>
      </c>
      <c r="J106" s="569">
        <v>1</v>
      </c>
      <c r="K106" s="568" t="s">
        <v>285</v>
      </c>
      <c r="L106" s="570">
        <v>43512</v>
      </c>
      <c r="M106" s="571">
        <v>6.2899999999999998E-2</v>
      </c>
      <c r="N106" s="568" t="s">
        <v>334</v>
      </c>
      <c r="P106" s="571" t="str">
        <f>VLOOKUP(A106,'[1]Raw data'!$B:$BB,23,FALSE)</f>
        <v>JPY</v>
      </c>
      <c r="Q106" s="568" t="str">
        <f>VLOOKUP(A106,'[1]Raw data'!$B:$Z,2,FALSE)</f>
        <v>C49SZX20180177JL</v>
      </c>
      <c r="R106" s="568" t="str">
        <f>VLOOKUP(A106,'[1]Raw data'!$B:$Z,3,FALSE)</f>
        <v>Tuopuai拓普艾</v>
      </c>
      <c r="S106" s="568" t="str">
        <f>VLOOKUP(A106,'[1]Raw data'!$B:$Z,4,FALSE)</f>
        <v>YSM20R(SV)-2</v>
      </c>
      <c r="T106" s="568" t="str">
        <f>VLOOKUP(A106,'[1]Raw data'!$B:$Z,8,FALSE)</f>
        <v>L-&gt;R</v>
      </c>
      <c r="U106" s="568" t="str">
        <f>VLOOKUP(A106,'[1]Raw data'!$B:$Z,9,FALSE)</f>
        <v>No</v>
      </c>
      <c r="V106" s="572" t="str">
        <f t="shared" si="19"/>
        <v>OK</v>
      </c>
      <c r="W106" s="568" t="str">
        <f>VLOOKUP(A106,'[1]Raw data'!$B:$AG,32,FALSE)</f>
        <v>CIF</v>
      </c>
      <c r="X106" s="568">
        <f>VLOOKUP(A106,'[1]Raw data'!$B:$BA,31,FALSE)</f>
        <v>43203</v>
      </c>
      <c r="Y106" s="568" t="str">
        <f>VLOOKUP(A106,'[1]Raw data'!$B:$AS,39,FALSE)</f>
        <v>Yes</v>
      </c>
      <c r="Z106" s="573" t="s">
        <v>290</v>
      </c>
      <c r="AA106" s="574" t="s">
        <v>290</v>
      </c>
      <c r="AB106" s="575"/>
      <c r="AC106" s="568" t="s">
        <v>291</v>
      </c>
      <c r="AN106" s="547"/>
      <c r="AO106" s="829" t="str">
        <f t="shared" si="11"/>
        <v>Yes</v>
      </c>
      <c r="AP106" s="259" t="str">
        <f t="shared" si="12"/>
        <v>MAR 19</v>
      </c>
      <c r="AQ106" s="547" t="str">
        <f t="shared" si="13"/>
        <v>有定金+有預留客戶</v>
      </c>
      <c r="AR106" s="259" t="str">
        <f t="shared" si="14"/>
        <v>Shipped_Stock</v>
      </c>
      <c r="AS106" s="259" t="str">
        <f t="shared" si="15"/>
        <v/>
      </c>
      <c r="AT106" s="259" t="str">
        <f t="shared" si="16"/>
        <v>Tuopuai拓普艾</v>
      </c>
      <c r="AU106" s="259" t="str">
        <f t="shared" si="17"/>
        <v>C49SZX20180177JL</v>
      </c>
      <c r="AV106" s="259" t="str">
        <f t="shared" si="18"/>
        <v>Feb-16</v>
      </c>
    </row>
    <row r="107" spans="1:48" ht="15" hidden="1" customHeight="1">
      <c r="A107" s="564">
        <v>198</v>
      </c>
      <c r="B107" s="568" t="s">
        <v>280</v>
      </c>
      <c r="C107" s="565" t="s">
        <v>281</v>
      </c>
      <c r="D107" s="569">
        <v>109478</v>
      </c>
      <c r="E107" s="568" t="s">
        <v>353</v>
      </c>
      <c r="F107" s="568" t="s">
        <v>256</v>
      </c>
      <c r="G107" s="568" t="s">
        <v>24</v>
      </c>
      <c r="H107" s="568" t="s">
        <v>26</v>
      </c>
      <c r="I107" s="569" t="s">
        <v>471</v>
      </c>
      <c r="J107" s="569">
        <v>1</v>
      </c>
      <c r="K107" s="568" t="s">
        <v>285</v>
      </c>
      <c r="L107" s="570">
        <v>43512</v>
      </c>
      <c r="M107" s="571">
        <v>6.2899999999999998E-2</v>
      </c>
      <c r="N107" s="568" t="s">
        <v>334</v>
      </c>
      <c r="P107" s="571" t="str">
        <f>VLOOKUP(A107,'[1]Raw data'!$B:$BB,23,FALSE)</f>
        <v>JPY</v>
      </c>
      <c r="Q107" s="568" t="str">
        <f>VLOOKUP(A107,'[1]Raw data'!$B:$Z,2,FALSE)</f>
        <v>C49SZX20180177JL</v>
      </c>
      <c r="R107" s="568" t="str">
        <f>VLOOKUP(A107,'[1]Raw data'!$B:$Z,3,FALSE)</f>
        <v>Tuopuai拓普艾</v>
      </c>
      <c r="S107" s="568" t="str">
        <f>VLOOKUP(A107,'[1]Raw data'!$B:$Z,4,FALSE)</f>
        <v>YSM20R(SV)-2</v>
      </c>
      <c r="T107" s="568" t="str">
        <f>VLOOKUP(A107,'[1]Raw data'!$B:$Z,8,FALSE)</f>
        <v>L-&gt;R</v>
      </c>
      <c r="U107" s="568" t="str">
        <f>VLOOKUP(A107,'[1]Raw data'!$B:$Z,9,FALSE)</f>
        <v>No</v>
      </c>
      <c r="V107" s="572" t="str">
        <f t="shared" si="19"/>
        <v>OK</v>
      </c>
      <c r="W107" s="568" t="str">
        <f>VLOOKUP(A107,'[1]Raw data'!$B:$AG,32,FALSE)</f>
        <v>CIF</v>
      </c>
      <c r="X107" s="568">
        <f>VLOOKUP(A107,'[1]Raw data'!$B:$BA,31,FALSE)</f>
        <v>43203</v>
      </c>
      <c r="Y107" s="568" t="str">
        <f>VLOOKUP(A107,'[1]Raw data'!$B:$AS,39,FALSE)</f>
        <v>Yes</v>
      </c>
      <c r="Z107" s="573" t="s">
        <v>290</v>
      </c>
      <c r="AA107" s="574" t="s">
        <v>290</v>
      </c>
      <c r="AB107" s="575"/>
      <c r="AC107" s="568" t="s">
        <v>291</v>
      </c>
      <c r="AN107" s="547"/>
      <c r="AO107" s="829" t="str">
        <f t="shared" si="11"/>
        <v>Yes</v>
      </c>
      <c r="AP107" s="259" t="str">
        <f t="shared" si="12"/>
        <v>MAR 19</v>
      </c>
      <c r="AQ107" s="547" t="str">
        <f t="shared" si="13"/>
        <v>有定金+有預留客戶</v>
      </c>
      <c r="AR107" s="259" t="str">
        <f t="shared" si="14"/>
        <v>Shipped_Stock</v>
      </c>
      <c r="AS107" s="259" t="str">
        <f t="shared" si="15"/>
        <v/>
      </c>
      <c r="AT107" s="259" t="str">
        <f t="shared" si="16"/>
        <v>Tuopuai拓普艾</v>
      </c>
      <c r="AU107" s="259" t="str">
        <f t="shared" si="17"/>
        <v>C49SZX20180177JL</v>
      </c>
      <c r="AV107" s="259" t="str">
        <f t="shared" si="18"/>
        <v>Feb-16</v>
      </c>
    </row>
    <row r="108" spans="1:48" ht="15" hidden="1" customHeight="1">
      <c r="A108" s="564">
        <v>252</v>
      </c>
      <c r="B108" s="568" t="s">
        <v>280</v>
      </c>
      <c r="C108" s="565" t="s">
        <v>281</v>
      </c>
      <c r="D108" s="569">
        <v>109478</v>
      </c>
      <c r="E108" s="568" t="s">
        <v>353</v>
      </c>
      <c r="F108" s="568" t="s">
        <v>256</v>
      </c>
      <c r="G108" s="568" t="s">
        <v>24</v>
      </c>
      <c r="H108" s="568" t="s">
        <v>26</v>
      </c>
      <c r="I108" s="569" t="s">
        <v>472</v>
      </c>
      <c r="J108" s="569">
        <v>1</v>
      </c>
      <c r="K108" s="568" t="s">
        <v>285</v>
      </c>
      <c r="L108" s="570">
        <v>43512</v>
      </c>
      <c r="M108" s="571">
        <v>6.2899999999999998E-2</v>
      </c>
      <c r="N108" s="568" t="s">
        <v>341</v>
      </c>
      <c r="P108" s="571" t="str">
        <f>VLOOKUP(A108,'[1]Raw data'!$B:$BB,23,FALSE)</f>
        <v>JPY</v>
      </c>
      <c r="Q108" s="568" t="str">
        <f>VLOOKUP(A108,'[1]Raw data'!$B:$Z,2,FALSE)</f>
        <v>C49SZX20190027MZ</v>
      </c>
      <c r="R108" s="568" t="str">
        <f>VLOOKUP(A108,'[1]Raw data'!$B:$Z,3,FALSE)</f>
        <v>魔乐视/end user:拓普赛特</v>
      </c>
      <c r="S108" s="568" t="str">
        <f>VLOOKUP(A108,'[1]Raw data'!$B:$Z,4,FALSE)</f>
        <v>YSM20R(SV)-2</v>
      </c>
      <c r="T108" s="568" t="str">
        <f>VLOOKUP(A108,'[1]Raw data'!$B:$Z,8,FALSE)</f>
        <v>L-&gt;R</v>
      </c>
      <c r="U108" s="568" t="str">
        <f>VLOOKUP(A108,'[1]Raw data'!$B:$Z,9,FALSE)</f>
        <v>No</v>
      </c>
      <c r="V108" s="572" t="str">
        <f t="shared" si="19"/>
        <v>OK</v>
      </c>
      <c r="W108" s="568" t="str">
        <f>VLOOKUP(A108,'[1]Raw data'!$B:$AG,32,FALSE)</f>
        <v>DAP 深圳</v>
      </c>
      <c r="X108" s="568">
        <f>VLOOKUP(A108,'[1]Raw data'!$B:$BA,31,FALSE)</f>
        <v>43536</v>
      </c>
      <c r="Y108" s="568" t="str">
        <f>VLOOKUP(A108,'[1]Raw data'!$B:$AS,39,FALSE)</f>
        <v>Yes</v>
      </c>
      <c r="Z108" s="573" t="s">
        <v>290</v>
      </c>
      <c r="AA108" s="574" t="s">
        <v>290</v>
      </c>
      <c r="AB108" s="575"/>
      <c r="AC108" s="568" t="s">
        <v>371</v>
      </c>
      <c r="AN108" s="547"/>
      <c r="AO108" s="829" t="str">
        <f t="shared" si="11"/>
        <v>Yes</v>
      </c>
      <c r="AP108" s="259" t="str">
        <f t="shared" si="12"/>
        <v>APR 19</v>
      </c>
      <c r="AQ108" s="547" t="str">
        <f t="shared" si="13"/>
        <v>有定金+有預留客戶</v>
      </c>
      <c r="AR108" s="259" t="str">
        <f t="shared" si="14"/>
        <v>Shipped_Stock</v>
      </c>
      <c r="AS108" s="259" t="str">
        <f t="shared" si="15"/>
        <v/>
      </c>
      <c r="AT108" s="259" t="str">
        <f t="shared" si="16"/>
        <v>魔乐视/end user:拓普赛特</v>
      </c>
      <c r="AU108" s="259" t="str">
        <f t="shared" si="17"/>
        <v>C49SZX20190027MZ</v>
      </c>
      <c r="AV108" s="259" t="str">
        <f t="shared" si="18"/>
        <v>Feb-16</v>
      </c>
    </row>
    <row r="109" spans="1:48" ht="15" hidden="1" customHeight="1">
      <c r="A109" s="564">
        <v>436</v>
      </c>
      <c r="B109" s="568" t="s">
        <v>280</v>
      </c>
      <c r="C109" s="565" t="s">
        <v>281</v>
      </c>
      <c r="D109" s="569">
        <v>109383</v>
      </c>
      <c r="E109" s="568" t="s">
        <v>473</v>
      </c>
      <c r="F109" s="568" t="s">
        <v>256</v>
      </c>
      <c r="G109" s="568" t="s">
        <v>24</v>
      </c>
      <c r="H109" s="568" t="s">
        <v>159</v>
      </c>
      <c r="I109" s="569" t="s">
        <v>474</v>
      </c>
      <c r="J109" s="569">
        <v>1</v>
      </c>
      <c r="K109" s="568" t="s">
        <v>437</v>
      </c>
      <c r="L109" s="570">
        <v>43512</v>
      </c>
      <c r="M109" s="571">
        <v>6.2899999999999998E-2</v>
      </c>
      <c r="N109" s="568" t="s">
        <v>475</v>
      </c>
      <c r="O109" s="569">
        <v>2019.01</v>
      </c>
      <c r="P109" s="571" t="str">
        <f>VLOOKUP(A109,'[1]Raw data'!$B:$BB,23,FALSE)</f>
        <v>RMB</v>
      </c>
      <c r="Q109" s="568" t="str">
        <f>VLOOKUP(A109,'[1]Raw data'!$B:$Z,2,FALSE)</f>
        <v>C49SZX20190139SX</v>
      </c>
      <c r="R109" s="568" t="str">
        <f>VLOOKUP(A109,'[1]Raw data'!$B:$Z,3,FALSE)</f>
        <v>太美亚</v>
      </c>
      <c r="S109" s="568" t="str">
        <f>VLOOKUP(A109,'[1]Raw data'!$B:$Z,4,FALSE)</f>
        <v>YSM20R(SV)-2</v>
      </c>
      <c r="T109" s="568" t="str">
        <f>VLOOKUP(A109,'[1]Raw data'!$B:$Z,8,FALSE)</f>
        <v>L-&gt;R</v>
      </c>
      <c r="U109" s="568" t="str">
        <f>VLOOKUP(A109,'[1]Raw data'!$B:$Z,9,FALSE)</f>
        <v>cATS10+MVC+special layout</v>
      </c>
      <c r="V109" s="572" t="str">
        <f t="shared" si="19"/>
        <v>OK</v>
      </c>
      <c r="W109" s="568" t="str">
        <f>VLOOKUP(A109,'[1]Raw data'!$B:$AG,32,FALSE)</f>
        <v>含税到厂</v>
      </c>
      <c r="X109" s="568">
        <f>VLOOKUP(A109,'[1]Raw data'!$B:$BA,31,FALSE)</f>
        <v>43735</v>
      </c>
      <c r="Y109" s="568" t="str">
        <f>VLOOKUP(A109,'[1]Raw data'!$B:$AS,39,FALSE)</f>
        <v>Yes</v>
      </c>
      <c r="Z109" s="573" t="s">
        <v>290</v>
      </c>
      <c r="AA109" s="574" t="s">
        <v>290</v>
      </c>
      <c r="AB109" s="575"/>
      <c r="AC109" s="568" t="s">
        <v>476</v>
      </c>
      <c r="AN109" s="547"/>
      <c r="AO109" s="829" t="str">
        <f t="shared" si="11"/>
        <v>Yes</v>
      </c>
      <c r="AP109" s="259" t="str">
        <f t="shared" si="12"/>
        <v>OCT 19</v>
      </c>
      <c r="AQ109" s="547" t="str">
        <f t="shared" si="13"/>
        <v>有定金+有預留客戶</v>
      </c>
      <c r="AR109" s="259" t="str">
        <f t="shared" si="14"/>
        <v>Shipped_Stock</v>
      </c>
      <c r="AS109" s="259" t="str">
        <f t="shared" si="15"/>
        <v/>
      </c>
      <c r="AT109" s="259" t="str">
        <f t="shared" si="16"/>
        <v>太美亚</v>
      </c>
      <c r="AU109" s="259" t="str">
        <f t="shared" si="17"/>
        <v>C49SZX20190139SX</v>
      </c>
      <c r="AV109" s="259" t="str">
        <f t="shared" si="18"/>
        <v>Feb-16</v>
      </c>
    </row>
    <row r="110" spans="1:48" ht="15" hidden="1" customHeight="1">
      <c r="A110" s="564">
        <v>283</v>
      </c>
      <c r="B110" s="568" t="s">
        <v>280</v>
      </c>
      <c r="C110" s="565" t="s">
        <v>281</v>
      </c>
      <c r="D110" s="569">
        <v>109383</v>
      </c>
      <c r="E110" s="568" t="s">
        <v>473</v>
      </c>
      <c r="F110" s="568" t="s">
        <v>256</v>
      </c>
      <c r="G110" s="568" t="s">
        <v>24</v>
      </c>
      <c r="H110" s="568" t="s">
        <v>26</v>
      </c>
      <c r="I110" s="569" t="s">
        <v>477</v>
      </c>
      <c r="J110" s="569">
        <v>1</v>
      </c>
      <c r="K110" s="568" t="s">
        <v>437</v>
      </c>
      <c r="L110" s="570">
        <v>43512</v>
      </c>
      <c r="M110" s="571">
        <v>6.2899999999999998E-2</v>
      </c>
      <c r="N110" s="568" t="s">
        <v>341</v>
      </c>
      <c r="P110" s="571" t="str">
        <f>VLOOKUP(A110,'[1]Raw data'!$B:$BB,23,FALSE)</f>
        <v>JPY</v>
      </c>
      <c r="Q110" s="568" t="str">
        <f>VLOOKUP(A110,'[1]Raw data'!$B:$Z,2,FALSE)</f>
        <v>C49SZX20190042JL</v>
      </c>
      <c r="R110" s="568" t="str">
        <f>VLOOKUP(A110,'[1]Raw data'!$B:$Z,3,FALSE)</f>
        <v>杉川/end user:放德劲</v>
      </c>
      <c r="S110" s="568" t="str">
        <f>VLOOKUP(A110,'[1]Raw data'!$B:$Z,4,FALSE)</f>
        <v>YSM20R(SV)-2</v>
      </c>
      <c r="T110" s="568" t="str">
        <f>VLOOKUP(A110,'[1]Raw data'!$B:$Z,8,FALSE)</f>
        <v>L-&gt;R</v>
      </c>
      <c r="U110" s="568" t="str">
        <f>VLOOKUP(A110,'[1]Raw data'!$B:$Z,9,FALSE)</f>
        <v>MVC</v>
      </c>
      <c r="V110" s="572" t="str">
        <f t="shared" si="19"/>
        <v>WRONG</v>
      </c>
      <c r="W110" s="568" t="str">
        <f>VLOOKUP(A110,'[1]Raw data'!$B:$AG,32,FALSE)</f>
        <v>DAP 深圳</v>
      </c>
      <c r="X110" s="568">
        <f>VLOOKUP(A110,'[1]Raw data'!$B:$BA,31,FALSE)</f>
        <v>43572</v>
      </c>
      <c r="Y110" s="568" t="str">
        <f>VLOOKUP(A110,'[1]Raw data'!$B:$AS,39,FALSE)</f>
        <v>Yes</v>
      </c>
      <c r="Z110" s="573" t="s">
        <v>290</v>
      </c>
      <c r="AA110" s="574" t="s">
        <v>290</v>
      </c>
      <c r="AB110" s="575"/>
      <c r="AC110" s="568" t="s">
        <v>291</v>
      </c>
      <c r="AN110" s="547"/>
      <c r="AO110" s="829" t="str">
        <f t="shared" si="11"/>
        <v>Yes</v>
      </c>
      <c r="AP110" s="259" t="str">
        <f t="shared" si="12"/>
        <v>APR 19</v>
      </c>
      <c r="AQ110" s="547" t="str">
        <f t="shared" si="13"/>
        <v>有定金+有預留客戶</v>
      </c>
      <c r="AR110" s="259" t="str">
        <f t="shared" si="14"/>
        <v>Shipped_Stock</v>
      </c>
      <c r="AS110" s="259" t="str">
        <f t="shared" si="15"/>
        <v/>
      </c>
      <c r="AT110" s="259" t="str">
        <f t="shared" si="16"/>
        <v>杉川/end user:放德劲</v>
      </c>
      <c r="AU110" s="259" t="str">
        <f t="shared" si="17"/>
        <v>C49SZX20190042JL</v>
      </c>
      <c r="AV110" s="259" t="str">
        <f t="shared" si="18"/>
        <v>Feb-16</v>
      </c>
    </row>
    <row r="111" spans="1:48" ht="15" hidden="1" customHeight="1">
      <c r="A111" s="564">
        <v>151</v>
      </c>
      <c r="B111" s="568" t="s">
        <v>280</v>
      </c>
      <c r="C111" s="565" t="s">
        <v>281</v>
      </c>
      <c r="D111" s="594">
        <v>109220</v>
      </c>
      <c r="E111" s="589" t="s">
        <v>478</v>
      </c>
      <c r="F111" s="568" t="s">
        <v>256</v>
      </c>
      <c r="G111" s="568" t="s">
        <v>24</v>
      </c>
      <c r="H111" s="568" t="s">
        <v>26</v>
      </c>
      <c r="I111" s="594" t="s">
        <v>479</v>
      </c>
      <c r="J111" s="594">
        <v>1</v>
      </c>
      <c r="K111" s="568" t="s">
        <v>311</v>
      </c>
      <c r="L111" s="595">
        <v>43518</v>
      </c>
      <c r="M111" s="571">
        <v>6.2899999999999998E-2</v>
      </c>
      <c r="N111" s="568" t="s">
        <v>341</v>
      </c>
      <c r="P111" s="571" t="str">
        <f>VLOOKUP(A111,'[1]Raw data'!$B:$BB,23,FALSE)</f>
        <v>JPY</v>
      </c>
      <c r="Q111" s="568" t="str">
        <f>VLOOKUP(A111,'[1]Raw data'!$B:$Z,2,FALSE)</f>
        <v>C49SZX20180156SX</v>
      </c>
      <c r="R111" s="568" t="str">
        <f>VLOOKUP(A111,'[1]Raw data'!$B:$Z,3,FALSE)</f>
        <v>可祁</v>
      </c>
      <c r="S111" s="568" t="str">
        <f>VLOOKUP(A111,'[1]Raw data'!$B:$Z,4,FALSE)</f>
        <v>YSM20R(SV)-2</v>
      </c>
      <c r="T111" s="568" t="str">
        <f>VLOOKUP(A111,'[1]Raw data'!$B:$Z,8,FALSE)</f>
        <v>L-&gt;R</v>
      </c>
      <c r="U111" s="568" t="str">
        <f>VLOOKUP(A111,'[1]Raw data'!$B:$Z,9,FALSE)</f>
        <v>No</v>
      </c>
      <c r="V111" s="572" t="str">
        <f t="shared" si="19"/>
        <v>OK</v>
      </c>
      <c r="W111" s="568" t="str">
        <f>VLOOKUP(A111,'[1]Raw data'!$B:$AG,32,FALSE)</f>
        <v>DAP 广州</v>
      </c>
      <c r="X111" s="568">
        <f>VLOOKUP(A111,'[1]Raw data'!$B:$BA,31,FALSE)</f>
        <v>43398</v>
      </c>
      <c r="Y111" s="568" t="str">
        <f>VLOOKUP(A111,'[1]Raw data'!$B:$AS,39,FALSE)</f>
        <v>Yes</v>
      </c>
      <c r="Z111" s="573" t="s">
        <v>290</v>
      </c>
      <c r="AA111" s="574" t="s">
        <v>290</v>
      </c>
      <c r="AB111" s="596"/>
      <c r="AC111" s="589" t="s">
        <v>291</v>
      </c>
      <c r="AD111" s="597"/>
      <c r="AE111" s="597"/>
      <c r="AF111" s="597"/>
      <c r="AG111" s="597"/>
      <c r="AH111" s="597"/>
      <c r="AI111" s="598"/>
      <c r="AJ111" s="597"/>
      <c r="AK111" s="597"/>
      <c r="AL111" s="597"/>
      <c r="AM111" s="597"/>
      <c r="AN111" s="547"/>
      <c r="AO111" s="829" t="str">
        <f t="shared" si="11"/>
        <v>Yes</v>
      </c>
      <c r="AP111" s="259" t="str">
        <f t="shared" si="12"/>
        <v>APR 19</v>
      </c>
      <c r="AQ111" s="547" t="str">
        <f t="shared" si="13"/>
        <v>有定金+有預留客戶</v>
      </c>
      <c r="AR111" s="259" t="str">
        <f t="shared" si="14"/>
        <v>Shipped_Stock</v>
      </c>
      <c r="AS111" s="259" t="str">
        <f t="shared" si="15"/>
        <v/>
      </c>
      <c r="AT111" s="259" t="str">
        <f t="shared" si="16"/>
        <v>可祁</v>
      </c>
      <c r="AU111" s="259" t="str">
        <f t="shared" si="17"/>
        <v>C49SZX20180156SX</v>
      </c>
      <c r="AV111" s="259" t="str">
        <f t="shared" si="18"/>
        <v>Feb-22</v>
      </c>
    </row>
    <row r="112" spans="1:48" ht="15" hidden="1" customHeight="1">
      <c r="A112" s="564">
        <v>150</v>
      </c>
      <c r="B112" s="568" t="s">
        <v>280</v>
      </c>
      <c r="C112" s="565" t="s">
        <v>281</v>
      </c>
      <c r="D112" s="569">
        <v>109220</v>
      </c>
      <c r="E112" s="568" t="s">
        <v>480</v>
      </c>
      <c r="F112" s="568" t="s">
        <v>256</v>
      </c>
      <c r="G112" s="568" t="s">
        <v>24</v>
      </c>
      <c r="H112" s="568" t="s">
        <v>26</v>
      </c>
      <c r="I112" s="569" t="s">
        <v>481</v>
      </c>
      <c r="J112" s="569">
        <v>1</v>
      </c>
      <c r="K112" s="568" t="s">
        <v>311</v>
      </c>
      <c r="L112" s="595">
        <v>43518</v>
      </c>
      <c r="M112" s="571">
        <v>6.2899999999999998E-2</v>
      </c>
      <c r="N112" s="568" t="s">
        <v>341</v>
      </c>
      <c r="P112" s="571" t="str">
        <f>VLOOKUP(A112,'[1]Raw data'!$B:$BB,23,FALSE)</f>
        <v>JPY</v>
      </c>
      <c r="Q112" s="568" t="str">
        <f>VLOOKUP(A112,'[1]Raw data'!$B:$Z,2,FALSE)</f>
        <v>C49SZX20180156SX</v>
      </c>
      <c r="R112" s="568" t="str">
        <f>VLOOKUP(A112,'[1]Raw data'!$B:$Z,3,FALSE)</f>
        <v>可祁</v>
      </c>
      <c r="S112" s="568" t="str">
        <f>VLOOKUP(A112,'[1]Raw data'!$B:$Z,4,FALSE)</f>
        <v>YSM20R(SV)-2</v>
      </c>
      <c r="T112" s="568" t="str">
        <f>VLOOKUP(A112,'[1]Raw data'!$B:$Z,8,FALSE)</f>
        <v>L-&gt;R</v>
      </c>
      <c r="U112" s="568" t="str">
        <f>VLOOKUP(A112,'[1]Raw data'!$B:$Z,9,FALSE)</f>
        <v>No</v>
      </c>
      <c r="V112" s="572" t="str">
        <f t="shared" si="19"/>
        <v>OK</v>
      </c>
      <c r="W112" s="568" t="str">
        <f>VLOOKUP(A112,'[1]Raw data'!$B:$AG,32,FALSE)</f>
        <v>DAP 广州</v>
      </c>
      <c r="X112" s="568">
        <f>VLOOKUP(A112,'[1]Raw data'!$B:$BA,31,FALSE)</f>
        <v>43398</v>
      </c>
      <c r="Y112" s="568" t="str">
        <f>VLOOKUP(A112,'[1]Raw data'!$B:$AS,39,FALSE)</f>
        <v>Yes</v>
      </c>
      <c r="Z112" s="573" t="s">
        <v>290</v>
      </c>
      <c r="AA112" s="574" t="s">
        <v>290</v>
      </c>
      <c r="AB112" s="575"/>
      <c r="AC112" s="568" t="s">
        <v>291</v>
      </c>
      <c r="AN112" s="547"/>
      <c r="AO112" s="829" t="str">
        <f t="shared" si="11"/>
        <v>Yes</v>
      </c>
      <c r="AP112" s="259" t="str">
        <f t="shared" si="12"/>
        <v>APR 19</v>
      </c>
      <c r="AQ112" s="547" t="str">
        <f t="shared" si="13"/>
        <v>有定金+有預留客戶</v>
      </c>
      <c r="AR112" s="259" t="str">
        <f t="shared" si="14"/>
        <v>Shipped_Stock</v>
      </c>
      <c r="AS112" s="259" t="str">
        <f t="shared" si="15"/>
        <v/>
      </c>
      <c r="AT112" s="259" t="str">
        <f t="shared" si="16"/>
        <v>可祁</v>
      </c>
      <c r="AU112" s="259" t="str">
        <f t="shared" si="17"/>
        <v>C49SZX20180156SX</v>
      </c>
      <c r="AV112" s="259" t="str">
        <f t="shared" si="18"/>
        <v>Feb-22</v>
      </c>
    </row>
    <row r="113" spans="1:69" ht="15" hidden="1" customHeight="1">
      <c r="A113" s="564">
        <v>184</v>
      </c>
      <c r="B113" s="568" t="s">
        <v>280</v>
      </c>
      <c r="C113" s="565" t="s">
        <v>281</v>
      </c>
      <c r="D113" s="569">
        <v>109220</v>
      </c>
      <c r="E113" s="568" t="s">
        <v>480</v>
      </c>
      <c r="F113" s="568" t="s">
        <v>256</v>
      </c>
      <c r="G113" s="568" t="s">
        <v>24</v>
      </c>
      <c r="H113" s="568" t="s">
        <v>27</v>
      </c>
      <c r="I113" s="569" t="s">
        <v>482</v>
      </c>
      <c r="J113" s="569">
        <v>1</v>
      </c>
      <c r="K113" s="568" t="s">
        <v>311</v>
      </c>
      <c r="L113" s="595">
        <v>43518</v>
      </c>
      <c r="M113" s="571">
        <v>6.2899999999999998E-2</v>
      </c>
      <c r="N113" s="568" t="s">
        <v>334</v>
      </c>
      <c r="P113" s="571" t="str">
        <f>VLOOKUP(A113,'[1]Raw data'!$B:$BB,23,FALSE)</f>
        <v>JPY</v>
      </c>
      <c r="Q113" s="568" t="str">
        <f>VLOOKUP(A113,'[1]Raw data'!$B:$Z,2,FALSE)</f>
        <v>C49SZX20180175SX</v>
      </c>
      <c r="R113" s="568" t="str">
        <f>VLOOKUP(A113,'[1]Raw data'!$B:$Z,3,FALSE)</f>
        <v>永顺创</v>
      </c>
      <c r="S113" s="568" t="str">
        <f>VLOOKUP(A113,'[1]Raw data'!$B:$Z,4,FALSE)</f>
        <v>YSM20R(SV)-2</v>
      </c>
      <c r="T113" s="568" t="str">
        <f>VLOOKUP(A113,'[1]Raw data'!$B:$Z,8,FALSE)</f>
        <v>L-&gt;R</v>
      </c>
      <c r="U113" s="568" t="str">
        <f>VLOOKUP(A113,'[1]Raw data'!$B:$Z,9,FALSE)</f>
        <v>MVC</v>
      </c>
      <c r="V113" s="572" t="str">
        <f t="shared" si="19"/>
        <v>OK</v>
      </c>
      <c r="W113" s="568" t="str">
        <f>VLOOKUP(A113,'[1]Raw data'!$B:$AG,32,FALSE)</f>
        <v>DAP深圳</v>
      </c>
      <c r="X113" s="568">
        <f>VLOOKUP(A113,'[1]Raw data'!$B:$BA,31,FALSE)</f>
        <v>43425</v>
      </c>
      <c r="Y113" s="568" t="str">
        <f>VLOOKUP(A113,'[1]Raw data'!$B:$AS,39,FALSE)</f>
        <v>Yes</v>
      </c>
      <c r="Z113" s="573" t="s">
        <v>290</v>
      </c>
      <c r="AA113" s="574" t="s">
        <v>290</v>
      </c>
      <c r="AB113" s="575"/>
      <c r="AC113" s="568" t="s">
        <v>291</v>
      </c>
      <c r="AN113" s="547"/>
      <c r="AO113" s="829" t="str">
        <f t="shared" si="11"/>
        <v>Yes</v>
      </c>
      <c r="AP113" s="259" t="str">
        <f t="shared" si="12"/>
        <v>MAR 19</v>
      </c>
      <c r="AQ113" s="547" t="str">
        <f t="shared" si="13"/>
        <v>有定金+有預留客戶</v>
      </c>
      <c r="AR113" s="259" t="str">
        <f t="shared" si="14"/>
        <v>Shipped_Stock</v>
      </c>
      <c r="AS113" s="259" t="str">
        <f t="shared" si="15"/>
        <v/>
      </c>
      <c r="AT113" s="259" t="str">
        <f t="shared" si="16"/>
        <v>永顺创</v>
      </c>
      <c r="AU113" s="259" t="str">
        <f t="shared" si="17"/>
        <v>C49SZX20180175SX</v>
      </c>
      <c r="AV113" s="259" t="str">
        <f t="shared" si="18"/>
        <v>Feb-22</v>
      </c>
    </row>
    <row r="114" spans="1:69" ht="14.25" hidden="1" customHeight="1">
      <c r="A114" s="564">
        <v>185</v>
      </c>
      <c r="B114" s="568" t="s">
        <v>280</v>
      </c>
      <c r="C114" s="565" t="s">
        <v>281</v>
      </c>
      <c r="D114" s="569">
        <v>109220</v>
      </c>
      <c r="E114" s="568" t="s">
        <v>480</v>
      </c>
      <c r="F114" s="568" t="s">
        <v>256</v>
      </c>
      <c r="G114" s="568" t="s">
        <v>24</v>
      </c>
      <c r="H114" s="568" t="s">
        <v>27</v>
      </c>
      <c r="I114" s="569" t="s">
        <v>483</v>
      </c>
      <c r="J114" s="569">
        <v>1</v>
      </c>
      <c r="K114" s="568" t="s">
        <v>311</v>
      </c>
      <c r="L114" s="595">
        <v>43518</v>
      </c>
      <c r="M114" s="571">
        <v>6.2899999999999998E-2</v>
      </c>
      <c r="N114" s="568" t="s">
        <v>334</v>
      </c>
      <c r="P114" s="571" t="str">
        <f>VLOOKUP(A114,'[1]Raw data'!$B:$BB,23,FALSE)</f>
        <v>JPY</v>
      </c>
      <c r="Q114" s="568" t="str">
        <f>VLOOKUP(A114,'[1]Raw data'!$B:$Z,2,FALSE)</f>
        <v>C49SZX20180175SX</v>
      </c>
      <c r="R114" s="568" t="str">
        <f>VLOOKUP(A114,'[1]Raw data'!$B:$Z,3,FALSE)</f>
        <v>永顺创</v>
      </c>
      <c r="S114" s="568" t="str">
        <f>VLOOKUP(A114,'[1]Raw data'!$B:$Z,4,FALSE)</f>
        <v>YSM20R(SV)-2</v>
      </c>
      <c r="T114" s="568" t="str">
        <f>VLOOKUP(A114,'[1]Raw data'!$B:$Z,8,FALSE)</f>
        <v>L-&gt;R</v>
      </c>
      <c r="U114" s="568" t="str">
        <f>VLOOKUP(A114,'[1]Raw data'!$B:$Z,9,FALSE)</f>
        <v>MVC</v>
      </c>
      <c r="V114" s="572" t="str">
        <f t="shared" si="19"/>
        <v>OK</v>
      </c>
      <c r="W114" s="568" t="str">
        <f>VLOOKUP(A114,'[1]Raw data'!$B:$AG,32,FALSE)</f>
        <v>DAP深圳</v>
      </c>
      <c r="X114" s="568">
        <f>VLOOKUP(A114,'[1]Raw data'!$B:$BA,31,FALSE)</f>
        <v>43425</v>
      </c>
      <c r="Y114" s="568" t="str">
        <f>VLOOKUP(A114,'[1]Raw data'!$B:$AS,39,FALSE)</f>
        <v>Yes</v>
      </c>
      <c r="Z114" s="573"/>
      <c r="AA114" s="574" t="s">
        <v>329</v>
      </c>
      <c r="AB114" s="575"/>
      <c r="AC114" s="568" t="s">
        <v>291</v>
      </c>
      <c r="AN114" s="547"/>
      <c r="AO114" s="829" t="str">
        <f t="shared" si="11"/>
        <v>Yes</v>
      </c>
      <c r="AP114" s="259" t="str">
        <f t="shared" si="12"/>
        <v>MAR 19</v>
      </c>
      <c r="AQ114" s="547" t="str">
        <f t="shared" si="13"/>
        <v>有定金+有預留客戶</v>
      </c>
      <c r="AR114" s="259" t="str">
        <f t="shared" si="14"/>
        <v>Shipped_Stock</v>
      </c>
      <c r="AS114" s="259" t="str">
        <f t="shared" si="15"/>
        <v/>
      </c>
      <c r="AT114" s="259" t="str">
        <f t="shared" si="16"/>
        <v>永顺创</v>
      </c>
      <c r="AU114" s="259" t="str">
        <f t="shared" si="17"/>
        <v>C49SZX20180175SX</v>
      </c>
      <c r="AV114" s="259" t="str">
        <f t="shared" si="18"/>
        <v>Feb-22</v>
      </c>
    </row>
    <row r="115" spans="1:69" ht="15" hidden="1" customHeight="1">
      <c r="A115" s="564">
        <v>229</v>
      </c>
      <c r="B115" s="568" t="s">
        <v>280</v>
      </c>
      <c r="C115" s="565" t="s">
        <v>281</v>
      </c>
      <c r="D115" s="594">
        <v>109393</v>
      </c>
      <c r="E115" s="589" t="s">
        <v>423</v>
      </c>
      <c r="F115" s="568" t="s">
        <v>256</v>
      </c>
      <c r="G115" s="568" t="s">
        <v>24</v>
      </c>
      <c r="H115" s="589" t="s">
        <v>26</v>
      </c>
      <c r="I115" s="594" t="s">
        <v>484</v>
      </c>
      <c r="J115" s="594">
        <v>1</v>
      </c>
      <c r="K115" s="589" t="s">
        <v>425</v>
      </c>
      <c r="L115" s="595">
        <v>43518</v>
      </c>
      <c r="M115" s="571">
        <v>6.2899999999999998E-2</v>
      </c>
      <c r="N115" s="568" t="s">
        <v>334</v>
      </c>
      <c r="P115" s="571" t="str">
        <f>VLOOKUP(A115,'[1]Raw data'!$B:$BB,23,FALSE)</f>
        <v>JPY</v>
      </c>
      <c r="Q115" s="568" t="str">
        <f>VLOOKUP(A115,'[1]Raw data'!$B:$Z,2,FALSE)</f>
        <v>C49SZX20190013DZ</v>
      </c>
      <c r="R115" s="568" t="str">
        <f>VLOOKUP(A115,'[1]Raw data'!$B:$Z,3,FALSE)</f>
        <v>兆晖</v>
      </c>
      <c r="S115" s="568" t="str">
        <f>VLOOKUP(A115,'[1]Raw data'!$B:$Z,4,FALSE)</f>
        <v>YSM20R(SV)-2</v>
      </c>
      <c r="T115" s="568" t="str">
        <f>VLOOKUP(A115,'[1]Raw data'!$B:$Z,8,FALSE)</f>
        <v>L-&gt;R</v>
      </c>
      <c r="U115" s="568" t="str">
        <f>VLOOKUP(A115,'[1]Raw data'!$B:$Z,9,FALSE)</f>
        <v>MVC</v>
      </c>
      <c r="V115" s="572" t="str">
        <f t="shared" si="19"/>
        <v>WRONG</v>
      </c>
      <c r="W115" s="568" t="str">
        <f>VLOOKUP(A115,'[1]Raw data'!$B:$AG,32,FALSE)</f>
        <v xml:space="preserve">CIF </v>
      </c>
      <c r="X115" s="568">
        <f>VLOOKUP(A115,'[1]Raw data'!$B:$BA,31,FALSE)</f>
        <v>43488</v>
      </c>
      <c r="Y115" s="568" t="str">
        <f>VLOOKUP(A115,'[1]Raw data'!$B:$AS,39,FALSE)</f>
        <v>Yes</v>
      </c>
      <c r="Z115" s="574"/>
      <c r="AA115" s="574" t="s">
        <v>290</v>
      </c>
      <c r="AB115" s="596"/>
      <c r="AC115" s="589" t="s">
        <v>291</v>
      </c>
      <c r="AD115" s="597"/>
      <c r="AE115" s="597"/>
      <c r="AF115" s="597"/>
      <c r="AG115" s="597"/>
      <c r="AH115" s="597"/>
      <c r="AI115" s="598"/>
      <c r="AJ115" s="597"/>
      <c r="AK115" s="597"/>
      <c r="AL115" s="597"/>
      <c r="AM115" s="597"/>
      <c r="AN115" s="547"/>
      <c r="AO115" s="829" t="str">
        <f t="shared" si="11"/>
        <v>Yes</v>
      </c>
      <c r="AP115" s="259" t="str">
        <f t="shared" si="12"/>
        <v>MAR 19</v>
      </c>
      <c r="AQ115" s="547" t="str">
        <f t="shared" si="13"/>
        <v>有定金+有預留客戶</v>
      </c>
      <c r="AR115" s="259" t="str">
        <f t="shared" si="14"/>
        <v>Shipped_Stock</v>
      </c>
      <c r="AS115" s="259" t="str">
        <f t="shared" si="15"/>
        <v/>
      </c>
      <c r="AT115" s="259" t="str">
        <f t="shared" si="16"/>
        <v>兆晖</v>
      </c>
      <c r="AU115" s="259" t="str">
        <f t="shared" si="17"/>
        <v>C49SZX20190013DZ</v>
      </c>
      <c r="AV115" s="259" t="str">
        <f t="shared" si="18"/>
        <v>Feb-22</v>
      </c>
    </row>
    <row r="116" spans="1:69" ht="15" hidden="1" customHeight="1">
      <c r="A116" s="564">
        <v>228</v>
      </c>
      <c r="B116" s="568" t="s">
        <v>280</v>
      </c>
      <c r="C116" s="565" t="s">
        <v>281</v>
      </c>
      <c r="D116" s="569">
        <v>109393</v>
      </c>
      <c r="E116" s="568" t="s">
        <v>485</v>
      </c>
      <c r="F116" s="568" t="s">
        <v>256</v>
      </c>
      <c r="G116" s="568" t="s">
        <v>24</v>
      </c>
      <c r="H116" s="568" t="s">
        <v>26</v>
      </c>
      <c r="I116" s="569" t="s">
        <v>486</v>
      </c>
      <c r="J116" s="569">
        <v>1</v>
      </c>
      <c r="K116" s="568" t="s">
        <v>311</v>
      </c>
      <c r="L116" s="595">
        <v>43518</v>
      </c>
      <c r="M116" s="571">
        <v>6.2899999999999998E-2</v>
      </c>
      <c r="N116" s="568" t="s">
        <v>334</v>
      </c>
      <c r="P116" s="571" t="str">
        <f>VLOOKUP(A116,'[1]Raw data'!$B:$BB,23,FALSE)</f>
        <v>JPY</v>
      </c>
      <c r="Q116" s="568" t="str">
        <f>VLOOKUP(A116,'[1]Raw data'!$B:$Z,2,FALSE)</f>
        <v>C49SZX20190013DZ</v>
      </c>
      <c r="R116" s="568" t="str">
        <f>VLOOKUP(A116,'[1]Raw data'!$B:$Z,3,FALSE)</f>
        <v>兆晖</v>
      </c>
      <c r="S116" s="568" t="str">
        <f>VLOOKUP(A116,'[1]Raw data'!$B:$Z,4,FALSE)</f>
        <v>YSM20R(SV)-2</v>
      </c>
      <c r="T116" s="568" t="str">
        <f>VLOOKUP(A116,'[1]Raw data'!$B:$Z,8,FALSE)</f>
        <v>L-&gt;R</v>
      </c>
      <c r="U116" s="568" t="str">
        <f>VLOOKUP(A116,'[1]Raw data'!$B:$Z,9,FALSE)</f>
        <v>MVC</v>
      </c>
      <c r="V116" s="572" t="str">
        <f t="shared" si="19"/>
        <v>WRONG</v>
      </c>
      <c r="W116" s="568" t="str">
        <f>VLOOKUP(A116,'[1]Raw data'!$B:$AG,32,FALSE)</f>
        <v xml:space="preserve">CIF </v>
      </c>
      <c r="X116" s="568">
        <f>VLOOKUP(A116,'[1]Raw data'!$B:$BA,31,FALSE)</f>
        <v>43488</v>
      </c>
      <c r="Y116" s="568" t="str">
        <f>VLOOKUP(A116,'[1]Raw data'!$B:$AS,39,FALSE)</f>
        <v>Yes</v>
      </c>
      <c r="Z116" s="573"/>
      <c r="AA116" s="574" t="s">
        <v>290</v>
      </c>
      <c r="AB116" s="575"/>
      <c r="AC116" s="568" t="s">
        <v>291</v>
      </c>
      <c r="AN116" s="547"/>
      <c r="AO116" s="829" t="str">
        <f t="shared" si="11"/>
        <v>Yes</v>
      </c>
      <c r="AP116" s="259" t="str">
        <f t="shared" si="12"/>
        <v>MAR 19</v>
      </c>
      <c r="AQ116" s="547" t="str">
        <f t="shared" si="13"/>
        <v>有定金+有預留客戶</v>
      </c>
      <c r="AR116" s="259" t="str">
        <f t="shared" si="14"/>
        <v>Shipped_Stock</v>
      </c>
      <c r="AS116" s="259" t="str">
        <f t="shared" si="15"/>
        <v/>
      </c>
      <c r="AT116" s="259" t="str">
        <f t="shared" si="16"/>
        <v>兆晖</v>
      </c>
      <c r="AU116" s="259" t="str">
        <f t="shared" si="17"/>
        <v>C49SZX20190013DZ</v>
      </c>
      <c r="AV116" s="259" t="str">
        <f t="shared" si="18"/>
        <v>Feb-22</v>
      </c>
    </row>
    <row r="117" spans="1:69" ht="15" hidden="1" customHeight="1">
      <c r="A117" s="564">
        <v>227</v>
      </c>
      <c r="B117" s="568" t="s">
        <v>280</v>
      </c>
      <c r="C117" s="565" t="s">
        <v>281</v>
      </c>
      <c r="D117" s="569">
        <v>109393</v>
      </c>
      <c r="E117" s="568" t="s">
        <v>485</v>
      </c>
      <c r="F117" s="568" t="s">
        <v>256</v>
      </c>
      <c r="G117" s="568" t="s">
        <v>24</v>
      </c>
      <c r="H117" s="568" t="s">
        <v>26</v>
      </c>
      <c r="I117" s="569" t="s">
        <v>487</v>
      </c>
      <c r="J117" s="569">
        <v>1</v>
      </c>
      <c r="K117" s="568" t="s">
        <v>311</v>
      </c>
      <c r="L117" s="595">
        <v>43518</v>
      </c>
      <c r="M117" s="571">
        <v>6.2899999999999998E-2</v>
      </c>
      <c r="N117" s="568" t="s">
        <v>334</v>
      </c>
      <c r="P117" s="571" t="str">
        <f>VLOOKUP(A117,'[1]Raw data'!$B:$BB,23,FALSE)</f>
        <v>JPY</v>
      </c>
      <c r="Q117" s="568" t="str">
        <f>VLOOKUP(A117,'[1]Raw data'!$B:$Z,2,FALSE)</f>
        <v>C49SZX20190013DZ</v>
      </c>
      <c r="R117" s="568" t="str">
        <f>VLOOKUP(A117,'[1]Raw data'!$B:$Z,3,FALSE)</f>
        <v>兆晖</v>
      </c>
      <c r="S117" s="568" t="str">
        <f>VLOOKUP(A117,'[1]Raw data'!$B:$Z,4,FALSE)</f>
        <v>YSM20R(SV)-2</v>
      </c>
      <c r="T117" s="568" t="str">
        <f>VLOOKUP(A117,'[1]Raw data'!$B:$Z,8,FALSE)</f>
        <v>L-&gt;R</v>
      </c>
      <c r="U117" s="568" t="str">
        <f>VLOOKUP(A117,'[1]Raw data'!$B:$Z,9,FALSE)</f>
        <v>MVC</v>
      </c>
      <c r="V117" s="572" t="str">
        <f t="shared" si="19"/>
        <v>WRONG</v>
      </c>
      <c r="W117" s="568" t="str">
        <f>VLOOKUP(A117,'[1]Raw data'!$B:$AG,32,FALSE)</f>
        <v xml:space="preserve">CIF </v>
      </c>
      <c r="X117" s="568">
        <f>VLOOKUP(A117,'[1]Raw data'!$B:$BA,31,FALSE)</f>
        <v>43488</v>
      </c>
      <c r="Y117" s="568" t="str">
        <f>VLOOKUP(A117,'[1]Raw data'!$B:$AS,39,FALSE)</f>
        <v>Yes</v>
      </c>
      <c r="Z117" s="573"/>
      <c r="AA117" s="574" t="s">
        <v>290</v>
      </c>
      <c r="AB117" s="575"/>
      <c r="AC117" s="568" t="s">
        <v>291</v>
      </c>
      <c r="AN117" s="547"/>
      <c r="AO117" s="829" t="str">
        <f t="shared" si="11"/>
        <v>Yes</v>
      </c>
      <c r="AP117" s="259" t="str">
        <f t="shared" si="12"/>
        <v>MAR 19</v>
      </c>
      <c r="AQ117" s="547" t="str">
        <f t="shared" si="13"/>
        <v>有定金+有預留客戶</v>
      </c>
      <c r="AR117" s="259" t="str">
        <f t="shared" si="14"/>
        <v>Shipped_Stock</v>
      </c>
      <c r="AS117" s="259" t="str">
        <f t="shared" si="15"/>
        <v/>
      </c>
      <c r="AT117" s="259" t="str">
        <f t="shared" si="16"/>
        <v>兆晖</v>
      </c>
      <c r="AU117" s="259" t="str">
        <f t="shared" si="17"/>
        <v>C49SZX20190013DZ</v>
      </c>
      <c r="AV117" s="259" t="str">
        <f t="shared" si="18"/>
        <v>Feb-22</v>
      </c>
    </row>
    <row r="118" spans="1:69" ht="15" hidden="1" customHeight="1">
      <c r="A118" s="564">
        <v>81</v>
      </c>
      <c r="B118" s="568" t="s">
        <v>280</v>
      </c>
      <c r="C118" s="565" t="s">
        <v>281</v>
      </c>
      <c r="D118" s="569">
        <v>109431</v>
      </c>
      <c r="E118" s="568" t="s">
        <v>488</v>
      </c>
      <c r="F118" s="568" t="s">
        <v>256</v>
      </c>
      <c r="G118" s="568" t="s">
        <v>24</v>
      </c>
      <c r="H118" s="568" t="s">
        <v>26</v>
      </c>
      <c r="I118" s="569" t="s">
        <v>489</v>
      </c>
      <c r="J118" s="569">
        <v>1</v>
      </c>
      <c r="K118" s="568" t="s">
        <v>311</v>
      </c>
      <c r="L118" s="570">
        <v>43527</v>
      </c>
      <c r="M118" s="571">
        <v>6.2E-2</v>
      </c>
      <c r="N118" s="568" t="s">
        <v>334</v>
      </c>
      <c r="P118" s="571" t="str">
        <f>VLOOKUP(A118,'[1]Raw data'!$B:$BB,23,FALSE)</f>
        <v>JPY</v>
      </c>
      <c r="Q118" s="568" t="str">
        <f>VLOOKUP(A118,'[1]Raw data'!$B:$Z,2,FALSE)</f>
        <v>C49SZX20180086DZ</v>
      </c>
      <c r="R118" s="568" t="str">
        <f>VLOOKUP(A118,'[1]Raw data'!$B:$Z,3,FALSE)</f>
        <v>BBS好兄弟</v>
      </c>
      <c r="S118" s="568" t="str">
        <f>VLOOKUP(A118,'[1]Raw data'!$B:$Z,4,FALSE)</f>
        <v>YSM20-2</v>
      </c>
      <c r="T118" s="568" t="str">
        <f>VLOOKUP(A118,'[1]Raw data'!$B:$Z,8,FALSE)</f>
        <v>L-&gt;R</v>
      </c>
      <c r="U118" s="568" t="str">
        <f>VLOOKUP(A118,'[1]Raw data'!$B:$Z,9,FALSE)</f>
        <v>No</v>
      </c>
      <c r="V118" s="572" t="str">
        <f t="shared" si="19"/>
        <v>OK</v>
      </c>
      <c r="W118" s="568" t="str">
        <f>VLOOKUP(A118,'[1]Raw data'!$B:$AG,32,FALSE)</f>
        <v>CIF HK</v>
      </c>
      <c r="X118" s="568">
        <f>VLOOKUP(A118,'[1]Raw data'!$B:$BA,31,FALSE)</f>
        <v>43251</v>
      </c>
      <c r="Y118" s="568" t="str">
        <f>VLOOKUP(A118,'[1]Raw data'!$B:$AS,39,FALSE)</f>
        <v>Yes</v>
      </c>
      <c r="Z118" s="573" t="s">
        <v>290</v>
      </c>
      <c r="AA118" s="574" t="s">
        <v>290</v>
      </c>
      <c r="AB118" s="575"/>
      <c r="AC118" s="568" t="s">
        <v>291</v>
      </c>
      <c r="AN118" s="547"/>
      <c r="AO118" s="829" t="str">
        <f t="shared" si="11"/>
        <v>Yes</v>
      </c>
      <c r="AP118" s="259" t="str">
        <f t="shared" si="12"/>
        <v>MAR 19</v>
      </c>
      <c r="AQ118" s="547" t="str">
        <f t="shared" si="13"/>
        <v>有定金+有預留客戶</v>
      </c>
      <c r="AR118" s="259" t="str">
        <f t="shared" si="14"/>
        <v>Shipped_Stock</v>
      </c>
      <c r="AS118" s="259" t="str">
        <f t="shared" si="15"/>
        <v/>
      </c>
      <c r="AT118" s="259" t="str">
        <f t="shared" si="16"/>
        <v>BBS好兄弟</v>
      </c>
      <c r="AU118" s="259" t="str">
        <f t="shared" si="17"/>
        <v>C49SZX20180086DZ</v>
      </c>
      <c r="AV118" s="259" t="str">
        <f t="shared" si="18"/>
        <v>Mar-03</v>
      </c>
    </row>
    <row r="119" spans="1:69" ht="15" hidden="1" customHeight="1">
      <c r="A119" s="564">
        <v>238</v>
      </c>
      <c r="B119" s="568" t="s">
        <v>280</v>
      </c>
      <c r="C119" s="565" t="s">
        <v>281</v>
      </c>
      <c r="D119" s="569">
        <v>109431</v>
      </c>
      <c r="E119" s="568" t="s">
        <v>488</v>
      </c>
      <c r="F119" s="568" t="s">
        <v>256</v>
      </c>
      <c r="G119" s="568" t="s">
        <v>18</v>
      </c>
      <c r="H119" s="568" t="s">
        <v>26</v>
      </c>
      <c r="I119" s="569" t="s">
        <v>490</v>
      </c>
      <c r="J119" s="569">
        <v>1</v>
      </c>
      <c r="K119" s="568" t="s">
        <v>311</v>
      </c>
      <c r="L119" s="570">
        <v>43527</v>
      </c>
      <c r="M119" s="571">
        <v>6.2E-2</v>
      </c>
      <c r="N119" s="568" t="s">
        <v>334</v>
      </c>
      <c r="P119" s="571" t="str">
        <f>VLOOKUP(A119,'[1]Raw data'!$B:$BB,23,FALSE)</f>
        <v>JPY</v>
      </c>
      <c r="Q119" s="568" t="str">
        <f>VLOOKUP(A119,'[1]Raw data'!$B:$Z,2,FALSE)</f>
        <v>C49SZX20190022SS</v>
      </c>
      <c r="R119" s="568" t="str">
        <f>VLOOKUP(A119,'[1]Raw data'!$B:$Z,3,FALSE)</f>
        <v>智宏创</v>
      </c>
      <c r="S119" s="568" t="str">
        <f>VLOOKUP(A119,'[1]Raw data'!$B:$Z,4,FALSE)</f>
        <v>YSM20R(SV)-2</v>
      </c>
      <c r="T119" s="568" t="str">
        <f>VLOOKUP(A119,'[1]Raw data'!$B:$Z,8,FALSE)</f>
        <v>R-&gt;L</v>
      </c>
      <c r="U119" s="568" t="str">
        <f>VLOOKUP(A119,'[1]Raw data'!$B:$Z,9,FALSE)</f>
        <v>MVC</v>
      </c>
      <c r="V119" s="572" t="str">
        <f t="shared" si="19"/>
        <v>WRONG</v>
      </c>
      <c r="W119" s="568" t="str">
        <f>VLOOKUP(A119,'[1]Raw data'!$B:$AG,32,FALSE)</f>
        <v>DAP 深圳</v>
      </c>
      <c r="X119" s="568">
        <f>VLOOKUP(A119,'[1]Raw data'!$B:$BA,31,FALSE)</f>
        <v>43523</v>
      </c>
      <c r="Y119" s="568" t="str">
        <f>VLOOKUP(A119,'[1]Raw data'!$B:$AS,39,FALSE)</f>
        <v>Yes</v>
      </c>
      <c r="Z119" s="573" t="s">
        <v>290</v>
      </c>
      <c r="AA119" s="574" t="s">
        <v>290</v>
      </c>
      <c r="AB119" s="575"/>
      <c r="AC119" s="568" t="s">
        <v>291</v>
      </c>
      <c r="AN119" s="593"/>
      <c r="AO119" s="829" t="str">
        <f t="shared" si="11"/>
        <v>Yes</v>
      </c>
      <c r="AP119" s="259" t="str">
        <f t="shared" si="12"/>
        <v>MAR 19</v>
      </c>
      <c r="AQ119" s="547" t="str">
        <f t="shared" si="13"/>
        <v>有定金+有預留客戶</v>
      </c>
      <c r="AR119" s="259" t="str">
        <f t="shared" si="14"/>
        <v>Shipped_Stock</v>
      </c>
      <c r="AS119" s="259" t="str">
        <f t="shared" si="15"/>
        <v/>
      </c>
      <c r="AT119" s="259" t="str">
        <f t="shared" si="16"/>
        <v>智宏创</v>
      </c>
      <c r="AU119" s="259" t="str">
        <f t="shared" si="17"/>
        <v>C49SZX20190022SS</v>
      </c>
      <c r="AV119" s="259" t="str">
        <f t="shared" si="18"/>
        <v>Mar-03</v>
      </c>
    </row>
    <row r="120" spans="1:69" ht="15" hidden="1" customHeight="1">
      <c r="A120" s="564">
        <v>338</v>
      </c>
      <c r="B120" s="568" t="s">
        <v>280</v>
      </c>
      <c r="C120" s="565" t="s">
        <v>281</v>
      </c>
      <c r="D120" s="569">
        <v>109247</v>
      </c>
      <c r="E120" s="568" t="s">
        <v>491</v>
      </c>
      <c r="F120" s="568" t="s">
        <v>256</v>
      </c>
      <c r="G120" s="568" t="s">
        <v>24</v>
      </c>
      <c r="H120" s="589" t="s">
        <v>26</v>
      </c>
      <c r="I120" s="569" t="s">
        <v>492</v>
      </c>
      <c r="J120" s="569">
        <v>1</v>
      </c>
      <c r="K120" s="568" t="s">
        <v>295</v>
      </c>
      <c r="L120" s="570">
        <v>43527</v>
      </c>
      <c r="M120" s="571">
        <v>6.2E-2</v>
      </c>
      <c r="N120" s="568" t="s">
        <v>404</v>
      </c>
      <c r="O120" s="569">
        <v>2019.01</v>
      </c>
      <c r="P120" s="571" t="str">
        <f>VLOOKUP(A120,'[1]Raw data'!$B:$BB,23,FALSE)</f>
        <v>RMB</v>
      </c>
      <c r="Q120" s="568" t="str">
        <f>VLOOKUP(A120,'[1]Raw data'!$B:$Z,2,FALSE)</f>
        <v>C49SZX20190089ZX</v>
      </c>
      <c r="R120" s="568" t="str">
        <f>VLOOKUP(A120,'[1]Raw data'!$B:$Z,3,FALSE)</f>
        <v>世达威</v>
      </c>
      <c r="S120" s="568" t="str">
        <f>VLOOKUP(A120,'[1]Raw data'!$B:$Z,4,FALSE)</f>
        <v>YSM20R(SV)-2</v>
      </c>
      <c r="T120" s="568" t="str">
        <f>VLOOKUP(A120,'[1]Raw data'!$B:$Z,8,FALSE)</f>
        <v>L-&gt;R</v>
      </c>
      <c r="U120" s="568" t="str">
        <f>VLOOKUP(A120,'[1]Raw data'!$B:$Z,9,FALSE)</f>
        <v>No</v>
      </c>
      <c r="V120" s="572" t="str">
        <f t="shared" si="19"/>
        <v>OK</v>
      </c>
      <c r="W120" s="568" t="str">
        <f>VLOOKUP(A120,'[1]Raw data'!$B:$AG,32,FALSE)</f>
        <v>含税到厂</v>
      </c>
      <c r="X120" s="568">
        <f>VLOOKUP(A120,'[1]Raw data'!$B:$BA,31,FALSE)</f>
        <v>43619</v>
      </c>
      <c r="Y120" s="568" t="str">
        <f>VLOOKUP(A120,'[1]Raw data'!$B:$AS,39,FALSE)</f>
        <v>Yes</v>
      </c>
      <c r="Z120" s="573"/>
      <c r="AA120" s="574"/>
      <c r="AB120" s="575"/>
      <c r="AC120" s="568" t="s">
        <v>493</v>
      </c>
      <c r="AN120" s="547"/>
      <c r="AO120" s="829" t="str">
        <f t="shared" si="11"/>
        <v>Yes</v>
      </c>
      <c r="AP120" s="259" t="str">
        <f t="shared" si="12"/>
        <v>JUN 19</v>
      </c>
      <c r="AQ120" s="547" t="str">
        <f t="shared" si="13"/>
        <v>有定金+有預留客戶</v>
      </c>
      <c r="AR120" s="259" t="str">
        <f t="shared" si="14"/>
        <v>Shipped_Stock</v>
      </c>
      <c r="AS120" s="259" t="str">
        <f t="shared" si="15"/>
        <v/>
      </c>
      <c r="AT120" s="259" t="str">
        <f t="shared" si="16"/>
        <v>世达威</v>
      </c>
      <c r="AU120" s="259" t="str">
        <f t="shared" si="17"/>
        <v>C49SZX20190089ZX</v>
      </c>
      <c r="AV120" s="259" t="str">
        <f t="shared" si="18"/>
        <v>Mar-03</v>
      </c>
    </row>
    <row r="121" spans="1:69" ht="15" hidden="1" customHeight="1">
      <c r="A121" s="564" t="s">
        <v>494</v>
      </c>
      <c r="B121" s="568" t="s">
        <v>280</v>
      </c>
      <c r="C121" s="565" t="s">
        <v>281</v>
      </c>
      <c r="D121" s="569">
        <v>109247</v>
      </c>
      <c r="E121" s="568" t="s">
        <v>491</v>
      </c>
      <c r="F121" s="568" t="s">
        <v>256</v>
      </c>
      <c r="G121" s="568" t="s">
        <v>24</v>
      </c>
      <c r="H121" s="568" t="s">
        <v>159</v>
      </c>
      <c r="I121" s="569" t="s">
        <v>495</v>
      </c>
      <c r="J121" s="569">
        <v>1</v>
      </c>
      <c r="K121" s="568" t="s">
        <v>496</v>
      </c>
      <c r="L121" s="570">
        <v>43527</v>
      </c>
      <c r="M121" s="571">
        <v>6.2E-2</v>
      </c>
      <c r="N121" s="568" t="s">
        <v>286</v>
      </c>
      <c r="O121" s="569">
        <v>2019.02</v>
      </c>
      <c r="P121" s="571" t="e">
        <f>VLOOKUP(A121,'[1]Raw data'!$B:$BB,23,FALSE)</f>
        <v>#N/A</v>
      </c>
      <c r="Q121" s="568" t="e">
        <f>VLOOKUP(A121,'[1]Raw data'!$B:$Z,2,FALSE)</f>
        <v>#N/A</v>
      </c>
      <c r="R121" s="568" t="e">
        <f>VLOOKUP(A121,'[1]Raw data'!$B:$Z,3,FALSE)</f>
        <v>#N/A</v>
      </c>
      <c r="S121" s="568" t="e">
        <f>VLOOKUP(A121,'[1]Raw data'!$B:$Z,4,FALSE)</f>
        <v>#N/A</v>
      </c>
      <c r="T121" s="568" t="e">
        <f>VLOOKUP(A121,'[1]Raw data'!$B:$Z,8,FALSE)</f>
        <v>#N/A</v>
      </c>
      <c r="U121" s="568" t="e">
        <f>VLOOKUP(A121,'[1]Raw data'!$B:$Z,9,FALSE)</f>
        <v>#N/A</v>
      </c>
      <c r="V121" s="572" t="e">
        <f>IF(G121&amp;H172=T121&amp;U121,"OK","WRONG")</f>
        <v>#N/A</v>
      </c>
      <c r="W121" s="568" t="e">
        <f>VLOOKUP(A121,'[1]Raw data'!$B:$AG,32,FALSE)</f>
        <v>#N/A</v>
      </c>
      <c r="X121" s="568" t="e">
        <f>VLOOKUP(A121,'[1]Raw data'!$B:$BA,31,FALSE)</f>
        <v>#N/A</v>
      </c>
      <c r="Y121" s="568" t="e">
        <f>VLOOKUP(A121,'[1]Raw data'!$B:$AS,39,FALSE)</f>
        <v>#N/A</v>
      </c>
      <c r="Z121" s="573" t="s">
        <v>329</v>
      </c>
      <c r="AA121" s="574" t="s">
        <v>497</v>
      </c>
      <c r="AB121" s="575"/>
      <c r="AC121" s="568" t="s">
        <v>498</v>
      </c>
      <c r="AN121" s="547"/>
      <c r="AO121" s="829" t="str">
        <f t="shared" si="11"/>
        <v>No</v>
      </c>
      <c r="AP121" s="259" t="str">
        <f t="shared" si="12"/>
        <v>DEC 19</v>
      </c>
      <c r="AQ121" s="547" t="str">
        <f t="shared" si="13"/>
        <v>无定金+有預留客戶</v>
      </c>
      <c r="AR121" s="259" t="str">
        <f t="shared" si="14"/>
        <v>Shipped_Stock</v>
      </c>
      <c r="AS121" s="259" t="str">
        <f t="shared" si="15"/>
        <v/>
      </c>
      <c r="AT121" s="259" t="str">
        <f t="shared" si="16"/>
        <v>-</v>
      </c>
      <c r="AU121" s="259" t="str">
        <f t="shared" si="17"/>
        <v>-</v>
      </c>
      <c r="AV121" s="259" t="str">
        <f t="shared" si="18"/>
        <v>Mar-03</v>
      </c>
    </row>
    <row r="122" spans="1:69" ht="15" hidden="1" customHeight="1">
      <c r="A122" s="564">
        <v>105</v>
      </c>
      <c r="B122" s="568" t="s">
        <v>280</v>
      </c>
      <c r="C122" s="565" t="s">
        <v>281</v>
      </c>
      <c r="D122" s="569">
        <v>109247</v>
      </c>
      <c r="E122" s="568" t="s">
        <v>491</v>
      </c>
      <c r="F122" s="568" t="s">
        <v>256</v>
      </c>
      <c r="G122" s="568" t="s">
        <v>24</v>
      </c>
      <c r="H122" s="589" t="s">
        <v>26</v>
      </c>
      <c r="I122" s="569" t="s">
        <v>499</v>
      </c>
      <c r="J122" s="569">
        <v>1</v>
      </c>
      <c r="K122" s="568" t="s">
        <v>437</v>
      </c>
      <c r="L122" s="570">
        <v>43527</v>
      </c>
      <c r="M122" s="571">
        <v>6.2E-2</v>
      </c>
      <c r="N122" s="568" t="s">
        <v>341</v>
      </c>
      <c r="P122" s="571" t="str">
        <f>VLOOKUP(A122,'[1]Raw data'!$B:$BB,23,FALSE)</f>
        <v>JPY</v>
      </c>
      <c r="Q122" s="568" t="str">
        <f>VLOOKUP(A122,'[1]Raw data'!$B:$Z,2,FALSE)</f>
        <v xml:space="preserve">C49SZX20180113JL </v>
      </c>
      <c r="R122" s="568" t="str">
        <f>VLOOKUP(A122,'[1]Raw data'!$B:$Z,3,FALSE)</f>
        <v>伯莱科</v>
      </c>
      <c r="S122" s="568" t="str">
        <f>VLOOKUP(A122,'[1]Raw data'!$B:$Z,4,FALSE)</f>
        <v>YSM20-2</v>
      </c>
      <c r="T122" s="568" t="str">
        <f>VLOOKUP(A122,'[1]Raw data'!$B:$Z,8,FALSE)</f>
        <v>R-&gt;L</v>
      </c>
      <c r="U122" s="568" t="str">
        <f>VLOOKUP(A122,'[1]Raw data'!$B:$Z,9,FALSE)</f>
        <v>No</v>
      </c>
      <c r="V122" s="572" t="str">
        <f t="shared" ref="V122:V153" si="20">IF(G122&amp;H122=T122&amp;U122,"OK","WRONG")</f>
        <v>WRONG</v>
      </c>
      <c r="W122" s="568" t="str">
        <f>VLOOKUP(A122,'[1]Raw data'!$B:$AG,32,FALSE)</f>
        <v>CIF</v>
      </c>
      <c r="X122" s="568">
        <f>VLOOKUP(A122,'[1]Raw data'!$B:$BA,31,FALSE)</f>
        <v>43284</v>
      </c>
      <c r="Y122" s="568" t="str">
        <f>VLOOKUP(A122,'[1]Raw data'!$B:$AS,39,FALSE)</f>
        <v>Yes</v>
      </c>
      <c r="Z122" s="573" t="s">
        <v>290</v>
      </c>
      <c r="AA122" s="574" t="s">
        <v>290</v>
      </c>
      <c r="AB122" s="575"/>
      <c r="AC122" s="568" t="s">
        <v>291</v>
      </c>
      <c r="AN122" s="547"/>
      <c r="AO122" s="829" t="str">
        <f t="shared" si="11"/>
        <v>Yes</v>
      </c>
      <c r="AP122" s="259" t="str">
        <f t="shared" si="12"/>
        <v>APR 19</v>
      </c>
      <c r="AQ122" s="547" t="str">
        <f t="shared" si="13"/>
        <v>有定金+有預留客戶</v>
      </c>
      <c r="AR122" s="259" t="str">
        <f t="shared" si="14"/>
        <v>Shipped_Stock</v>
      </c>
      <c r="AS122" s="259" t="str">
        <f t="shared" si="15"/>
        <v/>
      </c>
      <c r="AT122" s="259" t="str">
        <f t="shared" si="16"/>
        <v>伯莱科</v>
      </c>
      <c r="AU122" s="259" t="str">
        <f t="shared" si="17"/>
        <v xml:space="preserve">C49SZX20180113JL </v>
      </c>
      <c r="AV122" s="259" t="str">
        <f t="shared" si="18"/>
        <v>Mar-03</v>
      </c>
    </row>
    <row r="123" spans="1:69" ht="15" hidden="1" customHeight="1">
      <c r="A123" s="564">
        <v>328</v>
      </c>
      <c r="B123" s="568" t="s">
        <v>280</v>
      </c>
      <c r="C123" s="565" t="s">
        <v>281</v>
      </c>
      <c r="D123" s="569">
        <v>109247</v>
      </c>
      <c r="E123" s="568" t="s">
        <v>491</v>
      </c>
      <c r="F123" s="568" t="s">
        <v>256</v>
      </c>
      <c r="G123" s="568" t="s">
        <v>24</v>
      </c>
      <c r="H123" s="589" t="s">
        <v>26</v>
      </c>
      <c r="I123" s="569" t="s">
        <v>500</v>
      </c>
      <c r="J123" s="569">
        <v>1</v>
      </c>
      <c r="K123" s="568" t="s">
        <v>437</v>
      </c>
      <c r="L123" s="570">
        <v>43527</v>
      </c>
      <c r="M123" s="571">
        <v>6.2E-2</v>
      </c>
      <c r="N123" s="568" t="s">
        <v>404</v>
      </c>
      <c r="P123" s="571" t="str">
        <f>VLOOKUP(A123,'[1]Raw data'!$B:$BB,23,FALSE)</f>
        <v>JPY</v>
      </c>
      <c r="Q123" s="568" t="str">
        <f>VLOOKUP(A123,'[1]Raw data'!$B:$Z,2,FALSE)</f>
        <v>C49SZX20190075ZX</v>
      </c>
      <c r="R123" s="568" t="str">
        <f>VLOOKUP(A123,'[1]Raw data'!$B:$Z,3,FALSE)</f>
        <v>宽宏/End user:亿联</v>
      </c>
      <c r="S123" s="568" t="str">
        <f>VLOOKUP(A123,'[1]Raw data'!$B:$Z,4,FALSE)</f>
        <v>YSM20R(SV)-2</v>
      </c>
      <c r="T123" s="568" t="str">
        <f>VLOOKUP(A123,'[1]Raw data'!$B:$Z,8,FALSE)</f>
        <v>L-&gt;R</v>
      </c>
      <c r="U123" s="568" t="str">
        <f>VLOOKUP(A123,'[1]Raw data'!$B:$Z,9,FALSE)</f>
        <v>No</v>
      </c>
      <c r="V123" s="572" t="str">
        <f t="shared" si="20"/>
        <v>OK</v>
      </c>
      <c r="W123" s="568" t="str">
        <f>VLOOKUP(A123,'[1]Raw data'!$B:$AG,32,FALSE)</f>
        <v>CIF HK</v>
      </c>
      <c r="X123" s="568">
        <f>VLOOKUP(A123,'[1]Raw data'!$B:$BA,31,FALSE)</f>
        <v>43612</v>
      </c>
      <c r="Y123" s="568" t="str">
        <f>VLOOKUP(A123,'[1]Raw data'!$B:$AS,39,FALSE)</f>
        <v>Yes</v>
      </c>
      <c r="Z123" s="573" t="s">
        <v>329</v>
      </c>
      <c r="AA123" s="574" t="s">
        <v>329</v>
      </c>
      <c r="AB123" s="575"/>
      <c r="AC123" s="568" t="s">
        <v>441</v>
      </c>
      <c r="AN123" s="547"/>
      <c r="AO123" s="829" t="str">
        <f t="shared" si="11"/>
        <v>Yes</v>
      </c>
      <c r="AP123" s="259" t="str">
        <f t="shared" si="12"/>
        <v>JUN 19</v>
      </c>
      <c r="AQ123" s="547" t="str">
        <f t="shared" si="13"/>
        <v>有定金+有預留客戶</v>
      </c>
      <c r="AR123" s="259" t="str">
        <f t="shared" si="14"/>
        <v>Shipped_Stock</v>
      </c>
      <c r="AS123" s="259" t="str">
        <f t="shared" si="15"/>
        <v/>
      </c>
      <c r="AT123" s="259" t="str">
        <f t="shared" si="16"/>
        <v>宽宏/End user:亿联</v>
      </c>
      <c r="AU123" s="259" t="str">
        <f t="shared" si="17"/>
        <v>C49SZX20190075ZX</v>
      </c>
      <c r="AV123" s="259" t="str">
        <f t="shared" si="18"/>
        <v>Mar-03</v>
      </c>
    </row>
    <row r="124" spans="1:69" ht="15" hidden="1" customHeight="1">
      <c r="A124" s="564">
        <v>329</v>
      </c>
      <c r="B124" s="568" t="s">
        <v>280</v>
      </c>
      <c r="C124" s="565" t="s">
        <v>281</v>
      </c>
      <c r="D124" s="569">
        <v>109247</v>
      </c>
      <c r="E124" s="568" t="s">
        <v>491</v>
      </c>
      <c r="F124" s="568" t="s">
        <v>256</v>
      </c>
      <c r="G124" s="568" t="s">
        <v>24</v>
      </c>
      <c r="H124" s="589" t="s">
        <v>26</v>
      </c>
      <c r="I124" s="569" t="s">
        <v>501</v>
      </c>
      <c r="J124" s="569">
        <v>1</v>
      </c>
      <c r="K124" s="568" t="s">
        <v>437</v>
      </c>
      <c r="L124" s="570">
        <v>43527</v>
      </c>
      <c r="M124" s="571">
        <v>6.2E-2</v>
      </c>
      <c r="N124" s="568" t="s">
        <v>404</v>
      </c>
      <c r="P124" s="571" t="str">
        <f>VLOOKUP(A124,'[1]Raw data'!$B:$BB,23,FALSE)</f>
        <v>JPY</v>
      </c>
      <c r="Q124" s="568" t="str">
        <f>VLOOKUP(A124,'[1]Raw data'!$B:$Z,2,FALSE)</f>
        <v>C49SZX20190075ZX</v>
      </c>
      <c r="R124" s="568" t="str">
        <f>VLOOKUP(A124,'[1]Raw data'!$B:$Z,3,FALSE)</f>
        <v>宽宏/End user:亿联</v>
      </c>
      <c r="S124" s="568" t="str">
        <f>VLOOKUP(A124,'[1]Raw data'!$B:$Z,4,FALSE)</f>
        <v>YSM20R(SV)-2</v>
      </c>
      <c r="T124" s="568" t="str">
        <f>VLOOKUP(A124,'[1]Raw data'!$B:$Z,8,FALSE)</f>
        <v>L-&gt;R</v>
      </c>
      <c r="U124" s="568" t="str">
        <f>VLOOKUP(A124,'[1]Raw data'!$B:$Z,9,FALSE)</f>
        <v>No</v>
      </c>
      <c r="V124" s="572" t="str">
        <f t="shared" si="20"/>
        <v>OK</v>
      </c>
      <c r="W124" s="568" t="str">
        <f>VLOOKUP(A124,'[1]Raw data'!$B:$AG,32,FALSE)</f>
        <v>CIF HK</v>
      </c>
      <c r="X124" s="568">
        <f>VLOOKUP(A124,'[1]Raw data'!$B:$BA,31,FALSE)</f>
        <v>43612</v>
      </c>
      <c r="Y124" s="568" t="str">
        <f>VLOOKUP(A124,'[1]Raw data'!$B:$AS,39,FALSE)</f>
        <v>Yes</v>
      </c>
      <c r="Z124" s="573" t="s">
        <v>290</v>
      </c>
      <c r="AA124" s="574" t="s">
        <v>290</v>
      </c>
      <c r="AB124" s="575"/>
      <c r="AC124" s="568" t="s">
        <v>441</v>
      </c>
      <c r="AN124" s="593"/>
      <c r="AO124" s="829" t="str">
        <f t="shared" si="11"/>
        <v>Yes</v>
      </c>
      <c r="AP124" s="259" t="str">
        <f t="shared" si="12"/>
        <v>JUN 19</v>
      </c>
      <c r="AQ124" s="547" t="str">
        <f t="shared" si="13"/>
        <v>有定金+有預留客戶</v>
      </c>
      <c r="AR124" s="259" t="str">
        <f t="shared" si="14"/>
        <v>Shipped_Stock</v>
      </c>
      <c r="AS124" s="259" t="str">
        <f t="shared" si="15"/>
        <v/>
      </c>
      <c r="AT124" s="259" t="str">
        <f t="shared" si="16"/>
        <v>宽宏/End user:亿联</v>
      </c>
      <c r="AU124" s="259" t="str">
        <f t="shared" si="17"/>
        <v>C49SZX20190075ZX</v>
      </c>
      <c r="AV124" s="259" t="str">
        <f t="shared" si="18"/>
        <v>Mar-03</v>
      </c>
    </row>
    <row r="125" spans="1:69" ht="15" hidden="1" customHeight="1">
      <c r="A125" s="564">
        <v>437</v>
      </c>
      <c r="B125" s="568" t="s">
        <v>280</v>
      </c>
      <c r="C125" s="565" t="s">
        <v>281</v>
      </c>
      <c r="D125" s="569">
        <v>109247</v>
      </c>
      <c r="E125" s="568" t="s">
        <v>491</v>
      </c>
      <c r="F125" s="568" t="s">
        <v>256</v>
      </c>
      <c r="G125" s="568" t="s">
        <v>24</v>
      </c>
      <c r="H125" s="568" t="s">
        <v>159</v>
      </c>
      <c r="I125" s="569" t="s">
        <v>502</v>
      </c>
      <c r="J125" s="569">
        <v>1</v>
      </c>
      <c r="K125" s="568" t="s">
        <v>437</v>
      </c>
      <c r="L125" s="570">
        <v>43527</v>
      </c>
      <c r="M125" s="571">
        <v>6.2E-2</v>
      </c>
      <c r="N125" s="568" t="s">
        <v>475</v>
      </c>
      <c r="O125" s="569">
        <v>2019.02</v>
      </c>
      <c r="P125" s="571" t="str">
        <f>VLOOKUP(A125,'[1]Raw data'!$B:$BB,23,FALSE)</f>
        <v>RMB</v>
      </c>
      <c r="Q125" s="568" t="str">
        <f>VLOOKUP(A125,'[1]Raw data'!$B:$Z,2,FALSE)</f>
        <v>C49SZX20190139SX</v>
      </c>
      <c r="R125" s="568" t="str">
        <f>VLOOKUP(A125,'[1]Raw data'!$B:$Z,3,FALSE)</f>
        <v>太美亚</v>
      </c>
      <c r="S125" s="568" t="str">
        <f>VLOOKUP(A125,'[1]Raw data'!$B:$Z,4,FALSE)</f>
        <v>YSM20R(SV)-2</v>
      </c>
      <c r="T125" s="568" t="str">
        <f>VLOOKUP(A125,'[1]Raw data'!$B:$Z,8,FALSE)</f>
        <v>L-&gt;R</v>
      </c>
      <c r="U125" s="568" t="str">
        <f>VLOOKUP(A125,'[1]Raw data'!$B:$Z,9,FALSE)</f>
        <v>cATS10+MVC+special layout</v>
      </c>
      <c r="V125" s="572" t="str">
        <f t="shared" si="20"/>
        <v>OK</v>
      </c>
      <c r="W125" s="568" t="str">
        <f>VLOOKUP(A125,'[1]Raw data'!$B:$AG,32,FALSE)</f>
        <v>含税到厂</v>
      </c>
      <c r="X125" s="568">
        <f>VLOOKUP(A125,'[1]Raw data'!$B:$BA,31,FALSE)</f>
        <v>43735</v>
      </c>
      <c r="Y125" s="568" t="str">
        <f>VLOOKUP(A125,'[1]Raw data'!$B:$AS,39,FALSE)</f>
        <v>Yes</v>
      </c>
      <c r="Z125" s="573" t="s">
        <v>329</v>
      </c>
      <c r="AA125" s="574" t="s">
        <v>329</v>
      </c>
      <c r="AB125" s="575"/>
      <c r="AC125" s="568" t="s">
        <v>476</v>
      </c>
      <c r="AN125" s="547"/>
      <c r="AO125" s="829" t="str">
        <f t="shared" si="11"/>
        <v>Yes</v>
      </c>
      <c r="AP125" s="259" t="str">
        <f t="shared" si="12"/>
        <v>OCT 19</v>
      </c>
      <c r="AQ125" s="547" t="str">
        <f t="shared" si="13"/>
        <v>有定金+有預留客戶</v>
      </c>
      <c r="AR125" s="259" t="str">
        <f t="shared" si="14"/>
        <v>Shipped_Stock</v>
      </c>
      <c r="AS125" s="259" t="str">
        <f t="shared" si="15"/>
        <v/>
      </c>
      <c r="AT125" s="259" t="str">
        <f t="shared" si="16"/>
        <v>太美亚</v>
      </c>
      <c r="AU125" s="259" t="str">
        <f t="shared" si="17"/>
        <v>C49SZX20190139SX</v>
      </c>
      <c r="AV125" s="259" t="str">
        <f t="shared" si="18"/>
        <v>Mar-03</v>
      </c>
    </row>
    <row r="126" spans="1:69" s="842" customFormat="1" ht="15" hidden="1" customHeight="1">
      <c r="A126" s="564">
        <v>439</v>
      </c>
      <c r="B126" s="568" t="s">
        <v>280</v>
      </c>
      <c r="C126" s="565" t="s">
        <v>281</v>
      </c>
      <c r="D126" s="569">
        <v>109247</v>
      </c>
      <c r="E126" s="568" t="s">
        <v>491</v>
      </c>
      <c r="F126" s="568" t="s">
        <v>256</v>
      </c>
      <c r="G126" s="568" t="s">
        <v>24</v>
      </c>
      <c r="H126" s="568" t="s">
        <v>159</v>
      </c>
      <c r="I126" s="569" t="s">
        <v>503</v>
      </c>
      <c r="J126" s="569">
        <v>1</v>
      </c>
      <c r="K126" s="568" t="s">
        <v>437</v>
      </c>
      <c r="L126" s="570">
        <v>43527</v>
      </c>
      <c r="M126" s="571">
        <v>6.2E-2</v>
      </c>
      <c r="N126" s="568" t="s">
        <v>504</v>
      </c>
      <c r="O126" s="569">
        <v>2019.02</v>
      </c>
      <c r="P126" s="571" t="str">
        <f>VLOOKUP(A126,'[1]Raw data'!$B:$BB,23,FALSE)</f>
        <v>USD</v>
      </c>
      <c r="Q126" s="568" t="str">
        <f>VLOOKUP(A126,'[1]Raw data'!$B:$Z,2,FALSE)</f>
        <v>C49SZX20190138ZX</v>
      </c>
      <c r="R126" s="568" t="str">
        <f>VLOOKUP(A126,'[1]Raw data'!$B:$Z,3,FALSE)</f>
        <v>Bittele 比泰利</v>
      </c>
      <c r="S126" s="568" t="str">
        <f>VLOOKUP(A126,'[1]Raw data'!$B:$Z,4,FALSE)</f>
        <v>YSM20R(SV)-2</v>
      </c>
      <c r="T126" s="568" t="str">
        <f>VLOOKUP(A126,'[1]Raw data'!$B:$Z,8,FALSE)</f>
        <v>L-&gt;R</v>
      </c>
      <c r="U126" s="568" t="str">
        <f>VLOOKUP(A126,'[1]Raw data'!$B:$Z,9,FALSE)</f>
        <v>cATS10+MVC+special layout</v>
      </c>
      <c r="V126" s="572" t="str">
        <f t="shared" si="20"/>
        <v>OK</v>
      </c>
      <c r="W126" s="568" t="str">
        <f>VLOOKUP(A126,'[1]Raw data'!$B:$AG,32,FALSE)</f>
        <v>CIF HK</v>
      </c>
      <c r="X126" s="568">
        <f>VLOOKUP(A126,'[1]Raw data'!$B:$BA,31,FALSE)</f>
        <v>43748</v>
      </c>
      <c r="Y126" s="568" t="str">
        <f>VLOOKUP(A126,'[1]Raw data'!$B:$AS,39,FALSE)</f>
        <v>Yes</v>
      </c>
      <c r="Z126" s="573"/>
      <c r="AA126" s="574" t="s">
        <v>329</v>
      </c>
      <c r="AB126" s="575"/>
      <c r="AC126" s="568" t="s">
        <v>505</v>
      </c>
      <c r="AD126" s="576"/>
      <c r="AE126" s="576"/>
      <c r="AF126" s="576"/>
      <c r="AG126" s="576"/>
      <c r="AH126" s="576"/>
      <c r="AI126" s="577"/>
      <c r="AJ126" s="576"/>
      <c r="AK126" s="576"/>
      <c r="AL126" s="576"/>
      <c r="AM126" s="576"/>
      <c r="AN126" s="547"/>
      <c r="AO126" s="829" t="str">
        <f t="shared" si="11"/>
        <v>Yes</v>
      </c>
      <c r="AP126" s="259" t="str">
        <f t="shared" si="12"/>
        <v>NOV 19</v>
      </c>
      <c r="AQ126" s="547" t="str">
        <f t="shared" si="13"/>
        <v>有定金+有預留客戶</v>
      </c>
      <c r="AR126" s="259" t="str">
        <f t="shared" si="14"/>
        <v>Shipped_Stock</v>
      </c>
      <c r="AS126" s="259" t="str">
        <f t="shared" si="15"/>
        <v/>
      </c>
      <c r="AT126" s="259" t="str">
        <f t="shared" si="16"/>
        <v>Bittele 比泰利</v>
      </c>
      <c r="AU126" s="259" t="str">
        <f t="shared" si="17"/>
        <v>C49SZX20190138ZX</v>
      </c>
      <c r="AV126" s="259" t="str">
        <f t="shared" si="18"/>
        <v>Mar-03</v>
      </c>
      <c r="AW126" s="259"/>
      <c r="AX126" s="259"/>
      <c r="AY126" s="259"/>
      <c r="AZ126" s="259"/>
      <c r="BA126" s="259"/>
      <c r="BB126" s="259"/>
      <c r="BC126" s="259"/>
      <c r="BD126" s="259"/>
      <c r="BE126" s="259"/>
      <c r="BF126" s="259"/>
      <c r="BG126" s="259"/>
      <c r="BH126" s="259"/>
      <c r="BI126" s="259"/>
      <c r="BJ126" s="259"/>
      <c r="BK126" s="259"/>
      <c r="BL126" s="259"/>
      <c r="BM126" s="259"/>
      <c r="BN126" s="259"/>
      <c r="BO126" s="259"/>
      <c r="BP126" s="259"/>
      <c r="BQ126" s="259"/>
    </row>
    <row r="127" spans="1:69" ht="15" hidden="1" customHeight="1">
      <c r="A127" s="564">
        <v>251</v>
      </c>
      <c r="B127" s="568" t="s">
        <v>280</v>
      </c>
      <c r="C127" s="565" t="s">
        <v>281</v>
      </c>
      <c r="D127" s="569">
        <v>109247</v>
      </c>
      <c r="E127" s="568" t="s">
        <v>491</v>
      </c>
      <c r="F127" s="568" t="s">
        <v>256</v>
      </c>
      <c r="G127" s="568" t="s">
        <v>24</v>
      </c>
      <c r="H127" s="568" t="s">
        <v>26</v>
      </c>
      <c r="I127" s="569" t="s">
        <v>506</v>
      </c>
      <c r="J127" s="569">
        <v>1</v>
      </c>
      <c r="K127" s="568" t="s">
        <v>437</v>
      </c>
      <c r="L127" s="570">
        <v>43527</v>
      </c>
      <c r="M127" s="571">
        <v>6.2E-2</v>
      </c>
      <c r="N127" s="568" t="s">
        <v>341</v>
      </c>
      <c r="P127" s="571" t="str">
        <f>VLOOKUP(A127,'[1]Raw data'!$B:$BB,23,FALSE)</f>
        <v>JPY</v>
      </c>
      <c r="Q127" s="568" t="str">
        <f>VLOOKUP(A127,'[1]Raw data'!$B:$Z,2,FALSE)</f>
        <v>C49SZX20190029ZX</v>
      </c>
      <c r="R127" s="568" t="str">
        <f>VLOOKUP(A127,'[1]Raw data'!$B:$Z,3,FALSE)</f>
        <v>东莞圣亨</v>
      </c>
      <c r="S127" s="568" t="str">
        <f>VLOOKUP(A127,'[1]Raw data'!$B:$Z,4,FALSE)</f>
        <v>YSM20R(SV)-2</v>
      </c>
      <c r="T127" s="568" t="str">
        <f>VLOOKUP(A127,'[1]Raw data'!$B:$Z,8,FALSE)</f>
        <v>L-&gt;R</v>
      </c>
      <c r="U127" s="568" t="str">
        <f>VLOOKUP(A127,'[1]Raw data'!$B:$Z,9,FALSE)</f>
        <v>No</v>
      </c>
      <c r="V127" s="572" t="str">
        <f t="shared" si="20"/>
        <v>OK</v>
      </c>
      <c r="W127" s="568" t="str">
        <f>VLOOKUP(A127,'[1]Raw data'!$B:$AG,32,FALSE)</f>
        <v>DAP 东莞</v>
      </c>
      <c r="X127" s="568">
        <f>VLOOKUP(A127,'[1]Raw data'!$B:$BA,31,FALSE)</f>
        <v>43537</v>
      </c>
      <c r="Y127" s="568" t="str">
        <f>VLOOKUP(A127,'[1]Raw data'!$B:$AS,39,FALSE)</f>
        <v>Yes</v>
      </c>
      <c r="Z127" s="573" t="s">
        <v>329</v>
      </c>
      <c r="AA127" s="574" t="s">
        <v>329</v>
      </c>
      <c r="AB127" s="575"/>
      <c r="AC127" s="568" t="s">
        <v>291</v>
      </c>
      <c r="AN127" s="547"/>
      <c r="AO127" s="829" t="str">
        <f t="shared" si="11"/>
        <v>Yes</v>
      </c>
      <c r="AP127" s="259" t="str">
        <f t="shared" si="12"/>
        <v>APR 19</v>
      </c>
      <c r="AQ127" s="547" t="str">
        <f t="shared" si="13"/>
        <v>有定金+有預留客戶</v>
      </c>
      <c r="AR127" s="259" t="str">
        <f t="shared" si="14"/>
        <v>Shipped_Stock</v>
      </c>
      <c r="AS127" s="259" t="str">
        <f t="shared" si="15"/>
        <v/>
      </c>
      <c r="AT127" s="259" t="str">
        <f t="shared" si="16"/>
        <v>东莞圣亨</v>
      </c>
      <c r="AU127" s="259" t="str">
        <f t="shared" si="17"/>
        <v>C49SZX20190029ZX</v>
      </c>
      <c r="AV127" s="259" t="str">
        <f t="shared" si="18"/>
        <v>Mar-03</v>
      </c>
    </row>
    <row r="128" spans="1:69" ht="15" hidden="1" customHeight="1">
      <c r="A128" s="564">
        <v>279</v>
      </c>
      <c r="B128" s="568" t="s">
        <v>280</v>
      </c>
      <c r="C128" s="565" t="s">
        <v>281</v>
      </c>
      <c r="D128" s="569">
        <v>109247</v>
      </c>
      <c r="E128" s="568" t="s">
        <v>491</v>
      </c>
      <c r="F128" s="568" t="s">
        <v>256</v>
      </c>
      <c r="G128" s="568" t="s">
        <v>24</v>
      </c>
      <c r="H128" s="568" t="s">
        <v>26</v>
      </c>
      <c r="I128" s="569" t="s">
        <v>507</v>
      </c>
      <c r="J128" s="569">
        <v>1</v>
      </c>
      <c r="K128" s="568" t="s">
        <v>437</v>
      </c>
      <c r="L128" s="570">
        <v>43527</v>
      </c>
      <c r="M128" s="571">
        <v>6.2E-2</v>
      </c>
      <c r="N128" s="568" t="s">
        <v>341</v>
      </c>
      <c r="P128" s="571" t="str">
        <f>VLOOKUP(A128,'[1]Raw data'!$B:$BB,23,FALSE)</f>
        <v>JPY</v>
      </c>
      <c r="Q128" s="568" t="str">
        <f>VLOOKUP(A128,'[1]Raw data'!$B:$Z,2,FALSE)</f>
        <v>C49SZX20190051SS</v>
      </c>
      <c r="R128" s="568" t="str">
        <f>VLOOKUP(A128,'[1]Raw data'!$B:$Z,3,FALSE)</f>
        <v>世启纳</v>
      </c>
      <c r="S128" s="568" t="str">
        <f>VLOOKUP(A128,'[1]Raw data'!$B:$Z,4,FALSE)</f>
        <v>YSM20R(SV)-2</v>
      </c>
      <c r="T128" s="568" t="str">
        <f>VLOOKUP(A128,'[1]Raw data'!$B:$Z,8,FALSE)</f>
        <v>L-&gt;R</v>
      </c>
      <c r="U128" s="568" t="str">
        <f>VLOOKUP(A128,'[1]Raw data'!$B:$Z,9,FALSE)</f>
        <v>MVC</v>
      </c>
      <c r="V128" s="572" t="str">
        <f t="shared" si="20"/>
        <v>WRONG</v>
      </c>
      <c r="W128" s="568" t="str">
        <f>VLOOKUP(A128,'[1]Raw data'!$B:$AG,32,FALSE)</f>
        <v>DAP 深圳</v>
      </c>
      <c r="X128" s="568">
        <f>VLOOKUP(A128,'[1]Raw data'!$B:$BA,31,FALSE)</f>
        <v>43564</v>
      </c>
      <c r="Y128" s="568" t="str">
        <f>VLOOKUP(A128,'[1]Raw data'!$B:$AS,39,FALSE)</f>
        <v>Yes</v>
      </c>
      <c r="Z128" s="573"/>
      <c r="AA128" s="574" t="s">
        <v>329</v>
      </c>
      <c r="AB128" s="575"/>
      <c r="AC128" s="568" t="s">
        <v>291</v>
      </c>
      <c r="AN128" s="547"/>
      <c r="AO128" s="829" t="str">
        <f t="shared" si="11"/>
        <v>Yes</v>
      </c>
      <c r="AP128" s="259" t="str">
        <f t="shared" si="12"/>
        <v>APR 19</v>
      </c>
      <c r="AQ128" s="547" t="str">
        <f t="shared" si="13"/>
        <v>有定金+有預留客戶</v>
      </c>
      <c r="AR128" s="259" t="str">
        <f t="shared" si="14"/>
        <v>Shipped_Stock</v>
      </c>
      <c r="AS128" s="259" t="str">
        <f t="shared" si="15"/>
        <v/>
      </c>
      <c r="AT128" s="259" t="str">
        <f t="shared" si="16"/>
        <v>世启纳</v>
      </c>
      <c r="AU128" s="259" t="str">
        <f t="shared" si="17"/>
        <v>C49SZX20190051SS</v>
      </c>
      <c r="AV128" s="259" t="str">
        <f t="shared" si="18"/>
        <v>Mar-03</v>
      </c>
    </row>
    <row r="129" spans="1:69" s="842" customFormat="1" ht="15" hidden="1" customHeight="1">
      <c r="A129" s="564">
        <v>84</v>
      </c>
      <c r="B129" s="568" t="s">
        <v>280</v>
      </c>
      <c r="C129" s="565" t="s">
        <v>281</v>
      </c>
      <c r="D129" s="569">
        <v>109430</v>
      </c>
      <c r="E129" s="568" t="s">
        <v>508</v>
      </c>
      <c r="F129" s="568" t="s">
        <v>256</v>
      </c>
      <c r="G129" s="568" t="s">
        <v>24</v>
      </c>
      <c r="H129" s="568" t="s">
        <v>26</v>
      </c>
      <c r="I129" s="569" t="s">
        <v>509</v>
      </c>
      <c r="J129" s="569">
        <v>1</v>
      </c>
      <c r="K129" s="568" t="s">
        <v>388</v>
      </c>
      <c r="L129" s="570">
        <v>43530</v>
      </c>
      <c r="M129" s="571">
        <v>6.2E-2</v>
      </c>
      <c r="N129" s="568" t="s">
        <v>334</v>
      </c>
      <c r="O129" s="569"/>
      <c r="P129" s="571" t="str">
        <f>VLOOKUP(A129,'[1]Raw data'!$B:$BB,23,FALSE)</f>
        <v>JPY</v>
      </c>
      <c r="Q129" s="568" t="str">
        <f>VLOOKUP(A129,'[1]Raw data'!$B:$Z,2,FALSE)</f>
        <v>C49SZX20180086DZ</v>
      </c>
      <c r="R129" s="568" t="str">
        <f>VLOOKUP(A129,'[1]Raw data'!$B:$Z,3,FALSE)</f>
        <v>BBS好兄弟</v>
      </c>
      <c r="S129" s="568" t="str">
        <f>VLOOKUP(A129,'[1]Raw data'!$B:$Z,4,FALSE)</f>
        <v>YSM20-2</v>
      </c>
      <c r="T129" s="568" t="str">
        <f>VLOOKUP(A129,'[1]Raw data'!$B:$Z,8,FALSE)</f>
        <v>L-&gt;R</v>
      </c>
      <c r="U129" s="568" t="str">
        <f>VLOOKUP(A129,'[1]Raw data'!$B:$Z,9,FALSE)</f>
        <v>No</v>
      </c>
      <c r="V129" s="572" t="str">
        <f t="shared" si="20"/>
        <v>OK</v>
      </c>
      <c r="W129" s="568" t="str">
        <f>VLOOKUP(A129,'[1]Raw data'!$B:$AG,32,FALSE)</f>
        <v>CIF HK</v>
      </c>
      <c r="X129" s="568">
        <f>VLOOKUP(A129,'[1]Raw data'!$B:$BA,31,FALSE)</f>
        <v>43251</v>
      </c>
      <c r="Y129" s="568" t="str">
        <f>VLOOKUP(A129,'[1]Raw data'!$B:$AS,39,FALSE)</f>
        <v>Yes</v>
      </c>
      <c r="Z129" s="573" t="s">
        <v>290</v>
      </c>
      <c r="AA129" s="574" t="s">
        <v>290</v>
      </c>
      <c r="AB129" s="575"/>
      <c r="AC129" s="568" t="s">
        <v>291</v>
      </c>
      <c r="AD129" s="576"/>
      <c r="AE129" s="576"/>
      <c r="AF129" s="576"/>
      <c r="AG129" s="576"/>
      <c r="AH129" s="576"/>
      <c r="AI129" s="577"/>
      <c r="AJ129" s="576"/>
      <c r="AK129" s="576"/>
      <c r="AL129" s="576"/>
      <c r="AM129" s="576"/>
      <c r="AN129" s="547"/>
      <c r="AO129" s="829" t="str">
        <f t="shared" si="11"/>
        <v>Yes</v>
      </c>
      <c r="AP129" s="259" t="str">
        <f t="shared" si="12"/>
        <v>MAR 19</v>
      </c>
      <c r="AQ129" s="547" t="str">
        <f t="shared" si="13"/>
        <v>有定金+有預留客戶</v>
      </c>
      <c r="AR129" s="259" t="str">
        <f t="shared" si="14"/>
        <v>Shipped_Stock</v>
      </c>
      <c r="AS129" s="259" t="str">
        <f t="shared" si="15"/>
        <v/>
      </c>
      <c r="AT129" s="259" t="str">
        <f t="shared" si="16"/>
        <v>BBS好兄弟</v>
      </c>
      <c r="AU129" s="259" t="str">
        <f t="shared" si="17"/>
        <v>C49SZX20180086DZ</v>
      </c>
      <c r="AV129" s="259" t="str">
        <f t="shared" si="18"/>
        <v>Mar-06</v>
      </c>
      <c r="AW129" s="259"/>
      <c r="AX129" s="259"/>
      <c r="AY129" s="259"/>
      <c r="AZ129" s="259"/>
      <c r="BA129" s="259"/>
      <c r="BB129" s="259"/>
      <c r="BC129" s="259"/>
      <c r="BD129" s="259"/>
      <c r="BE129" s="259"/>
      <c r="BF129" s="259"/>
      <c r="BG129" s="259"/>
      <c r="BH129" s="259"/>
      <c r="BI129" s="259"/>
      <c r="BJ129" s="259"/>
      <c r="BK129" s="259"/>
      <c r="BL129" s="259"/>
      <c r="BM129" s="259"/>
      <c r="BN129" s="259"/>
      <c r="BO129" s="259"/>
      <c r="BP129" s="259"/>
      <c r="BQ129" s="259"/>
    </row>
    <row r="130" spans="1:69" ht="15" hidden="1" customHeight="1">
      <c r="A130" s="564">
        <v>80</v>
      </c>
      <c r="B130" s="568" t="s">
        <v>280</v>
      </c>
      <c r="C130" s="565" t="s">
        <v>281</v>
      </c>
      <c r="D130" s="569">
        <v>109430</v>
      </c>
      <c r="E130" s="568" t="s">
        <v>508</v>
      </c>
      <c r="F130" s="568" t="s">
        <v>256</v>
      </c>
      <c r="G130" s="568" t="s">
        <v>24</v>
      </c>
      <c r="H130" s="568" t="s">
        <v>26</v>
      </c>
      <c r="I130" s="569" t="s">
        <v>510</v>
      </c>
      <c r="J130" s="569">
        <v>1</v>
      </c>
      <c r="K130" s="568" t="s">
        <v>388</v>
      </c>
      <c r="L130" s="570">
        <v>43530</v>
      </c>
      <c r="M130" s="571">
        <v>6.2E-2</v>
      </c>
      <c r="N130" s="568" t="s">
        <v>334</v>
      </c>
      <c r="P130" s="571" t="str">
        <f>VLOOKUP(A130,'[1]Raw data'!$B:$BB,23,FALSE)</f>
        <v>JPY</v>
      </c>
      <c r="Q130" s="568" t="str">
        <f>VLOOKUP(A130,'[1]Raw data'!$B:$Z,2,FALSE)</f>
        <v>C49SZX20180086DZ</v>
      </c>
      <c r="R130" s="568" t="str">
        <f>VLOOKUP(A130,'[1]Raw data'!$B:$Z,3,FALSE)</f>
        <v>BBS好兄弟</v>
      </c>
      <c r="S130" s="568" t="str">
        <f>VLOOKUP(A130,'[1]Raw data'!$B:$Z,4,FALSE)</f>
        <v>YSM20-2</v>
      </c>
      <c r="T130" s="568" t="str">
        <f>VLOOKUP(A130,'[1]Raw data'!$B:$Z,8,FALSE)</f>
        <v>L-&gt;R</v>
      </c>
      <c r="U130" s="568" t="str">
        <f>VLOOKUP(A130,'[1]Raw data'!$B:$Z,9,FALSE)</f>
        <v>No</v>
      </c>
      <c r="V130" s="572" t="str">
        <f t="shared" si="20"/>
        <v>OK</v>
      </c>
      <c r="W130" s="568" t="str">
        <f>VLOOKUP(A130,'[1]Raw data'!$B:$AG,32,FALSE)</f>
        <v>CIF HK</v>
      </c>
      <c r="X130" s="568">
        <f>VLOOKUP(A130,'[1]Raw data'!$B:$BA,31,FALSE)</f>
        <v>43251</v>
      </c>
      <c r="Y130" s="568" t="str">
        <f>VLOOKUP(A130,'[1]Raw data'!$B:$AS,39,FALSE)</f>
        <v>Yes</v>
      </c>
      <c r="Z130" s="573" t="s">
        <v>290</v>
      </c>
      <c r="AA130" s="574" t="s">
        <v>290</v>
      </c>
      <c r="AB130" s="575"/>
      <c r="AC130" s="568" t="s">
        <v>291</v>
      </c>
      <c r="AN130" s="547"/>
      <c r="AO130" s="829" t="str">
        <f t="shared" si="11"/>
        <v>Yes</v>
      </c>
      <c r="AP130" s="259" t="str">
        <f t="shared" si="12"/>
        <v>MAR 19</v>
      </c>
      <c r="AQ130" s="547" t="str">
        <f t="shared" si="13"/>
        <v>有定金+有預留客戶</v>
      </c>
      <c r="AR130" s="259" t="str">
        <f t="shared" si="14"/>
        <v>Shipped_Stock</v>
      </c>
      <c r="AS130" s="259" t="str">
        <f t="shared" si="15"/>
        <v/>
      </c>
      <c r="AT130" s="259" t="str">
        <f t="shared" si="16"/>
        <v>BBS好兄弟</v>
      </c>
      <c r="AU130" s="259" t="str">
        <f t="shared" si="17"/>
        <v>C49SZX20180086DZ</v>
      </c>
      <c r="AV130" s="259" t="str">
        <f t="shared" si="18"/>
        <v>Mar-06</v>
      </c>
    </row>
    <row r="131" spans="1:69" ht="15" hidden="1" customHeight="1">
      <c r="A131" s="564">
        <v>82</v>
      </c>
      <c r="B131" s="568" t="s">
        <v>280</v>
      </c>
      <c r="C131" s="565" t="s">
        <v>281</v>
      </c>
      <c r="D131" s="569">
        <v>109430</v>
      </c>
      <c r="E131" s="568" t="s">
        <v>508</v>
      </c>
      <c r="F131" s="568" t="s">
        <v>256</v>
      </c>
      <c r="G131" s="568" t="s">
        <v>24</v>
      </c>
      <c r="H131" s="568" t="s">
        <v>26</v>
      </c>
      <c r="I131" s="569" t="s">
        <v>511</v>
      </c>
      <c r="J131" s="569">
        <v>1</v>
      </c>
      <c r="K131" s="568" t="s">
        <v>388</v>
      </c>
      <c r="L131" s="570">
        <v>43530</v>
      </c>
      <c r="M131" s="571">
        <v>6.2E-2</v>
      </c>
      <c r="N131" s="568" t="s">
        <v>334</v>
      </c>
      <c r="P131" s="571" t="str">
        <f>VLOOKUP(A131,'[1]Raw data'!$B:$BB,23,FALSE)</f>
        <v>JPY</v>
      </c>
      <c r="Q131" s="568" t="str">
        <f>VLOOKUP(A131,'[1]Raw data'!$B:$Z,2,FALSE)</f>
        <v>C49SZX20180086DZ</v>
      </c>
      <c r="R131" s="568" t="str">
        <f>VLOOKUP(A131,'[1]Raw data'!$B:$Z,3,FALSE)</f>
        <v>BBS好兄弟</v>
      </c>
      <c r="S131" s="568" t="str">
        <f>VLOOKUP(A131,'[1]Raw data'!$B:$Z,4,FALSE)</f>
        <v>YSM20-2</v>
      </c>
      <c r="T131" s="568" t="str">
        <f>VLOOKUP(A131,'[1]Raw data'!$B:$Z,8,FALSE)</f>
        <v>L-&gt;R</v>
      </c>
      <c r="U131" s="568" t="str">
        <f>VLOOKUP(A131,'[1]Raw data'!$B:$Z,9,FALSE)</f>
        <v>No</v>
      </c>
      <c r="V131" s="572" t="str">
        <f t="shared" si="20"/>
        <v>OK</v>
      </c>
      <c r="W131" s="568" t="str">
        <f>VLOOKUP(A131,'[1]Raw data'!$B:$AG,32,FALSE)</f>
        <v>CIF HK</v>
      </c>
      <c r="X131" s="568">
        <f>VLOOKUP(A131,'[1]Raw data'!$B:$BA,31,FALSE)</f>
        <v>43251</v>
      </c>
      <c r="Y131" s="568" t="str">
        <f>VLOOKUP(A131,'[1]Raw data'!$B:$AS,39,FALSE)</f>
        <v>Yes</v>
      </c>
      <c r="Z131" s="573" t="s">
        <v>290</v>
      </c>
      <c r="AA131" s="574" t="s">
        <v>290</v>
      </c>
      <c r="AB131" s="575"/>
      <c r="AC131" s="568" t="s">
        <v>291</v>
      </c>
      <c r="AN131" s="547"/>
      <c r="AO131" s="829" t="str">
        <f t="shared" ref="AO131:AO194" si="21">IFERROR(IF(Y131&lt;&gt;"",Y131,"No"),"No")</f>
        <v>Yes</v>
      </c>
      <c r="AP131" s="259" t="str">
        <f t="shared" ref="AP131:AP194" si="22">IFERROR(IF(N131&lt;&gt;"",N131,"blank"),"NA")</f>
        <v>MAR 19</v>
      </c>
      <c r="AQ131" s="547" t="str">
        <f t="shared" ref="AQ131:AQ194" si="23">IFERROR(IF(AND(AO131="Yes", AP131&lt;&gt;"blank"), "有定金+有預留客戶", IF(AND(AO131="Yes", AP131="blank"), "有定金+无客戶送貨期", IF(AND(OR(AO131="No", ISBLANK(AO131), AO131="NA"), AP131&lt;&gt;"blank"), "无定金+有預留客戶", IF(AND(OR(AO131="No", ISBLANK(AO131), AO131="NA"), AP131="blank"), "无定金+无預留客戶", "")))), "")</f>
        <v>有定金+有預留客戶</v>
      </c>
      <c r="AR131" s="259" t="str">
        <f t="shared" ref="AR131:AR194" si="24">IFERROR(IF(B131="已经到货", "Instock", IF(B131="有交期", "Incoming_Stock_With_YAMAHA_Schedule", IF(B131="TBA.", "Incoming_Stock_No_YAMAHA_Schedule", IF(B131="已发货", "Shipped_Stock", "")))), "")</f>
        <v>Shipped_Stock</v>
      </c>
      <c r="AS131" s="259" t="str">
        <f t="shared" ref="AS131:AS194" si="25">IF(AND(B131="有交期", L131&lt;&gt;""), L131, "")</f>
        <v/>
      </c>
      <c r="AT131" s="259" t="str">
        <f t="shared" ref="AT131:AT194" si="26">IFERROR(IF(R131&lt;&gt;"",R131),"-")</f>
        <v>BBS好兄弟</v>
      </c>
      <c r="AU131" s="259" t="str">
        <f t="shared" ref="AU131:AU194" si="27">IFERROR(IF(Q131&lt;&gt;"",Q131),"-")</f>
        <v>C49SZX20180086DZ</v>
      </c>
      <c r="AV131" s="259" t="str">
        <f t="shared" ref="AV131:AV194" si="28">IF(L131="","-",TEXT(L131,"mmm-dd"))</f>
        <v>Mar-06</v>
      </c>
    </row>
    <row r="132" spans="1:69" ht="15" hidden="1" customHeight="1">
      <c r="A132" s="564">
        <v>83</v>
      </c>
      <c r="B132" s="568" t="s">
        <v>280</v>
      </c>
      <c r="C132" s="565" t="s">
        <v>281</v>
      </c>
      <c r="D132" s="569">
        <v>109430</v>
      </c>
      <c r="E132" s="568" t="s">
        <v>508</v>
      </c>
      <c r="F132" s="568" t="s">
        <v>256</v>
      </c>
      <c r="G132" s="568" t="s">
        <v>24</v>
      </c>
      <c r="H132" s="568" t="s">
        <v>26</v>
      </c>
      <c r="I132" s="569" t="s">
        <v>512</v>
      </c>
      <c r="J132" s="569">
        <v>1</v>
      </c>
      <c r="K132" s="568" t="s">
        <v>388</v>
      </c>
      <c r="L132" s="570">
        <v>43530</v>
      </c>
      <c r="M132" s="571">
        <v>6.2E-2</v>
      </c>
      <c r="N132" s="568" t="s">
        <v>334</v>
      </c>
      <c r="P132" s="571" t="str">
        <f>VLOOKUP(A132,'[1]Raw data'!$B:$BB,23,FALSE)</f>
        <v>JPY</v>
      </c>
      <c r="Q132" s="568" t="str">
        <f>VLOOKUP(A132,'[1]Raw data'!$B:$Z,2,FALSE)</f>
        <v>C49SZX20180086DZ</v>
      </c>
      <c r="R132" s="568" t="str">
        <f>VLOOKUP(A132,'[1]Raw data'!$B:$Z,3,FALSE)</f>
        <v>BBS好兄弟</v>
      </c>
      <c r="S132" s="568" t="str">
        <f>VLOOKUP(A132,'[1]Raw data'!$B:$Z,4,FALSE)</f>
        <v>YSM20-2</v>
      </c>
      <c r="T132" s="568" t="str">
        <f>VLOOKUP(A132,'[1]Raw data'!$B:$Z,8,FALSE)</f>
        <v>L-&gt;R</v>
      </c>
      <c r="U132" s="568" t="str">
        <f>VLOOKUP(A132,'[1]Raw data'!$B:$Z,9,FALSE)</f>
        <v>No</v>
      </c>
      <c r="V132" s="572" t="str">
        <f t="shared" si="20"/>
        <v>OK</v>
      </c>
      <c r="W132" s="568" t="str">
        <f>VLOOKUP(A132,'[1]Raw data'!$B:$AG,32,FALSE)</f>
        <v>CIF HK</v>
      </c>
      <c r="X132" s="568">
        <f>VLOOKUP(A132,'[1]Raw data'!$B:$BA,31,FALSE)</f>
        <v>43251</v>
      </c>
      <c r="Y132" s="568" t="str">
        <f>VLOOKUP(A132,'[1]Raw data'!$B:$AS,39,FALSE)</f>
        <v>Yes</v>
      </c>
      <c r="Z132" s="573" t="s">
        <v>290</v>
      </c>
      <c r="AA132" s="574" t="s">
        <v>290</v>
      </c>
      <c r="AB132" s="575"/>
      <c r="AC132" s="568" t="s">
        <v>291</v>
      </c>
      <c r="AN132" s="547"/>
      <c r="AO132" s="829" t="str">
        <f t="shared" si="21"/>
        <v>Yes</v>
      </c>
      <c r="AP132" s="259" t="str">
        <f t="shared" si="22"/>
        <v>MAR 19</v>
      </c>
      <c r="AQ132" s="547" t="str">
        <f t="shared" si="23"/>
        <v>有定金+有預留客戶</v>
      </c>
      <c r="AR132" s="259" t="str">
        <f t="shared" si="24"/>
        <v>Shipped_Stock</v>
      </c>
      <c r="AS132" s="259" t="str">
        <f t="shared" si="25"/>
        <v/>
      </c>
      <c r="AT132" s="259" t="str">
        <f t="shared" si="26"/>
        <v>BBS好兄弟</v>
      </c>
      <c r="AU132" s="259" t="str">
        <f t="shared" si="27"/>
        <v>C49SZX20180086DZ</v>
      </c>
      <c r="AV132" s="259" t="str">
        <f t="shared" si="28"/>
        <v>Mar-06</v>
      </c>
    </row>
    <row r="133" spans="1:69" ht="15" hidden="1" customHeight="1">
      <c r="A133" s="564">
        <v>268</v>
      </c>
      <c r="B133" s="568" t="s">
        <v>280</v>
      </c>
      <c r="C133" s="565" t="s">
        <v>281</v>
      </c>
      <c r="D133" s="569">
        <v>109319</v>
      </c>
      <c r="E133" s="568" t="s">
        <v>513</v>
      </c>
      <c r="F133" s="568" t="s">
        <v>256</v>
      </c>
      <c r="G133" s="568" t="s">
        <v>24</v>
      </c>
      <c r="H133" s="568" t="s">
        <v>26</v>
      </c>
      <c r="I133" s="569" t="s">
        <v>514</v>
      </c>
      <c r="J133" s="569">
        <v>1</v>
      </c>
      <c r="K133" s="568" t="s">
        <v>311</v>
      </c>
      <c r="L133" s="570">
        <v>43537</v>
      </c>
      <c r="M133" s="571">
        <v>6.2E-2</v>
      </c>
      <c r="N133" s="568" t="s">
        <v>334</v>
      </c>
      <c r="P133" s="571" t="str">
        <f>VLOOKUP(A133,'[1]Raw data'!$B:$BB,23,FALSE)</f>
        <v>JPY</v>
      </c>
      <c r="Q133" s="568" t="str">
        <f>VLOOKUP(A133,'[1]Raw data'!$B:$Z,2,FALSE)</f>
        <v>C49SZX20190045SS</v>
      </c>
      <c r="R133" s="568" t="str">
        <f>VLOOKUP(A133,'[1]Raw data'!$B:$Z,3,FALSE)</f>
        <v>兴丰源</v>
      </c>
      <c r="S133" s="568" t="str">
        <f>VLOOKUP(A133,'[1]Raw data'!$B:$Z,4,FALSE)</f>
        <v>YSM20R(SV)-2</v>
      </c>
      <c r="T133" s="568" t="str">
        <f>VLOOKUP(A133,'[1]Raw data'!$B:$Z,8,FALSE)</f>
        <v>L-&gt;R</v>
      </c>
      <c r="U133" s="568" t="str">
        <f>VLOOKUP(A133,'[1]Raw data'!$B:$Z,9,FALSE)</f>
        <v>No</v>
      </c>
      <c r="V133" s="572" t="str">
        <f t="shared" si="20"/>
        <v>OK</v>
      </c>
      <c r="W133" s="568" t="str">
        <f>VLOOKUP(A133,'[1]Raw data'!$B:$AG,32,FALSE)</f>
        <v>DAP 深圳</v>
      </c>
      <c r="X133" s="568">
        <f>VLOOKUP(A133,'[1]Raw data'!$B:$BA,31,FALSE)</f>
        <v>43546</v>
      </c>
      <c r="Y133" s="568" t="str">
        <f>VLOOKUP(A133,'[1]Raw data'!$B:$AS,39,FALSE)</f>
        <v>Yes</v>
      </c>
      <c r="Z133" s="573" t="s">
        <v>290</v>
      </c>
      <c r="AA133" s="574" t="s">
        <v>290</v>
      </c>
      <c r="AB133" s="575"/>
      <c r="AC133" s="568" t="s">
        <v>291</v>
      </c>
      <c r="AN133" s="547"/>
      <c r="AO133" s="829" t="str">
        <f t="shared" si="21"/>
        <v>Yes</v>
      </c>
      <c r="AP133" s="259" t="str">
        <f t="shared" si="22"/>
        <v>MAR 19</v>
      </c>
      <c r="AQ133" s="547" t="str">
        <f t="shared" si="23"/>
        <v>有定金+有預留客戶</v>
      </c>
      <c r="AR133" s="259" t="str">
        <f t="shared" si="24"/>
        <v>Shipped_Stock</v>
      </c>
      <c r="AS133" s="259" t="str">
        <f t="shared" si="25"/>
        <v/>
      </c>
      <c r="AT133" s="259" t="str">
        <f t="shared" si="26"/>
        <v>兴丰源</v>
      </c>
      <c r="AU133" s="259" t="str">
        <f t="shared" si="27"/>
        <v>C49SZX20190045SS</v>
      </c>
      <c r="AV133" s="259" t="str">
        <f t="shared" si="28"/>
        <v>Mar-13</v>
      </c>
      <c r="AW133" s="842"/>
      <c r="AX133" s="842"/>
      <c r="AY133" s="842"/>
      <c r="AZ133" s="842"/>
      <c r="BA133" s="842"/>
      <c r="BB133" s="842"/>
      <c r="BC133" s="842"/>
      <c r="BD133" s="842"/>
      <c r="BE133" s="842"/>
      <c r="BF133" s="842"/>
      <c r="BG133" s="842"/>
      <c r="BH133" s="842"/>
      <c r="BI133" s="842"/>
      <c r="BJ133" s="842"/>
      <c r="BK133" s="842"/>
      <c r="BL133" s="842"/>
      <c r="BM133" s="842"/>
      <c r="BN133" s="842"/>
      <c r="BO133" s="842"/>
      <c r="BP133" s="842"/>
      <c r="BQ133" s="842"/>
    </row>
    <row r="134" spans="1:69" ht="15" hidden="1" customHeight="1">
      <c r="A134" s="564">
        <v>270</v>
      </c>
      <c r="B134" s="568" t="s">
        <v>280</v>
      </c>
      <c r="C134" s="565" t="s">
        <v>281</v>
      </c>
      <c r="D134" s="569">
        <v>109389</v>
      </c>
      <c r="E134" s="568" t="s">
        <v>515</v>
      </c>
      <c r="F134" s="568" t="s">
        <v>256</v>
      </c>
      <c r="G134" s="568" t="s">
        <v>24</v>
      </c>
      <c r="H134" s="568" t="s">
        <v>26</v>
      </c>
      <c r="I134" s="569" t="s">
        <v>516</v>
      </c>
      <c r="J134" s="569">
        <v>1</v>
      </c>
      <c r="K134" s="568" t="s">
        <v>285</v>
      </c>
      <c r="L134" s="570">
        <v>43537</v>
      </c>
      <c r="M134" s="571">
        <v>6.2E-2</v>
      </c>
      <c r="N134" s="568" t="s">
        <v>341</v>
      </c>
      <c r="P134" s="571" t="str">
        <f>VLOOKUP(A134,'[1]Raw data'!$B:$BB,23,FALSE)</f>
        <v>JPY</v>
      </c>
      <c r="Q134" s="568" t="str">
        <f>VLOOKUP(A134,'[1]Raw data'!$B:$Z,2,FALSE)</f>
        <v>C49SZX20190025SX</v>
      </c>
      <c r="R134" s="568" t="str">
        <f>VLOOKUP(A134,'[1]Raw data'!$B:$Z,3,FALSE)</f>
        <v>维众</v>
      </c>
      <c r="S134" s="568" t="str">
        <f>VLOOKUP(A134,'[1]Raw data'!$B:$Z,4,FALSE)</f>
        <v>YSM20R(SV)-2</v>
      </c>
      <c r="T134" s="568" t="str">
        <f>VLOOKUP(A134,'[1]Raw data'!$B:$Z,8,FALSE)</f>
        <v>L-&gt;R</v>
      </c>
      <c r="U134" s="568" t="str">
        <f>VLOOKUP(A134,'[1]Raw data'!$B:$Z,9,FALSE)</f>
        <v>No</v>
      </c>
      <c r="V134" s="572" t="str">
        <f t="shared" si="20"/>
        <v>OK</v>
      </c>
      <c r="W134" s="568" t="str">
        <f>VLOOKUP(A134,'[1]Raw data'!$B:$AG,32,FALSE)</f>
        <v>DAP 深圳</v>
      </c>
      <c r="X134" s="568">
        <f>VLOOKUP(A134,'[1]Raw data'!$B:$BA,31,FALSE)</f>
        <v>43530</v>
      </c>
      <c r="Y134" s="568" t="str">
        <f>VLOOKUP(A134,'[1]Raw data'!$B:$AS,39,FALSE)</f>
        <v>Yes</v>
      </c>
      <c r="Z134" s="573" t="s">
        <v>290</v>
      </c>
      <c r="AA134" s="574" t="s">
        <v>290</v>
      </c>
      <c r="AB134" s="575"/>
      <c r="AC134" s="568" t="s">
        <v>291</v>
      </c>
      <c r="AN134" s="547"/>
      <c r="AO134" s="829" t="str">
        <f t="shared" si="21"/>
        <v>Yes</v>
      </c>
      <c r="AP134" s="259" t="str">
        <f t="shared" si="22"/>
        <v>APR 19</v>
      </c>
      <c r="AQ134" s="547" t="str">
        <f t="shared" si="23"/>
        <v>有定金+有預留客戶</v>
      </c>
      <c r="AR134" s="259" t="str">
        <f t="shared" si="24"/>
        <v>Shipped_Stock</v>
      </c>
      <c r="AS134" s="259" t="str">
        <f t="shared" si="25"/>
        <v/>
      </c>
      <c r="AT134" s="259" t="str">
        <f t="shared" si="26"/>
        <v>维众</v>
      </c>
      <c r="AU134" s="259" t="str">
        <f t="shared" si="27"/>
        <v>C49SZX20190025SX</v>
      </c>
      <c r="AV134" s="259" t="str">
        <f t="shared" si="28"/>
        <v>Mar-13</v>
      </c>
    </row>
    <row r="135" spans="1:69" ht="15" hidden="1" customHeight="1">
      <c r="A135" s="564">
        <v>284</v>
      </c>
      <c r="B135" s="568" t="s">
        <v>280</v>
      </c>
      <c r="C135" s="565" t="s">
        <v>281</v>
      </c>
      <c r="D135" s="569">
        <v>109389</v>
      </c>
      <c r="E135" s="568" t="s">
        <v>515</v>
      </c>
      <c r="F135" s="568" t="s">
        <v>256</v>
      </c>
      <c r="G135" s="568" t="s">
        <v>24</v>
      </c>
      <c r="H135" s="568" t="s">
        <v>26</v>
      </c>
      <c r="I135" s="569" t="s">
        <v>517</v>
      </c>
      <c r="J135" s="569">
        <v>1</v>
      </c>
      <c r="K135" s="568" t="s">
        <v>285</v>
      </c>
      <c r="L135" s="570">
        <v>43537</v>
      </c>
      <c r="M135" s="571">
        <v>6.2E-2</v>
      </c>
      <c r="N135" s="568" t="s">
        <v>381</v>
      </c>
      <c r="P135" s="571" t="str">
        <f>VLOOKUP(A135,'[1]Raw data'!$B:$BB,23,FALSE)</f>
        <v>JPY</v>
      </c>
      <c r="Q135" s="568" t="str">
        <f>VLOOKUP(A135,'[1]Raw data'!$B:$Z,2,FALSE)</f>
        <v>C49SZX20190058SX</v>
      </c>
      <c r="R135" s="568" t="str">
        <f>VLOOKUP(A135,'[1]Raw data'!$B:$Z,3,FALSE)</f>
        <v>玮芯电子</v>
      </c>
      <c r="S135" s="568" t="str">
        <f>VLOOKUP(A135,'[1]Raw data'!$B:$Z,4,FALSE)</f>
        <v>YSM20R(SV)-2</v>
      </c>
      <c r="T135" s="568" t="str">
        <f>VLOOKUP(A135,'[1]Raw data'!$B:$Z,8,FALSE)</f>
        <v>L-&gt;R</v>
      </c>
      <c r="U135" s="568" t="str">
        <f>VLOOKUP(A135,'[1]Raw data'!$B:$Z,9,FALSE)</f>
        <v>MVC</v>
      </c>
      <c r="V135" s="572" t="str">
        <f t="shared" si="20"/>
        <v>WRONG</v>
      </c>
      <c r="W135" s="568" t="str">
        <f>VLOOKUP(A135,'[1]Raw data'!$B:$AG,32,FALSE)</f>
        <v>DAP SZ</v>
      </c>
      <c r="X135" s="568">
        <f>VLOOKUP(A135,'[1]Raw data'!$B:$BA,31,FALSE)</f>
        <v>43573</v>
      </c>
      <c r="Y135" s="568" t="str">
        <f>VLOOKUP(A135,'[1]Raw data'!$B:$AS,39,FALSE)</f>
        <v>Yes</v>
      </c>
      <c r="Z135" s="573" t="s">
        <v>290</v>
      </c>
      <c r="AA135" s="574" t="s">
        <v>290</v>
      </c>
      <c r="AB135" s="575"/>
      <c r="AC135" s="568" t="s">
        <v>291</v>
      </c>
      <c r="AN135" s="547"/>
      <c r="AO135" s="829" t="str">
        <f t="shared" si="21"/>
        <v>Yes</v>
      </c>
      <c r="AP135" s="259" t="str">
        <f t="shared" si="22"/>
        <v>MAY 19</v>
      </c>
      <c r="AQ135" s="547" t="str">
        <f t="shared" si="23"/>
        <v>有定金+有預留客戶</v>
      </c>
      <c r="AR135" s="259" t="str">
        <f t="shared" si="24"/>
        <v>Shipped_Stock</v>
      </c>
      <c r="AS135" s="259" t="str">
        <f t="shared" si="25"/>
        <v/>
      </c>
      <c r="AT135" s="259" t="str">
        <f t="shared" si="26"/>
        <v>玮芯电子</v>
      </c>
      <c r="AU135" s="259" t="str">
        <f t="shared" si="27"/>
        <v>C49SZX20190058SX</v>
      </c>
      <c r="AV135" s="259" t="str">
        <f t="shared" si="28"/>
        <v>Mar-13</v>
      </c>
      <c r="AW135" s="842"/>
      <c r="AX135" s="842"/>
      <c r="AY135" s="842"/>
      <c r="AZ135" s="842"/>
      <c r="BA135" s="842"/>
      <c r="BB135" s="842"/>
      <c r="BC135" s="842"/>
      <c r="BD135" s="842"/>
      <c r="BE135" s="842"/>
      <c r="BF135" s="842"/>
      <c r="BG135" s="842"/>
      <c r="BH135" s="842"/>
      <c r="BI135" s="842"/>
      <c r="BJ135" s="842"/>
      <c r="BK135" s="842"/>
      <c r="BL135" s="842"/>
      <c r="BM135" s="842"/>
      <c r="BN135" s="842"/>
      <c r="BO135" s="842"/>
      <c r="BP135" s="842"/>
      <c r="BQ135" s="842"/>
    </row>
    <row r="136" spans="1:69" ht="15" hidden="1" customHeight="1">
      <c r="A136" s="564">
        <v>264</v>
      </c>
      <c r="B136" s="568" t="s">
        <v>280</v>
      </c>
      <c r="C136" s="565" t="s">
        <v>281</v>
      </c>
      <c r="D136" s="569">
        <v>109429</v>
      </c>
      <c r="E136" s="568" t="s">
        <v>518</v>
      </c>
      <c r="F136" s="568" t="s">
        <v>256</v>
      </c>
      <c r="G136" s="568" t="s">
        <v>24</v>
      </c>
      <c r="H136" s="568" t="s">
        <v>26</v>
      </c>
      <c r="I136" s="569" t="s">
        <v>519</v>
      </c>
      <c r="J136" s="569">
        <v>1</v>
      </c>
      <c r="K136" s="568" t="s">
        <v>285</v>
      </c>
      <c r="L136" s="570">
        <v>43537</v>
      </c>
      <c r="M136" s="571">
        <v>6.2E-2</v>
      </c>
      <c r="N136" s="568" t="s">
        <v>341</v>
      </c>
      <c r="P136" s="571" t="str">
        <f>VLOOKUP(A136,'[1]Raw data'!$B:$BB,23,FALSE)</f>
        <v>JPY</v>
      </c>
      <c r="Q136" s="568" t="str">
        <f>VLOOKUP(A136,'[1]Raw data'!$B:$Z,2,FALSE)</f>
        <v>C49SZX20190035ZX</v>
      </c>
      <c r="R136" s="568" t="str">
        <f>VLOOKUP(A136,'[1]Raw data'!$B:$Z,3,FALSE)</f>
        <v>恒泰创新</v>
      </c>
      <c r="S136" s="568" t="str">
        <f>VLOOKUP(A136,'[1]Raw data'!$B:$Z,4,FALSE)</f>
        <v>YSM20R(SV)-2</v>
      </c>
      <c r="T136" s="568" t="str">
        <f>VLOOKUP(A136,'[1]Raw data'!$B:$Z,8,FALSE)</f>
        <v>L-&gt;R</v>
      </c>
      <c r="U136" s="568" t="str">
        <f>VLOOKUP(A136,'[1]Raw data'!$B:$Z,9,FALSE)</f>
        <v>No</v>
      </c>
      <c r="V136" s="572" t="str">
        <f t="shared" si="20"/>
        <v>OK</v>
      </c>
      <c r="W136" s="568" t="str">
        <f>VLOOKUP(A136,'[1]Raw data'!$B:$AG,32,FALSE)</f>
        <v>DAP 深圳</v>
      </c>
      <c r="X136" s="568">
        <f>VLOOKUP(A136,'[1]Raw data'!$B:$BA,31,FALSE)</f>
        <v>43544</v>
      </c>
      <c r="Y136" s="568" t="str">
        <f>VLOOKUP(A136,'[1]Raw data'!$B:$AS,39,FALSE)</f>
        <v>Yes</v>
      </c>
      <c r="Z136" s="573" t="s">
        <v>329</v>
      </c>
      <c r="AA136" s="574" t="s">
        <v>329</v>
      </c>
      <c r="AB136" s="575"/>
      <c r="AC136" s="568" t="s">
        <v>291</v>
      </c>
      <c r="AN136" s="547"/>
      <c r="AO136" s="829" t="str">
        <f t="shared" si="21"/>
        <v>Yes</v>
      </c>
      <c r="AP136" s="259" t="str">
        <f t="shared" si="22"/>
        <v>APR 19</v>
      </c>
      <c r="AQ136" s="547" t="str">
        <f t="shared" si="23"/>
        <v>有定金+有預留客戶</v>
      </c>
      <c r="AR136" s="259" t="str">
        <f t="shared" si="24"/>
        <v>Shipped_Stock</v>
      </c>
      <c r="AS136" s="259" t="str">
        <f t="shared" si="25"/>
        <v/>
      </c>
      <c r="AT136" s="259" t="str">
        <f t="shared" si="26"/>
        <v>恒泰创新</v>
      </c>
      <c r="AU136" s="259" t="str">
        <f t="shared" si="27"/>
        <v>C49SZX20190035ZX</v>
      </c>
      <c r="AV136" s="259" t="str">
        <f t="shared" si="28"/>
        <v>Mar-13</v>
      </c>
      <c r="AW136" s="842"/>
      <c r="AX136" s="842"/>
      <c r="AY136" s="842"/>
      <c r="AZ136" s="842"/>
      <c r="BA136" s="842"/>
      <c r="BB136" s="842"/>
      <c r="BC136" s="842"/>
      <c r="BD136" s="842"/>
      <c r="BE136" s="842"/>
      <c r="BF136" s="842"/>
      <c r="BG136" s="842"/>
      <c r="BH136" s="842"/>
      <c r="BI136" s="842"/>
      <c r="BJ136" s="842"/>
      <c r="BK136" s="842"/>
      <c r="BL136" s="842"/>
      <c r="BM136" s="842"/>
      <c r="BN136" s="842"/>
      <c r="BO136" s="842"/>
      <c r="BP136" s="842"/>
      <c r="BQ136" s="842"/>
    </row>
    <row r="137" spans="1:69" ht="15" hidden="1" customHeight="1">
      <c r="A137" s="564">
        <v>269</v>
      </c>
      <c r="B137" s="568" t="s">
        <v>280</v>
      </c>
      <c r="C137" s="565" t="s">
        <v>281</v>
      </c>
      <c r="D137" s="569">
        <v>109429</v>
      </c>
      <c r="E137" s="568" t="s">
        <v>518</v>
      </c>
      <c r="F137" s="568" t="s">
        <v>256</v>
      </c>
      <c r="G137" s="568" t="s">
        <v>24</v>
      </c>
      <c r="H137" s="568" t="s">
        <v>26</v>
      </c>
      <c r="I137" s="569" t="s">
        <v>520</v>
      </c>
      <c r="J137" s="569">
        <v>1</v>
      </c>
      <c r="K137" s="568" t="s">
        <v>285</v>
      </c>
      <c r="L137" s="570">
        <v>43537</v>
      </c>
      <c r="M137" s="571">
        <v>6.2E-2</v>
      </c>
      <c r="N137" s="568" t="s">
        <v>341</v>
      </c>
      <c r="P137" s="571" t="str">
        <f>VLOOKUP(A137,'[1]Raw data'!$B:$BB,23,FALSE)</f>
        <v>JPY</v>
      </c>
      <c r="Q137" s="568" t="str">
        <f>VLOOKUP(A137,'[1]Raw data'!$B:$Z,2,FALSE)</f>
        <v>C49SZX20190025SX</v>
      </c>
      <c r="R137" s="568" t="str">
        <f>VLOOKUP(A137,'[1]Raw data'!$B:$Z,3,FALSE)</f>
        <v>维众</v>
      </c>
      <c r="S137" s="568" t="str">
        <f>VLOOKUP(A137,'[1]Raw data'!$B:$Z,4,FALSE)</f>
        <v>YSM20R(SV)-2</v>
      </c>
      <c r="T137" s="568" t="str">
        <f>VLOOKUP(A137,'[1]Raw data'!$B:$Z,8,FALSE)</f>
        <v>L-&gt;R</v>
      </c>
      <c r="U137" s="568" t="str">
        <f>VLOOKUP(A137,'[1]Raw data'!$B:$Z,9,FALSE)</f>
        <v>No</v>
      </c>
      <c r="V137" s="572" t="str">
        <f t="shared" si="20"/>
        <v>OK</v>
      </c>
      <c r="W137" s="568" t="str">
        <f>VLOOKUP(A137,'[1]Raw data'!$B:$AG,32,FALSE)</f>
        <v>DAP 深圳</v>
      </c>
      <c r="X137" s="568">
        <f>VLOOKUP(A137,'[1]Raw data'!$B:$BA,31,FALSE)</f>
        <v>43530</v>
      </c>
      <c r="Y137" s="568" t="str">
        <f>VLOOKUP(A137,'[1]Raw data'!$B:$AS,39,FALSE)</f>
        <v>Yes</v>
      </c>
      <c r="Z137" s="573" t="s">
        <v>329</v>
      </c>
      <c r="AA137" s="574" t="s">
        <v>329</v>
      </c>
      <c r="AB137" s="575"/>
      <c r="AC137" s="568" t="s">
        <v>291</v>
      </c>
      <c r="AN137" s="547"/>
      <c r="AO137" s="829" t="str">
        <f t="shared" si="21"/>
        <v>Yes</v>
      </c>
      <c r="AP137" s="259" t="str">
        <f t="shared" si="22"/>
        <v>APR 19</v>
      </c>
      <c r="AQ137" s="547" t="str">
        <f t="shared" si="23"/>
        <v>有定金+有預留客戶</v>
      </c>
      <c r="AR137" s="259" t="str">
        <f t="shared" si="24"/>
        <v>Shipped_Stock</v>
      </c>
      <c r="AS137" s="259" t="str">
        <f t="shared" si="25"/>
        <v/>
      </c>
      <c r="AT137" s="259" t="str">
        <f t="shared" si="26"/>
        <v>维众</v>
      </c>
      <c r="AU137" s="259" t="str">
        <f t="shared" si="27"/>
        <v>C49SZX20190025SX</v>
      </c>
      <c r="AV137" s="259" t="str">
        <f t="shared" si="28"/>
        <v>Mar-13</v>
      </c>
      <c r="AW137" s="842"/>
      <c r="AX137" s="842"/>
      <c r="AY137" s="842"/>
      <c r="AZ137" s="842"/>
      <c r="BA137" s="842"/>
      <c r="BB137" s="842"/>
      <c r="BC137" s="842"/>
      <c r="BD137" s="842"/>
      <c r="BE137" s="842"/>
      <c r="BF137" s="842"/>
      <c r="BG137" s="842"/>
      <c r="BH137" s="842"/>
      <c r="BI137" s="842"/>
      <c r="BJ137" s="842"/>
      <c r="BK137" s="842"/>
      <c r="BL137" s="842"/>
      <c r="BM137" s="842"/>
      <c r="BN137" s="842"/>
      <c r="BO137" s="842"/>
      <c r="BP137" s="842"/>
      <c r="BQ137" s="842"/>
    </row>
    <row r="138" spans="1:69" ht="15" hidden="1" customHeight="1">
      <c r="A138" s="564">
        <v>155</v>
      </c>
      <c r="B138" s="568" t="s">
        <v>280</v>
      </c>
      <c r="C138" s="565" t="s">
        <v>281</v>
      </c>
      <c r="D138" s="569">
        <v>109493</v>
      </c>
      <c r="E138" s="568" t="s">
        <v>454</v>
      </c>
      <c r="F138" s="568" t="s">
        <v>256</v>
      </c>
      <c r="G138" s="568" t="s">
        <v>18</v>
      </c>
      <c r="H138" s="568" t="s">
        <v>307</v>
      </c>
      <c r="I138" s="569" t="s">
        <v>521</v>
      </c>
      <c r="J138" s="569">
        <v>1</v>
      </c>
      <c r="K138" s="568" t="s">
        <v>388</v>
      </c>
      <c r="L138" s="570">
        <v>43546</v>
      </c>
      <c r="M138" s="571">
        <v>6.2E-2</v>
      </c>
      <c r="N138" s="568" t="s">
        <v>341</v>
      </c>
      <c r="P138" s="571" t="str">
        <f>VLOOKUP(A138,'[1]Raw data'!$B:$BB,23,FALSE)</f>
        <v>JPY</v>
      </c>
      <c r="Q138" s="568" t="str">
        <f>VLOOKUP(A138,'[1]Raw data'!$B:$Z,2,FALSE)</f>
        <v>C49SZX20180167DZ</v>
      </c>
      <c r="R138" s="568" t="str">
        <f>VLOOKUP(A138,'[1]Raw data'!$B:$Z,3,FALSE)</f>
        <v>朗特</v>
      </c>
      <c r="S138" s="568" t="str">
        <f>VLOOKUP(A138,'[1]Raw data'!$B:$Z,4,FALSE)</f>
        <v>YSM20R(SV)-2</v>
      </c>
      <c r="T138" s="568" t="str">
        <f>VLOOKUP(A138,'[1]Raw data'!$B:$Z,8,FALSE)</f>
        <v>R-&gt;L</v>
      </c>
      <c r="U138" s="568" t="str">
        <f>VLOOKUP(A138,'[1]Raw data'!$B:$Z,9,FALSE)</f>
        <v>No</v>
      </c>
      <c r="V138" s="572" t="str">
        <f t="shared" si="20"/>
        <v>OK</v>
      </c>
      <c r="W138" s="568" t="str">
        <f>VLOOKUP(A138,'[1]Raw data'!$B:$AG,32,FALSE)</f>
        <v>CIF</v>
      </c>
      <c r="X138" s="568">
        <f>VLOOKUP(A138,'[1]Raw data'!$B:$BA,31,FALSE)</f>
        <v>43413</v>
      </c>
      <c r="Y138" s="568" t="str">
        <f>VLOOKUP(A138,'[1]Raw data'!$B:$AS,39,FALSE)</f>
        <v>Yes</v>
      </c>
      <c r="Z138" s="573"/>
      <c r="AA138" s="574" t="s">
        <v>290</v>
      </c>
      <c r="AB138" s="575" t="s">
        <v>389</v>
      </c>
      <c r="AC138" s="568" t="s">
        <v>291</v>
      </c>
      <c r="AN138" s="547"/>
      <c r="AO138" s="829" t="str">
        <f t="shared" si="21"/>
        <v>Yes</v>
      </c>
      <c r="AP138" s="259" t="str">
        <f t="shared" si="22"/>
        <v>APR 19</v>
      </c>
      <c r="AQ138" s="547" t="str">
        <f t="shared" si="23"/>
        <v>有定金+有預留客戶</v>
      </c>
      <c r="AR138" s="259" t="str">
        <f t="shared" si="24"/>
        <v>Shipped_Stock</v>
      </c>
      <c r="AS138" s="259" t="str">
        <f t="shared" si="25"/>
        <v/>
      </c>
      <c r="AT138" s="259" t="str">
        <f t="shared" si="26"/>
        <v>朗特</v>
      </c>
      <c r="AU138" s="259" t="str">
        <f t="shared" si="27"/>
        <v>C49SZX20180167DZ</v>
      </c>
      <c r="AV138" s="259" t="str">
        <f t="shared" si="28"/>
        <v>Mar-22</v>
      </c>
    </row>
    <row r="139" spans="1:69" ht="15" hidden="1" customHeight="1">
      <c r="A139" s="564">
        <v>161</v>
      </c>
      <c r="B139" s="568" t="s">
        <v>280</v>
      </c>
      <c r="C139" s="565" t="s">
        <v>281</v>
      </c>
      <c r="D139" s="569">
        <v>109493</v>
      </c>
      <c r="E139" s="568" t="s">
        <v>454</v>
      </c>
      <c r="F139" s="568" t="s">
        <v>17</v>
      </c>
      <c r="G139" s="568" t="s">
        <v>18</v>
      </c>
      <c r="H139" s="568" t="s">
        <v>34</v>
      </c>
      <c r="I139" s="569" t="s">
        <v>522</v>
      </c>
      <c r="J139" s="569">
        <v>1</v>
      </c>
      <c r="K139" s="568" t="s">
        <v>388</v>
      </c>
      <c r="L139" s="570">
        <v>43546</v>
      </c>
      <c r="M139" s="571">
        <v>6.2E-2</v>
      </c>
      <c r="N139" s="568" t="s">
        <v>341</v>
      </c>
      <c r="O139" s="568"/>
      <c r="P139" s="571" t="str">
        <f>VLOOKUP(A139,'[1]Raw data'!$B:$BB,23,FALSE)</f>
        <v>JPY</v>
      </c>
      <c r="Q139" s="568" t="str">
        <f>VLOOKUP(A139,'[1]Raw data'!$B:$Z,2,FALSE)</f>
        <v>C49SZX20180167DZ</v>
      </c>
      <c r="R139" s="568" t="str">
        <f>VLOOKUP(A139,'[1]Raw data'!$B:$Z,3,FALSE)</f>
        <v>朗特</v>
      </c>
      <c r="S139" s="568" t="str">
        <f>VLOOKUP(A139,'[1]Raw data'!$B:$Z,4,FALSE)</f>
        <v>YSM10</v>
      </c>
      <c r="T139" s="568" t="str">
        <f>VLOOKUP(A139,'[1]Raw data'!$B:$Z,8,FALSE)</f>
        <v>R-&gt;L</v>
      </c>
      <c r="U139" s="568" t="str">
        <f>VLOOKUP(A139,'[1]Raw data'!$B:$Z,9,FALSE)</f>
        <v>MVC+ATS15</v>
      </c>
      <c r="V139" s="572" t="str">
        <f t="shared" si="20"/>
        <v>OK</v>
      </c>
      <c r="W139" s="568" t="str">
        <f>VLOOKUP(A139,'[1]Raw data'!$B:$AG,32,FALSE)</f>
        <v>CIF</v>
      </c>
      <c r="X139" s="568">
        <f>VLOOKUP(A139,'[1]Raw data'!$B:$BA,31,FALSE)</f>
        <v>43413</v>
      </c>
      <c r="Y139" s="568" t="str">
        <f>VLOOKUP(A139,'[1]Raw data'!$B:$AS,39,FALSE)</f>
        <v>Yes</v>
      </c>
      <c r="Z139" s="573"/>
      <c r="AA139" s="574" t="s">
        <v>290</v>
      </c>
      <c r="AB139" s="575"/>
      <c r="AC139" s="568" t="s">
        <v>291</v>
      </c>
      <c r="AN139" s="547"/>
      <c r="AO139" s="829" t="str">
        <f t="shared" si="21"/>
        <v>Yes</v>
      </c>
      <c r="AP139" s="259" t="str">
        <f t="shared" si="22"/>
        <v>APR 19</v>
      </c>
      <c r="AQ139" s="547" t="str">
        <f t="shared" si="23"/>
        <v>有定金+有預留客戶</v>
      </c>
      <c r="AR139" s="259" t="str">
        <f t="shared" si="24"/>
        <v>Shipped_Stock</v>
      </c>
      <c r="AS139" s="259" t="str">
        <f t="shared" si="25"/>
        <v/>
      </c>
      <c r="AT139" s="259" t="str">
        <f t="shared" si="26"/>
        <v>朗特</v>
      </c>
      <c r="AU139" s="259" t="str">
        <f t="shared" si="27"/>
        <v>C49SZX20180167DZ</v>
      </c>
      <c r="AV139" s="259" t="str">
        <f t="shared" si="28"/>
        <v>Mar-22</v>
      </c>
    </row>
    <row r="140" spans="1:69" ht="15" hidden="1" customHeight="1">
      <c r="A140" s="564">
        <v>156</v>
      </c>
      <c r="B140" s="568" t="s">
        <v>280</v>
      </c>
      <c r="C140" s="565" t="s">
        <v>281</v>
      </c>
      <c r="D140" s="569">
        <v>109493</v>
      </c>
      <c r="E140" s="568" t="s">
        <v>454</v>
      </c>
      <c r="F140" s="568" t="s">
        <v>256</v>
      </c>
      <c r="G140" s="568" t="s">
        <v>18</v>
      </c>
      <c r="H140" s="568" t="s">
        <v>307</v>
      </c>
      <c r="I140" s="569" t="s">
        <v>523</v>
      </c>
      <c r="J140" s="569">
        <v>1</v>
      </c>
      <c r="K140" s="568" t="s">
        <v>388</v>
      </c>
      <c r="L140" s="570">
        <v>43546</v>
      </c>
      <c r="M140" s="571">
        <v>6.2E-2</v>
      </c>
      <c r="N140" s="568" t="s">
        <v>341</v>
      </c>
      <c r="P140" s="571" t="str">
        <f>VLOOKUP(A140,'[1]Raw data'!$B:$BB,23,FALSE)</f>
        <v>JPY</v>
      </c>
      <c r="Q140" s="568" t="str">
        <f>VLOOKUP(A140,'[1]Raw data'!$B:$Z,2,FALSE)</f>
        <v>C49SZX20180167DZ</v>
      </c>
      <c r="R140" s="568" t="str">
        <f>VLOOKUP(A140,'[1]Raw data'!$B:$Z,3,FALSE)</f>
        <v>朗特</v>
      </c>
      <c r="S140" s="568" t="str">
        <f>VLOOKUP(A140,'[1]Raw data'!$B:$Z,4,FALSE)</f>
        <v>YSM20R(SV)-2</v>
      </c>
      <c r="T140" s="568" t="str">
        <f>VLOOKUP(A140,'[1]Raw data'!$B:$Z,8,FALSE)</f>
        <v>R-&gt;L</v>
      </c>
      <c r="U140" s="568" t="str">
        <f>VLOOKUP(A140,'[1]Raw data'!$B:$Z,9,FALSE)</f>
        <v>No</v>
      </c>
      <c r="V140" s="572" t="str">
        <f t="shared" si="20"/>
        <v>OK</v>
      </c>
      <c r="W140" s="568" t="str">
        <f>VLOOKUP(A140,'[1]Raw data'!$B:$AG,32,FALSE)</f>
        <v>CIF</v>
      </c>
      <c r="X140" s="568">
        <f>VLOOKUP(A140,'[1]Raw data'!$B:$BA,31,FALSE)</f>
        <v>43413</v>
      </c>
      <c r="Y140" s="568" t="str">
        <f>VLOOKUP(A140,'[1]Raw data'!$B:$AS,39,FALSE)</f>
        <v>Yes</v>
      </c>
      <c r="Z140" s="573"/>
      <c r="AA140" s="574" t="s">
        <v>290</v>
      </c>
      <c r="AB140" s="575"/>
      <c r="AC140" s="568" t="s">
        <v>291</v>
      </c>
      <c r="AN140" s="547"/>
      <c r="AO140" s="829" t="str">
        <f t="shared" si="21"/>
        <v>Yes</v>
      </c>
      <c r="AP140" s="259" t="str">
        <f t="shared" si="22"/>
        <v>APR 19</v>
      </c>
      <c r="AQ140" s="547" t="str">
        <f t="shared" si="23"/>
        <v>有定金+有預留客戶</v>
      </c>
      <c r="AR140" s="259" t="str">
        <f t="shared" si="24"/>
        <v>Shipped_Stock</v>
      </c>
      <c r="AS140" s="259" t="str">
        <f t="shared" si="25"/>
        <v/>
      </c>
      <c r="AT140" s="259" t="str">
        <f t="shared" si="26"/>
        <v>朗特</v>
      </c>
      <c r="AU140" s="259" t="str">
        <f t="shared" si="27"/>
        <v>C49SZX20180167DZ</v>
      </c>
      <c r="AV140" s="259" t="str">
        <f t="shared" si="28"/>
        <v>Mar-22</v>
      </c>
    </row>
    <row r="141" spans="1:69" ht="15" hidden="1" customHeight="1">
      <c r="A141" s="564">
        <v>157</v>
      </c>
      <c r="B141" s="568" t="s">
        <v>280</v>
      </c>
      <c r="C141" s="565" t="s">
        <v>281</v>
      </c>
      <c r="D141" s="569">
        <v>109493</v>
      </c>
      <c r="E141" s="568" t="s">
        <v>454</v>
      </c>
      <c r="F141" s="568" t="s">
        <v>256</v>
      </c>
      <c r="G141" s="568" t="s">
        <v>18</v>
      </c>
      <c r="H141" s="568" t="s">
        <v>307</v>
      </c>
      <c r="I141" s="569" t="s">
        <v>524</v>
      </c>
      <c r="J141" s="569">
        <v>1</v>
      </c>
      <c r="K141" s="568" t="s">
        <v>388</v>
      </c>
      <c r="L141" s="570">
        <v>43546</v>
      </c>
      <c r="M141" s="571">
        <v>6.2E-2</v>
      </c>
      <c r="N141" s="568" t="s">
        <v>341</v>
      </c>
      <c r="P141" s="571" t="str">
        <f>VLOOKUP(A141,'[1]Raw data'!$B:$BB,23,FALSE)</f>
        <v>JPY</v>
      </c>
      <c r="Q141" s="568" t="str">
        <f>VLOOKUP(A141,'[1]Raw data'!$B:$Z,2,FALSE)</f>
        <v>C49SZX20180167DZ</v>
      </c>
      <c r="R141" s="568" t="str">
        <f>VLOOKUP(A141,'[1]Raw data'!$B:$Z,3,FALSE)</f>
        <v>朗特</v>
      </c>
      <c r="S141" s="568" t="str">
        <f>VLOOKUP(A141,'[1]Raw data'!$B:$Z,4,FALSE)</f>
        <v>YSM20R(SV)-2</v>
      </c>
      <c r="T141" s="568" t="str">
        <f>VLOOKUP(A141,'[1]Raw data'!$B:$Z,8,FALSE)</f>
        <v>R-&gt;L</v>
      </c>
      <c r="U141" s="568" t="str">
        <f>VLOOKUP(A141,'[1]Raw data'!$B:$Z,9,FALSE)</f>
        <v>No</v>
      </c>
      <c r="V141" s="572" t="str">
        <f t="shared" si="20"/>
        <v>OK</v>
      </c>
      <c r="W141" s="568" t="str">
        <f>VLOOKUP(A141,'[1]Raw data'!$B:$AG,32,FALSE)</f>
        <v>CIF</v>
      </c>
      <c r="X141" s="568">
        <f>VLOOKUP(A141,'[1]Raw data'!$B:$BA,31,FALSE)</f>
        <v>43413</v>
      </c>
      <c r="Y141" s="568" t="str">
        <f>VLOOKUP(A141,'[1]Raw data'!$B:$AS,39,FALSE)</f>
        <v>Yes</v>
      </c>
      <c r="Z141" s="573"/>
      <c r="AA141" s="574" t="s">
        <v>290</v>
      </c>
      <c r="AB141" s="575"/>
      <c r="AC141" s="568" t="s">
        <v>291</v>
      </c>
      <c r="AN141" s="547"/>
      <c r="AO141" s="829" t="str">
        <f t="shared" si="21"/>
        <v>Yes</v>
      </c>
      <c r="AP141" s="259" t="str">
        <f t="shared" si="22"/>
        <v>APR 19</v>
      </c>
      <c r="AQ141" s="547" t="str">
        <f t="shared" si="23"/>
        <v>有定金+有預留客戶</v>
      </c>
      <c r="AR141" s="259" t="str">
        <f t="shared" si="24"/>
        <v>Shipped_Stock</v>
      </c>
      <c r="AS141" s="259" t="str">
        <f t="shared" si="25"/>
        <v/>
      </c>
      <c r="AT141" s="259" t="str">
        <f t="shared" si="26"/>
        <v>朗特</v>
      </c>
      <c r="AU141" s="259" t="str">
        <f t="shared" si="27"/>
        <v>C49SZX20180167DZ</v>
      </c>
      <c r="AV141" s="259" t="str">
        <f t="shared" si="28"/>
        <v>Mar-22</v>
      </c>
    </row>
    <row r="142" spans="1:69" ht="15" hidden="1" customHeight="1">
      <c r="A142" s="564">
        <v>158</v>
      </c>
      <c r="B142" s="568" t="s">
        <v>280</v>
      </c>
      <c r="C142" s="565" t="s">
        <v>281</v>
      </c>
      <c r="D142" s="569">
        <v>109493</v>
      </c>
      <c r="E142" s="568" t="s">
        <v>454</v>
      </c>
      <c r="F142" s="568" t="s">
        <v>256</v>
      </c>
      <c r="G142" s="568" t="s">
        <v>18</v>
      </c>
      <c r="H142" s="568" t="s">
        <v>307</v>
      </c>
      <c r="I142" s="569" t="s">
        <v>525</v>
      </c>
      <c r="J142" s="569">
        <v>1</v>
      </c>
      <c r="K142" s="568" t="s">
        <v>388</v>
      </c>
      <c r="L142" s="570">
        <v>43546</v>
      </c>
      <c r="M142" s="571">
        <v>6.2E-2</v>
      </c>
      <c r="N142" s="568" t="s">
        <v>341</v>
      </c>
      <c r="P142" s="571" t="str">
        <f>VLOOKUP(A142,'[1]Raw data'!$B:$BB,23,FALSE)</f>
        <v>JPY</v>
      </c>
      <c r="Q142" s="568" t="str">
        <f>VLOOKUP(A142,'[1]Raw data'!$B:$Z,2,FALSE)</f>
        <v>C49SZX20180167DZ</v>
      </c>
      <c r="R142" s="568" t="str">
        <f>VLOOKUP(A142,'[1]Raw data'!$B:$Z,3,FALSE)</f>
        <v>朗特</v>
      </c>
      <c r="S142" s="568" t="str">
        <f>VLOOKUP(A142,'[1]Raw data'!$B:$Z,4,FALSE)</f>
        <v>YSM20R(SV)-2</v>
      </c>
      <c r="T142" s="568" t="str">
        <f>VLOOKUP(A142,'[1]Raw data'!$B:$Z,8,FALSE)</f>
        <v>R-&gt;L</v>
      </c>
      <c r="U142" s="568" t="str">
        <f>VLOOKUP(A142,'[1]Raw data'!$B:$Z,9,FALSE)</f>
        <v>No</v>
      </c>
      <c r="V142" s="572" t="str">
        <f t="shared" si="20"/>
        <v>OK</v>
      </c>
      <c r="W142" s="568" t="str">
        <f>VLOOKUP(A142,'[1]Raw data'!$B:$AG,32,FALSE)</f>
        <v>CIF</v>
      </c>
      <c r="X142" s="568">
        <f>VLOOKUP(A142,'[1]Raw data'!$B:$BA,31,FALSE)</f>
        <v>43413</v>
      </c>
      <c r="Y142" s="568" t="str">
        <f>VLOOKUP(A142,'[1]Raw data'!$B:$AS,39,FALSE)</f>
        <v>Yes</v>
      </c>
      <c r="Z142" s="573"/>
      <c r="AA142" s="574" t="s">
        <v>290</v>
      </c>
      <c r="AB142" s="575"/>
      <c r="AC142" s="568" t="s">
        <v>291</v>
      </c>
      <c r="AN142" s="547"/>
      <c r="AO142" s="829" t="str">
        <f t="shared" si="21"/>
        <v>Yes</v>
      </c>
      <c r="AP142" s="259" t="str">
        <f t="shared" si="22"/>
        <v>APR 19</v>
      </c>
      <c r="AQ142" s="547" t="str">
        <f t="shared" si="23"/>
        <v>有定金+有預留客戶</v>
      </c>
      <c r="AR142" s="259" t="str">
        <f t="shared" si="24"/>
        <v>Shipped_Stock</v>
      </c>
      <c r="AS142" s="259" t="str">
        <f t="shared" si="25"/>
        <v/>
      </c>
      <c r="AT142" s="259" t="str">
        <f t="shared" si="26"/>
        <v>朗特</v>
      </c>
      <c r="AU142" s="259" t="str">
        <f t="shared" si="27"/>
        <v>C49SZX20180167DZ</v>
      </c>
      <c r="AV142" s="259" t="str">
        <f t="shared" si="28"/>
        <v>Mar-22</v>
      </c>
    </row>
    <row r="143" spans="1:69" ht="15" hidden="1" customHeight="1">
      <c r="A143" s="564">
        <v>164</v>
      </c>
      <c r="B143" s="568" t="s">
        <v>280</v>
      </c>
      <c r="C143" s="565" t="s">
        <v>281</v>
      </c>
      <c r="D143" s="569">
        <v>109493</v>
      </c>
      <c r="E143" s="568" t="s">
        <v>454</v>
      </c>
      <c r="F143" s="568" t="s">
        <v>17</v>
      </c>
      <c r="G143" s="568" t="s">
        <v>18</v>
      </c>
      <c r="H143" s="568" t="s">
        <v>526</v>
      </c>
      <c r="I143" s="569" t="s">
        <v>527</v>
      </c>
      <c r="J143" s="569">
        <v>1</v>
      </c>
      <c r="K143" s="568" t="s">
        <v>388</v>
      </c>
      <c r="L143" s="570">
        <v>43546</v>
      </c>
      <c r="M143" s="571">
        <v>6.2E-2</v>
      </c>
      <c r="N143" s="568" t="s">
        <v>341</v>
      </c>
      <c r="O143" s="568"/>
      <c r="P143" s="571" t="str">
        <f>VLOOKUP(A143,'[1]Raw data'!$B:$BB,23,FALSE)</f>
        <v>JPY</v>
      </c>
      <c r="Q143" s="568" t="str">
        <f>VLOOKUP(A143,'[1]Raw data'!$B:$Z,2,FALSE)</f>
        <v>C49SZX20180167DZ</v>
      </c>
      <c r="R143" s="568" t="str">
        <f>VLOOKUP(A143,'[1]Raw data'!$B:$Z,3,FALSE)</f>
        <v>朗特</v>
      </c>
      <c r="S143" s="568" t="str">
        <f>VLOOKUP(A143,'[1]Raw data'!$B:$Z,4,FALSE)</f>
        <v>YSM10</v>
      </c>
      <c r="T143" s="568" t="str">
        <f>VLOOKUP(A143,'[1]Raw data'!$B:$Z,8,FALSE)</f>
        <v>R-&gt;L</v>
      </c>
      <c r="U143" s="568" t="str">
        <f>VLOOKUP(A143,'[1]Raw data'!$B:$Z,9,FALSE)</f>
        <v>MVC+Fixed feeder plate 24 positions</v>
      </c>
      <c r="V143" s="572" t="str">
        <f t="shared" si="20"/>
        <v>OK</v>
      </c>
      <c r="W143" s="568" t="str">
        <f>VLOOKUP(A143,'[1]Raw data'!$B:$AG,32,FALSE)</f>
        <v>CIF</v>
      </c>
      <c r="X143" s="568">
        <f>VLOOKUP(A143,'[1]Raw data'!$B:$BA,31,FALSE)</f>
        <v>43413</v>
      </c>
      <c r="Y143" s="568" t="str">
        <f>VLOOKUP(A143,'[1]Raw data'!$B:$AS,39,FALSE)</f>
        <v>Yes</v>
      </c>
      <c r="Z143" s="573"/>
      <c r="AA143" s="574" t="s">
        <v>290</v>
      </c>
      <c r="AB143" s="575"/>
      <c r="AC143" s="568" t="s">
        <v>291</v>
      </c>
      <c r="AN143" s="547"/>
      <c r="AO143" s="829" t="str">
        <f t="shared" si="21"/>
        <v>Yes</v>
      </c>
      <c r="AP143" s="259" t="str">
        <f t="shared" si="22"/>
        <v>APR 19</v>
      </c>
      <c r="AQ143" s="547" t="str">
        <f t="shared" si="23"/>
        <v>有定金+有預留客戶</v>
      </c>
      <c r="AR143" s="259" t="str">
        <f t="shared" si="24"/>
        <v>Shipped_Stock</v>
      </c>
      <c r="AS143" s="259" t="str">
        <f t="shared" si="25"/>
        <v/>
      </c>
      <c r="AT143" s="259" t="str">
        <f t="shared" si="26"/>
        <v>朗特</v>
      </c>
      <c r="AU143" s="259" t="str">
        <f t="shared" si="27"/>
        <v>C49SZX20180167DZ</v>
      </c>
      <c r="AV143" s="259" t="str">
        <f t="shared" si="28"/>
        <v>Mar-22</v>
      </c>
    </row>
    <row r="144" spans="1:69" ht="15" hidden="1" customHeight="1">
      <c r="A144" s="564">
        <v>165</v>
      </c>
      <c r="B144" s="568" t="s">
        <v>280</v>
      </c>
      <c r="C144" s="565" t="s">
        <v>281</v>
      </c>
      <c r="D144" s="569">
        <v>109493</v>
      </c>
      <c r="E144" s="568" t="s">
        <v>454</v>
      </c>
      <c r="F144" s="568" t="s">
        <v>17</v>
      </c>
      <c r="G144" s="568" t="s">
        <v>18</v>
      </c>
      <c r="H144" s="568" t="s">
        <v>526</v>
      </c>
      <c r="I144" s="569" t="s">
        <v>528</v>
      </c>
      <c r="J144" s="569">
        <v>1</v>
      </c>
      <c r="K144" s="568" t="s">
        <v>388</v>
      </c>
      <c r="L144" s="570">
        <v>43546</v>
      </c>
      <c r="M144" s="571">
        <v>6.2E-2</v>
      </c>
      <c r="N144" s="568" t="s">
        <v>341</v>
      </c>
      <c r="O144" s="568"/>
      <c r="P144" s="571" t="str">
        <f>VLOOKUP(A144,'[1]Raw data'!$B:$BB,23,FALSE)</f>
        <v>JPY</v>
      </c>
      <c r="Q144" s="568" t="str">
        <f>VLOOKUP(A144,'[1]Raw data'!$B:$Z,2,FALSE)</f>
        <v>C49SZX20180167DZ</v>
      </c>
      <c r="R144" s="568" t="str">
        <f>VLOOKUP(A144,'[1]Raw data'!$B:$Z,3,FALSE)</f>
        <v>朗特</v>
      </c>
      <c r="S144" s="568" t="str">
        <f>VLOOKUP(A144,'[1]Raw data'!$B:$Z,4,FALSE)</f>
        <v>YSM10</v>
      </c>
      <c r="T144" s="568" t="str">
        <f>VLOOKUP(A144,'[1]Raw data'!$B:$Z,8,FALSE)</f>
        <v>R-&gt;L</v>
      </c>
      <c r="U144" s="568" t="str">
        <f>VLOOKUP(A144,'[1]Raw data'!$B:$Z,9,FALSE)</f>
        <v>MVC+Fixed feeder plate 24 positions</v>
      </c>
      <c r="V144" s="572" t="str">
        <f t="shared" si="20"/>
        <v>OK</v>
      </c>
      <c r="W144" s="568" t="str">
        <f>VLOOKUP(A144,'[1]Raw data'!$B:$AG,32,FALSE)</f>
        <v>CIF</v>
      </c>
      <c r="X144" s="568">
        <f>VLOOKUP(A144,'[1]Raw data'!$B:$BA,31,FALSE)</f>
        <v>43413</v>
      </c>
      <c r="Y144" s="568" t="str">
        <f>VLOOKUP(A144,'[1]Raw data'!$B:$AS,39,FALSE)</f>
        <v>Yes</v>
      </c>
      <c r="Z144" s="573"/>
      <c r="AA144" s="574" t="s">
        <v>290</v>
      </c>
      <c r="AB144" s="575"/>
      <c r="AC144" s="568" t="s">
        <v>291</v>
      </c>
      <c r="AN144" s="547"/>
      <c r="AO144" s="829" t="str">
        <f t="shared" si="21"/>
        <v>Yes</v>
      </c>
      <c r="AP144" s="259" t="str">
        <f t="shared" si="22"/>
        <v>APR 19</v>
      </c>
      <c r="AQ144" s="547" t="str">
        <f t="shared" si="23"/>
        <v>有定金+有預留客戶</v>
      </c>
      <c r="AR144" s="259" t="str">
        <f t="shared" si="24"/>
        <v>Shipped_Stock</v>
      </c>
      <c r="AS144" s="259" t="str">
        <f t="shared" si="25"/>
        <v/>
      </c>
      <c r="AT144" s="259" t="str">
        <f t="shared" si="26"/>
        <v>朗特</v>
      </c>
      <c r="AU144" s="259" t="str">
        <f t="shared" si="27"/>
        <v>C49SZX20180167DZ</v>
      </c>
      <c r="AV144" s="259" t="str">
        <f t="shared" si="28"/>
        <v>Mar-22</v>
      </c>
    </row>
    <row r="145" spans="1:69" ht="15" hidden="1" customHeight="1">
      <c r="A145" s="564">
        <v>162</v>
      </c>
      <c r="B145" s="568" t="s">
        <v>280</v>
      </c>
      <c r="C145" s="565" t="s">
        <v>281</v>
      </c>
      <c r="D145" s="569">
        <v>109493</v>
      </c>
      <c r="E145" s="568" t="s">
        <v>454</v>
      </c>
      <c r="F145" s="568" t="s">
        <v>17</v>
      </c>
      <c r="G145" s="568" t="s">
        <v>18</v>
      </c>
      <c r="H145" s="568" t="s">
        <v>34</v>
      </c>
      <c r="I145" s="569" t="s">
        <v>529</v>
      </c>
      <c r="J145" s="569">
        <v>1</v>
      </c>
      <c r="K145" s="568" t="s">
        <v>388</v>
      </c>
      <c r="L145" s="570">
        <v>43546</v>
      </c>
      <c r="M145" s="571">
        <v>6.2E-2</v>
      </c>
      <c r="N145" s="568" t="s">
        <v>341</v>
      </c>
      <c r="O145" s="568"/>
      <c r="P145" s="571" t="str">
        <f>VLOOKUP(A145,'[1]Raw data'!$B:$BB,23,FALSE)</f>
        <v>JPY</v>
      </c>
      <c r="Q145" s="568" t="str">
        <f>VLOOKUP(A145,'[1]Raw data'!$B:$Z,2,FALSE)</f>
        <v>C49SZX20180167DZ</v>
      </c>
      <c r="R145" s="568" t="str">
        <f>VLOOKUP(A145,'[1]Raw data'!$B:$Z,3,FALSE)</f>
        <v>朗特</v>
      </c>
      <c r="S145" s="568" t="str">
        <f>VLOOKUP(A145,'[1]Raw data'!$B:$Z,4,FALSE)</f>
        <v>YSM10</v>
      </c>
      <c r="T145" s="568" t="str">
        <f>VLOOKUP(A145,'[1]Raw data'!$B:$Z,8,FALSE)</f>
        <v>R-&gt;L</v>
      </c>
      <c r="U145" s="568" t="str">
        <f>VLOOKUP(A145,'[1]Raw data'!$B:$Z,9,FALSE)</f>
        <v>MVC+ATS15</v>
      </c>
      <c r="V145" s="572" t="str">
        <f t="shared" si="20"/>
        <v>OK</v>
      </c>
      <c r="W145" s="568" t="str">
        <f>VLOOKUP(A145,'[1]Raw data'!$B:$AG,32,FALSE)</f>
        <v>CIF</v>
      </c>
      <c r="X145" s="568">
        <f>VLOOKUP(A145,'[1]Raw data'!$B:$BA,31,FALSE)</f>
        <v>43413</v>
      </c>
      <c r="Y145" s="568" t="str">
        <f>VLOOKUP(A145,'[1]Raw data'!$B:$AS,39,FALSE)</f>
        <v>Yes</v>
      </c>
      <c r="Z145" s="573"/>
      <c r="AA145" s="574" t="s">
        <v>290</v>
      </c>
      <c r="AB145" s="575"/>
      <c r="AC145" s="568" t="s">
        <v>291</v>
      </c>
      <c r="AN145" s="547"/>
      <c r="AO145" s="829" t="str">
        <f t="shared" si="21"/>
        <v>Yes</v>
      </c>
      <c r="AP145" s="259" t="str">
        <f t="shared" si="22"/>
        <v>APR 19</v>
      </c>
      <c r="AQ145" s="547" t="str">
        <f t="shared" si="23"/>
        <v>有定金+有預留客戶</v>
      </c>
      <c r="AR145" s="259" t="str">
        <f t="shared" si="24"/>
        <v>Shipped_Stock</v>
      </c>
      <c r="AS145" s="259" t="str">
        <f t="shared" si="25"/>
        <v/>
      </c>
      <c r="AT145" s="259" t="str">
        <f t="shared" si="26"/>
        <v>朗特</v>
      </c>
      <c r="AU145" s="259" t="str">
        <f t="shared" si="27"/>
        <v>C49SZX20180167DZ</v>
      </c>
      <c r="AV145" s="259" t="str">
        <f t="shared" si="28"/>
        <v>Mar-22</v>
      </c>
    </row>
    <row r="146" spans="1:69" ht="15" hidden="1" customHeight="1">
      <c r="A146" s="564">
        <v>163</v>
      </c>
      <c r="B146" s="568" t="s">
        <v>280</v>
      </c>
      <c r="C146" s="565" t="s">
        <v>281</v>
      </c>
      <c r="D146" s="569">
        <v>109493</v>
      </c>
      <c r="E146" s="568" t="s">
        <v>454</v>
      </c>
      <c r="F146" s="568" t="s">
        <v>17</v>
      </c>
      <c r="G146" s="568" t="s">
        <v>18</v>
      </c>
      <c r="H146" s="568" t="s">
        <v>34</v>
      </c>
      <c r="I146" s="569" t="s">
        <v>530</v>
      </c>
      <c r="J146" s="569">
        <v>1</v>
      </c>
      <c r="K146" s="568" t="s">
        <v>388</v>
      </c>
      <c r="L146" s="570">
        <v>43546</v>
      </c>
      <c r="M146" s="571">
        <v>6.2E-2</v>
      </c>
      <c r="N146" s="568" t="s">
        <v>341</v>
      </c>
      <c r="O146" s="568"/>
      <c r="P146" s="571" t="str">
        <f>VLOOKUP(A146,'[1]Raw data'!$B:$BB,23,FALSE)</f>
        <v>JPY</v>
      </c>
      <c r="Q146" s="568" t="str">
        <f>VLOOKUP(A146,'[1]Raw data'!$B:$Z,2,FALSE)</f>
        <v>C49SZX20180167DZ</v>
      </c>
      <c r="R146" s="568" t="str">
        <f>VLOOKUP(A146,'[1]Raw data'!$B:$Z,3,FALSE)</f>
        <v>朗特</v>
      </c>
      <c r="S146" s="568" t="str">
        <f>VLOOKUP(A146,'[1]Raw data'!$B:$Z,4,FALSE)</f>
        <v>YSM10</v>
      </c>
      <c r="T146" s="568" t="str">
        <f>VLOOKUP(A146,'[1]Raw data'!$B:$Z,8,FALSE)</f>
        <v>R-&gt;L</v>
      </c>
      <c r="U146" s="568" t="str">
        <f>VLOOKUP(A146,'[1]Raw data'!$B:$Z,9,FALSE)</f>
        <v>MVC+ATS15</v>
      </c>
      <c r="V146" s="572" t="str">
        <f t="shared" si="20"/>
        <v>OK</v>
      </c>
      <c r="W146" s="568" t="str">
        <f>VLOOKUP(A146,'[1]Raw data'!$B:$AG,32,FALSE)</f>
        <v>CIF</v>
      </c>
      <c r="X146" s="568">
        <f>VLOOKUP(A146,'[1]Raw data'!$B:$BA,31,FALSE)</f>
        <v>43413</v>
      </c>
      <c r="Y146" s="568" t="str">
        <f>VLOOKUP(A146,'[1]Raw data'!$B:$AS,39,FALSE)</f>
        <v>Yes</v>
      </c>
      <c r="Z146" s="573"/>
      <c r="AA146" s="574" t="s">
        <v>290</v>
      </c>
      <c r="AB146" s="575"/>
      <c r="AC146" s="568" t="s">
        <v>291</v>
      </c>
      <c r="AN146" s="547"/>
      <c r="AO146" s="829" t="str">
        <f t="shared" si="21"/>
        <v>Yes</v>
      </c>
      <c r="AP146" s="259" t="str">
        <f t="shared" si="22"/>
        <v>APR 19</v>
      </c>
      <c r="AQ146" s="547" t="str">
        <f t="shared" si="23"/>
        <v>有定金+有預留客戶</v>
      </c>
      <c r="AR146" s="259" t="str">
        <f t="shared" si="24"/>
        <v>Shipped_Stock</v>
      </c>
      <c r="AS146" s="259" t="str">
        <f t="shared" si="25"/>
        <v/>
      </c>
      <c r="AT146" s="259" t="str">
        <f t="shared" si="26"/>
        <v>朗特</v>
      </c>
      <c r="AU146" s="259" t="str">
        <f t="shared" si="27"/>
        <v>C49SZX20180167DZ</v>
      </c>
      <c r="AV146" s="259" t="str">
        <f t="shared" si="28"/>
        <v>Mar-22</v>
      </c>
    </row>
    <row r="147" spans="1:69" ht="15" hidden="1" customHeight="1">
      <c r="A147" s="564">
        <v>159</v>
      </c>
      <c r="B147" s="568" t="s">
        <v>280</v>
      </c>
      <c r="C147" s="565" t="s">
        <v>281</v>
      </c>
      <c r="D147" s="569">
        <v>109493</v>
      </c>
      <c r="E147" s="568" t="s">
        <v>454</v>
      </c>
      <c r="F147" s="568" t="s">
        <v>17</v>
      </c>
      <c r="G147" s="568" t="s">
        <v>18</v>
      </c>
      <c r="H147" s="568" t="s">
        <v>34</v>
      </c>
      <c r="I147" s="569" t="s">
        <v>531</v>
      </c>
      <c r="J147" s="569">
        <v>1</v>
      </c>
      <c r="K147" s="568" t="s">
        <v>388</v>
      </c>
      <c r="L147" s="570">
        <v>43546</v>
      </c>
      <c r="M147" s="571">
        <v>6.2E-2</v>
      </c>
      <c r="N147" s="568" t="s">
        <v>341</v>
      </c>
      <c r="O147" s="568"/>
      <c r="P147" s="571" t="str">
        <f>VLOOKUP(A147,'[1]Raw data'!$B:$BB,23,FALSE)</f>
        <v>JPY</v>
      </c>
      <c r="Q147" s="568" t="str">
        <f>VLOOKUP(A147,'[1]Raw data'!$B:$Z,2,FALSE)</f>
        <v>C49SZX20180167DZ</v>
      </c>
      <c r="R147" s="568" t="str">
        <f>VLOOKUP(A147,'[1]Raw data'!$B:$Z,3,FALSE)</f>
        <v>朗特</v>
      </c>
      <c r="S147" s="568" t="str">
        <f>VLOOKUP(A147,'[1]Raw data'!$B:$Z,4,FALSE)</f>
        <v>YSM10</v>
      </c>
      <c r="T147" s="568" t="str">
        <f>VLOOKUP(A147,'[1]Raw data'!$B:$Z,8,FALSE)</f>
        <v>R-&gt;L</v>
      </c>
      <c r="U147" s="568" t="str">
        <f>VLOOKUP(A147,'[1]Raw data'!$B:$Z,9,FALSE)</f>
        <v>MVC+ATS15</v>
      </c>
      <c r="V147" s="572" t="str">
        <f t="shared" si="20"/>
        <v>OK</v>
      </c>
      <c r="W147" s="568" t="str">
        <f>VLOOKUP(A147,'[1]Raw data'!$B:$AG,32,FALSE)</f>
        <v>CIF</v>
      </c>
      <c r="X147" s="568">
        <f>VLOOKUP(A147,'[1]Raw data'!$B:$BA,31,FALSE)</f>
        <v>43413</v>
      </c>
      <c r="Y147" s="568" t="str">
        <f>VLOOKUP(A147,'[1]Raw data'!$B:$AS,39,FALSE)</f>
        <v>Yes</v>
      </c>
      <c r="Z147" s="573"/>
      <c r="AA147" s="574" t="s">
        <v>290</v>
      </c>
      <c r="AB147" s="575"/>
      <c r="AC147" s="568" t="s">
        <v>291</v>
      </c>
      <c r="AN147" s="547"/>
      <c r="AO147" s="829" t="str">
        <f t="shared" si="21"/>
        <v>Yes</v>
      </c>
      <c r="AP147" s="259" t="str">
        <f t="shared" si="22"/>
        <v>APR 19</v>
      </c>
      <c r="AQ147" s="547" t="str">
        <f t="shared" si="23"/>
        <v>有定金+有預留客戶</v>
      </c>
      <c r="AR147" s="259" t="str">
        <f t="shared" si="24"/>
        <v>Shipped_Stock</v>
      </c>
      <c r="AS147" s="259" t="str">
        <f t="shared" si="25"/>
        <v/>
      </c>
      <c r="AT147" s="259" t="str">
        <f t="shared" si="26"/>
        <v>朗特</v>
      </c>
      <c r="AU147" s="259" t="str">
        <f t="shared" si="27"/>
        <v>C49SZX20180167DZ</v>
      </c>
      <c r="AV147" s="259" t="str">
        <f t="shared" si="28"/>
        <v>Mar-22</v>
      </c>
    </row>
    <row r="148" spans="1:69" ht="15" hidden="1" customHeight="1">
      <c r="A148" s="564">
        <v>160</v>
      </c>
      <c r="B148" s="568" t="s">
        <v>280</v>
      </c>
      <c r="C148" s="565" t="s">
        <v>281</v>
      </c>
      <c r="D148" s="569">
        <v>109493</v>
      </c>
      <c r="E148" s="568" t="s">
        <v>454</v>
      </c>
      <c r="F148" s="568" t="s">
        <v>17</v>
      </c>
      <c r="G148" s="568" t="s">
        <v>18</v>
      </c>
      <c r="H148" s="568" t="s">
        <v>34</v>
      </c>
      <c r="I148" s="569" t="s">
        <v>532</v>
      </c>
      <c r="J148" s="569">
        <v>1</v>
      </c>
      <c r="K148" s="568" t="s">
        <v>388</v>
      </c>
      <c r="L148" s="570">
        <v>43546</v>
      </c>
      <c r="M148" s="571">
        <v>6.2E-2</v>
      </c>
      <c r="N148" s="568" t="s">
        <v>341</v>
      </c>
      <c r="O148" s="568"/>
      <c r="P148" s="571" t="str">
        <f>VLOOKUP(A148,'[1]Raw data'!$B:$BB,23,FALSE)</f>
        <v>JPY</v>
      </c>
      <c r="Q148" s="568" t="str">
        <f>VLOOKUP(A148,'[1]Raw data'!$B:$Z,2,FALSE)</f>
        <v>C49SZX20180167DZ</v>
      </c>
      <c r="R148" s="568" t="str">
        <f>VLOOKUP(A148,'[1]Raw data'!$B:$Z,3,FALSE)</f>
        <v>朗特</v>
      </c>
      <c r="S148" s="568" t="str">
        <f>VLOOKUP(A148,'[1]Raw data'!$B:$Z,4,FALSE)</f>
        <v>YSM10</v>
      </c>
      <c r="T148" s="568" t="str">
        <f>VLOOKUP(A148,'[1]Raw data'!$B:$Z,8,FALSE)</f>
        <v>R-&gt;L</v>
      </c>
      <c r="U148" s="568" t="str">
        <f>VLOOKUP(A148,'[1]Raw data'!$B:$Z,9,FALSE)</f>
        <v>MVC+ATS15</v>
      </c>
      <c r="V148" s="572" t="str">
        <f t="shared" si="20"/>
        <v>OK</v>
      </c>
      <c r="W148" s="568" t="str">
        <f>VLOOKUP(A148,'[1]Raw data'!$B:$AG,32,FALSE)</f>
        <v>CIF</v>
      </c>
      <c r="X148" s="568">
        <f>VLOOKUP(A148,'[1]Raw data'!$B:$BA,31,FALSE)</f>
        <v>43413</v>
      </c>
      <c r="Y148" s="568" t="str">
        <f>VLOOKUP(A148,'[1]Raw data'!$B:$AS,39,FALSE)</f>
        <v>Yes</v>
      </c>
      <c r="Z148" s="573"/>
      <c r="AA148" s="574" t="s">
        <v>290</v>
      </c>
      <c r="AB148" s="575"/>
      <c r="AC148" s="568" t="s">
        <v>291</v>
      </c>
      <c r="AN148" s="547"/>
      <c r="AO148" s="829" t="str">
        <f t="shared" si="21"/>
        <v>Yes</v>
      </c>
      <c r="AP148" s="259" t="str">
        <f t="shared" si="22"/>
        <v>APR 19</v>
      </c>
      <c r="AQ148" s="547" t="str">
        <f t="shared" si="23"/>
        <v>有定金+有預留客戶</v>
      </c>
      <c r="AR148" s="259" t="str">
        <f t="shared" si="24"/>
        <v>Shipped_Stock</v>
      </c>
      <c r="AS148" s="259" t="str">
        <f t="shared" si="25"/>
        <v/>
      </c>
      <c r="AT148" s="259" t="str">
        <f t="shared" si="26"/>
        <v>朗特</v>
      </c>
      <c r="AU148" s="259" t="str">
        <f t="shared" si="27"/>
        <v>C49SZX20180167DZ</v>
      </c>
      <c r="AV148" s="259" t="str">
        <f t="shared" si="28"/>
        <v>Mar-22</v>
      </c>
    </row>
    <row r="149" spans="1:69" ht="15" hidden="1" customHeight="1">
      <c r="A149" s="564">
        <v>273</v>
      </c>
      <c r="B149" s="568" t="s">
        <v>280</v>
      </c>
      <c r="C149" s="565" t="s">
        <v>281</v>
      </c>
      <c r="D149" s="569">
        <v>109336</v>
      </c>
      <c r="E149" s="568" t="s">
        <v>533</v>
      </c>
      <c r="F149" s="568" t="s">
        <v>256</v>
      </c>
      <c r="G149" s="568" t="s">
        <v>24</v>
      </c>
      <c r="H149" s="568" t="s">
        <v>26</v>
      </c>
      <c r="I149" s="569" t="s">
        <v>534</v>
      </c>
      <c r="J149" s="569">
        <v>1</v>
      </c>
      <c r="K149" s="568" t="s">
        <v>285</v>
      </c>
      <c r="L149" s="570">
        <v>43558</v>
      </c>
      <c r="M149" s="571">
        <v>6.2E-2</v>
      </c>
      <c r="N149" s="568" t="s">
        <v>381</v>
      </c>
      <c r="P149" s="571" t="str">
        <f>VLOOKUP(A149,'[1]Raw data'!$B:$BB,23,FALSE)</f>
        <v>JPY</v>
      </c>
      <c r="Q149" s="568" t="str">
        <f>VLOOKUP(A149,'[1]Raw data'!$B:$Z,2,FALSE)</f>
        <v>C49SZX20190041JL</v>
      </c>
      <c r="R149" s="568" t="str">
        <f>VLOOKUP(A149,'[1]Raw data'!$B:$Z,3,FALSE)</f>
        <v>微力创/end user 昶达</v>
      </c>
      <c r="S149" s="568" t="str">
        <f>VLOOKUP(A149,'[1]Raw data'!$B:$Z,4,FALSE)</f>
        <v>YSM20R(SV)-2</v>
      </c>
      <c r="T149" s="568" t="str">
        <f>VLOOKUP(A149,'[1]Raw data'!$B:$Z,8,FALSE)</f>
        <v>L-&gt;R</v>
      </c>
      <c r="U149" s="568" t="str">
        <f>VLOOKUP(A149,'[1]Raw data'!$B:$Z,9,FALSE)</f>
        <v>No</v>
      </c>
      <c r="V149" s="572" t="str">
        <f t="shared" si="20"/>
        <v>OK</v>
      </c>
      <c r="W149" s="568" t="str">
        <f>VLOOKUP(A149,'[1]Raw data'!$B:$AG,32,FALSE)</f>
        <v>CIF HK</v>
      </c>
      <c r="X149" s="568">
        <f>VLOOKUP(A149,'[1]Raw data'!$B:$BA,31,FALSE)</f>
        <v>43550</v>
      </c>
      <c r="Y149" s="568" t="str">
        <f>VLOOKUP(A149,'[1]Raw data'!$B:$AS,39,FALSE)</f>
        <v>Yes</v>
      </c>
      <c r="Z149" s="573" t="s">
        <v>290</v>
      </c>
      <c r="AA149" s="574" t="s">
        <v>290</v>
      </c>
      <c r="AB149" s="575"/>
      <c r="AC149" s="568" t="s">
        <v>382</v>
      </c>
      <c r="AN149" s="547"/>
      <c r="AO149" s="829" t="str">
        <f t="shared" si="21"/>
        <v>Yes</v>
      </c>
      <c r="AP149" s="259" t="str">
        <f t="shared" si="22"/>
        <v>MAY 19</v>
      </c>
      <c r="AQ149" s="547" t="str">
        <f t="shared" si="23"/>
        <v>有定金+有預留客戶</v>
      </c>
      <c r="AR149" s="259" t="str">
        <f t="shared" si="24"/>
        <v>Shipped_Stock</v>
      </c>
      <c r="AS149" s="259" t="str">
        <f t="shared" si="25"/>
        <v/>
      </c>
      <c r="AT149" s="259" t="str">
        <f t="shared" si="26"/>
        <v>微力创/end user 昶达</v>
      </c>
      <c r="AU149" s="259" t="str">
        <f t="shared" si="27"/>
        <v>C49SZX20190041JL</v>
      </c>
      <c r="AV149" s="259" t="str">
        <f t="shared" si="28"/>
        <v>Apr-03</v>
      </c>
    </row>
    <row r="150" spans="1:69" ht="15" hidden="1" customHeight="1">
      <c r="A150" s="564">
        <v>287</v>
      </c>
      <c r="B150" s="568" t="s">
        <v>280</v>
      </c>
      <c r="C150" s="565" t="s">
        <v>281</v>
      </c>
      <c r="D150" s="569">
        <v>109336</v>
      </c>
      <c r="E150" s="568" t="s">
        <v>533</v>
      </c>
      <c r="F150" s="568" t="s">
        <v>256</v>
      </c>
      <c r="G150" s="568" t="s">
        <v>24</v>
      </c>
      <c r="H150" s="568" t="s">
        <v>26</v>
      </c>
      <c r="I150" s="569" t="s">
        <v>535</v>
      </c>
      <c r="J150" s="569">
        <v>1</v>
      </c>
      <c r="K150" s="568" t="s">
        <v>285</v>
      </c>
      <c r="L150" s="570">
        <v>43558</v>
      </c>
      <c r="M150" s="571">
        <v>6.2E-2</v>
      </c>
      <c r="N150" s="568" t="s">
        <v>381</v>
      </c>
      <c r="P150" s="571" t="str">
        <f>VLOOKUP(A150,'[1]Raw data'!$B:$BB,23,FALSE)</f>
        <v>JPY</v>
      </c>
      <c r="Q150" s="568" t="str">
        <f>VLOOKUP(A150,'[1]Raw data'!$B:$Z,2,FALSE)</f>
        <v>C49SZX20190056RW</v>
      </c>
      <c r="R150" s="568" t="str">
        <f>VLOOKUP(A150,'[1]Raw data'!$B:$Z,3,FALSE)</f>
        <v>富斯迈</v>
      </c>
      <c r="S150" s="568" t="str">
        <f>VLOOKUP(A150,'[1]Raw data'!$B:$Z,4,FALSE)</f>
        <v>YSM20R(SV)-2</v>
      </c>
      <c r="T150" s="568" t="str">
        <f>VLOOKUP(A150,'[1]Raw data'!$B:$Z,8,FALSE)</f>
        <v>L-&gt;R</v>
      </c>
      <c r="U150" s="568" t="str">
        <f>VLOOKUP(A150,'[1]Raw data'!$B:$Z,9,FALSE)</f>
        <v>MVC</v>
      </c>
      <c r="V150" s="572" t="str">
        <f t="shared" si="20"/>
        <v>WRONG</v>
      </c>
      <c r="W150" s="568" t="str">
        <f>VLOOKUP(A150,'[1]Raw data'!$B:$AG,32,FALSE)</f>
        <v>CIF HK</v>
      </c>
      <c r="X150" s="568">
        <f>VLOOKUP(A150,'[1]Raw data'!$B:$BA,31,FALSE)</f>
        <v>43572</v>
      </c>
      <c r="Y150" s="568" t="str">
        <f>VLOOKUP(A150,'[1]Raw data'!$B:$AS,39,FALSE)</f>
        <v>Yes</v>
      </c>
      <c r="Z150" s="573" t="s">
        <v>290</v>
      </c>
      <c r="AA150" s="574" t="s">
        <v>290</v>
      </c>
      <c r="AB150" s="575"/>
      <c r="AC150" s="568" t="s">
        <v>536</v>
      </c>
      <c r="AN150" s="547"/>
      <c r="AO150" s="829" t="str">
        <f t="shared" si="21"/>
        <v>Yes</v>
      </c>
      <c r="AP150" s="259" t="str">
        <f t="shared" si="22"/>
        <v>MAY 19</v>
      </c>
      <c r="AQ150" s="547" t="str">
        <f t="shared" si="23"/>
        <v>有定金+有預留客戶</v>
      </c>
      <c r="AR150" s="259" t="str">
        <f t="shared" si="24"/>
        <v>Shipped_Stock</v>
      </c>
      <c r="AS150" s="259" t="str">
        <f t="shared" si="25"/>
        <v/>
      </c>
      <c r="AT150" s="259" t="str">
        <f t="shared" si="26"/>
        <v>富斯迈</v>
      </c>
      <c r="AU150" s="259" t="str">
        <f t="shared" si="27"/>
        <v>C49SZX20190056RW</v>
      </c>
      <c r="AV150" s="259" t="str">
        <f t="shared" si="28"/>
        <v>Apr-03</v>
      </c>
    </row>
    <row r="151" spans="1:69" ht="15" hidden="1" customHeight="1">
      <c r="A151" s="564">
        <v>280</v>
      </c>
      <c r="B151" s="568" t="s">
        <v>280</v>
      </c>
      <c r="C151" s="565" t="s">
        <v>281</v>
      </c>
      <c r="D151" s="569">
        <v>109336</v>
      </c>
      <c r="E151" s="568" t="s">
        <v>533</v>
      </c>
      <c r="F151" s="568" t="s">
        <v>256</v>
      </c>
      <c r="G151" s="568" t="s">
        <v>24</v>
      </c>
      <c r="H151" s="568" t="s">
        <v>26</v>
      </c>
      <c r="I151" s="569" t="s">
        <v>537</v>
      </c>
      <c r="J151" s="569">
        <v>1</v>
      </c>
      <c r="K151" s="568" t="s">
        <v>285</v>
      </c>
      <c r="L151" s="570">
        <v>43558</v>
      </c>
      <c r="M151" s="571">
        <v>6.2E-2</v>
      </c>
      <c r="N151" s="568" t="s">
        <v>341</v>
      </c>
      <c r="P151" s="571" t="str">
        <f>VLOOKUP(A151,'[1]Raw data'!$B:$BB,23,FALSE)</f>
        <v>JPY</v>
      </c>
      <c r="Q151" s="568" t="str">
        <f>VLOOKUP(A151,'[1]Raw data'!$B:$Z,2,FALSE)</f>
        <v>C49SZX20190052SS</v>
      </c>
      <c r="R151" s="568" t="str">
        <f>VLOOKUP(A151,'[1]Raw data'!$B:$Z,3,FALSE)</f>
        <v>乐上</v>
      </c>
      <c r="S151" s="568" t="str">
        <f>VLOOKUP(A151,'[1]Raw data'!$B:$Z,4,FALSE)</f>
        <v>YSM20R(SV)-2</v>
      </c>
      <c r="T151" s="568" t="str">
        <f>VLOOKUP(A151,'[1]Raw data'!$B:$Z,8,FALSE)</f>
        <v>L-&gt;R</v>
      </c>
      <c r="U151" s="568" t="str">
        <f>VLOOKUP(A151,'[1]Raw data'!$B:$Z,9,FALSE)</f>
        <v>No</v>
      </c>
      <c r="V151" s="572" t="str">
        <f t="shared" si="20"/>
        <v>OK</v>
      </c>
      <c r="W151" s="568" t="str">
        <f>VLOOKUP(A151,'[1]Raw data'!$B:$AG,32,FALSE)</f>
        <v>DAP东莞</v>
      </c>
      <c r="X151" s="568">
        <f>VLOOKUP(A151,'[1]Raw data'!$B:$BA,31,FALSE)</f>
        <v>43567</v>
      </c>
      <c r="Y151" s="568" t="str">
        <f>VLOOKUP(A151,'[1]Raw data'!$B:$AS,39,FALSE)</f>
        <v>Yes</v>
      </c>
      <c r="Z151" s="573" t="s">
        <v>290</v>
      </c>
      <c r="AA151" s="574" t="s">
        <v>290</v>
      </c>
      <c r="AB151" s="575"/>
      <c r="AC151" s="568" t="s">
        <v>291</v>
      </c>
      <c r="AN151" s="547"/>
      <c r="AO151" s="829" t="str">
        <f t="shared" si="21"/>
        <v>Yes</v>
      </c>
      <c r="AP151" s="259" t="str">
        <f t="shared" si="22"/>
        <v>APR 19</v>
      </c>
      <c r="AQ151" s="547" t="str">
        <f t="shared" si="23"/>
        <v>有定金+有預留客戶</v>
      </c>
      <c r="AR151" s="259" t="str">
        <f t="shared" si="24"/>
        <v>Shipped_Stock</v>
      </c>
      <c r="AS151" s="259" t="str">
        <f t="shared" si="25"/>
        <v/>
      </c>
      <c r="AT151" s="259" t="str">
        <f t="shared" si="26"/>
        <v>乐上</v>
      </c>
      <c r="AU151" s="259" t="str">
        <f t="shared" si="27"/>
        <v>C49SZX20190052SS</v>
      </c>
      <c r="AV151" s="259" t="str">
        <f t="shared" si="28"/>
        <v>Apr-03</v>
      </c>
      <c r="AW151" s="842"/>
      <c r="AX151" s="842"/>
      <c r="AY151" s="842"/>
      <c r="AZ151" s="842"/>
      <c r="BA151" s="842"/>
      <c r="BB151" s="842"/>
      <c r="BC151" s="842"/>
      <c r="BD151" s="842"/>
      <c r="BE151" s="842"/>
      <c r="BF151" s="842"/>
      <c r="BG151" s="842"/>
      <c r="BH151" s="842"/>
      <c r="BI151" s="842"/>
      <c r="BJ151" s="842"/>
      <c r="BK151" s="842"/>
      <c r="BL151" s="842"/>
      <c r="BM151" s="842"/>
      <c r="BN151" s="842"/>
      <c r="BO151" s="842"/>
      <c r="BP151" s="842"/>
      <c r="BQ151" s="842"/>
    </row>
    <row r="152" spans="1:69" ht="15" hidden="1" customHeight="1">
      <c r="A152" s="564">
        <v>288</v>
      </c>
      <c r="B152" s="568" t="s">
        <v>280</v>
      </c>
      <c r="C152" s="565" t="s">
        <v>281</v>
      </c>
      <c r="D152" s="569">
        <v>109336</v>
      </c>
      <c r="E152" s="568" t="s">
        <v>533</v>
      </c>
      <c r="F152" s="568" t="s">
        <v>256</v>
      </c>
      <c r="G152" s="568" t="s">
        <v>24</v>
      </c>
      <c r="H152" s="568" t="s">
        <v>307</v>
      </c>
      <c r="I152" s="569" t="s">
        <v>538</v>
      </c>
      <c r="J152" s="569">
        <v>1</v>
      </c>
      <c r="K152" s="568" t="s">
        <v>285</v>
      </c>
      <c r="L152" s="570">
        <v>43558</v>
      </c>
      <c r="M152" s="571">
        <v>6.2E-2</v>
      </c>
      <c r="N152" s="568" t="s">
        <v>381</v>
      </c>
      <c r="P152" s="571" t="str">
        <f>VLOOKUP(A152,'[1]Raw data'!$B:$BB,23,FALSE)</f>
        <v>JPY</v>
      </c>
      <c r="Q152" s="568" t="str">
        <f>VLOOKUP(A152,'[1]Raw data'!$B:$Z,2,FALSE)</f>
        <v>C49SZX20190056RW</v>
      </c>
      <c r="R152" s="568" t="str">
        <f>VLOOKUP(A152,'[1]Raw data'!$B:$Z,3,FALSE)</f>
        <v>富斯迈</v>
      </c>
      <c r="S152" s="568" t="str">
        <f>VLOOKUP(A152,'[1]Raw data'!$B:$Z,4,FALSE)</f>
        <v>YSM20R(SV)-2</v>
      </c>
      <c r="T152" s="568" t="str">
        <f>VLOOKUP(A152,'[1]Raw data'!$B:$Z,8,FALSE)</f>
        <v>L-&gt;R</v>
      </c>
      <c r="U152" s="568" t="str">
        <f>VLOOKUP(A152,'[1]Raw data'!$B:$Z,9,FALSE)</f>
        <v>No</v>
      </c>
      <c r="V152" s="572" t="str">
        <f t="shared" si="20"/>
        <v>OK</v>
      </c>
      <c r="W152" s="568" t="str">
        <f>VLOOKUP(A152,'[1]Raw data'!$B:$AG,32,FALSE)</f>
        <v>CIF HK</v>
      </c>
      <c r="X152" s="568">
        <f>VLOOKUP(A152,'[1]Raw data'!$B:$BA,31,FALSE)</f>
        <v>43572</v>
      </c>
      <c r="Y152" s="568" t="str">
        <f>VLOOKUP(A152,'[1]Raw data'!$B:$AS,39,FALSE)</f>
        <v>Yes</v>
      </c>
      <c r="Z152" s="573" t="s">
        <v>290</v>
      </c>
      <c r="AA152" s="574" t="s">
        <v>290</v>
      </c>
      <c r="AB152" s="575"/>
      <c r="AC152" s="568" t="s">
        <v>536</v>
      </c>
      <c r="AN152" s="547"/>
      <c r="AO152" s="829" t="str">
        <f t="shared" si="21"/>
        <v>Yes</v>
      </c>
      <c r="AP152" s="259" t="str">
        <f t="shared" si="22"/>
        <v>MAY 19</v>
      </c>
      <c r="AQ152" s="547" t="str">
        <f t="shared" si="23"/>
        <v>有定金+有預留客戶</v>
      </c>
      <c r="AR152" s="259" t="str">
        <f t="shared" si="24"/>
        <v>Shipped_Stock</v>
      </c>
      <c r="AS152" s="259" t="str">
        <f t="shared" si="25"/>
        <v/>
      </c>
      <c r="AT152" s="259" t="str">
        <f t="shared" si="26"/>
        <v>富斯迈</v>
      </c>
      <c r="AU152" s="259" t="str">
        <f t="shared" si="27"/>
        <v>C49SZX20190056RW</v>
      </c>
      <c r="AV152" s="259" t="str">
        <f t="shared" si="28"/>
        <v>Apr-03</v>
      </c>
    </row>
    <row r="153" spans="1:69" ht="15" hidden="1" customHeight="1">
      <c r="A153" s="564">
        <v>315</v>
      </c>
      <c r="B153" s="568" t="s">
        <v>280</v>
      </c>
      <c r="C153" s="565" t="s">
        <v>281</v>
      </c>
      <c r="D153" s="569">
        <v>109336</v>
      </c>
      <c r="E153" s="568" t="s">
        <v>533</v>
      </c>
      <c r="F153" s="568" t="s">
        <v>256</v>
      </c>
      <c r="G153" s="568" t="s">
        <v>24</v>
      </c>
      <c r="H153" s="568" t="s">
        <v>26</v>
      </c>
      <c r="I153" s="569" t="s">
        <v>539</v>
      </c>
      <c r="J153" s="569">
        <v>1</v>
      </c>
      <c r="K153" s="568" t="s">
        <v>285</v>
      </c>
      <c r="L153" s="570">
        <v>43558</v>
      </c>
      <c r="M153" s="571">
        <v>6.2E-2</v>
      </c>
      <c r="N153" s="568" t="s">
        <v>325</v>
      </c>
      <c r="O153" s="569">
        <v>2019.03</v>
      </c>
      <c r="P153" s="571" t="str">
        <f>VLOOKUP(A153,'[1]Raw data'!$B:$BB,23,FALSE)</f>
        <v>JPY</v>
      </c>
      <c r="Q153" s="568" t="str">
        <f>VLOOKUP(A153,'[1]Raw data'!$B:$Z,2,FALSE)</f>
        <v>C49SZX20190069KW</v>
      </c>
      <c r="R153" s="568" t="str">
        <f>VLOOKUP(A153,'[1]Raw data'!$B:$Z,3,FALSE)</f>
        <v>同基</v>
      </c>
      <c r="S153" s="568" t="str">
        <f>VLOOKUP(A153,'[1]Raw data'!$B:$Z,4,FALSE)</f>
        <v>YSM20R(SV)-2</v>
      </c>
      <c r="T153" s="568" t="str">
        <f>VLOOKUP(A153,'[1]Raw data'!$B:$Z,8,FALSE)</f>
        <v>L-&gt;R</v>
      </c>
      <c r="U153" s="568" t="str">
        <f>VLOOKUP(A153,'[1]Raw data'!$B:$Z,9,FALSE)</f>
        <v>No</v>
      </c>
      <c r="V153" s="572" t="str">
        <f t="shared" si="20"/>
        <v>OK</v>
      </c>
      <c r="W153" s="568" t="str">
        <f>VLOOKUP(A153,'[1]Raw data'!$B:$AG,32,FALSE)</f>
        <v>CIF HK</v>
      </c>
      <c r="X153" s="568">
        <f>VLOOKUP(A153,'[1]Raw data'!$B:$BA,31,FALSE)</f>
        <v>43593</v>
      </c>
      <c r="Y153" s="568" t="str">
        <f>VLOOKUP(A153,'[1]Raw data'!$B:$AS,39,FALSE)</f>
        <v>Yes</v>
      </c>
      <c r="Z153" s="573" t="s">
        <v>290</v>
      </c>
      <c r="AA153" s="574" t="s">
        <v>290</v>
      </c>
      <c r="AB153" s="575"/>
      <c r="AC153" s="568" t="s">
        <v>540</v>
      </c>
      <c r="AN153" s="547"/>
      <c r="AO153" s="829" t="str">
        <f t="shared" si="21"/>
        <v>Yes</v>
      </c>
      <c r="AP153" s="259" t="str">
        <f t="shared" si="22"/>
        <v>JUL 19</v>
      </c>
      <c r="AQ153" s="547" t="str">
        <f t="shared" si="23"/>
        <v>有定金+有預留客戶</v>
      </c>
      <c r="AR153" s="259" t="str">
        <f t="shared" si="24"/>
        <v>Shipped_Stock</v>
      </c>
      <c r="AS153" s="259" t="str">
        <f t="shared" si="25"/>
        <v/>
      </c>
      <c r="AT153" s="259" t="str">
        <f t="shared" si="26"/>
        <v>同基</v>
      </c>
      <c r="AU153" s="259" t="str">
        <f t="shared" si="27"/>
        <v>C49SZX20190069KW</v>
      </c>
      <c r="AV153" s="259" t="str">
        <f t="shared" si="28"/>
        <v>Apr-03</v>
      </c>
    </row>
    <row r="154" spans="1:69" ht="15" hidden="1" customHeight="1">
      <c r="A154" s="564">
        <v>307</v>
      </c>
      <c r="B154" s="568" t="s">
        <v>280</v>
      </c>
      <c r="C154" s="565" t="s">
        <v>281</v>
      </c>
      <c r="D154" s="569">
        <v>109336</v>
      </c>
      <c r="E154" s="568" t="s">
        <v>533</v>
      </c>
      <c r="F154" s="568" t="s">
        <v>256</v>
      </c>
      <c r="G154" s="568" t="s">
        <v>24</v>
      </c>
      <c r="H154" s="568" t="s">
        <v>26</v>
      </c>
      <c r="I154" s="569" t="s">
        <v>541</v>
      </c>
      <c r="J154" s="569">
        <v>1</v>
      </c>
      <c r="K154" s="568" t="s">
        <v>285</v>
      </c>
      <c r="L154" s="570">
        <v>43558</v>
      </c>
      <c r="M154" s="571">
        <v>6.2E-2</v>
      </c>
      <c r="N154" s="568" t="s">
        <v>325</v>
      </c>
      <c r="O154" s="569">
        <v>2019.03</v>
      </c>
      <c r="P154" s="571" t="str">
        <f>VLOOKUP(A154,'[1]Raw data'!$B:$BB,23,FALSE)</f>
        <v>JPY</v>
      </c>
      <c r="Q154" s="568" t="str">
        <f>VLOOKUP(A154,'[1]Raw data'!$B:$Z,2,FALSE)</f>
        <v>C49SZX20190069KW</v>
      </c>
      <c r="R154" s="568" t="str">
        <f>VLOOKUP(A154,'[1]Raw data'!$B:$Z,3,FALSE)</f>
        <v>同基</v>
      </c>
      <c r="S154" s="568" t="str">
        <f>VLOOKUP(A154,'[1]Raw data'!$B:$Z,4,FALSE)</f>
        <v>YSM20R(SV)-2</v>
      </c>
      <c r="T154" s="568" t="str">
        <f>VLOOKUP(A154,'[1]Raw data'!$B:$Z,8,FALSE)</f>
        <v>L-&gt;R</v>
      </c>
      <c r="U154" s="568" t="str">
        <f>VLOOKUP(A154,'[1]Raw data'!$B:$Z,9,FALSE)</f>
        <v>No</v>
      </c>
      <c r="V154" s="572" t="str">
        <f t="shared" ref="V154:V185" si="29">IF(G154&amp;H154=T154&amp;U154,"OK","WRONG")</f>
        <v>OK</v>
      </c>
      <c r="W154" s="568" t="str">
        <f>VLOOKUP(A154,'[1]Raw data'!$B:$AG,32,FALSE)</f>
        <v>CIF HK</v>
      </c>
      <c r="X154" s="568">
        <f>VLOOKUP(A154,'[1]Raw data'!$B:$BA,31,FALSE)</f>
        <v>43593</v>
      </c>
      <c r="Y154" s="568" t="str">
        <f>VLOOKUP(A154,'[1]Raw data'!$B:$AS,39,FALSE)</f>
        <v>Yes</v>
      </c>
      <c r="Z154" s="573" t="s">
        <v>290</v>
      </c>
      <c r="AA154" s="574" t="s">
        <v>290</v>
      </c>
      <c r="AB154" s="575"/>
      <c r="AC154" s="568" t="s">
        <v>540</v>
      </c>
      <c r="AN154" s="547"/>
      <c r="AO154" s="829" t="str">
        <f t="shared" si="21"/>
        <v>Yes</v>
      </c>
      <c r="AP154" s="259" t="str">
        <f t="shared" si="22"/>
        <v>JUL 19</v>
      </c>
      <c r="AQ154" s="547" t="str">
        <f t="shared" si="23"/>
        <v>有定金+有預留客戶</v>
      </c>
      <c r="AR154" s="259" t="str">
        <f t="shared" si="24"/>
        <v>Shipped_Stock</v>
      </c>
      <c r="AS154" s="259" t="str">
        <f t="shared" si="25"/>
        <v/>
      </c>
      <c r="AT154" s="259" t="str">
        <f t="shared" si="26"/>
        <v>同基</v>
      </c>
      <c r="AU154" s="259" t="str">
        <f t="shared" si="27"/>
        <v>C49SZX20190069KW</v>
      </c>
      <c r="AV154" s="259" t="str">
        <f t="shared" si="28"/>
        <v>Apr-03</v>
      </c>
      <c r="AW154" s="842"/>
      <c r="AX154" s="842"/>
      <c r="AY154" s="842"/>
      <c r="AZ154" s="842"/>
      <c r="BA154" s="842"/>
      <c r="BB154" s="842"/>
      <c r="BC154" s="842"/>
      <c r="BD154" s="842"/>
      <c r="BE154" s="842"/>
      <c r="BF154" s="842"/>
      <c r="BG154" s="842"/>
      <c r="BH154" s="842"/>
      <c r="BI154" s="842"/>
      <c r="BJ154" s="842"/>
      <c r="BK154" s="842"/>
      <c r="BL154" s="842"/>
      <c r="BM154" s="842"/>
      <c r="BN154" s="842"/>
      <c r="BO154" s="842"/>
      <c r="BP154" s="842"/>
      <c r="BQ154" s="842"/>
    </row>
    <row r="155" spans="1:69" ht="15" hidden="1" customHeight="1">
      <c r="A155" s="564">
        <v>305</v>
      </c>
      <c r="B155" s="568" t="s">
        <v>280</v>
      </c>
      <c r="C155" s="565" t="s">
        <v>281</v>
      </c>
      <c r="D155" s="569">
        <v>109336</v>
      </c>
      <c r="E155" s="568" t="s">
        <v>533</v>
      </c>
      <c r="F155" s="568" t="s">
        <v>256</v>
      </c>
      <c r="G155" s="568" t="s">
        <v>24</v>
      </c>
      <c r="H155" s="568" t="s">
        <v>26</v>
      </c>
      <c r="I155" s="569" t="s">
        <v>542</v>
      </c>
      <c r="J155" s="569">
        <v>1</v>
      </c>
      <c r="K155" s="568" t="s">
        <v>285</v>
      </c>
      <c r="L155" s="570">
        <v>43558</v>
      </c>
      <c r="M155" s="571">
        <v>6.2E-2</v>
      </c>
      <c r="N155" s="568" t="s">
        <v>325</v>
      </c>
      <c r="O155" s="569">
        <v>2019.03</v>
      </c>
      <c r="P155" s="571" t="str">
        <f>VLOOKUP(A155,'[1]Raw data'!$B:$BB,23,FALSE)</f>
        <v>JPY</v>
      </c>
      <c r="Q155" s="568" t="str">
        <f>VLOOKUP(A155,'[1]Raw data'!$B:$Z,2,FALSE)</f>
        <v>C49SZX20190069KW</v>
      </c>
      <c r="R155" s="568" t="str">
        <f>VLOOKUP(A155,'[1]Raw data'!$B:$Z,3,FALSE)</f>
        <v>同基</v>
      </c>
      <c r="S155" s="568" t="str">
        <f>VLOOKUP(A155,'[1]Raw data'!$B:$Z,4,FALSE)</f>
        <v>YSM20R(SV)-2</v>
      </c>
      <c r="T155" s="568" t="str">
        <f>VLOOKUP(A155,'[1]Raw data'!$B:$Z,8,FALSE)</f>
        <v>L-&gt;R</v>
      </c>
      <c r="U155" s="568" t="str">
        <f>VLOOKUP(A155,'[1]Raw data'!$B:$Z,9,FALSE)</f>
        <v>No</v>
      </c>
      <c r="V155" s="572" t="str">
        <f t="shared" si="29"/>
        <v>OK</v>
      </c>
      <c r="W155" s="568" t="str">
        <f>VLOOKUP(A155,'[1]Raw data'!$B:$AG,32,FALSE)</f>
        <v>CIF HK</v>
      </c>
      <c r="X155" s="568">
        <f>VLOOKUP(A155,'[1]Raw data'!$B:$BA,31,FALSE)</f>
        <v>43593</v>
      </c>
      <c r="Y155" s="568" t="str">
        <f>VLOOKUP(A155,'[1]Raw data'!$B:$AS,39,FALSE)</f>
        <v>Yes</v>
      </c>
      <c r="Z155" s="573" t="s">
        <v>290</v>
      </c>
      <c r="AA155" s="574" t="s">
        <v>290</v>
      </c>
      <c r="AB155" s="575"/>
      <c r="AC155" s="568" t="s">
        <v>540</v>
      </c>
      <c r="AN155" s="547"/>
      <c r="AO155" s="829" t="str">
        <f t="shared" si="21"/>
        <v>Yes</v>
      </c>
      <c r="AP155" s="259" t="str">
        <f t="shared" si="22"/>
        <v>JUL 19</v>
      </c>
      <c r="AQ155" s="547" t="str">
        <f t="shared" si="23"/>
        <v>有定金+有預留客戶</v>
      </c>
      <c r="AR155" s="259" t="str">
        <f t="shared" si="24"/>
        <v>Shipped_Stock</v>
      </c>
      <c r="AS155" s="259" t="str">
        <f t="shared" si="25"/>
        <v/>
      </c>
      <c r="AT155" s="259" t="str">
        <f t="shared" si="26"/>
        <v>同基</v>
      </c>
      <c r="AU155" s="259" t="str">
        <f t="shared" si="27"/>
        <v>C49SZX20190069KW</v>
      </c>
      <c r="AV155" s="259" t="str">
        <f t="shared" si="28"/>
        <v>Apr-03</v>
      </c>
    </row>
    <row r="156" spans="1:69" ht="15" hidden="1" customHeight="1">
      <c r="A156" s="564">
        <v>306</v>
      </c>
      <c r="B156" s="568" t="s">
        <v>280</v>
      </c>
      <c r="C156" s="565" t="s">
        <v>281</v>
      </c>
      <c r="D156" s="569">
        <v>109336</v>
      </c>
      <c r="E156" s="568" t="s">
        <v>533</v>
      </c>
      <c r="F156" s="568" t="s">
        <v>256</v>
      </c>
      <c r="G156" s="568" t="s">
        <v>24</v>
      </c>
      <c r="H156" s="568" t="s">
        <v>26</v>
      </c>
      <c r="I156" s="569" t="s">
        <v>543</v>
      </c>
      <c r="J156" s="569">
        <v>1</v>
      </c>
      <c r="K156" s="568" t="s">
        <v>285</v>
      </c>
      <c r="L156" s="570">
        <v>43558</v>
      </c>
      <c r="M156" s="571">
        <v>6.2E-2</v>
      </c>
      <c r="N156" s="568" t="s">
        <v>325</v>
      </c>
      <c r="O156" s="569">
        <v>2019.03</v>
      </c>
      <c r="P156" s="571" t="str">
        <f>VLOOKUP(A156,'[1]Raw data'!$B:$BB,23,FALSE)</f>
        <v>JPY</v>
      </c>
      <c r="Q156" s="568" t="str">
        <f>VLOOKUP(A156,'[1]Raw data'!$B:$Z,2,FALSE)</f>
        <v>C49SZX20190069KW</v>
      </c>
      <c r="R156" s="568" t="str">
        <f>VLOOKUP(A156,'[1]Raw data'!$B:$Z,3,FALSE)</f>
        <v>同基</v>
      </c>
      <c r="S156" s="568" t="str">
        <f>VLOOKUP(A156,'[1]Raw data'!$B:$Z,4,FALSE)</f>
        <v>YSM20R(SV)-2</v>
      </c>
      <c r="T156" s="568" t="str">
        <f>VLOOKUP(A156,'[1]Raw data'!$B:$Z,8,FALSE)</f>
        <v>L-&gt;R</v>
      </c>
      <c r="U156" s="568" t="str">
        <f>VLOOKUP(A156,'[1]Raw data'!$B:$Z,9,FALSE)</f>
        <v>No</v>
      </c>
      <c r="V156" s="572" t="str">
        <f t="shared" si="29"/>
        <v>OK</v>
      </c>
      <c r="W156" s="568" t="str">
        <f>VLOOKUP(A156,'[1]Raw data'!$B:$AG,32,FALSE)</f>
        <v>CIF HK</v>
      </c>
      <c r="X156" s="568">
        <f>VLOOKUP(A156,'[1]Raw data'!$B:$BA,31,FALSE)</f>
        <v>43593</v>
      </c>
      <c r="Y156" s="568" t="str">
        <f>VLOOKUP(A156,'[1]Raw data'!$B:$AS,39,FALSE)</f>
        <v>Yes</v>
      </c>
      <c r="Z156" s="573" t="s">
        <v>290</v>
      </c>
      <c r="AA156" s="574" t="s">
        <v>290</v>
      </c>
      <c r="AB156" s="575"/>
      <c r="AC156" s="568" t="s">
        <v>540</v>
      </c>
      <c r="AN156" s="547"/>
      <c r="AO156" s="829" t="str">
        <f t="shared" si="21"/>
        <v>Yes</v>
      </c>
      <c r="AP156" s="259" t="str">
        <f t="shared" si="22"/>
        <v>JUL 19</v>
      </c>
      <c r="AQ156" s="547" t="str">
        <f t="shared" si="23"/>
        <v>有定金+有預留客戶</v>
      </c>
      <c r="AR156" s="259" t="str">
        <f t="shared" si="24"/>
        <v>Shipped_Stock</v>
      </c>
      <c r="AS156" s="259" t="str">
        <f t="shared" si="25"/>
        <v/>
      </c>
      <c r="AT156" s="259" t="str">
        <f t="shared" si="26"/>
        <v>同基</v>
      </c>
      <c r="AU156" s="259" t="str">
        <f t="shared" si="27"/>
        <v>C49SZX20190069KW</v>
      </c>
      <c r="AV156" s="259" t="str">
        <f t="shared" si="28"/>
        <v>Apr-03</v>
      </c>
    </row>
    <row r="157" spans="1:69" ht="15" hidden="1" customHeight="1">
      <c r="A157" s="564">
        <v>367</v>
      </c>
      <c r="B157" s="568" t="s">
        <v>280</v>
      </c>
      <c r="C157" s="565" t="s">
        <v>281</v>
      </c>
      <c r="D157" s="569">
        <v>109336</v>
      </c>
      <c r="E157" s="568" t="s">
        <v>533</v>
      </c>
      <c r="F157" s="568" t="s">
        <v>256</v>
      </c>
      <c r="G157" s="568" t="s">
        <v>24</v>
      </c>
      <c r="H157" s="568" t="s">
        <v>26</v>
      </c>
      <c r="I157" s="569" t="s">
        <v>544</v>
      </c>
      <c r="J157" s="569">
        <v>1</v>
      </c>
      <c r="K157" s="568" t="s">
        <v>285</v>
      </c>
      <c r="L157" s="570">
        <v>43558</v>
      </c>
      <c r="M157" s="571">
        <v>6.2E-2</v>
      </c>
      <c r="N157" s="568" t="s">
        <v>325</v>
      </c>
      <c r="O157" s="569">
        <v>2019.03</v>
      </c>
      <c r="P157" s="571" t="str">
        <f>VLOOKUP(A157,'[1]Raw data'!$B:$BB,23,FALSE)</f>
        <v>RMB</v>
      </c>
      <c r="Q157" s="568" t="str">
        <f>VLOOKUP(A157,'[1]Raw data'!$B:$Z,2,FALSE)</f>
        <v>C49SZX20190108ZX</v>
      </c>
      <c r="R157" s="568" t="str">
        <f>VLOOKUP(A157,'[1]Raw data'!$B:$Z,3,FALSE)</f>
        <v>帝泰克</v>
      </c>
      <c r="S157" s="568" t="str">
        <f>VLOOKUP(A157,'[1]Raw data'!$B:$Z,4,FALSE)</f>
        <v>YSM20R(SV)-2</v>
      </c>
      <c r="T157" s="568" t="str">
        <f>VLOOKUP(A157,'[1]Raw data'!$B:$Z,8,FALSE)</f>
        <v>L-&gt;R</v>
      </c>
      <c r="U157" s="568" t="str">
        <f>VLOOKUP(A157,'[1]Raw data'!$B:$Z,9,FALSE)</f>
        <v>No</v>
      </c>
      <c r="V157" s="572" t="str">
        <f t="shared" si="29"/>
        <v>OK</v>
      </c>
      <c r="W157" s="568" t="str">
        <f>VLOOKUP(A157,'[1]Raw data'!$B:$AG,32,FALSE)</f>
        <v>含税到厂</v>
      </c>
      <c r="X157" s="568">
        <f>VLOOKUP(A157,'[1]Raw data'!$B:$BA,31,FALSE)</f>
        <v>43580</v>
      </c>
      <c r="Y157" s="568" t="str">
        <f>VLOOKUP(A157,'[1]Raw data'!$B:$AS,39,FALSE)</f>
        <v>Yes</v>
      </c>
      <c r="Z157" s="573" t="s">
        <v>290</v>
      </c>
      <c r="AA157" s="574" t="s">
        <v>290</v>
      </c>
      <c r="AB157" s="575"/>
      <c r="AC157" s="568" t="s">
        <v>545</v>
      </c>
      <c r="AN157" s="547"/>
      <c r="AO157" s="829" t="str">
        <f t="shared" si="21"/>
        <v>Yes</v>
      </c>
      <c r="AP157" s="259" t="str">
        <f t="shared" si="22"/>
        <v>JUL 19</v>
      </c>
      <c r="AQ157" s="547" t="str">
        <f t="shared" si="23"/>
        <v>有定金+有預留客戶</v>
      </c>
      <c r="AR157" s="259" t="str">
        <f t="shared" si="24"/>
        <v>Shipped_Stock</v>
      </c>
      <c r="AS157" s="259" t="str">
        <f t="shared" si="25"/>
        <v/>
      </c>
      <c r="AT157" s="259" t="str">
        <f t="shared" si="26"/>
        <v>帝泰克</v>
      </c>
      <c r="AU157" s="259" t="str">
        <f t="shared" si="27"/>
        <v>C49SZX20190108ZX</v>
      </c>
      <c r="AV157" s="259" t="str">
        <f t="shared" si="28"/>
        <v>Apr-03</v>
      </c>
    </row>
    <row r="158" spans="1:69" ht="15" hidden="1" customHeight="1">
      <c r="A158" s="564">
        <v>368</v>
      </c>
      <c r="B158" s="568" t="s">
        <v>280</v>
      </c>
      <c r="C158" s="565" t="s">
        <v>281</v>
      </c>
      <c r="D158" s="569">
        <v>109336</v>
      </c>
      <c r="E158" s="568" t="s">
        <v>533</v>
      </c>
      <c r="F158" s="568" t="s">
        <v>256</v>
      </c>
      <c r="G158" s="568" t="s">
        <v>24</v>
      </c>
      <c r="H158" s="568" t="s">
        <v>26</v>
      </c>
      <c r="I158" s="569" t="s">
        <v>546</v>
      </c>
      <c r="J158" s="569">
        <v>1</v>
      </c>
      <c r="K158" s="568" t="s">
        <v>285</v>
      </c>
      <c r="L158" s="570">
        <v>43558</v>
      </c>
      <c r="M158" s="571">
        <v>6.2E-2</v>
      </c>
      <c r="N158" s="568" t="s">
        <v>325</v>
      </c>
      <c r="O158" s="569">
        <v>2019.03</v>
      </c>
      <c r="P158" s="571" t="str">
        <f>VLOOKUP(A158,'[1]Raw data'!$B:$BB,23,FALSE)</f>
        <v>RMB</v>
      </c>
      <c r="Q158" s="568" t="str">
        <f>VLOOKUP(A158,'[1]Raw data'!$B:$Z,2,FALSE)</f>
        <v>C49SZX20190108ZX</v>
      </c>
      <c r="R158" s="568" t="str">
        <f>VLOOKUP(A158,'[1]Raw data'!$B:$Z,3,FALSE)</f>
        <v>帝泰克</v>
      </c>
      <c r="S158" s="568" t="str">
        <f>VLOOKUP(A158,'[1]Raw data'!$B:$Z,4,FALSE)</f>
        <v>YSM20R(SV)-2</v>
      </c>
      <c r="T158" s="568" t="str">
        <f>VLOOKUP(A158,'[1]Raw data'!$B:$Z,8,FALSE)</f>
        <v>L-&gt;R</v>
      </c>
      <c r="U158" s="568" t="str">
        <f>VLOOKUP(A158,'[1]Raw data'!$B:$Z,9,FALSE)</f>
        <v>No</v>
      </c>
      <c r="V158" s="572" t="str">
        <f t="shared" si="29"/>
        <v>OK</v>
      </c>
      <c r="W158" s="568" t="str">
        <f>VLOOKUP(A158,'[1]Raw data'!$B:$AG,32,FALSE)</f>
        <v>含税到厂</v>
      </c>
      <c r="X158" s="568">
        <f>VLOOKUP(A158,'[1]Raw data'!$B:$BA,31,FALSE)</f>
        <v>43580</v>
      </c>
      <c r="Y158" s="568" t="str">
        <f>VLOOKUP(A158,'[1]Raw data'!$B:$AS,39,FALSE)</f>
        <v>Yes</v>
      </c>
      <c r="Z158" s="573" t="s">
        <v>290</v>
      </c>
      <c r="AA158" s="574" t="s">
        <v>290</v>
      </c>
      <c r="AB158" s="575"/>
      <c r="AC158" s="568" t="s">
        <v>545</v>
      </c>
      <c r="AN158" s="547"/>
      <c r="AO158" s="829" t="str">
        <f t="shared" si="21"/>
        <v>Yes</v>
      </c>
      <c r="AP158" s="259" t="str">
        <f t="shared" si="22"/>
        <v>JUL 19</v>
      </c>
      <c r="AQ158" s="547" t="str">
        <f t="shared" si="23"/>
        <v>有定金+有預留客戶</v>
      </c>
      <c r="AR158" s="259" t="str">
        <f t="shared" si="24"/>
        <v>Shipped_Stock</v>
      </c>
      <c r="AS158" s="259" t="str">
        <f t="shared" si="25"/>
        <v/>
      </c>
      <c r="AT158" s="259" t="str">
        <f t="shared" si="26"/>
        <v>帝泰克</v>
      </c>
      <c r="AU158" s="259" t="str">
        <f t="shared" si="27"/>
        <v>C49SZX20190108ZX</v>
      </c>
      <c r="AV158" s="259" t="str">
        <f t="shared" si="28"/>
        <v>Apr-03</v>
      </c>
    </row>
    <row r="159" spans="1:69" ht="15" hidden="1" customHeight="1">
      <c r="A159" s="564">
        <v>201</v>
      </c>
      <c r="B159" s="568" t="s">
        <v>280</v>
      </c>
      <c r="C159" s="565" t="s">
        <v>281</v>
      </c>
      <c r="D159" s="594">
        <v>109294</v>
      </c>
      <c r="E159" s="589" t="s">
        <v>547</v>
      </c>
      <c r="F159" s="568" t="s">
        <v>256</v>
      </c>
      <c r="G159" s="568" t="s">
        <v>24</v>
      </c>
      <c r="H159" s="568" t="s">
        <v>26</v>
      </c>
      <c r="I159" s="594" t="s">
        <v>548</v>
      </c>
      <c r="J159" s="594">
        <v>1</v>
      </c>
      <c r="K159" s="568" t="s">
        <v>285</v>
      </c>
      <c r="L159" s="595">
        <v>43560</v>
      </c>
      <c r="M159" s="571">
        <v>6.2E-2</v>
      </c>
      <c r="N159" s="568" t="s">
        <v>404</v>
      </c>
      <c r="P159" s="571" t="str">
        <f>VLOOKUP(A159,'[1]Raw data'!$B:$BB,23,FALSE)</f>
        <v>JPY</v>
      </c>
      <c r="Q159" s="568" t="str">
        <f>VLOOKUP(A159,'[1]Raw data'!$B:$Z,2,FALSE)</f>
        <v>C49SZX20190001JY</v>
      </c>
      <c r="R159" s="568" t="str">
        <f>VLOOKUP(A159,'[1]Raw data'!$B:$Z,3,FALSE)</f>
        <v>Kingtron络鑫</v>
      </c>
      <c r="S159" s="568" t="str">
        <f>VLOOKUP(A159,'[1]Raw data'!$B:$Z,4,FALSE)</f>
        <v>YSM20R(SV)-2</v>
      </c>
      <c r="T159" s="568" t="str">
        <f>VLOOKUP(A159,'[1]Raw data'!$B:$Z,8,FALSE)</f>
        <v>L-&gt;R</v>
      </c>
      <c r="U159" s="568" t="str">
        <f>VLOOKUP(A159,'[1]Raw data'!$B:$Z,9,FALSE)</f>
        <v>No</v>
      </c>
      <c r="V159" s="572" t="str">
        <f t="shared" si="29"/>
        <v>OK</v>
      </c>
      <c r="W159" s="568" t="str">
        <f>VLOOKUP(A159,'[1]Raw data'!$B:$AG,32,FALSE)</f>
        <v>CIF HK</v>
      </c>
      <c r="X159" s="568">
        <f>VLOOKUP(A159,'[1]Raw data'!$B:$BA,31,FALSE)</f>
        <v>43473</v>
      </c>
      <c r="Y159" s="568" t="str">
        <f>VLOOKUP(A159,'[1]Raw data'!$B:$AS,39,FALSE)</f>
        <v>Yes</v>
      </c>
      <c r="Z159" s="574" t="s">
        <v>329</v>
      </c>
      <c r="AA159" s="574" t="s">
        <v>329</v>
      </c>
      <c r="AB159" s="596"/>
      <c r="AC159" s="568" t="s">
        <v>439</v>
      </c>
      <c r="AD159" s="597"/>
      <c r="AE159" s="597"/>
      <c r="AF159" s="597"/>
      <c r="AG159" s="597"/>
      <c r="AH159" s="597"/>
      <c r="AI159" s="598"/>
      <c r="AJ159" s="597"/>
      <c r="AK159" s="597"/>
      <c r="AL159" s="597"/>
      <c r="AM159" s="597"/>
      <c r="AN159" s="547"/>
      <c r="AO159" s="829" t="str">
        <f t="shared" si="21"/>
        <v>Yes</v>
      </c>
      <c r="AP159" s="259" t="str">
        <f t="shared" si="22"/>
        <v>JUN 19</v>
      </c>
      <c r="AQ159" s="547" t="str">
        <f t="shared" si="23"/>
        <v>有定金+有預留客戶</v>
      </c>
      <c r="AR159" s="259" t="str">
        <f t="shared" si="24"/>
        <v>Shipped_Stock</v>
      </c>
      <c r="AS159" s="259" t="str">
        <f t="shared" si="25"/>
        <v/>
      </c>
      <c r="AT159" s="259" t="str">
        <f t="shared" si="26"/>
        <v>Kingtron络鑫</v>
      </c>
      <c r="AU159" s="259" t="str">
        <f t="shared" si="27"/>
        <v>C49SZX20190001JY</v>
      </c>
      <c r="AV159" s="259" t="str">
        <f t="shared" si="28"/>
        <v>Apr-05</v>
      </c>
    </row>
    <row r="160" spans="1:69" ht="15" hidden="1" customHeight="1">
      <c r="A160" s="564">
        <v>171</v>
      </c>
      <c r="B160" s="568" t="s">
        <v>280</v>
      </c>
      <c r="C160" s="565" t="s">
        <v>281</v>
      </c>
      <c r="D160" s="594">
        <v>109294</v>
      </c>
      <c r="E160" s="589" t="s">
        <v>547</v>
      </c>
      <c r="F160" s="568" t="s">
        <v>256</v>
      </c>
      <c r="G160" s="568" t="s">
        <v>24</v>
      </c>
      <c r="H160" s="568" t="s">
        <v>26</v>
      </c>
      <c r="I160" s="594" t="s">
        <v>549</v>
      </c>
      <c r="J160" s="594">
        <v>1</v>
      </c>
      <c r="K160" s="568" t="s">
        <v>285</v>
      </c>
      <c r="L160" s="595">
        <v>43560</v>
      </c>
      <c r="M160" s="571">
        <v>6.2E-2</v>
      </c>
      <c r="N160" s="568" t="s">
        <v>325</v>
      </c>
      <c r="O160" s="569">
        <v>2019.03</v>
      </c>
      <c r="P160" s="571" t="str">
        <f>VLOOKUP(A160,'[1]Raw data'!$B:$BB,23,FALSE)</f>
        <v>JPY</v>
      </c>
      <c r="Q160" s="568" t="str">
        <f>VLOOKUP(A160,'[1]Raw data'!$B:$Z,2,FALSE)</f>
        <v>C49SZX20180154JL</v>
      </c>
      <c r="R160" s="568" t="str">
        <f>VLOOKUP(A160,'[1]Raw data'!$B:$Z,3,FALSE)</f>
        <v>奥晨</v>
      </c>
      <c r="S160" s="568" t="str">
        <f>VLOOKUP(A160,'[1]Raw data'!$B:$Z,4,FALSE)</f>
        <v>YSM20-2</v>
      </c>
      <c r="T160" s="568" t="str">
        <f>VLOOKUP(A160,'[1]Raw data'!$B:$Z,8,FALSE)</f>
        <v>L-&gt;R</v>
      </c>
      <c r="U160" s="568" t="str">
        <f>VLOOKUP(A160,'[1]Raw data'!$B:$Z,9,FALSE)</f>
        <v>No</v>
      </c>
      <c r="V160" s="572" t="str">
        <f t="shared" si="29"/>
        <v>OK</v>
      </c>
      <c r="W160" s="568" t="str">
        <f>VLOOKUP(A160,'[1]Raw data'!$B:$AG,32,FALSE)</f>
        <v>DAP东莞</v>
      </c>
      <c r="X160" s="568">
        <f>VLOOKUP(A160,'[1]Raw data'!$B:$BA,31,FALSE)</f>
        <v>43388</v>
      </c>
      <c r="Y160" s="568" t="str">
        <f>VLOOKUP(A160,'[1]Raw data'!$B:$AS,39,FALSE)</f>
        <v>Yes</v>
      </c>
      <c r="Z160" s="574" t="s">
        <v>329</v>
      </c>
      <c r="AA160" s="574" t="s">
        <v>329</v>
      </c>
      <c r="AB160" s="596"/>
      <c r="AC160" s="589" t="s">
        <v>338</v>
      </c>
      <c r="AD160" s="597"/>
      <c r="AE160" s="597"/>
      <c r="AF160" s="597"/>
      <c r="AG160" s="597"/>
      <c r="AH160" s="597"/>
      <c r="AI160" s="598"/>
      <c r="AJ160" s="597"/>
      <c r="AK160" s="597"/>
      <c r="AL160" s="597"/>
      <c r="AM160" s="597"/>
      <c r="AN160" s="547"/>
      <c r="AO160" s="829" t="str">
        <f t="shared" si="21"/>
        <v>Yes</v>
      </c>
      <c r="AP160" s="259" t="str">
        <f t="shared" si="22"/>
        <v>JUL 19</v>
      </c>
      <c r="AQ160" s="547" t="str">
        <f t="shared" si="23"/>
        <v>有定金+有預留客戶</v>
      </c>
      <c r="AR160" s="259" t="str">
        <f t="shared" si="24"/>
        <v>Shipped_Stock</v>
      </c>
      <c r="AS160" s="259" t="str">
        <f t="shared" si="25"/>
        <v/>
      </c>
      <c r="AT160" s="259" t="str">
        <f t="shared" si="26"/>
        <v>奥晨</v>
      </c>
      <c r="AU160" s="259" t="str">
        <f t="shared" si="27"/>
        <v>C49SZX20180154JL</v>
      </c>
      <c r="AV160" s="259" t="str">
        <f t="shared" si="28"/>
        <v>Apr-05</v>
      </c>
    </row>
    <row r="161" spans="1:69" ht="15" hidden="1" customHeight="1">
      <c r="A161" s="564" t="s">
        <v>550</v>
      </c>
      <c r="B161" s="568" t="s">
        <v>280</v>
      </c>
      <c r="C161" s="568" t="s">
        <v>4056</v>
      </c>
      <c r="D161" s="569">
        <v>109532</v>
      </c>
      <c r="E161" s="568" t="s">
        <v>236</v>
      </c>
      <c r="F161" s="568" t="s">
        <v>551</v>
      </c>
      <c r="G161" s="568" t="s">
        <v>18</v>
      </c>
      <c r="H161" s="568" t="s">
        <v>26</v>
      </c>
      <c r="I161" s="569" t="s">
        <v>552</v>
      </c>
      <c r="J161" s="569">
        <v>1</v>
      </c>
      <c r="K161" s="568" t="s">
        <v>285</v>
      </c>
      <c r="L161" s="570">
        <v>43560</v>
      </c>
      <c r="M161" s="571">
        <v>6.2E-2</v>
      </c>
      <c r="N161" s="568" t="s">
        <v>286</v>
      </c>
      <c r="O161" s="568">
        <v>2019.03</v>
      </c>
      <c r="P161" s="571" t="e">
        <f>VLOOKUP(A161,'[1]Raw data'!$B:$BB,23,FALSE)</f>
        <v>#N/A</v>
      </c>
      <c r="Q161" s="568" t="e">
        <f>VLOOKUP(A161,'[1]Raw data'!$B:$Z,2,FALSE)</f>
        <v>#N/A</v>
      </c>
      <c r="R161" s="568" t="e">
        <f>VLOOKUP(A161,'[1]Raw data'!$B:$Z,3,FALSE)</f>
        <v>#N/A</v>
      </c>
      <c r="S161" s="568" t="e">
        <f>VLOOKUP(A161,'[1]Raw data'!$B:$Z,4,FALSE)</f>
        <v>#N/A</v>
      </c>
      <c r="T161" s="568" t="e">
        <f>VLOOKUP(A161,'[1]Raw data'!$B:$Z,8,FALSE)</f>
        <v>#N/A</v>
      </c>
      <c r="U161" s="568" t="e">
        <f>VLOOKUP(A161,'[1]Raw data'!$B:$Z,9,FALSE)</f>
        <v>#N/A</v>
      </c>
      <c r="V161" s="572" t="e">
        <f t="shared" si="29"/>
        <v>#N/A</v>
      </c>
      <c r="W161" s="568" t="e">
        <f>VLOOKUP(A161,'[1]Raw data'!$B:$AG,32,FALSE)</f>
        <v>#N/A</v>
      </c>
      <c r="X161" s="568" t="e">
        <f>VLOOKUP(A161,'[1]Raw data'!$B:$BA,31,FALSE)</f>
        <v>#N/A</v>
      </c>
      <c r="Y161" s="568" t="e">
        <f>VLOOKUP(A161,'[1]Raw data'!$B:$AS,39,FALSE)</f>
        <v>#N/A</v>
      </c>
      <c r="Z161" s="573" t="s">
        <v>329</v>
      </c>
      <c r="AA161" s="574" t="s">
        <v>497</v>
      </c>
      <c r="AB161" s="575"/>
      <c r="AC161" s="568" t="s">
        <v>498</v>
      </c>
      <c r="AN161" s="547"/>
      <c r="AO161" s="829" t="str">
        <f t="shared" si="21"/>
        <v>No</v>
      </c>
      <c r="AP161" s="259" t="str">
        <f t="shared" si="22"/>
        <v>DEC 19</v>
      </c>
      <c r="AQ161" s="547" t="str">
        <f t="shared" si="23"/>
        <v>无定金+有預留客戶</v>
      </c>
      <c r="AR161" s="259" t="str">
        <f t="shared" si="24"/>
        <v>Shipped_Stock</v>
      </c>
      <c r="AS161" s="259" t="str">
        <f t="shared" si="25"/>
        <v/>
      </c>
      <c r="AT161" s="259" t="str">
        <f t="shared" si="26"/>
        <v>-</v>
      </c>
      <c r="AU161" s="259" t="str">
        <f t="shared" si="27"/>
        <v>-</v>
      </c>
      <c r="AV161" s="259" t="str">
        <f t="shared" si="28"/>
        <v>Apr-05</v>
      </c>
    </row>
    <row r="162" spans="1:69" ht="15" hidden="1" customHeight="1">
      <c r="A162" s="564">
        <v>544</v>
      </c>
      <c r="B162" s="568" t="s">
        <v>280</v>
      </c>
      <c r="C162" s="568" t="s">
        <v>4056</v>
      </c>
      <c r="D162" s="569">
        <v>109532</v>
      </c>
      <c r="E162" s="568" t="s">
        <v>236</v>
      </c>
      <c r="F162" s="568" t="s">
        <v>551</v>
      </c>
      <c r="G162" s="568" t="s">
        <v>18</v>
      </c>
      <c r="H162" s="568" t="s">
        <v>26</v>
      </c>
      <c r="I162" s="569" t="s">
        <v>553</v>
      </c>
      <c r="J162" s="569">
        <v>1</v>
      </c>
      <c r="K162" s="568" t="s">
        <v>285</v>
      </c>
      <c r="L162" s="570">
        <v>43560</v>
      </c>
      <c r="M162" s="581">
        <v>6.2E-2</v>
      </c>
      <c r="N162" s="568" t="s">
        <v>554</v>
      </c>
      <c r="O162" s="568">
        <v>2019.03</v>
      </c>
      <c r="P162" s="571" t="str">
        <f>VLOOKUP(A162,'[1]Raw data'!$B:$BB,23,FALSE)</f>
        <v>JPY</v>
      </c>
      <c r="Q162" s="568" t="str">
        <f>VLOOKUP(A162,'[1]Raw data'!$B:$Z,2,FALSE)</f>
        <v>C28SZX20190098YY</v>
      </c>
      <c r="R162" s="568" t="str">
        <f>VLOOKUP(A162,'[1]Raw data'!$B:$Z,3,FALSE)</f>
        <v>嘉裕</v>
      </c>
      <c r="S162" s="568" t="str">
        <f>VLOOKUP(A162,'[1]Raw data'!$B:$Z,4,FALSE)</f>
        <v>YCP10</v>
      </c>
      <c r="T162" s="568" t="str">
        <f>VLOOKUP(A162,'[1]Raw data'!$B:$Z,8,FALSE)</f>
        <v>L-&gt;R</v>
      </c>
      <c r="U162" s="568" t="str">
        <f>VLOOKUP(A162,'[1]Raw data'!$B:$Z,9,FALSE)</f>
        <v>No</v>
      </c>
      <c r="V162" s="572" t="str">
        <f t="shared" si="29"/>
        <v>WRONG</v>
      </c>
      <c r="W162" s="568" t="str">
        <f>VLOOKUP(A162,'[1]Raw data'!$B:$AG,32,FALSE)</f>
        <v>CIF HK</v>
      </c>
      <c r="X162" s="568">
        <f>VLOOKUP(A162,'[1]Raw data'!$B:$BA,31,FALSE)</f>
        <v>43795</v>
      </c>
      <c r="Y162" s="568" t="str">
        <f>VLOOKUP(A162,'[1]Raw data'!$B:$AS,39,FALSE)</f>
        <v>Yes</v>
      </c>
      <c r="AC162" s="568" t="s">
        <v>555</v>
      </c>
      <c r="AN162" s="547"/>
      <c r="AO162" s="829" t="str">
        <f t="shared" si="21"/>
        <v>Yes</v>
      </c>
      <c r="AP162" s="259" t="str">
        <f t="shared" si="22"/>
        <v>APR 20</v>
      </c>
      <c r="AQ162" s="547" t="str">
        <f t="shared" si="23"/>
        <v>有定金+有預留客戶</v>
      </c>
      <c r="AR162" s="259" t="str">
        <f t="shared" si="24"/>
        <v>Shipped_Stock</v>
      </c>
      <c r="AS162" s="259" t="str">
        <f t="shared" si="25"/>
        <v/>
      </c>
      <c r="AT162" s="259" t="str">
        <f t="shared" si="26"/>
        <v>嘉裕</v>
      </c>
      <c r="AU162" s="259" t="str">
        <f t="shared" si="27"/>
        <v>C28SZX20190098YY</v>
      </c>
      <c r="AV162" s="259" t="str">
        <f t="shared" si="28"/>
        <v>Apr-05</v>
      </c>
    </row>
    <row r="163" spans="1:69" ht="15" hidden="1" customHeight="1">
      <c r="A163" s="564">
        <v>385</v>
      </c>
      <c r="B163" s="568" t="s">
        <v>280</v>
      </c>
      <c r="C163" s="565" t="s">
        <v>281</v>
      </c>
      <c r="D163" s="569">
        <v>109294</v>
      </c>
      <c r="E163" s="568" t="s">
        <v>556</v>
      </c>
      <c r="F163" s="568" t="s">
        <v>256</v>
      </c>
      <c r="G163" s="568" t="s">
        <v>24</v>
      </c>
      <c r="H163" s="568" t="s">
        <v>26</v>
      </c>
      <c r="I163" s="569" t="s">
        <v>557</v>
      </c>
      <c r="J163" s="569">
        <v>1</v>
      </c>
      <c r="K163" s="568" t="s">
        <v>295</v>
      </c>
      <c r="L163" s="595">
        <v>43560</v>
      </c>
      <c r="M163" s="571">
        <v>6.2E-2</v>
      </c>
      <c r="N163" s="568" t="s">
        <v>417</v>
      </c>
      <c r="O163" s="569">
        <v>2019.03</v>
      </c>
      <c r="P163" s="571" t="str">
        <f>VLOOKUP(A163,'[1]Raw data'!$B:$BB,23,FALSE)</f>
        <v>RMB</v>
      </c>
      <c r="Q163" s="568" t="str">
        <f>VLOOKUP(A163,'[1]Raw data'!$B:$Z,2,FALSE)</f>
        <v>C49SZX20190118R1SS</v>
      </c>
      <c r="R163" s="568" t="str">
        <f>VLOOKUP(A163,'[1]Raw data'!$B:$Z,3,FALSE)</f>
        <v>鼎鸿</v>
      </c>
      <c r="S163" s="568" t="str">
        <f>VLOOKUP(A163,'[1]Raw data'!$B:$Z,4,FALSE)</f>
        <v>YSM20R(SV)-2</v>
      </c>
      <c r="T163" s="568" t="str">
        <f>VLOOKUP(A163,'[1]Raw data'!$B:$Z,8,FALSE)</f>
        <v>L-&gt;R</v>
      </c>
      <c r="U163" s="568" t="str">
        <f>VLOOKUP(A163,'[1]Raw data'!$B:$Z,9,FALSE)</f>
        <v>No</v>
      </c>
      <c r="V163" s="572" t="str">
        <f t="shared" si="29"/>
        <v>OK</v>
      </c>
      <c r="W163" s="568" t="str">
        <f>VLOOKUP(A163,'[1]Raw data'!$B:$AG,32,FALSE)</f>
        <v>含税到厂</v>
      </c>
      <c r="X163" s="568">
        <f>VLOOKUP(A163,'[1]Raw data'!$B:$BA,31,FALSE)</f>
        <v>43691</v>
      </c>
      <c r="Y163" s="568" t="str">
        <f>VLOOKUP(A163,'[1]Raw data'!$B:$AS,39,FALSE)</f>
        <v>Yes</v>
      </c>
      <c r="Z163" s="573" t="s">
        <v>329</v>
      </c>
      <c r="AA163" s="574" t="s">
        <v>329</v>
      </c>
      <c r="AB163" s="575"/>
      <c r="AC163" s="568" t="s">
        <v>558</v>
      </c>
      <c r="AN163" s="547"/>
      <c r="AO163" s="829" t="str">
        <f t="shared" si="21"/>
        <v>Yes</v>
      </c>
      <c r="AP163" s="259" t="str">
        <f t="shared" si="22"/>
        <v>AUG 19</v>
      </c>
      <c r="AQ163" s="547" t="str">
        <f t="shared" si="23"/>
        <v>有定金+有預留客戶</v>
      </c>
      <c r="AR163" s="259" t="str">
        <f t="shared" si="24"/>
        <v>Shipped_Stock</v>
      </c>
      <c r="AS163" s="259" t="str">
        <f t="shared" si="25"/>
        <v/>
      </c>
      <c r="AT163" s="259" t="str">
        <f t="shared" si="26"/>
        <v>鼎鸿</v>
      </c>
      <c r="AU163" s="259" t="str">
        <f t="shared" si="27"/>
        <v>C49SZX20190118R1SS</v>
      </c>
      <c r="AV163" s="259" t="str">
        <f t="shared" si="28"/>
        <v>Apr-05</v>
      </c>
    </row>
    <row r="164" spans="1:69" ht="15" hidden="1" customHeight="1">
      <c r="A164" s="564">
        <v>395</v>
      </c>
      <c r="B164" s="568" t="s">
        <v>280</v>
      </c>
      <c r="C164" s="565" t="s">
        <v>281</v>
      </c>
      <c r="D164" s="569">
        <v>109294</v>
      </c>
      <c r="E164" s="568" t="s">
        <v>556</v>
      </c>
      <c r="F164" s="568" t="s">
        <v>256</v>
      </c>
      <c r="G164" s="568" t="s">
        <v>24</v>
      </c>
      <c r="H164" s="568" t="s">
        <v>26</v>
      </c>
      <c r="I164" s="569" t="s">
        <v>559</v>
      </c>
      <c r="J164" s="569">
        <v>1</v>
      </c>
      <c r="K164" s="568" t="s">
        <v>295</v>
      </c>
      <c r="L164" s="595">
        <v>43560</v>
      </c>
      <c r="M164" s="571">
        <v>6.2E-2</v>
      </c>
      <c r="N164" s="568" t="s">
        <v>320</v>
      </c>
      <c r="O164" s="569">
        <v>2019.03</v>
      </c>
      <c r="P164" s="571" t="str">
        <f>VLOOKUP(A164,'[1]Raw data'!$B:$BB,23,FALSE)</f>
        <v>RMB</v>
      </c>
      <c r="Q164" s="568" t="str">
        <f>VLOOKUP(A164,'[1]Raw data'!$B:$Z,2,FALSE)</f>
        <v>C49SZX20190119SX</v>
      </c>
      <c r="R164" s="568" t="str">
        <f>VLOOKUP(A164,'[1]Raw data'!$B:$Z,3,FALSE)</f>
        <v>太美亚</v>
      </c>
      <c r="S164" s="568" t="str">
        <f>VLOOKUP(A164,'[1]Raw data'!$B:$Z,4,FALSE)</f>
        <v>YSM20R(SV)-2</v>
      </c>
      <c r="T164" s="568" t="str">
        <f>VLOOKUP(A164,'[1]Raw data'!$B:$Z,8,FALSE)</f>
        <v>L-&gt;R</v>
      </c>
      <c r="U164" s="568" t="str">
        <f>VLOOKUP(A164,'[1]Raw data'!$B:$Z,9,FALSE)</f>
        <v>No</v>
      </c>
      <c r="V164" s="572" t="str">
        <f t="shared" si="29"/>
        <v>OK</v>
      </c>
      <c r="W164" s="568" t="str">
        <f>VLOOKUP(A164,'[1]Raw data'!$B:$AG,32,FALSE)</f>
        <v>含税到厂</v>
      </c>
      <c r="X164" s="568">
        <f>VLOOKUP(A164,'[1]Raw data'!$B:$BA,31,FALSE)</f>
        <v>43693</v>
      </c>
      <c r="Y164" s="568" t="str">
        <f>VLOOKUP(A164,'[1]Raw data'!$B:$AS,39,FALSE)</f>
        <v>Yes</v>
      </c>
      <c r="Z164" s="573" t="s">
        <v>329</v>
      </c>
      <c r="AA164" s="574" t="s">
        <v>329</v>
      </c>
      <c r="AB164" s="575"/>
      <c r="AC164" s="568" t="s">
        <v>476</v>
      </c>
      <c r="AN164" s="547"/>
      <c r="AO164" s="829" t="str">
        <f t="shared" si="21"/>
        <v>Yes</v>
      </c>
      <c r="AP164" s="259" t="str">
        <f t="shared" si="22"/>
        <v>SEP 19</v>
      </c>
      <c r="AQ164" s="547" t="str">
        <f t="shared" si="23"/>
        <v>有定金+有預留客戶</v>
      </c>
      <c r="AR164" s="259" t="str">
        <f t="shared" si="24"/>
        <v>Shipped_Stock</v>
      </c>
      <c r="AS164" s="259" t="str">
        <f t="shared" si="25"/>
        <v/>
      </c>
      <c r="AT164" s="259" t="str">
        <f t="shared" si="26"/>
        <v>太美亚</v>
      </c>
      <c r="AU164" s="259" t="str">
        <f t="shared" si="27"/>
        <v>C49SZX20190119SX</v>
      </c>
      <c r="AV164" s="259" t="str">
        <f t="shared" si="28"/>
        <v>Apr-05</v>
      </c>
    </row>
    <row r="165" spans="1:69" ht="15" hidden="1" customHeight="1">
      <c r="A165" s="564">
        <v>356</v>
      </c>
      <c r="B165" s="568" t="s">
        <v>280</v>
      </c>
      <c r="C165" s="565" t="s">
        <v>281</v>
      </c>
      <c r="D165" s="569">
        <v>109344</v>
      </c>
      <c r="E165" s="568" t="s">
        <v>236</v>
      </c>
      <c r="F165" s="568" t="s">
        <v>17</v>
      </c>
      <c r="G165" s="568" t="s">
        <v>24</v>
      </c>
      <c r="H165" s="568" t="s">
        <v>34</v>
      </c>
      <c r="I165" s="569" t="s">
        <v>560</v>
      </c>
      <c r="J165" s="569">
        <v>1</v>
      </c>
      <c r="K165" s="568" t="s">
        <v>295</v>
      </c>
      <c r="L165" s="570">
        <v>43565</v>
      </c>
      <c r="M165" s="571">
        <v>6.2E-2</v>
      </c>
      <c r="N165" s="568" t="s">
        <v>325</v>
      </c>
      <c r="O165" s="568"/>
      <c r="P165" s="571" t="str">
        <f>VLOOKUP(A165,'[1]Raw data'!$B:$BB,23,FALSE)</f>
        <v>RMB</v>
      </c>
      <c r="Q165" s="568" t="str">
        <f>VLOOKUP(A165,'[1]Raw data'!$B:$Z,2,FALSE)</f>
        <v>C49SZX20190100SX</v>
      </c>
      <c r="R165" s="568" t="str">
        <f>VLOOKUP(A165,'[1]Raw data'!$B:$Z,3,FALSE)</f>
        <v>永顺创</v>
      </c>
      <c r="S165" s="568" t="str">
        <f>VLOOKUP(A165,'[1]Raw data'!$B:$Z,4,FALSE)</f>
        <v>YSM10</v>
      </c>
      <c r="T165" s="568" t="str">
        <f>VLOOKUP(A165,'[1]Raw data'!$B:$Z,8,FALSE)</f>
        <v>L-&gt;R</v>
      </c>
      <c r="U165" s="568" t="str">
        <f>VLOOKUP(A165,'[1]Raw data'!$B:$Z,9,FALSE)</f>
        <v>MVC+ATS15</v>
      </c>
      <c r="V165" s="572" t="str">
        <f t="shared" si="29"/>
        <v>OK</v>
      </c>
      <c r="W165" s="568" t="str">
        <f>VLOOKUP(A165,'[1]Raw data'!$B:$AG,32,FALSE)</f>
        <v>含税到厂</v>
      </c>
      <c r="X165" s="568">
        <f>VLOOKUP(A165,'[1]Raw data'!$B:$BA,31,FALSE)</f>
        <v>43633</v>
      </c>
      <c r="Y165" s="568" t="str">
        <f>VLOOKUP(A165,'[1]Raw data'!$B:$AS,39,FALSE)</f>
        <v>Yes</v>
      </c>
      <c r="Z165" s="573" t="s">
        <v>290</v>
      </c>
      <c r="AA165" s="574" t="s">
        <v>290</v>
      </c>
      <c r="AB165" s="575"/>
      <c r="AC165" s="568" t="s">
        <v>561</v>
      </c>
      <c r="AN165" s="593"/>
      <c r="AO165" s="829" t="str">
        <f t="shared" si="21"/>
        <v>Yes</v>
      </c>
      <c r="AP165" s="259" t="str">
        <f t="shared" si="22"/>
        <v>JUL 19</v>
      </c>
      <c r="AQ165" s="547" t="str">
        <f t="shared" si="23"/>
        <v>有定金+有預留客戶</v>
      </c>
      <c r="AR165" s="259" t="str">
        <f t="shared" si="24"/>
        <v>Shipped_Stock</v>
      </c>
      <c r="AS165" s="259" t="str">
        <f t="shared" si="25"/>
        <v/>
      </c>
      <c r="AT165" s="259" t="str">
        <f t="shared" si="26"/>
        <v>永顺创</v>
      </c>
      <c r="AU165" s="259" t="str">
        <f t="shared" si="27"/>
        <v>C49SZX20190100SX</v>
      </c>
      <c r="AV165" s="259" t="str">
        <f t="shared" si="28"/>
        <v>Apr-10</v>
      </c>
    </row>
    <row r="166" spans="1:69" ht="15" hidden="1" customHeight="1">
      <c r="A166" s="564">
        <v>343</v>
      </c>
      <c r="B166" s="568" t="s">
        <v>280</v>
      </c>
      <c r="C166" s="565" t="s">
        <v>281</v>
      </c>
      <c r="D166" s="569">
        <v>109344</v>
      </c>
      <c r="E166" s="568" t="s">
        <v>236</v>
      </c>
      <c r="F166" s="568" t="s">
        <v>17</v>
      </c>
      <c r="G166" s="568" t="s">
        <v>24</v>
      </c>
      <c r="H166" s="568" t="s">
        <v>26</v>
      </c>
      <c r="I166" s="569" t="s">
        <v>562</v>
      </c>
      <c r="J166" s="569">
        <v>1</v>
      </c>
      <c r="K166" s="568" t="s">
        <v>295</v>
      </c>
      <c r="L166" s="570">
        <v>43565</v>
      </c>
      <c r="M166" s="571">
        <v>6.2E-2</v>
      </c>
      <c r="N166" s="568" t="s">
        <v>404</v>
      </c>
      <c r="O166" s="568"/>
      <c r="P166" s="571" t="str">
        <f>VLOOKUP(A166,'[1]Raw data'!$B:$BB,23,FALSE)</f>
        <v>RMB</v>
      </c>
      <c r="Q166" s="568" t="str">
        <f>VLOOKUP(A166,'[1]Raw data'!$B:$Z,2,FALSE)</f>
        <v>C49SZX20190090SX</v>
      </c>
      <c r="R166" s="568" t="str">
        <f>VLOOKUP(A166,'[1]Raw data'!$B:$Z,3,FALSE)</f>
        <v>锐诚</v>
      </c>
      <c r="S166" s="568" t="str">
        <f>VLOOKUP(A166,'[1]Raw data'!$B:$Z,4,FALSE)</f>
        <v>YSM10</v>
      </c>
      <c r="T166" s="568" t="str">
        <f>VLOOKUP(A166,'[1]Raw data'!$B:$Z,8,FALSE)</f>
        <v>L-&gt;R</v>
      </c>
      <c r="U166" s="568" t="str">
        <f>VLOOKUP(A166,'[1]Raw data'!$B:$Z,9,FALSE)</f>
        <v>MVC</v>
      </c>
      <c r="V166" s="572" t="str">
        <f t="shared" si="29"/>
        <v>WRONG</v>
      </c>
      <c r="W166" s="568" t="str">
        <f>VLOOKUP(A166,'[1]Raw data'!$B:$AG,32,FALSE)</f>
        <v>含税到厂</v>
      </c>
      <c r="X166" s="568">
        <f>VLOOKUP(A166,'[1]Raw data'!$B:$BA,31,FALSE)</f>
        <v>43621</v>
      </c>
      <c r="Y166" s="568" t="str">
        <f>VLOOKUP(A166,'[1]Raw data'!$B:$AS,39,FALSE)</f>
        <v>Yes</v>
      </c>
      <c r="Z166" s="573"/>
      <c r="AA166" s="574"/>
      <c r="AB166" s="575"/>
      <c r="AC166" s="568" t="s">
        <v>563</v>
      </c>
      <c r="AN166" s="547"/>
      <c r="AO166" s="829" t="str">
        <f t="shared" si="21"/>
        <v>Yes</v>
      </c>
      <c r="AP166" s="259" t="str">
        <f t="shared" si="22"/>
        <v>JUN 19</v>
      </c>
      <c r="AQ166" s="547" t="str">
        <f t="shared" si="23"/>
        <v>有定金+有預留客戶</v>
      </c>
      <c r="AR166" s="259" t="str">
        <f t="shared" si="24"/>
        <v>Shipped_Stock</v>
      </c>
      <c r="AS166" s="259" t="str">
        <f t="shared" si="25"/>
        <v/>
      </c>
      <c r="AT166" s="259" t="str">
        <f t="shared" si="26"/>
        <v>锐诚</v>
      </c>
      <c r="AU166" s="259" t="str">
        <f t="shared" si="27"/>
        <v>C49SZX20190090SX</v>
      </c>
      <c r="AV166" s="259" t="str">
        <f t="shared" si="28"/>
        <v>Apr-10</v>
      </c>
    </row>
    <row r="167" spans="1:69" ht="15" hidden="1" customHeight="1">
      <c r="A167" s="564">
        <v>325</v>
      </c>
      <c r="B167" s="568" t="s">
        <v>280</v>
      </c>
      <c r="C167" s="565" t="s">
        <v>281</v>
      </c>
      <c r="D167" s="569">
        <v>109344</v>
      </c>
      <c r="E167" s="568" t="s">
        <v>236</v>
      </c>
      <c r="F167" s="568" t="s">
        <v>17</v>
      </c>
      <c r="G167" s="568" t="s">
        <v>24</v>
      </c>
      <c r="H167" s="568" t="s">
        <v>26</v>
      </c>
      <c r="I167" s="569" t="s">
        <v>564</v>
      </c>
      <c r="J167" s="569">
        <v>1</v>
      </c>
      <c r="K167" s="568" t="s">
        <v>437</v>
      </c>
      <c r="L167" s="570">
        <v>43565</v>
      </c>
      <c r="M167" s="571">
        <v>6.2E-2</v>
      </c>
      <c r="N167" s="568" t="s">
        <v>404</v>
      </c>
      <c r="O167" s="568"/>
      <c r="P167" s="571" t="str">
        <f>VLOOKUP(A167,'[1]Raw data'!$B:$BB,23,FALSE)</f>
        <v>RMB</v>
      </c>
      <c r="Q167" s="568" t="str">
        <f>VLOOKUP(A167,'[1]Raw data'!$B:$Z,2,FALSE)</f>
        <v>C49SZX20190073JL</v>
      </c>
      <c r="R167" s="568" t="str">
        <f>VLOOKUP(A167,'[1]Raw data'!$B:$Z,3,FALSE)</f>
        <v>力通威</v>
      </c>
      <c r="S167" s="568" t="str">
        <f>VLOOKUP(A167,'[1]Raw data'!$B:$Z,4,FALSE)</f>
        <v>YSM10</v>
      </c>
      <c r="T167" s="568" t="str">
        <f>VLOOKUP(A167,'[1]Raw data'!$B:$Z,8,FALSE)</f>
        <v>L-&gt;R</v>
      </c>
      <c r="U167" s="568" t="str">
        <f>VLOOKUP(A167,'[1]Raw data'!$B:$Z,9,FALSE)</f>
        <v>No</v>
      </c>
      <c r="V167" s="572" t="str">
        <f t="shared" si="29"/>
        <v>OK</v>
      </c>
      <c r="W167" s="568" t="str">
        <f>VLOOKUP(A167,'[1]Raw data'!$B:$AG,32,FALSE)</f>
        <v>含税到厂</v>
      </c>
      <c r="X167" s="568">
        <f>VLOOKUP(A167,'[1]Raw data'!$B:$BA,31,FALSE)</f>
        <v>43612</v>
      </c>
      <c r="Y167" s="568" t="str">
        <f>VLOOKUP(A167,'[1]Raw data'!$B:$AS,39,FALSE)</f>
        <v>Yes</v>
      </c>
      <c r="Z167" s="573" t="s">
        <v>329</v>
      </c>
      <c r="AA167" s="574" t="s">
        <v>329</v>
      </c>
      <c r="AB167" s="575"/>
      <c r="AC167" s="568" t="s">
        <v>565</v>
      </c>
      <c r="AN167" s="547"/>
      <c r="AO167" s="829" t="str">
        <f t="shared" si="21"/>
        <v>Yes</v>
      </c>
      <c r="AP167" s="259" t="str">
        <f t="shared" si="22"/>
        <v>JUN 19</v>
      </c>
      <c r="AQ167" s="547" t="str">
        <f t="shared" si="23"/>
        <v>有定金+有預留客戶</v>
      </c>
      <c r="AR167" s="259" t="str">
        <f t="shared" si="24"/>
        <v>Shipped_Stock</v>
      </c>
      <c r="AS167" s="259" t="str">
        <f t="shared" si="25"/>
        <v/>
      </c>
      <c r="AT167" s="259" t="str">
        <f t="shared" si="26"/>
        <v>力通威</v>
      </c>
      <c r="AU167" s="259" t="str">
        <f t="shared" si="27"/>
        <v>C49SZX20190073JL</v>
      </c>
      <c r="AV167" s="259" t="str">
        <f t="shared" si="28"/>
        <v>Apr-10</v>
      </c>
    </row>
    <row r="168" spans="1:69" ht="15" hidden="1" customHeight="1">
      <c r="A168" s="564">
        <v>323</v>
      </c>
      <c r="B168" s="568" t="s">
        <v>280</v>
      </c>
      <c r="C168" s="565" t="s">
        <v>281</v>
      </c>
      <c r="D168" s="569">
        <v>109344</v>
      </c>
      <c r="E168" s="568" t="s">
        <v>236</v>
      </c>
      <c r="F168" s="568" t="s">
        <v>17</v>
      </c>
      <c r="G168" s="568" t="s">
        <v>24</v>
      </c>
      <c r="H168" s="568" t="s">
        <v>26</v>
      </c>
      <c r="I168" s="569" t="s">
        <v>566</v>
      </c>
      <c r="J168" s="569">
        <v>1</v>
      </c>
      <c r="K168" s="568" t="s">
        <v>437</v>
      </c>
      <c r="L168" s="570">
        <v>43565</v>
      </c>
      <c r="M168" s="571">
        <v>6.2E-2</v>
      </c>
      <c r="N168" s="568" t="s">
        <v>404</v>
      </c>
      <c r="O168" s="568"/>
      <c r="P168" s="571" t="str">
        <f>VLOOKUP(A168,'[1]Raw data'!$B:$BB,23,FALSE)</f>
        <v>RMB</v>
      </c>
      <c r="Q168" s="568" t="str">
        <f>VLOOKUP(A168,'[1]Raw data'!$B:$Z,2,FALSE)</f>
        <v>C49SZX20190073JL</v>
      </c>
      <c r="R168" s="568" t="str">
        <f>VLOOKUP(A168,'[1]Raw data'!$B:$Z,3,FALSE)</f>
        <v>力通威</v>
      </c>
      <c r="S168" s="568" t="str">
        <f>VLOOKUP(A168,'[1]Raw data'!$B:$Z,4,FALSE)</f>
        <v>YSM10</v>
      </c>
      <c r="T168" s="568" t="str">
        <f>VLOOKUP(A168,'[1]Raw data'!$B:$Z,8,FALSE)</f>
        <v>R-&gt;L</v>
      </c>
      <c r="U168" s="568" t="str">
        <f>VLOOKUP(A168,'[1]Raw data'!$B:$Z,9,FALSE)</f>
        <v>MVC</v>
      </c>
      <c r="V168" s="572" t="str">
        <f t="shared" si="29"/>
        <v>WRONG</v>
      </c>
      <c r="W168" s="568" t="str">
        <f>VLOOKUP(A168,'[1]Raw data'!$B:$AG,32,FALSE)</f>
        <v>含税到厂</v>
      </c>
      <c r="X168" s="568">
        <f>VLOOKUP(A168,'[1]Raw data'!$B:$BA,31,FALSE)</f>
        <v>43612</v>
      </c>
      <c r="Y168" s="568" t="str">
        <f>VLOOKUP(A168,'[1]Raw data'!$B:$AS,39,FALSE)</f>
        <v>Yes</v>
      </c>
      <c r="Z168" s="573" t="s">
        <v>329</v>
      </c>
      <c r="AA168" s="574" t="s">
        <v>329</v>
      </c>
      <c r="AB168" s="575"/>
      <c r="AC168" s="568" t="s">
        <v>565</v>
      </c>
      <c r="AN168" s="547"/>
      <c r="AO168" s="829" t="str">
        <f t="shared" si="21"/>
        <v>Yes</v>
      </c>
      <c r="AP168" s="259" t="str">
        <f t="shared" si="22"/>
        <v>JUN 19</v>
      </c>
      <c r="AQ168" s="547" t="str">
        <f t="shared" si="23"/>
        <v>有定金+有預留客戶</v>
      </c>
      <c r="AR168" s="259" t="str">
        <f t="shared" si="24"/>
        <v>Shipped_Stock</v>
      </c>
      <c r="AS168" s="259" t="str">
        <f t="shared" si="25"/>
        <v/>
      </c>
      <c r="AT168" s="259" t="str">
        <f t="shared" si="26"/>
        <v>力通威</v>
      </c>
      <c r="AU168" s="259" t="str">
        <f t="shared" si="27"/>
        <v>C49SZX20190073JL</v>
      </c>
      <c r="AV168" s="259" t="str">
        <f t="shared" si="28"/>
        <v>Apr-10</v>
      </c>
    </row>
    <row r="169" spans="1:69" ht="15" hidden="1" customHeight="1">
      <c r="A169" s="564">
        <v>324</v>
      </c>
      <c r="B169" s="568" t="s">
        <v>280</v>
      </c>
      <c r="C169" s="565" t="s">
        <v>281</v>
      </c>
      <c r="D169" s="569">
        <v>109344</v>
      </c>
      <c r="E169" s="568" t="s">
        <v>236</v>
      </c>
      <c r="F169" s="568" t="s">
        <v>17</v>
      </c>
      <c r="G169" s="568" t="s">
        <v>24</v>
      </c>
      <c r="H169" s="568" t="s">
        <v>26</v>
      </c>
      <c r="I169" s="569" t="s">
        <v>567</v>
      </c>
      <c r="J169" s="569">
        <v>1</v>
      </c>
      <c r="K169" s="568" t="s">
        <v>437</v>
      </c>
      <c r="L169" s="570">
        <v>43565</v>
      </c>
      <c r="M169" s="571">
        <v>6.2E-2</v>
      </c>
      <c r="N169" s="568" t="s">
        <v>404</v>
      </c>
      <c r="O169" s="568"/>
      <c r="P169" s="571" t="str">
        <f>VLOOKUP(A169,'[1]Raw data'!$B:$BB,23,FALSE)</f>
        <v>RMB</v>
      </c>
      <c r="Q169" s="568" t="str">
        <f>VLOOKUP(A169,'[1]Raw data'!$B:$Z,2,FALSE)</f>
        <v>C49SZX20190073JL</v>
      </c>
      <c r="R169" s="568" t="str">
        <f>VLOOKUP(A169,'[1]Raw data'!$B:$Z,3,FALSE)</f>
        <v>力通威</v>
      </c>
      <c r="S169" s="568" t="str">
        <f>VLOOKUP(A169,'[1]Raw data'!$B:$Z,4,FALSE)</f>
        <v>YSM10</v>
      </c>
      <c r="T169" s="568" t="str">
        <f>VLOOKUP(A169,'[1]Raw data'!$B:$Z,8,FALSE)</f>
        <v>L-&gt;R</v>
      </c>
      <c r="U169" s="568" t="str">
        <f>VLOOKUP(A169,'[1]Raw data'!$B:$Z,9,FALSE)</f>
        <v>MVC</v>
      </c>
      <c r="V169" s="572" t="str">
        <f t="shared" si="29"/>
        <v>WRONG</v>
      </c>
      <c r="W169" s="568" t="str">
        <f>VLOOKUP(A169,'[1]Raw data'!$B:$AG,32,FALSE)</f>
        <v>含税到厂</v>
      </c>
      <c r="X169" s="568">
        <f>VLOOKUP(A169,'[1]Raw data'!$B:$BA,31,FALSE)</f>
        <v>43612</v>
      </c>
      <c r="Y169" s="568" t="str">
        <f>VLOOKUP(A169,'[1]Raw data'!$B:$AS,39,FALSE)</f>
        <v>Yes</v>
      </c>
      <c r="Z169" s="573" t="s">
        <v>329</v>
      </c>
      <c r="AA169" s="574" t="s">
        <v>329</v>
      </c>
      <c r="AB169" s="575"/>
      <c r="AC169" s="568" t="s">
        <v>565</v>
      </c>
      <c r="AN169" s="547"/>
      <c r="AO169" s="829" t="str">
        <f t="shared" si="21"/>
        <v>Yes</v>
      </c>
      <c r="AP169" s="259" t="str">
        <f t="shared" si="22"/>
        <v>JUN 19</v>
      </c>
      <c r="AQ169" s="547" t="str">
        <f t="shared" si="23"/>
        <v>有定金+有預留客戶</v>
      </c>
      <c r="AR169" s="259" t="str">
        <f t="shared" si="24"/>
        <v>Shipped_Stock</v>
      </c>
      <c r="AS169" s="259" t="str">
        <f t="shared" si="25"/>
        <v/>
      </c>
      <c r="AT169" s="259" t="str">
        <f t="shared" si="26"/>
        <v>力通威</v>
      </c>
      <c r="AU169" s="259" t="str">
        <f t="shared" si="27"/>
        <v>C49SZX20190073JL</v>
      </c>
      <c r="AV169" s="259" t="str">
        <f t="shared" si="28"/>
        <v>Apr-10</v>
      </c>
    </row>
    <row r="170" spans="1:69" ht="15" hidden="1" customHeight="1">
      <c r="A170" s="564">
        <v>302</v>
      </c>
      <c r="B170" s="568" t="s">
        <v>280</v>
      </c>
      <c r="C170" s="565" t="s">
        <v>281</v>
      </c>
      <c r="D170" s="569">
        <v>109344</v>
      </c>
      <c r="E170" s="568" t="s">
        <v>236</v>
      </c>
      <c r="F170" s="568" t="s">
        <v>17</v>
      </c>
      <c r="G170" s="568" t="s">
        <v>24</v>
      </c>
      <c r="H170" s="568" t="s">
        <v>26</v>
      </c>
      <c r="I170" s="569" t="s">
        <v>568</v>
      </c>
      <c r="J170" s="569">
        <v>1</v>
      </c>
      <c r="K170" s="568" t="s">
        <v>437</v>
      </c>
      <c r="L170" s="570">
        <v>43565</v>
      </c>
      <c r="M170" s="571">
        <v>6.2E-2</v>
      </c>
      <c r="N170" s="568" t="s">
        <v>404</v>
      </c>
      <c r="O170" s="568"/>
      <c r="P170" s="571" t="str">
        <f>VLOOKUP(A170,'[1]Raw data'!$B:$BB,23,FALSE)</f>
        <v>JPY</v>
      </c>
      <c r="Q170" s="568" t="str">
        <f>VLOOKUP(A170,'[1]Raw data'!$B:$Z,2,FALSE)</f>
        <v>C49SZX20190050SX</v>
      </c>
      <c r="R170" s="568" t="str">
        <f>VLOOKUP(A170,'[1]Raw data'!$B:$Z,3,FALSE)</f>
        <v>丰硕</v>
      </c>
      <c r="S170" s="568" t="str">
        <f>VLOOKUP(A170,'[1]Raw data'!$B:$Z,4,FALSE)</f>
        <v>YSM10</v>
      </c>
      <c r="T170" s="568" t="str">
        <f>VLOOKUP(A170,'[1]Raw data'!$B:$Z,8,FALSE)</f>
        <v>L-&gt;R</v>
      </c>
      <c r="U170" s="568" t="str">
        <f>VLOOKUP(A170,'[1]Raw data'!$B:$Z,9,FALSE)</f>
        <v>No</v>
      </c>
      <c r="V170" s="572" t="str">
        <f t="shared" si="29"/>
        <v>OK</v>
      </c>
      <c r="W170" s="568" t="str">
        <f>VLOOKUP(A170,'[1]Raw data'!$B:$AG,32,FALSE)</f>
        <v>DAP SZ</v>
      </c>
      <c r="X170" s="568">
        <f>VLOOKUP(A170,'[1]Raw data'!$B:$BA,31,FALSE)</f>
        <v>43587</v>
      </c>
      <c r="Y170" s="568" t="str">
        <f>VLOOKUP(A170,'[1]Raw data'!$B:$AS,39,FALSE)</f>
        <v>Yes</v>
      </c>
      <c r="Z170" s="573" t="s">
        <v>329</v>
      </c>
      <c r="AA170" s="574" t="s">
        <v>329</v>
      </c>
      <c r="AB170" s="575"/>
      <c r="AC170" s="568" t="s">
        <v>569</v>
      </c>
      <c r="AN170" s="603"/>
      <c r="AO170" s="829" t="str">
        <f t="shared" si="21"/>
        <v>Yes</v>
      </c>
      <c r="AP170" s="259" t="str">
        <f t="shared" si="22"/>
        <v>JUN 19</v>
      </c>
      <c r="AQ170" s="547" t="str">
        <f t="shared" si="23"/>
        <v>有定金+有預留客戶</v>
      </c>
      <c r="AR170" s="259" t="str">
        <f t="shared" si="24"/>
        <v>Shipped_Stock</v>
      </c>
      <c r="AS170" s="259" t="str">
        <f t="shared" si="25"/>
        <v/>
      </c>
      <c r="AT170" s="259" t="str">
        <f t="shared" si="26"/>
        <v>丰硕</v>
      </c>
      <c r="AU170" s="259" t="str">
        <f t="shared" si="27"/>
        <v>C49SZX20190050SX</v>
      </c>
      <c r="AV170" s="259" t="str">
        <f t="shared" si="28"/>
        <v>Apr-10</v>
      </c>
    </row>
    <row r="171" spans="1:69" ht="15" hidden="1" customHeight="1">
      <c r="A171" s="564">
        <v>333</v>
      </c>
      <c r="B171" s="568" t="s">
        <v>280</v>
      </c>
      <c r="C171" s="565" t="s">
        <v>281</v>
      </c>
      <c r="D171" s="569">
        <v>109344</v>
      </c>
      <c r="E171" s="568" t="s">
        <v>236</v>
      </c>
      <c r="F171" s="568" t="s">
        <v>17</v>
      </c>
      <c r="G171" s="568" t="s">
        <v>24</v>
      </c>
      <c r="H171" s="568" t="s">
        <v>34</v>
      </c>
      <c r="I171" s="569" t="s">
        <v>570</v>
      </c>
      <c r="J171" s="569">
        <v>1</v>
      </c>
      <c r="K171" s="568" t="s">
        <v>437</v>
      </c>
      <c r="L171" s="570">
        <v>43565</v>
      </c>
      <c r="M171" s="571">
        <v>6.2E-2</v>
      </c>
      <c r="N171" s="568" t="s">
        <v>417</v>
      </c>
      <c r="O171" s="568"/>
      <c r="P171" s="571" t="str">
        <f>VLOOKUP(A171,'[1]Raw data'!$B:$BB,23,FALSE)</f>
        <v>JPY</v>
      </c>
      <c r="Q171" s="568" t="str">
        <f>VLOOKUP(A171,'[1]Raw data'!$B:$Z,2,FALSE)</f>
        <v>C49SZX20190080ZX</v>
      </c>
      <c r="R171" s="568" t="str">
        <f>VLOOKUP(A171,'[1]Raw data'!$B:$Z,3,FALSE)</f>
        <v>长沙健科</v>
      </c>
      <c r="S171" s="568" t="str">
        <f>VLOOKUP(A171,'[1]Raw data'!$B:$Z,4,FALSE)</f>
        <v>YSM10</v>
      </c>
      <c r="T171" s="568" t="str">
        <f>VLOOKUP(A171,'[1]Raw data'!$B:$Z,8,FALSE)</f>
        <v>L-&gt;R</v>
      </c>
      <c r="U171" s="568" t="str">
        <f>VLOOKUP(A171,'[1]Raw data'!$B:$Z,9,FALSE)</f>
        <v>MVC+ATS15</v>
      </c>
      <c r="V171" s="572" t="str">
        <f t="shared" si="29"/>
        <v>OK</v>
      </c>
      <c r="W171" s="568" t="str">
        <f>VLOOKUP(A171,'[1]Raw data'!$B:$AG,32,FALSE)</f>
        <v>DAP 长沙</v>
      </c>
      <c r="X171" s="568">
        <f>VLOOKUP(A171,'[1]Raw data'!$B:$BA,31,FALSE)</f>
        <v>43612</v>
      </c>
      <c r="Y171" s="568" t="str">
        <f>VLOOKUP(A171,'[1]Raw data'!$B:$AS,39,FALSE)</f>
        <v>Yes</v>
      </c>
      <c r="Z171" s="573" t="s">
        <v>290</v>
      </c>
      <c r="AA171" s="574" t="s">
        <v>290</v>
      </c>
      <c r="AB171" s="575"/>
      <c r="AC171" s="568" t="s">
        <v>571</v>
      </c>
      <c r="AN171" s="593"/>
      <c r="AO171" s="829" t="str">
        <f t="shared" si="21"/>
        <v>Yes</v>
      </c>
      <c r="AP171" s="259" t="str">
        <f t="shared" si="22"/>
        <v>AUG 19</v>
      </c>
      <c r="AQ171" s="547" t="str">
        <f t="shared" si="23"/>
        <v>有定金+有預留客戶</v>
      </c>
      <c r="AR171" s="259" t="str">
        <f t="shared" si="24"/>
        <v>Shipped_Stock</v>
      </c>
      <c r="AS171" s="259" t="str">
        <f t="shared" si="25"/>
        <v/>
      </c>
      <c r="AT171" s="259" t="str">
        <f t="shared" si="26"/>
        <v>长沙健科</v>
      </c>
      <c r="AU171" s="259" t="str">
        <f t="shared" si="27"/>
        <v>C49SZX20190080ZX</v>
      </c>
      <c r="AV171" s="259" t="str">
        <f t="shared" si="28"/>
        <v>Apr-10</v>
      </c>
    </row>
    <row r="172" spans="1:69" ht="15" hidden="1" customHeight="1">
      <c r="A172" s="564">
        <v>373</v>
      </c>
      <c r="B172" s="568" t="s">
        <v>280</v>
      </c>
      <c r="C172" s="565" t="s">
        <v>281</v>
      </c>
      <c r="D172" s="569">
        <v>109344</v>
      </c>
      <c r="E172" s="568" t="s">
        <v>236</v>
      </c>
      <c r="F172" s="568" t="s">
        <v>17</v>
      </c>
      <c r="G172" s="568" t="s">
        <v>24</v>
      </c>
      <c r="H172" s="568" t="s">
        <v>26</v>
      </c>
      <c r="I172" s="569" t="s">
        <v>572</v>
      </c>
      <c r="J172" s="569">
        <v>1</v>
      </c>
      <c r="K172" s="568" t="s">
        <v>437</v>
      </c>
      <c r="L172" s="570">
        <v>43565</v>
      </c>
      <c r="M172" s="571">
        <v>6.2E-2</v>
      </c>
      <c r="N172" s="568" t="s">
        <v>325</v>
      </c>
      <c r="O172" s="568"/>
      <c r="P172" s="571" t="str">
        <f>VLOOKUP(A172,'[1]Raw data'!$B:$BB,23,FALSE)</f>
        <v>JPY</v>
      </c>
      <c r="Q172" s="568" t="str">
        <f>VLOOKUP(A172,'[1]Raw data'!$B:$Z,2,FALSE)</f>
        <v>C49SZX20190093JL</v>
      </c>
      <c r="R172" s="568" t="str">
        <f>VLOOKUP(A172,'[1]Raw data'!$B:$Z,3,FALSE)</f>
        <v>杉川/end user:放德劲</v>
      </c>
      <c r="S172" s="568" t="str">
        <f>VLOOKUP(A172,'[1]Raw data'!$B:$Z,4,FALSE)</f>
        <v>YSM10</v>
      </c>
      <c r="T172" s="568" t="str">
        <f>VLOOKUP(A172,'[1]Raw data'!$B:$Z,8,FALSE)</f>
        <v>R-&gt;L</v>
      </c>
      <c r="U172" s="568" t="str">
        <f>VLOOKUP(A172,'[1]Raw data'!$B:$Z,9,FALSE)</f>
        <v>MVC</v>
      </c>
      <c r="V172" s="572" t="str">
        <f t="shared" si="29"/>
        <v>WRONG</v>
      </c>
      <c r="W172" s="568" t="str">
        <f>VLOOKUP(A172,'[1]Raw data'!$B:$AG,32,FALSE)</f>
        <v>DAP SZ</v>
      </c>
      <c r="X172" s="568">
        <f>VLOOKUP(A172,'[1]Raw data'!$B:$BA,31,FALSE)</f>
        <v>43649</v>
      </c>
      <c r="Y172" s="568" t="str">
        <f>VLOOKUP(A172,'[1]Raw data'!$B:$AS,39,FALSE)</f>
        <v>Yes</v>
      </c>
      <c r="Z172" s="573">
        <v>43329</v>
      </c>
      <c r="AA172" s="574">
        <v>43342</v>
      </c>
      <c r="AB172" s="575"/>
      <c r="AC172" s="568" t="s">
        <v>573</v>
      </c>
      <c r="AN172" s="547"/>
      <c r="AO172" s="829" t="str">
        <f t="shared" si="21"/>
        <v>Yes</v>
      </c>
      <c r="AP172" s="259" t="str">
        <f t="shared" si="22"/>
        <v>JUL 19</v>
      </c>
      <c r="AQ172" s="547" t="str">
        <f t="shared" si="23"/>
        <v>有定金+有預留客戶</v>
      </c>
      <c r="AR172" s="259" t="str">
        <f t="shared" si="24"/>
        <v>Shipped_Stock</v>
      </c>
      <c r="AS172" s="259" t="str">
        <f t="shared" si="25"/>
        <v/>
      </c>
      <c r="AT172" s="259" t="str">
        <f t="shared" si="26"/>
        <v>杉川/end user:放德劲</v>
      </c>
      <c r="AU172" s="259" t="str">
        <f t="shared" si="27"/>
        <v>C49SZX20190093JL</v>
      </c>
      <c r="AV172" s="259" t="str">
        <f t="shared" si="28"/>
        <v>Apr-10</v>
      </c>
    </row>
    <row r="173" spans="1:69" ht="15" hidden="1" customHeight="1">
      <c r="A173" s="564">
        <v>311</v>
      </c>
      <c r="B173" s="568" t="s">
        <v>280</v>
      </c>
      <c r="C173" s="565" t="s">
        <v>281</v>
      </c>
      <c r="D173" s="569">
        <v>109344</v>
      </c>
      <c r="E173" s="568" t="s">
        <v>236</v>
      </c>
      <c r="F173" s="568" t="s">
        <v>17</v>
      </c>
      <c r="G173" s="568" t="s">
        <v>18</v>
      </c>
      <c r="H173" s="568" t="s">
        <v>26</v>
      </c>
      <c r="I173" s="569" t="s">
        <v>574</v>
      </c>
      <c r="J173" s="569">
        <v>1</v>
      </c>
      <c r="K173" s="568" t="s">
        <v>437</v>
      </c>
      <c r="L173" s="570">
        <v>43565</v>
      </c>
      <c r="M173" s="571">
        <v>6.2E-2</v>
      </c>
      <c r="N173" s="568" t="s">
        <v>404</v>
      </c>
      <c r="O173" s="568"/>
      <c r="P173" s="571" t="str">
        <f>VLOOKUP(A173,'[1]Raw data'!$B:$BB,23,FALSE)</f>
        <v>JPY</v>
      </c>
      <c r="Q173" s="568" t="str">
        <f>VLOOKUP(A173,'[1]Raw data'!$B:$Z,2,FALSE)</f>
        <v>C49SZX20190071SX</v>
      </c>
      <c r="R173" s="568" t="str">
        <f>VLOOKUP(A173,'[1]Raw data'!$B:$Z,3,FALSE)</f>
        <v>东陆</v>
      </c>
      <c r="S173" s="568" t="str">
        <f>VLOOKUP(A173,'[1]Raw data'!$B:$Z,4,FALSE)</f>
        <v>YSM10</v>
      </c>
      <c r="T173" s="568" t="str">
        <f>VLOOKUP(A173,'[1]Raw data'!$B:$Z,8,FALSE)</f>
        <v>L-&gt;R</v>
      </c>
      <c r="U173" s="568" t="str">
        <f>VLOOKUP(A173,'[1]Raw data'!$B:$Z,9,FALSE)</f>
        <v>No</v>
      </c>
      <c r="V173" s="572" t="str">
        <f t="shared" si="29"/>
        <v>WRONG</v>
      </c>
      <c r="W173" s="568" t="str">
        <f>VLOOKUP(A173,'[1]Raw data'!$B:$AG,32,FALSE)</f>
        <v>DAP SZ</v>
      </c>
      <c r="X173" s="568">
        <f>VLOOKUP(A173,'[1]Raw data'!$B:$BA,31,FALSE)</f>
        <v>43600</v>
      </c>
      <c r="Y173" s="568" t="str">
        <f>VLOOKUP(A173,'[1]Raw data'!$B:$AS,39,FALSE)</f>
        <v>Yes</v>
      </c>
      <c r="Z173" s="573"/>
      <c r="AA173" s="574"/>
      <c r="AB173" s="575"/>
      <c r="AC173" s="568" t="s">
        <v>575</v>
      </c>
      <c r="AN173" s="547"/>
      <c r="AO173" s="829" t="str">
        <f t="shared" si="21"/>
        <v>Yes</v>
      </c>
      <c r="AP173" s="259" t="str">
        <f t="shared" si="22"/>
        <v>JUN 19</v>
      </c>
      <c r="AQ173" s="547" t="str">
        <f t="shared" si="23"/>
        <v>有定金+有預留客戶</v>
      </c>
      <c r="AR173" s="259" t="str">
        <f t="shared" si="24"/>
        <v>Shipped_Stock</v>
      </c>
      <c r="AS173" s="259" t="str">
        <f t="shared" si="25"/>
        <v/>
      </c>
      <c r="AT173" s="259" t="str">
        <f t="shared" si="26"/>
        <v>东陆</v>
      </c>
      <c r="AU173" s="259" t="str">
        <f t="shared" si="27"/>
        <v>C49SZX20190071SX</v>
      </c>
      <c r="AV173" s="259" t="str">
        <f t="shared" si="28"/>
        <v>Apr-10</v>
      </c>
    </row>
    <row r="174" spans="1:69" ht="15" hidden="1" customHeight="1">
      <c r="A174" s="564">
        <v>365</v>
      </c>
      <c r="B174" s="568" t="s">
        <v>280</v>
      </c>
      <c r="C174" s="565" t="s">
        <v>281</v>
      </c>
      <c r="D174" s="569">
        <v>109344</v>
      </c>
      <c r="E174" s="568" t="s">
        <v>236</v>
      </c>
      <c r="F174" s="568" t="s">
        <v>17</v>
      </c>
      <c r="G174" s="568" t="s">
        <v>18</v>
      </c>
      <c r="H174" s="568" t="s">
        <v>26</v>
      </c>
      <c r="I174" s="569" t="s">
        <v>576</v>
      </c>
      <c r="J174" s="569">
        <v>1</v>
      </c>
      <c r="K174" s="568" t="s">
        <v>437</v>
      </c>
      <c r="L174" s="570">
        <v>43565</v>
      </c>
      <c r="M174" s="571">
        <v>6.2E-2</v>
      </c>
      <c r="N174" s="568" t="s">
        <v>325</v>
      </c>
      <c r="O174" s="568"/>
      <c r="P174" s="571" t="str">
        <f>VLOOKUP(A174,'[1]Raw data'!$B:$BB,23,FALSE)</f>
        <v>RMB</v>
      </c>
      <c r="Q174" s="568" t="str">
        <f>VLOOKUP(A174,'[1]Raw data'!$B:$Z,2,FALSE)</f>
        <v>C49SZX201901008ZX</v>
      </c>
      <c r="R174" s="568" t="str">
        <f>VLOOKUP(A174,'[1]Raw data'!$B:$Z,3,FALSE)</f>
        <v>帝泰克</v>
      </c>
      <c r="S174" s="568" t="str">
        <f>VLOOKUP(A174,'[1]Raw data'!$B:$Z,4,FALSE)</f>
        <v>YSM10</v>
      </c>
      <c r="T174" s="568" t="str">
        <f>VLOOKUP(A174,'[1]Raw data'!$B:$Z,8,FALSE)</f>
        <v>L-&gt;R</v>
      </c>
      <c r="U174" s="568" t="str">
        <f>VLOOKUP(A174,'[1]Raw data'!$B:$Z,9,FALSE)</f>
        <v>MVC</v>
      </c>
      <c r="V174" s="572" t="str">
        <f t="shared" si="29"/>
        <v>WRONG</v>
      </c>
      <c r="W174" s="568" t="str">
        <f>VLOOKUP(A174,'[1]Raw data'!$B:$AG,32,FALSE)</f>
        <v>含税到厂</v>
      </c>
      <c r="X174" s="568">
        <f>VLOOKUP(A174,'[1]Raw data'!$B:$BA,31,FALSE)</f>
        <v>43580</v>
      </c>
      <c r="Y174" s="568" t="str">
        <f>VLOOKUP(A174,'[1]Raw data'!$B:$AS,39,FALSE)</f>
        <v>Yes</v>
      </c>
      <c r="Z174" s="573" t="s">
        <v>290</v>
      </c>
      <c r="AA174" s="574" t="s">
        <v>290</v>
      </c>
      <c r="AB174" s="575"/>
      <c r="AC174" s="568" t="s">
        <v>545</v>
      </c>
      <c r="AN174" s="547"/>
      <c r="AO174" s="829" t="str">
        <f t="shared" si="21"/>
        <v>Yes</v>
      </c>
      <c r="AP174" s="259" t="str">
        <f t="shared" si="22"/>
        <v>JUL 19</v>
      </c>
      <c r="AQ174" s="547" t="str">
        <f t="shared" si="23"/>
        <v>有定金+有預留客戶</v>
      </c>
      <c r="AR174" s="259" t="str">
        <f t="shared" si="24"/>
        <v>Shipped_Stock</v>
      </c>
      <c r="AS174" s="259" t="str">
        <f t="shared" si="25"/>
        <v/>
      </c>
      <c r="AT174" s="259" t="str">
        <f t="shared" si="26"/>
        <v>帝泰克</v>
      </c>
      <c r="AU174" s="259" t="str">
        <f t="shared" si="27"/>
        <v>C49SZX201901008ZX</v>
      </c>
      <c r="AV174" s="259" t="str">
        <f t="shared" si="28"/>
        <v>Apr-10</v>
      </c>
    </row>
    <row r="175" spans="1:69" hidden="1">
      <c r="A175" s="564">
        <v>326</v>
      </c>
      <c r="B175" s="568" t="s">
        <v>280</v>
      </c>
      <c r="C175" s="565" t="s">
        <v>281</v>
      </c>
      <c r="D175" s="569">
        <v>109263</v>
      </c>
      <c r="E175" s="568" t="s">
        <v>577</v>
      </c>
      <c r="F175" s="568" t="s">
        <v>256</v>
      </c>
      <c r="G175" s="568" t="s">
        <v>24</v>
      </c>
      <c r="H175" s="568" t="s">
        <v>26</v>
      </c>
      <c r="I175" s="569" t="s">
        <v>578</v>
      </c>
      <c r="J175" s="569">
        <v>1</v>
      </c>
      <c r="K175" s="568" t="s">
        <v>295</v>
      </c>
      <c r="L175" s="570">
        <v>43574</v>
      </c>
      <c r="M175" s="571">
        <v>6.2E-2</v>
      </c>
      <c r="N175" s="568" t="s">
        <v>404</v>
      </c>
      <c r="P175" s="571" t="str">
        <f>VLOOKUP(A175,'[1]Raw data'!$B:$BB,23,FALSE)</f>
        <v>RMB</v>
      </c>
      <c r="Q175" s="568" t="str">
        <f>VLOOKUP(A175,'[1]Raw data'!$B:$Z,2,FALSE)</f>
        <v>C49SZX20190073JL</v>
      </c>
      <c r="R175" s="568" t="str">
        <f>VLOOKUP(A175,'[1]Raw data'!$B:$Z,3,FALSE)</f>
        <v>力通威</v>
      </c>
      <c r="S175" s="568" t="str">
        <f>VLOOKUP(A175,'[1]Raw data'!$B:$Z,4,FALSE)</f>
        <v>YSM20R(SV)-2</v>
      </c>
      <c r="T175" s="568" t="str">
        <f>VLOOKUP(A175,'[1]Raw data'!$B:$Z,8,FALSE)</f>
        <v>L-&gt;R</v>
      </c>
      <c r="U175" s="568" t="str">
        <f>VLOOKUP(A175,'[1]Raw data'!$B:$Z,9,FALSE)</f>
        <v>No</v>
      </c>
      <c r="V175" s="572" t="str">
        <f t="shared" si="29"/>
        <v>OK</v>
      </c>
      <c r="W175" s="568" t="str">
        <f>VLOOKUP(A175,'[1]Raw data'!$B:$AG,32,FALSE)</f>
        <v>含税到厂</v>
      </c>
      <c r="X175" s="568">
        <f>VLOOKUP(A175,'[1]Raw data'!$B:$BA,31,FALSE)</f>
        <v>43612</v>
      </c>
      <c r="Y175" s="568" t="str">
        <f>VLOOKUP(A175,'[1]Raw data'!$B:$AS,39,FALSE)</f>
        <v>Yes</v>
      </c>
      <c r="Z175" s="573" t="s">
        <v>329</v>
      </c>
      <c r="AA175" s="574" t="s">
        <v>329</v>
      </c>
      <c r="AB175" s="575"/>
      <c r="AC175" s="568" t="s">
        <v>565</v>
      </c>
      <c r="AN175" s="547"/>
      <c r="AO175" s="829" t="str">
        <f t="shared" si="21"/>
        <v>Yes</v>
      </c>
      <c r="AP175" s="259" t="str">
        <f t="shared" si="22"/>
        <v>JUN 19</v>
      </c>
      <c r="AQ175" s="547" t="str">
        <f t="shared" si="23"/>
        <v>有定金+有預留客戶</v>
      </c>
      <c r="AR175" s="259" t="str">
        <f t="shared" si="24"/>
        <v>Shipped_Stock</v>
      </c>
      <c r="AS175" s="259" t="str">
        <f t="shared" si="25"/>
        <v/>
      </c>
      <c r="AT175" s="259" t="str">
        <f t="shared" si="26"/>
        <v>力通威</v>
      </c>
      <c r="AU175" s="259" t="str">
        <f t="shared" si="27"/>
        <v>C49SZX20190073JL</v>
      </c>
      <c r="AV175" s="259" t="str">
        <f t="shared" si="28"/>
        <v>Apr-19</v>
      </c>
    </row>
    <row r="176" spans="1:69" s="842" customFormat="1" ht="15" hidden="1" customHeight="1">
      <c r="A176" s="564">
        <v>394</v>
      </c>
      <c r="B176" s="568" t="s">
        <v>280</v>
      </c>
      <c r="C176" s="565" t="s">
        <v>281</v>
      </c>
      <c r="D176" s="569">
        <v>109526</v>
      </c>
      <c r="E176" s="568" t="s">
        <v>485</v>
      </c>
      <c r="F176" s="568" t="s">
        <v>256</v>
      </c>
      <c r="G176" s="568" t="s">
        <v>24</v>
      </c>
      <c r="H176" s="568" t="s">
        <v>26</v>
      </c>
      <c r="I176" s="569" t="s">
        <v>579</v>
      </c>
      <c r="J176" s="569">
        <v>1</v>
      </c>
      <c r="K176" s="568" t="s">
        <v>295</v>
      </c>
      <c r="L176" s="570">
        <v>43574</v>
      </c>
      <c r="M176" s="571">
        <v>6.2E-2</v>
      </c>
      <c r="N176" s="568" t="s">
        <v>320</v>
      </c>
      <c r="O176" s="569">
        <v>2019.03</v>
      </c>
      <c r="P176" s="571" t="str">
        <f>VLOOKUP(A176,'[1]Raw data'!$B:$BB,23,FALSE)</f>
        <v>RMB</v>
      </c>
      <c r="Q176" s="568" t="str">
        <f>VLOOKUP(A176,'[1]Raw data'!$B:$Z,2,FALSE)</f>
        <v>C49SZX20190119SX</v>
      </c>
      <c r="R176" s="568" t="str">
        <f>VLOOKUP(A176,'[1]Raw data'!$B:$Z,3,FALSE)</f>
        <v>太美亚</v>
      </c>
      <c r="S176" s="568" t="str">
        <f>VLOOKUP(A176,'[1]Raw data'!$B:$Z,4,FALSE)</f>
        <v>YSM20R(SV)-2</v>
      </c>
      <c r="T176" s="568" t="str">
        <f>VLOOKUP(A176,'[1]Raw data'!$B:$Z,8,FALSE)</f>
        <v>L-&gt;R</v>
      </c>
      <c r="U176" s="568" t="str">
        <f>VLOOKUP(A176,'[1]Raw data'!$B:$Z,9,FALSE)</f>
        <v>No</v>
      </c>
      <c r="V176" s="572" t="str">
        <f t="shared" si="29"/>
        <v>OK</v>
      </c>
      <c r="W176" s="568" t="str">
        <f>VLOOKUP(A176,'[1]Raw data'!$B:$AG,32,FALSE)</f>
        <v>含税到厂</v>
      </c>
      <c r="X176" s="568">
        <f>VLOOKUP(A176,'[1]Raw data'!$B:$BA,31,FALSE)</f>
        <v>43693</v>
      </c>
      <c r="Y176" s="568" t="str">
        <f>VLOOKUP(A176,'[1]Raw data'!$B:$AS,39,FALSE)</f>
        <v>Yes</v>
      </c>
      <c r="Z176" s="573" t="s">
        <v>329</v>
      </c>
      <c r="AA176" s="574" t="s">
        <v>329</v>
      </c>
      <c r="AB176" s="575"/>
      <c r="AC176" s="568" t="s">
        <v>476</v>
      </c>
      <c r="AD176" s="576"/>
      <c r="AE176" s="576"/>
      <c r="AF176" s="576"/>
      <c r="AG176" s="576"/>
      <c r="AH176" s="576"/>
      <c r="AI176" s="577"/>
      <c r="AJ176" s="576"/>
      <c r="AK176" s="576"/>
      <c r="AL176" s="576"/>
      <c r="AM176" s="576"/>
      <c r="AN176" s="547"/>
      <c r="AO176" s="829" t="str">
        <f t="shared" si="21"/>
        <v>Yes</v>
      </c>
      <c r="AP176" s="259" t="str">
        <f t="shared" si="22"/>
        <v>SEP 19</v>
      </c>
      <c r="AQ176" s="547" t="str">
        <f t="shared" si="23"/>
        <v>有定金+有預留客戶</v>
      </c>
      <c r="AR176" s="259" t="str">
        <f t="shared" si="24"/>
        <v>Shipped_Stock</v>
      </c>
      <c r="AS176" s="259" t="str">
        <f t="shared" si="25"/>
        <v/>
      </c>
      <c r="AT176" s="259" t="str">
        <f t="shared" si="26"/>
        <v>太美亚</v>
      </c>
      <c r="AU176" s="259" t="str">
        <f t="shared" si="27"/>
        <v>C49SZX20190119SX</v>
      </c>
      <c r="AV176" s="259" t="str">
        <f t="shared" si="28"/>
        <v>Apr-19</v>
      </c>
      <c r="AW176" s="259"/>
      <c r="AX176" s="259"/>
      <c r="AY176" s="259"/>
      <c r="AZ176" s="259"/>
      <c r="BA176" s="259"/>
      <c r="BB176" s="259"/>
      <c r="BC176" s="259"/>
      <c r="BD176" s="259"/>
      <c r="BE176" s="259"/>
      <c r="BF176" s="259"/>
      <c r="BG176" s="259"/>
      <c r="BH176" s="259"/>
      <c r="BI176" s="259"/>
      <c r="BJ176" s="259"/>
      <c r="BK176" s="259"/>
      <c r="BL176" s="259"/>
      <c r="BM176" s="259"/>
      <c r="BN176" s="259"/>
      <c r="BO176" s="259"/>
      <c r="BP176" s="259"/>
      <c r="BQ176" s="259"/>
    </row>
    <row r="177" spans="1:69" s="842" customFormat="1" ht="15" hidden="1" customHeight="1">
      <c r="A177" s="564">
        <v>438</v>
      </c>
      <c r="B177" s="568" t="s">
        <v>280</v>
      </c>
      <c r="C177" s="565" t="s">
        <v>281</v>
      </c>
      <c r="D177" s="569">
        <v>109263</v>
      </c>
      <c r="E177" s="568" t="s">
        <v>577</v>
      </c>
      <c r="F177" s="568" t="s">
        <v>256</v>
      </c>
      <c r="G177" s="568" t="s">
        <v>24</v>
      </c>
      <c r="H177" s="568" t="s">
        <v>159</v>
      </c>
      <c r="I177" s="569" t="s">
        <v>580</v>
      </c>
      <c r="J177" s="569">
        <v>1</v>
      </c>
      <c r="K177" s="568" t="s">
        <v>437</v>
      </c>
      <c r="L177" s="570">
        <v>43574</v>
      </c>
      <c r="M177" s="571">
        <v>6.2E-2</v>
      </c>
      <c r="N177" s="568" t="s">
        <v>504</v>
      </c>
      <c r="O177" s="569">
        <v>2019.03</v>
      </c>
      <c r="P177" s="571" t="str">
        <f>VLOOKUP(A177,'[1]Raw data'!$B:$BB,23,FALSE)</f>
        <v>USD</v>
      </c>
      <c r="Q177" s="568" t="str">
        <f>VLOOKUP(A177,'[1]Raw data'!$B:$Z,2,FALSE)</f>
        <v>C49SZX20190138ZX</v>
      </c>
      <c r="R177" s="568" t="str">
        <f>VLOOKUP(A177,'[1]Raw data'!$B:$Z,3,FALSE)</f>
        <v>Bittele 比泰利</v>
      </c>
      <c r="S177" s="568" t="str">
        <f>VLOOKUP(A177,'[1]Raw data'!$B:$Z,4,FALSE)</f>
        <v>YSM20R(SV)-2</v>
      </c>
      <c r="T177" s="568" t="str">
        <f>VLOOKUP(A177,'[1]Raw data'!$B:$Z,8,FALSE)</f>
        <v>L-&gt;R</v>
      </c>
      <c r="U177" s="568" t="str">
        <f>VLOOKUP(A177,'[1]Raw data'!$B:$Z,9,FALSE)</f>
        <v>cATS10+MVC+special layout</v>
      </c>
      <c r="V177" s="572" t="str">
        <f t="shared" si="29"/>
        <v>OK</v>
      </c>
      <c r="W177" s="568" t="str">
        <f>VLOOKUP(A177,'[1]Raw data'!$B:$AG,32,FALSE)</f>
        <v>CIF HK</v>
      </c>
      <c r="X177" s="568">
        <f>VLOOKUP(A177,'[1]Raw data'!$B:$BA,31,FALSE)</f>
        <v>43748</v>
      </c>
      <c r="Y177" s="568" t="str">
        <f>VLOOKUP(A177,'[1]Raw data'!$B:$AS,39,FALSE)</f>
        <v>Yes</v>
      </c>
      <c r="Z177" s="573"/>
      <c r="AA177" s="574"/>
      <c r="AB177" s="575"/>
      <c r="AC177" s="568" t="s">
        <v>505</v>
      </c>
      <c r="AD177" s="576"/>
      <c r="AE177" s="576"/>
      <c r="AF177" s="576"/>
      <c r="AG177" s="576"/>
      <c r="AH177" s="576"/>
      <c r="AI177" s="577"/>
      <c r="AJ177" s="576"/>
      <c r="AK177" s="576"/>
      <c r="AL177" s="576"/>
      <c r="AM177" s="576"/>
      <c r="AN177" s="547"/>
      <c r="AO177" s="829" t="str">
        <f t="shared" si="21"/>
        <v>Yes</v>
      </c>
      <c r="AP177" s="259" t="str">
        <f t="shared" si="22"/>
        <v>NOV 19</v>
      </c>
      <c r="AQ177" s="547" t="str">
        <f t="shared" si="23"/>
        <v>有定金+有預留客戶</v>
      </c>
      <c r="AR177" s="259" t="str">
        <f t="shared" si="24"/>
        <v>Shipped_Stock</v>
      </c>
      <c r="AS177" s="259" t="str">
        <f t="shared" si="25"/>
        <v/>
      </c>
      <c r="AT177" s="259" t="str">
        <f t="shared" si="26"/>
        <v>Bittele 比泰利</v>
      </c>
      <c r="AU177" s="259" t="str">
        <f t="shared" si="27"/>
        <v>C49SZX20190138ZX</v>
      </c>
      <c r="AV177" s="259" t="str">
        <f t="shared" si="28"/>
        <v>Apr-19</v>
      </c>
      <c r="AW177" s="259"/>
      <c r="AX177" s="259"/>
      <c r="AY177" s="259"/>
      <c r="AZ177" s="259"/>
      <c r="BA177" s="259"/>
      <c r="BB177" s="259"/>
      <c r="BC177" s="259"/>
      <c r="BD177" s="259"/>
      <c r="BE177" s="259"/>
      <c r="BF177" s="259"/>
      <c r="BG177" s="259"/>
      <c r="BH177" s="259"/>
      <c r="BI177" s="259"/>
      <c r="BJ177" s="259"/>
      <c r="BK177" s="259"/>
      <c r="BL177" s="259"/>
      <c r="BM177" s="259"/>
      <c r="BN177" s="259"/>
      <c r="BO177" s="259"/>
      <c r="BP177" s="259"/>
      <c r="BQ177" s="259"/>
    </row>
    <row r="178" spans="1:69" ht="15" hidden="1" customHeight="1">
      <c r="A178" s="564">
        <v>381</v>
      </c>
      <c r="B178" s="568" t="s">
        <v>280</v>
      </c>
      <c r="C178" s="565" t="s">
        <v>281</v>
      </c>
      <c r="D178" s="569">
        <v>109526</v>
      </c>
      <c r="E178" s="568" t="s">
        <v>485</v>
      </c>
      <c r="F178" s="568" t="s">
        <v>256</v>
      </c>
      <c r="G178" s="568" t="s">
        <v>24</v>
      </c>
      <c r="H178" s="568" t="s">
        <v>26</v>
      </c>
      <c r="I178" s="569" t="s">
        <v>581</v>
      </c>
      <c r="J178" s="569">
        <v>1</v>
      </c>
      <c r="K178" s="568" t="s">
        <v>437</v>
      </c>
      <c r="L178" s="570">
        <v>43574</v>
      </c>
      <c r="M178" s="571">
        <v>6.2E-2</v>
      </c>
      <c r="N178" s="568" t="s">
        <v>417</v>
      </c>
      <c r="O178" s="569">
        <v>2019.03</v>
      </c>
      <c r="P178" s="571" t="str">
        <f>VLOOKUP(A178,'[1]Raw data'!$B:$BB,23,FALSE)</f>
        <v>RMB</v>
      </c>
      <c r="Q178" s="568" t="str">
        <f>VLOOKUP(A178,'[1]Raw data'!$B:$Z,2,FALSE)</f>
        <v>C49SZX20190114MX</v>
      </c>
      <c r="R178" s="568" t="str">
        <f>VLOOKUP(A178,'[1]Raw data'!$B:$Z,3,FALSE)</f>
        <v>城宇</v>
      </c>
      <c r="S178" s="568" t="str">
        <f>VLOOKUP(A178,'[1]Raw data'!$B:$Z,4,FALSE)</f>
        <v>YSM20R(SV)-2</v>
      </c>
      <c r="T178" s="568" t="str">
        <f>VLOOKUP(A178,'[1]Raw data'!$B:$Z,8,FALSE)</f>
        <v>L-&gt;R</v>
      </c>
      <c r="U178" s="568" t="str">
        <f>VLOOKUP(A178,'[1]Raw data'!$B:$Z,9,FALSE)</f>
        <v>No</v>
      </c>
      <c r="V178" s="572" t="str">
        <f t="shared" si="29"/>
        <v>OK</v>
      </c>
      <c r="W178" s="568" t="str">
        <f>VLOOKUP(A178,'[1]Raw data'!$B:$AG,32,FALSE)</f>
        <v>含税到厂</v>
      </c>
      <c r="X178" s="568">
        <f>VLOOKUP(A178,'[1]Raw data'!$B:$BA,31,FALSE)</f>
        <v>43685</v>
      </c>
      <c r="Y178" s="568" t="str">
        <f>VLOOKUP(A178,'[1]Raw data'!$B:$AS,39,FALSE)</f>
        <v>Yes</v>
      </c>
      <c r="Z178" s="573" t="s">
        <v>329</v>
      </c>
      <c r="AA178" s="574" t="s">
        <v>329</v>
      </c>
      <c r="AB178" s="575"/>
      <c r="AC178" s="568" t="s">
        <v>291</v>
      </c>
      <c r="AN178" s="547"/>
      <c r="AO178" s="829" t="str">
        <f t="shared" si="21"/>
        <v>Yes</v>
      </c>
      <c r="AP178" s="259" t="str">
        <f t="shared" si="22"/>
        <v>AUG 19</v>
      </c>
      <c r="AQ178" s="547" t="str">
        <f t="shared" si="23"/>
        <v>有定金+有預留客戶</v>
      </c>
      <c r="AR178" s="259" t="str">
        <f t="shared" si="24"/>
        <v>Shipped_Stock</v>
      </c>
      <c r="AS178" s="259" t="str">
        <f t="shared" si="25"/>
        <v/>
      </c>
      <c r="AT178" s="259" t="str">
        <f t="shared" si="26"/>
        <v>城宇</v>
      </c>
      <c r="AU178" s="259" t="str">
        <f t="shared" si="27"/>
        <v>C49SZX20190114MX</v>
      </c>
      <c r="AV178" s="259" t="str">
        <f t="shared" si="28"/>
        <v>Apr-19</v>
      </c>
    </row>
    <row r="179" spans="1:69" ht="15" hidden="1" customHeight="1">
      <c r="A179" s="564">
        <v>359</v>
      </c>
      <c r="B179" s="568" t="s">
        <v>280</v>
      </c>
      <c r="C179" s="565" t="s">
        <v>281</v>
      </c>
      <c r="D179" s="569">
        <v>109526</v>
      </c>
      <c r="E179" s="568" t="s">
        <v>485</v>
      </c>
      <c r="F179" s="568" t="s">
        <v>256</v>
      </c>
      <c r="G179" s="568" t="s">
        <v>24</v>
      </c>
      <c r="H179" s="568" t="s">
        <v>26</v>
      </c>
      <c r="I179" s="569" t="s">
        <v>582</v>
      </c>
      <c r="J179" s="569">
        <v>1</v>
      </c>
      <c r="K179" s="568" t="s">
        <v>437</v>
      </c>
      <c r="L179" s="570">
        <v>43574</v>
      </c>
      <c r="M179" s="571">
        <v>6.2E-2</v>
      </c>
      <c r="N179" s="568" t="s">
        <v>325</v>
      </c>
      <c r="O179" s="569">
        <v>2019.03</v>
      </c>
      <c r="P179" s="571" t="str">
        <f>VLOOKUP(A179,'[1]Raw data'!$B:$BB,23,FALSE)</f>
        <v>RMB</v>
      </c>
      <c r="Q179" s="568" t="str">
        <f>VLOOKUP(A179,'[1]Raw data'!$B:$Z,2,FALSE)</f>
        <v>C49SZX20190102SX</v>
      </c>
      <c r="R179" s="568" t="str">
        <f>VLOOKUP(A179,'[1]Raw data'!$B:$Z,3,FALSE)</f>
        <v>凯瑞丰</v>
      </c>
      <c r="S179" s="568" t="str">
        <f>VLOOKUP(A179,'[1]Raw data'!$B:$Z,4,FALSE)</f>
        <v>YSM20R(SV)-2</v>
      </c>
      <c r="T179" s="568" t="str">
        <f>VLOOKUP(A179,'[1]Raw data'!$B:$Z,8,FALSE)</f>
        <v>L-&gt;R</v>
      </c>
      <c r="U179" s="568" t="str">
        <f>VLOOKUP(A179,'[1]Raw data'!$B:$Z,9,FALSE)</f>
        <v>No</v>
      </c>
      <c r="V179" s="572" t="str">
        <f t="shared" si="29"/>
        <v>OK</v>
      </c>
      <c r="W179" s="568" t="str">
        <f>VLOOKUP(A179,'[1]Raw data'!$B:$AG,32,FALSE)</f>
        <v>含税到厂</v>
      </c>
      <c r="X179" s="568">
        <f>VLOOKUP(A179,'[1]Raw data'!$B:$BA,31,FALSE)</f>
        <v>43635</v>
      </c>
      <c r="Y179" s="568" t="str">
        <f>VLOOKUP(A179,'[1]Raw data'!$B:$AS,39,FALSE)</f>
        <v>Yes</v>
      </c>
      <c r="Z179" s="573"/>
      <c r="AA179" s="574"/>
      <c r="AB179" s="575"/>
      <c r="AC179" s="568" t="s">
        <v>583</v>
      </c>
      <c r="AN179" s="547"/>
      <c r="AO179" s="829" t="str">
        <f t="shared" si="21"/>
        <v>Yes</v>
      </c>
      <c r="AP179" s="259" t="str">
        <f t="shared" si="22"/>
        <v>JUL 19</v>
      </c>
      <c r="AQ179" s="547" t="str">
        <f t="shared" si="23"/>
        <v>有定金+有預留客戶</v>
      </c>
      <c r="AR179" s="259" t="str">
        <f t="shared" si="24"/>
        <v>Shipped_Stock</v>
      </c>
      <c r="AS179" s="259" t="str">
        <f t="shared" si="25"/>
        <v/>
      </c>
      <c r="AT179" s="259" t="str">
        <f t="shared" si="26"/>
        <v>凯瑞丰</v>
      </c>
      <c r="AU179" s="259" t="str">
        <f t="shared" si="27"/>
        <v>C49SZX20190102SX</v>
      </c>
      <c r="AV179" s="259" t="str">
        <f t="shared" si="28"/>
        <v>Apr-19</v>
      </c>
    </row>
    <row r="180" spans="1:69" ht="15" hidden="1" customHeight="1">
      <c r="A180" s="564">
        <v>532</v>
      </c>
      <c r="B180" s="568" t="s">
        <v>280</v>
      </c>
      <c r="C180" s="565" t="s">
        <v>281</v>
      </c>
      <c r="D180" s="569" t="s">
        <v>584</v>
      </c>
      <c r="E180" s="568" t="s">
        <v>585</v>
      </c>
      <c r="F180" s="568" t="s">
        <v>149</v>
      </c>
      <c r="G180" s="568" t="s">
        <v>283</v>
      </c>
      <c r="H180" s="568" t="s">
        <v>26</v>
      </c>
      <c r="I180" s="569" t="s">
        <v>586</v>
      </c>
      <c r="J180" s="569">
        <v>1</v>
      </c>
      <c r="K180" s="568" t="s">
        <v>295</v>
      </c>
      <c r="L180" s="570">
        <v>43586</v>
      </c>
      <c r="M180" s="571">
        <v>5.9499999999999997E-2</v>
      </c>
      <c r="N180" s="568" t="s">
        <v>286</v>
      </c>
      <c r="O180" s="579"/>
      <c r="P180" s="571" t="str">
        <f>VLOOKUP(A180,'[1]Raw data'!$B:$BB,23,FALSE)</f>
        <v>RMB</v>
      </c>
      <c r="Q180" s="568" t="str">
        <f>VLOOKUP(A180,'[1]Raw data'!$B:$Z,2,FALSE)</f>
        <v>C49SZX20190149SX</v>
      </c>
      <c r="R180" s="568" t="str">
        <f>VLOOKUP(A180,'[1]Raw data'!$B:$Z,3,FALSE)</f>
        <v>锐诚</v>
      </c>
      <c r="S180" s="568" t="str">
        <f>VLOOKUP(A180,'[1]Raw data'!$B:$Z,4,FALSE)</f>
        <v>YSM40R-4</v>
      </c>
      <c r="T180" s="568" t="str">
        <f>VLOOKUP(A180,'[1]Raw data'!$B:$Z,8,FALSE)</f>
        <v>No</v>
      </c>
      <c r="U180" s="568" t="str">
        <f>VLOOKUP(A180,'[1]Raw data'!$B:$Z,9,FALSE)</f>
        <v>No</v>
      </c>
      <c r="V180" s="572" t="str">
        <f t="shared" si="29"/>
        <v>OK</v>
      </c>
      <c r="W180" s="568" t="str">
        <f>VLOOKUP(A180,'[1]Raw data'!$B:$AG,32,FALSE)</f>
        <v>DDP HZ</v>
      </c>
      <c r="X180" s="568">
        <f>VLOOKUP(A180,'[1]Raw data'!$B:$BA,31,FALSE)</f>
        <v>43810</v>
      </c>
      <c r="Y180" s="568" t="str">
        <f>VLOOKUP(A180,'[1]Raw data'!$B:$AS,39,FALSE)</f>
        <v>Yes</v>
      </c>
      <c r="Z180" s="573"/>
      <c r="AA180" s="574" t="s">
        <v>329</v>
      </c>
      <c r="AB180" s="575"/>
      <c r="AC180" s="568" t="s">
        <v>563</v>
      </c>
      <c r="AN180" s="547"/>
      <c r="AO180" s="829" t="str">
        <f t="shared" si="21"/>
        <v>Yes</v>
      </c>
      <c r="AP180" s="259" t="str">
        <f t="shared" si="22"/>
        <v>DEC 19</v>
      </c>
      <c r="AQ180" s="547" t="str">
        <f t="shared" si="23"/>
        <v>有定金+有預留客戶</v>
      </c>
      <c r="AR180" s="259" t="str">
        <f t="shared" si="24"/>
        <v>Shipped_Stock</v>
      </c>
      <c r="AS180" s="259" t="str">
        <f t="shared" si="25"/>
        <v/>
      </c>
      <c r="AT180" s="259" t="str">
        <f t="shared" si="26"/>
        <v>锐诚</v>
      </c>
      <c r="AU180" s="259" t="str">
        <f t="shared" si="27"/>
        <v>C49SZX20190149SX</v>
      </c>
      <c r="AV180" s="259" t="str">
        <f t="shared" si="28"/>
        <v>May-01</v>
      </c>
    </row>
    <row r="181" spans="1:69" ht="15" hidden="1" customHeight="1">
      <c r="A181" s="564">
        <v>410</v>
      </c>
      <c r="B181" s="568" t="s">
        <v>280</v>
      </c>
      <c r="C181" s="565" t="s">
        <v>281</v>
      </c>
      <c r="D181" s="569">
        <v>109390</v>
      </c>
      <c r="E181" s="568" t="s">
        <v>587</v>
      </c>
      <c r="F181" s="568" t="s">
        <v>256</v>
      </c>
      <c r="G181" s="568" t="s">
        <v>24</v>
      </c>
      <c r="H181" s="568" t="s">
        <v>26</v>
      </c>
      <c r="I181" s="569" t="s">
        <v>588</v>
      </c>
      <c r="J181" s="569">
        <v>1</v>
      </c>
      <c r="K181" s="568" t="s">
        <v>295</v>
      </c>
      <c r="L181" s="570">
        <v>43588</v>
      </c>
      <c r="M181" s="571">
        <v>6.1699999999999998E-2</v>
      </c>
      <c r="N181" s="568" t="s">
        <v>320</v>
      </c>
      <c r="O181" s="569">
        <v>2019.03</v>
      </c>
      <c r="P181" s="571" t="str">
        <f>VLOOKUP(A181,'[1]Raw data'!$B:$BB,23,FALSE)</f>
        <v>RMB</v>
      </c>
      <c r="Q181" s="568" t="str">
        <f>VLOOKUP(A181,'[1]Raw data'!$B:$Z,2,FALSE)</f>
        <v>C49SZX20190130JL</v>
      </c>
      <c r="R181" s="568" t="str">
        <f>VLOOKUP(A181,'[1]Raw data'!$B:$Z,3,FALSE)</f>
        <v>铭华</v>
      </c>
      <c r="S181" s="568" t="str">
        <f>VLOOKUP(A181,'[1]Raw data'!$B:$Z,4,FALSE)</f>
        <v>YSM20R(SV)-2</v>
      </c>
      <c r="T181" s="568" t="str">
        <f>VLOOKUP(A181,'[1]Raw data'!$B:$Z,8,FALSE)</f>
        <v>L-&gt;R</v>
      </c>
      <c r="U181" s="568" t="str">
        <f>VLOOKUP(A181,'[1]Raw data'!$B:$Z,9,FALSE)</f>
        <v>No</v>
      </c>
      <c r="V181" s="572" t="str">
        <f t="shared" si="29"/>
        <v>OK</v>
      </c>
      <c r="W181" s="568" t="str">
        <f>VLOOKUP(A181,'[1]Raw data'!$B:$AG,32,FALSE)</f>
        <v>含税到厂</v>
      </c>
      <c r="X181" s="568">
        <f>VLOOKUP(A181,'[1]Raw data'!$B:$BA,31,FALSE)</f>
        <v>43704</v>
      </c>
      <c r="Y181" s="568" t="str">
        <f>VLOOKUP(A181,'[1]Raw data'!$B:$AS,39,FALSE)</f>
        <v>Yes</v>
      </c>
      <c r="Z181" s="573" t="s">
        <v>329</v>
      </c>
      <c r="AA181" s="574" t="s">
        <v>329</v>
      </c>
      <c r="AB181" s="575"/>
      <c r="AC181" s="568" t="s">
        <v>589</v>
      </c>
      <c r="AN181" s="547"/>
      <c r="AO181" s="829" t="str">
        <f t="shared" si="21"/>
        <v>Yes</v>
      </c>
      <c r="AP181" s="259" t="str">
        <f t="shared" si="22"/>
        <v>SEP 19</v>
      </c>
      <c r="AQ181" s="547" t="str">
        <f t="shared" si="23"/>
        <v>有定金+有預留客戶</v>
      </c>
      <c r="AR181" s="259" t="str">
        <f t="shared" si="24"/>
        <v>Shipped_Stock</v>
      </c>
      <c r="AS181" s="259" t="str">
        <f t="shared" si="25"/>
        <v/>
      </c>
      <c r="AT181" s="259" t="str">
        <f t="shared" si="26"/>
        <v>铭华</v>
      </c>
      <c r="AU181" s="259" t="str">
        <f t="shared" si="27"/>
        <v>C49SZX20190130JL</v>
      </c>
      <c r="AV181" s="259" t="str">
        <f t="shared" si="28"/>
        <v>May-03</v>
      </c>
    </row>
    <row r="182" spans="1:69" ht="15" hidden="1" customHeight="1">
      <c r="A182" s="564">
        <v>403</v>
      </c>
      <c r="B182" s="568" t="s">
        <v>280</v>
      </c>
      <c r="C182" s="565" t="s">
        <v>281</v>
      </c>
      <c r="D182" s="569">
        <v>109390</v>
      </c>
      <c r="E182" s="568" t="s">
        <v>587</v>
      </c>
      <c r="F182" s="568" t="s">
        <v>256</v>
      </c>
      <c r="G182" s="568" t="s">
        <v>24</v>
      </c>
      <c r="H182" s="568" t="s">
        <v>26</v>
      </c>
      <c r="I182" s="569" t="s">
        <v>590</v>
      </c>
      <c r="J182" s="569">
        <v>1</v>
      </c>
      <c r="K182" s="568" t="s">
        <v>295</v>
      </c>
      <c r="L182" s="570">
        <v>43588</v>
      </c>
      <c r="M182" s="571">
        <v>6.1699999999999998E-2</v>
      </c>
      <c r="N182" s="568" t="s">
        <v>417</v>
      </c>
      <c r="O182" s="569">
        <v>2019.03</v>
      </c>
      <c r="P182" s="571" t="str">
        <f>VLOOKUP(A182,'[1]Raw data'!$B:$BB,23,FALSE)</f>
        <v>RMB</v>
      </c>
      <c r="Q182" s="568" t="str">
        <f>VLOOKUP(A182,'[1]Raw data'!$B:$Z,2,FALSE)</f>
        <v>C49SZX20190126MZ</v>
      </c>
      <c r="R182" s="568" t="str">
        <f>VLOOKUP(A182,'[1]Raw data'!$B:$Z,3,FALSE)</f>
        <v>天星创展</v>
      </c>
      <c r="S182" s="568" t="str">
        <f>VLOOKUP(A182,'[1]Raw data'!$B:$Z,4,FALSE)</f>
        <v>YSM20R(SV)-2</v>
      </c>
      <c r="T182" s="568" t="str">
        <f>VLOOKUP(A182,'[1]Raw data'!$B:$Z,8,FALSE)</f>
        <v>L-&gt;R</v>
      </c>
      <c r="U182" s="568" t="str">
        <f>VLOOKUP(A182,'[1]Raw data'!$B:$Z,9,FALSE)</f>
        <v>No</v>
      </c>
      <c r="V182" s="572" t="str">
        <f t="shared" si="29"/>
        <v>OK</v>
      </c>
      <c r="W182" s="568" t="str">
        <f>VLOOKUP(A182,'[1]Raw data'!$B:$AG,32,FALSE)</f>
        <v>含税到厂</v>
      </c>
      <c r="X182" s="568">
        <f>VLOOKUP(A182,'[1]Raw data'!$B:$BA,31,FALSE)</f>
        <v>43697</v>
      </c>
      <c r="Y182" s="568" t="str">
        <f>VLOOKUP(A182,'[1]Raw data'!$B:$AS,39,FALSE)</f>
        <v>Yes</v>
      </c>
      <c r="Z182" s="573" t="s">
        <v>329</v>
      </c>
      <c r="AA182" s="574" t="s">
        <v>329</v>
      </c>
      <c r="AB182" s="575"/>
      <c r="AC182" s="568" t="s">
        <v>591</v>
      </c>
      <c r="AN182" s="547"/>
      <c r="AO182" s="829" t="str">
        <f t="shared" si="21"/>
        <v>Yes</v>
      </c>
      <c r="AP182" s="259" t="str">
        <f t="shared" si="22"/>
        <v>AUG 19</v>
      </c>
      <c r="AQ182" s="547" t="str">
        <f t="shared" si="23"/>
        <v>有定金+有預留客戶</v>
      </c>
      <c r="AR182" s="259" t="str">
        <f t="shared" si="24"/>
        <v>Shipped_Stock</v>
      </c>
      <c r="AS182" s="259" t="str">
        <f t="shared" si="25"/>
        <v/>
      </c>
      <c r="AT182" s="259" t="str">
        <f t="shared" si="26"/>
        <v>天星创展</v>
      </c>
      <c r="AU182" s="259" t="str">
        <f t="shared" si="27"/>
        <v>C49SZX20190126MZ</v>
      </c>
      <c r="AV182" s="259" t="str">
        <f t="shared" si="28"/>
        <v>May-03</v>
      </c>
    </row>
    <row r="183" spans="1:69" ht="15" hidden="1" customHeight="1">
      <c r="A183" s="564">
        <v>303</v>
      </c>
      <c r="B183" s="568" t="s">
        <v>280</v>
      </c>
      <c r="C183" s="565" t="s">
        <v>281</v>
      </c>
      <c r="D183" s="569">
        <v>109390</v>
      </c>
      <c r="E183" s="568" t="s">
        <v>587</v>
      </c>
      <c r="F183" s="568" t="s">
        <v>256</v>
      </c>
      <c r="G183" s="568" t="s">
        <v>24</v>
      </c>
      <c r="H183" s="568" t="s">
        <v>26</v>
      </c>
      <c r="I183" s="569" t="s">
        <v>592</v>
      </c>
      <c r="J183" s="569">
        <v>1</v>
      </c>
      <c r="K183" s="568" t="s">
        <v>437</v>
      </c>
      <c r="L183" s="570">
        <v>43588</v>
      </c>
      <c r="M183" s="571">
        <v>6.1699999999999998E-2</v>
      </c>
      <c r="N183" s="568" t="s">
        <v>325</v>
      </c>
      <c r="O183" s="569">
        <v>2019.03</v>
      </c>
      <c r="P183" s="571" t="str">
        <f>VLOOKUP(A183,'[1]Raw data'!$B:$BB,23,FALSE)</f>
        <v>JPY</v>
      </c>
      <c r="Q183" s="568" t="str">
        <f>VLOOKUP(A183,'[1]Raw data'!$B:$Z,2,FALSE)</f>
        <v>C49SZX20190068ZX</v>
      </c>
      <c r="R183" s="568" t="str">
        <f>VLOOKUP(A183,'[1]Raw data'!$B:$Z,3,FALSE)</f>
        <v>梵想</v>
      </c>
      <c r="S183" s="568" t="str">
        <f>VLOOKUP(A183,'[1]Raw data'!$B:$Z,4,FALSE)</f>
        <v>YSM20R(SV)-2</v>
      </c>
      <c r="T183" s="568" t="str">
        <f>VLOOKUP(A183,'[1]Raw data'!$B:$Z,8,FALSE)</f>
        <v>L-&gt;R</v>
      </c>
      <c r="U183" s="568" t="str">
        <f>VLOOKUP(A183,'[1]Raw data'!$B:$Z,9,FALSE)</f>
        <v>No</v>
      </c>
      <c r="V183" s="572" t="str">
        <f t="shared" si="29"/>
        <v>OK</v>
      </c>
      <c r="W183" s="568" t="str">
        <f>VLOOKUP(A183,'[1]Raw data'!$B:$AG,32,FALSE)</f>
        <v>DAP SZ</v>
      </c>
      <c r="X183" s="568">
        <f>VLOOKUP(A183,'[1]Raw data'!$B:$BA,31,FALSE)</f>
        <v>43593</v>
      </c>
      <c r="Y183" s="568" t="str">
        <f>VLOOKUP(A183,'[1]Raw data'!$B:$AS,39,FALSE)</f>
        <v>Yes</v>
      </c>
      <c r="Z183" s="573" t="s">
        <v>329</v>
      </c>
      <c r="AA183" s="574" t="s">
        <v>593</v>
      </c>
      <c r="AB183" s="575"/>
      <c r="AC183" s="568" t="s">
        <v>594</v>
      </c>
      <c r="AN183" s="547"/>
      <c r="AO183" s="829" t="str">
        <f t="shared" si="21"/>
        <v>Yes</v>
      </c>
      <c r="AP183" s="259" t="str">
        <f t="shared" si="22"/>
        <v>JUL 19</v>
      </c>
      <c r="AQ183" s="547" t="str">
        <f t="shared" si="23"/>
        <v>有定金+有預留客戶</v>
      </c>
      <c r="AR183" s="259" t="str">
        <f t="shared" si="24"/>
        <v>Shipped_Stock</v>
      </c>
      <c r="AS183" s="259" t="str">
        <f t="shared" si="25"/>
        <v/>
      </c>
      <c r="AT183" s="259" t="str">
        <f t="shared" si="26"/>
        <v>梵想</v>
      </c>
      <c r="AU183" s="259" t="str">
        <f t="shared" si="27"/>
        <v>C49SZX20190068ZX</v>
      </c>
      <c r="AV183" s="259" t="str">
        <f t="shared" si="28"/>
        <v>May-03</v>
      </c>
    </row>
    <row r="184" spans="1:69" ht="15" hidden="1" customHeight="1">
      <c r="A184" s="564">
        <v>304</v>
      </c>
      <c r="B184" s="568" t="s">
        <v>280</v>
      </c>
      <c r="C184" s="565" t="s">
        <v>281</v>
      </c>
      <c r="D184" s="569">
        <v>109390</v>
      </c>
      <c r="E184" s="568" t="s">
        <v>587</v>
      </c>
      <c r="F184" s="568" t="s">
        <v>256</v>
      </c>
      <c r="G184" s="568" t="s">
        <v>24</v>
      </c>
      <c r="H184" s="568" t="s">
        <v>26</v>
      </c>
      <c r="I184" s="569" t="s">
        <v>595</v>
      </c>
      <c r="J184" s="569">
        <v>1</v>
      </c>
      <c r="K184" s="568" t="s">
        <v>437</v>
      </c>
      <c r="L184" s="570">
        <v>43588</v>
      </c>
      <c r="M184" s="571">
        <v>6.1699999999999998E-2</v>
      </c>
      <c r="N184" s="568" t="s">
        <v>325</v>
      </c>
      <c r="O184" s="569">
        <v>2019.03</v>
      </c>
      <c r="P184" s="571" t="str">
        <f>VLOOKUP(A184,'[1]Raw data'!$B:$BB,23,FALSE)</f>
        <v>JPY</v>
      </c>
      <c r="Q184" s="568" t="str">
        <f>VLOOKUP(A184,'[1]Raw data'!$B:$Z,2,FALSE)</f>
        <v>C49SZX20190068ZX</v>
      </c>
      <c r="R184" s="568" t="str">
        <f>VLOOKUP(A184,'[1]Raw data'!$B:$Z,3,FALSE)</f>
        <v>梵想</v>
      </c>
      <c r="S184" s="568" t="str">
        <f>VLOOKUP(A184,'[1]Raw data'!$B:$Z,4,FALSE)</f>
        <v>YSM20R(SV)-2</v>
      </c>
      <c r="T184" s="568" t="str">
        <f>VLOOKUP(A184,'[1]Raw data'!$B:$Z,8,FALSE)</f>
        <v>L-&gt;R</v>
      </c>
      <c r="U184" s="568" t="str">
        <f>VLOOKUP(A184,'[1]Raw data'!$B:$Z,9,FALSE)</f>
        <v>No</v>
      </c>
      <c r="V184" s="572" t="str">
        <f t="shared" si="29"/>
        <v>OK</v>
      </c>
      <c r="W184" s="568" t="str">
        <f>VLOOKUP(A184,'[1]Raw data'!$B:$AG,32,FALSE)</f>
        <v>DAP SZ</v>
      </c>
      <c r="X184" s="568">
        <f>VLOOKUP(A184,'[1]Raw data'!$B:$BA,31,FALSE)</f>
        <v>43593</v>
      </c>
      <c r="Y184" s="568" t="str">
        <f>VLOOKUP(A184,'[1]Raw data'!$B:$AS,39,FALSE)</f>
        <v>Yes</v>
      </c>
      <c r="Z184" s="573" t="s">
        <v>329</v>
      </c>
      <c r="AA184" s="574" t="s">
        <v>329</v>
      </c>
      <c r="AB184" s="575"/>
      <c r="AC184" s="568" t="s">
        <v>594</v>
      </c>
      <c r="AN184" s="547"/>
      <c r="AO184" s="829" t="str">
        <f t="shared" si="21"/>
        <v>Yes</v>
      </c>
      <c r="AP184" s="259" t="str">
        <f t="shared" si="22"/>
        <v>JUL 19</v>
      </c>
      <c r="AQ184" s="547" t="str">
        <f t="shared" si="23"/>
        <v>有定金+有預留客戶</v>
      </c>
      <c r="AR184" s="259" t="str">
        <f t="shared" si="24"/>
        <v>Shipped_Stock</v>
      </c>
      <c r="AS184" s="259" t="str">
        <f t="shared" si="25"/>
        <v/>
      </c>
      <c r="AT184" s="259" t="str">
        <f t="shared" si="26"/>
        <v>梵想</v>
      </c>
      <c r="AU184" s="259" t="str">
        <f t="shared" si="27"/>
        <v>C49SZX20190068ZX</v>
      </c>
      <c r="AV184" s="259" t="str">
        <f t="shared" si="28"/>
        <v>May-03</v>
      </c>
    </row>
    <row r="185" spans="1:69" ht="15" hidden="1" customHeight="1">
      <c r="A185" s="564">
        <v>354</v>
      </c>
      <c r="B185" s="568" t="s">
        <v>280</v>
      </c>
      <c r="C185" s="565" t="s">
        <v>281</v>
      </c>
      <c r="D185" s="569">
        <v>109497</v>
      </c>
      <c r="E185" s="568" t="s">
        <v>596</v>
      </c>
      <c r="F185" s="568" t="s">
        <v>256</v>
      </c>
      <c r="G185" s="568" t="s">
        <v>24</v>
      </c>
      <c r="H185" s="568" t="s">
        <v>27</v>
      </c>
      <c r="I185" s="569" t="s">
        <v>597</v>
      </c>
      <c r="J185" s="569">
        <v>1</v>
      </c>
      <c r="K185" s="568" t="s">
        <v>295</v>
      </c>
      <c r="L185" s="570">
        <v>43593</v>
      </c>
      <c r="M185" s="571">
        <v>6.1699999999999998E-2</v>
      </c>
      <c r="N185" s="568" t="s">
        <v>404</v>
      </c>
      <c r="O185" s="569">
        <v>2019.03</v>
      </c>
      <c r="P185" s="571" t="str">
        <f>VLOOKUP(A185,'[1]Raw data'!$B:$BB,23,FALSE)</f>
        <v>RMB</v>
      </c>
      <c r="Q185" s="568" t="str">
        <f>VLOOKUP(A185,'[1]Raw data'!$B:$Z,2,FALSE)</f>
        <v>C49SZX20190095ZX</v>
      </c>
      <c r="R185" s="568" t="str">
        <f>VLOOKUP(A185,'[1]Raw data'!$B:$Z,3,FALSE)</f>
        <v>恒泰创新</v>
      </c>
      <c r="S185" s="568" t="str">
        <f>VLOOKUP(A185,'[1]Raw data'!$B:$Z,4,FALSE)</f>
        <v>YSM20R(SV)-2</v>
      </c>
      <c r="T185" s="568" t="str">
        <f>VLOOKUP(A185,'[1]Raw data'!$B:$Z,8,FALSE)</f>
        <v>L-&gt;R</v>
      </c>
      <c r="U185" s="568" t="str">
        <f>VLOOKUP(A185,'[1]Raw data'!$B:$Z,9,FALSE)</f>
        <v>MVC</v>
      </c>
      <c r="V185" s="572" t="str">
        <f t="shared" si="29"/>
        <v>OK</v>
      </c>
      <c r="W185" s="568" t="str">
        <f>VLOOKUP(A185,'[1]Raw data'!$B:$AG,32,FALSE)</f>
        <v>含税到厂</v>
      </c>
      <c r="X185" s="568">
        <f>VLOOKUP(A185,'[1]Raw data'!$B:$BA,31,FALSE)</f>
        <v>43633</v>
      </c>
      <c r="Y185" s="568" t="str">
        <f>VLOOKUP(A185,'[1]Raw data'!$B:$AS,39,FALSE)</f>
        <v>Yes</v>
      </c>
      <c r="Z185" s="573" t="s">
        <v>329</v>
      </c>
      <c r="AA185" s="574" t="s">
        <v>329</v>
      </c>
      <c r="AB185" s="575"/>
      <c r="AC185" s="568" t="s">
        <v>598</v>
      </c>
      <c r="AN185" s="547"/>
      <c r="AO185" s="829" t="str">
        <f t="shared" si="21"/>
        <v>Yes</v>
      </c>
      <c r="AP185" s="259" t="str">
        <f t="shared" si="22"/>
        <v>JUN 19</v>
      </c>
      <c r="AQ185" s="547" t="str">
        <f t="shared" si="23"/>
        <v>有定金+有預留客戶</v>
      </c>
      <c r="AR185" s="259" t="str">
        <f t="shared" si="24"/>
        <v>Shipped_Stock</v>
      </c>
      <c r="AS185" s="259" t="str">
        <f t="shared" si="25"/>
        <v/>
      </c>
      <c r="AT185" s="259" t="str">
        <f t="shared" si="26"/>
        <v>恒泰创新</v>
      </c>
      <c r="AU185" s="259" t="str">
        <f t="shared" si="27"/>
        <v>C49SZX20190095ZX</v>
      </c>
      <c r="AV185" s="259" t="str">
        <f t="shared" si="28"/>
        <v>May-08</v>
      </c>
    </row>
    <row r="186" spans="1:69" ht="15" hidden="1" customHeight="1">
      <c r="A186" s="564">
        <v>277</v>
      </c>
      <c r="B186" s="568" t="s">
        <v>280</v>
      </c>
      <c r="C186" s="565" t="s">
        <v>281</v>
      </c>
      <c r="D186" s="569">
        <v>109497</v>
      </c>
      <c r="E186" s="568" t="s">
        <v>596</v>
      </c>
      <c r="F186" s="568" t="s">
        <v>256</v>
      </c>
      <c r="G186" s="568" t="s">
        <v>24</v>
      </c>
      <c r="H186" s="568" t="s">
        <v>27</v>
      </c>
      <c r="I186" s="569" t="s">
        <v>599</v>
      </c>
      <c r="J186" s="569">
        <v>1</v>
      </c>
      <c r="K186" s="568" t="s">
        <v>437</v>
      </c>
      <c r="L186" s="570">
        <v>43593</v>
      </c>
      <c r="M186" s="571">
        <v>6.1699999999999998E-2</v>
      </c>
      <c r="N186" s="568" t="s">
        <v>404</v>
      </c>
      <c r="O186" s="569">
        <v>2019.03</v>
      </c>
      <c r="P186" s="571" t="str">
        <f>VLOOKUP(A186,'[1]Raw data'!$B:$BB,23,FALSE)</f>
        <v>JPY</v>
      </c>
      <c r="Q186" s="568" t="str">
        <f>VLOOKUP(A186,'[1]Raw data'!$B:$Z,2,FALSE)</f>
        <v>C49SZX20190043SX</v>
      </c>
      <c r="R186" s="568" t="str">
        <f>VLOOKUP(A186,'[1]Raw data'!$B:$Z,3,FALSE)</f>
        <v>丰硕</v>
      </c>
      <c r="S186" s="568" t="str">
        <f>VLOOKUP(A186,'[1]Raw data'!$B:$Z,4,FALSE)</f>
        <v>YSM20R(SV)-2</v>
      </c>
      <c r="T186" s="568" t="str">
        <f>VLOOKUP(A186,'[1]Raw data'!$B:$Z,8,FALSE)</f>
        <v>L-&gt;R</v>
      </c>
      <c r="U186" s="568" t="str">
        <f>VLOOKUP(A186,'[1]Raw data'!$B:$Z,9,FALSE)</f>
        <v>MVC</v>
      </c>
      <c r="V186" s="572" t="str">
        <f t="shared" ref="V186:V212" si="30">IF(G186&amp;H186=T186&amp;U186,"OK","WRONG")</f>
        <v>OK</v>
      </c>
      <c r="W186" s="568" t="str">
        <f>VLOOKUP(A186,'[1]Raw data'!$B:$AG,32,FALSE)</f>
        <v>DAP 恩平</v>
      </c>
      <c r="X186" s="568">
        <f>VLOOKUP(A186,'[1]Raw data'!$B:$BA,31,FALSE)</f>
        <v>43557</v>
      </c>
      <c r="Y186" s="568" t="str">
        <f>VLOOKUP(A186,'[1]Raw data'!$B:$AS,39,FALSE)</f>
        <v>Yes</v>
      </c>
      <c r="Z186" s="573" t="s">
        <v>329</v>
      </c>
      <c r="AA186" s="574" t="s">
        <v>329</v>
      </c>
      <c r="AB186" s="575"/>
      <c r="AC186" s="568" t="s">
        <v>569</v>
      </c>
      <c r="AN186" s="547"/>
      <c r="AO186" s="829" t="str">
        <f t="shared" si="21"/>
        <v>Yes</v>
      </c>
      <c r="AP186" s="259" t="str">
        <f t="shared" si="22"/>
        <v>JUN 19</v>
      </c>
      <c r="AQ186" s="547" t="str">
        <f t="shared" si="23"/>
        <v>有定金+有預留客戶</v>
      </c>
      <c r="AR186" s="259" t="str">
        <f t="shared" si="24"/>
        <v>Shipped_Stock</v>
      </c>
      <c r="AS186" s="259" t="str">
        <f t="shared" si="25"/>
        <v/>
      </c>
      <c r="AT186" s="259" t="str">
        <f t="shared" si="26"/>
        <v>丰硕</v>
      </c>
      <c r="AU186" s="259" t="str">
        <f t="shared" si="27"/>
        <v>C49SZX20190043SX</v>
      </c>
      <c r="AV186" s="259" t="str">
        <f t="shared" si="28"/>
        <v>May-08</v>
      </c>
    </row>
    <row r="187" spans="1:69" ht="15" hidden="1" customHeight="1">
      <c r="A187" s="564">
        <v>322</v>
      </c>
      <c r="B187" s="568" t="s">
        <v>280</v>
      </c>
      <c r="C187" s="565" t="s">
        <v>281</v>
      </c>
      <c r="D187" s="569">
        <v>109497</v>
      </c>
      <c r="E187" s="568" t="s">
        <v>596</v>
      </c>
      <c r="F187" s="568" t="s">
        <v>256</v>
      </c>
      <c r="G187" s="568" t="s">
        <v>24</v>
      </c>
      <c r="H187" s="568" t="s">
        <v>27</v>
      </c>
      <c r="I187" s="569" t="s">
        <v>600</v>
      </c>
      <c r="J187" s="569">
        <v>1</v>
      </c>
      <c r="K187" s="568" t="s">
        <v>437</v>
      </c>
      <c r="L187" s="570">
        <v>43593</v>
      </c>
      <c r="M187" s="571">
        <v>6.1699999999999998E-2</v>
      </c>
      <c r="N187" s="568" t="s">
        <v>325</v>
      </c>
      <c r="O187" s="569">
        <v>2019.03</v>
      </c>
      <c r="P187" s="571" t="str">
        <f>VLOOKUP(A187,'[1]Raw data'!$B:$BB,23,FALSE)</f>
        <v>RMB</v>
      </c>
      <c r="Q187" s="568" t="str">
        <f>VLOOKUP(A187,'[1]Raw data'!$B:$Z,2,FALSE)</f>
        <v>C49SZX20190065JY</v>
      </c>
      <c r="R187" s="568" t="str">
        <f>VLOOKUP(A187,'[1]Raw data'!$B:$Z,3,FALSE)</f>
        <v>旭日</v>
      </c>
      <c r="S187" s="568" t="str">
        <f>VLOOKUP(A187,'[1]Raw data'!$B:$Z,4,FALSE)</f>
        <v>YSM20R(SV)-2</v>
      </c>
      <c r="T187" s="568" t="str">
        <f>VLOOKUP(A187,'[1]Raw data'!$B:$Z,8,FALSE)</f>
        <v>L-&gt;R</v>
      </c>
      <c r="U187" s="568" t="str">
        <f>VLOOKUP(A187,'[1]Raw data'!$B:$Z,9,FALSE)</f>
        <v>MVC</v>
      </c>
      <c r="V187" s="572" t="str">
        <f t="shared" si="30"/>
        <v>OK</v>
      </c>
      <c r="W187" s="568" t="str">
        <f>VLOOKUP(A187,'[1]Raw data'!$B:$AG,32,FALSE)</f>
        <v>含税到厂</v>
      </c>
      <c r="X187" s="568">
        <f>VLOOKUP(A187,'[1]Raw data'!$B:$BA,31,FALSE)</f>
        <v>43607</v>
      </c>
      <c r="Y187" s="568" t="str">
        <f>VLOOKUP(A187,'[1]Raw data'!$B:$AS,39,FALSE)</f>
        <v>Yes</v>
      </c>
      <c r="Z187" s="573" t="s">
        <v>329</v>
      </c>
      <c r="AA187" s="574" t="s">
        <v>329</v>
      </c>
      <c r="AB187" s="575"/>
      <c r="AC187" s="568" t="s">
        <v>601</v>
      </c>
      <c r="AN187" s="547"/>
      <c r="AO187" s="829" t="str">
        <f t="shared" si="21"/>
        <v>Yes</v>
      </c>
      <c r="AP187" s="259" t="str">
        <f t="shared" si="22"/>
        <v>JUL 19</v>
      </c>
      <c r="AQ187" s="547" t="str">
        <f t="shared" si="23"/>
        <v>有定金+有預留客戶</v>
      </c>
      <c r="AR187" s="259" t="str">
        <f t="shared" si="24"/>
        <v>Shipped_Stock</v>
      </c>
      <c r="AS187" s="259" t="str">
        <f t="shared" si="25"/>
        <v/>
      </c>
      <c r="AT187" s="259" t="str">
        <f t="shared" si="26"/>
        <v>旭日</v>
      </c>
      <c r="AU187" s="259" t="str">
        <f t="shared" si="27"/>
        <v>C49SZX20190065JY</v>
      </c>
      <c r="AV187" s="259" t="str">
        <f t="shared" si="28"/>
        <v>May-08</v>
      </c>
    </row>
    <row r="188" spans="1:69" ht="15" hidden="1" customHeight="1">
      <c r="A188" s="564">
        <v>425</v>
      </c>
      <c r="B188" s="568" t="s">
        <v>280</v>
      </c>
      <c r="C188" s="565" t="s">
        <v>281</v>
      </c>
      <c r="D188" s="569">
        <v>109554</v>
      </c>
      <c r="E188" s="568" t="s">
        <v>236</v>
      </c>
      <c r="F188" s="568" t="s">
        <v>256</v>
      </c>
      <c r="G188" s="568" t="s">
        <v>24</v>
      </c>
      <c r="H188" s="568" t="s">
        <v>26</v>
      </c>
      <c r="I188" s="569" t="s">
        <v>602</v>
      </c>
      <c r="J188" s="569">
        <v>1</v>
      </c>
      <c r="K188" s="568" t="s">
        <v>295</v>
      </c>
      <c r="L188" s="570">
        <v>43600</v>
      </c>
      <c r="M188" s="571">
        <v>6.1699999999999998E-2</v>
      </c>
      <c r="N188" s="568" t="s">
        <v>320</v>
      </c>
      <c r="O188" s="569">
        <v>2019.04</v>
      </c>
      <c r="P188" s="571" t="str">
        <f>VLOOKUP(A188,'[1]Raw data'!$B:$BB,23,FALSE)</f>
        <v>RMB</v>
      </c>
      <c r="Q188" s="568" t="str">
        <f>VLOOKUP(A188,'[1]Raw data'!$B:$Z,2,FALSE)</f>
        <v>C49SZX20190123SX</v>
      </c>
      <c r="R188" s="568" t="str">
        <f>VLOOKUP(A188,'[1]Raw data'!$B:$Z,3,FALSE)</f>
        <v>君泽</v>
      </c>
      <c r="S188" s="568" t="str">
        <f>VLOOKUP(A188,'[1]Raw data'!$B:$Z,4,FALSE)</f>
        <v>YSM20R(SV)-2</v>
      </c>
      <c r="T188" s="568" t="str">
        <f>VLOOKUP(A188,'[1]Raw data'!$B:$Z,8,FALSE)</f>
        <v>L-&gt;R</v>
      </c>
      <c r="U188" s="568" t="str">
        <f>VLOOKUP(A188,'[1]Raw data'!$B:$Z,9,FALSE)</f>
        <v>No</v>
      </c>
      <c r="V188" s="572" t="str">
        <f t="shared" si="30"/>
        <v>OK</v>
      </c>
      <c r="W188" s="568" t="str">
        <f>VLOOKUP(A188,'[1]Raw data'!$B:$AG,32,FALSE)</f>
        <v>含税到厂</v>
      </c>
      <c r="X188" s="568">
        <f>VLOOKUP(A188,'[1]Raw data'!$B:$BA,31,FALSE)</f>
        <v>43714</v>
      </c>
      <c r="Y188" s="568" t="str">
        <f>VLOOKUP(A188,'[1]Raw data'!$B:$AS,39,FALSE)</f>
        <v>Yes</v>
      </c>
      <c r="Z188" s="573"/>
      <c r="AA188" s="574"/>
      <c r="AB188" s="575"/>
      <c r="AC188" s="568" t="s">
        <v>603</v>
      </c>
      <c r="AN188" s="547"/>
      <c r="AO188" s="829" t="str">
        <f t="shared" si="21"/>
        <v>Yes</v>
      </c>
      <c r="AP188" s="259" t="str">
        <f t="shared" si="22"/>
        <v>SEP 19</v>
      </c>
      <c r="AQ188" s="547" t="str">
        <f t="shared" si="23"/>
        <v>有定金+有預留客戶</v>
      </c>
      <c r="AR188" s="259" t="str">
        <f t="shared" si="24"/>
        <v>Shipped_Stock</v>
      </c>
      <c r="AS188" s="259" t="str">
        <f t="shared" si="25"/>
        <v/>
      </c>
      <c r="AT188" s="259" t="str">
        <f t="shared" si="26"/>
        <v>君泽</v>
      </c>
      <c r="AU188" s="259" t="str">
        <f t="shared" si="27"/>
        <v>C49SZX20190123SX</v>
      </c>
      <c r="AV188" s="259" t="str">
        <f t="shared" si="28"/>
        <v>May-15</v>
      </c>
    </row>
    <row r="189" spans="1:69" ht="15" hidden="1" customHeight="1">
      <c r="A189" s="564">
        <v>415</v>
      </c>
      <c r="B189" s="568" t="s">
        <v>280</v>
      </c>
      <c r="C189" s="565" t="s">
        <v>281</v>
      </c>
      <c r="D189" s="569">
        <v>109554</v>
      </c>
      <c r="E189" s="568" t="s">
        <v>236</v>
      </c>
      <c r="F189" s="568" t="s">
        <v>256</v>
      </c>
      <c r="G189" s="568" t="s">
        <v>24</v>
      </c>
      <c r="H189" s="568" t="s">
        <v>26</v>
      </c>
      <c r="I189" s="569" t="s">
        <v>604</v>
      </c>
      <c r="J189" s="569">
        <v>1</v>
      </c>
      <c r="K189" s="568" t="s">
        <v>605</v>
      </c>
      <c r="L189" s="570">
        <v>43600</v>
      </c>
      <c r="M189" s="571">
        <v>6.1699999999999998E-2</v>
      </c>
      <c r="N189" s="568" t="s">
        <v>320</v>
      </c>
      <c r="O189" s="569">
        <v>2019.04</v>
      </c>
      <c r="P189" s="571" t="str">
        <f>VLOOKUP(A189,'[1]Raw data'!$B:$BB,23,FALSE)</f>
        <v>RMB</v>
      </c>
      <c r="Q189" s="568" t="str">
        <f>VLOOKUP(A189,'[1]Raw data'!$B:$Z,2,FALSE)</f>
        <v>C49SZX20190129DZ</v>
      </c>
      <c r="R189" s="568" t="str">
        <f>VLOOKUP(A189,'[1]Raw data'!$B:$Z,3,FALSE)</f>
        <v>博星</v>
      </c>
      <c r="S189" s="568" t="str">
        <f>VLOOKUP(A189,'[1]Raw data'!$B:$Z,4,FALSE)</f>
        <v>YSM20R(SV)-2</v>
      </c>
      <c r="T189" s="568" t="str">
        <f>VLOOKUP(A189,'[1]Raw data'!$B:$Z,8,FALSE)</f>
        <v>L-&gt;R</v>
      </c>
      <c r="U189" s="568" t="str">
        <f>VLOOKUP(A189,'[1]Raw data'!$B:$Z,9,FALSE)</f>
        <v>No</v>
      </c>
      <c r="V189" s="572" t="str">
        <f t="shared" si="30"/>
        <v>OK</v>
      </c>
      <c r="W189" s="568" t="str">
        <f>VLOOKUP(A189,'[1]Raw data'!$B:$AG,32,FALSE)</f>
        <v>含税到厂</v>
      </c>
      <c r="X189" s="568">
        <f>VLOOKUP(A189,'[1]Raw data'!$B:$BA,31,FALSE)</f>
        <v>43708</v>
      </c>
      <c r="Y189" s="568" t="str">
        <f>VLOOKUP(A189,'[1]Raw data'!$B:$AS,39,FALSE)</f>
        <v>Yes</v>
      </c>
      <c r="Z189" s="573"/>
      <c r="AA189" s="574"/>
      <c r="AB189" s="575"/>
      <c r="AC189" s="568" t="s">
        <v>606</v>
      </c>
      <c r="AN189" s="547"/>
      <c r="AO189" s="829" t="str">
        <f t="shared" si="21"/>
        <v>Yes</v>
      </c>
      <c r="AP189" s="259" t="str">
        <f t="shared" si="22"/>
        <v>SEP 19</v>
      </c>
      <c r="AQ189" s="547" t="str">
        <f t="shared" si="23"/>
        <v>有定金+有預留客戶</v>
      </c>
      <c r="AR189" s="259" t="str">
        <f t="shared" si="24"/>
        <v>Shipped_Stock</v>
      </c>
      <c r="AS189" s="259" t="str">
        <f t="shared" si="25"/>
        <v/>
      </c>
      <c r="AT189" s="259" t="str">
        <f t="shared" si="26"/>
        <v>博星</v>
      </c>
      <c r="AU189" s="259" t="str">
        <f t="shared" si="27"/>
        <v>C49SZX20190129DZ</v>
      </c>
      <c r="AV189" s="259" t="str">
        <f t="shared" si="28"/>
        <v>May-15</v>
      </c>
    </row>
    <row r="190" spans="1:69" ht="15" hidden="1" customHeight="1">
      <c r="A190" s="564">
        <v>416</v>
      </c>
      <c r="B190" s="568" t="s">
        <v>280</v>
      </c>
      <c r="C190" s="565" t="s">
        <v>281</v>
      </c>
      <c r="D190" s="569">
        <v>109554</v>
      </c>
      <c r="E190" s="568" t="s">
        <v>236</v>
      </c>
      <c r="F190" s="568" t="s">
        <v>256</v>
      </c>
      <c r="G190" s="568" t="s">
        <v>24</v>
      </c>
      <c r="H190" s="568" t="s">
        <v>26</v>
      </c>
      <c r="I190" s="569" t="s">
        <v>607</v>
      </c>
      <c r="J190" s="569">
        <v>1</v>
      </c>
      <c r="K190" s="568" t="s">
        <v>605</v>
      </c>
      <c r="L190" s="570">
        <v>43600</v>
      </c>
      <c r="M190" s="571">
        <v>6.1699999999999998E-2</v>
      </c>
      <c r="N190" s="568" t="s">
        <v>320</v>
      </c>
      <c r="O190" s="569">
        <v>2019.04</v>
      </c>
      <c r="P190" s="571" t="str">
        <f>VLOOKUP(A190,'[1]Raw data'!$B:$BB,23,FALSE)</f>
        <v>RMB</v>
      </c>
      <c r="Q190" s="568" t="str">
        <f>VLOOKUP(A190,'[1]Raw data'!$B:$Z,2,FALSE)</f>
        <v>C49SZX20190129DZ</v>
      </c>
      <c r="R190" s="568" t="str">
        <f>VLOOKUP(A190,'[1]Raw data'!$B:$Z,3,FALSE)</f>
        <v>博星</v>
      </c>
      <c r="S190" s="568" t="str">
        <f>VLOOKUP(A190,'[1]Raw data'!$B:$Z,4,FALSE)</f>
        <v>YSM20R(SV)-2</v>
      </c>
      <c r="T190" s="568" t="str">
        <f>VLOOKUP(A190,'[1]Raw data'!$B:$Z,8,FALSE)</f>
        <v>L-&gt;R</v>
      </c>
      <c r="U190" s="568" t="str">
        <f>VLOOKUP(A190,'[1]Raw data'!$B:$Z,9,FALSE)</f>
        <v>No</v>
      </c>
      <c r="V190" s="572" t="str">
        <f t="shared" si="30"/>
        <v>OK</v>
      </c>
      <c r="W190" s="568" t="str">
        <f>VLOOKUP(A190,'[1]Raw data'!$B:$AG,32,FALSE)</f>
        <v>含税到厂</v>
      </c>
      <c r="X190" s="568">
        <f>VLOOKUP(A190,'[1]Raw data'!$B:$BA,31,FALSE)</f>
        <v>43708</v>
      </c>
      <c r="Y190" s="568" t="str">
        <f>VLOOKUP(A190,'[1]Raw data'!$B:$AS,39,FALSE)</f>
        <v>Yes</v>
      </c>
      <c r="Z190" s="573"/>
      <c r="AA190" s="574"/>
      <c r="AB190" s="575"/>
      <c r="AC190" s="568" t="s">
        <v>606</v>
      </c>
      <c r="AN190" s="547"/>
      <c r="AO190" s="829" t="str">
        <f t="shared" si="21"/>
        <v>Yes</v>
      </c>
      <c r="AP190" s="259" t="str">
        <f t="shared" si="22"/>
        <v>SEP 19</v>
      </c>
      <c r="AQ190" s="547" t="str">
        <f t="shared" si="23"/>
        <v>有定金+有預留客戶</v>
      </c>
      <c r="AR190" s="259" t="str">
        <f t="shared" si="24"/>
        <v>Shipped_Stock</v>
      </c>
      <c r="AS190" s="259" t="str">
        <f t="shared" si="25"/>
        <v/>
      </c>
      <c r="AT190" s="259" t="str">
        <f t="shared" si="26"/>
        <v>博星</v>
      </c>
      <c r="AU190" s="259" t="str">
        <f t="shared" si="27"/>
        <v>C49SZX20190129DZ</v>
      </c>
      <c r="AV190" s="259" t="str">
        <f t="shared" si="28"/>
        <v>May-15</v>
      </c>
    </row>
    <row r="191" spans="1:69" ht="15" hidden="1" customHeight="1">
      <c r="A191" s="564">
        <v>417</v>
      </c>
      <c r="B191" s="568" t="s">
        <v>280</v>
      </c>
      <c r="C191" s="565" t="s">
        <v>281</v>
      </c>
      <c r="D191" s="569">
        <v>109554</v>
      </c>
      <c r="E191" s="568" t="s">
        <v>236</v>
      </c>
      <c r="F191" s="568" t="s">
        <v>256</v>
      </c>
      <c r="G191" s="568" t="s">
        <v>24</v>
      </c>
      <c r="H191" s="568" t="s">
        <v>26</v>
      </c>
      <c r="I191" s="569" t="s">
        <v>608</v>
      </c>
      <c r="J191" s="569">
        <v>1</v>
      </c>
      <c r="K191" s="568" t="s">
        <v>605</v>
      </c>
      <c r="L191" s="570">
        <v>43600</v>
      </c>
      <c r="M191" s="571">
        <v>6.1699999999999998E-2</v>
      </c>
      <c r="N191" s="568" t="s">
        <v>320</v>
      </c>
      <c r="O191" s="569">
        <v>2019.04</v>
      </c>
      <c r="P191" s="571" t="str">
        <f>VLOOKUP(A191,'[1]Raw data'!$B:$BB,23,FALSE)</f>
        <v>RMB</v>
      </c>
      <c r="Q191" s="568" t="str">
        <f>VLOOKUP(A191,'[1]Raw data'!$B:$Z,2,FALSE)</f>
        <v>C49SZX20190129DZ</v>
      </c>
      <c r="R191" s="568" t="str">
        <f>VLOOKUP(A191,'[1]Raw data'!$B:$Z,3,FALSE)</f>
        <v>博星</v>
      </c>
      <c r="S191" s="568" t="str">
        <f>VLOOKUP(A191,'[1]Raw data'!$B:$Z,4,FALSE)</f>
        <v>YSM20R(SV)-2</v>
      </c>
      <c r="T191" s="568" t="str">
        <f>VLOOKUP(A191,'[1]Raw data'!$B:$Z,8,FALSE)</f>
        <v>L-&gt;R</v>
      </c>
      <c r="U191" s="568" t="str">
        <f>VLOOKUP(A191,'[1]Raw data'!$B:$Z,9,FALSE)</f>
        <v>No</v>
      </c>
      <c r="V191" s="572" t="str">
        <f t="shared" si="30"/>
        <v>OK</v>
      </c>
      <c r="W191" s="568" t="str">
        <f>VLOOKUP(A191,'[1]Raw data'!$B:$AG,32,FALSE)</f>
        <v>含税到厂</v>
      </c>
      <c r="X191" s="568">
        <f>VLOOKUP(A191,'[1]Raw data'!$B:$BA,31,FALSE)</f>
        <v>43708</v>
      </c>
      <c r="Y191" s="568" t="str">
        <f>VLOOKUP(A191,'[1]Raw data'!$B:$AS,39,FALSE)</f>
        <v>Yes</v>
      </c>
      <c r="Z191" s="573"/>
      <c r="AA191" s="574"/>
      <c r="AB191" s="575"/>
      <c r="AC191" s="568" t="s">
        <v>606</v>
      </c>
      <c r="AN191" s="547"/>
      <c r="AO191" s="829" t="str">
        <f t="shared" si="21"/>
        <v>Yes</v>
      </c>
      <c r="AP191" s="259" t="str">
        <f t="shared" si="22"/>
        <v>SEP 19</v>
      </c>
      <c r="AQ191" s="547" t="str">
        <f t="shared" si="23"/>
        <v>有定金+有預留客戶</v>
      </c>
      <c r="AR191" s="259" t="str">
        <f t="shared" si="24"/>
        <v>Shipped_Stock</v>
      </c>
      <c r="AS191" s="259" t="str">
        <f t="shared" si="25"/>
        <v/>
      </c>
      <c r="AT191" s="259" t="str">
        <f t="shared" si="26"/>
        <v>博星</v>
      </c>
      <c r="AU191" s="259" t="str">
        <f t="shared" si="27"/>
        <v>C49SZX20190129DZ</v>
      </c>
      <c r="AV191" s="259" t="str">
        <f t="shared" si="28"/>
        <v>May-15</v>
      </c>
    </row>
    <row r="192" spans="1:69" ht="15" hidden="1" customHeight="1">
      <c r="A192" s="564">
        <v>418</v>
      </c>
      <c r="B192" s="568" t="s">
        <v>280</v>
      </c>
      <c r="C192" s="565" t="s">
        <v>281</v>
      </c>
      <c r="D192" s="569">
        <v>109554</v>
      </c>
      <c r="E192" s="568" t="s">
        <v>236</v>
      </c>
      <c r="F192" s="568" t="s">
        <v>256</v>
      </c>
      <c r="G192" s="568" t="s">
        <v>24</v>
      </c>
      <c r="H192" s="568" t="s">
        <v>26</v>
      </c>
      <c r="I192" s="569" t="s">
        <v>609</v>
      </c>
      <c r="J192" s="569">
        <v>1</v>
      </c>
      <c r="K192" s="568" t="s">
        <v>605</v>
      </c>
      <c r="L192" s="570">
        <v>43600</v>
      </c>
      <c r="M192" s="571">
        <v>6.1699999999999998E-2</v>
      </c>
      <c r="N192" s="568" t="s">
        <v>320</v>
      </c>
      <c r="O192" s="569">
        <v>2019.04</v>
      </c>
      <c r="P192" s="571" t="str">
        <f>VLOOKUP(A192,'[1]Raw data'!$B:$BB,23,FALSE)</f>
        <v>RMB</v>
      </c>
      <c r="Q192" s="568" t="str">
        <f>VLOOKUP(A192,'[1]Raw data'!$B:$Z,2,FALSE)</f>
        <v>C49SZX20190129DZ</v>
      </c>
      <c r="R192" s="568" t="str">
        <f>VLOOKUP(A192,'[1]Raw data'!$B:$Z,3,FALSE)</f>
        <v>博星</v>
      </c>
      <c r="S192" s="568" t="str">
        <f>VLOOKUP(A192,'[1]Raw data'!$B:$Z,4,FALSE)</f>
        <v>YSM20R(SV)-2</v>
      </c>
      <c r="T192" s="568" t="str">
        <f>VLOOKUP(A192,'[1]Raw data'!$B:$Z,8,FALSE)</f>
        <v>L-&gt;R</v>
      </c>
      <c r="U192" s="568" t="str">
        <f>VLOOKUP(A192,'[1]Raw data'!$B:$Z,9,FALSE)</f>
        <v>No</v>
      </c>
      <c r="V192" s="572" t="str">
        <f t="shared" si="30"/>
        <v>OK</v>
      </c>
      <c r="W192" s="568" t="str">
        <f>VLOOKUP(A192,'[1]Raw data'!$B:$AG,32,FALSE)</f>
        <v>含税到厂</v>
      </c>
      <c r="X192" s="568">
        <f>VLOOKUP(A192,'[1]Raw data'!$B:$BA,31,FALSE)</f>
        <v>43708</v>
      </c>
      <c r="Y192" s="568" t="str">
        <f>VLOOKUP(A192,'[1]Raw data'!$B:$AS,39,FALSE)</f>
        <v>Yes</v>
      </c>
      <c r="Z192" s="573"/>
      <c r="AA192" s="574"/>
      <c r="AB192" s="575"/>
      <c r="AC192" s="568" t="s">
        <v>606</v>
      </c>
      <c r="AN192" s="547"/>
      <c r="AO192" s="829" t="str">
        <f t="shared" si="21"/>
        <v>Yes</v>
      </c>
      <c r="AP192" s="259" t="str">
        <f t="shared" si="22"/>
        <v>SEP 19</v>
      </c>
      <c r="AQ192" s="547" t="str">
        <f t="shared" si="23"/>
        <v>有定金+有預留客戶</v>
      </c>
      <c r="AR192" s="259" t="str">
        <f t="shared" si="24"/>
        <v>Shipped_Stock</v>
      </c>
      <c r="AS192" s="259" t="str">
        <f t="shared" si="25"/>
        <v/>
      </c>
      <c r="AT192" s="259" t="str">
        <f t="shared" si="26"/>
        <v>博星</v>
      </c>
      <c r="AU192" s="259" t="str">
        <f t="shared" si="27"/>
        <v>C49SZX20190129DZ</v>
      </c>
      <c r="AV192" s="259" t="str">
        <f t="shared" si="28"/>
        <v>May-15</v>
      </c>
    </row>
    <row r="193" spans="1:48" ht="15" hidden="1" customHeight="1">
      <c r="A193" s="564">
        <v>244</v>
      </c>
      <c r="B193" s="568" t="s">
        <v>280</v>
      </c>
      <c r="C193" s="565" t="s">
        <v>281</v>
      </c>
      <c r="D193" s="569">
        <v>109553</v>
      </c>
      <c r="E193" s="568" t="s">
        <v>236</v>
      </c>
      <c r="F193" s="568" t="s">
        <v>256</v>
      </c>
      <c r="G193" s="568" t="s">
        <v>18</v>
      </c>
      <c r="H193" s="568" t="s">
        <v>26</v>
      </c>
      <c r="I193" s="569" t="s">
        <v>610</v>
      </c>
      <c r="J193" s="569">
        <v>1</v>
      </c>
      <c r="K193" s="568" t="s">
        <v>311</v>
      </c>
      <c r="L193" s="570">
        <v>43602</v>
      </c>
      <c r="M193" s="571">
        <v>6.1699999999999998E-2</v>
      </c>
      <c r="N193" s="568" t="s">
        <v>381</v>
      </c>
      <c r="P193" s="571" t="str">
        <f>VLOOKUP(A193,'[1]Raw data'!$B:$BB,23,FALSE)</f>
        <v>JPY</v>
      </c>
      <c r="Q193" s="568" t="str">
        <f>VLOOKUP(A193,'[1]Raw data'!$B:$Z,2,FALSE)</f>
        <v>C49SZX20190031MZ</v>
      </c>
      <c r="R193" s="568" t="str">
        <f>VLOOKUP(A193,'[1]Raw data'!$B:$Z,3,FALSE)</f>
        <v>鸿南</v>
      </c>
      <c r="S193" s="568" t="str">
        <f>VLOOKUP(A193,'[1]Raw data'!$B:$Z,4,FALSE)</f>
        <v>YSM20R(SV)-2</v>
      </c>
      <c r="T193" s="568" t="str">
        <f>VLOOKUP(A193,'[1]Raw data'!$B:$Z,8,FALSE)</f>
        <v>R-&gt;L</v>
      </c>
      <c r="U193" s="568" t="str">
        <f>VLOOKUP(A193,'[1]Raw data'!$B:$Z,9,FALSE)</f>
        <v>No</v>
      </c>
      <c r="V193" s="572" t="str">
        <f t="shared" si="30"/>
        <v>OK</v>
      </c>
      <c r="W193" s="568" t="str">
        <f>VLOOKUP(A193,'[1]Raw data'!$B:$AG,32,FALSE)</f>
        <v>CIF HK</v>
      </c>
      <c r="X193" s="568">
        <f>VLOOKUP(A193,'[1]Raw data'!$B:$BA,31,FALSE)</f>
        <v>43532</v>
      </c>
      <c r="Y193" s="568" t="str">
        <f>VLOOKUP(A193,'[1]Raw data'!$B:$AS,39,FALSE)</f>
        <v>Yes</v>
      </c>
      <c r="Z193" s="573" t="s">
        <v>329</v>
      </c>
      <c r="AA193" s="574" t="s">
        <v>329</v>
      </c>
      <c r="AB193" s="575"/>
      <c r="AC193" s="568" t="s">
        <v>400</v>
      </c>
      <c r="AN193" s="547"/>
      <c r="AO193" s="829" t="str">
        <f t="shared" si="21"/>
        <v>Yes</v>
      </c>
      <c r="AP193" s="259" t="str">
        <f t="shared" si="22"/>
        <v>MAY 19</v>
      </c>
      <c r="AQ193" s="547" t="str">
        <f t="shared" si="23"/>
        <v>有定金+有預留客戶</v>
      </c>
      <c r="AR193" s="259" t="str">
        <f t="shared" si="24"/>
        <v>Shipped_Stock</v>
      </c>
      <c r="AS193" s="259" t="str">
        <f t="shared" si="25"/>
        <v/>
      </c>
      <c r="AT193" s="259" t="str">
        <f t="shared" si="26"/>
        <v>鸿南</v>
      </c>
      <c r="AU193" s="259" t="str">
        <f t="shared" si="27"/>
        <v>C49SZX20190031MZ</v>
      </c>
      <c r="AV193" s="259" t="str">
        <f t="shared" si="28"/>
        <v>May-17</v>
      </c>
    </row>
    <row r="194" spans="1:48" ht="15" hidden="1" customHeight="1">
      <c r="A194" s="564">
        <v>245</v>
      </c>
      <c r="B194" s="568" t="s">
        <v>280</v>
      </c>
      <c r="C194" s="565" t="s">
        <v>281</v>
      </c>
      <c r="D194" s="569">
        <v>109553</v>
      </c>
      <c r="E194" s="568" t="s">
        <v>236</v>
      </c>
      <c r="F194" s="568" t="s">
        <v>256</v>
      </c>
      <c r="G194" s="568" t="s">
        <v>18</v>
      </c>
      <c r="H194" s="568" t="s">
        <v>26</v>
      </c>
      <c r="I194" s="569" t="s">
        <v>611</v>
      </c>
      <c r="J194" s="569">
        <v>1</v>
      </c>
      <c r="K194" s="568" t="s">
        <v>311</v>
      </c>
      <c r="L194" s="570">
        <v>43602</v>
      </c>
      <c r="M194" s="571">
        <v>6.1699999999999998E-2</v>
      </c>
      <c r="N194" s="568" t="s">
        <v>381</v>
      </c>
      <c r="P194" s="571" t="str">
        <f>VLOOKUP(A194,'[1]Raw data'!$B:$BB,23,FALSE)</f>
        <v>JPY</v>
      </c>
      <c r="Q194" s="568" t="str">
        <f>VLOOKUP(A194,'[1]Raw data'!$B:$Z,2,FALSE)</f>
        <v>C49SZX20190031MZ</v>
      </c>
      <c r="R194" s="568" t="str">
        <f>VLOOKUP(A194,'[1]Raw data'!$B:$Z,3,FALSE)</f>
        <v>鸿南</v>
      </c>
      <c r="S194" s="568" t="str">
        <f>VLOOKUP(A194,'[1]Raw data'!$B:$Z,4,FALSE)</f>
        <v>YSM20R(SV)-2</v>
      </c>
      <c r="T194" s="568" t="str">
        <f>VLOOKUP(A194,'[1]Raw data'!$B:$Z,8,FALSE)</f>
        <v>R-&gt;L</v>
      </c>
      <c r="U194" s="568" t="str">
        <f>VLOOKUP(A194,'[1]Raw data'!$B:$Z,9,FALSE)</f>
        <v>No</v>
      </c>
      <c r="V194" s="572" t="str">
        <f t="shared" si="30"/>
        <v>OK</v>
      </c>
      <c r="W194" s="568" t="str">
        <f>VLOOKUP(A194,'[1]Raw data'!$B:$AG,32,FALSE)</f>
        <v>CIF HK</v>
      </c>
      <c r="X194" s="568">
        <f>VLOOKUP(A194,'[1]Raw data'!$B:$BA,31,FALSE)</f>
        <v>43532</v>
      </c>
      <c r="Y194" s="568" t="str">
        <f>VLOOKUP(A194,'[1]Raw data'!$B:$AS,39,FALSE)</f>
        <v>Yes</v>
      </c>
      <c r="Z194" s="573" t="s">
        <v>329</v>
      </c>
      <c r="AA194" s="574" t="s">
        <v>329</v>
      </c>
      <c r="AB194" s="575"/>
      <c r="AC194" s="568" t="s">
        <v>400</v>
      </c>
      <c r="AN194" s="547"/>
      <c r="AO194" s="829" t="str">
        <f t="shared" si="21"/>
        <v>Yes</v>
      </c>
      <c r="AP194" s="259" t="str">
        <f t="shared" si="22"/>
        <v>MAY 19</v>
      </c>
      <c r="AQ194" s="547" t="str">
        <f t="shared" si="23"/>
        <v>有定金+有預留客戶</v>
      </c>
      <c r="AR194" s="259" t="str">
        <f t="shared" si="24"/>
        <v>Shipped_Stock</v>
      </c>
      <c r="AS194" s="259" t="str">
        <f t="shared" si="25"/>
        <v/>
      </c>
      <c r="AT194" s="259" t="str">
        <f t="shared" si="26"/>
        <v>鸿南</v>
      </c>
      <c r="AU194" s="259" t="str">
        <f t="shared" si="27"/>
        <v>C49SZX20190031MZ</v>
      </c>
      <c r="AV194" s="259" t="str">
        <f t="shared" si="28"/>
        <v>May-17</v>
      </c>
    </row>
    <row r="195" spans="1:48" ht="15" hidden="1" customHeight="1">
      <c r="A195" s="564">
        <v>250</v>
      </c>
      <c r="B195" s="568" t="s">
        <v>280</v>
      </c>
      <c r="C195" s="565" t="s">
        <v>281</v>
      </c>
      <c r="D195" s="569">
        <v>109553</v>
      </c>
      <c r="E195" s="568" t="s">
        <v>236</v>
      </c>
      <c r="F195" s="568" t="s">
        <v>256</v>
      </c>
      <c r="G195" s="568" t="s">
        <v>18</v>
      </c>
      <c r="H195" s="568" t="s">
        <v>26</v>
      </c>
      <c r="I195" s="569" t="s">
        <v>612</v>
      </c>
      <c r="J195" s="569">
        <v>1</v>
      </c>
      <c r="K195" s="568" t="s">
        <v>311</v>
      </c>
      <c r="L195" s="570">
        <v>43602</v>
      </c>
      <c r="M195" s="571">
        <v>6.1699999999999998E-2</v>
      </c>
      <c r="N195" s="568" t="s">
        <v>381</v>
      </c>
      <c r="P195" s="571" t="str">
        <f>VLOOKUP(A195,'[1]Raw data'!$B:$BB,23,FALSE)</f>
        <v>JPY</v>
      </c>
      <c r="Q195" s="568" t="str">
        <f>VLOOKUP(A195,'[1]Raw data'!$B:$Z,2,FALSE)</f>
        <v>C49SZX20190026ZX</v>
      </c>
      <c r="R195" s="568" t="str">
        <f>VLOOKUP(A195,'[1]Raw data'!$B:$Z,3,FALSE)</f>
        <v>比泰利</v>
      </c>
      <c r="S195" s="568" t="str">
        <f>VLOOKUP(A195,'[1]Raw data'!$B:$Z,4,FALSE)</f>
        <v>YSM20R(SV)-2</v>
      </c>
      <c r="T195" s="568" t="str">
        <f>VLOOKUP(A195,'[1]Raw data'!$B:$Z,8,FALSE)</f>
        <v>R-&gt;L</v>
      </c>
      <c r="U195" s="568" t="str">
        <f>VLOOKUP(A195,'[1]Raw data'!$B:$Z,9,FALSE)</f>
        <v>MVC</v>
      </c>
      <c r="V195" s="572" t="str">
        <f t="shared" si="30"/>
        <v>WRONG</v>
      </c>
      <c r="W195" s="568" t="str">
        <f>VLOOKUP(A195,'[1]Raw data'!$B:$AG,32,FALSE)</f>
        <v>DAP SZ</v>
      </c>
      <c r="X195" s="568">
        <f>VLOOKUP(A195,'[1]Raw data'!$B:$BA,31,FALSE)</f>
        <v>43537</v>
      </c>
      <c r="Y195" s="568" t="str">
        <f>VLOOKUP(A195,'[1]Raw data'!$B:$AS,39,FALSE)</f>
        <v>Yes</v>
      </c>
      <c r="Z195" s="573"/>
      <c r="AA195" s="574"/>
      <c r="AB195" s="575"/>
      <c r="AC195" s="568" t="s">
        <v>613</v>
      </c>
      <c r="AN195" s="547"/>
      <c r="AO195" s="829" t="str">
        <f t="shared" ref="AO195:AO258" si="31">IFERROR(IF(Y195&lt;&gt;"",Y195,"No"),"No")</f>
        <v>Yes</v>
      </c>
      <c r="AP195" s="259" t="str">
        <f t="shared" ref="AP195:AP258" si="32">IFERROR(IF(N195&lt;&gt;"",N195,"blank"),"NA")</f>
        <v>MAY 19</v>
      </c>
      <c r="AQ195" s="547" t="str">
        <f t="shared" ref="AQ195:AQ258" si="33">IFERROR(IF(AND(AO195="Yes", AP195&lt;&gt;"blank"), "有定金+有預留客戶", IF(AND(AO195="Yes", AP195="blank"), "有定金+无客戶送貨期", IF(AND(OR(AO195="No", ISBLANK(AO195), AO195="NA"), AP195&lt;&gt;"blank"), "无定金+有預留客戶", IF(AND(OR(AO195="No", ISBLANK(AO195), AO195="NA"), AP195="blank"), "无定金+无預留客戶", "")))), "")</f>
        <v>有定金+有預留客戶</v>
      </c>
      <c r="AR195" s="259" t="str">
        <f t="shared" ref="AR195:AR258" si="34">IFERROR(IF(B195="已经到货", "Instock", IF(B195="有交期", "Incoming_Stock_With_YAMAHA_Schedule", IF(B195="TBA.", "Incoming_Stock_No_YAMAHA_Schedule", IF(B195="已发货", "Shipped_Stock", "")))), "")</f>
        <v>Shipped_Stock</v>
      </c>
      <c r="AS195" s="259" t="str">
        <f t="shared" ref="AS195:AS258" si="35">IF(AND(B195="有交期", L195&lt;&gt;""), L195, "")</f>
        <v/>
      </c>
      <c r="AT195" s="259" t="str">
        <f t="shared" ref="AT195:AT258" si="36">IFERROR(IF(R195&lt;&gt;"",R195),"-")</f>
        <v>比泰利</v>
      </c>
      <c r="AU195" s="259" t="str">
        <f t="shared" ref="AU195:AU258" si="37">IFERROR(IF(Q195&lt;&gt;"",Q195),"-")</f>
        <v>C49SZX20190026ZX</v>
      </c>
      <c r="AV195" s="259" t="str">
        <f t="shared" ref="AV195:AV258" si="38">IF(L195="","-",TEXT(L195,"mmm-dd"))</f>
        <v>May-17</v>
      </c>
    </row>
    <row r="196" spans="1:48" ht="15" hidden="1" customHeight="1">
      <c r="A196" s="564">
        <v>274</v>
      </c>
      <c r="B196" s="568" t="s">
        <v>280</v>
      </c>
      <c r="C196" s="565" t="s">
        <v>281</v>
      </c>
      <c r="D196" s="569">
        <v>109553</v>
      </c>
      <c r="E196" s="568" t="s">
        <v>236</v>
      </c>
      <c r="F196" s="568" t="s">
        <v>256</v>
      </c>
      <c r="G196" s="568" t="s">
        <v>18</v>
      </c>
      <c r="H196" s="568" t="s">
        <v>26</v>
      </c>
      <c r="I196" s="569" t="s">
        <v>614</v>
      </c>
      <c r="J196" s="569">
        <v>1</v>
      </c>
      <c r="K196" s="568" t="s">
        <v>311</v>
      </c>
      <c r="L196" s="570">
        <v>43602</v>
      </c>
      <c r="M196" s="571">
        <v>6.1699999999999998E-2</v>
      </c>
      <c r="N196" s="568" t="s">
        <v>325</v>
      </c>
      <c r="O196" s="569">
        <v>2019.04</v>
      </c>
      <c r="P196" s="571" t="str">
        <f>VLOOKUP(A196,'[1]Raw data'!$B:$BB,23,FALSE)</f>
        <v>JPY</v>
      </c>
      <c r="Q196" s="568" t="str">
        <f>VLOOKUP(A196,'[1]Raw data'!$B:$Z,2,FALSE)</f>
        <v>C49SZX20190041JL</v>
      </c>
      <c r="R196" s="568" t="str">
        <f>VLOOKUP(A196,'[1]Raw data'!$B:$Z,3,FALSE)</f>
        <v>微力创/end user 昶达</v>
      </c>
      <c r="S196" s="568" t="str">
        <f>VLOOKUP(A196,'[1]Raw data'!$B:$Z,4,FALSE)</f>
        <v>YSM20R(SV)-2</v>
      </c>
      <c r="T196" s="568" t="str">
        <f>VLOOKUP(A196,'[1]Raw data'!$B:$Z,8,FALSE)</f>
        <v>R-&gt;L</v>
      </c>
      <c r="U196" s="568" t="str">
        <f>VLOOKUP(A196,'[1]Raw data'!$B:$Z,9,FALSE)</f>
        <v>No</v>
      </c>
      <c r="V196" s="572" t="str">
        <f t="shared" si="30"/>
        <v>OK</v>
      </c>
      <c r="W196" s="568" t="str">
        <f>VLOOKUP(A196,'[1]Raw data'!$B:$AG,32,FALSE)</f>
        <v>CIF HK</v>
      </c>
      <c r="X196" s="568">
        <f>VLOOKUP(A196,'[1]Raw data'!$B:$BA,31,FALSE)</f>
        <v>43550</v>
      </c>
      <c r="Y196" s="568" t="str">
        <f>VLOOKUP(A196,'[1]Raw data'!$B:$AS,39,FALSE)</f>
        <v>Yes</v>
      </c>
      <c r="Z196" s="573"/>
      <c r="AA196" s="574"/>
      <c r="AB196" s="575"/>
      <c r="AC196" s="568" t="s">
        <v>615</v>
      </c>
      <c r="AN196" s="547"/>
      <c r="AO196" s="829" t="str">
        <f t="shared" si="31"/>
        <v>Yes</v>
      </c>
      <c r="AP196" s="259" t="str">
        <f t="shared" si="32"/>
        <v>JUL 19</v>
      </c>
      <c r="AQ196" s="547" t="str">
        <f t="shared" si="33"/>
        <v>有定金+有預留客戶</v>
      </c>
      <c r="AR196" s="259" t="str">
        <f t="shared" si="34"/>
        <v>Shipped_Stock</v>
      </c>
      <c r="AS196" s="259" t="str">
        <f t="shared" si="35"/>
        <v/>
      </c>
      <c r="AT196" s="259" t="str">
        <f t="shared" si="36"/>
        <v>微力创/end user 昶达</v>
      </c>
      <c r="AU196" s="259" t="str">
        <f t="shared" si="37"/>
        <v>C49SZX20190041JL</v>
      </c>
      <c r="AV196" s="259" t="str">
        <f t="shared" si="38"/>
        <v>May-17</v>
      </c>
    </row>
    <row r="197" spans="1:48" ht="15" hidden="1" customHeight="1">
      <c r="A197" s="564">
        <v>321</v>
      </c>
      <c r="B197" s="568" t="s">
        <v>280</v>
      </c>
      <c r="C197" s="565" t="s">
        <v>281</v>
      </c>
      <c r="D197" s="569">
        <v>109553</v>
      </c>
      <c r="E197" s="568" t="s">
        <v>236</v>
      </c>
      <c r="F197" s="568" t="s">
        <v>256</v>
      </c>
      <c r="G197" s="568" t="s">
        <v>18</v>
      </c>
      <c r="H197" s="568" t="s">
        <v>26</v>
      </c>
      <c r="I197" s="569" t="s">
        <v>616</v>
      </c>
      <c r="J197" s="569">
        <v>1</v>
      </c>
      <c r="K197" s="568" t="s">
        <v>295</v>
      </c>
      <c r="L197" s="570">
        <v>43602</v>
      </c>
      <c r="M197" s="571">
        <v>6.1699999999999998E-2</v>
      </c>
      <c r="N197" s="568" t="s">
        <v>404</v>
      </c>
      <c r="P197" s="571" t="str">
        <f>VLOOKUP(A197,'[1]Raw data'!$B:$BB,23,FALSE)</f>
        <v>RMB</v>
      </c>
      <c r="Q197" s="568" t="str">
        <f>VLOOKUP(A197,'[1]Raw data'!$B:$Z,2,FALSE)</f>
        <v>C49SZX20190077SX</v>
      </c>
      <c r="R197" s="568" t="str">
        <f>VLOOKUP(A197,'[1]Raw data'!$B:$Z,3,FALSE)</f>
        <v>An Lin东莞安林</v>
      </c>
      <c r="S197" s="568" t="str">
        <f>VLOOKUP(A197,'[1]Raw data'!$B:$Z,4,FALSE)</f>
        <v>YSM20R(SV)-2</v>
      </c>
      <c r="T197" s="568" t="str">
        <f>VLOOKUP(A197,'[1]Raw data'!$B:$Z,8,FALSE)</f>
        <v>R-&gt;L</v>
      </c>
      <c r="U197" s="568" t="str">
        <f>VLOOKUP(A197,'[1]Raw data'!$B:$Z,9,FALSE)</f>
        <v>No</v>
      </c>
      <c r="V197" s="572" t="str">
        <f t="shared" si="30"/>
        <v>OK</v>
      </c>
      <c r="W197" s="568" t="str">
        <f>VLOOKUP(A197,'[1]Raw data'!$B:$AG,32,FALSE)</f>
        <v>含税到厂</v>
      </c>
      <c r="X197" s="568">
        <f>VLOOKUP(A197,'[1]Raw data'!$B:$BA,31,FALSE)</f>
        <v>43607</v>
      </c>
      <c r="Y197" s="568" t="str">
        <f>VLOOKUP(A197,'[1]Raw data'!$B:$AS,39,FALSE)</f>
        <v>Yes</v>
      </c>
      <c r="Z197" s="573" t="s">
        <v>329</v>
      </c>
      <c r="AA197" s="574" t="s">
        <v>329</v>
      </c>
      <c r="AB197" s="575"/>
      <c r="AC197" s="568" t="s">
        <v>432</v>
      </c>
      <c r="AN197" s="547"/>
      <c r="AO197" s="829" t="str">
        <f t="shared" si="31"/>
        <v>Yes</v>
      </c>
      <c r="AP197" s="259" t="str">
        <f t="shared" si="32"/>
        <v>JUN 19</v>
      </c>
      <c r="AQ197" s="547" t="str">
        <f t="shared" si="33"/>
        <v>有定金+有預留客戶</v>
      </c>
      <c r="AR197" s="259" t="str">
        <f t="shared" si="34"/>
        <v>Shipped_Stock</v>
      </c>
      <c r="AS197" s="259" t="str">
        <f t="shared" si="35"/>
        <v/>
      </c>
      <c r="AT197" s="259" t="str">
        <f t="shared" si="36"/>
        <v>An Lin东莞安林</v>
      </c>
      <c r="AU197" s="259" t="str">
        <f t="shared" si="37"/>
        <v>C49SZX20190077SX</v>
      </c>
      <c r="AV197" s="259" t="str">
        <f t="shared" si="38"/>
        <v>May-17</v>
      </c>
    </row>
    <row r="198" spans="1:48" ht="15" hidden="1" customHeight="1">
      <c r="A198" s="564">
        <v>297</v>
      </c>
      <c r="B198" s="568" t="s">
        <v>280</v>
      </c>
      <c r="C198" s="565" t="s">
        <v>281</v>
      </c>
      <c r="D198" s="569">
        <v>109582</v>
      </c>
      <c r="E198" s="568" t="s">
        <v>617</v>
      </c>
      <c r="F198" s="568" t="s">
        <v>256</v>
      </c>
      <c r="G198" s="568" t="s">
        <v>18</v>
      </c>
      <c r="H198" s="568" t="s">
        <v>27</v>
      </c>
      <c r="I198" s="569" t="s">
        <v>618</v>
      </c>
      <c r="J198" s="569">
        <v>1</v>
      </c>
      <c r="K198" s="568" t="s">
        <v>311</v>
      </c>
      <c r="L198" s="570">
        <v>43617</v>
      </c>
      <c r="M198" s="571">
        <v>6.4299999999999996E-2</v>
      </c>
      <c r="N198" s="568" t="s">
        <v>325</v>
      </c>
      <c r="O198" s="569">
        <v>2019.05</v>
      </c>
      <c r="P198" s="571" t="str">
        <f>VLOOKUP(A198,'[1]Raw data'!$B:$BB,23,FALSE)</f>
        <v>JPY</v>
      </c>
      <c r="Q198" s="568" t="str">
        <f>VLOOKUP(A198,'[1]Raw data'!$B:$Z,2,FALSE)</f>
        <v>C49SZX20190061JL</v>
      </c>
      <c r="R198" s="568" t="str">
        <f>VLOOKUP(A198,'[1]Raw data'!$B:$Z,3,FALSE)</f>
        <v>微力创/end user 昶达</v>
      </c>
      <c r="S198" s="568" t="str">
        <f>VLOOKUP(A198,'[1]Raw data'!$B:$Z,4,FALSE)</f>
        <v>YSM20R(SV)-2</v>
      </c>
      <c r="T198" s="568" t="str">
        <f>VLOOKUP(A198,'[1]Raw data'!$B:$Z,8,FALSE)</f>
        <v>R-&gt;L</v>
      </c>
      <c r="U198" s="568" t="str">
        <f>VLOOKUP(A198,'[1]Raw data'!$B:$Z,9,FALSE)</f>
        <v>No</v>
      </c>
      <c r="V198" s="572" t="str">
        <f t="shared" si="30"/>
        <v>WRONG</v>
      </c>
      <c r="W198" s="568" t="str">
        <f>VLOOKUP(A198,'[1]Raw data'!$B:$AG,32,FALSE)</f>
        <v>CIF HK</v>
      </c>
      <c r="X198" s="568">
        <f>VLOOKUP(A198,'[1]Raw data'!$B:$BA,31,FALSE)</f>
        <v>43582</v>
      </c>
      <c r="Y198" s="568" t="str">
        <f>VLOOKUP(A198,'[1]Raw data'!$B:$AS,39,FALSE)</f>
        <v>Yes</v>
      </c>
      <c r="Z198" s="573"/>
      <c r="AA198" s="574"/>
      <c r="AB198" s="575"/>
      <c r="AC198" s="568" t="s">
        <v>615</v>
      </c>
      <c r="AD198" s="576">
        <v>301</v>
      </c>
      <c r="AE198" s="576">
        <v>10</v>
      </c>
      <c r="AF198" s="576">
        <v>303</v>
      </c>
      <c r="AG198" s="576">
        <v>10</v>
      </c>
      <c r="AN198" s="547"/>
      <c r="AO198" s="829" t="str">
        <f t="shared" si="31"/>
        <v>Yes</v>
      </c>
      <c r="AP198" s="259" t="str">
        <f t="shared" si="32"/>
        <v>JUL 19</v>
      </c>
      <c r="AQ198" s="547" t="str">
        <f t="shared" si="33"/>
        <v>有定金+有預留客戶</v>
      </c>
      <c r="AR198" s="259" t="str">
        <f t="shared" si="34"/>
        <v>Shipped_Stock</v>
      </c>
      <c r="AS198" s="259" t="str">
        <f t="shared" si="35"/>
        <v/>
      </c>
      <c r="AT198" s="259" t="str">
        <f t="shared" si="36"/>
        <v>微力创/end user 昶达</v>
      </c>
      <c r="AU198" s="259" t="str">
        <f t="shared" si="37"/>
        <v>C49SZX20190061JL</v>
      </c>
      <c r="AV198" s="259" t="str">
        <f t="shared" si="38"/>
        <v>Jun-01</v>
      </c>
    </row>
    <row r="199" spans="1:48" ht="15" hidden="1" customHeight="1">
      <c r="A199" s="564">
        <v>382</v>
      </c>
      <c r="B199" s="568" t="s">
        <v>280</v>
      </c>
      <c r="C199" s="565" t="s">
        <v>281</v>
      </c>
      <c r="D199" s="569">
        <v>109563</v>
      </c>
      <c r="E199" s="568" t="s">
        <v>619</v>
      </c>
      <c r="F199" s="568" t="s">
        <v>17</v>
      </c>
      <c r="G199" s="568" t="s">
        <v>18</v>
      </c>
      <c r="H199" s="568" t="s">
        <v>19</v>
      </c>
      <c r="I199" s="569" t="s">
        <v>620</v>
      </c>
      <c r="J199" s="569">
        <v>1</v>
      </c>
      <c r="K199" s="568" t="s">
        <v>295</v>
      </c>
      <c r="L199" s="570">
        <v>43617</v>
      </c>
      <c r="M199" s="571">
        <v>6.4299999999999996E-2</v>
      </c>
      <c r="N199" s="568" t="s">
        <v>417</v>
      </c>
      <c r="O199" s="568">
        <v>2019.05</v>
      </c>
      <c r="P199" s="571" t="str">
        <f>VLOOKUP(A199,'[1]Raw data'!$B:$BB,23,FALSE)</f>
        <v>RMB</v>
      </c>
      <c r="Q199" s="568" t="str">
        <f>VLOOKUP(A199,'[1]Raw data'!$B:$Z,2,FALSE)</f>
        <v>C49SZX20190110ZX</v>
      </c>
      <c r="R199" s="568" t="str">
        <f>VLOOKUP(A199,'[1]Raw data'!$B:$Z,3,FALSE)</f>
        <v>锘铧</v>
      </c>
      <c r="S199" s="568" t="str">
        <f>VLOOKUP(A199,'[1]Raw data'!$B:$Z,4,FALSE)</f>
        <v>YSM10</v>
      </c>
      <c r="T199" s="568" t="str">
        <f>VLOOKUP(A199,'[1]Raw data'!$B:$Z,8,FALSE)</f>
        <v>L-&gt;R</v>
      </c>
      <c r="U199" s="568" t="str">
        <f>VLOOKUP(A199,'[1]Raw data'!$B:$Z,9,FALSE)</f>
        <v>MVC+ATS15</v>
      </c>
      <c r="V199" s="572" t="str">
        <f t="shared" si="30"/>
        <v>WRONG</v>
      </c>
      <c r="W199" s="568" t="str">
        <f>VLOOKUP(A199,'[1]Raw data'!$B:$AG,32,FALSE)</f>
        <v>含税到厂</v>
      </c>
      <c r="X199" s="568">
        <f>VLOOKUP(A199,'[1]Raw data'!$B:$BA,31,FALSE)</f>
        <v>43686</v>
      </c>
      <c r="Y199" s="568" t="str">
        <f>VLOOKUP(A199,'[1]Raw data'!$B:$AS,39,FALSE)</f>
        <v>Yes</v>
      </c>
      <c r="Z199" s="573"/>
      <c r="AA199" s="574"/>
      <c r="AB199" s="575"/>
      <c r="AC199" s="568" t="s">
        <v>621</v>
      </c>
      <c r="AD199" s="576">
        <v>302</v>
      </c>
      <c r="AE199" s="576">
        <v>10</v>
      </c>
      <c r="AN199" s="547"/>
      <c r="AO199" s="829" t="str">
        <f t="shared" si="31"/>
        <v>Yes</v>
      </c>
      <c r="AP199" s="259" t="str">
        <f t="shared" si="32"/>
        <v>AUG 19</v>
      </c>
      <c r="AQ199" s="547" t="str">
        <f t="shared" si="33"/>
        <v>有定金+有預留客戶</v>
      </c>
      <c r="AR199" s="259" t="str">
        <f t="shared" si="34"/>
        <v>Shipped_Stock</v>
      </c>
      <c r="AS199" s="259" t="str">
        <f t="shared" si="35"/>
        <v/>
      </c>
      <c r="AT199" s="259" t="str">
        <f t="shared" si="36"/>
        <v>锘铧</v>
      </c>
      <c r="AU199" s="259" t="str">
        <f t="shared" si="37"/>
        <v>C49SZX20190110ZX</v>
      </c>
      <c r="AV199" s="259" t="str">
        <f t="shared" si="38"/>
        <v>Jun-01</v>
      </c>
    </row>
    <row r="200" spans="1:48" ht="15" hidden="1" customHeight="1">
      <c r="A200" s="564">
        <v>383</v>
      </c>
      <c r="B200" s="568" t="s">
        <v>280</v>
      </c>
      <c r="C200" s="565" t="s">
        <v>281</v>
      </c>
      <c r="D200" s="569">
        <v>109563</v>
      </c>
      <c r="E200" s="568" t="s">
        <v>619</v>
      </c>
      <c r="F200" s="568" t="s">
        <v>17</v>
      </c>
      <c r="G200" s="568" t="s">
        <v>18</v>
      </c>
      <c r="H200" s="568" t="s">
        <v>19</v>
      </c>
      <c r="I200" s="569" t="s">
        <v>622</v>
      </c>
      <c r="J200" s="569">
        <v>1</v>
      </c>
      <c r="K200" s="568" t="s">
        <v>295</v>
      </c>
      <c r="L200" s="570">
        <v>43617</v>
      </c>
      <c r="M200" s="571">
        <v>6.4299999999999996E-2</v>
      </c>
      <c r="N200" s="568" t="s">
        <v>417</v>
      </c>
      <c r="O200" s="568">
        <v>2019.05</v>
      </c>
      <c r="P200" s="571" t="str">
        <f>VLOOKUP(A200,'[1]Raw data'!$B:$BB,23,FALSE)</f>
        <v>RMB</v>
      </c>
      <c r="Q200" s="568" t="str">
        <f>VLOOKUP(A200,'[1]Raw data'!$B:$Z,2,FALSE)</f>
        <v>C49SZX20190110ZX</v>
      </c>
      <c r="R200" s="568" t="str">
        <f>VLOOKUP(A200,'[1]Raw data'!$B:$Z,3,FALSE)</f>
        <v>锘铧</v>
      </c>
      <c r="S200" s="568" t="str">
        <f>VLOOKUP(A200,'[1]Raw data'!$B:$Z,4,FALSE)</f>
        <v>YSM10</v>
      </c>
      <c r="T200" s="568" t="str">
        <f>VLOOKUP(A200,'[1]Raw data'!$B:$Z,8,FALSE)</f>
        <v>L-&gt;R</v>
      </c>
      <c r="U200" s="568" t="str">
        <f>VLOOKUP(A200,'[1]Raw data'!$B:$Z,9,FALSE)</f>
        <v>MVC+ATS15</v>
      </c>
      <c r="V200" s="572" t="str">
        <f t="shared" si="30"/>
        <v>WRONG</v>
      </c>
      <c r="W200" s="568" t="str">
        <f>VLOOKUP(A200,'[1]Raw data'!$B:$AG,32,FALSE)</f>
        <v>含税到厂</v>
      </c>
      <c r="X200" s="568">
        <f>VLOOKUP(A200,'[1]Raw data'!$B:$BA,31,FALSE)</f>
        <v>43686</v>
      </c>
      <c r="Y200" s="568" t="str">
        <f>VLOOKUP(A200,'[1]Raw data'!$B:$AS,39,FALSE)</f>
        <v>Yes</v>
      </c>
      <c r="Z200" s="573"/>
      <c r="AA200" s="574"/>
      <c r="AB200" s="575"/>
      <c r="AC200" s="568" t="s">
        <v>621</v>
      </c>
      <c r="AD200" s="576">
        <v>302</v>
      </c>
      <c r="AE200" s="576">
        <v>10</v>
      </c>
      <c r="AN200" s="547"/>
      <c r="AO200" s="829" t="str">
        <f t="shared" si="31"/>
        <v>Yes</v>
      </c>
      <c r="AP200" s="259" t="str">
        <f t="shared" si="32"/>
        <v>AUG 19</v>
      </c>
      <c r="AQ200" s="547" t="str">
        <f t="shared" si="33"/>
        <v>有定金+有預留客戶</v>
      </c>
      <c r="AR200" s="259" t="str">
        <f t="shared" si="34"/>
        <v>Shipped_Stock</v>
      </c>
      <c r="AS200" s="259" t="str">
        <f t="shared" si="35"/>
        <v/>
      </c>
      <c r="AT200" s="259" t="str">
        <f t="shared" si="36"/>
        <v>锘铧</v>
      </c>
      <c r="AU200" s="259" t="str">
        <f t="shared" si="37"/>
        <v>C49SZX20190110ZX</v>
      </c>
      <c r="AV200" s="259" t="str">
        <f t="shared" si="38"/>
        <v>Jun-01</v>
      </c>
    </row>
    <row r="201" spans="1:48" ht="15" hidden="1" customHeight="1">
      <c r="A201" s="564">
        <v>384</v>
      </c>
      <c r="B201" s="568" t="s">
        <v>280</v>
      </c>
      <c r="C201" s="565" t="s">
        <v>281</v>
      </c>
      <c r="D201" s="569">
        <v>109563</v>
      </c>
      <c r="E201" s="568" t="s">
        <v>619</v>
      </c>
      <c r="F201" s="568" t="s">
        <v>17</v>
      </c>
      <c r="G201" s="568" t="s">
        <v>24</v>
      </c>
      <c r="H201" s="568" t="s">
        <v>19</v>
      </c>
      <c r="I201" s="569" t="s">
        <v>623</v>
      </c>
      <c r="J201" s="569">
        <v>1</v>
      </c>
      <c r="K201" s="568" t="s">
        <v>295</v>
      </c>
      <c r="L201" s="570">
        <v>43617</v>
      </c>
      <c r="M201" s="571">
        <v>6.4299999999999996E-2</v>
      </c>
      <c r="N201" s="568" t="s">
        <v>417</v>
      </c>
      <c r="O201" s="568">
        <v>2019.05</v>
      </c>
      <c r="P201" s="571" t="str">
        <f>VLOOKUP(A201,'[1]Raw data'!$B:$BB,23,FALSE)</f>
        <v>RMB</v>
      </c>
      <c r="Q201" s="568" t="str">
        <f>VLOOKUP(A201,'[1]Raw data'!$B:$Z,2,FALSE)</f>
        <v>C49SZX20190110ZX</v>
      </c>
      <c r="R201" s="568" t="str">
        <f>VLOOKUP(A201,'[1]Raw data'!$B:$Z,3,FALSE)</f>
        <v>锘铧</v>
      </c>
      <c r="S201" s="568" t="str">
        <f>VLOOKUP(A201,'[1]Raw data'!$B:$Z,4,FALSE)</f>
        <v>YSM10</v>
      </c>
      <c r="T201" s="568" t="str">
        <f>VLOOKUP(A201,'[1]Raw data'!$B:$Z,8,FALSE)</f>
        <v>L-&gt;R</v>
      </c>
      <c r="U201" s="568" t="str">
        <f>VLOOKUP(A201,'[1]Raw data'!$B:$Z,9,FALSE)</f>
        <v>MVC+ATS15</v>
      </c>
      <c r="V201" s="572" t="str">
        <f t="shared" si="30"/>
        <v>WRONG</v>
      </c>
      <c r="W201" s="568" t="str">
        <f>VLOOKUP(A201,'[1]Raw data'!$B:$AG,32,FALSE)</f>
        <v>含税到厂</v>
      </c>
      <c r="X201" s="568">
        <f>VLOOKUP(A201,'[1]Raw data'!$B:$BA,31,FALSE)</f>
        <v>43686</v>
      </c>
      <c r="Y201" s="568" t="str">
        <f>VLOOKUP(A201,'[1]Raw data'!$B:$AS,39,FALSE)</f>
        <v>Yes</v>
      </c>
      <c r="Z201" s="573"/>
      <c r="AA201" s="574"/>
      <c r="AB201" s="575"/>
      <c r="AC201" s="568" t="s">
        <v>621</v>
      </c>
      <c r="AD201" s="576">
        <v>301</v>
      </c>
      <c r="AE201" s="576">
        <v>10</v>
      </c>
      <c r="AN201" s="547"/>
      <c r="AO201" s="829" t="str">
        <f t="shared" si="31"/>
        <v>Yes</v>
      </c>
      <c r="AP201" s="259" t="str">
        <f t="shared" si="32"/>
        <v>AUG 19</v>
      </c>
      <c r="AQ201" s="547" t="str">
        <f t="shared" si="33"/>
        <v>有定金+有預留客戶</v>
      </c>
      <c r="AR201" s="259" t="str">
        <f t="shared" si="34"/>
        <v>Shipped_Stock</v>
      </c>
      <c r="AS201" s="259" t="str">
        <f t="shared" si="35"/>
        <v/>
      </c>
      <c r="AT201" s="259" t="str">
        <f t="shared" si="36"/>
        <v>锘铧</v>
      </c>
      <c r="AU201" s="259" t="str">
        <f t="shared" si="37"/>
        <v>C49SZX20190110ZX</v>
      </c>
      <c r="AV201" s="259" t="str">
        <f t="shared" si="38"/>
        <v>Jun-01</v>
      </c>
    </row>
    <row r="202" spans="1:48" ht="15" hidden="1" customHeight="1">
      <c r="A202" s="564">
        <v>407</v>
      </c>
      <c r="B202" s="568" t="s">
        <v>280</v>
      </c>
      <c r="C202" s="565" t="s">
        <v>281</v>
      </c>
      <c r="D202" s="569">
        <v>109564</v>
      </c>
      <c r="E202" s="568" t="s">
        <v>619</v>
      </c>
      <c r="F202" s="568" t="s">
        <v>17</v>
      </c>
      <c r="G202" s="568" t="s">
        <v>24</v>
      </c>
      <c r="H202" s="568" t="s">
        <v>19</v>
      </c>
      <c r="I202" s="569" t="s">
        <v>624</v>
      </c>
      <c r="J202" s="569">
        <v>1</v>
      </c>
      <c r="K202" s="568" t="s">
        <v>295</v>
      </c>
      <c r="L202" s="570">
        <v>43617</v>
      </c>
      <c r="M202" s="571">
        <v>6.4299999999999996E-2</v>
      </c>
      <c r="N202" s="568" t="s">
        <v>417</v>
      </c>
      <c r="O202" s="568">
        <v>2019.05</v>
      </c>
      <c r="P202" s="571" t="str">
        <f>VLOOKUP(A202,'[1]Raw data'!$B:$BB,23,FALSE)</f>
        <v>RMB</v>
      </c>
      <c r="Q202" s="568" t="str">
        <f>VLOOKUP(A202,'[1]Raw data'!$B:$Z,2,FALSE)</f>
        <v>C49SZX20190117SX</v>
      </c>
      <c r="R202" s="568" t="str">
        <f>VLOOKUP(A202,'[1]Raw data'!$B:$Z,3,FALSE)</f>
        <v>玮芯电子</v>
      </c>
      <c r="S202" s="568" t="str">
        <f>VLOOKUP(A202,'[1]Raw data'!$B:$Z,4,FALSE)</f>
        <v>YSM10</v>
      </c>
      <c r="T202" s="568" t="str">
        <f>VLOOKUP(A202,'[1]Raw data'!$B:$Z,8,FALSE)</f>
        <v>L-&gt;R</v>
      </c>
      <c r="U202" s="568" t="str">
        <f>VLOOKUP(A202,'[1]Raw data'!$B:$Z,9,FALSE)</f>
        <v>MVC+ATS15</v>
      </c>
      <c r="V202" s="572" t="str">
        <f t="shared" si="30"/>
        <v>WRONG</v>
      </c>
      <c r="W202" s="568" t="str">
        <f>VLOOKUP(A202,'[1]Raw data'!$B:$AG,32,FALSE)</f>
        <v>含税到厂</v>
      </c>
      <c r="X202" s="568">
        <f>VLOOKUP(A202,'[1]Raw data'!$B:$BA,31,FALSE)</f>
        <v>43699</v>
      </c>
      <c r="Y202" s="568" t="str">
        <f>VLOOKUP(A202,'[1]Raw data'!$B:$AS,39,FALSE)</f>
        <v>Yes</v>
      </c>
      <c r="Z202" s="573"/>
      <c r="AA202" s="574"/>
      <c r="AB202" s="575"/>
      <c r="AC202" s="568" t="s">
        <v>625</v>
      </c>
      <c r="AD202" s="576">
        <v>301</v>
      </c>
      <c r="AE202" s="576">
        <v>10</v>
      </c>
      <c r="AN202" s="547"/>
      <c r="AO202" s="829" t="str">
        <f t="shared" si="31"/>
        <v>Yes</v>
      </c>
      <c r="AP202" s="259" t="str">
        <f t="shared" si="32"/>
        <v>AUG 19</v>
      </c>
      <c r="AQ202" s="547" t="str">
        <f t="shared" si="33"/>
        <v>有定金+有預留客戶</v>
      </c>
      <c r="AR202" s="259" t="str">
        <f t="shared" si="34"/>
        <v>Shipped_Stock</v>
      </c>
      <c r="AS202" s="259" t="str">
        <f t="shared" si="35"/>
        <v/>
      </c>
      <c r="AT202" s="259" t="str">
        <f t="shared" si="36"/>
        <v>玮芯电子</v>
      </c>
      <c r="AU202" s="259" t="str">
        <f t="shared" si="37"/>
        <v>C49SZX20190117SX</v>
      </c>
      <c r="AV202" s="259" t="str">
        <f t="shared" si="38"/>
        <v>Jun-01</v>
      </c>
    </row>
    <row r="203" spans="1:48" ht="15" hidden="1" customHeight="1">
      <c r="A203" s="564">
        <v>397</v>
      </c>
      <c r="B203" s="568" t="s">
        <v>280</v>
      </c>
      <c r="C203" s="565" t="s">
        <v>281</v>
      </c>
      <c r="D203" s="569">
        <v>109564</v>
      </c>
      <c r="E203" s="568" t="s">
        <v>619</v>
      </c>
      <c r="F203" s="568" t="s">
        <v>17</v>
      </c>
      <c r="G203" s="568" t="s">
        <v>24</v>
      </c>
      <c r="H203" s="568" t="s">
        <v>19</v>
      </c>
      <c r="I203" s="569" t="s">
        <v>626</v>
      </c>
      <c r="J203" s="569">
        <v>1</v>
      </c>
      <c r="K203" s="568" t="s">
        <v>295</v>
      </c>
      <c r="L203" s="570">
        <v>43617</v>
      </c>
      <c r="M203" s="571">
        <v>6.4299999999999996E-2</v>
      </c>
      <c r="N203" s="568" t="s">
        <v>320</v>
      </c>
      <c r="O203" s="568">
        <v>2019.05</v>
      </c>
      <c r="P203" s="571" t="str">
        <f>VLOOKUP(A203,'[1]Raw data'!$B:$BB,23,FALSE)</f>
        <v>RMB</v>
      </c>
      <c r="Q203" s="568" t="str">
        <f>VLOOKUP(A203,'[1]Raw data'!$B:$Z,2,FALSE)</f>
        <v>C49SZX20190119SX</v>
      </c>
      <c r="R203" s="568" t="str">
        <f>VLOOKUP(A203,'[1]Raw data'!$B:$Z,3,FALSE)</f>
        <v>太美亚</v>
      </c>
      <c r="S203" s="568" t="str">
        <f>VLOOKUP(A203,'[1]Raw data'!$B:$Z,4,FALSE)</f>
        <v>YSM10</v>
      </c>
      <c r="T203" s="568" t="str">
        <f>VLOOKUP(A203,'[1]Raw data'!$B:$Z,8,FALSE)</f>
        <v>R-&gt;L</v>
      </c>
      <c r="U203" s="568" t="str">
        <f>VLOOKUP(A203,'[1]Raw data'!$B:$Z,9,FALSE)</f>
        <v>MVC+ATS15</v>
      </c>
      <c r="V203" s="572" t="str">
        <f t="shared" si="30"/>
        <v>WRONG</v>
      </c>
      <c r="W203" s="568" t="str">
        <f>VLOOKUP(A203,'[1]Raw data'!$B:$AG,32,FALSE)</f>
        <v>含税到厂</v>
      </c>
      <c r="X203" s="568">
        <f>VLOOKUP(A203,'[1]Raw data'!$B:$BA,31,FALSE)</f>
        <v>43693</v>
      </c>
      <c r="Y203" s="568" t="str">
        <f>VLOOKUP(A203,'[1]Raw data'!$B:$AS,39,FALSE)</f>
        <v>Yes</v>
      </c>
      <c r="Z203" s="573" t="s">
        <v>329</v>
      </c>
      <c r="AA203" s="574" t="s">
        <v>329</v>
      </c>
      <c r="AB203" s="575"/>
      <c r="AC203" s="568" t="s">
        <v>476</v>
      </c>
      <c r="AD203" s="576">
        <v>301</v>
      </c>
      <c r="AE203" s="576">
        <v>10</v>
      </c>
      <c r="AN203" s="547"/>
      <c r="AO203" s="829" t="str">
        <f t="shared" si="31"/>
        <v>Yes</v>
      </c>
      <c r="AP203" s="259" t="str">
        <f t="shared" si="32"/>
        <v>SEP 19</v>
      </c>
      <c r="AQ203" s="547" t="str">
        <f t="shared" si="33"/>
        <v>有定金+有預留客戶</v>
      </c>
      <c r="AR203" s="259" t="str">
        <f t="shared" si="34"/>
        <v>Shipped_Stock</v>
      </c>
      <c r="AS203" s="259" t="str">
        <f t="shared" si="35"/>
        <v/>
      </c>
      <c r="AT203" s="259" t="str">
        <f t="shared" si="36"/>
        <v>太美亚</v>
      </c>
      <c r="AU203" s="259" t="str">
        <f t="shared" si="37"/>
        <v>C49SZX20190119SX</v>
      </c>
      <c r="AV203" s="259" t="str">
        <f t="shared" si="38"/>
        <v>Jun-01</v>
      </c>
    </row>
    <row r="204" spans="1:48" ht="15" hidden="1" customHeight="1">
      <c r="A204" s="564">
        <v>371</v>
      </c>
      <c r="B204" s="568" t="s">
        <v>280</v>
      </c>
      <c r="C204" s="565" t="s">
        <v>281</v>
      </c>
      <c r="D204" s="569">
        <v>109582</v>
      </c>
      <c r="E204" s="568" t="s">
        <v>617</v>
      </c>
      <c r="F204" s="568" t="s">
        <v>256</v>
      </c>
      <c r="G204" s="568" t="s">
        <v>18</v>
      </c>
      <c r="H204" s="568" t="s">
        <v>27</v>
      </c>
      <c r="I204" s="569" t="s">
        <v>627</v>
      </c>
      <c r="J204" s="569">
        <v>1</v>
      </c>
      <c r="K204" s="568" t="s">
        <v>437</v>
      </c>
      <c r="L204" s="570">
        <v>43617</v>
      </c>
      <c r="M204" s="571">
        <v>6.4299999999999996E-2</v>
      </c>
      <c r="N204" s="568" t="s">
        <v>325</v>
      </c>
      <c r="O204" s="569">
        <v>2019.05</v>
      </c>
      <c r="P204" s="571" t="str">
        <f>VLOOKUP(A204,'[1]Raw data'!$B:$BB,23,FALSE)</f>
        <v>JPY</v>
      </c>
      <c r="Q204" s="568" t="str">
        <f>VLOOKUP(A204,'[1]Raw data'!$B:$Z,2,FALSE)</f>
        <v>C49SZX20190093JL</v>
      </c>
      <c r="R204" s="568" t="str">
        <f>VLOOKUP(A204,'[1]Raw data'!$B:$Z,3,FALSE)</f>
        <v>杉川/end user:放德劲</v>
      </c>
      <c r="S204" s="568" t="str">
        <f>VLOOKUP(A204,'[1]Raw data'!$B:$Z,4,FALSE)</f>
        <v>YSM20R(SV)-2</v>
      </c>
      <c r="T204" s="568" t="str">
        <f>VLOOKUP(A204,'[1]Raw data'!$B:$Z,8,FALSE)</f>
        <v>R-&gt;L</v>
      </c>
      <c r="U204" s="568" t="str">
        <f>VLOOKUP(A204,'[1]Raw data'!$B:$Z,9,FALSE)</f>
        <v>No</v>
      </c>
      <c r="V204" s="572" t="str">
        <f t="shared" si="30"/>
        <v>WRONG</v>
      </c>
      <c r="W204" s="568" t="str">
        <f>VLOOKUP(A204,'[1]Raw data'!$B:$AG,32,FALSE)</f>
        <v>DAP SZ</v>
      </c>
      <c r="X204" s="568">
        <f>VLOOKUP(A204,'[1]Raw data'!$B:$BA,31,FALSE)</f>
        <v>43649</v>
      </c>
      <c r="Y204" s="568" t="str">
        <f>VLOOKUP(A204,'[1]Raw data'!$B:$AS,39,FALSE)</f>
        <v>Yes</v>
      </c>
      <c r="Z204" s="573"/>
      <c r="AA204" s="574"/>
      <c r="AB204" s="575"/>
      <c r="AC204" s="568" t="s">
        <v>573</v>
      </c>
      <c r="AD204" s="576">
        <v>301</v>
      </c>
      <c r="AE204" s="576">
        <v>10</v>
      </c>
      <c r="AF204" s="576">
        <v>303</v>
      </c>
      <c r="AG204" s="576">
        <v>10</v>
      </c>
      <c r="AN204" s="547"/>
      <c r="AO204" s="829" t="str">
        <f t="shared" si="31"/>
        <v>Yes</v>
      </c>
      <c r="AP204" s="259" t="str">
        <f t="shared" si="32"/>
        <v>JUL 19</v>
      </c>
      <c r="AQ204" s="547" t="str">
        <f t="shared" si="33"/>
        <v>有定金+有預留客戶</v>
      </c>
      <c r="AR204" s="259" t="str">
        <f t="shared" si="34"/>
        <v>Shipped_Stock</v>
      </c>
      <c r="AS204" s="259" t="str">
        <f t="shared" si="35"/>
        <v/>
      </c>
      <c r="AT204" s="259" t="str">
        <f t="shared" si="36"/>
        <v>杉川/end user:放德劲</v>
      </c>
      <c r="AU204" s="259" t="str">
        <f t="shared" si="37"/>
        <v>C49SZX20190093JL</v>
      </c>
      <c r="AV204" s="259" t="str">
        <f t="shared" si="38"/>
        <v>Jun-01</v>
      </c>
    </row>
    <row r="205" spans="1:48" ht="15" hidden="1" customHeight="1">
      <c r="A205" s="564">
        <v>372</v>
      </c>
      <c r="B205" s="568" t="s">
        <v>280</v>
      </c>
      <c r="C205" s="565" t="s">
        <v>281</v>
      </c>
      <c r="D205" s="569">
        <v>109582</v>
      </c>
      <c r="E205" s="568" t="s">
        <v>617</v>
      </c>
      <c r="F205" s="568" t="s">
        <v>256</v>
      </c>
      <c r="G205" s="568" t="s">
        <v>18</v>
      </c>
      <c r="H205" s="568" t="s">
        <v>27</v>
      </c>
      <c r="I205" s="569" t="s">
        <v>628</v>
      </c>
      <c r="J205" s="569">
        <v>1</v>
      </c>
      <c r="K205" s="568" t="s">
        <v>437</v>
      </c>
      <c r="L205" s="570">
        <v>43617</v>
      </c>
      <c r="M205" s="571">
        <v>6.4299999999999996E-2</v>
      </c>
      <c r="N205" s="568" t="s">
        <v>325</v>
      </c>
      <c r="O205" s="569">
        <v>2019.05</v>
      </c>
      <c r="P205" s="571" t="str">
        <f>VLOOKUP(A205,'[1]Raw data'!$B:$BB,23,FALSE)</f>
        <v>JPY</v>
      </c>
      <c r="Q205" s="568" t="str">
        <f>VLOOKUP(A205,'[1]Raw data'!$B:$Z,2,FALSE)</f>
        <v>C49SZX20190093JL</v>
      </c>
      <c r="R205" s="568" t="str">
        <f>VLOOKUP(A205,'[1]Raw data'!$B:$Z,3,FALSE)</f>
        <v>杉川/end user:放德劲</v>
      </c>
      <c r="S205" s="568" t="str">
        <f>VLOOKUP(A205,'[1]Raw data'!$B:$Z,4,FALSE)</f>
        <v>YSM20R(SV)-2</v>
      </c>
      <c r="T205" s="568" t="str">
        <f>VLOOKUP(A205,'[1]Raw data'!$B:$Z,8,FALSE)</f>
        <v>R-&gt;L</v>
      </c>
      <c r="U205" s="568" t="str">
        <f>VLOOKUP(A205,'[1]Raw data'!$B:$Z,9,FALSE)</f>
        <v>No</v>
      </c>
      <c r="V205" s="572" t="str">
        <f t="shared" si="30"/>
        <v>WRONG</v>
      </c>
      <c r="W205" s="568" t="str">
        <f>VLOOKUP(A205,'[1]Raw data'!$B:$AG,32,FALSE)</f>
        <v>DAP SZ</v>
      </c>
      <c r="X205" s="568">
        <f>VLOOKUP(A205,'[1]Raw data'!$B:$BA,31,FALSE)</f>
        <v>43649</v>
      </c>
      <c r="Y205" s="568" t="str">
        <f>VLOOKUP(A205,'[1]Raw data'!$B:$AS,39,FALSE)</f>
        <v>Yes</v>
      </c>
      <c r="Z205" s="573"/>
      <c r="AA205" s="574"/>
      <c r="AB205" s="575"/>
      <c r="AC205" s="568" t="s">
        <v>573</v>
      </c>
      <c r="AD205" s="576">
        <v>301</v>
      </c>
      <c r="AE205" s="576">
        <v>10</v>
      </c>
      <c r="AF205" s="576">
        <v>303</v>
      </c>
      <c r="AG205" s="576">
        <v>10</v>
      </c>
      <c r="AN205" s="547"/>
      <c r="AO205" s="829" t="str">
        <f t="shared" si="31"/>
        <v>Yes</v>
      </c>
      <c r="AP205" s="259" t="str">
        <f t="shared" si="32"/>
        <v>JUL 19</v>
      </c>
      <c r="AQ205" s="547" t="str">
        <f t="shared" si="33"/>
        <v>有定金+有預留客戶</v>
      </c>
      <c r="AR205" s="259" t="str">
        <f t="shared" si="34"/>
        <v>Shipped_Stock</v>
      </c>
      <c r="AS205" s="259" t="str">
        <f t="shared" si="35"/>
        <v/>
      </c>
      <c r="AT205" s="259" t="str">
        <f t="shared" si="36"/>
        <v>杉川/end user:放德劲</v>
      </c>
      <c r="AU205" s="259" t="str">
        <f t="shared" si="37"/>
        <v>C49SZX20190093JL</v>
      </c>
      <c r="AV205" s="259" t="str">
        <f t="shared" si="38"/>
        <v>Jun-01</v>
      </c>
    </row>
    <row r="206" spans="1:48" ht="15" hidden="1" customHeight="1">
      <c r="A206" s="564">
        <v>308</v>
      </c>
      <c r="B206" s="568" t="s">
        <v>280</v>
      </c>
      <c r="C206" s="565" t="s">
        <v>281</v>
      </c>
      <c r="D206" s="569">
        <v>109563</v>
      </c>
      <c r="E206" s="568" t="s">
        <v>619</v>
      </c>
      <c r="F206" s="568" t="s">
        <v>17</v>
      </c>
      <c r="G206" s="568" t="s">
        <v>18</v>
      </c>
      <c r="H206" s="568" t="s">
        <v>19</v>
      </c>
      <c r="I206" s="569" t="s">
        <v>629</v>
      </c>
      <c r="J206" s="569">
        <v>1</v>
      </c>
      <c r="K206" s="568" t="s">
        <v>437</v>
      </c>
      <c r="L206" s="570">
        <v>43617</v>
      </c>
      <c r="M206" s="571">
        <v>6.4299999999999996E-2</v>
      </c>
      <c r="N206" s="568" t="s">
        <v>325</v>
      </c>
      <c r="O206" s="568">
        <v>2019.05</v>
      </c>
      <c r="P206" s="571" t="str">
        <f>VLOOKUP(A206,'[1]Raw data'!$B:$BB,23,FALSE)</f>
        <v>JPY</v>
      </c>
      <c r="Q206" s="568" t="str">
        <f>VLOOKUP(A206,'[1]Raw data'!$B:$Z,2,FALSE)</f>
        <v>C49SZX20190069KW</v>
      </c>
      <c r="R206" s="568" t="str">
        <f>VLOOKUP(A206,'[1]Raw data'!$B:$Z,3,FALSE)</f>
        <v>同基</v>
      </c>
      <c r="S206" s="568" t="str">
        <f>VLOOKUP(A206,'[1]Raw data'!$B:$Z,4,FALSE)</f>
        <v>YSM10</v>
      </c>
      <c r="T206" s="568" t="str">
        <f>VLOOKUP(A206,'[1]Raw data'!$B:$Z,8,FALSE)</f>
        <v>L-&gt;R</v>
      </c>
      <c r="U206" s="568" t="str">
        <f>VLOOKUP(A206,'[1]Raw data'!$B:$Z,9,FALSE)</f>
        <v>MVC+ATS15</v>
      </c>
      <c r="V206" s="572" t="str">
        <f t="shared" si="30"/>
        <v>WRONG</v>
      </c>
      <c r="W206" s="568" t="str">
        <f>VLOOKUP(A206,'[1]Raw data'!$B:$AG,32,FALSE)</f>
        <v>CIF HK</v>
      </c>
      <c r="X206" s="568">
        <f>VLOOKUP(A206,'[1]Raw data'!$B:$BA,31,FALSE)</f>
        <v>43593</v>
      </c>
      <c r="Y206" s="568" t="str">
        <f>VLOOKUP(A206,'[1]Raw data'!$B:$AS,39,FALSE)</f>
        <v>Yes</v>
      </c>
      <c r="Z206" s="573"/>
      <c r="AA206" s="574"/>
      <c r="AB206" s="575"/>
      <c r="AC206" s="568" t="s">
        <v>540</v>
      </c>
      <c r="AD206" s="576">
        <v>302</v>
      </c>
      <c r="AE206" s="576">
        <v>10</v>
      </c>
      <c r="AN206" s="547"/>
      <c r="AO206" s="829" t="str">
        <f t="shared" si="31"/>
        <v>Yes</v>
      </c>
      <c r="AP206" s="259" t="str">
        <f t="shared" si="32"/>
        <v>JUL 19</v>
      </c>
      <c r="AQ206" s="547" t="str">
        <f t="shared" si="33"/>
        <v>有定金+有預留客戶</v>
      </c>
      <c r="AR206" s="259" t="str">
        <f t="shared" si="34"/>
        <v>Shipped_Stock</v>
      </c>
      <c r="AS206" s="259" t="str">
        <f t="shared" si="35"/>
        <v/>
      </c>
      <c r="AT206" s="259" t="str">
        <f t="shared" si="36"/>
        <v>同基</v>
      </c>
      <c r="AU206" s="259" t="str">
        <f t="shared" si="37"/>
        <v>C49SZX20190069KW</v>
      </c>
      <c r="AV206" s="259" t="str">
        <f t="shared" si="38"/>
        <v>Jun-01</v>
      </c>
    </row>
    <row r="207" spans="1:48" ht="15" hidden="1" customHeight="1">
      <c r="A207" s="564">
        <v>309</v>
      </c>
      <c r="B207" s="568" t="s">
        <v>280</v>
      </c>
      <c r="C207" s="565" t="s">
        <v>281</v>
      </c>
      <c r="D207" s="569">
        <v>109563</v>
      </c>
      <c r="E207" s="568" t="s">
        <v>619</v>
      </c>
      <c r="F207" s="568" t="s">
        <v>17</v>
      </c>
      <c r="G207" s="568" t="s">
        <v>24</v>
      </c>
      <c r="H207" s="568" t="s">
        <v>19</v>
      </c>
      <c r="I207" s="569" t="s">
        <v>630</v>
      </c>
      <c r="J207" s="569">
        <v>1</v>
      </c>
      <c r="K207" s="568" t="s">
        <v>437</v>
      </c>
      <c r="L207" s="570">
        <v>43617</v>
      </c>
      <c r="M207" s="571">
        <v>6.4299999999999996E-2</v>
      </c>
      <c r="N207" s="568" t="s">
        <v>325</v>
      </c>
      <c r="O207" s="568">
        <v>2019.05</v>
      </c>
      <c r="P207" s="571" t="str">
        <f>VLOOKUP(A207,'[1]Raw data'!$B:$BB,23,FALSE)</f>
        <v>JPY</v>
      </c>
      <c r="Q207" s="568" t="str">
        <f>VLOOKUP(A207,'[1]Raw data'!$B:$Z,2,FALSE)</f>
        <v>C49SZX20190069KW</v>
      </c>
      <c r="R207" s="568" t="str">
        <f>VLOOKUP(A207,'[1]Raw data'!$B:$Z,3,FALSE)</f>
        <v>同基</v>
      </c>
      <c r="S207" s="568" t="str">
        <f>VLOOKUP(A207,'[1]Raw data'!$B:$Z,4,FALSE)</f>
        <v>YSM10</v>
      </c>
      <c r="T207" s="568" t="str">
        <f>VLOOKUP(A207,'[1]Raw data'!$B:$Z,8,FALSE)</f>
        <v>L-&gt;R</v>
      </c>
      <c r="U207" s="568" t="str">
        <f>VLOOKUP(A207,'[1]Raw data'!$B:$Z,9,FALSE)</f>
        <v>MVC+ATS15</v>
      </c>
      <c r="V207" s="572" t="str">
        <f t="shared" si="30"/>
        <v>WRONG</v>
      </c>
      <c r="W207" s="568" t="str">
        <f>VLOOKUP(A207,'[1]Raw data'!$B:$AG,32,FALSE)</f>
        <v>CIF HK</v>
      </c>
      <c r="X207" s="568">
        <f>VLOOKUP(A207,'[1]Raw data'!$B:$BA,31,FALSE)</f>
        <v>43593</v>
      </c>
      <c r="Y207" s="568" t="str">
        <f>VLOOKUP(A207,'[1]Raw data'!$B:$AS,39,FALSE)</f>
        <v>Yes</v>
      </c>
      <c r="Z207" s="573"/>
      <c r="AA207" s="574"/>
      <c r="AB207" s="575"/>
      <c r="AC207" s="568" t="s">
        <v>540</v>
      </c>
      <c r="AD207" s="576">
        <v>302</v>
      </c>
      <c r="AE207" s="576">
        <v>10</v>
      </c>
      <c r="AN207" s="547"/>
      <c r="AO207" s="829" t="str">
        <f t="shared" si="31"/>
        <v>Yes</v>
      </c>
      <c r="AP207" s="259" t="str">
        <f t="shared" si="32"/>
        <v>JUL 19</v>
      </c>
      <c r="AQ207" s="547" t="str">
        <f t="shared" si="33"/>
        <v>有定金+有預留客戶</v>
      </c>
      <c r="AR207" s="259" t="str">
        <f t="shared" si="34"/>
        <v>Shipped_Stock</v>
      </c>
      <c r="AS207" s="259" t="str">
        <f t="shared" si="35"/>
        <v/>
      </c>
      <c r="AT207" s="259" t="str">
        <f t="shared" si="36"/>
        <v>同基</v>
      </c>
      <c r="AU207" s="259" t="str">
        <f t="shared" si="37"/>
        <v>C49SZX20190069KW</v>
      </c>
      <c r="AV207" s="259" t="str">
        <f t="shared" si="38"/>
        <v>Jun-01</v>
      </c>
    </row>
    <row r="208" spans="1:48" ht="15" hidden="1" customHeight="1">
      <c r="A208" s="564">
        <v>374</v>
      </c>
      <c r="B208" s="568" t="s">
        <v>280</v>
      </c>
      <c r="C208" s="565" t="s">
        <v>281</v>
      </c>
      <c r="D208" s="569">
        <v>109564</v>
      </c>
      <c r="E208" s="568" t="s">
        <v>619</v>
      </c>
      <c r="F208" s="568" t="s">
        <v>17</v>
      </c>
      <c r="G208" s="568" t="s">
        <v>24</v>
      </c>
      <c r="H208" s="568" t="s">
        <v>26</v>
      </c>
      <c r="I208" s="569" t="s">
        <v>631</v>
      </c>
      <c r="J208" s="569">
        <v>1</v>
      </c>
      <c r="K208" s="568" t="s">
        <v>437</v>
      </c>
      <c r="L208" s="570">
        <v>43617</v>
      </c>
      <c r="M208" s="571">
        <v>6.4299999999999996E-2</v>
      </c>
      <c r="N208" s="568" t="s">
        <v>325</v>
      </c>
      <c r="O208" s="568">
        <v>2019.05</v>
      </c>
      <c r="P208" s="571" t="str">
        <f>VLOOKUP(A208,'[1]Raw data'!$B:$BB,23,FALSE)</f>
        <v>JPY</v>
      </c>
      <c r="Q208" s="568" t="str">
        <f>VLOOKUP(A208,'[1]Raw data'!$B:$Z,2,FALSE)</f>
        <v>C49SZX20190093JL</v>
      </c>
      <c r="R208" s="568" t="str">
        <f>VLOOKUP(A208,'[1]Raw data'!$B:$Z,3,FALSE)</f>
        <v>杉川/end user:放德劲</v>
      </c>
      <c r="S208" s="568" t="str">
        <f>VLOOKUP(A208,'[1]Raw data'!$B:$Z,4,FALSE)</f>
        <v>YSM10</v>
      </c>
      <c r="T208" s="568" t="str">
        <f>VLOOKUP(A208,'[1]Raw data'!$B:$Z,8,FALSE)</f>
        <v>R-&gt;L</v>
      </c>
      <c r="U208" s="568" t="str">
        <f>VLOOKUP(A208,'[1]Raw data'!$B:$Z,9,FALSE)</f>
        <v>MVC</v>
      </c>
      <c r="V208" s="572" t="str">
        <f t="shared" si="30"/>
        <v>WRONG</v>
      </c>
      <c r="W208" s="568" t="str">
        <f>VLOOKUP(A208,'[1]Raw data'!$B:$AG,32,FALSE)</f>
        <v>DAP SZ</v>
      </c>
      <c r="X208" s="568">
        <f>VLOOKUP(A208,'[1]Raw data'!$B:$BA,31,FALSE)</f>
        <v>43649</v>
      </c>
      <c r="Y208" s="568" t="str">
        <f>VLOOKUP(A208,'[1]Raw data'!$B:$AS,39,FALSE)</f>
        <v>Yes</v>
      </c>
      <c r="Z208" s="573"/>
      <c r="AA208" s="574"/>
      <c r="AB208" s="575"/>
      <c r="AC208" s="568" t="s">
        <v>573</v>
      </c>
      <c r="AD208" s="576">
        <v>301</v>
      </c>
      <c r="AE208" s="576">
        <v>10</v>
      </c>
      <c r="AN208" s="547"/>
      <c r="AO208" s="829" t="str">
        <f t="shared" si="31"/>
        <v>Yes</v>
      </c>
      <c r="AP208" s="259" t="str">
        <f t="shared" si="32"/>
        <v>JUL 19</v>
      </c>
      <c r="AQ208" s="547" t="str">
        <f t="shared" si="33"/>
        <v>有定金+有預留客戶</v>
      </c>
      <c r="AR208" s="259" t="str">
        <f t="shared" si="34"/>
        <v>Shipped_Stock</v>
      </c>
      <c r="AS208" s="259" t="str">
        <f t="shared" si="35"/>
        <v/>
      </c>
      <c r="AT208" s="259" t="str">
        <f t="shared" si="36"/>
        <v>杉川/end user:放德劲</v>
      </c>
      <c r="AU208" s="259" t="str">
        <f t="shared" si="37"/>
        <v>C49SZX20190093JL</v>
      </c>
      <c r="AV208" s="259" t="str">
        <f t="shared" si="38"/>
        <v>Jun-01</v>
      </c>
    </row>
    <row r="209" spans="1:69" ht="15" hidden="1" customHeight="1">
      <c r="A209" s="564">
        <v>366</v>
      </c>
      <c r="B209" s="568" t="s">
        <v>280</v>
      </c>
      <c r="C209" s="565" t="s">
        <v>281</v>
      </c>
      <c r="D209" s="569">
        <v>109564</v>
      </c>
      <c r="E209" s="568" t="s">
        <v>619</v>
      </c>
      <c r="F209" s="568" t="s">
        <v>17</v>
      </c>
      <c r="G209" s="568" t="s">
        <v>24</v>
      </c>
      <c r="H209" s="568" t="s">
        <v>26</v>
      </c>
      <c r="I209" s="569" t="s">
        <v>632</v>
      </c>
      <c r="J209" s="569">
        <v>1</v>
      </c>
      <c r="K209" s="568" t="s">
        <v>437</v>
      </c>
      <c r="L209" s="570">
        <v>43617</v>
      </c>
      <c r="M209" s="571">
        <v>6.4299999999999996E-2</v>
      </c>
      <c r="N209" s="568" t="s">
        <v>325</v>
      </c>
      <c r="O209" s="568">
        <v>2019.05</v>
      </c>
      <c r="P209" s="571" t="str">
        <f>VLOOKUP(A209,'[1]Raw data'!$B:$BB,23,FALSE)</f>
        <v>RMB</v>
      </c>
      <c r="Q209" s="568" t="str">
        <f>VLOOKUP(A209,'[1]Raw data'!$B:$Z,2,FALSE)</f>
        <v>C49SZX20190108ZX</v>
      </c>
      <c r="R209" s="568" t="str">
        <f>VLOOKUP(A209,'[1]Raw data'!$B:$Z,3,FALSE)</f>
        <v>帝泰克</v>
      </c>
      <c r="S209" s="568" t="str">
        <f>VLOOKUP(A209,'[1]Raw data'!$B:$Z,4,FALSE)</f>
        <v>YSM10</v>
      </c>
      <c r="T209" s="568" t="str">
        <f>VLOOKUP(A209,'[1]Raw data'!$B:$Z,8,FALSE)</f>
        <v>L-&gt;R</v>
      </c>
      <c r="U209" s="568" t="str">
        <f>VLOOKUP(A209,'[1]Raw data'!$B:$Z,9,FALSE)</f>
        <v>No</v>
      </c>
      <c r="V209" s="572" t="str">
        <f t="shared" si="30"/>
        <v>OK</v>
      </c>
      <c r="W209" s="568" t="str">
        <f>VLOOKUP(A209,'[1]Raw data'!$B:$AG,32,FALSE)</f>
        <v>含税到厂</v>
      </c>
      <c r="X209" s="568">
        <f>VLOOKUP(A209,'[1]Raw data'!$B:$BA,31,FALSE)</f>
        <v>43580</v>
      </c>
      <c r="Y209" s="568" t="str">
        <f>VLOOKUP(A209,'[1]Raw data'!$B:$AS,39,FALSE)</f>
        <v>Yes</v>
      </c>
      <c r="Z209" s="573" t="s">
        <v>290</v>
      </c>
      <c r="AA209" s="574" t="s">
        <v>290</v>
      </c>
      <c r="AB209" s="575"/>
      <c r="AC209" s="568" t="s">
        <v>545</v>
      </c>
      <c r="AD209" s="576">
        <v>301</v>
      </c>
      <c r="AE209" s="576">
        <v>10</v>
      </c>
      <c r="AN209" s="547"/>
      <c r="AO209" s="829" t="str">
        <f t="shared" si="31"/>
        <v>Yes</v>
      </c>
      <c r="AP209" s="259" t="str">
        <f t="shared" si="32"/>
        <v>JUL 19</v>
      </c>
      <c r="AQ209" s="547" t="str">
        <f t="shared" si="33"/>
        <v>有定金+有預留客戶</v>
      </c>
      <c r="AR209" s="259" t="str">
        <f t="shared" si="34"/>
        <v>Shipped_Stock</v>
      </c>
      <c r="AS209" s="259" t="str">
        <f t="shared" si="35"/>
        <v/>
      </c>
      <c r="AT209" s="259" t="str">
        <f t="shared" si="36"/>
        <v>帝泰克</v>
      </c>
      <c r="AU209" s="259" t="str">
        <f t="shared" si="37"/>
        <v>C49SZX20190108ZX</v>
      </c>
      <c r="AV209" s="259" t="str">
        <f t="shared" si="38"/>
        <v>Jun-01</v>
      </c>
    </row>
    <row r="210" spans="1:69" ht="15" hidden="1" customHeight="1">
      <c r="A210" s="564">
        <v>419</v>
      </c>
      <c r="B210" s="568" t="s">
        <v>280</v>
      </c>
      <c r="C210" s="565" t="s">
        <v>281</v>
      </c>
      <c r="D210" s="569">
        <v>109564</v>
      </c>
      <c r="E210" s="568" t="s">
        <v>619</v>
      </c>
      <c r="F210" s="568" t="s">
        <v>17</v>
      </c>
      <c r="G210" s="568" t="s">
        <v>24</v>
      </c>
      <c r="H210" s="568" t="s">
        <v>19</v>
      </c>
      <c r="I210" s="569" t="s">
        <v>633</v>
      </c>
      <c r="J210" s="569">
        <v>1</v>
      </c>
      <c r="K210" s="568" t="s">
        <v>605</v>
      </c>
      <c r="L210" s="570">
        <v>43617</v>
      </c>
      <c r="M210" s="571">
        <v>6.4299999999999996E-2</v>
      </c>
      <c r="N210" s="568" t="s">
        <v>320</v>
      </c>
      <c r="O210" s="568">
        <v>2019.05</v>
      </c>
      <c r="P210" s="571" t="str">
        <f>VLOOKUP(A210,'[1]Raw data'!$B:$BB,23,FALSE)</f>
        <v>RMB</v>
      </c>
      <c r="Q210" s="568" t="str">
        <f>VLOOKUP(A210,'[1]Raw data'!$B:$Z,2,FALSE)</f>
        <v>C49SZX20190129DZ</v>
      </c>
      <c r="R210" s="568" t="str">
        <f>VLOOKUP(A210,'[1]Raw data'!$B:$Z,3,FALSE)</f>
        <v>博星</v>
      </c>
      <c r="S210" s="568" t="str">
        <f>VLOOKUP(A210,'[1]Raw data'!$B:$Z,4,FALSE)</f>
        <v>YSM10</v>
      </c>
      <c r="T210" s="568" t="str">
        <f>VLOOKUP(A210,'[1]Raw data'!$B:$Z,8,FALSE)</f>
        <v>L-&gt;R</v>
      </c>
      <c r="U210" s="568" t="str">
        <f>VLOOKUP(A210,'[1]Raw data'!$B:$Z,9,FALSE)</f>
        <v>MVC+ATS15</v>
      </c>
      <c r="V210" s="572" t="str">
        <f t="shared" si="30"/>
        <v>WRONG</v>
      </c>
      <c r="W210" s="568" t="str">
        <f>VLOOKUP(A210,'[1]Raw data'!$B:$AG,32,FALSE)</f>
        <v>含税到厂</v>
      </c>
      <c r="X210" s="568">
        <f>VLOOKUP(A210,'[1]Raw data'!$B:$BA,31,FALSE)</f>
        <v>43708</v>
      </c>
      <c r="Y210" s="568" t="str">
        <f>VLOOKUP(A210,'[1]Raw data'!$B:$AS,39,FALSE)</f>
        <v>Yes</v>
      </c>
      <c r="Z210" s="573"/>
      <c r="AA210" s="574"/>
      <c r="AB210" s="575"/>
      <c r="AC210" s="568" t="s">
        <v>606</v>
      </c>
      <c r="AD210" s="576">
        <v>301</v>
      </c>
      <c r="AE210" s="576">
        <v>10</v>
      </c>
      <c r="AN210" s="547"/>
      <c r="AO210" s="829" t="str">
        <f t="shared" si="31"/>
        <v>Yes</v>
      </c>
      <c r="AP210" s="259" t="str">
        <f t="shared" si="32"/>
        <v>SEP 19</v>
      </c>
      <c r="AQ210" s="547" t="str">
        <f t="shared" si="33"/>
        <v>有定金+有預留客戶</v>
      </c>
      <c r="AR210" s="259" t="str">
        <f t="shared" si="34"/>
        <v>Shipped_Stock</v>
      </c>
      <c r="AS210" s="259" t="str">
        <f t="shared" si="35"/>
        <v/>
      </c>
      <c r="AT210" s="259" t="str">
        <f t="shared" si="36"/>
        <v>博星</v>
      </c>
      <c r="AU210" s="259" t="str">
        <f t="shared" si="37"/>
        <v>C49SZX20190129DZ</v>
      </c>
      <c r="AV210" s="259" t="str">
        <f t="shared" si="38"/>
        <v>Jun-01</v>
      </c>
    </row>
    <row r="211" spans="1:69" ht="15" hidden="1" customHeight="1">
      <c r="A211" s="564">
        <v>346</v>
      </c>
      <c r="B211" s="568" t="s">
        <v>280</v>
      </c>
      <c r="C211" s="565" t="s">
        <v>281</v>
      </c>
      <c r="D211" s="604">
        <v>109622</v>
      </c>
      <c r="E211" s="568" t="s">
        <v>634</v>
      </c>
      <c r="F211" s="568" t="s">
        <v>411</v>
      </c>
      <c r="G211" s="568" t="s">
        <v>24</v>
      </c>
      <c r="H211" s="568" t="s">
        <v>26</v>
      </c>
      <c r="I211" s="569" t="s">
        <v>635</v>
      </c>
      <c r="J211" s="569">
        <v>1</v>
      </c>
      <c r="K211" s="568" t="s">
        <v>636</v>
      </c>
      <c r="L211" s="570">
        <v>43647</v>
      </c>
      <c r="M211" s="571" t="s">
        <v>307</v>
      </c>
      <c r="N211" s="568" t="s">
        <v>325</v>
      </c>
      <c r="O211" s="568">
        <v>2018.09</v>
      </c>
      <c r="P211" s="571" t="str">
        <f>VLOOKUP(A211,'[1]Raw data'!$B:$BB,23,FALSE)</f>
        <v>JPY</v>
      </c>
      <c r="Q211" s="568" t="str">
        <f>VLOOKUP(A211,'[1]Raw data'!$B:$Z,2,FALSE)</f>
        <v>C49SZX20190094MZ</v>
      </c>
      <c r="R211" s="568" t="str">
        <f>VLOOKUP(A211,'[1]Raw data'!$B:$Z,3,FALSE)</f>
        <v>崧盛</v>
      </c>
      <c r="S211" s="568" t="str">
        <f>VLOOKUP(A211,'[1]Raw data'!$B:$Z,4,FALSE)</f>
        <v>YS24</v>
      </c>
      <c r="T211" s="568" t="str">
        <f>VLOOKUP(A211,'[1]Raw data'!$B:$Z,8,FALSE)</f>
        <v>L-&gt;R</v>
      </c>
      <c r="U211" s="568" t="str">
        <f>VLOOKUP(A211,'[1]Raw data'!$B:$Z,9,FALSE)</f>
        <v>No</v>
      </c>
      <c r="V211" s="572" t="str">
        <f t="shared" si="30"/>
        <v>OK</v>
      </c>
      <c r="W211" s="568" t="str">
        <f>VLOOKUP(A211,'[1]Raw data'!$B:$AG,32,FALSE)</f>
        <v>CIF HK</v>
      </c>
      <c r="X211" s="568">
        <f>VLOOKUP(A211,'[1]Raw data'!$B:$BA,31,FALSE)</f>
        <v>43629</v>
      </c>
      <c r="Y211" s="568" t="str">
        <f>VLOOKUP(A211,'[1]Raw data'!$B:$AS,39,FALSE)</f>
        <v>Yes</v>
      </c>
      <c r="Z211" s="573"/>
      <c r="AA211" s="574"/>
      <c r="AB211" s="575"/>
      <c r="AC211" s="568" t="s">
        <v>637</v>
      </c>
      <c r="AD211" s="576">
        <v>301</v>
      </c>
      <c r="AE211" s="576">
        <v>20</v>
      </c>
      <c r="AN211" s="547"/>
      <c r="AO211" s="829" t="str">
        <f t="shared" si="31"/>
        <v>Yes</v>
      </c>
      <c r="AP211" s="259" t="str">
        <f t="shared" si="32"/>
        <v>JUL 19</v>
      </c>
      <c r="AQ211" s="547" t="str">
        <f t="shared" si="33"/>
        <v>有定金+有預留客戶</v>
      </c>
      <c r="AR211" s="259" t="str">
        <f t="shared" si="34"/>
        <v>Shipped_Stock</v>
      </c>
      <c r="AS211" s="259" t="str">
        <f t="shared" si="35"/>
        <v/>
      </c>
      <c r="AT211" s="259" t="str">
        <f t="shared" si="36"/>
        <v>崧盛</v>
      </c>
      <c r="AU211" s="259" t="str">
        <f t="shared" si="37"/>
        <v>C49SZX20190094MZ</v>
      </c>
      <c r="AV211" s="259" t="str">
        <f t="shared" si="38"/>
        <v>Jul-01</v>
      </c>
    </row>
    <row r="212" spans="1:69" ht="15" hidden="1" customHeight="1">
      <c r="A212" s="564">
        <v>347</v>
      </c>
      <c r="B212" s="565" t="s">
        <v>280</v>
      </c>
      <c r="C212" s="565" t="s">
        <v>281</v>
      </c>
      <c r="D212" s="605">
        <v>109622</v>
      </c>
      <c r="E212" s="568" t="s">
        <v>634</v>
      </c>
      <c r="F212" s="568" t="s">
        <v>411</v>
      </c>
      <c r="G212" s="568" t="s">
        <v>24</v>
      </c>
      <c r="H212" s="568" t="s">
        <v>26</v>
      </c>
      <c r="I212" s="569" t="s">
        <v>638</v>
      </c>
      <c r="J212" s="569">
        <v>1</v>
      </c>
      <c r="K212" s="568" t="s">
        <v>636</v>
      </c>
      <c r="L212" s="570">
        <v>43647</v>
      </c>
      <c r="M212" s="571" t="s">
        <v>307</v>
      </c>
      <c r="N212" s="568" t="s">
        <v>325</v>
      </c>
      <c r="O212" s="568">
        <v>2018.09</v>
      </c>
      <c r="P212" s="571" t="str">
        <f>VLOOKUP(A212,'[1]Raw data'!$B:$BB,23,FALSE)</f>
        <v>JPY</v>
      </c>
      <c r="Q212" s="568" t="str">
        <f>VLOOKUP(A212,'[1]Raw data'!$B:$Z,2,FALSE)</f>
        <v>C49SZX20190094MZ</v>
      </c>
      <c r="R212" s="568" t="str">
        <f>VLOOKUP(A212,'[1]Raw data'!$B:$Z,3,FALSE)</f>
        <v>崧盛</v>
      </c>
      <c r="S212" s="568" t="str">
        <f>VLOOKUP(A212,'[1]Raw data'!$B:$Z,4,FALSE)</f>
        <v>YS24</v>
      </c>
      <c r="T212" s="568" t="str">
        <f>VLOOKUP(A212,'[1]Raw data'!$B:$Z,8,FALSE)</f>
        <v>L-&gt;R</v>
      </c>
      <c r="U212" s="568" t="str">
        <f>VLOOKUP(A212,'[1]Raw data'!$B:$Z,9,FALSE)</f>
        <v>No</v>
      </c>
      <c r="V212" s="572" t="str">
        <f t="shared" si="30"/>
        <v>OK</v>
      </c>
      <c r="W212" s="568" t="str">
        <f>VLOOKUP(A212,'[1]Raw data'!$B:$AG,32,FALSE)</f>
        <v>CIF HK</v>
      </c>
      <c r="X212" s="568">
        <f>VLOOKUP(A212,'[1]Raw data'!$B:$BA,31,FALSE)</f>
        <v>43629</v>
      </c>
      <c r="Y212" s="568" t="str">
        <f>VLOOKUP(A212,'[1]Raw data'!$B:$AS,39,FALSE)</f>
        <v>Yes</v>
      </c>
      <c r="Z212" s="573"/>
      <c r="AA212" s="574"/>
      <c r="AB212" s="575"/>
      <c r="AC212" s="568" t="s">
        <v>637</v>
      </c>
      <c r="AD212" s="576">
        <v>301</v>
      </c>
      <c r="AE212" s="576">
        <v>20</v>
      </c>
      <c r="AN212" s="547"/>
      <c r="AO212" s="829" t="str">
        <f t="shared" si="31"/>
        <v>Yes</v>
      </c>
      <c r="AP212" s="259" t="str">
        <f t="shared" si="32"/>
        <v>JUL 19</v>
      </c>
      <c r="AQ212" s="547" t="str">
        <f t="shared" si="33"/>
        <v>有定金+有預留客戶</v>
      </c>
      <c r="AR212" s="259" t="str">
        <f t="shared" si="34"/>
        <v>Shipped_Stock</v>
      </c>
      <c r="AS212" s="259" t="str">
        <f t="shared" si="35"/>
        <v/>
      </c>
      <c r="AT212" s="259" t="str">
        <f t="shared" si="36"/>
        <v>崧盛</v>
      </c>
      <c r="AU212" s="259" t="str">
        <f t="shared" si="37"/>
        <v>C49SZX20190094MZ</v>
      </c>
      <c r="AV212" s="259" t="str">
        <f t="shared" si="38"/>
        <v>Jul-01</v>
      </c>
    </row>
    <row r="213" spans="1:69" ht="15" hidden="1" customHeight="1">
      <c r="A213" s="606"/>
      <c r="B213" s="607" t="s">
        <v>280</v>
      </c>
      <c r="C213" s="565" t="s">
        <v>281</v>
      </c>
      <c r="D213" s="608">
        <v>109566</v>
      </c>
      <c r="E213" s="609" t="s">
        <v>619</v>
      </c>
      <c r="F213" s="609" t="s">
        <v>17</v>
      </c>
      <c r="G213" s="609" t="s">
        <v>24</v>
      </c>
      <c r="H213" s="609" t="s">
        <v>26</v>
      </c>
      <c r="I213" s="610" t="s">
        <v>639</v>
      </c>
      <c r="J213" s="611" t="s">
        <v>640</v>
      </c>
      <c r="K213" s="609" t="s">
        <v>641</v>
      </c>
      <c r="L213" s="612">
        <v>43649</v>
      </c>
      <c r="M213" s="610">
        <v>6.4699999999999994E-2</v>
      </c>
      <c r="N213" s="609" t="s">
        <v>280</v>
      </c>
      <c r="O213" s="609">
        <v>2019.06</v>
      </c>
      <c r="P213" s="571" t="e">
        <f>VLOOKUP(A213,'[1]Raw data'!$B:$BB,23,FALSE)</f>
        <v>#N/A</v>
      </c>
      <c r="Q213" s="568" t="e">
        <f>VLOOKUP(A213,'[1]Raw data'!$B:$Z,2,FALSE)</f>
        <v>#N/A</v>
      </c>
      <c r="R213" s="568" t="e">
        <f>VLOOKUP(A213,'[1]Raw data'!$B:$Z,3,FALSE)</f>
        <v>#N/A</v>
      </c>
      <c r="S213" s="568" t="e">
        <f>VLOOKUP(A213,'[1]Raw data'!$B:$Z,4,FALSE)</f>
        <v>#N/A</v>
      </c>
      <c r="T213" s="568" t="e">
        <f>VLOOKUP(A213,'[1]Raw data'!$B:$Z,8,FALSE)</f>
        <v>#N/A</v>
      </c>
      <c r="U213" s="568" t="e">
        <f>VLOOKUP(A213,'[1]Raw data'!$B:$Z,9,FALSE)</f>
        <v>#N/A</v>
      </c>
      <c r="V213" s="613"/>
      <c r="W213" s="568" t="e">
        <f>VLOOKUP(A213,'[1]Raw data'!$B:$AG,32,FALSE)</f>
        <v>#N/A</v>
      </c>
      <c r="X213" s="568" t="e">
        <f>VLOOKUP(A213,'[1]Raw data'!$B:$BA,31,FALSE)</f>
        <v>#N/A</v>
      </c>
      <c r="Y213" s="568" t="e">
        <f>VLOOKUP(A213,'[1]Raw data'!$B:$AS,39,FALSE)</f>
        <v>#N/A</v>
      </c>
      <c r="Z213" s="614"/>
      <c r="AA213" s="615"/>
      <c r="AB213" s="616"/>
      <c r="AC213" s="609"/>
      <c r="AD213" s="611"/>
      <c r="AE213" s="611"/>
      <c r="AF213" s="611"/>
      <c r="AG213" s="611"/>
      <c r="AH213" s="611"/>
      <c r="AI213" s="617"/>
      <c r="AJ213" s="611"/>
      <c r="AK213" s="611"/>
      <c r="AL213" s="611"/>
      <c r="AM213" s="611"/>
      <c r="AN213" s="599"/>
      <c r="AO213" s="829" t="str">
        <f t="shared" si="31"/>
        <v>No</v>
      </c>
      <c r="AP213" s="259" t="str">
        <f t="shared" si="32"/>
        <v>已发货</v>
      </c>
      <c r="AQ213" s="547" t="str">
        <f t="shared" si="33"/>
        <v>无定金+有預留客戶</v>
      </c>
      <c r="AR213" s="259" t="str">
        <f t="shared" si="34"/>
        <v>Shipped_Stock</v>
      </c>
      <c r="AS213" s="259" t="str">
        <f t="shared" si="35"/>
        <v/>
      </c>
      <c r="AT213" s="259" t="str">
        <f t="shared" si="36"/>
        <v>-</v>
      </c>
      <c r="AU213" s="259" t="str">
        <f t="shared" si="37"/>
        <v>-</v>
      </c>
      <c r="AV213" s="259" t="str">
        <f t="shared" si="38"/>
        <v>Jul-03</v>
      </c>
    </row>
    <row r="214" spans="1:69" ht="15" hidden="1" customHeight="1">
      <c r="A214" s="564">
        <v>390</v>
      </c>
      <c r="B214" s="568" t="s">
        <v>280</v>
      </c>
      <c r="C214" s="565" t="s">
        <v>281</v>
      </c>
      <c r="D214" s="608">
        <v>109565</v>
      </c>
      <c r="E214" s="568" t="s">
        <v>619</v>
      </c>
      <c r="F214" s="568" t="s">
        <v>17</v>
      </c>
      <c r="G214" s="568" t="s">
        <v>24</v>
      </c>
      <c r="H214" s="568" t="s">
        <v>26</v>
      </c>
      <c r="I214" s="569" t="s">
        <v>642</v>
      </c>
      <c r="J214" s="569">
        <v>1</v>
      </c>
      <c r="K214" s="568" t="s">
        <v>295</v>
      </c>
      <c r="L214" s="570">
        <v>43649</v>
      </c>
      <c r="M214" s="571">
        <v>6.4699999999999994E-2</v>
      </c>
      <c r="N214" s="568" t="s">
        <v>417</v>
      </c>
      <c r="O214" s="568">
        <v>2019.06</v>
      </c>
      <c r="P214" s="571" t="str">
        <f>VLOOKUP(A214,'[1]Raw data'!$B:$BB,23,FALSE)</f>
        <v>RMB</v>
      </c>
      <c r="Q214" s="568" t="str">
        <f>VLOOKUP(A214,'[1]Raw data'!$B:$Z,2,FALSE)</f>
        <v>C49SZX20190115SS</v>
      </c>
      <c r="R214" s="568" t="str">
        <f>VLOOKUP(A214,'[1]Raw data'!$B:$Z,3,FALSE)</f>
        <v>正创/End user:世启纳</v>
      </c>
      <c r="S214" s="568" t="str">
        <f>VLOOKUP(A214,'[1]Raw data'!$B:$Z,4,FALSE)</f>
        <v>YSM10</v>
      </c>
      <c r="T214" s="568" t="str">
        <f>VLOOKUP(A214,'[1]Raw data'!$B:$Z,8,FALSE)</f>
        <v>R-&gt;L</v>
      </c>
      <c r="U214" s="568" t="str">
        <f>VLOOKUP(A214,'[1]Raw data'!$B:$Z,9,FALSE)</f>
        <v>MVC</v>
      </c>
      <c r="V214" s="572" t="str">
        <f t="shared" ref="V214:V277" si="39">IF(G214&amp;H214=T214&amp;U214,"OK","WRONG")</f>
        <v>WRONG</v>
      </c>
      <c r="W214" s="568" t="str">
        <f>VLOOKUP(A214,'[1]Raw data'!$B:$AG,32,FALSE)</f>
        <v>含税到厂</v>
      </c>
      <c r="X214" s="568">
        <f>VLOOKUP(A214,'[1]Raw data'!$B:$BA,31,FALSE)</f>
        <v>43691</v>
      </c>
      <c r="Y214" s="568" t="str">
        <f>VLOOKUP(A214,'[1]Raw data'!$B:$AS,39,FALSE)</f>
        <v>Yes</v>
      </c>
      <c r="Z214" s="573"/>
      <c r="AA214" s="574"/>
      <c r="AB214" s="575"/>
      <c r="AC214" s="568" t="s">
        <v>643</v>
      </c>
      <c r="AD214" s="576">
        <v>301</v>
      </c>
      <c r="AE214" s="576">
        <v>10</v>
      </c>
      <c r="AN214" s="547"/>
      <c r="AO214" s="829" t="str">
        <f t="shared" si="31"/>
        <v>Yes</v>
      </c>
      <c r="AP214" s="259" t="str">
        <f t="shared" si="32"/>
        <v>AUG 19</v>
      </c>
      <c r="AQ214" s="547" t="str">
        <f t="shared" si="33"/>
        <v>有定金+有預留客戶</v>
      </c>
      <c r="AR214" s="259" t="str">
        <f t="shared" si="34"/>
        <v>Shipped_Stock</v>
      </c>
      <c r="AS214" s="259" t="str">
        <f t="shared" si="35"/>
        <v/>
      </c>
      <c r="AT214" s="259" t="str">
        <f t="shared" si="36"/>
        <v>正创/End user:世启纳</v>
      </c>
      <c r="AU214" s="259" t="str">
        <f t="shared" si="37"/>
        <v>C49SZX20190115SS</v>
      </c>
      <c r="AV214" s="259" t="str">
        <f t="shared" si="38"/>
        <v>Jul-03</v>
      </c>
    </row>
    <row r="215" spans="1:69" ht="15" hidden="1" customHeight="1">
      <c r="A215" s="564">
        <v>396</v>
      </c>
      <c r="B215" s="568" t="s">
        <v>280</v>
      </c>
      <c r="C215" s="565" t="s">
        <v>281</v>
      </c>
      <c r="D215" s="605">
        <v>109603</v>
      </c>
      <c r="E215" s="568" t="s">
        <v>644</v>
      </c>
      <c r="F215" s="568" t="s">
        <v>256</v>
      </c>
      <c r="G215" s="568" t="s">
        <v>18</v>
      </c>
      <c r="H215" s="568" t="s">
        <v>26</v>
      </c>
      <c r="I215" s="569" t="s">
        <v>645</v>
      </c>
      <c r="J215" s="569">
        <v>1</v>
      </c>
      <c r="K215" s="568" t="s">
        <v>295</v>
      </c>
      <c r="L215" s="570">
        <v>43649</v>
      </c>
      <c r="M215" s="571">
        <v>6.4699999999999994E-2</v>
      </c>
      <c r="N215" s="568" t="s">
        <v>320</v>
      </c>
      <c r="O215" s="569">
        <v>2019.06</v>
      </c>
      <c r="P215" s="571" t="str">
        <f>VLOOKUP(A215,'[1]Raw data'!$B:$BB,23,FALSE)</f>
        <v>RMB</v>
      </c>
      <c r="Q215" s="568" t="str">
        <f>VLOOKUP(A215,'[1]Raw data'!$B:$Z,2,FALSE)</f>
        <v>C49SZX20190119SX</v>
      </c>
      <c r="R215" s="568" t="str">
        <f>VLOOKUP(A215,'[1]Raw data'!$B:$Z,3,FALSE)</f>
        <v>太美亚</v>
      </c>
      <c r="S215" s="568" t="str">
        <f>VLOOKUP(A215,'[1]Raw data'!$B:$Z,4,FALSE)</f>
        <v>YSM20R(SV)-2</v>
      </c>
      <c r="T215" s="568" t="str">
        <f>VLOOKUP(A215,'[1]Raw data'!$B:$Z,8,FALSE)</f>
        <v>R-&gt;L</v>
      </c>
      <c r="U215" s="568" t="str">
        <f>VLOOKUP(A215,'[1]Raw data'!$B:$Z,9,FALSE)</f>
        <v>No</v>
      </c>
      <c r="V215" s="572" t="str">
        <f t="shared" si="39"/>
        <v>OK</v>
      </c>
      <c r="W215" s="568" t="str">
        <f>VLOOKUP(A215,'[1]Raw data'!$B:$AG,32,FALSE)</f>
        <v>含税到厂</v>
      </c>
      <c r="X215" s="568">
        <f>VLOOKUP(A215,'[1]Raw data'!$B:$BA,31,FALSE)</f>
        <v>43693</v>
      </c>
      <c r="Y215" s="568" t="str">
        <f>VLOOKUP(A215,'[1]Raw data'!$B:$AS,39,FALSE)</f>
        <v>Yes</v>
      </c>
      <c r="Z215" s="573" t="s">
        <v>329</v>
      </c>
      <c r="AA215" s="574" t="s">
        <v>329</v>
      </c>
      <c r="AB215" s="575"/>
      <c r="AC215" s="568" t="s">
        <v>476</v>
      </c>
      <c r="AD215" s="576">
        <v>312</v>
      </c>
      <c r="AE215" s="576">
        <v>10</v>
      </c>
      <c r="AF215" s="576">
        <v>303</v>
      </c>
      <c r="AG215" s="576">
        <v>10</v>
      </c>
      <c r="AN215" s="547"/>
      <c r="AO215" s="829" t="str">
        <f t="shared" si="31"/>
        <v>Yes</v>
      </c>
      <c r="AP215" s="259" t="str">
        <f t="shared" si="32"/>
        <v>SEP 19</v>
      </c>
      <c r="AQ215" s="547" t="str">
        <f t="shared" si="33"/>
        <v>有定金+有預留客戶</v>
      </c>
      <c r="AR215" s="259" t="str">
        <f t="shared" si="34"/>
        <v>Shipped_Stock</v>
      </c>
      <c r="AS215" s="259" t="str">
        <f t="shared" si="35"/>
        <v/>
      </c>
      <c r="AT215" s="259" t="str">
        <f t="shared" si="36"/>
        <v>太美亚</v>
      </c>
      <c r="AU215" s="259" t="str">
        <f t="shared" si="37"/>
        <v>C49SZX20190119SX</v>
      </c>
      <c r="AV215" s="259" t="str">
        <f t="shared" si="38"/>
        <v>Jul-03</v>
      </c>
    </row>
    <row r="216" spans="1:69" ht="15" hidden="1" customHeight="1">
      <c r="A216" s="564">
        <v>399</v>
      </c>
      <c r="B216" s="565" t="s">
        <v>280</v>
      </c>
      <c r="C216" s="565" t="s">
        <v>281</v>
      </c>
      <c r="D216" s="608">
        <v>109566</v>
      </c>
      <c r="E216" s="568" t="s">
        <v>619</v>
      </c>
      <c r="F216" s="568" t="s">
        <v>17</v>
      </c>
      <c r="G216" s="568" t="s">
        <v>24</v>
      </c>
      <c r="H216" s="568" t="s">
        <v>26</v>
      </c>
      <c r="I216" s="569" t="s">
        <v>646</v>
      </c>
      <c r="J216" s="569">
        <v>1</v>
      </c>
      <c r="K216" s="568" t="s">
        <v>295</v>
      </c>
      <c r="L216" s="570">
        <v>43649</v>
      </c>
      <c r="M216" s="571">
        <v>6.4699999999999994E-2</v>
      </c>
      <c r="N216" s="568" t="s">
        <v>320</v>
      </c>
      <c r="O216" s="568">
        <v>2019.06</v>
      </c>
      <c r="P216" s="571" t="str">
        <f>VLOOKUP(A216,'[1]Raw data'!$B:$BB,23,FALSE)</f>
        <v>RMB</v>
      </c>
      <c r="Q216" s="568" t="str">
        <f>VLOOKUP(A216,'[1]Raw data'!$B:$Z,2,FALSE)</f>
        <v>C49SZX20190119SX</v>
      </c>
      <c r="R216" s="568" t="str">
        <f>VLOOKUP(A216,'[1]Raw data'!$B:$Z,3,FALSE)</f>
        <v>太美亚</v>
      </c>
      <c r="S216" s="568" t="str">
        <f>VLOOKUP(A216,'[1]Raw data'!$B:$Z,4,FALSE)</f>
        <v>YSM10</v>
      </c>
      <c r="T216" s="568" t="str">
        <f>VLOOKUP(A216,'[1]Raw data'!$B:$Z,8,FALSE)</f>
        <v>L-&gt;R</v>
      </c>
      <c r="U216" s="568" t="str">
        <f>VLOOKUP(A216,'[1]Raw data'!$B:$Z,9,FALSE)</f>
        <v>MVC</v>
      </c>
      <c r="V216" s="572" t="str">
        <f t="shared" si="39"/>
        <v>WRONG</v>
      </c>
      <c r="W216" s="568" t="str">
        <f>VLOOKUP(A216,'[1]Raw data'!$B:$AG,32,FALSE)</f>
        <v>含税到厂</v>
      </c>
      <c r="X216" s="568">
        <f>VLOOKUP(A216,'[1]Raw data'!$B:$BA,31,FALSE)</f>
        <v>43693</v>
      </c>
      <c r="Y216" s="568" t="str">
        <f>VLOOKUP(A216,'[1]Raw data'!$B:$AS,39,FALSE)</f>
        <v>Yes</v>
      </c>
      <c r="Z216" s="573" t="s">
        <v>329</v>
      </c>
      <c r="AA216" s="574" t="s">
        <v>329</v>
      </c>
      <c r="AB216" s="575"/>
      <c r="AC216" s="568" t="s">
        <v>476</v>
      </c>
      <c r="AD216" s="576">
        <v>302</v>
      </c>
      <c r="AE216" s="576">
        <v>10</v>
      </c>
      <c r="AN216" s="547"/>
      <c r="AO216" s="829" t="str">
        <f t="shared" si="31"/>
        <v>Yes</v>
      </c>
      <c r="AP216" s="259" t="str">
        <f t="shared" si="32"/>
        <v>SEP 19</v>
      </c>
      <c r="AQ216" s="547" t="str">
        <f t="shared" si="33"/>
        <v>有定金+有預留客戶</v>
      </c>
      <c r="AR216" s="259" t="str">
        <f t="shared" si="34"/>
        <v>Shipped_Stock</v>
      </c>
      <c r="AS216" s="259" t="str">
        <f t="shared" si="35"/>
        <v/>
      </c>
      <c r="AT216" s="259" t="str">
        <f t="shared" si="36"/>
        <v>太美亚</v>
      </c>
      <c r="AU216" s="259" t="str">
        <f t="shared" si="37"/>
        <v>C49SZX20190119SX</v>
      </c>
      <c r="AV216" s="259" t="str">
        <f t="shared" si="38"/>
        <v>Jul-03</v>
      </c>
    </row>
    <row r="217" spans="1:69" ht="15" hidden="1" customHeight="1">
      <c r="A217" s="564">
        <v>400</v>
      </c>
      <c r="B217" s="565" t="s">
        <v>280</v>
      </c>
      <c r="C217" s="565" t="s">
        <v>281</v>
      </c>
      <c r="D217" s="608">
        <v>109566</v>
      </c>
      <c r="E217" s="568" t="s">
        <v>619</v>
      </c>
      <c r="F217" s="568" t="s">
        <v>17</v>
      </c>
      <c r="G217" s="568" t="s">
        <v>24</v>
      </c>
      <c r="H217" s="568" t="s">
        <v>26</v>
      </c>
      <c r="I217" s="569" t="s">
        <v>647</v>
      </c>
      <c r="J217" s="569">
        <v>1</v>
      </c>
      <c r="K217" s="568" t="s">
        <v>295</v>
      </c>
      <c r="L217" s="570">
        <v>43649</v>
      </c>
      <c r="M217" s="571">
        <v>6.4699999999999994E-2</v>
      </c>
      <c r="N217" s="568" t="s">
        <v>320</v>
      </c>
      <c r="O217" s="568">
        <v>2019.06</v>
      </c>
      <c r="P217" s="571" t="str">
        <f>VLOOKUP(A217,'[1]Raw data'!$B:$BB,23,FALSE)</f>
        <v>RMB</v>
      </c>
      <c r="Q217" s="568" t="str">
        <f>VLOOKUP(A217,'[1]Raw data'!$B:$Z,2,FALSE)</f>
        <v>C49SZX20190119SX</v>
      </c>
      <c r="R217" s="568" t="str">
        <f>VLOOKUP(A217,'[1]Raw data'!$B:$Z,3,FALSE)</f>
        <v>太美亚</v>
      </c>
      <c r="S217" s="568" t="str">
        <f>VLOOKUP(A217,'[1]Raw data'!$B:$Z,4,FALSE)</f>
        <v>YSM10</v>
      </c>
      <c r="T217" s="568" t="str">
        <f>VLOOKUP(A217,'[1]Raw data'!$B:$Z,8,FALSE)</f>
        <v>L-&gt;R</v>
      </c>
      <c r="U217" s="568" t="str">
        <f>VLOOKUP(A217,'[1]Raw data'!$B:$Z,9,FALSE)</f>
        <v>MVC</v>
      </c>
      <c r="V217" s="572" t="str">
        <f t="shared" si="39"/>
        <v>WRONG</v>
      </c>
      <c r="W217" s="568" t="str">
        <f>VLOOKUP(A217,'[1]Raw data'!$B:$AG,32,FALSE)</f>
        <v>含税到厂</v>
      </c>
      <c r="X217" s="568">
        <f>VLOOKUP(A217,'[1]Raw data'!$B:$BA,31,FALSE)</f>
        <v>43693</v>
      </c>
      <c r="Y217" s="568" t="str">
        <f>VLOOKUP(A217,'[1]Raw data'!$B:$AS,39,FALSE)</f>
        <v>Yes</v>
      </c>
      <c r="Z217" s="573" t="s">
        <v>329</v>
      </c>
      <c r="AA217" s="574" t="s">
        <v>329</v>
      </c>
      <c r="AB217" s="575"/>
      <c r="AC217" s="568" t="s">
        <v>476</v>
      </c>
      <c r="AD217" s="576">
        <v>302</v>
      </c>
      <c r="AE217" s="576">
        <v>10</v>
      </c>
      <c r="AN217" s="547"/>
      <c r="AO217" s="829" t="str">
        <f t="shared" si="31"/>
        <v>Yes</v>
      </c>
      <c r="AP217" s="259" t="str">
        <f t="shared" si="32"/>
        <v>SEP 19</v>
      </c>
      <c r="AQ217" s="547" t="str">
        <f t="shared" si="33"/>
        <v>有定金+有預留客戶</v>
      </c>
      <c r="AR217" s="259" t="str">
        <f t="shared" si="34"/>
        <v>Shipped_Stock</v>
      </c>
      <c r="AS217" s="259" t="str">
        <f t="shared" si="35"/>
        <v/>
      </c>
      <c r="AT217" s="259" t="str">
        <f t="shared" si="36"/>
        <v>太美亚</v>
      </c>
      <c r="AU217" s="259" t="str">
        <f t="shared" si="37"/>
        <v>C49SZX20190119SX</v>
      </c>
      <c r="AV217" s="259" t="str">
        <f t="shared" si="38"/>
        <v>Jul-03</v>
      </c>
    </row>
    <row r="218" spans="1:69" ht="15" hidden="1" customHeight="1">
      <c r="A218" s="564">
        <v>401</v>
      </c>
      <c r="B218" s="568" t="s">
        <v>280</v>
      </c>
      <c r="C218" s="565" t="s">
        <v>281</v>
      </c>
      <c r="D218" s="608">
        <v>109566</v>
      </c>
      <c r="E218" s="568" t="s">
        <v>619</v>
      </c>
      <c r="F218" s="568" t="s">
        <v>17</v>
      </c>
      <c r="G218" s="568" t="s">
        <v>24</v>
      </c>
      <c r="H218" s="568" t="s">
        <v>26</v>
      </c>
      <c r="I218" s="569" t="s">
        <v>648</v>
      </c>
      <c r="J218" s="569">
        <v>1</v>
      </c>
      <c r="K218" s="568" t="s">
        <v>295</v>
      </c>
      <c r="L218" s="570">
        <v>43649</v>
      </c>
      <c r="M218" s="571">
        <v>6.4699999999999994E-2</v>
      </c>
      <c r="N218" s="568" t="s">
        <v>320</v>
      </c>
      <c r="O218" s="568">
        <v>2019.06</v>
      </c>
      <c r="P218" s="571" t="str">
        <f>VLOOKUP(A218,'[1]Raw data'!$B:$BB,23,FALSE)</f>
        <v>RMB</v>
      </c>
      <c r="Q218" s="568" t="str">
        <f>VLOOKUP(A218,'[1]Raw data'!$B:$Z,2,FALSE)</f>
        <v>C49SZX20190119SX</v>
      </c>
      <c r="R218" s="568" t="str">
        <f>VLOOKUP(A218,'[1]Raw data'!$B:$Z,3,FALSE)</f>
        <v>太美亚</v>
      </c>
      <c r="S218" s="568" t="str">
        <f>VLOOKUP(A218,'[1]Raw data'!$B:$Z,4,FALSE)</f>
        <v>YSM10</v>
      </c>
      <c r="T218" s="568" t="str">
        <f>VLOOKUP(A218,'[1]Raw data'!$B:$Z,8,FALSE)</f>
        <v>L-&gt;R</v>
      </c>
      <c r="U218" s="568" t="str">
        <f>VLOOKUP(A218,'[1]Raw data'!$B:$Z,9,FALSE)</f>
        <v>MVC</v>
      </c>
      <c r="V218" s="572" t="str">
        <f t="shared" si="39"/>
        <v>WRONG</v>
      </c>
      <c r="W218" s="568" t="str">
        <f>VLOOKUP(A218,'[1]Raw data'!$B:$AG,32,FALSE)</f>
        <v>含税到厂</v>
      </c>
      <c r="X218" s="568">
        <f>VLOOKUP(A218,'[1]Raw data'!$B:$BA,31,FALSE)</f>
        <v>43693</v>
      </c>
      <c r="Y218" s="568" t="str">
        <f>VLOOKUP(A218,'[1]Raw data'!$B:$AS,39,FALSE)</f>
        <v>Yes</v>
      </c>
      <c r="Z218" s="573" t="s">
        <v>329</v>
      </c>
      <c r="AA218" s="574" t="s">
        <v>329</v>
      </c>
      <c r="AB218" s="575"/>
      <c r="AC218" s="568" t="s">
        <v>476</v>
      </c>
      <c r="AD218" s="576">
        <v>302</v>
      </c>
      <c r="AE218" s="576">
        <v>10</v>
      </c>
      <c r="AN218" s="547"/>
      <c r="AO218" s="829" t="str">
        <f t="shared" si="31"/>
        <v>Yes</v>
      </c>
      <c r="AP218" s="259" t="str">
        <f t="shared" si="32"/>
        <v>SEP 19</v>
      </c>
      <c r="AQ218" s="547" t="str">
        <f t="shared" si="33"/>
        <v>有定金+有預留客戶</v>
      </c>
      <c r="AR218" s="259" t="str">
        <f t="shared" si="34"/>
        <v>Shipped_Stock</v>
      </c>
      <c r="AS218" s="259" t="str">
        <f t="shared" si="35"/>
        <v/>
      </c>
      <c r="AT218" s="259" t="str">
        <f t="shared" si="36"/>
        <v>太美亚</v>
      </c>
      <c r="AU218" s="259" t="str">
        <f t="shared" si="37"/>
        <v>C49SZX20190119SX</v>
      </c>
      <c r="AV218" s="259" t="str">
        <f t="shared" si="38"/>
        <v>Jul-03</v>
      </c>
    </row>
    <row r="219" spans="1:69" ht="15" hidden="1" customHeight="1">
      <c r="A219" s="564">
        <v>350</v>
      </c>
      <c r="B219" s="568" t="s">
        <v>280</v>
      </c>
      <c r="C219" s="565" t="s">
        <v>281</v>
      </c>
      <c r="D219" s="608">
        <v>109565</v>
      </c>
      <c r="E219" s="568" t="s">
        <v>619</v>
      </c>
      <c r="F219" s="568" t="s">
        <v>17</v>
      </c>
      <c r="G219" s="568" t="s">
        <v>24</v>
      </c>
      <c r="H219" s="568" t="s">
        <v>26</v>
      </c>
      <c r="I219" s="569" t="s">
        <v>649</v>
      </c>
      <c r="J219" s="569">
        <v>1</v>
      </c>
      <c r="K219" s="568" t="s">
        <v>437</v>
      </c>
      <c r="L219" s="570">
        <v>43649</v>
      </c>
      <c r="M219" s="571">
        <v>6.4699999999999994E-2</v>
      </c>
      <c r="N219" s="568" t="s">
        <v>325</v>
      </c>
      <c r="O219" s="568">
        <v>2019.06</v>
      </c>
      <c r="P219" s="571" t="str">
        <f>VLOOKUP(A219,'[1]Raw data'!$B:$BB,23,FALSE)</f>
        <v>JPY</v>
      </c>
      <c r="Q219" s="568" t="str">
        <f>VLOOKUP(A219,'[1]Raw data'!$B:$Z,2,FALSE)</f>
        <v>C49SZX20190094MZ</v>
      </c>
      <c r="R219" s="568" t="str">
        <f>VLOOKUP(A219,'[1]Raw data'!$B:$Z,3,FALSE)</f>
        <v>崧盛</v>
      </c>
      <c r="S219" s="568" t="str">
        <f>VLOOKUP(A219,'[1]Raw data'!$B:$Z,4,FALSE)</f>
        <v>YSM10</v>
      </c>
      <c r="T219" s="568" t="str">
        <f>VLOOKUP(A219,'[1]Raw data'!$B:$Z,8,FALSE)</f>
        <v>R-&gt;L</v>
      </c>
      <c r="U219" s="568" t="str">
        <f>VLOOKUP(A219,'[1]Raw data'!$B:$Z,9,FALSE)</f>
        <v>No</v>
      </c>
      <c r="V219" s="572" t="str">
        <f t="shared" si="39"/>
        <v>WRONG</v>
      </c>
      <c r="W219" s="568" t="str">
        <f>VLOOKUP(A219,'[1]Raw data'!$B:$AG,32,FALSE)</f>
        <v>CIF HK</v>
      </c>
      <c r="X219" s="568">
        <f>VLOOKUP(A219,'[1]Raw data'!$B:$BA,31,FALSE)</f>
        <v>43629</v>
      </c>
      <c r="Y219" s="568" t="str">
        <f>VLOOKUP(A219,'[1]Raw data'!$B:$AS,39,FALSE)</f>
        <v>Yes</v>
      </c>
      <c r="Z219" s="573"/>
      <c r="AA219" s="574"/>
      <c r="AB219" s="575"/>
      <c r="AC219" s="568" t="s">
        <v>637</v>
      </c>
      <c r="AD219" s="576">
        <v>301</v>
      </c>
      <c r="AE219" s="576">
        <v>10</v>
      </c>
      <c r="AN219" s="547"/>
      <c r="AO219" s="829" t="str">
        <f t="shared" si="31"/>
        <v>Yes</v>
      </c>
      <c r="AP219" s="259" t="str">
        <f t="shared" si="32"/>
        <v>JUL 19</v>
      </c>
      <c r="AQ219" s="547" t="str">
        <f t="shared" si="33"/>
        <v>有定金+有預留客戶</v>
      </c>
      <c r="AR219" s="259" t="str">
        <f t="shared" si="34"/>
        <v>Shipped_Stock</v>
      </c>
      <c r="AS219" s="259" t="str">
        <f t="shared" si="35"/>
        <v/>
      </c>
      <c r="AT219" s="259" t="str">
        <f t="shared" si="36"/>
        <v>崧盛</v>
      </c>
      <c r="AU219" s="259" t="str">
        <f t="shared" si="37"/>
        <v>C49SZX20190094MZ</v>
      </c>
      <c r="AV219" s="259" t="str">
        <f t="shared" si="38"/>
        <v>Jul-03</v>
      </c>
    </row>
    <row r="220" spans="1:69" ht="15" hidden="1" customHeight="1">
      <c r="A220" s="564">
        <v>348</v>
      </c>
      <c r="B220" s="565" t="s">
        <v>280</v>
      </c>
      <c r="C220" s="565" t="s">
        <v>281</v>
      </c>
      <c r="D220" s="608">
        <v>109565</v>
      </c>
      <c r="E220" s="568" t="s">
        <v>619</v>
      </c>
      <c r="F220" s="568" t="s">
        <v>17</v>
      </c>
      <c r="G220" s="568" t="s">
        <v>24</v>
      </c>
      <c r="H220" s="568" t="s">
        <v>26</v>
      </c>
      <c r="I220" s="569" t="s">
        <v>650</v>
      </c>
      <c r="J220" s="569">
        <v>1</v>
      </c>
      <c r="K220" s="568" t="s">
        <v>437</v>
      </c>
      <c r="L220" s="570">
        <v>43649</v>
      </c>
      <c r="M220" s="571">
        <v>6.4699999999999994E-2</v>
      </c>
      <c r="N220" s="568" t="s">
        <v>325</v>
      </c>
      <c r="O220" s="568">
        <v>2019.06</v>
      </c>
      <c r="P220" s="571" t="str">
        <f>VLOOKUP(A220,'[1]Raw data'!$B:$BB,23,FALSE)</f>
        <v>JPY</v>
      </c>
      <c r="Q220" s="568" t="str">
        <f>VLOOKUP(A220,'[1]Raw data'!$B:$Z,2,FALSE)</f>
        <v>C49SZX20190094MZ</v>
      </c>
      <c r="R220" s="568" t="str">
        <f>VLOOKUP(A220,'[1]Raw data'!$B:$Z,3,FALSE)</f>
        <v>崧盛</v>
      </c>
      <c r="S220" s="568" t="str">
        <f>VLOOKUP(A220,'[1]Raw data'!$B:$Z,4,FALSE)</f>
        <v>YSM10</v>
      </c>
      <c r="T220" s="568" t="str">
        <f>VLOOKUP(A220,'[1]Raw data'!$B:$Z,8,FALSE)</f>
        <v>L-&gt;R</v>
      </c>
      <c r="U220" s="568" t="str">
        <f>VLOOKUP(A220,'[1]Raw data'!$B:$Z,9,FALSE)</f>
        <v>No</v>
      </c>
      <c r="V220" s="572" t="str">
        <f t="shared" si="39"/>
        <v>OK</v>
      </c>
      <c r="W220" s="568" t="str">
        <f>VLOOKUP(A220,'[1]Raw data'!$B:$AG,32,FALSE)</f>
        <v>CIF HK</v>
      </c>
      <c r="X220" s="568">
        <f>VLOOKUP(A220,'[1]Raw data'!$B:$BA,31,FALSE)</f>
        <v>43629</v>
      </c>
      <c r="Y220" s="568" t="str">
        <f>VLOOKUP(A220,'[1]Raw data'!$B:$AS,39,FALSE)</f>
        <v>Yes</v>
      </c>
      <c r="Z220" s="573"/>
      <c r="AA220" s="574"/>
      <c r="AB220" s="575"/>
      <c r="AC220" s="568" t="s">
        <v>637</v>
      </c>
      <c r="AD220" s="576">
        <v>301</v>
      </c>
      <c r="AE220" s="576">
        <v>10</v>
      </c>
      <c r="AN220" s="547"/>
      <c r="AO220" s="829" t="str">
        <f t="shared" si="31"/>
        <v>Yes</v>
      </c>
      <c r="AP220" s="259" t="str">
        <f t="shared" si="32"/>
        <v>JUL 19</v>
      </c>
      <c r="AQ220" s="547" t="str">
        <f t="shared" si="33"/>
        <v>有定金+有預留客戶</v>
      </c>
      <c r="AR220" s="259" t="str">
        <f t="shared" si="34"/>
        <v>Shipped_Stock</v>
      </c>
      <c r="AS220" s="259" t="str">
        <f t="shared" si="35"/>
        <v/>
      </c>
      <c r="AT220" s="259" t="str">
        <f t="shared" si="36"/>
        <v>崧盛</v>
      </c>
      <c r="AU220" s="259" t="str">
        <f t="shared" si="37"/>
        <v>C49SZX20190094MZ</v>
      </c>
      <c r="AV220" s="259" t="str">
        <f t="shared" si="38"/>
        <v>Jul-03</v>
      </c>
      <c r="AW220" s="842"/>
      <c r="AX220" s="842"/>
      <c r="AY220" s="842"/>
      <c r="AZ220" s="842"/>
      <c r="BA220" s="842"/>
      <c r="BB220" s="842"/>
      <c r="BC220" s="842"/>
      <c r="BD220" s="842"/>
      <c r="BE220" s="842"/>
      <c r="BF220" s="842"/>
      <c r="BG220" s="842"/>
      <c r="BH220" s="842"/>
      <c r="BI220" s="842"/>
      <c r="BJ220" s="842"/>
      <c r="BK220" s="842"/>
      <c r="BL220" s="842"/>
      <c r="BM220" s="842"/>
      <c r="BN220" s="842"/>
      <c r="BO220" s="842"/>
      <c r="BP220" s="842"/>
      <c r="BQ220" s="842"/>
    </row>
    <row r="221" spans="1:69" ht="15" hidden="1" customHeight="1">
      <c r="A221" s="564">
        <v>349</v>
      </c>
      <c r="B221" s="565" t="s">
        <v>280</v>
      </c>
      <c r="C221" s="565" t="s">
        <v>281</v>
      </c>
      <c r="D221" s="608">
        <v>109565</v>
      </c>
      <c r="E221" s="568" t="s">
        <v>619</v>
      </c>
      <c r="F221" s="568" t="s">
        <v>17</v>
      </c>
      <c r="G221" s="568" t="s">
        <v>24</v>
      </c>
      <c r="H221" s="568" t="s">
        <v>26</v>
      </c>
      <c r="I221" s="569" t="s">
        <v>651</v>
      </c>
      <c r="J221" s="569">
        <v>1</v>
      </c>
      <c r="K221" s="568" t="s">
        <v>437</v>
      </c>
      <c r="L221" s="570">
        <v>43649</v>
      </c>
      <c r="M221" s="571">
        <v>6.4699999999999994E-2</v>
      </c>
      <c r="N221" s="568" t="s">
        <v>325</v>
      </c>
      <c r="O221" s="568">
        <v>2019.06</v>
      </c>
      <c r="P221" s="571" t="str">
        <f>VLOOKUP(A221,'[1]Raw data'!$B:$BB,23,FALSE)</f>
        <v>JPY</v>
      </c>
      <c r="Q221" s="568" t="str">
        <f>VLOOKUP(A221,'[1]Raw data'!$B:$Z,2,FALSE)</f>
        <v>C49SZX20190094MZ</v>
      </c>
      <c r="R221" s="568" t="str">
        <f>VLOOKUP(A221,'[1]Raw data'!$B:$Z,3,FALSE)</f>
        <v>崧盛</v>
      </c>
      <c r="S221" s="568" t="str">
        <f>VLOOKUP(A221,'[1]Raw data'!$B:$Z,4,FALSE)</f>
        <v>YSM10</v>
      </c>
      <c r="T221" s="568" t="str">
        <f>VLOOKUP(A221,'[1]Raw data'!$B:$Z,8,FALSE)</f>
        <v>L-&gt;R</v>
      </c>
      <c r="U221" s="568" t="str">
        <f>VLOOKUP(A221,'[1]Raw data'!$B:$Z,9,FALSE)</f>
        <v>No</v>
      </c>
      <c r="V221" s="572" t="str">
        <f t="shared" si="39"/>
        <v>OK</v>
      </c>
      <c r="W221" s="568" t="str">
        <f>VLOOKUP(A221,'[1]Raw data'!$B:$AG,32,FALSE)</f>
        <v>CIF HK</v>
      </c>
      <c r="X221" s="568">
        <f>VLOOKUP(A221,'[1]Raw data'!$B:$BA,31,FALSE)</f>
        <v>43629</v>
      </c>
      <c r="Y221" s="568" t="str">
        <f>VLOOKUP(A221,'[1]Raw data'!$B:$AS,39,FALSE)</f>
        <v>Yes</v>
      </c>
      <c r="Z221" s="573"/>
      <c r="AA221" s="574"/>
      <c r="AB221" s="575"/>
      <c r="AC221" s="568" t="s">
        <v>637</v>
      </c>
      <c r="AD221" s="576">
        <v>301</v>
      </c>
      <c r="AE221" s="576">
        <v>10</v>
      </c>
      <c r="AN221" s="547"/>
      <c r="AO221" s="829" t="str">
        <f t="shared" si="31"/>
        <v>Yes</v>
      </c>
      <c r="AP221" s="259" t="str">
        <f t="shared" si="32"/>
        <v>JUL 19</v>
      </c>
      <c r="AQ221" s="547" t="str">
        <f t="shared" si="33"/>
        <v>有定金+有預留客戶</v>
      </c>
      <c r="AR221" s="259" t="str">
        <f t="shared" si="34"/>
        <v>Shipped_Stock</v>
      </c>
      <c r="AS221" s="259" t="str">
        <f t="shared" si="35"/>
        <v/>
      </c>
      <c r="AT221" s="259" t="str">
        <f t="shared" si="36"/>
        <v>崧盛</v>
      </c>
      <c r="AU221" s="259" t="str">
        <f t="shared" si="37"/>
        <v>C49SZX20190094MZ</v>
      </c>
      <c r="AV221" s="259" t="str">
        <f t="shared" si="38"/>
        <v>Jul-03</v>
      </c>
      <c r="AW221" s="842"/>
      <c r="AX221" s="842"/>
      <c r="AY221" s="842"/>
      <c r="AZ221" s="842"/>
      <c r="BA221" s="842"/>
      <c r="BB221" s="842"/>
      <c r="BC221" s="842"/>
      <c r="BD221" s="842"/>
      <c r="BE221" s="842"/>
      <c r="BF221" s="842"/>
      <c r="BG221" s="842"/>
      <c r="BH221" s="842"/>
      <c r="BI221" s="842"/>
      <c r="BJ221" s="842"/>
      <c r="BK221" s="842"/>
      <c r="BL221" s="842"/>
      <c r="BM221" s="842"/>
      <c r="BN221" s="842"/>
      <c r="BO221" s="842"/>
      <c r="BP221" s="842"/>
      <c r="BQ221" s="842"/>
    </row>
    <row r="222" spans="1:69" ht="15" hidden="1" customHeight="1">
      <c r="A222" s="564">
        <v>360</v>
      </c>
      <c r="B222" s="565" t="s">
        <v>280</v>
      </c>
      <c r="C222" s="565" t="s">
        <v>281</v>
      </c>
      <c r="D222" s="608">
        <v>109565</v>
      </c>
      <c r="E222" s="568" t="s">
        <v>619</v>
      </c>
      <c r="F222" s="568" t="s">
        <v>17</v>
      </c>
      <c r="G222" s="568" t="s">
        <v>24</v>
      </c>
      <c r="H222" s="568" t="s">
        <v>26</v>
      </c>
      <c r="I222" s="569" t="s">
        <v>652</v>
      </c>
      <c r="J222" s="569">
        <v>1</v>
      </c>
      <c r="K222" s="568" t="s">
        <v>437</v>
      </c>
      <c r="L222" s="570">
        <v>43649</v>
      </c>
      <c r="M222" s="571">
        <v>6.4699999999999994E-2</v>
      </c>
      <c r="N222" s="568" t="s">
        <v>325</v>
      </c>
      <c r="O222" s="568">
        <v>2019.06</v>
      </c>
      <c r="P222" s="571" t="str">
        <f>VLOOKUP(A222,'[1]Raw data'!$B:$BB,23,FALSE)</f>
        <v>RMB</v>
      </c>
      <c r="Q222" s="568" t="str">
        <f>VLOOKUP(A222,'[1]Raw data'!$B:$Z,2,FALSE)</f>
        <v>C49SZX20190102SX</v>
      </c>
      <c r="R222" s="568" t="str">
        <f>VLOOKUP(A222,'[1]Raw data'!$B:$Z,3,FALSE)</f>
        <v>凯瑞丰</v>
      </c>
      <c r="S222" s="568" t="str">
        <f>VLOOKUP(A222,'[1]Raw data'!$B:$Z,4,FALSE)</f>
        <v>YSM10</v>
      </c>
      <c r="T222" s="568" t="str">
        <f>VLOOKUP(A222,'[1]Raw data'!$B:$Z,8,FALSE)</f>
        <v>L-&gt;R</v>
      </c>
      <c r="U222" s="568" t="str">
        <f>VLOOKUP(A222,'[1]Raw data'!$B:$Z,9,FALSE)</f>
        <v>MVC</v>
      </c>
      <c r="V222" s="572" t="str">
        <f t="shared" si="39"/>
        <v>WRONG</v>
      </c>
      <c r="W222" s="568" t="str">
        <f>VLOOKUP(A222,'[1]Raw data'!$B:$AG,32,FALSE)</f>
        <v>含税到厂</v>
      </c>
      <c r="X222" s="568">
        <f>VLOOKUP(A222,'[1]Raw data'!$B:$BA,31,FALSE)</f>
        <v>43635</v>
      </c>
      <c r="Y222" s="568" t="str">
        <f>VLOOKUP(A222,'[1]Raw data'!$B:$AS,39,FALSE)</f>
        <v>Yes</v>
      </c>
      <c r="Z222" s="573"/>
      <c r="AA222" s="574"/>
      <c r="AB222" s="575"/>
      <c r="AC222" s="568" t="s">
        <v>583</v>
      </c>
      <c r="AD222" s="576">
        <v>301</v>
      </c>
      <c r="AE222" s="576">
        <v>10</v>
      </c>
      <c r="AN222" s="547"/>
      <c r="AO222" s="829" t="str">
        <f t="shared" si="31"/>
        <v>Yes</v>
      </c>
      <c r="AP222" s="259" t="str">
        <f t="shared" si="32"/>
        <v>JUL 19</v>
      </c>
      <c r="AQ222" s="547" t="str">
        <f t="shared" si="33"/>
        <v>有定金+有預留客戶</v>
      </c>
      <c r="AR222" s="259" t="str">
        <f t="shared" si="34"/>
        <v>Shipped_Stock</v>
      </c>
      <c r="AS222" s="259" t="str">
        <f t="shared" si="35"/>
        <v/>
      </c>
      <c r="AT222" s="259" t="str">
        <f t="shared" si="36"/>
        <v>凯瑞丰</v>
      </c>
      <c r="AU222" s="259" t="str">
        <f t="shared" si="37"/>
        <v>C49SZX20190102SX</v>
      </c>
      <c r="AV222" s="259" t="str">
        <f t="shared" si="38"/>
        <v>Jul-03</v>
      </c>
    </row>
    <row r="223" spans="1:69" ht="15" hidden="1" customHeight="1">
      <c r="A223" s="564">
        <v>335</v>
      </c>
      <c r="B223" s="565" t="s">
        <v>280</v>
      </c>
      <c r="C223" s="565" t="s">
        <v>281</v>
      </c>
      <c r="D223" s="605">
        <v>109603</v>
      </c>
      <c r="E223" s="568" t="s">
        <v>644</v>
      </c>
      <c r="F223" s="568" t="s">
        <v>256</v>
      </c>
      <c r="G223" s="568" t="s">
        <v>18</v>
      </c>
      <c r="H223" s="568" t="s">
        <v>26</v>
      </c>
      <c r="I223" s="569" t="s">
        <v>653</v>
      </c>
      <c r="J223" s="569">
        <v>1</v>
      </c>
      <c r="K223" s="568" t="s">
        <v>437</v>
      </c>
      <c r="L223" s="570">
        <v>43649</v>
      </c>
      <c r="M223" s="571">
        <v>6.4699999999999994E-2</v>
      </c>
      <c r="N223" s="568" t="s">
        <v>320</v>
      </c>
      <c r="O223" s="569">
        <v>2019.06</v>
      </c>
      <c r="P223" s="571" t="str">
        <f>VLOOKUP(A223,'[1]Raw data'!$B:$BB,23,FALSE)</f>
        <v>JPY</v>
      </c>
      <c r="Q223" s="568" t="str">
        <f>VLOOKUP(A223,'[1]Raw data'!$B:$Z,2,FALSE)</f>
        <v>C49SZX20190082ZX</v>
      </c>
      <c r="R223" s="568" t="str">
        <f>VLOOKUP(A223,'[1]Raw data'!$B:$Z,3,FALSE)</f>
        <v>深圳健科</v>
      </c>
      <c r="S223" s="568" t="str">
        <f>VLOOKUP(A223,'[1]Raw data'!$B:$Z,4,FALSE)</f>
        <v>YSM20R(SV)-2</v>
      </c>
      <c r="T223" s="568" t="str">
        <f>VLOOKUP(A223,'[1]Raw data'!$B:$Z,8,FALSE)</f>
        <v>R-&gt;L</v>
      </c>
      <c r="U223" s="568" t="str">
        <f>VLOOKUP(A223,'[1]Raw data'!$B:$Z,9,FALSE)</f>
        <v>No</v>
      </c>
      <c r="V223" s="572" t="str">
        <f t="shared" si="39"/>
        <v>OK</v>
      </c>
      <c r="W223" s="568" t="str">
        <f>VLOOKUP(A223,'[1]Raw data'!$B:$AG,32,FALSE)</f>
        <v>DAP SZ</v>
      </c>
      <c r="X223" s="568">
        <f>VLOOKUP(A223,'[1]Raw data'!$B:$BA,31,FALSE)</f>
        <v>43612</v>
      </c>
      <c r="Y223" s="568" t="str">
        <f>VLOOKUP(A223,'[1]Raw data'!$B:$AS,39,FALSE)</f>
        <v>Yes</v>
      </c>
      <c r="Z223" s="573" t="s">
        <v>329</v>
      </c>
      <c r="AA223" s="574" t="s">
        <v>329</v>
      </c>
      <c r="AB223" s="575"/>
      <c r="AC223" s="568" t="s">
        <v>654</v>
      </c>
      <c r="AD223" s="576">
        <v>312</v>
      </c>
      <c r="AE223" s="576">
        <v>10</v>
      </c>
      <c r="AF223" s="576">
        <v>303</v>
      </c>
      <c r="AG223" s="576">
        <v>10</v>
      </c>
      <c r="AN223" s="547"/>
      <c r="AO223" s="829" t="str">
        <f t="shared" si="31"/>
        <v>Yes</v>
      </c>
      <c r="AP223" s="259" t="str">
        <f t="shared" si="32"/>
        <v>SEP 19</v>
      </c>
      <c r="AQ223" s="547" t="str">
        <f t="shared" si="33"/>
        <v>有定金+有預留客戶</v>
      </c>
      <c r="AR223" s="259" t="str">
        <f t="shared" si="34"/>
        <v>Shipped_Stock</v>
      </c>
      <c r="AS223" s="259" t="str">
        <f t="shared" si="35"/>
        <v/>
      </c>
      <c r="AT223" s="259" t="str">
        <f t="shared" si="36"/>
        <v>深圳健科</v>
      </c>
      <c r="AU223" s="259" t="str">
        <f t="shared" si="37"/>
        <v>C49SZX20190082ZX</v>
      </c>
      <c r="AV223" s="259" t="str">
        <f t="shared" si="38"/>
        <v>Jul-03</v>
      </c>
    </row>
    <row r="224" spans="1:69" ht="15" hidden="1" customHeight="1">
      <c r="A224" s="564">
        <v>376</v>
      </c>
      <c r="B224" s="565" t="s">
        <v>280</v>
      </c>
      <c r="C224" s="565" t="s">
        <v>281</v>
      </c>
      <c r="D224" s="605">
        <v>109603</v>
      </c>
      <c r="E224" s="568" t="s">
        <v>644</v>
      </c>
      <c r="F224" s="568" t="s">
        <v>256</v>
      </c>
      <c r="G224" s="568" t="s">
        <v>18</v>
      </c>
      <c r="H224" s="568" t="s">
        <v>26</v>
      </c>
      <c r="I224" s="569" t="s">
        <v>655</v>
      </c>
      <c r="J224" s="569">
        <v>1</v>
      </c>
      <c r="K224" s="568" t="s">
        <v>437</v>
      </c>
      <c r="L224" s="570">
        <v>43649</v>
      </c>
      <c r="M224" s="571">
        <v>6.4699999999999994E-2</v>
      </c>
      <c r="N224" s="568" t="s">
        <v>325</v>
      </c>
      <c r="O224" s="569">
        <v>2019.06</v>
      </c>
      <c r="P224" s="571" t="str">
        <f>VLOOKUP(A224,'[1]Raw data'!$B:$BB,23,FALSE)</f>
        <v>JPY</v>
      </c>
      <c r="Q224" s="568" t="str">
        <f>VLOOKUP(A224,'[1]Raw data'!$B:$Z,2,FALSE)</f>
        <v>C49SZX20190109MZ</v>
      </c>
      <c r="R224" s="568" t="str">
        <f>VLOOKUP(A224,'[1]Raw data'!$B:$Z,3,FALSE)</f>
        <v>汇杰伟业</v>
      </c>
      <c r="S224" s="568" t="str">
        <f>VLOOKUP(A224,'[1]Raw data'!$B:$Z,4,FALSE)</f>
        <v>YSM20R(SV)-2</v>
      </c>
      <c r="T224" s="568" t="str">
        <f>VLOOKUP(A224,'[1]Raw data'!$B:$Z,8,FALSE)</f>
        <v>R-&gt;L</v>
      </c>
      <c r="U224" s="568" t="str">
        <f>VLOOKUP(A224,'[1]Raw data'!$B:$Z,9,FALSE)</f>
        <v>No</v>
      </c>
      <c r="V224" s="572" t="str">
        <f t="shared" si="39"/>
        <v>OK</v>
      </c>
      <c r="W224" s="568" t="str">
        <f>VLOOKUP(A224,'[1]Raw data'!$B:$AG,32,FALSE)</f>
        <v>CIF HK</v>
      </c>
      <c r="X224" s="568">
        <f>VLOOKUP(A224,'[1]Raw data'!$B:$BA,31,FALSE)</f>
        <v>43652</v>
      </c>
      <c r="Y224" s="568" t="str">
        <f>VLOOKUP(A224,'[1]Raw data'!$B:$AS,39,FALSE)</f>
        <v>Yes</v>
      </c>
      <c r="Z224" s="573"/>
      <c r="AA224" s="574"/>
      <c r="AB224" s="575"/>
      <c r="AC224" s="568" t="s">
        <v>656</v>
      </c>
      <c r="AD224" s="576">
        <v>311</v>
      </c>
      <c r="AE224" s="576">
        <v>10</v>
      </c>
      <c r="AF224" s="576">
        <v>303</v>
      </c>
      <c r="AG224" s="576">
        <v>10</v>
      </c>
      <c r="AN224" s="547"/>
      <c r="AO224" s="829" t="str">
        <f t="shared" si="31"/>
        <v>Yes</v>
      </c>
      <c r="AP224" s="259" t="str">
        <f t="shared" si="32"/>
        <v>JUL 19</v>
      </c>
      <c r="AQ224" s="547" t="str">
        <f t="shared" si="33"/>
        <v>有定金+有預留客戶</v>
      </c>
      <c r="AR224" s="259" t="str">
        <f t="shared" si="34"/>
        <v>Shipped_Stock</v>
      </c>
      <c r="AS224" s="259" t="str">
        <f t="shared" si="35"/>
        <v/>
      </c>
      <c r="AT224" s="259" t="str">
        <f t="shared" si="36"/>
        <v>汇杰伟业</v>
      </c>
      <c r="AU224" s="259" t="str">
        <f t="shared" si="37"/>
        <v>C49SZX20190109MZ</v>
      </c>
      <c r="AV224" s="259" t="str">
        <f t="shared" si="38"/>
        <v>Jul-03</v>
      </c>
    </row>
    <row r="225" spans="1:48" ht="15" hidden="1" customHeight="1">
      <c r="A225" s="564">
        <v>377</v>
      </c>
      <c r="B225" s="565" t="s">
        <v>280</v>
      </c>
      <c r="C225" s="565" t="s">
        <v>281</v>
      </c>
      <c r="D225" s="604">
        <v>109603</v>
      </c>
      <c r="E225" s="568" t="s">
        <v>644</v>
      </c>
      <c r="F225" s="568" t="s">
        <v>256</v>
      </c>
      <c r="G225" s="568" t="s">
        <v>18</v>
      </c>
      <c r="H225" s="568" t="s">
        <v>26</v>
      </c>
      <c r="I225" s="569" t="s">
        <v>657</v>
      </c>
      <c r="J225" s="569">
        <v>1</v>
      </c>
      <c r="K225" s="568" t="s">
        <v>437</v>
      </c>
      <c r="L225" s="570">
        <v>43649</v>
      </c>
      <c r="M225" s="571">
        <v>6.4699999999999994E-2</v>
      </c>
      <c r="N225" s="568" t="s">
        <v>325</v>
      </c>
      <c r="O225" s="569">
        <v>2019.06</v>
      </c>
      <c r="P225" s="571" t="str">
        <f>VLOOKUP(A225,'[1]Raw data'!$B:$BB,23,FALSE)</f>
        <v>JPY</v>
      </c>
      <c r="Q225" s="568" t="str">
        <f>VLOOKUP(A225,'[1]Raw data'!$B:$Z,2,FALSE)</f>
        <v>C49SZX20190109MZ</v>
      </c>
      <c r="R225" s="568" t="str">
        <f>VLOOKUP(A225,'[1]Raw data'!$B:$Z,3,FALSE)</f>
        <v>汇杰伟业</v>
      </c>
      <c r="S225" s="568" t="str">
        <f>VLOOKUP(A225,'[1]Raw data'!$B:$Z,4,FALSE)</f>
        <v>YSM20R(SV)-2</v>
      </c>
      <c r="T225" s="568" t="str">
        <f>VLOOKUP(A225,'[1]Raw data'!$B:$Z,8,FALSE)</f>
        <v>R-&gt;L</v>
      </c>
      <c r="U225" s="568" t="str">
        <f>VLOOKUP(A225,'[1]Raw data'!$B:$Z,9,FALSE)</f>
        <v>No</v>
      </c>
      <c r="V225" s="572" t="str">
        <f t="shared" si="39"/>
        <v>OK</v>
      </c>
      <c r="W225" s="568" t="str">
        <f>VLOOKUP(A225,'[1]Raw data'!$B:$AG,32,FALSE)</f>
        <v>CIF HK</v>
      </c>
      <c r="X225" s="568">
        <f>VLOOKUP(A225,'[1]Raw data'!$B:$BA,31,FALSE)</f>
        <v>43652</v>
      </c>
      <c r="Y225" s="568" t="str">
        <f>VLOOKUP(A225,'[1]Raw data'!$B:$AS,39,FALSE)</f>
        <v>Yes</v>
      </c>
      <c r="Z225" s="573"/>
      <c r="AA225" s="574"/>
      <c r="AB225" s="575"/>
      <c r="AC225" s="568" t="s">
        <v>656</v>
      </c>
      <c r="AD225" s="576">
        <v>311</v>
      </c>
      <c r="AE225" s="576">
        <v>10</v>
      </c>
      <c r="AF225" s="576">
        <v>303</v>
      </c>
      <c r="AG225" s="576">
        <v>10</v>
      </c>
      <c r="AN225" s="547"/>
      <c r="AO225" s="829" t="str">
        <f t="shared" si="31"/>
        <v>Yes</v>
      </c>
      <c r="AP225" s="259" t="str">
        <f t="shared" si="32"/>
        <v>JUL 19</v>
      </c>
      <c r="AQ225" s="547" t="str">
        <f t="shared" si="33"/>
        <v>有定金+有預留客戶</v>
      </c>
      <c r="AR225" s="259" t="str">
        <f t="shared" si="34"/>
        <v>Shipped_Stock</v>
      </c>
      <c r="AS225" s="259" t="str">
        <f t="shared" si="35"/>
        <v/>
      </c>
      <c r="AT225" s="259" t="str">
        <f t="shared" si="36"/>
        <v>汇杰伟业</v>
      </c>
      <c r="AU225" s="259" t="str">
        <f t="shared" si="37"/>
        <v>C49SZX20190109MZ</v>
      </c>
      <c r="AV225" s="259" t="str">
        <f t="shared" si="38"/>
        <v>Jul-03</v>
      </c>
    </row>
    <row r="226" spans="1:48" ht="15" hidden="1" customHeight="1">
      <c r="A226" s="564">
        <v>310</v>
      </c>
      <c r="B226" s="565" t="s">
        <v>280</v>
      </c>
      <c r="C226" s="565" t="s">
        <v>281</v>
      </c>
      <c r="D226" s="569">
        <v>109566</v>
      </c>
      <c r="E226" s="568" t="s">
        <v>619</v>
      </c>
      <c r="F226" s="568" t="s">
        <v>17</v>
      </c>
      <c r="G226" s="568" t="s">
        <v>24</v>
      </c>
      <c r="H226" s="568" t="s">
        <v>26</v>
      </c>
      <c r="I226" s="569" t="s">
        <v>658</v>
      </c>
      <c r="J226" s="569">
        <v>1</v>
      </c>
      <c r="K226" s="568" t="s">
        <v>437</v>
      </c>
      <c r="L226" s="570">
        <v>43649</v>
      </c>
      <c r="M226" s="571">
        <v>6.4699999999999994E-2</v>
      </c>
      <c r="N226" s="568" t="s">
        <v>325</v>
      </c>
      <c r="O226" s="568">
        <v>2019.06</v>
      </c>
      <c r="P226" s="571" t="str">
        <f>VLOOKUP(A226,'[1]Raw data'!$B:$BB,23,FALSE)</f>
        <v>RMB</v>
      </c>
      <c r="Q226" s="568" t="str">
        <f>VLOOKUP(A226,'[1]Raw data'!$B:$Z,2,FALSE)</f>
        <v>C49SZX20190072ZX</v>
      </c>
      <c r="R226" s="568" t="str">
        <f>VLOOKUP(A226,'[1]Raw data'!$B:$Z,3,FALSE)</f>
        <v>恒康佳业</v>
      </c>
      <c r="S226" s="568" t="str">
        <f>VLOOKUP(A226,'[1]Raw data'!$B:$Z,4,FALSE)</f>
        <v>YSM10</v>
      </c>
      <c r="T226" s="568" t="str">
        <f>VLOOKUP(A226,'[1]Raw data'!$B:$Z,8,FALSE)</f>
        <v>R-&gt;L</v>
      </c>
      <c r="U226" s="568" t="str">
        <f>VLOOKUP(A226,'[1]Raw data'!$B:$Z,9,FALSE)</f>
        <v>MVC+Rear 站位</v>
      </c>
      <c r="V226" s="572" t="str">
        <f t="shared" si="39"/>
        <v>WRONG</v>
      </c>
      <c r="W226" s="568" t="str">
        <f>VLOOKUP(A226,'[1]Raw data'!$B:$AG,32,FALSE)</f>
        <v>含税到厂</v>
      </c>
      <c r="X226" s="568">
        <f>VLOOKUP(A226,'[1]Raw data'!$B:$BA,31,FALSE)</f>
        <v>43596</v>
      </c>
      <c r="Y226" s="568" t="str">
        <f>VLOOKUP(A226,'[1]Raw data'!$B:$AS,39,FALSE)</f>
        <v>Yes</v>
      </c>
      <c r="Z226" s="573"/>
      <c r="AA226" s="574"/>
      <c r="AB226" s="575"/>
      <c r="AC226" s="568" t="s">
        <v>659</v>
      </c>
      <c r="AD226" s="576">
        <v>302</v>
      </c>
      <c r="AE226" s="576">
        <v>10</v>
      </c>
      <c r="AN226" s="547"/>
      <c r="AO226" s="829" t="str">
        <f t="shared" si="31"/>
        <v>Yes</v>
      </c>
      <c r="AP226" s="259" t="str">
        <f t="shared" si="32"/>
        <v>JUL 19</v>
      </c>
      <c r="AQ226" s="547" t="str">
        <f t="shared" si="33"/>
        <v>有定金+有預留客戶</v>
      </c>
      <c r="AR226" s="259" t="str">
        <f t="shared" si="34"/>
        <v>Shipped_Stock</v>
      </c>
      <c r="AS226" s="259" t="str">
        <f t="shared" si="35"/>
        <v/>
      </c>
      <c r="AT226" s="259" t="str">
        <f t="shared" si="36"/>
        <v>恒康佳业</v>
      </c>
      <c r="AU226" s="259" t="str">
        <f t="shared" si="37"/>
        <v>C49SZX20190072ZX</v>
      </c>
      <c r="AV226" s="259" t="str">
        <f t="shared" si="38"/>
        <v>Jul-03</v>
      </c>
    </row>
    <row r="227" spans="1:48" ht="15" hidden="1" customHeight="1">
      <c r="A227" s="564">
        <v>464</v>
      </c>
      <c r="B227" s="565" t="s">
        <v>280</v>
      </c>
      <c r="C227" s="565" t="s">
        <v>281</v>
      </c>
      <c r="D227" s="604">
        <v>109602</v>
      </c>
      <c r="E227" s="568" t="s">
        <v>644</v>
      </c>
      <c r="F227" s="568" t="s">
        <v>256</v>
      </c>
      <c r="G227" s="568" t="s">
        <v>24</v>
      </c>
      <c r="H227" s="568" t="s">
        <v>27</v>
      </c>
      <c r="I227" s="569" t="s">
        <v>660</v>
      </c>
      <c r="J227" s="569">
        <v>1</v>
      </c>
      <c r="K227" s="568" t="s">
        <v>661</v>
      </c>
      <c r="L227" s="570">
        <v>43663</v>
      </c>
      <c r="M227" s="618" t="s">
        <v>257</v>
      </c>
      <c r="N227" s="568" t="s">
        <v>504</v>
      </c>
      <c r="O227" s="569">
        <v>2019.07</v>
      </c>
      <c r="P227" s="571" t="str">
        <f>VLOOKUP(A227,'[1]Raw data'!$B:$BB,23,FALSE)</f>
        <v>JPY</v>
      </c>
      <c r="Q227" s="568" t="str">
        <f>VLOOKUP(A227,'[1]Raw data'!$B:$Z,2,FALSE)</f>
        <v>C49SZX20190155JY</v>
      </c>
      <c r="R227" s="568" t="str">
        <f>VLOOKUP(A227,'[1]Raw data'!$B:$Z,3,FALSE)</f>
        <v>海松微</v>
      </c>
      <c r="S227" s="568" t="str">
        <f>VLOOKUP(A227,'[1]Raw data'!$B:$Z,4,FALSE)</f>
        <v>YSM20R(SV)-2</v>
      </c>
      <c r="T227" s="568" t="str">
        <f>VLOOKUP(A227,'[1]Raw data'!$B:$Z,8,FALSE)</f>
        <v>L-&gt;R</v>
      </c>
      <c r="U227" s="568" t="str">
        <f>VLOOKUP(A227,'[1]Raw data'!$B:$Z,9,FALSE)</f>
        <v>No</v>
      </c>
      <c r="V227" s="572" t="str">
        <f t="shared" si="39"/>
        <v>WRONG</v>
      </c>
      <c r="W227" s="568" t="str">
        <f>VLOOKUP(A227,'[1]Raw data'!$B:$AG,32,FALSE)</f>
        <v>DAP SZ</v>
      </c>
      <c r="X227" s="568">
        <f>VLOOKUP(A227,'[1]Raw data'!$B:$BA,31,FALSE)</f>
        <v>43763</v>
      </c>
      <c r="Y227" s="568" t="str">
        <f>VLOOKUP(A227,'[1]Raw data'!$B:$AS,39,FALSE)</f>
        <v>Yes</v>
      </c>
      <c r="Z227" s="573"/>
      <c r="AA227" s="574"/>
      <c r="AB227" s="575"/>
      <c r="AC227" s="568" t="s">
        <v>662</v>
      </c>
      <c r="AD227" s="576">
        <v>301</v>
      </c>
      <c r="AE227" s="576">
        <v>10</v>
      </c>
      <c r="AF227" s="576">
        <v>302</v>
      </c>
      <c r="AG227" s="576">
        <v>10</v>
      </c>
      <c r="AN227" s="547"/>
      <c r="AO227" s="829" t="str">
        <f t="shared" si="31"/>
        <v>Yes</v>
      </c>
      <c r="AP227" s="259" t="str">
        <f t="shared" si="32"/>
        <v>NOV 19</v>
      </c>
      <c r="AQ227" s="547" t="str">
        <f t="shared" si="33"/>
        <v>有定金+有預留客戶</v>
      </c>
      <c r="AR227" s="259" t="str">
        <f t="shared" si="34"/>
        <v>Shipped_Stock</v>
      </c>
      <c r="AS227" s="259" t="str">
        <f t="shared" si="35"/>
        <v/>
      </c>
      <c r="AT227" s="259" t="str">
        <f t="shared" si="36"/>
        <v>海松微</v>
      </c>
      <c r="AU227" s="259" t="str">
        <f t="shared" si="37"/>
        <v>C49SZX20190155JY</v>
      </c>
      <c r="AV227" s="259" t="str">
        <f t="shared" si="38"/>
        <v>Jul-17</v>
      </c>
    </row>
    <row r="228" spans="1:48" ht="15" hidden="1" customHeight="1">
      <c r="A228" s="564">
        <v>426</v>
      </c>
      <c r="B228" s="565" t="s">
        <v>280</v>
      </c>
      <c r="C228" s="565" t="s">
        <v>281</v>
      </c>
      <c r="D228" s="604">
        <v>109602</v>
      </c>
      <c r="E228" s="568" t="s">
        <v>644</v>
      </c>
      <c r="F228" s="568" t="s">
        <v>256</v>
      </c>
      <c r="G228" s="568" t="s">
        <v>24</v>
      </c>
      <c r="H228" s="568" t="s">
        <v>27</v>
      </c>
      <c r="I228" s="569" t="s">
        <v>663</v>
      </c>
      <c r="J228" s="569">
        <v>1</v>
      </c>
      <c r="K228" s="568" t="s">
        <v>295</v>
      </c>
      <c r="L228" s="570">
        <v>43663</v>
      </c>
      <c r="M228" s="571">
        <v>6.4699999999999994E-2</v>
      </c>
      <c r="N228" s="568" t="s">
        <v>320</v>
      </c>
      <c r="O228" s="569">
        <v>2019.06</v>
      </c>
      <c r="P228" s="571" t="str">
        <f>VLOOKUP(A228,'[1]Raw data'!$B:$BB,23,FALSE)</f>
        <v>RMB</v>
      </c>
      <c r="Q228" s="568" t="str">
        <f>VLOOKUP(A228,'[1]Raw data'!$B:$Z,2,FALSE)</f>
        <v>C49SZX20190123SX</v>
      </c>
      <c r="R228" s="568" t="str">
        <f>VLOOKUP(A228,'[1]Raw data'!$B:$Z,3,FALSE)</f>
        <v>君泽</v>
      </c>
      <c r="S228" s="568" t="str">
        <f>VLOOKUP(A228,'[1]Raw data'!$B:$Z,4,FALSE)</f>
        <v>YSM20R(SV)-2</v>
      </c>
      <c r="T228" s="568" t="str">
        <f>VLOOKUP(A228,'[1]Raw data'!$B:$Z,8,FALSE)</f>
        <v>L-&gt;R</v>
      </c>
      <c r="U228" s="568" t="str">
        <f>VLOOKUP(A228,'[1]Raw data'!$B:$Z,9,FALSE)</f>
        <v>No</v>
      </c>
      <c r="V228" s="572" t="str">
        <f t="shared" si="39"/>
        <v>WRONG</v>
      </c>
      <c r="W228" s="568" t="str">
        <f>VLOOKUP(A228,'[1]Raw data'!$B:$AG,32,FALSE)</f>
        <v>含税到厂</v>
      </c>
      <c r="X228" s="568">
        <f>VLOOKUP(A228,'[1]Raw data'!$B:$BA,31,FALSE)</f>
        <v>43714</v>
      </c>
      <c r="Y228" s="568" t="str">
        <f>VLOOKUP(A228,'[1]Raw data'!$B:$AS,39,FALSE)</f>
        <v>Yes</v>
      </c>
      <c r="Z228" s="573"/>
      <c r="AA228" s="574"/>
      <c r="AB228" s="575"/>
      <c r="AC228" s="568" t="s">
        <v>603</v>
      </c>
      <c r="AD228" s="576">
        <v>301</v>
      </c>
      <c r="AE228" s="576">
        <v>10</v>
      </c>
      <c r="AF228" s="576">
        <v>302</v>
      </c>
      <c r="AG228" s="576">
        <v>10</v>
      </c>
      <c r="AN228" s="547"/>
      <c r="AO228" s="829" t="str">
        <f t="shared" si="31"/>
        <v>Yes</v>
      </c>
      <c r="AP228" s="259" t="str">
        <f t="shared" si="32"/>
        <v>SEP 19</v>
      </c>
      <c r="AQ228" s="547" t="str">
        <f t="shared" si="33"/>
        <v>有定金+有預留客戶</v>
      </c>
      <c r="AR228" s="259" t="str">
        <f t="shared" si="34"/>
        <v>Shipped_Stock</v>
      </c>
      <c r="AS228" s="259" t="str">
        <f t="shared" si="35"/>
        <v/>
      </c>
      <c r="AT228" s="259" t="str">
        <f t="shared" si="36"/>
        <v>君泽</v>
      </c>
      <c r="AU228" s="259" t="str">
        <f t="shared" si="37"/>
        <v>C49SZX20190123SX</v>
      </c>
      <c r="AV228" s="259" t="str">
        <f t="shared" si="38"/>
        <v>Jul-17</v>
      </c>
    </row>
    <row r="229" spans="1:48" ht="15" hidden="1" customHeight="1">
      <c r="A229" s="564">
        <v>313</v>
      </c>
      <c r="B229" s="568" t="s">
        <v>280</v>
      </c>
      <c r="C229" s="565" t="s">
        <v>281</v>
      </c>
      <c r="D229" s="604">
        <v>109602</v>
      </c>
      <c r="E229" s="568" t="s">
        <v>644</v>
      </c>
      <c r="F229" s="568" t="s">
        <v>256</v>
      </c>
      <c r="G229" s="568" t="s">
        <v>24</v>
      </c>
      <c r="H229" s="568" t="s">
        <v>27</v>
      </c>
      <c r="I229" s="569" t="s">
        <v>664</v>
      </c>
      <c r="J229" s="569">
        <v>1</v>
      </c>
      <c r="K229" s="568" t="s">
        <v>295</v>
      </c>
      <c r="L229" s="570">
        <v>43663</v>
      </c>
      <c r="M229" s="571">
        <v>6.4699999999999994E-2</v>
      </c>
      <c r="N229" s="568" t="s">
        <v>475</v>
      </c>
      <c r="O229" s="569">
        <v>2019.06</v>
      </c>
      <c r="P229" s="571" t="str">
        <f>VLOOKUP(A229,'[1]Raw data'!$B:$BB,23,FALSE)</f>
        <v>RMB</v>
      </c>
      <c r="Q229" s="568" t="str">
        <f>VLOOKUP(A229,'[1]Raw data'!$B:$Z,2,FALSE)</f>
        <v>C49SZX20190076SS</v>
      </c>
      <c r="R229" s="568" t="str">
        <f>VLOOKUP(A229,'[1]Raw data'!$B:$Z,3,FALSE)</f>
        <v>嘉兴</v>
      </c>
      <c r="S229" s="568" t="str">
        <f>VLOOKUP(A229,'[1]Raw data'!$B:$Z,4,FALSE)</f>
        <v>YSM20R(SV)-2</v>
      </c>
      <c r="T229" s="568" t="str">
        <f>VLOOKUP(A229,'[1]Raw data'!$B:$Z,8,FALSE)</f>
        <v>L-&gt;R</v>
      </c>
      <c r="U229" s="568" t="str">
        <f>VLOOKUP(A229,'[1]Raw data'!$B:$Z,9,FALSE)</f>
        <v>No</v>
      </c>
      <c r="V229" s="572" t="str">
        <f t="shared" si="39"/>
        <v>WRONG</v>
      </c>
      <c r="W229" s="568" t="str">
        <f>VLOOKUP(A229,'[1]Raw data'!$B:$AG,32,FALSE)</f>
        <v>含税到厂</v>
      </c>
      <c r="X229" s="568">
        <f>VLOOKUP(A229,'[1]Raw data'!$B:$BA,31,FALSE)</f>
        <v>43600</v>
      </c>
      <c r="Y229" s="568" t="str">
        <f>VLOOKUP(A229,'[1]Raw data'!$B:$AS,39,FALSE)</f>
        <v>Yes</v>
      </c>
      <c r="Z229" s="573"/>
      <c r="AA229" s="574"/>
      <c r="AB229" s="575"/>
      <c r="AC229" s="568" t="s">
        <v>665</v>
      </c>
      <c r="AD229" s="576">
        <v>301</v>
      </c>
      <c r="AE229" s="576">
        <v>10</v>
      </c>
      <c r="AF229" s="576">
        <v>302</v>
      </c>
      <c r="AG229" s="576">
        <v>10</v>
      </c>
      <c r="AN229" s="547"/>
      <c r="AO229" s="829" t="str">
        <f t="shared" si="31"/>
        <v>Yes</v>
      </c>
      <c r="AP229" s="259" t="str">
        <f t="shared" si="32"/>
        <v>OCT 19</v>
      </c>
      <c r="AQ229" s="547" t="str">
        <f t="shared" si="33"/>
        <v>有定金+有預留客戶</v>
      </c>
      <c r="AR229" s="259" t="str">
        <f t="shared" si="34"/>
        <v>Shipped_Stock</v>
      </c>
      <c r="AS229" s="259" t="str">
        <f t="shared" si="35"/>
        <v/>
      </c>
      <c r="AT229" s="259" t="str">
        <f t="shared" si="36"/>
        <v>嘉兴</v>
      </c>
      <c r="AU229" s="259" t="str">
        <f t="shared" si="37"/>
        <v>C49SZX20190076SS</v>
      </c>
      <c r="AV229" s="259" t="str">
        <f t="shared" si="38"/>
        <v>Jul-17</v>
      </c>
    </row>
    <row r="230" spans="1:48" ht="15" hidden="1" customHeight="1">
      <c r="A230" s="564">
        <v>424</v>
      </c>
      <c r="B230" s="565" t="s">
        <v>280</v>
      </c>
      <c r="C230" s="565" t="s">
        <v>281</v>
      </c>
      <c r="D230" s="604">
        <v>109602</v>
      </c>
      <c r="E230" s="568" t="s">
        <v>644</v>
      </c>
      <c r="F230" s="568" t="s">
        <v>256</v>
      </c>
      <c r="G230" s="568" t="s">
        <v>24</v>
      </c>
      <c r="H230" s="568" t="s">
        <v>27</v>
      </c>
      <c r="I230" s="569" t="s">
        <v>666</v>
      </c>
      <c r="J230" s="569">
        <v>1</v>
      </c>
      <c r="K230" s="568" t="s">
        <v>295</v>
      </c>
      <c r="L230" s="570">
        <v>43663</v>
      </c>
      <c r="M230" s="571">
        <v>6.4699999999999994E-2</v>
      </c>
      <c r="N230" s="568" t="s">
        <v>320</v>
      </c>
      <c r="O230" s="569">
        <v>2019.06</v>
      </c>
      <c r="P230" s="571" t="str">
        <f>VLOOKUP(A230,'[1]Raw data'!$B:$BB,23,FALSE)</f>
        <v>RMB</v>
      </c>
      <c r="Q230" s="568" t="str">
        <f>VLOOKUP(A230,'[1]Raw data'!$B:$Z,2,FALSE)</f>
        <v>C49SZX20190135SX</v>
      </c>
      <c r="R230" s="568" t="str">
        <f>VLOOKUP(A230,'[1]Raw data'!$B:$Z,3,FALSE)</f>
        <v>迅丰</v>
      </c>
      <c r="S230" s="568" t="str">
        <f>VLOOKUP(A230,'[1]Raw data'!$B:$Z,4,FALSE)</f>
        <v>YSM20R(SV)-2</v>
      </c>
      <c r="T230" s="568" t="str">
        <f>VLOOKUP(A230,'[1]Raw data'!$B:$Z,8,FALSE)</f>
        <v>L-&gt;R</v>
      </c>
      <c r="U230" s="568" t="str">
        <f>VLOOKUP(A230,'[1]Raw data'!$B:$Z,9,FALSE)</f>
        <v>MVC</v>
      </c>
      <c r="V230" s="572" t="str">
        <f t="shared" si="39"/>
        <v>OK</v>
      </c>
      <c r="W230" s="568" t="str">
        <f>VLOOKUP(A230,'[1]Raw data'!$B:$AG,32,FALSE)</f>
        <v>含税到厂</v>
      </c>
      <c r="X230" s="568">
        <f>VLOOKUP(A230,'[1]Raw data'!$B:$BA,31,FALSE)</f>
        <v>43715</v>
      </c>
      <c r="Y230" s="568" t="str">
        <f>VLOOKUP(A230,'[1]Raw data'!$B:$AS,39,FALSE)</f>
        <v>Yes</v>
      </c>
      <c r="Z230" s="573"/>
      <c r="AA230" s="574"/>
      <c r="AB230" s="575"/>
      <c r="AC230" s="568" t="s">
        <v>396</v>
      </c>
      <c r="AD230" s="576">
        <v>301</v>
      </c>
      <c r="AE230" s="576">
        <v>10</v>
      </c>
      <c r="AF230" s="576">
        <v>302</v>
      </c>
      <c r="AG230" s="576">
        <v>10</v>
      </c>
      <c r="AN230" s="547"/>
      <c r="AO230" s="829" t="str">
        <f t="shared" si="31"/>
        <v>Yes</v>
      </c>
      <c r="AP230" s="259" t="str">
        <f t="shared" si="32"/>
        <v>SEP 19</v>
      </c>
      <c r="AQ230" s="547" t="str">
        <f t="shared" si="33"/>
        <v>有定金+有預留客戶</v>
      </c>
      <c r="AR230" s="259" t="str">
        <f t="shared" si="34"/>
        <v>Shipped_Stock</v>
      </c>
      <c r="AS230" s="259" t="str">
        <f t="shared" si="35"/>
        <v/>
      </c>
      <c r="AT230" s="259" t="str">
        <f t="shared" si="36"/>
        <v>迅丰</v>
      </c>
      <c r="AU230" s="259" t="str">
        <f t="shared" si="37"/>
        <v>C49SZX20190135SX</v>
      </c>
      <c r="AV230" s="259" t="str">
        <f t="shared" si="38"/>
        <v>Jul-17</v>
      </c>
    </row>
    <row r="231" spans="1:48" ht="15" hidden="1" customHeight="1">
      <c r="A231" s="564">
        <v>430</v>
      </c>
      <c r="B231" s="568" t="s">
        <v>280</v>
      </c>
      <c r="C231" s="565" t="s">
        <v>281</v>
      </c>
      <c r="D231" s="604">
        <v>109602</v>
      </c>
      <c r="E231" s="568" t="s">
        <v>644</v>
      </c>
      <c r="F231" s="568" t="s">
        <v>256</v>
      </c>
      <c r="G231" s="568" t="s">
        <v>24</v>
      </c>
      <c r="H231" s="568" t="s">
        <v>27</v>
      </c>
      <c r="I231" s="569" t="s">
        <v>667</v>
      </c>
      <c r="J231" s="569">
        <v>1</v>
      </c>
      <c r="K231" s="568" t="s">
        <v>605</v>
      </c>
      <c r="L231" s="570">
        <v>43663</v>
      </c>
      <c r="M231" s="571">
        <v>6.4699999999999994E-2</v>
      </c>
      <c r="N231" s="568" t="s">
        <v>320</v>
      </c>
      <c r="O231" s="569">
        <v>2019.06</v>
      </c>
      <c r="P231" s="571" t="str">
        <f>VLOOKUP(A231,'[1]Raw data'!$B:$BB,23,FALSE)</f>
        <v>RMB</v>
      </c>
      <c r="Q231" s="568" t="str">
        <f>VLOOKUP(A231,'[1]Raw data'!$B:$Z,2,FALSE)</f>
        <v>C49SZX201900131JL</v>
      </c>
      <c r="R231" s="568" t="str">
        <f>VLOOKUP(A231,'[1]Raw data'!$B:$Z,3,FALSE)</f>
        <v>杉川/end user:放德劲</v>
      </c>
      <c r="S231" s="568" t="str">
        <f>VLOOKUP(A231,'[1]Raw data'!$B:$Z,4,FALSE)</f>
        <v>YSM20R(SV)-2</v>
      </c>
      <c r="T231" s="568" t="str">
        <f>VLOOKUP(A231,'[1]Raw data'!$B:$Z,8,FALSE)</f>
        <v>L-&gt;R</v>
      </c>
      <c r="U231" s="568" t="str">
        <f>VLOOKUP(A231,'[1]Raw data'!$B:$Z,9,FALSE)</f>
        <v>MVC</v>
      </c>
      <c r="V231" s="572" t="str">
        <f t="shared" si="39"/>
        <v>OK</v>
      </c>
      <c r="W231" s="568" t="str">
        <f>VLOOKUP(A231,'[1]Raw data'!$B:$AG,32,FALSE)</f>
        <v>含税到厂</v>
      </c>
      <c r="X231" s="568">
        <f>VLOOKUP(A231,'[1]Raw data'!$B:$BA,31,FALSE)</f>
        <v>43717</v>
      </c>
      <c r="Y231" s="568" t="str">
        <f>VLOOKUP(A231,'[1]Raw data'!$B:$AS,39,FALSE)</f>
        <v>Yes</v>
      </c>
      <c r="Z231" s="573"/>
      <c r="AA231" s="574"/>
      <c r="AB231" s="575"/>
      <c r="AC231" s="568" t="s">
        <v>398</v>
      </c>
      <c r="AD231" s="576">
        <v>301</v>
      </c>
      <c r="AE231" s="576">
        <v>10</v>
      </c>
      <c r="AF231" s="576">
        <v>302</v>
      </c>
      <c r="AG231" s="576">
        <v>10</v>
      </c>
      <c r="AN231" s="547"/>
      <c r="AO231" s="829" t="str">
        <f t="shared" si="31"/>
        <v>Yes</v>
      </c>
      <c r="AP231" s="259" t="str">
        <f t="shared" si="32"/>
        <v>SEP 19</v>
      </c>
      <c r="AQ231" s="547" t="str">
        <f t="shared" si="33"/>
        <v>有定金+有預留客戶</v>
      </c>
      <c r="AR231" s="259" t="str">
        <f t="shared" si="34"/>
        <v>Shipped_Stock</v>
      </c>
      <c r="AS231" s="259" t="str">
        <f t="shared" si="35"/>
        <v/>
      </c>
      <c r="AT231" s="259" t="str">
        <f t="shared" si="36"/>
        <v>杉川/end user:放德劲</v>
      </c>
      <c r="AU231" s="259" t="str">
        <f t="shared" si="37"/>
        <v>C49SZX201900131JL</v>
      </c>
      <c r="AV231" s="259" t="str">
        <f t="shared" si="38"/>
        <v>Jul-17</v>
      </c>
    </row>
    <row r="232" spans="1:48" ht="15" hidden="1" customHeight="1">
      <c r="A232" s="564">
        <v>409</v>
      </c>
      <c r="B232" s="568" t="s">
        <v>280</v>
      </c>
      <c r="C232" s="565" t="s">
        <v>281</v>
      </c>
      <c r="D232" s="604">
        <v>109602</v>
      </c>
      <c r="E232" s="568" t="s">
        <v>644</v>
      </c>
      <c r="F232" s="568" t="s">
        <v>256</v>
      </c>
      <c r="G232" s="568" t="s">
        <v>24</v>
      </c>
      <c r="H232" s="568" t="s">
        <v>27</v>
      </c>
      <c r="I232" s="569" t="s">
        <v>668</v>
      </c>
      <c r="J232" s="569">
        <v>1</v>
      </c>
      <c r="K232" s="568" t="s">
        <v>605</v>
      </c>
      <c r="L232" s="570">
        <v>43663</v>
      </c>
      <c r="M232" s="571">
        <v>6.4699999999999994E-2</v>
      </c>
      <c r="N232" s="568" t="s">
        <v>475</v>
      </c>
      <c r="O232" s="569">
        <v>2019.07</v>
      </c>
      <c r="P232" s="571" t="str">
        <f>VLOOKUP(A232,'[1]Raw data'!$B:$BB,23,FALSE)</f>
        <v>RMB</v>
      </c>
      <c r="Q232" s="568" t="str">
        <f>VLOOKUP(A232,'[1]Raw data'!$B:$Z,2,FALSE)</f>
        <v>C49SZX20190120DY</v>
      </c>
      <c r="R232" s="568" t="str">
        <f>VLOOKUP(A232,'[1]Raw data'!$B:$Z,3,FALSE)</f>
        <v>妙琪</v>
      </c>
      <c r="S232" s="568" t="str">
        <f>VLOOKUP(A232,'[1]Raw data'!$B:$Z,4,FALSE)</f>
        <v>YSM20R(SV)-2</v>
      </c>
      <c r="T232" s="568" t="str">
        <f>VLOOKUP(A232,'[1]Raw data'!$B:$Z,8,FALSE)</f>
        <v>L-&gt;R</v>
      </c>
      <c r="U232" s="568" t="str">
        <f>VLOOKUP(A232,'[1]Raw data'!$B:$Z,9,FALSE)</f>
        <v>MVC</v>
      </c>
      <c r="V232" s="572" t="str">
        <f t="shared" si="39"/>
        <v>OK</v>
      </c>
      <c r="W232" s="568" t="str">
        <f>VLOOKUP(A232,'[1]Raw data'!$B:$AG,32,FALSE)</f>
        <v>含税到厂</v>
      </c>
      <c r="X232" s="568">
        <f>VLOOKUP(A232,'[1]Raw data'!$B:$BA,31,FALSE)</f>
        <v>43699</v>
      </c>
      <c r="Y232" s="568" t="str">
        <f>VLOOKUP(A232,'[1]Raw data'!$B:$AS,39,FALSE)</f>
        <v>Yes</v>
      </c>
      <c r="Z232" s="573"/>
      <c r="AA232" s="574"/>
      <c r="AB232" s="575"/>
      <c r="AC232" s="568" t="s">
        <v>669</v>
      </c>
      <c r="AD232" s="576">
        <v>301</v>
      </c>
      <c r="AE232" s="576">
        <v>10</v>
      </c>
      <c r="AF232" s="576">
        <v>302</v>
      </c>
      <c r="AG232" s="576">
        <v>10</v>
      </c>
      <c r="AN232" s="547"/>
      <c r="AO232" s="829" t="str">
        <f t="shared" si="31"/>
        <v>Yes</v>
      </c>
      <c r="AP232" s="259" t="str">
        <f t="shared" si="32"/>
        <v>OCT 19</v>
      </c>
      <c r="AQ232" s="547" t="str">
        <f t="shared" si="33"/>
        <v>有定金+有預留客戶</v>
      </c>
      <c r="AR232" s="259" t="str">
        <f t="shared" si="34"/>
        <v>Shipped_Stock</v>
      </c>
      <c r="AS232" s="259" t="str">
        <f t="shared" si="35"/>
        <v/>
      </c>
      <c r="AT232" s="259" t="str">
        <f t="shared" si="36"/>
        <v>妙琪</v>
      </c>
      <c r="AU232" s="259" t="str">
        <f t="shared" si="37"/>
        <v>C49SZX20190120DY</v>
      </c>
      <c r="AV232" s="259" t="str">
        <f t="shared" si="38"/>
        <v>Jul-17</v>
      </c>
    </row>
    <row r="233" spans="1:48" ht="15" hidden="1" customHeight="1">
      <c r="A233" s="564">
        <v>440</v>
      </c>
      <c r="B233" s="568" t="s">
        <v>280</v>
      </c>
      <c r="C233" s="565" t="s">
        <v>281</v>
      </c>
      <c r="D233" s="604">
        <v>109602</v>
      </c>
      <c r="E233" s="568" t="s">
        <v>644</v>
      </c>
      <c r="F233" s="568" t="s">
        <v>256</v>
      </c>
      <c r="G233" s="568" t="s">
        <v>24</v>
      </c>
      <c r="H233" s="568" t="s">
        <v>27</v>
      </c>
      <c r="I233" s="569" t="s">
        <v>670</v>
      </c>
      <c r="J233" s="569">
        <v>1</v>
      </c>
      <c r="K233" s="568" t="s">
        <v>605</v>
      </c>
      <c r="L233" s="570">
        <v>43663</v>
      </c>
      <c r="M233" s="571">
        <v>6.4699999999999994E-2</v>
      </c>
      <c r="N233" s="568" t="s">
        <v>504</v>
      </c>
      <c r="O233" s="569">
        <v>2019.07</v>
      </c>
      <c r="P233" s="571" t="str">
        <f>VLOOKUP(A233,'[1]Raw data'!$B:$BB,23,FALSE)</f>
        <v>RMB</v>
      </c>
      <c r="Q233" s="568" t="str">
        <f>VLOOKUP(A233,'[1]Raw data'!$B:$Z,2,FALSE)</f>
        <v>C49SZX20190145DZ</v>
      </c>
      <c r="R233" s="568" t="str">
        <f>VLOOKUP(A233,'[1]Raw data'!$B:$Z,3,FALSE)</f>
        <v>GCL 耕创</v>
      </c>
      <c r="S233" s="568" t="str">
        <f>VLOOKUP(A233,'[1]Raw data'!$B:$Z,4,FALSE)</f>
        <v>YSM20R(SV)-2</v>
      </c>
      <c r="T233" s="568" t="str">
        <f>VLOOKUP(A233,'[1]Raw data'!$B:$Z,8,FALSE)</f>
        <v>L-&gt;R</v>
      </c>
      <c r="U233" s="568" t="str">
        <f>VLOOKUP(A233,'[1]Raw data'!$B:$Z,9,FALSE)</f>
        <v>No</v>
      </c>
      <c r="V233" s="572" t="str">
        <f t="shared" si="39"/>
        <v>WRONG</v>
      </c>
      <c r="W233" s="568" t="str">
        <f>VLOOKUP(A233,'[1]Raw data'!$B:$AG,32,FALSE)</f>
        <v>含税到厂</v>
      </c>
      <c r="X233" s="568">
        <f>VLOOKUP(A233,'[1]Raw data'!$B:$BA,31,FALSE)</f>
        <v>43750</v>
      </c>
      <c r="Y233" s="568" t="str">
        <f>VLOOKUP(A233,'[1]Raw data'!$B:$AS,39,FALSE)</f>
        <v>Yes</v>
      </c>
      <c r="Z233" s="573"/>
      <c r="AA233" s="574"/>
      <c r="AB233" s="575"/>
      <c r="AC233" s="568" t="s">
        <v>671</v>
      </c>
      <c r="AD233" s="576">
        <v>301</v>
      </c>
      <c r="AE233" s="576">
        <v>10</v>
      </c>
      <c r="AF233" s="576">
        <v>302</v>
      </c>
      <c r="AG233" s="576">
        <v>10</v>
      </c>
      <c r="AN233" s="547"/>
      <c r="AO233" s="829" t="str">
        <f t="shared" si="31"/>
        <v>Yes</v>
      </c>
      <c r="AP233" s="259" t="str">
        <f t="shared" si="32"/>
        <v>NOV 19</v>
      </c>
      <c r="AQ233" s="547" t="str">
        <f t="shared" si="33"/>
        <v>有定金+有預留客戶</v>
      </c>
      <c r="AR233" s="259" t="str">
        <f t="shared" si="34"/>
        <v>Shipped_Stock</v>
      </c>
      <c r="AS233" s="259" t="str">
        <f t="shared" si="35"/>
        <v/>
      </c>
      <c r="AT233" s="259" t="str">
        <f t="shared" si="36"/>
        <v>GCL 耕创</v>
      </c>
      <c r="AU233" s="259" t="str">
        <f t="shared" si="37"/>
        <v>C49SZX20190145DZ</v>
      </c>
      <c r="AV233" s="259" t="str">
        <f t="shared" si="38"/>
        <v>Jul-17</v>
      </c>
    </row>
    <row r="234" spans="1:48" ht="15" hidden="1" customHeight="1">
      <c r="A234" s="564">
        <v>455</v>
      </c>
      <c r="B234" s="565" t="s">
        <v>280</v>
      </c>
      <c r="C234" s="565" t="s">
        <v>281</v>
      </c>
      <c r="D234" s="604">
        <v>109608</v>
      </c>
      <c r="E234" s="568" t="s">
        <v>644</v>
      </c>
      <c r="F234" s="568" t="s">
        <v>256</v>
      </c>
      <c r="G234" s="568" t="s">
        <v>24</v>
      </c>
      <c r="H234" s="568" t="s">
        <v>27</v>
      </c>
      <c r="I234" s="569" t="s">
        <v>672</v>
      </c>
      <c r="J234" s="569">
        <v>1</v>
      </c>
      <c r="K234" s="568" t="s">
        <v>661</v>
      </c>
      <c r="L234" s="570">
        <v>43665</v>
      </c>
      <c r="M234" s="571">
        <v>6.4699999999999994E-2</v>
      </c>
      <c r="N234" s="568" t="s">
        <v>504</v>
      </c>
      <c r="O234" s="569">
        <v>2019.07</v>
      </c>
      <c r="P234" s="571" t="str">
        <f>VLOOKUP(A234,'[1]Raw data'!$B:$BB,23,FALSE)</f>
        <v>RMB</v>
      </c>
      <c r="Q234" s="568" t="str">
        <f>VLOOKUP(A234,'[1]Raw data'!$B:$Z,2,FALSE)</f>
        <v>C49SZX20190148SX</v>
      </c>
      <c r="R234" s="568" t="str">
        <f>VLOOKUP(A234,'[1]Raw data'!$B:$Z,3,FALSE)</f>
        <v>悦之彩</v>
      </c>
      <c r="S234" s="568" t="str">
        <f>VLOOKUP(A234,'[1]Raw data'!$B:$Z,4,FALSE)</f>
        <v>YSM20R(SV)-2</v>
      </c>
      <c r="T234" s="568" t="str">
        <f>VLOOKUP(A234,'[1]Raw data'!$B:$Z,8,FALSE)</f>
        <v>L-&gt;R</v>
      </c>
      <c r="U234" s="568" t="str">
        <f>VLOOKUP(A234,'[1]Raw data'!$B:$Z,9,FALSE)</f>
        <v>No</v>
      </c>
      <c r="V234" s="572" t="str">
        <f t="shared" si="39"/>
        <v>WRONG</v>
      </c>
      <c r="W234" s="568" t="str">
        <f>VLOOKUP(A234,'[1]Raw data'!$B:$AG,32,FALSE)</f>
        <v>含税到厂</v>
      </c>
      <c r="X234" s="568">
        <f>VLOOKUP(A234,'[1]Raw data'!$B:$BA,31,FALSE)</f>
        <v>43756</v>
      </c>
      <c r="Y234" s="568" t="str">
        <f>VLOOKUP(A234,'[1]Raw data'!$B:$AS,39,FALSE)</f>
        <v>Yes</v>
      </c>
      <c r="Z234" s="573"/>
      <c r="AA234" s="574"/>
      <c r="AB234" s="575"/>
      <c r="AC234" s="568" t="s">
        <v>673</v>
      </c>
      <c r="AD234" s="576">
        <v>311</v>
      </c>
      <c r="AE234" s="576">
        <v>10</v>
      </c>
      <c r="AF234" s="576">
        <v>312</v>
      </c>
      <c r="AG234" s="576">
        <v>10</v>
      </c>
      <c r="AN234" s="547"/>
      <c r="AO234" s="829" t="str">
        <f t="shared" si="31"/>
        <v>Yes</v>
      </c>
      <c r="AP234" s="259" t="str">
        <f t="shared" si="32"/>
        <v>NOV 19</v>
      </c>
      <c r="AQ234" s="547" t="str">
        <f t="shared" si="33"/>
        <v>有定金+有預留客戶</v>
      </c>
      <c r="AR234" s="259" t="str">
        <f t="shared" si="34"/>
        <v>Shipped_Stock</v>
      </c>
      <c r="AS234" s="259" t="str">
        <f t="shared" si="35"/>
        <v/>
      </c>
      <c r="AT234" s="259" t="str">
        <f t="shared" si="36"/>
        <v>悦之彩</v>
      </c>
      <c r="AU234" s="259" t="str">
        <f t="shared" si="37"/>
        <v>C49SZX20190148SX</v>
      </c>
      <c r="AV234" s="259" t="str">
        <f t="shared" si="38"/>
        <v>Jul-19</v>
      </c>
    </row>
    <row r="235" spans="1:48" ht="15" hidden="1" customHeight="1">
      <c r="A235" s="564">
        <v>463</v>
      </c>
      <c r="B235" s="568" t="s">
        <v>280</v>
      </c>
      <c r="C235" s="565" t="s">
        <v>281</v>
      </c>
      <c r="D235" s="604">
        <v>109608</v>
      </c>
      <c r="E235" s="568" t="s">
        <v>644</v>
      </c>
      <c r="F235" s="568" t="s">
        <v>256</v>
      </c>
      <c r="G235" s="568" t="s">
        <v>24</v>
      </c>
      <c r="H235" s="568" t="s">
        <v>27</v>
      </c>
      <c r="I235" s="569" t="s">
        <v>674</v>
      </c>
      <c r="J235" s="569">
        <v>1</v>
      </c>
      <c r="K235" s="568" t="s">
        <v>295</v>
      </c>
      <c r="L235" s="570">
        <v>43665</v>
      </c>
      <c r="M235" s="571">
        <v>6.4699999999999994E-2</v>
      </c>
      <c r="N235" s="568" t="s">
        <v>504</v>
      </c>
      <c r="O235" s="569">
        <v>2019.07</v>
      </c>
      <c r="P235" s="571" t="str">
        <f>VLOOKUP(A235,'[1]Raw data'!$B:$BB,23,FALSE)</f>
        <v>RMB</v>
      </c>
      <c r="Q235" s="568" t="str">
        <f>VLOOKUP(A235,'[1]Raw data'!$B:$Z,2,FALSE)</f>
        <v>C49SZX20190152JL</v>
      </c>
      <c r="R235" s="568" t="str">
        <f>VLOOKUP(A235,'[1]Raw data'!$B:$Z,3,FALSE)</f>
        <v>捷舜诚</v>
      </c>
      <c r="S235" s="568" t="str">
        <f>VLOOKUP(A235,'[1]Raw data'!$B:$Z,4,FALSE)</f>
        <v>YSM20R(SV)-2</v>
      </c>
      <c r="T235" s="568" t="str">
        <f>VLOOKUP(A235,'[1]Raw data'!$B:$Z,8,FALSE)</f>
        <v>L-&gt;R</v>
      </c>
      <c r="U235" s="568" t="str">
        <f>VLOOKUP(A235,'[1]Raw data'!$B:$Z,9,FALSE)</f>
        <v>No</v>
      </c>
      <c r="V235" s="572" t="str">
        <f t="shared" si="39"/>
        <v>WRONG</v>
      </c>
      <c r="W235" s="568" t="str">
        <f>VLOOKUP(A235,'[1]Raw data'!$B:$AG,32,FALSE)</f>
        <v>含税到厂</v>
      </c>
      <c r="X235" s="568">
        <f>VLOOKUP(A235,'[1]Raw data'!$B:$BA,31,FALSE)</f>
        <v>43762</v>
      </c>
      <c r="Y235" s="568" t="str">
        <f>VLOOKUP(A235,'[1]Raw data'!$B:$AS,39,FALSE)</f>
        <v>Yes</v>
      </c>
      <c r="Z235" s="573"/>
      <c r="AA235" s="574" t="s">
        <v>329</v>
      </c>
      <c r="AB235" s="575"/>
      <c r="AC235" s="568" t="s">
        <v>675</v>
      </c>
      <c r="AD235" s="576">
        <v>301</v>
      </c>
      <c r="AE235" s="576">
        <v>10</v>
      </c>
      <c r="AF235" s="576">
        <v>311</v>
      </c>
      <c r="AG235" s="576">
        <v>10</v>
      </c>
      <c r="AN235" s="547"/>
      <c r="AO235" s="829" t="str">
        <f t="shared" si="31"/>
        <v>Yes</v>
      </c>
      <c r="AP235" s="259" t="str">
        <f t="shared" si="32"/>
        <v>NOV 19</v>
      </c>
      <c r="AQ235" s="547" t="str">
        <f t="shared" si="33"/>
        <v>有定金+有預留客戶</v>
      </c>
      <c r="AR235" s="259" t="str">
        <f t="shared" si="34"/>
        <v>Shipped_Stock</v>
      </c>
      <c r="AS235" s="259" t="str">
        <f t="shared" si="35"/>
        <v/>
      </c>
      <c r="AT235" s="259" t="str">
        <f t="shared" si="36"/>
        <v>捷舜诚</v>
      </c>
      <c r="AU235" s="259" t="str">
        <f t="shared" si="37"/>
        <v>C49SZX20190152JL</v>
      </c>
      <c r="AV235" s="259" t="str">
        <f t="shared" si="38"/>
        <v>Jul-19</v>
      </c>
    </row>
    <row r="236" spans="1:48" ht="15" hidden="1" customHeight="1">
      <c r="A236" s="564">
        <v>334</v>
      </c>
      <c r="B236" s="565" t="s">
        <v>280</v>
      </c>
      <c r="C236" s="565" t="s">
        <v>281</v>
      </c>
      <c r="D236" s="604">
        <v>109610</v>
      </c>
      <c r="E236" s="568" t="s">
        <v>676</v>
      </c>
      <c r="F236" s="568" t="s">
        <v>256</v>
      </c>
      <c r="G236" s="568" t="s">
        <v>24</v>
      </c>
      <c r="H236" s="568" t="s">
        <v>26</v>
      </c>
      <c r="I236" s="569" t="s">
        <v>677</v>
      </c>
      <c r="J236" s="569">
        <v>1</v>
      </c>
      <c r="K236" s="568" t="s">
        <v>388</v>
      </c>
      <c r="L236" s="570">
        <v>43665</v>
      </c>
      <c r="M236" s="571">
        <v>6.4699999999999994E-2</v>
      </c>
      <c r="N236" s="568" t="s">
        <v>417</v>
      </c>
      <c r="O236" s="569">
        <v>2019.07</v>
      </c>
      <c r="P236" s="571" t="str">
        <f>VLOOKUP(A236,'[1]Raw data'!$B:$BB,23,FALSE)</f>
        <v>JPY</v>
      </c>
      <c r="Q236" s="568" t="str">
        <f>VLOOKUP(A236,'[1]Raw data'!$B:$Z,2,FALSE)</f>
        <v>C49SZX20190080ZX</v>
      </c>
      <c r="R236" s="568" t="str">
        <f>VLOOKUP(A236,'[1]Raw data'!$B:$Z,3,FALSE)</f>
        <v>长沙健科</v>
      </c>
      <c r="S236" s="568" t="str">
        <f>VLOOKUP(A236,'[1]Raw data'!$B:$Z,4,FALSE)</f>
        <v>YSM20R(SV)-2</v>
      </c>
      <c r="T236" s="568" t="str">
        <f>VLOOKUP(A236,'[1]Raw data'!$B:$Z,8,FALSE)</f>
        <v>L-&gt;R</v>
      </c>
      <c r="U236" s="568" t="str">
        <f>VLOOKUP(A236,'[1]Raw data'!$B:$Z,9,FALSE)</f>
        <v>No</v>
      </c>
      <c r="V236" s="572" t="str">
        <f t="shared" si="39"/>
        <v>OK</v>
      </c>
      <c r="W236" s="568" t="str">
        <f>VLOOKUP(A236,'[1]Raw data'!$B:$AG,32,FALSE)</f>
        <v>DAP 长沙</v>
      </c>
      <c r="X236" s="568">
        <f>VLOOKUP(A236,'[1]Raw data'!$B:$BA,31,FALSE)</f>
        <v>43612</v>
      </c>
      <c r="Y236" s="568" t="str">
        <f>VLOOKUP(A236,'[1]Raw data'!$B:$AS,39,FALSE)</f>
        <v>Yes</v>
      </c>
      <c r="Z236" s="573" t="s">
        <v>329</v>
      </c>
      <c r="AA236" s="574" t="s">
        <v>329</v>
      </c>
      <c r="AB236" s="575"/>
      <c r="AC236" s="568" t="s">
        <v>678</v>
      </c>
      <c r="AD236" s="576">
        <v>301</v>
      </c>
      <c r="AE236" s="576">
        <v>10</v>
      </c>
      <c r="AF236" s="576">
        <v>302</v>
      </c>
      <c r="AG236" s="576">
        <v>6</v>
      </c>
      <c r="AH236" s="576">
        <v>303</v>
      </c>
      <c r="AI236" s="577">
        <v>4</v>
      </c>
      <c r="AN236" s="547"/>
      <c r="AO236" s="829" t="str">
        <f t="shared" si="31"/>
        <v>Yes</v>
      </c>
      <c r="AP236" s="259" t="str">
        <f t="shared" si="32"/>
        <v>AUG 19</v>
      </c>
      <c r="AQ236" s="547" t="str">
        <f t="shared" si="33"/>
        <v>有定金+有預留客戶</v>
      </c>
      <c r="AR236" s="259" t="str">
        <f t="shared" si="34"/>
        <v>Shipped_Stock</v>
      </c>
      <c r="AS236" s="259" t="str">
        <f t="shared" si="35"/>
        <v/>
      </c>
      <c r="AT236" s="259" t="str">
        <f t="shared" si="36"/>
        <v>长沙健科</v>
      </c>
      <c r="AU236" s="259" t="str">
        <f t="shared" si="37"/>
        <v>C49SZX20190080ZX</v>
      </c>
      <c r="AV236" s="259" t="str">
        <f t="shared" si="38"/>
        <v>Jul-19</v>
      </c>
    </row>
    <row r="237" spans="1:48" ht="15" hidden="1" customHeight="1">
      <c r="A237" s="564">
        <v>427</v>
      </c>
      <c r="B237" s="565" t="s">
        <v>280</v>
      </c>
      <c r="C237" s="565" t="s">
        <v>281</v>
      </c>
      <c r="D237" s="604">
        <v>109608</v>
      </c>
      <c r="E237" s="568" t="s">
        <v>644</v>
      </c>
      <c r="F237" s="568" t="s">
        <v>256</v>
      </c>
      <c r="G237" s="568" t="s">
        <v>24</v>
      </c>
      <c r="H237" s="568" t="s">
        <v>27</v>
      </c>
      <c r="I237" s="569" t="s">
        <v>679</v>
      </c>
      <c r="J237" s="569">
        <v>1</v>
      </c>
      <c r="K237" s="568" t="s">
        <v>437</v>
      </c>
      <c r="L237" s="570">
        <v>43665</v>
      </c>
      <c r="M237" s="571">
        <v>6.4699999999999994E-2</v>
      </c>
      <c r="N237" s="568" t="s">
        <v>475</v>
      </c>
      <c r="O237" s="569">
        <v>2019.07</v>
      </c>
      <c r="P237" s="571" t="str">
        <f>VLOOKUP(A237,'[1]Raw data'!$B:$BB,23,FALSE)</f>
        <v>RMB</v>
      </c>
      <c r="Q237" s="568" t="str">
        <f>VLOOKUP(A237,'[1]Raw data'!$B:$Z,2,FALSE)</f>
        <v>C49SZX20190128DZ</v>
      </c>
      <c r="R237" s="568" t="str">
        <f>VLOOKUP(A237,'[1]Raw data'!$B:$Z,3,FALSE)</f>
        <v>富斯迈/end user:蓝普视讯</v>
      </c>
      <c r="S237" s="568" t="str">
        <f>VLOOKUP(A237,'[1]Raw data'!$B:$Z,4,FALSE)</f>
        <v>YSM20R(SV)-2</v>
      </c>
      <c r="T237" s="568" t="str">
        <f>VLOOKUP(A237,'[1]Raw data'!$B:$Z,8,FALSE)</f>
        <v>L-&gt;R</v>
      </c>
      <c r="U237" s="568" t="str">
        <f>VLOOKUP(A237,'[1]Raw data'!$B:$Z,9,FALSE)</f>
        <v>No</v>
      </c>
      <c r="V237" s="572" t="str">
        <f t="shared" si="39"/>
        <v>WRONG</v>
      </c>
      <c r="W237" s="568" t="str">
        <f>VLOOKUP(A237,'[1]Raw data'!$B:$AG,32,FALSE)</f>
        <v>CIF HK</v>
      </c>
      <c r="X237" s="568">
        <f>VLOOKUP(A237,'[1]Raw data'!$B:$BA,31,FALSE)</f>
        <v>43719</v>
      </c>
      <c r="Y237" s="568" t="str">
        <f>VLOOKUP(A237,'[1]Raw data'!$B:$AS,39,FALSE)</f>
        <v>Yes</v>
      </c>
      <c r="Z237" s="573"/>
      <c r="AA237" s="574"/>
      <c r="AB237" s="575"/>
      <c r="AC237" s="568" t="s">
        <v>680</v>
      </c>
      <c r="AD237" s="576">
        <v>301</v>
      </c>
      <c r="AE237" s="576">
        <v>20</v>
      </c>
      <c r="AN237" s="547"/>
      <c r="AO237" s="829" t="str">
        <f t="shared" si="31"/>
        <v>Yes</v>
      </c>
      <c r="AP237" s="259" t="str">
        <f t="shared" si="32"/>
        <v>OCT 19</v>
      </c>
      <c r="AQ237" s="547" t="str">
        <f t="shared" si="33"/>
        <v>有定金+有預留客戶</v>
      </c>
      <c r="AR237" s="259" t="str">
        <f t="shared" si="34"/>
        <v>Shipped_Stock</v>
      </c>
      <c r="AS237" s="259" t="str">
        <f t="shared" si="35"/>
        <v/>
      </c>
      <c r="AT237" s="259" t="str">
        <f t="shared" si="36"/>
        <v>富斯迈/end user:蓝普视讯</v>
      </c>
      <c r="AU237" s="259" t="str">
        <f t="shared" si="37"/>
        <v>C49SZX20190128DZ</v>
      </c>
      <c r="AV237" s="259" t="str">
        <f t="shared" si="38"/>
        <v>Jul-19</v>
      </c>
    </row>
    <row r="238" spans="1:48" ht="15" hidden="1" customHeight="1">
      <c r="A238" s="564">
        <v>428</v>
      </c>
      <c r="B238" s="568" t="s">
        <v>280</v>
      </c>
      <c r="C238" s="565" t="s">
        <v>281</v>
      </c>
      <c r="D238" s="604">
        <v>109608</v>
      </c>
      <c r="E238" s="568" t="s">
        <v>644</v>
      </c>
      <c r="F238" s="568" t="s">
        <v>256</v>
      </c>
      <c r="G238" s="568" t="s">
        <v>24</v>
      </c>
      <c r="H238" s="568" t="s">
        <v>27</v>
      </c>
      <c r="I238" s="569" t="s">
        <v>681</v>
      </c>
      <c r="J238" s="569">
        <v>1</v>
      </c>
      <c r="K238" s="568" t="s">
        <v>437</v>
      </c>
      <c r="L238" s="570">
        <v>43665</v>
      </c>
      <c r="M238" s="571">
        <v>6.4699999999999994E-2</v>
      </c>
      <c r="N238" s="568" t="s">
        <v>475</v>
      </c>
      <c r="O238" s="569">
        <v>2019.07</v>
      </c>
      <c r="P238" s="571" t="str">
        <f>VLOOKUP(A238,'[1]Raw data'!$B:$BB,23,FALSE)</f>
        <v>RMB</v>
      </c>
      <c r="Q238" s="568" t="str">
        <f>VLOOKUP(A238,'[1]Raw data'!$B:$Z,2,FALSE)</f>
        <v>C49SZX20190128DZ</v>
      </c>
      <c r="R238" s="568" t="str">
        <f>VLOOKUP(A238,'[1]Raw data'!$B:$Z,3,FALSE)</f>
        <v>富斯迈/end user:蓝普视讯</v>
      </c>
      <c r="S238" s="568" t="str">
        <f>VLOOKUP(A238,'[1]Raw data'!$B:$Z,4,FALSE)</f>
        <v>YSM20R(SV)-2</v>
      </c>
      <c r="T238" s="568" t="str">
        <f>VLOOKUP(A238,'[1]Raw data'!$B:$Z,8,FALSE)</f>
        <v>L-&gt;R</v>
      </c>
      <c r="U238" s="568" t="str">
        <f>VLOOKUP(A238,'[1]Raw data'!$B:$Z,9,FALSE)</f>
        <v>No</v>
      </c>
      <c r="V238" s="572" t="str">
        <f t="shared" si="39"/>
        <v>WRONG</v>
      </c>
      <c r="W238" s="568" t="str">
        <f>VLOOKUP(A238,'[1]Raw data'!$B:$AG,32,FALSE)</f>
        <v>CIF HK</v>
      </c>
      <c r="X238" s="568">
        <f>VLOOKUP(A238,'[1]Raw data'!$B:$BA,31,FALSE)</f>
        <v>43719</v>
      </c>
      <c r="Y238" s="568" t="str">
        <f>VLOOKUP(A238,'[1]Raw data'!$B:$AS,39,FALSE)</f>
        <v>Yes</v>
      </c>
      <c r="Z238" s="573"/>
      <c r="AA238" s="574"/>
      <c r="AB238" s="575"/>
      <c r="AC238" s="568" t="s">
        <v>680</v>
      </c>
      <c r="AD238" s="576">
        <v>302</v>
      </c>
      <c r="AE238" s="576">
        <v>10</v>
      </c>
      <c r="AF238" s="576">
        <v>312</v>
      </c>
      <c r="AG238" s="576">
        <v>10</v>
      </c>
      <c r="AN238" s="547"/>
      <c r="AO238" s="829" t="str">
        <f t="shared" si="31"/>
        <v>Yes</v>
      </c>
      <c r="AP238" s="259" t="str">
        <f t="shared" si="32"/>
        <v>OCT 19</v>
      </c>
      <c r="AQ238" s="547" t="str">
        <f t="shared" si="33"/>
        <v>有定金+有預留客戶</v>
      </c>
      <c r="AR238" s="259" t="str">
        <f t="shared" si="34"/>
        <v>Shipped_Stock</v>
      </c>
      <c r="AS238" s="259" t="str">
        <f t="shared" si="35"/>
        <v/>
      </c>
      <c r="AT238" s="259" t="str">
        <f t="shared" si="36"/>
        <v>富斯迈/end user:蓝普视讯</v>
      </c>
      <c r="AU238" s="259" t="str">
        <f t="shared" si="37"/>
        <v>C49SZX20190128DZ</v>
      </c>
      <c r="AV238" s="259" t="str">
        <f t="shared" si="38"/>
        <v>Jul-19</v>
      </c>
    </row>
    <row r="239" spans="1:48" ht="15" hidden="1" customHeight="1">
      <c r="A239" s="564">
        <v>357</v>
      </c>
      <c r="B239" s="568" t="s">
        <v>280</v>
      </c>
      <c r="C239" s="565" t="s">
        <v>281</v>
      </c>
      <c r="D239" s="604">
        <v>109623</v>
      </c>
      <c r="E239" s="568" t="s">
        <v>682</v>
      </c>
      <c r="F239" s="568" t="s">
        <v>339</v>
      </c>
      <c r="G239" s="568" t="s">
        <v>24</v>
      </c>
      <c r="H239" s="568" t="s">
        <v>26</v>
      </c>
      <c r="I239" s="569" t="s">
        <v>683</v>
      </c>
      <c r="J239" s="569">
        <v>1</v>
      </c>
      <c r="K239" s="568" t="s">
        <v>388</v>
      </c>
      <c r="L239" s="570">
        <v>43677</v>
      </c>
      <c r="M239" s="571">
        <v>6.4799999999999996E-2</v>
      </c>
      <c r="N239" s="568" t="s">
        <v>417</v>
      </c>
      <c r="O239" s="568">
        <v>2019.07</v>
      </c>
      <c r="P239" s="571" t="str">
        <f>VLOOKUP(A239,'[1]Raw data'!$B:$BB,23,FALSE)</f>
        <v>JPY</v>
      </c>
      <c r="Q239" s="568" t="str">
        <f>VLOOKUP(A239,'[1]Raw data'!$B:$Z,2,FALSE)</f>
        <v>C49SZX20190101KW</v>
      </c>
      <c r="R239" s="568" t="str">
        <f>VLOOKUP(A239,'[1]Raw data'!$B:$Z,3,FALSE)</f>
        <v>伟盛贸易(富洛）/晶科</v>
      </c>
      <c r="S239" s="568" t="str">
        <f>VLOOKUP(A239,'[1]Raw data'!$B:$Z,4,FALSE)</f>
        <v>SIGMA G5S2</v>
      </c>
      <c r="T239" s="568" t="str">
        <f>VLOOKUP(A239,'[1]Raw data'!$B:$Z,8,FALSE)</f>
        <v>L-&gt;R</v>
      </c>
      <c r="U239" s="568" t="str">
        <f>VLOOKUP(A239,'[1]Raw data'!$B:$Z,9,FALSE)</f>
        <v>No</v>
      </c>
      <c r="V239" s="572" t="str">
        <f t="shared" si="39"/>
        <v>OK</v>
      </c>
      <c r="W239" s="568" t="str">
        <f>VLOOKUP(A239,'[1]Raw data'!$B:$AG,32,FALSE)</f>
        <v>CIF HK</v>
      </c>
      <c r="X239" s="568">
        <f>VLOOKUP(A239,'[1]Raw data'!$B:$BA,31,FALSE)</f>
        <v>43633</v>
      </c>
      <c r="Y239" s="568" t="str">
        <f>VLOOKUP(A239,'[1]Raw data'!$B:$AS,39,FALSE)</f>
        <v>Yes</v>
      </c>
      <c r="Z239" s="573"/>
      <c r="AA239" s="574"/>
      <c r="AB239" s="575"/>
      <c r="AC239" s="568" t="s">
        <v>678</v>
      </c>
      <c r="AN239" s="547"/>
      <c r="AO239" s="829" t="str">
        <f t="shared" si="31"/>
        <v>Yes</v>
      </c>
      <c r="AP239" s="259" t="str">
        <f t="shared" si="32"/>
        <v>AUG 19</v>
      </c>
      <c r="AQ239" s="547" t="str">
        <f t="shared" si="33"/>
        <v>有定金+有預留客戶</v>
      </c>
      <c r="AR239" s="259" t="str">
        <f t="shared" si="34"/>
        <v>Shipped_Stock</v>
      </c>
      <c r="AS239" s="259" t="str">
        <f t="shared" si="35"/>
        <v/>
      </c>
      <c r="AT239" s="259" t="str">
        <f t="shared" si="36"/>
        <v>伟盛贸易(富洛）/晶科</v>
      </c>
      <c r="AU239" s="259" t="str">
        <f t="shared" si="37"/>
        <v>C49SZX20190101KW</v>
      </c>
      <c r="AV239" s="259" t="str">
        <f t="shared" si="38"/>
        <v>Jul-31</v>
      </c>
    </row>
    <row r="240" spans="1:48" ht="15" hidden="1" customHeight="1">
      <c r="A240" s="564">
        <v>358</v>
      </c>
      <c r="B240" s="568" t="s">
        <v>280</v>
      </c>
      <c r="C240" s="565" t="s">
        <v>281</v>
      </c>
      <c r="D240" s="604">
        <v>109623</v>
      </c>
      <c r="E240" s="568" t="s">
        <v>682</v>
      </c>
      <c r="F240" s="568" t="s">
        <v>153</v>
      </c>
      <c r="G240" s="568" t="s">
        <v>24</v>
      </c>
      <c r="H240" s="568" t="s">
        <v>26</v>
      </c>
      <c r="I240" s="569" t="s">
        <v>684</v>
      </c>
      <c r="J240" s="569">
        <v>1</v>
      </c>
      <c r="K240" s="568" t="s">
        <v>388</v>
      </c>
      <c r="L240" s="570">
        <v>43677</v>
      </c>
      <c r="M240" s="571">
        <v>6.4799999999999996E-2</v>
      </c>
      <c r="N240" s="568" t="s">
        <v>417</v>
      </c>
      <c r="O240" s="568">
        <v>2019.07</v>
      </c>
      <c r="P240" s="571" t="str">
        <f>VLOOKUP(A240,'[1]Raw data'!$B:$BB,23,FALSE)</f>
        <v>JPY</v>
      </c>
      <c r="Q240" s="568" t="str">
        <f>VLOOKUP(A240,'[1]Raw data'!$B:$Z,2,FALSE)</f>
        <v>C49SZX20190101KW</v>
      </c>
      <c r="R240" s="568" t="str">
        <f>VLOOKUP(A240,'[1]Raw data'!$B:$Z,3,FALSE)</f>
        <v>伟盛贸易(富洛）/晶科</v>
      </c>
      <c r="S240" s="568" t="str">
        <f>VLOOKUP(A240,'[1]Raw data'!$B:$Z,4,FALSE)</f>
        <v>SIGMA G5S2</v>
      </c>
      <c r="T240" s="568" t="str">
        <f>VLOOKUP(A240,'[1]Raw data'!$B:$Z,8,FALSE)</f>
        <v>L-&gt;R</v>
      </c>
      <c r="U240" s="568" t="str">
        <f>VLOOKUP(A240,'[1]Raw data'!$B:$Z,9,FALSE)</f>
        <v>No</v>
      </c>
      <c r="V240" s="572" t="str">
        <f t="shared" si="39"/>
        <v>OK</v>
      </c>
      <c r="W240" s="568" t="str">
        <f>VLOOKUP(A240,'[1]Raw data'!$B:$AG,32,FALSE)</f>
        <v>CIF HK</v>
      </c>
      <c r="X240" s="568">
        <f>VLOOKUP(A240,'[1]Raw data'!$B:$BA,31,FALSE)</f>
        <v>43633</v>
      </c>
      <c r="Y240" s="568" t="str">
        <f>VLOOKUP(A240,'[1]Raw data'!$B:$AS,39,FALSE)</f>
        <v>Yes</v>
      </c>
      <c r="Z240" s="573"/>
      <c r="AA240" s="574"/>
      <c r="AB240" s="575"/>
      <c r="AC240" s="568" t="s">
        <v>678</v>
      </c>
      <c r="AN240" s="547"/>
      <c r="AO240" s="829" t="str">
        <f t="shared" si="31"/>
        <v>Yes</v>
      </c>
      <c r="AP240" s="259" t="str">
        <f t="shared" si="32"/>
        <v>AUG 19</v>
      </c>
      <c r="AQ240" s="547" t="str">
        <f t="shared" si="33"/>
        <v>有定金+有預留客戶</v>
      </c>
      <c r="AR240" s="259" t="str">
        <f t="shared" si="34"/>
        <v>Shipped_Stock</v>
      </c>
      <c r="AS240" s="259" t="str">
        <f t="shared" si="35"/>
        <v/>
      </c>
      <c r="AT240" s="259" t="str">
        <f t="shared" si="36"/>
        <v>伟盛贸易(富洛）/晶科</v>
      </c>
      <c r="AU240" s="259" t="str">
        <f t="shared" si="37"/>
        <v>C49SZX20190101KW</v>
      </c>
      <c r="AV240" s="259" t="str">
        <f t="shared" si="38"/>
        <v>Jul-31</v>
      </c>
    </row>
    <row r="241" spans="1:48" ht="15" hidden="1" customHeight="1">
      <c r="A241" s="564">
        <v>387</v>
      </c>
      <c r="B241" s="568" t="s">
        <v>280</v>
      </c>
      <c r="C241" s="565" t="s">
        <v>281</v>
      </c>
      <c r="D241" s="604">
        <v>109587</v>
      </c>
      <c r="E241" s="568" t="s">
        <v>644</v>
      </c>
      <c r="F241" s="568" t="s">
        <v>17</v>
      </c>
      <c r="G241" s="568" t="s">
        <v>18</v>
      </c>
      <c r="H241" s="568" t="s">
        <v>26</v>
      </c>
      <c r="I241" s="569" t="s">
        <v>685</v>
      </c>
      <c r="J241" s="569">
        <v>1</v>
      </c>
      <c r="K241" s="568" t="s">
        <v>661</v>
      </c>
      <c r="L241" s="570">
        <v>43686</v>
      </c>
      <c r="M241" s="571">
        <v>6.4799999999999996E-2</v>
      </c>
      <c r="N241" s="568" t="s">
        <v>320</v>
      </c>
      <c r="O241" s="568">
        <v>2019.07</v>
      </c>
      <c r="P241" s="571" t="str">
        <f>VLOOKUP(A241,'[1]Raw data'!$B:$BB,23,FALSE)</f>
        <v>RMB</v>
      </c>
      <c r="Q241" s="568" t="str">
        <f>VLOOKUP(A241,'[1]Raw data'!$B:$Z,2,FALSE)</f>
        <v>C49SZX20190118R1SS</v>
      </c>
      <c r="R241" s="568" t="str">
        <f>VLOOKUP(A241,'[1]Raw data'!$B:$Z,3,FALSE)</f>
        <v>鼎鸿</v>
      </c>
      <c r="S241" s="568" t="str">
        <f>VLOOKUP(A241,'[1]Raw data'!$B:$Z,4,FALSE)</f>
        <v>YSM10</v>
      </c>
      <c r="T241" s="568" t="str">
        <f>VLOOKUP(A241,'[1]Raw data'!$B:$Z,8,FALSE)</f>
        <v>L-&gt;R</v>
      </c>
      <c r="U241" s="568" t="str">
        <f>VLOOKUP(A241,'[1]Raw data'!$B:$Z,9,FALSE)</f>
        <v>MVC</v>
      </c>
      <c r="V241" s="572" t="str">
        <f t="shared" si="39"/>
        <v>WRONG</v>
      </c>
      <c r="W241" s="568" t="str">
        <f>VLOOKUP(A241,'[1]Raw data'!$B:$AG,32,FALSE)</f>
        <v>含税到厂</v>
      </c>
      <c r="X241" s="568">
        <f>VLOOKUP(A241,'[1]Raw data'!$B:$BA,31,FALSE)</f>
        <v>43691</v>
      </c>
      <c r="Y241" s="568" t="str">
        <f>VLOOKUP(A241,'[1]Raw data'!$B:$AS,39,FALSE)</f>
        <v>Yes</v>
      </c>
      <c r="Z241" s="573" t="s">
        <v>329</v>
      </c>
      <c r="AA241" s="574" t="s">
        <v>329</v>
      </c>
      <c r="AB241" s="575"/>
      <c r="AC241" s="568" t="s">
        <v>686</v>
      </c>
      <c r="AD241" s="576">
        <v>301</v>
      </c>
      <c r="AE241" s="576">
        <v>10</v>
      </c>
      <c r="AN241" s="547"/>
      <c r="AO241" s="829" t="str">
        <f t="shared" si="31"/>
        <v>Yes</v>
      </c>
      <c r="AP241" s="259" t="str">
        <f t="shared" si="32"/>
        <v>SEP 19</v>
      </c>
      <c r="AQ241" s="547" t="str">
        <f t="shared" si="33"/>
        <v>有定金+有預留客戶</v>
      </c>
      <c r="AR241" s="259" t="str">
        <f t="shared" si="34"/>
        <v>Shipped_Stock</v>
      </c>
      <c r="AS241" s="259" t="str">
        <f t="shared" si="35"/>
        <v/>
      </c>
      <c r="AT241" s="259" t="str">
        <f t="shared" si="36"/>
        <v>鼎鸿</v>
      </c>
      <c r="AU241" s="259" t="str">
        <f t="shared" si="37"/>
        <v>C49SZX20190118R1SS</v>
      </c>
      <c r="AV241" s="259" t="str">
        <f t="shared" si="38"/>
        <v>Aug-09</v>
      </c>
    </row>
    <row r="242" spans="1:48" ht="15" hidden="1" customHeight="1">
      <c r="A242" s="564">
        <v>420</v>
      </c>
      <c r="B242" s="568" t="s">
        <v>280</v>
      </c>
      <c r="C242" s="565" t="s">
        <v>281</v>
      </c>
      <c r="D242" s="604">
        <v>109587</v>
      </c>
      <c r="E242" s="568" t="s">
        <v>644</v>
      </c>
      <c r="F242" s="568" t="s">
        <v>17</v>
      </c>
      <c r="G242" s="568" t="s">
        <v>18</v>
      </c>
      <c r="H242" s="568" t="s">
        <v>34</v>
      </c>
      <c r="I242" s="569" t="s">
        <v>687</v>
      </c>
      <c r="J242" s="569">
        <v>1</v>
      </c>
      <c r="K242" s="568" t="s">
        <v>295</v>
      </c>
      <c r="L242" s="570">
        <v>43686</v>
      </c>
      <c r="M242" s="571">
        <v>6.4799999999999996E-2</v>
      </c>
      <c r="N242" s="568" t="s">
        <v>320</v>
      </c>
      <c r="O242" s="568">
        <v>2019.07</v>
      </c>
      <c r="P242" s="571" t="str">
        <f>VLOOKUP(A242,'[1]Raw data'!$B:$BB,23,FALSE)</f>
        <v>RMB</v>
      </c>
      <c r="Q242" s="568" t="str">
        <f>VLOOKUP(A242,'[1]Raw data'!$B:$Z,2,FALSE)</f>
        <v>C49SZX20190129DZ</v>
      </c>
      <c r="R242" s="568" t="str">
        <f>VLOOKUP(A242,'[1]Raw data'!$B:$Z,3,FALSE)</f>
        <v>博星</v>
      </c>
      <c r="S242" s="568" t="str">
        <f>VLOOKUP(A242,'[1]Raw data'!$B:$Z,4,FALSE)</f>
        <v>YSM10</v>
      </c>
      <c r="T242" s="568" t="str">
        <f>VLOOKUP(A242,'[1]Raw data'!$B:$Z,8,FALSE)</f>
        <v>L-&gt;R</v>
      </c>
      <c r="U242" s="568" t="str">
        <f>VLOOKUP(A242,'[1]Raw data'!$B:$Z,9,FALSE)</f>
        <v>MVC+ATS15</v>
      </c>
      <c r="V242" s="572" t="str">
        <f t="shared" si="39"/>
        <v>WRONG</v>
      </c>
      <c r="W242" s="568" t="str">
        <f>VLOOKUP(A242,'[1]Raw data'!$B:$AG,32,FALSE)</f>
        <v>含税到厂</v>
      </c>
      <c r="X242" s="568">
        <f>VLOOKUP(A242,'[1]Raw data'!$B:$BA,31,FALSE)</f>
        <v>43708</v>
      </c>
      <c r="Y242" s="568" t="str">
        <f>VLOOKUP(A242,'[1]Raw data'!$B:$AS,39,FALSE)</f>
        <v>Yes</v>
      </c>
      <c r="Z242" s="573"/>
      <c r="AA242" s="574"/>
      <c r="AB242" s="575"/>
      <c r="AC242" s="568" t="s">
        <v>606</v>
      </c>
      <c r="AD242" s="576">
        <v>302</v>
      </c>
      <c r="AE242" s="576">
        <v>10</v>
      </c>
      <c r="AN242" s="547"/>
      <c r="AO242" s="829" t="str">
        <f t="shared" si="31"/>
        <v>Yes</v>
      </c>
      <c r="AP242" s="259" t="str">
        <f t="shared" si="32"/>
        <v>SEP 19</v>
      </c>
      <c r="AQ242" s="547" t="str">
        <f t="shared" si="33"/>
        <v>有定金+有預留客戶</v>
      </c>
      <c r="AR242" s="259" t="str">
        <f t="shared" si="34"/>
        <v>Shipped_Stock</v>
      </c>
      <c r="AS242" s="259" t="str">
        <f t="shared" si="35"/>
        <v/>
      </c>
      <c r="AT242" s="259" t="str">
        <f t="shared" si="36"/>
        <v>博星</v>
      </c>
      <c r="AU242" s="259" t="str">
        <f t="shared" si="37"/>
        <v>C49SZX20190129DZ</v>
      </c>
      <c r="AV242" s="259" t="str">
        <f t="shared" si="38"/>
        <v>Aug-09</v>
      </c>
    </row>
    <row r="243" spans="1:48" ht="15" hidden="1" customHeight="1">
      <c r="A243" s="564">
        <v>421</v>
      </c>
      <c r="B243" s="568" t="s">
        <v>280</v>
      </c>
      <c r="C243" s="565" t="s">
        <v>281</v>
      </c>
      <c r="D243" s="604">
        <v>109587</v>
      </c>
      <c r="E243" s="568" t="s">
        <v>644</v>
      </c>
      <c r="F243" s="568" t="s">
        <v>17</v>
      </c>
      <c r="G243" s="568" t="s">
        <v>18</v>
      </c>
      <c r="H243" s="568" t="s">
        <v>34</v>
      </c>
      <c r="I243" s="569" t="s">
        <v>688</v>
      </c>
      <c r="J243" s="569">
        <v>1</v>
      </c>
      <c r="K243" s="568" t="s">
        <v>295</v>
      </c>
      <c r="L243" s="570">
        <v>43686</v>
      </c>
      <c r="M243" s="571">
        <v>6.4799999999999996E-2</v>
      </c>
      <c r="N243" s="568" t="s">
        <v>504</v>
      </c>
      <c r="O243" s="568">
        <v>2019.07</v>
      </c>
      <c r="P243" s="571" t="str">
        <f>VLOOKUP(A243,'[1]Raw data'!$B:$BB,23,FALSE)</f>
        <v>RMB</v>
      </c>
      <c r="Q243" s="568" t="str">
        <f>VLOOKUP(A243,'[1]Raw data'!$B:$Z,2,FALSE)</f>
        <v>C49SZX20190129DZ</v>
      </c>
      <c r="R243" s="568" t="str">
        <f>VLOOKUP(A243,'[1]Raw data'!$B:$Z,3,FALSE)</f>
        <v>博星</v>
      </c>
      <c r="S243" s="568" t="str">
        <f>VLOOKUP(A243,'[1]Raw data'!$B:$Z,4,FALSE)</f>
        <v>YSM10</v>
      </c>
      <c r="T243" s="568" t="str">
        <f>VLOOKUP(A243,'[1]Raw data'!$B:$Z,8,FALSE)</f>
        <v>R-&gt;L</v>
      </c>
      <c r="U243" s="568" t="str">
        <f>VLOOKUP(A243,'[1]Raw data'!$B:$Z,9,FALSE)</f>
        <v>MVC+ATS15</v>
      </c>
      <c r="V243" s="572" t="str">
        <f t="shared" si="39"/>
        <v>OK</v>
      </c>
      <c r="W243" s="568" t="str">
        <f>VLOOKUP(A243,'[1]Raw data'!$B:$AG,32,FALSE)</f>
        <v>含税到厂</v>
      </c>
      <c r="X243" s="568">
        <f>VLOOKUP(A243,'[1]Raw data'!$B:$BA,31,FALSE)</f>
        <v>43708</v>
      </c>
      <c r="Y243" s="568" t="str">
        <f>VLOOKUP(A243,'[1]Raw data'!$B:$AS,39,FALSE)</f>
        <v>Yes</v>
      </c>
      <c r="Z243" s="573"/>
      <c r="AA243" s="574"/>
      <c r="AB243" s="575"/>
      <c r="AC243" s="568" t="s">
        <v>606</v>
      </c>
      <c r="AD243" s="576">
        <v>302</v>
      </c>
      <c r="AE243" s="576">
        <v>10</v>
      </c>
      <c r="AN243" s="547"/>
      <c r="AO243" s="829" t="str">
        <f t="shared" si="31"/>
        <v>Yes</v>
      </c>
      <c r="AP243" s="259" t="str">
        <f t="shared" si="32"/>
        <v>NOV 19</v>
      </c>
      <c r="AQ243" s="547" t="str">
        <f t="shared" si="33"/>
        <v>有定金+有預留客戶</v>
      </c>
      <c r="AR243" s="259" t="str">
        <f t="shared" si="34"/>
        <v>Shipped_Stock</v>
      </c>
      <c r="AS243" s="259" t="str">
        <f t="shared" si="35"/>
        <v/>
      </c>
      <c r="AT243" s="259" t="str">
        <f t="shared" si="36"/>
        <v>博星</v>
      </c>
      <c r="AU243" s="259" t="str">
        <f t="shared" si="37"/>
        <v>C49SZX20190129DZ</v>
      </c>
      <c r="AV243" s="259" t="str">
        <f t="shared" si="38"/>
        <v>Aug-09</v>
      </c>
    </row>
    <row r="244" spans="1:48" ht="15" hidden="1" customHeight="1">
      <c r="A244" s="564">
        <v>408</v>
      </c>
      <c r="B244" s="568" t="s">
        <v>280</v>
      </c>
      <c r="C244" s="565" t="s">
        <v>281</v>
      </c>
      <c r="D244" s="604">
        <v>109587</v>
      </c>
      <c r="E244" s="568" t="s">
        <v>644</v>
      </c>
      <c r="F244" s="568" t="s">
        <v>17</v>
      </c>
      <c r="G244" s="568" t="s">
        <v>18</v>
      </c>
      <c r="H244" s="568" t="s">
        <v>26</v>
      </c>
      <c r="I244" s="569" t="s">
        <v>689</v>
      </c>
      <c r="J244" s="569">
        <v>1</v>
      </c>
      <c r="K244" s="568" t="s">
        <v>295</v>
      </c>
      <c r="L244" s="570">
        <v>43686</v>
      </c>
      <c r="M244" s="571">
        <v>6.4799999999999996E-2</v>
      </c>
      <c r="N244" s="568" t="s">
        <v>320</v>
      </c>
      <c r="O244" s="568">
        <v>2019.07</v>
      </c>
      <c r="P244" s="571" t="str">
        <f>VLOOKUP(A244,'[1]Raw data'!$B:$BB,23,FALSE)</f>
        <v>RMB</v>
      </c>
      <c r="Q244" s="568" t="str">
        <f>VLOOKUP(A244,'[1]Raw data'!$B:$Z,2,FALSE)</f>
        <v>C49SZX20190127JY</v>
      </c>
      <c r="R244" s="568" t="str">
        <f>VLOOKUP(A244,'[1]Raw data'!$B:$Z,3,FALSE)</f>
        <v>海松微</v>
      </c>
      <c r="S244" s="568" t="str">
        <f>VLOOKUP(A244,'[1]Raw data'!$B:$Z,4,FALSE)</f>
        <v>YSM10</v>
      </c>
      <c r="T244" s="568" t="str">
        <f>VLOOKUP(A244,'[1]Raw data'!$B:$Z,8,FALSE)</f>
        <v>L-&gt;R</v>
      </c>
      <c r="U244" s="568" t="str">
        <f>VLOOKUP(A244,'[1]Raw data'!$B:$Z,9,FALSE)</f>
        <v>MVC</v>
      </c>
      <c r="V244" s="572" t="str">
        <f t="shared" si="39"/>
        <v>WRONG</v>
      </c>
      <c r="W244" s="568" t="str">
        <f>VLOOKUP(A244,'[1]Raw data'!$B:$AG,32,FALSE)</f>
        <v>含税到厂</v>
      </c>
      <c r="X244" s="568">
        <f>VLOOKUP(A244,'[1]Raw data'!$B:$BA,31,FALSE)</f>
        <v>43698</v>
      </c>
      <c r="Y244" s="568" t="str">
        <f>VLOOKUP(A244,'[1]Raw data'!$B:$AS,39,FALSE)</f>
        <v>Yes</v>
      </c>
      <c r="Z244" s="573"/>
      <c r="AA244" s="574"/>
      <c r="AB244" s="575"/>
      <c r="AC244" s="568" t="s">
        <v>662</v>
      </c>
      <c r="AD244" s="576">
        <v>301</v>
      </c>
      <c r="AE244" s="576">
        <v>10</v>
      </c>
      <c r="AN244" s="547"/>
      <c r="AO244" s="829" t="str">
        <f t="shared" si="31"/>
        <v>Yes</v>
      </c>
      <c r="AP244" s="259" t="str">
        <f t="shared" si="32"/>
        <v>SEP 19</v>
      </c>
      <c r="AQ244" s="547" t="str">
        <f t="shared" si="33"/>
        <v>有定金+有預留客戶</v>
      </c>
      <c r="AR244" s="259" t="str">
        <f t="shared" si="34"/>
        <v>Shipped_Stock</v>
      </c>
      <c r="AS244" s="259" t="str">
        <f t="shared" si="35"/>
        <v/>
      </c>
      <c r="AT244" s="259" t="str">
        <f t="shared" si="36"/>
        <v>海松微</v>
      </c>
      <c r="AU244" s="259" t="str">
        <f t="shared" si="37"/>
        <v>C49SZX20190127JY</v>
      </c>
      <c r="AV244" s="259" t="str">
        <f t="shared" si="38"/>
        <v>Aug-09</v>
      </c>
    </row>
    <row r="245" spans="1:48" ht="15" hidden="1" customHeight="1">
      <c r="A245" s="564">
        <v>398</v>
      </c>
      <c r="B245" s="565" t="s">
        <v>280</v>
      </c>
      <c r="C245" s="565" t="s">
        <v>281</v>
      </c>
      <c r="D245" s="605">
        <v>109588</v>
      </c>
      <c r="E245" s="568" t="s">
        <v>644</v>
      </c>
      <c r="F245" s="568" t="s">
        <v>17</v>
      </c>
      <c r="G245" s="568" t="s">
        <v>18</v>
      </c>
      <c r="H245" s="568" t="s">
        <v>26</v>
      </c>
      <c r="I245" s="569" t="s">
        <v>690</v>
      </c>
      <c r="J245" s="569">
        <v>1</v>
      </c>
      <c r="K245" s="568" t="s">
        <v>295</v>
      </c>
      <c r="L245" s="570">
        <v>43686</v>
      </c>
      <c r="M245" s="571">
        <v>6.4799999999999996E-2</v>
      </c>
      <c r="N245" s="568" t="s">
        <v>320</v>
      </c>
      <c r="O245" s="568">
        <v>2019.07</v>
      </c>
      <c r="P245" s="571" t="str">
        <f>VLOOKUP(A245,'[1]Raw data'!$B:$BB,23,FALSE)</f>
        <v>RMB</v>
      </c>
      <c r="Q245" s="568" t="str">
        <f>VLOOKUP(A245,'[1]Raw data'!$B:$Z,2,FALSE)</f>
        <v>C49SZX20190119SX</v>
      </c>
      <c r="R245" s="568" t="str">
        <f>VLOOKUP(A245,'[1]Raw data'!$B:$Z,3,FALSE)</f>
        <v>太美亚</v>
      </c>
      <c r="S245" s="568" t="str">
        <f>VLOOKUP(A245,'[1]Raw data'!$B:$Z,4,FALSE)</f>
        <v>YSM10</v>
      </c>
      <c r="T245" s="568" t="str">
        <f>VLOOKUP(A245,'[1]Raw data'!$B:$Z,8,FALSE)</f>
        <v>R-&gt;L</v>
      </c>
      <c r="U245" s="568" t="str">
        <f>VLOOKUP(A245,'[1]Raw data'!$B:$Z,9,FALSE)</f>
        <v>MVC</v>
      </c>
      <c r="V245" s="572" t="str">
        <f t="shared" si="39"/>
        <v>WRONG</v>
      </c>
      <c r="W245" s="568" t="str">
        <f>VLOOKUP(A245,'[1]Raw data'!$B:$AG,32,FALSE)</f>
        <v>含税到厂</v>
      </c>
      <c r="X245" s="568">
        <f>VLOOKUP(A245,'[1]Raw data'!$B:$BA,31,FALSE)</f>
        <v>43693</v>
      </c>
      <c r="Y245" s="568" t="str">
        <f>VLOOKUP(A245,'[1]Raw data'!$B:$AS,39,FALSE)</f>
        <v>Yes</v>
      </c>
      <c r="Z245" s="573" t="s">
        <v>329</v>
      </c>
      <c r="AA245" s="574" t="s">
        <v>329</v>
      </c>
      <c r="AB245" s="575"/>
      <c r="AC245" s="568" t="s">
        <v>476</v>
      </c>
      <c r="AD245" s="576">
        <v>301</v>
      </c>
      <c r="AE245" s="576">
        <v>10</v>
      </c>
      <c r="AN245" s="547"/>
      <c r="AO245" s="829" t="str">
        <f t="shared" si="31"/>
        <v>Yes</v>
      </c>
      <c r="AP245" s="259" t="str">
        <f t="shared" si="32"/>
        <v>SEP 19</v>
      </c>
      <c r="AQ245" s="547" t="str">
        <f t="shared" si="33"/>
        <v>有定金+有預留客戶</v>
      </c>
      <c r="AR245" s="259" t="str">
        <f t="shared" si="34"/>
        <v>Shipped_Stock</v>
      </c>
      <c r="AS245" s="259" t="str">
        <f t="shared" si="35"/>
        <v/>
      </c>
      <c r="AT245" s="259" t="str">
        <f t="shared" si="36"/>
        <v>太美亚</v>
      </c>
      <c r="AU245" s="259" t="str">
        <f t="shared" si="37"/>
        <v>C49SZX20190119SX</v>
      </c>
      <c r="AV245" s="259" t="str">
        <f t="shared" si="38"/>
        <v>Aug-09</v>
      </c>
    </row>
    <row r="246" spans="1:48" ht="15" hidden="1" customHeight="1">
      <c r="A246" s="564">
        <v>433</v>
      </c>
      <c r="B246" s="568" t="s">
        <v>280</v>
      </c>
      <c r="C246" s="565" t="s">
        <v>281</v>
      </c>
      <c r="D246" s="605">
        <v>109588</v>
      </c>
      <c r="E246" s="568" t="s">
        <v>644</v>
      </c>
      <c r="F246" s="568" t="s">
        <v>17</v>
      </c>
      <c r="G246" s="568" t="s">
        <v>18</v>
      </c>
      <c r="H246" s="568" t="s">
        <v>26</v>
      </c>
      <c r="I246" s="569" t="s">
        <v>691</v>
      </c>
      <c r="J246" s="569">
        <v>1</v>
      </c>
      <c r="K246" s="568" t="s">
        <v>437</v>
      </c>
      <c r="L246" s="570">
        <v>43686</v>
      </c>
      <c r="M246" s="571">
        <v>6.4799999999999996E-2</v>
      </c>
      <c r="N246" s="568" t="s">
        <v>475</v>
      </c>
      <c r="O246" s="568">
        <v>2019.07</v>
      </c>
      <c r="P246" s="571" t="str">
        <f>VLOOKUP(A246,'[1]Raw data'!$B:$BB,23,FALSE)</f>
        <v>RMB</v>
      </c>
      <c r="Q246" s="568" t="str">
        <f>VLOOKUP(A246,'[1]Raw data'!$B:$Z,2,FALSE)</f>
        <v>C49SZX20190133MX</v>
      </c>
      <c r="R246" s="568" t="str">
        <f>VLOOKUP(A246,'[1]Raw data'!$B:$Z,3,FALSE)</f>
        <v>海川伟业</v>
      </c>
      <c r="S246" s="568" t="str">
        <f>VLOOKUP(A246,'[1]Raw data'!$B:$Z,4,FALSE)</f>
        <v>YSM10</v>
      </c>
      <c r="T246" s="568" t="str">
        <f>VLOOKUP(A246,'[1]Raw data'!$B:$Z,8,FALSE)</f>
        <v>L-&gt;R</v>
      </c>
      <c r="U246" s="568" t="str">
        <f>VLOOKUP(A246,'[1]Raw data'!$B:$Z,9,FALSE)</f>
        <v>MVC</v>
      </c>
      <c r="V246" s="572" t="str">
        <f t="shared" si="39"/>
        <v>WRONG</v>
      </c>
      <c r="W246" s="568" t="str">
        <f>VLOOKUP(A246,'[1]Raw data'!$B:$AG,32,FALSE)</f>
        <v>含税到厂</v>
      </c>
      <c r="X246" s="568">
        <f>VLOOKUP(A246,'[1]Raw data'!$B:$BA,31,FALSE)</f>
        <v>43731</v>
      </c>
      <c r="Y246" s="568" t="str">
        <f>VLOOKUP(A246,'[1]Raw data'!$B:$AS,39,FALSE)</f>
        <v>Yes</v>
      </c>
      <c r="Z246" s="573"/>
      <c r="AA246" s="574"/>
      <c r="AB246" s="575"/>
      <c r="AC246" s="568" t="s">
        <v>692</v>
      </c>
      <c r="AD246" s="576">
        <v>301</v>
      </c>
      <c r="AE246" s="576">
        <v>10</v>
      </c>
      <c r="AN246" s="547"/>
      <c r="AO246" s="829" t="str">
        <f t="shared" si="31"/>
        <v>Yes</v>
      </c>
      <c r="AP246" s="259" t="str">
        <f t="shared" si="32"/>
        <v>OCT 19</v>
      </c>
      <c r="AQ246" s="547" t="str">
        <f t="shared" si="33"/>
        <v>有定金+有預留客戶</v>
      </c>
      <c r="AR246" s="259" t="str">
        <f t="shared" si="34"/>
        <v>Shipped_Stock</v>
      </c>
      <c r="AS246" s="259" t="str">
        <f t="shared" si="35"/>
        <v/>
      </c>
      <c r="AT246" s="259" t="str">
        <f t="shared" si="36"/>
        <v>海川伟业</v>
      </c>
      <c r="AU246" s="259" t="str">
        <f t="shared" si="37"/>
        <v>C49SZX20190133MX</v>
      </c>
      <c r="AV246" s="259" t="str">
        <f t="shared" si="38"/>
        <v>Aug-09</v>
      </c>
    </row>
    <row r="247" spans="1:48" ht="15" hidden="1" customHeight="1">
      <c r="A247" s="564">
        <v>312</v>
      </c>
      <c r="B247" s="568" t="s">
        <v>280</v>
      </c>
      <c r="C247" s="565" t="s">
        <v>281</v>
      </c>
      <c r="D247" s="604">
        <v>109588</v>
      </c>
      <c r="E247" s="568" t="s">
        <v>644</v>
      </c>
      <c r="F247" s="568" t="s">
        <v>17</v>
      </c>
      <c r="G247" s="568" t="s">
        <v>18</v>
      </c>
      <c r="H247" s="568" t="s">
        <v>26</v>
      </c>
      <c r="I247" s="569" t="s">
        <v>693</v>
      </c>
      <c r="J247" s="569">
        <v>1</v>
      </c>
      <c r="K247" s="568" t="s">
        <v>437</v>
      </c>
      <c r="L247" s="570">
        <v>43686</v>
      </c>
      <c r="M247" s="571">
        <v>6.4799999999999996E-2</v>
      </c>
      <c r="N247" s="568" t="s">
        <v>475</v>
      </c>
      <c r="O247" s="568">
        <v>2019.07</v>
      </c>
      <c r="P247" s="571" t="str">
        <f>VLOOKUP(A247,'[1]Raw data'!$B:$BB,23,FALSE)</f>
        <v>RMB</v>
      </c>
      <c r="Q247" s="568" t="str">
        <f>VLOOKUP(A247,'[1]Raw data'!$B:$Z,2,FALSE)</f>
        <v>C49SZX20190076SS</v>
      </c>
      <c r="R247" s="568" t="str">
        <f>VLOOKUP(A247,'[1]Raw data'!$B:$Z,3,FALSE)</f>
        <v>嘉兴</v>
      </c>
      <c r="S247" s="568" t="str">
        <f>VLOOKUP(A247,'[1]Raw data'!$B:$Z,4,FALSE)</f>
        <v>YSM10</v>
      </c>
      <c r="T247" s="568" t="str">
        <f>VLOOKUP(A247,'[1]Raw data'!$B:$Z,8,FALSE)</f>
        <v>L-&gt;R</v>
      </c>
      <c r="U247" s="568" t="str">
        <f>VLOOKUP(A247,'[1]Raw data'!$B:$Z,9,FALSE)</f>
        <v>MVC</v>
      </c>
      <c r="V247" s="572" t="str">
        <f t="shared" si="39"/>
        <v>WRONG</v>
      </c>
      <c r="W247" s="568" t="str">
        <f>VLOOKUP(A247,'[1]Raw data'!$B:$AG,32,FALSE)</f>
        <v>含税到厂</v>
      </c>
      <c r="X247" s="568">
        <f>VLOOKUP(A247,'[1]Raw data'!$B:$BA,31,FALSE)</f>
        <v>43600</v>
      </c>
      <c r="Y247" s="568" t="str">
        <f>VLOOKUP(A247,'[1]Raw data'!$B:$AS,39,FALSE)</f>
        <v>Yes</v>
      </c>
      <c r="Z247" s="573"/>
      <c r="AA247" s="574"/>
      <c r="AB247" s="575"/>
      <c r="AC247" s="568" t="s">
        <v>665</v>
      </c>
      <c r="AD247" s="576">
        <v>301</v>
      </c>
      <c r="AE247" s="576">
        <v>10</v>
      </c>
      <c r="AN247" s="547"/>
      <c r="AO247" s="829" t="str">
        <f t="shared" si="31"/>
        <v>Yes</v>
      </c>
      <c r="AP247" s="259" t="str">
        <f t="shared" si="32"/>
        <v>OCT 19</v>
      </c>
      <c r="AQ247" s="547" t="str">
        <f t="shared" si="33"/>
        <v>有定金+有預留客戶</v>
      </c>
      <c r="AR247" s="259" t="str">
        <f t="shared" si="34"/>
        <v>Shipped_Stock</v>
      </c>
      <c r="AS247" s="259" t="str">
        <f t="shared" si="35"/>
        <v/>
      </c>
      <c r="AT247" s="259" t="str">
        <f t="shared" si="36"/>
        <v>嘉兴</v>
      </c>
      <c r="AU247" s="259" t="str">
        <f t="shared" si="37"/>
        <v>C49SZX20190076SS</v>
      </c>
      <c r="AV247" s="259" t="str">
        <f t="shared" si="38"/>
        <v>Aug-09</v>
      </c>
    </row>
    <row r="248" spans="1:48" ht="15" hidden="1" customHeight="1">
      <c r="A248" s="564">
        <v>353</v>
      </c>
      <c r="B248" s="568" t="s">
        <v>280</v>
      </c>
      <c r="C248" s="565" t="s">
        <v>281</v>
      </c>
      <c r="D248" s="604">
        <v>109588</v>
      </c>
      <c r="E248" s="568" t="s">
        <v>644</v>
      </c>
      <c r="F248" s="568" t="s">
        <v>17</v>
      </c>
      <c r="G248" s="568" t="s">
        <v>18</v>
      </c>
      <c r="H248" s="568" t="s">
        <v>77</v>
      </c>
      <c r="I248" s="569" t="s">
        <v>694</v>
      </c>
      <c r="J248" s="569">
        <v>1</v>
      </c>
      <c r="K248" s="568" t="s">
        <v>437</v>
      </c>
      <c r="L248" s="570">
        <v>43686</v>
      </c>
      <c r="M248" s="571">
        <v>6.4799999999999996E-2</v>
      </c>
      <c r="N248" s="568" t="s">
        <v>475</v>
      </c>
      <c r="O248" s="568">
        <v>2019.07</v>
      </c>
      <c r="P248" s="571" t="str">
        <f>VLOOKUP(A248,'[1]Raw data'!$B:$BB,23,FALSE)</f>
        <v>JPY</v>
      </c>
      <c r="Q248" s="568" t="str">
        <f>VLOOKUP(A248,'[1]Raw data'!$B:$Z,2,FALSE)</f>
        <v>C49SZX20190150JY</v>
      </c>
      <c r="R248" s="568" t="str">
        <f>VLOOKUP(A248,'[1]Raw data'!$B:$Z,3,FALSE)</f>
        <v>尖端电子 end user海凌科达</v>
      </c>
      <c r="S248" s="568" t="str">
        <f>VLOOKUP(A248,'[1]Raw data'!$B:$Z,4,FALSE)</f>
        <v>YSM10</v>
      </c>
      <c r="T248" s="568" t="str">
        <f>VLOOKUP(A248,'[1]Raw data'!$B:$Z,8,FALSE)</f>
        <v>L-&gt;R</v>
      </c>
      <c r="U248" s="568" t="str">
        <f>VLOOKUP(A248,'[1]Raw data'!$B:$Z,9,FALSE)</f>
        <v>MVC+Rear 站位</v>
      </c>
      <c r="V248" s="572" t="str">
        <f t="shared" si="39"/>
        <v>WRONG</v>
      </c>
      <c r="W248" s="568" t="str">
        <f>VLOOKUP(A248,'[1]Raw data'!$B:$AG,32,FALSE)</f>
        <v>CIF HK</v>
      </c>
      <c r="X248" s="568">
        <f>VLOOKUP(A248,'[1]Raw data'!$B:$BA,31,FALSE)</f>
        <v>43760</v>
      </c>
      <c r="Y248" s="568" t="str">
        <f>VLOOKUP(A248,'[1]Raw data'!$B:$AS,39,FALSE)</f>
        <v>Yes</v>
      </c>
      <c r="Z248" s="573"/>
      <c r="AA248" s="574"/>
      <c r="AB248" s="575"/>
      <c r="AC248" s="568" t="s">
        <v>695</v>
      </c>
      <c r="AD248" s="576">
        <v>302</v>
      </c>
      <c r="AE248" s="576">
        <v>10</v>
      </c>
      <c r="AN248" s="547"/>
      <c r="AO248" s="829" t="str">
        <f t="shared" si="31"/>
        <v>Yes</v>
      </c>
      <c r="AP248" s="259" t="str">
        <f t="shared" si="32"/>
        <v>OCT 19</v>
      </c>
      <c r="AQ248" s="547" t="str">
        <f t="shared" si="33"/>
        <v>有定金+有預留客戶</v>
      </c>
      <c r="AR248" s="259" t="str">
        <f t="shared" si="34"/>
        <v>Shipped_Stock</v>
      </c>
      <c r="AS248" s="259" t="str">
        <f t="shared" si="35"/>
        <v/>
      </c>
      <c r="AT248" s="259" t="str">
        <f t="shared" si="36"/>
        <v>尖端电子 end user海凌科达</v>
      </c>
      <c r="AU248" s="259" t="str">
        <f t="shared" si="37"/>
        <v>C49SZX20190150JY</v>
      </c>
      <c r="AV248" s="259" t="str">
        <f t="shared" si="38"/>
        <v>Aug-09</v>
      </c>
    </row>
    <row r="249" spans="1:48" ht="15.75" hidden="1" customHeight="1">
      <c r="A249" s="564">
        <v>392</v>
      </c>
      <c r="B249" s="568" t="s">
        <v>280</v>
      </c>
      <c r="C249" s="565" t="s">
        <v>281</v>
      </c>
      <c r="D249" s="604">
        <v>109587</v>
      </c>
      <c r="E249" s="568" t="s">
        <v>644</v>
      </c>
      <c r="F249" s="568" t="s">
        <v>17</v>
      </c>
      <c r="G249" s="568" t="s">
        <v>18</v>
      </c>
      <c r="H249" s="568" t="s">
        <v>34</v>
      </c>
      <c r="I249" s="569" t="s">
        <v>696</v>
      </c>
      <c r="J249" s="569">
        <v>1</v>
      </c>
      <c r="K249" s="568" t="s">
        <v>605</v>
      </c>
      <c r="L249" s="570">
        <v>43686</v>
      </c>
      <c r="M249" s="571">
        <v>6.4799999999999996E-2</v>
      </c>
      <c r="N249" s="568" t="s">
        <v>475</v>
      </c>
      <c r="O249" s="568">
        <v>2019.07</v>
      </c>
      <c r="P249" s="571" t="str">
        <f>VLOOKUP(A249,'[1]Raw data'!$B:$BB,23,FALSE)</f>
        <v>RMB</v>
      </c>
      <c r="Q249" s="568" t="str">
        <f>VLOOKUP(A249,'[1]Raw data'!$B:$Z,2,FALSE)</f>
        <v>C49SZX20190113LC</v>
      </c>
      <c r="R249" s="568" t="str">
        <f>VLOOKUP(A249,'[1]Raw data'!$B:$Z,3,FALSE)</f>
        <v>首航</v>
      </c>
      <c r="S249" s="568" t="str">
        <f>VLOOKUP(A249,'[1]Raw data'!$B:$Z,4,FALSE)</f>
        <v>YSM10</v>
      </c>
      <c r="T249" s="568" t="str">
        <f>VLOOKUP(A249,'[1]Raw data'!$B:$Z,8,FALSE)</f>
        <v>L-&gt;R</v>
      </c>
      <c r="U249" s="568" t="str">
        <f>VLOOKUP(A249,'[1]Raw data'!$B:$Z,9,FALSE)</f>
        <v>MVC+ATS15</v>
      </c>
      <c r="V249" s="572" t="str">
        <f t="shared" si="39"/>
        <v>WRONG</v>
      </c>
      <c r="W249" s="568" t="str">
        <f>VLOOKUP(A249,'[1]Raw data'!$B:$AG,32,FALSE)</f>
        <v>含税到厂</v>
      </c>
      <c r="X249" s="568">
        <f>VLOOKUP(A249,'[1]Raw data'!$B:$BA,31,FALSE)</f>
        <v>43691</v>
      </c>
      <c r="Y249" s="568" t="str">
        <f>VLOOKUP(A249,'[1]Raw data'!$B:$AS,39,FALSE)</f>
        <v>Yes</v>
      </c>
      <c r="Z249" s="573"/>
      <c r="AA249" s="574"/>
      <c r="AB249" s="575"/>
      <c r="AC249" s="568" t="s">
        <v>697</v>
      </c>
      <c r="AD249" s="576">
        <v>302</v>
      </c>
      <c r="AE249" s="576">
        <v>10</v>
      </c>
      <c r="AN249" s="547"/>
      <c r="AO249" s="829" t="str">
        <f t="shared" si="31"/>
        <v>Yes</v>
      </c>
      <c r="AP249" s="259" t="str">
        <f t="shared" si="32"/>
        <v>OCT 19</v>
      </c>
      <c r="AQ249" s="547" t="str">
        <f t="shared" si="33"/>
        <v>有定金+有預留客戶</v>
      </c>
      <c r="AR249" s="259" t="str">
        <f t="shared" si="34"/>
        <v>Shipped_Stock</v>
      </c>
      <c r="AS249" s="259" t="str">
        <f t="shared" si="35"/>
        <v/>
      </c>
      <c r="AT249" s="259" t="str">
        <f t="shared" si="36"/>
        <v>首航</v>
      </c>
      <c r="AU249" s="259" t="str">
        <f t="shared" si="37"/>
        <v>C49SZX20190113LC</v>
      </c>
      <c r="AV249" s="259" t="str">
        <f t="shared" si="38"/>
        <v>Aug-09</v>
      </c>
    </row>
    <row r="250" spans="1:48" ht="15" hidden="1" customHeight="1">
      <c r="A250" s="564">
        <v>393</v>
      </c>
      <c r="B250" s="565" t="s">
        <v>280</v>
      </c>
      <c r="C250" s="565" t="s">
        <v>281</v>
      </c>
      <c r="D250" s="605">
        <v>109588</v>
      </c>
      <c r="E250" s="568" t="s">
        <v>644</v>
      </c>
      <c r="F250" s="568" t="s">
        <v>17</v>
      </c>
      <c r="G250" s="568" t="s">
        <v>18</v>
      </c>
      <c r="H250" s="568" t="s">
        <v>26</v>
      </c>
      <c r="I250" s="569" t="s">
        <v>698</v>
      </c>
      <c r="J250" s="569">
        <v>1</v>
      </c>
      <c r="K250" s="568" t="s">
        <v>605</v>
      </c>
      <c r="L250" s="570">
        <v>43686</v>
      </c>
      <c r="M250" s="571">
        <v>6.4799999999999996E-2</v>
      </c>
      <c r="N250" s="568" t="s">
        <v>475</v>
      </c>
      <c r="O250" s="568">
        <v>2019.07</v>
      </c>
      <c r="P250" s="571" t="str">
        <f>VLOOKUP(A250,'[1]Raw data'!$B:$BB,23,FALSE)</f>
        <v>RMB</v>
      </c>
      <c r="Q250" s="568" t="str">
        <f>VLOOKUP(A250,'[1]Raw data'!$B:$Z,2,FALSE)</f>
        <v>C49SZX20190113LC</v>
      </c>
      <c r="R250" s="568" t="str">
        <f>VLOOKUP(A250,'[1]Raw data'!$B:$Z,3,FALSE)</f>
        <v>首航</v>
      </c>
      <c r="S250" s="568" t="str">
        <f>VLOOKUP(A250,'[1]Raw data'!$B:$Z,4,FALSE)</f>
        <v>YSM10</v>
      </c>
      <c r="T250" s="568" t="str">
        <f>VLOOKUP(A250,'[1]Raw data'!$B:$Z,8,FALSE)</f>
        <v>L-&gt;R</v>
      </c>
      <c r="U250" s="568" t="str">
        <f>VLOOKUP(A250,'[1]Raw data'!$B:$Z,9,FALSE)</f>
        <v>No</v>
      </c>
      <c r="V250" s="572" t="str">
        <f t="shared" si="39"/>
        <v>WRONG</v>
      </c>
      <c r="W250" s="568" t="str">
        <f>VLOOKUP(A250,'[1]Raw data'!$B:$AG,32,FALSE)</f>
        <v>含税到厂</v>
      </c>
      <c r="X250" s="568">
        <f>VLOOKUP(A250,'[1]Raw data'!$B:$BA,31,FALSE)</f>
        <v>43691</v>
      </c>
      <c r="Y250" s="568" t="str">
        <f>VLOOKUP(A250,'[1]Raw data'!$B:$AS,39,FALSE)</f>
        <v>Yes</v>
      </c>
      <c r="Z250" s="573"/>
      <c r="AA250" s="574"/>
      <c r="AB250" s="575"/>
      <c r="AC250" s="568" t="s">
        <v>697</v>
      </c>
      <c r="AD250" s="576">
        <v>301</v>
      </c>
      <c r="AE250" s="576">
        <v>10</v>
      </c>
      <c r="AN250" s="547"/>
      <c r="AO250" s="829" t="str">
        <f t="shared" si="31"/>
        <v>Yes</v>
      </c>
      <c r="AP250" s="259" t="str">
        <f t="shared" si="32"/>
        <v>OCT 19</v>
      </c>
      <c r="AQ250" s="547" t="str">
        <f t="shared" si="33"/>
        <v>有定金+有預留客戶</v>
      </c>
      <c r="AR250" s="259" t="str">
        <f t="shared" si="34"/>
        <v>Shipped_Stock</v>
      </c>
      <c r="AS250" s="259" t="str">
        <f t="shared" si="35"/>
        <v/>
      </c>
      <c r="AT250" s="259" t="str">
        <f t="shared" si="36"/>
        <v>首航</v>
      </c>
      <c r="AU250" s="259" t="str">
        <f t="shared" si="37"/>
        <v>C49SZX20190113LC</v>
      </c>
      <c r="AV250" s="259" t="str">
        <f t="shared" si="38"/>
        <v>Aug-09</v>
      </c>
    </row>
    <row r="251" spans="1:48" ht="15" hidden="1" customHeight="1">
      <c r="A251" s="564">
        <v>379</v>
      </c>
      <c r="B251" s="565" t="s">
        <v>280</v>
      </c>
      <c r="C251" s="568" t="s">
        <v>4056</v>
      </c>
      <c r="D251" s="605">
        <v>109662</v>
      </c>
      <c r="E251" s="568" t="s">
        <v>699</v>
      </c>
      <c r="F251" s="568" t="s">
        <v>700</v>
      </c>
      <c r="G251" s="568" t="s">
        <v>24</v>
      </c>
      <c r="H251" s="568" t="s">
        <v>26</v>
      </c>
      <c r="I251" s="569" t="s">
        <v>701</v>
      </c>
      <c r="J251" s="569">
        <v>1</v>
      </c>
      <c r="K251" s="568" t="s">
        <v>388</v>
      </c>
      <c r="L251" s="570">
        <v>43707</v>
      </c>
      <c r="M251" s="571">
        <v>6.4399999999999999E-2</v>
      </c>
      <c r="N251" s="568" t="s">
        <v>320</v>
      </c>
      <c r="O251" s="568">
        <v>2019.08</v>
      </c>
      <c r="P251" s="571" t="str">
        <f>VLOOKUP(A251,'[1]Raw data'!$B:$BB,23,FALSE)</f>
        <v>RMB</v>
      </c>
      <c r="Q251" s="568" t="str">
        <f>VLOOKUP(A251,'[1]Raw data'!$B:$Z,2,FALSE)</f>
        <v>PG-GL02-201906140004</v>
      </c>
      <c r="R251" s="568" t="str">
        <f>VLOOKUP(A251,'[1]Raw data'!$B:$Z,3,FALSE)</f>
        <v>科士达</v>
      </c>
      <c r="S251" s="568" t="str">
        <f>VLOOKUP(A251,'[1]Raw data'!$B:$Z,4,FALSE)</f>
        <v>YSD</v>
      </c>
      <c r="T251" s="568" t="str">
        <f>VLOOKUP(A251,'[1]Raw data'!$B:$Z,8,FALSE)</f>
        <v>L-&gt;R</v>
      </c>
      <c r="U251" s="568" t="str">
        <f>VLOOKUP(A251,'[1]Raw data'!$B:$Z,9,FALSE)</f>
        <v>No</v>
      </c>
      <c r="V251" s="572" t="str">
        <f t="shared" si="39"/>
        <v>OK</v>
      </c>
      <c r="W251" s="568" t="str">
        <f>VLOOKUP(A251,'[1]Raw data'!$B:$AG,32,FALSE)</f>
        <v>含税到厂</v>
      </c>
      <c r="X251" s="568">
        <f>VLOOKUP(A251,'[1]Raw data'!$B:$BA,31,FALSE)</f>
        <v>43666</v>
      </c>
      <c r="Y251" s="568" t="str">
        <f>VLOOKUP(A251,'[1]Raw data'!$B:$AS,39,FALSE)</f>
        <v>Yes</v>
      </c>
      <c r="Z251" s="573"/>
      <c r="AA251" s="574"/>
      <c r="AB251" s="575"/>
      <c r="AC251" s="568" t="s">
        <v>678</v>
      </c>
      <c r="AN251" s="547"/>
      <c r="AO251" s="829" t="str">
        <f t="shared" si="31"/>
        <v>Yes</v>
      </c>
      <c r="AP251" s="259" t="str">
        <f t="shared" si="32"/>
        <v>SEP 19</v>
      </c>
      <c r="AQ251" s="547" t="str">
        <f t="shared" si="33"/>
        <v>有定金+有預留客戶</v>
      </c>
      <c r="AR251" s="259" t="str">
        <f t="shared" si="34"/>
        <v>Shipped_Stock</v>
      </c>
      <c r="AS251" s="259" t="str">
        <f t="shared" si="35"/>
        <v/>
      </c>
      <c r="AT251" s="259" t="str">
        <f t="shared" si="36"/>
        <v>科士达</v>
      </c>
      <c r="AU251" s="259" t="str">
        <f t="shared" si="37"/>
        <v>PG-GL02-201906140004</v>
      </c>
      <c r="AV251" s="259" t="str">
        <f t="shared" si="38"/>
        <v>Aug-30</v>
      </c>
    </row>
    <row r="252" spans="1:48" ht="15" hidden="1" customHeight="1">
      <c r="A252" s="564">
        <v>361</v>
      </c>
      <c r="B252" s="568" t="s">
        <v>280</v>
      </c>
      <c r="C252" s="565" t="s">
        <v>281</v>
      </c>
      <c r="D252" s="605">
        <v>109624</v>
      </c>
      <c r="E252" s="568" t="s">
        <v>644</v>
      </c>
      <c r="F252" s="568" t="s">
        <v>256</v>
      </c>
      <c r="G252" s="568" t="s">
        <v>24</v>
      </c>
      <c r="H252" s="568" t="s">
        <v>26</v>
      </c>
      <c r="I252" s="569" t="s">
        <v>702</v>
      </c>
      <c r="J252" s="569">
        <v>1</v>
      </c>
      <c r="K252" s="568" t="s">
        <v>661</v>
      </c>
      <c r="L252" s="570">
        <v>43714</v>
      </c>
      <c r="M252" s="571">
        <v>6.4799999999999996E-2</v>
      </c>
      <c r="N252" s="568" t="s">
        <v>320</v>
      </c>
      <c r="O252" s="569">
        <v>2019.08</v>
      </c>
      <c r="P252" s="571" t="str">
        <f>VLOOKUP(A252,'[1]Raw data'!$B:$BB,23,FALSE)</f>
        <v>JPY</v>
      </c>
      <c r="Q252" s="568" t="str">
        <f>VLOOKUP(A252,'[1]Raw data'!$B:$Z,2,FALSE)</f>
        <v>C49SZX20190015JY</v>
      </c>
      <c r="R252" s="568" t="str">
        <f>VLOOKUP(A252,'[1]Raw data'!$B:$Z,3,FALSE)</f>
        <v>创荣发</v>
      </c>
      <c r="S252" s="568" t="str">
        <f>VLOOKUP(A252,'[1]Raw data'!$B:$Z,4,FALSE)</f>
        <v>YSM20R(SV)-2</v>
      </c>
      <c r="T252" s="568" t="str">
        <f>VLOOKUP(A252,'[1]Raw data'!$B:$Z,8,FALSE)</f>
        <v>L-&gt;R</v>
      </c>
      <c r="U252" s="568" t="str">
        <f>VLOOKUP(A252,'[1]Raw data'!$B:$Z,9,FALSE)</f>
        <v>No</v>
      </c>
      <c r="V252" s="572" t="str">
        <f t="shared" si="39"/>
        <v>OK</v>
      </c>
      <c r="W252" s="568" t="str">
        <f>VLOOKUP(A252,'[1]Raw data'!$B:$AG,32,FALSE)</f>
        <v>DAP惠州</v>
      </c>
      <c r="X252" s="568">
        <f>VLOOKUP(A252,'[1]Raw data'!$B:$BA,31,FALSE)</f>
        <v>43643</v>
      </c>
      <c r="Y252" s="568" t="str">
        <f>VLOOKUP(A252,'[1]Raw data'!$B:$AS,39,FALSE)</f>
        <v>Yes</v>
      </c>
      <c r="Z252" s="573"/>
      <c r="AA252" s="574"/>
      <c r="AB252" s="575"/>
      <c r="AC252" s="568" t="s">
        <v>703</v>
      </c>
      <c r="AD252" s="576">
        <v>301</v>
      </c>
      <c r="AE252" s="576">
        <v>20</v>
      </c>
      <c r="AN252" s="547"/>
      <c r="AO252" s="829" t="str">
        <f t="shared" si="31"/>
        <v>Yes</v>
      </c>
      <c r="AP252" s="259" t="str">
        <f t="shared" si="32"/>
        <v>SEP 19</v>
      </c>
      <c r="AQ252" s="547" t="str">
        <f t="shared" si="33"/>
        <v>有定金+有預留客戶</v>
      </c>
      <c r="AR252" s="259" t="str">
        <f t="shared" si="34"/>
        <v>Shipped_Stock</v>
      </c>
      <c r="AS252" s="259" t="str">
        <f t="shared" si="35"/>
        <v/>
      </c>
      <c r="AT252" s="259" t="str">
        <f t="shared" si="36"/>
        <v>创荣发</v>
      </c>
      <c r="AU252" s="259" t="str">
        <f t="shared" si="37"/>
        <v>C49SZX20190015JY</v>
      </c>
      <c r="AV252" s="259" t="str">
        <f t="shared" si="38"/>
        <v>Sep-06</v>
      </c>
    </row>
    <row r="253" spans="1:48" ht="15" hidden="1" customHeight="1">
      <c r="A253" s="564">
        <v>362</v>
      </c>
      <c r="B253" s="568" t="s">
        <v>280</v>
      </c>
      <c r="C253" s="565" t="s">
        <v>281</v>
      </c>
      <c r="D253" s="605">
        <v>109624</v>
      </c>
      <c r="E253" s="568" t="s">
        <v>644</v>
      </c>
      <c r="F253" s="568" t="s">
        <v>256</v>
      </c>
      <c r="G253" s="568" t="s">
        <v>24</v>
      </c>
      <c r="H253" s="568" t="s">
        <v>26</v>
      </c>
      <c r="I253" s="569" t="s">
        <v>704</v>
      </c>
      <c r="J253" s="569">
        <v>1</v>
      </c>
      <c r="K253" s="568" t="s">
        <v>661</v>
      </c>
      <c r="L253" s="570">
        <v>43714</v>
      </c>
      <c r="M253" s="571">
        <v>6.4799999999999996E-2</v>
      </c>
      <c r="N253" s="568" t="s">
        <v>320</v>
      </c>
      <c r="O253" s="569">
        <v>2019.08</v>
      </c>
      <c r="P253" s="571" t="str">
        <f>VLOOKUP(A253,'[1]Raw data'!$B:$BB,23,FALSE)</f>
        <v>JPY</v>
      </c>
      <c r="Q253" s="568" t="str">
        <f>VLOOKUP(A253,'[1]Raw data'!$B:$Z,2,FALSE)</f>
        <v>C49SZX20190015JY</v>
      </c>
      <c r="R253" s="568" t="str">
        <f>VLOOKUP(A253,'[1]Raw data'!$B:$Z,3,FALSE)</f>
        <v>创荣发</v>
      </c>
      <c r="S253" s="568" t="str">
        <f>VLOOKUP(A253,'[1]Raw data'!$B:$Z,4,FALSE)</f>
        <v>YSM20R(SV)-2</v>
      </c>
      <c r="T253" s="568" t="str">
        <f>VLOOKUP(A253,'[1]Raw data'!$B:$Z,8,FALSE)</f>
        <v>L-&gt;R</v>
      </c>
      <c r="U253" s="568" t="str">
        <f>VLOOKUP(A253,'[1]Raw data'!$B:$Z,9,FALSE)</f>
        <v>No</v>
      </c>
      <c r="V253" s="572" t="str">
        <f t="shared" si="39"/>
        <v>OK</v>
      </c>
      <c r="W253" s="568" t="str">
        <f>VLOOKUP(A253,'[1]Raw data'!$B:$AG,32,FALSE)</f>
        <v>DAP惠州</v>
      </c>
      <c r="X253" s="568">
        <f>VLOOKUP(A253,'[1]Raw data'!$B:$BA,31,FALSE)</f>
        <v>43643</v>
      </c>
      <c r="Y253" s="568" t="str">
        <f>VLOOKUP(A253,'[1]Raw data'!$B:$AS,39,FALSE)</f>
        <v>Yes</v>
      </c>
      <c r="Z253" s="573"/>
      <c r="AA253" s="574"/>
      <c r="AB253" s="575"/>
      <c r="AC253" s="568" t="s">
        <v>703</v>
      </c>
      <c r="AD253" s="576">
        <v>301</v>
      </c>
      <c r="AE253" s="576">
        <v>20</v>
      </c>
      <c r="AN253" s="547"/>
      <c r="AO253" s="829" t="str">
        <f t="shared" si="31"/>
        <v>Yes</v>
      </c>
      <c r="AP253" s="259" t="str">
        <f t="shared" si="32"/>
        <v>SEP 19</v>
      </c>
      <c r="AQ253" s="547" t="str">
        <f t="shared" si="33"/>
        <v>有定金+有預留客戶</v>
      </c>
      <c r="AR253" s="259" t="str">
        <f t="shared" si="34"/>
        <v>Shipped_Stock</v>
      </c>
      <c r="AS253" s="259" t="str">
        <f t="shared" si="35"/>
        <v/>
      </c>
      <c r="AT253" s="259" t="str">
        <f t="shared" si="36"/>
        <v>创荣发</v>
      </c>
      <c r="AU253" s="259" t="str">
        <f t="shared" si="37"/>
        <v>C49SZX20190015JY</v>
      </c>
      <c r="AV253" s="259" t="str">
        <f t="shared" si="38"/>
        <v>Sep-06</v>
      </c>
    </row>
    <row r="254" spans="1:48" ht="15" hidden="1" customHeight="1">
      <c r="A254" s="564">
        <v>363</v>
      </c>
      <c r="B254" s="568" t="s">
        <v>280</v>
      </c>
      <c r="C254" s="565" t="s">
        <v>281</v>
      </c>
      <c r="D254" s="605">
        <v>109625</v>
      </c>
      <c r="E254" s="568" t="s">
        <v>644</v>
      </c>
      <c r="F254" s="568" t="s">
        <v>17</v>
      </c>
      <c r="G254" s="568" t="s">
        <v>18</v>
      </c>
      <c r="H254" s="568" t="s">
        <v>26</v>
      </c>
      <c r="I254" s="569" t="s">
        <v>705</v>
      </c>
      <c r="J254" s="569">
        <v>1</v>
      </c>
      <c r="K254" s="568" t="s">
        <v>661</v>
      </c>
      <c r="L254" s="570">
        <v>43714</v>
      </c>
      <c r="M254" s="571">
        <v>6.4799999999999996E-2</v>
      </c>
      <c r="N254" s="568" t="s">
        <v>320</v>
      </c>
      <c r="O254" s="568">
        <v>2019.07</v>
      </c>
      <c r="P254" s="571" t="str">
        <f>VLOOKUP(A254,'[1]Raw data'!$B:$BB,23,FALSE)</f>
        <v>JPY</v>
      </c>
      <c r="Q254" s="568" t="str">
        <f>VLOOKUP(A254,'[1]Raw data'!$B:$Z,2,FALSE)</f>
        <v>C49SZX20190015JY</v>
      </c>
      <c r="R254" s="568" t="str">
        <f>VLOOKUP(A254,'[1]Raw data'!$B:$Z,3,FALSE)</f>
        <v>创荣发</v>
      </c>
      <c r="S254" s="568" t="str">
        <f>VLOOKUP(A254,'[1]Raw data'!$B:$Z,4,FALSE)</f>
        <v>YSM10</v>
      </c>
      <c r="T254" s="568" t="str">
        <f>VLOOKUP(A254,'[1]Raw data'!$B:$Z,8,FALSE)</f>
        <v>L-&gt;R</v>
      </c>
      <c r="U254" s="568" t="str">
        <f>VLOOKUP(A254,'[1]Raw data'!$B:$Z,9,FALSE)</f>
        <v>MVC</v>
      </c>
      <c r="V254" s="572" t="str">
        <f t="shared" si="39"/>
        <v>WRONG</v>
      </c>
      <c r="W254" s="568" t="str">
        <f>VLOOKUP(A254,'[1]Raw data'!$B:$AG,32,FALSE)</f>
        <v>DAP惠州</v>
      </c>
      <c r="X254" s="568">
        <f>VLOOKUP(A254,'[1]Raw data'!$B:$BA,31,FALSE)</f>
        <v>43643</v>
      </c>
      <c r="Y254" s="568" t="str">
        <f>VLOOKUP(A254,'[1]Raw data'!$B:$AS,39,FALSE)</f>
        <v>Yes</v>
      </c>
      <c r="Z254" s="573"/>
      <c r="AA254" s="574"/>
      <c r="AB254" s="575"/>
      <c r="AC254" s="568" t="s">
        <v>703</v>
      </c>
      <c r="AD254" s="576">
        <v>302</v>
      </c>
      <c r="AE254" s="576">
        <v>10</v>
      </c>
      <c r="AN254" s="547"/>
      <c r="AO254" s="829" t="str">
        <f t="shared" si="31"/>
        <v>Yes</v>
      </c>
      <c r="AP254" s="259" t="str">
        <f t="shared" si="32"/>
        <v>SEP 19</v>
      </c>
      <c r="AQ254" s="547" t="str">
        <f t="shared" si="33"/>
        <v>有定金+有預留客戶</v>
      </c>
      <c r="AR254" s="259" t="str">
        <f t="shared" si="34"/>
        <v>Shipped_Stock</v>
      </c>
      <c r="AS254" s="259" t="str">
        <f t="shared" si="35"/>
        <v/>
      </c>
      <c r="AT254" s="259" t="str">
        <f t="shared" si="36"/>
        <v>创荣发</v>
      </c>
      <c r="AU254" s="259" t="str">
        <f t="shared" si="37"/>
        <v>C49SZX20190015JY</v>
      </c>
      <c r="AV254" s="259" t="str">
        <f t="shared" si="38"/>
        <v>Sep-06</v>
      </c>
    </row>
    <row r="255" spans="1:48" ht="15" hidden="1" customHeight="1">
      <c r="A255" s="564">
        <v>364</v>
      </c>
      <c r="B255" s="568" t="s">
        <v>280</v>
      </c>
      <c r="C255" s="565" t="s">
        <v>281</v>
      </c>
      <c r="D255" s="605">
        <v>109625</v>
      </c>
      <c r="E255" s="568" t="s">
        <v>644</v>
      </c>
      <c r="F255" s="568" t="s">
        <v>17</v>
      </c>
      <c r="G255" s="568" t="s">
        <v>18</v>
      </c>
      <c r="H255" s="568" t="s">
        <v>26</v>
      </c>
      <c r="I255" s="569" t="s">
        <v>706</v>
      </c>
      <c r="J255" s="569">
        <v>1</v>
      </c>
      <c r="K255" s="568" t="s">
        <v>661</v>
      </c>
      <c r="L255" s="570">
        <v>43714</v>
      </c>
      <c r="M255" s="571">
        <v>6.4799999999999996E-2</v>
      </c>
      <c r="N255" s="568" t="s">
        <v>320</v>
      </c>
      <c r="O255" s="568">
        <v>2019.07</v>
      </c>
      <c r="P255" s="571" t="str">
        <f>VLOOKUP(A255,'[1]Raw data'!$B:$BB,23,FALSE)</f>
        <v>JPY</v>
      </c>
      <c r="Q255" s="568" t="str">
        <f>VLOOKUP(A255,'[1]Raw data'!$B:$Z,2,FALSE)</f>
        <v>C49SZX20190015JY</v>
      </c>
      <c r="R255" s="568" t="str">
        <f>VLOOKUP(A255,'[1]Raw data'!$B:$Z,3,FALSE)</f>
        <v>创荣发</v>
      </c>
      <c r="S255" s="568" t="str">
        <f>VLOOKUP(A255,'[1]Raw data'!$B:$Z,4,FALSE)</f>
        <v>YSM10</v>
      </c>
      <c r="T255" s="568" t="str">
        <f>VLOOKUP(A255,'[1]Raw data'!$B:$Z,8,FALSE)</f>
        <v>L-&gt;R</v>
      </c>
      <c r="U255" s="568" t="str">
        <f>VLOOKUP(A255,'[1]Raw data'!$B:$Z,9,FALSE)</f>
        <v>MVC</v>
      </c>
      <c r="V255" s="572" t="str">
        <f t="shared" si="39"/>
        <v>WRONG</v>
      </c>
      <c r="W255" s="568" t="str">
        <f>VLOOKUP(A255,'[1]Raw data'!$B:$AG,32,FALSE)</f>
        <v>DAP惠州</v>
      </c>
      <c r="X255" s="568">
        <f>VLOOKUP(A255,'[1]Raw data'!$B:$BA,31,FALSE)</f>
        <v>43643</v>
      </c>
      <c r="Y255" s="568" t="str">
        <f>VLOOKUP(A255,'[1]Raw data'!$B:$AS,39,FALSE)</f>
        <v>Yes</v>
      </c>
      <c r="Z255" s="573"/>
      <c r="AA255" s="574"/>
      <c r="AB255" s="575"/>
      <c r="AC255" s="568" t="s">
        <v>703</v>
      </c>
      <c r="AD255" s="576">
        <v>301</v>
      </c>
      <c r="AE255" s="576">
        <v>10</v>
      </c>
      <c r="AN255" s="547"/>
      <c r="AO255" s="829" t="str">
        <f t="shared" si="31"/>
        <v>Yes</v>
      </c>
      <c r="AP255" s="259" t="str">
        <f t="shared" si="32"/>
        <v>SEP 19</v>
      </c>
      <c r="AQ255" s="547" t="str">
        <f t="shared" si="33"/>
        <v>有定金+有預留客戶</v>
      </c>
      <c r="AR255" s="259" t="str">
        <f t="shared" si="34"/>
        <v>Shipped_Stock</v>
      </c>
      <c r="AS255" s="259" t="str">
        <f t="shared" si="35"/>
        <v/>
      </c>
      <c r="AT255" s="259" t="str">
        <f t="shared" si="36"/>
        <v>创荣发</v>
      </c>
      <c r="AU255" s="259" t="str">
        <f t="shared" si="37"/>
        <v>C49SZX20190015JY</v>
      </c>
      <c r="AV255" s="259" t="str">
        <f t="shared" si="38"/>
        <v>Sep-06</v>
      </c>
    </row>
    <row r="256" spans="1:48" ht="15" hidden="1" customHeight="1">
      <c r="A256" s="564">
        <v>422</v>
      </c>
      <c r="B256" s="568" t="s">
        <v>280</v>
      </c>
      <c r="C256" s="565" t="s">
        <v>281</v>
      </c>
      <c r="D256" s="605">
        <v>109625</v>
      </c>
      <c r="E256" s="568" t="s">
        <v>644</v>
      </c>
      <c r="F256" s="568" t="s">
        <v>17</v>
      </c>
      <c r="G256" s="568" t="s">
        <v>18</v>
      </c>
      <c r="H256" s="568" t="s">
        <v>19</v>
      </c>
      <c r="I256" s="569" t="s">
        <v>707</v>
      </c>
      <c r="J256" s="569">
        <v>1</v>
      </c>
      <c r="K256" s="568" t="s">
        <v>295</v>
      </c>
      <c r="L256" s="570">
        <v>43714</v>
      </c>
      <c r="M256" s="571">
        <v>6.4799999999999996E-2</v>
      </c>
      <c r="N256" s="568" t="s">
        <v>504</v>
      </c>
      <c r="O256" s="568">
        <v>2019.07</v>
      </c>
      <c r="P256" s="571" t="str">
        <f>VLOOKUP(A256,'[1]Raw data'!$B:$BB,23,FALSE)</f>
        <v>RMB</v>
      </c>
      <c r="Q256" s="568" t="str">
        <f>VLOOKUP(A256,'[1]Raw data'!$B:$Z,2,FALSE)</f>
        <v>C49SZX20190129DZ</v>
      </c>
      <c r="R256" s="568" t="str">
        <f>VLOOKUP(A256,'[1]Raw data'!$B:$Z,3,FALSE)</f>
        <v>博星</v>
      </c>
      <c r="S256" s="568" t="str">
        <f>VLOOKUP(A256,'[1]Raw data'!$B:$Z,4,FALSE)</f>
        <v>YSM10</v>
      </c>
      <c r="T256" s="568" t="str">
        <f>VLOOKUP(A256,'[1]Raw data'!$B:$Z,8,FALSE)</f>
        <v>R-&gt;L</v>
      </c>
      <c r="U256" s="568" t="str">
        <f>VLOOKUP(A256,'[1]Raw data'!$B:$Z,9,FALSE)</f>
        <v>MVC+ATS15</v>
      </c>
      <c r="V256" s="572" t="str">
        <f t="shared" si="39"/>
        <v>WRONG</v>
      </c>
      <c r="W256" s="568" t="str">
        <f>VLOOKUP(A256,'[1]Raw data'!$B:$AG,32,FALSE)</f>
        <v>含税到厂</v>
      </c>
      <c r="X256" s="568">
        <f>VLOOKUP(A256,'[1]Raw data'!$B:$BA,31,FALSE)</f>
        <v>43708</v>
      </c>
      <c r="Y256" s="568" t="str">
        <f>VLOOKUP(A256,'[1]Raw data'!$B:$AS,39,FALSE)</f>
        <v>Yes</v>
      </c>
      <c r="Z256" s="573"/>
      <c r="AA256" s="574"/>
      <c r="AB256" s="575"/>
      <c r="AC256" s="568" t="s">
        <v>606</v>
      </c>
      <c r="AD256" s="576">
        <v>302</v>
      </c>
      <c r="AE256" s="576">
        <v>10</v>
      </c>
      <c r="AN256" s="547"/>
      <c r="AO256" s="829" t="str">
        <f t="shared" si="31"/>
        <v>Yes</v>
      </c>
      <c r="AP256" s="259" t="str">
        <f t="shared" si="32"/>
        <v>NOV 19</v>
      </c>
      <c r="AQ256" s="547" t="str">
        <f t="shared" si="33"/>
        <v>有定金+有預留客戶</v>
      </c>
      <c r="AR256" s="259" t="str">
        <f t="shared" si="34"/>
        <v>Shipped_Stock</v>
      </c>
      <c r="AS256" s="259" t="str">
        <f t="shared" si="35"/>
        <v/>
      </c>
      <c r="AT256" s="259" t="str">
        <f t="shared" si="36"/>
        <v>博星</v>
      </c>
      <c r="AU256" s="259" t="str">
        <f t="shared" si="37"/>
        <v>C49SZX20190129DZ</v>
      </c>
      <c r="AV256" s="259" t="str">
        <f t="shared" si="38"/>
        <v>Sep-06</v>
      </c>
    </row>
    <row r="257" spans="1:48" ht="15" hidden="1" customHeight="1">
      <c r="A257" s="564">
        <v>432</v>
      </c>
      <c r="B257" s="568" t="s">
        <v>280</v>
      </c>
      <c r="C257" s="565" t="s">
        <v>281</v>
      </c>
      <c r="D257" s="605">
        <v>109624</v>
      </c>
      <c r="E257" s="568" t="s">
        <v>644</v>
      </c>
      <c r="F257" s="568" t="s">
        <v>256</v>
      </c>
      <c r="G257" s="568" t="s">
        <v>24</v>
      </c>
      <c r="H257" s="568" t="s">
        <v>26</v>
      </c>
      <c r="I257" s="569" t="s">
        <v>708</v>
      </c>
      <c r="J257" s="569">
        <v>1</v>
      </c>
      <c r="K257" s="568" t="s">
        <v>437</v>
      </c>
      <c r="L257" s="570">
        <v>43714</v>
      </c>
      <c r="M257" s="571">
        <v>6.4799999999999996E-2</v>
      </c>
      <c r="N257" s="568" t="s">
        <v>475</v>
      </c>
      <c r="O257" s="569">
        <v>2019.08</v>
      </c>
      <c r="P257" s="571" t="str">
        <f>VLOOKUP(A257,'[1]Raw data'!$B:$BB,23,FALSE)</f>
        <v>RMB</v>
      </c>
      <c r="Q257" s="568" t="str">
        <f>VLOOKUP(A257,'[1]Raw data'!$B:$Z,2,FALSE)</f>
        <v>C49SZX20190133MX</v>
      </c>
      <c r="R257" s="568" t="str">
        <f>VLOOKUP(A257,'[1]Raw data'!$B:$Z,3,FALSE)</f>
        <v>海川伟业</v>
      </c>
      <c r="S257" s="568" t="str">
        <f>VLOOKUP(A257,'[1]Raw data'!$B:$Z,4,FALSE)</f>
        <v>YSM20R(SV)-2</v>
      </c>
      <c r="T257" s="568" t="str">
        <f>VLOOKUP(A257,'[1]Raw data'!$B:$Z,8,FALSE)</f>
        <v>L-&gt;R</v>
      </c>
      <c r="U257" s="568" t="str">
        <f>VLOOKUP(A257,'[1]Raw data'!$B:$Z,9,FALSE)</f>
        <v>No</v>
      </c>
      <c r="V257" s="572" t="str">
        <f t="shared" si="39"/>
        <v>OK</v>
      </c>
      <c r="W257" s="568" t="str">
        <f>VLOOKUP(A257,'[1]Raw data'!$B:$AG,32,FALSE)</f>
        <v>含税到厂</v>
      </c>
      <c r="X257" s="568">
        <f>VLOOKUP(A257,'[1]Raw data'!$B:$BA,31,FALSE)</f>
        <v>43731</v>
      </c>
      <c r="Y257" s="568" t="str">
        <f>VLOOKUP(A257,'[1]Raw data'!$B:$AS,39,FALSE)</f>
        <v>Yes</v>
      </c>
      <c r="Z257" s="573"/>
      <c r="AA257" s="574"/>
      <c r="AB257" s="575"/>
      <c r="AC257" s="568" t="s">
        <v>692</v>
      </c>
      <c r="AD257" s="576">
        <v>303</v>
      </c>
      <c r="AE257" s="576">
        <v>10</v>
      </c>
      <c r="AF257" s="576">
        <v>302</v>
      </c>
      <c r="AG257" s="576">
        <v>10</v>
      </c>
      <c r="AN257" s="547"/>
      <c r="AO257" s="829" t="str">
        <f t="shared" si="31"/>
        <v>Yes</v>
      </c>
      <c r="AP257" s="259" t="str">
        <f t="shared" si="32"/>
        <v>OCT 19</v>
      </c>
      <c r="AQ257" s="547" t="str">
        <f t="shared" si="33"/>
        <v>有定金+有預留客戶</v>
      </c>
      <c r="AR257" s="259" t="str">
        <f t="shared" si="34"/>
        <v>Shipped_Stock</v>
      </c>
      <c r="AS257" s="259" t="str">
        <f t="shared" si="35"/>
        <v/>
      </c>
      <c r="AT257" s="259" t="str">
        <f t="shared" si="36"/>
        <v>海川伟业</v>
      </c>
      <c r="AU257" s="259" t="str">
        <f t="shared" si="37"/>
        <v>C49SZX20190133MX</v>
      </c>
      <c r="AV257" s="259" t="str">
        <f t="shared" si="38"/>
        <v>Sep-06</v>
      </c>
    </row>
    <row r="258" spans="1:48" ht="15" hidden="1" customHeight="1">
      <c r="A258" s="564">
        <v>391</v>
      </c>
      <c r="B258" s="568" t="s">
        <v>280</v>
      </c>
      <c r="C258" s="565" t="s">
        <v>281</v>
      </c>
      <c r="D258" s="605">
        <v>109624</v>
      </c>
      <c r="E258" s="568" t="s">
        <v>644</v>
      </c>
      <c r="F258" s="568" t="s">
        <v>256</v>
      </c>
      <c r="G258" s="568" t="s">
        <v>24</v>
      </c>
      <c r="H258" s="568" t="s">
        <v>26</v>
      </c>
      <c r="I258" s="569" t="s">
        <v>709</v>
      </c>
      <c r="J258" s="569">
        <v>1</v>
      </c>
      <c r="K258" s="568" t="s">
        <v>605</v>
      </c>
      <c r="L258" s="570">
        <v>43714</v>
      </c>
      <c r="M258" s="571">
        <v>6.4799999999999996E-2</v>
      </c>
      <c r="N258" s="568" t="s">
        <v>475</v>
      </c>
      <c r="O258" s="569">
        <v>2019.08</v>
      </c>
      <c r="P258" s="571" t="str">
        <f>VLOOKUP(A258,'[1]Raw data'!$B:$BB,23,FALSE)</f>
        <v>RMB</v>
      </c>
      <c r="Q258" s="568" t="str">
        <f>VLOOKUP(A258,'[1]Raw data'!$B:$Z,2,FALSE)</f>
        <v>C49SZX20190113LC</v>
      </c>
      <c r="R258" s="568" t="str">
        <f>VLOOKUP(A258,'[1]Raw data'!$B:$Z,3,FALSE)</f>
        <v>首航</v>
      </c>
      <c r="S258" s="568" t="str">
        <f>VLOOKUP(A258,'[1]Raw data'!$B:$Z,4,FALSE)</f>
        <v>YSM20R(SV)-2</v>
      </c>
      <c r="T258" s="568" t="str">
        <f>VLOOKUP(A258,'[1]Raw data'!$B:$Z,8,FALSE)</f>
        <v>L-&gt;R</v>
      </c>
      <c r="U258" s="568" t="str">
        <f>VLOOKUP(A258,'[1]Raw data'!$B:$Z,9,FALSE)</f>
        <v>No</v>
      </c>
      <c r="V258" s="572" t="str">
        <f t="shared" si="39"/>
        <v>OK</v>
      </c>
      <c r="W258" s="568" t="str">
        <f>VLOOKUP(A258,'[1]Raw data'!$B:$AG,32,FALSE)</f>
        <v>含税到厂</v>
      </c>
      <c r="X258" s="568">
        <f>VLOOKUP(A258,'[1]Raw data'!$B:$BA,31,FALSE)</f>
        <v>43691</v>
      </c>
      <c r="Y258" s="568" t="str">
        <f>VLOOKUP(A258,'[1]Raw data'!$B:$AS,39,FALSE)</f>
        <v>Yes</v>
      </c>
      <c r="Z258" s="573"/>
      <c r="AA258" s="574"/>
      <c r="AB258" s="575"/>
      <c r="AC258" s="568" t="s">
        <v>697</v>
      </c>
      <c r="AD258" s="576">
        <v>303</v>
      </c>
      <c r="AE258" s="576">
        <v>20</v>
      </c>
      <c r="AN258" s="547"/>
      <c r="AO258" s="829" t="str">
        <f t="shared" si="31"/>
        <v>Yes</v>
      </c>
      <c r="AP258" s="259" t="str">
        <f t="shared" si="32"/>
        <v>OCT 19</v>
      </c>
      <c r="AQ258" s="547" t="str">
        <f t="shared" si="33"/>
        <v>有定金+有預留客戶</v>
      </c>
      <c r="AR258" s="259" t="str">
        <f t="shared" si="34"/>
        <v>Shipped_Stock</v>
      </c>
      <c r="AS258" s="259" t="str">
        <f t="shared" si="35"/>
        <v/>
      </c>
      <c r="AT258" s="259" t="str">
        <f t="shared" si="36"/>
        <v>首航</v>
      </c>
      <c r="AU258" s="259" t="str">
        <f t="shared" si="37"/>
        <v>C49SZX20190113LC</v>
      </c>
      <c r="AV258" s="259" t="str">
        <f t="shared" si="38"/>
        <v>Sep-06</v>
      </c>
    </row>
    <row r="259" spans="1:48" ht="15" hidden="1" customHeight="1">
      <c r="A259" s="564">
        <v>441</v>
      </c>
      <c r="B259" s="568" t="s">
        <v>280</v>
      </c>
      <c r="C259" s="565" t="s">
        <v>281</v>
      </c>
      <c r="D259" s="605">
        <v>109624</v>
      </c>
      <c r="E259" s="568" t="s">
        <v>644</v>
      </c>
      <c r="F259" s="568" t="s">
        <v>256</v>
      </c>
      <c r="G259" s="568" t="s">
        <v>24</v>
      </c>
      <c r="H259" s="568" t="s">
        <v>26</v>
      </c>
      <c r="I259" s="569" t="s">
        <v>710</v>
      </c>
      <c r="J259" s="569">
        <v>1</v>
      </c>
      <c r="K259" s="568" t="s">
        <v>605</v>
      </c>
      <c r="L259" s="570">
        <v>43714</v>
      </c>
      <c r="M259" s="571">
        <v>6.4799999999999996E-2</v>
      </c>
      <c r="N259" s="568" t="s">
        <v>504</v>
      </c>
      <c r="O259" s="569">
        <v>2019.08</v>
      </c>
      <c r="P259" s="571" t="str">
        <f>VLOOKUP(A259,'[1]Raw data'!$B:$BB,23,FALSE)</f>
        <v>RMB</v>
      </c>
      <c r="Q259" s="568" t="str">
        <f>VLOOKUP(A259,'[1]Raw data'!$B:$Z,2,FALSE)</f>
        <v>C49SZX20190145DZ</v>
      </c>
      <c r="R259" s="568" t="str">
        <f>VLOOKUP(A259,'[1]Raw data'!$B:$Z,3,FALSE)</f>
        <v>GCL 耕创</v>
      </c>
      <c r="S259" s="568" t="str">
        <f>VLOOKUP(A259,'[1]Raw data'!$B:$Z,4,FALSE)</f>
        <v>YSM20R(SV)-2</v>
      </c>
      <c r="T259" s="568" t="str">
        <f>VLOOKUP(A259,'[1]Raw data'!$B:$Z,8,FALSE)</f>
        <v>L-&gt;R</v>
      </c>
      <c r="U259" s="568" t="str">
        <f>VLOOKUP(A259,'[1]Raw data'!$B:$Z,9,FALSE)</f>
        <v>No</v>
      </c>
      <c r="V259" s="572" t="str">
        <f t="shared" si="39"/>
        <v>OK</v>
      </c>
      <c r="W259" s="568" t="str">
        <f>VLOOKUP(A259,'[1]Raw data'!$B:$AG,32,FALSE)</f>
        <v>含税到厂</v>
      </c>
      <c r="X259" s="568">
        <f>VLOOKUP(A259,'[1]Raw data'!$B:$BA,31,FALSE)</f>
        <v>43750</v>
      </c>
      <c r="Y259" s="568" t="str">
        <f>VLOOKUP(A259,'[1]Raw data'!$B:$AS,39,FALSE)</f>
        <v>Yes</v>
      </c>
      <c r="Z259" s="573"/>
      <c r="AA259" s="574"/>
      <c r="AB259" s="575"/>
      <c r="AC259" s="568" t="s">
        <v>671</v>
      </c>
      <c r="AD259" s="576">
        <v>304</v>
      </c>
      <c r="AE259" s="576">
        <v>20</v>
      </c>
      <c r="AN259" s="547"/>
      <c r="AO259" s="829" t="str">
        <f t="shared" ref="AO259:AO322" si="40">IFERROR(IF(Y259&lt;&gt;"",Y259,"No"),"No")</f>
        <v>Yes</v>
      </c>
      <c r="AP259" s="259" t="str">
        <f t="shared" ref="AP259:AP322" si="41">IFERROR(IF(N259&lt;&gt;"",N259,"blank"),"NA")</f>
        <v>NOV 19</v>
      </c>
      <c r="AQ259" s="547" t="str">
        <f t="shared" ref="AQ259:AQ322" si="42">IFERROR(IF(AND(AO259="Yes", AP259&lt;&gt;"blank"), "有定金+有預留客戶", IF(AND(AO259="Yes", AP259="blank"), "有定金+无客戶送貨期", IF(AND(OR(AO259="No", ISBLANK(AO259), AO259="NA"), AP259&lt;&gt;"blank"), "无定金+有預留客戶", IF(AND(OR(AO259="No", ISBLANK(AO259), AO259="NA"), AP259="blank"), "无定金+无預留客戶", "")))), "")</f>
        <v>有定金+有預留客戶</v>
      </c>
      <c r="AR259" s="259" t="str">
        <f t="shared" ref="AR259:AR322" si="43">IFERROR(IF(B259="已经到货", "Instock", IF(B259="有交期", "Incoming_Stock_With_YAMAHA_Schedule", IF(B259="TBA.", "Incoming_Stock_No_YAMAHA_Schedule", IF(B259="已发货", "Shipped_Stock", "")))), "")</f>
        <v>Shipped_Stock</v>
      </c>
      <c r="AS259" s="259" t="str">
        <f t="shared" ref="AS259:AS322" si="44">IF(AND(B259="有交期", L259&lt;&gt;""), L259, "")</f>
        <v/>
      </c>
      <c r="AT259" s="259" t="str">
        <f t="shared" ref="AT259:AT322" si="45">IFERROR(IF(R259&lt;&gt;"",R259),"-")</f>
        <v>GCL 耕创</v>
      </c>
      <c r="AU259" s="259" t="str">
        <f t="shared" ref="AU259:AU322" si="46">IFERROR(IF(Q259&lt;&gt;"",Q259),"-")</f>
        <v>C49SZX20190145DZ</v>
      </c>
      <c r="AV259" s="259" t="str">
        <f t="shared" ref="AV259:AV322" si="47">IF(L259="","-",TEXT(L259,"mmm-dd"))</f>
        <v>Sep-06</v>
      </c>
    </row>
    <row r="260" spans="1:48" ht="15" hidden="1" customHeight="1">
      <c r="A260" s="564" t="s">
        <v>711</v>
      </c>
      <c r="B260" s="568" t="s">
        <v>280</v>
      </c>
      <c r="C260" s="565" t="s">
        <v>281</v>
      </c>
      <c r="D260" s="605">
        <v>109625</v>
      </c>
      <c r="E260" s="568" t="s">
        <v>644</v>
      </c>
      <c r="F260" s="568" t="s">
        <v>17</v>
      </c>
      <c r="G260" s="568" t="s">
        <v>18</v>
      </c>
      <c r="H260" s="568" t="s">
        <v>19</v>
      </c>
      <c r="I260" s="569" t="s">
        <v>712</v>
      </c>
      <c r="J260" s="569">
        <v>1</v>
      </c>
      <c r="K260" s="568" t="s">
        <v>605</v>
      </c>
      <c r="L260" s="570">
        <v>43714</v>
      </c>
      <c r="M260" s="618">
        <v>6.7100000000000007E-2</v>
      </c>
      <c r="N260" s="568" t="s">
        <v>504</v>
      </c>
      <c r="O260" s="568">
        <v>2019.07</v>
      </c>
      <c r="P260" s="571" t="e">
        <f>VLOOKUP(A260,'[1]Raw data'!$B:$BB,23,FALSE)</f>
        <v>#N/A</v>
      </c>
      <c r="Q260" s="568" t="e">
        <f>VLOOKUP(A260,'[1]Raw data'!$B:$Z,2,FALSE)</f>
        <v>#N/A</v>
      </c>
      <c r="R260" s="568" t="e">
        <f>VLOOKUP(A260,'[1]Raw data'!$B:$Z,3,FALSE)</f>
        <v>#N/A</v>
      </c>
      <c r="S260" s="568" t="e">
        <f>VLOOKUP(A260,'[1]Raw data'!$B:$Z,4,FALSE)</f>
        <v>#N/A</v>
      </c>
      <c r="T260" s="568" t="e">
        <f>VLOOKUP(A260,'[1]Raw data'!$B:$Z,8,FALSE)</f>
        <v>#N/A</v>
      </c>
      <c r="U260" s="568" t="e">
        <f>VLOOKUP(A260,'[1]Raw data'!$B:$Z,9,FALSE)</f>
        <v>#N/A</v>
      </c>
      <c r="V260" s="572" t="e">
        <f t="shared" si="39"/>
        <v>#N/A</v>
      </c>
      <c r="W260" s="568" t="e">
        <f>VLOOKUP(A260,'[1]Raw data'!$B:$AG,32,FALSE)</f>
        <v>#N/A</v>
      </c>
      <c r="X260" s="568" t="e">
        <f>VLOOKUP(A260,'[1]Raw data'!$B:$BA,31,FALSE)</f>
        <v>#N/A</v>
      </c>
      <c r="Y260" s="568" t="e">
        <f>VLOOKUP(A260,'[1]Raw data'!$B:$AS,39,FALSE)</f>
        <v>#N/A</v>
      </c>
      <c r="Z260" s="573"/>
      <c r="AA260" s="574"/>
      <c r="AB260" s="575"/>
      <c r="AC260" s="568" t="s">
        <v>713</v>
      </c>
      <c r="AD260" s="576">
        <v>302</v>
      </c>
      <c r="AE260" s="576">
        <v>10</v>
      </c>
      <c r="AN260" s="547"/>
      <c r="AO260" s="829" t="str">
        <f t="shared" si="40"/>
        <v>No</v>
      </c>
      <c r="AP260" s="259" t="str">
        <f t="shared" si="41"/>
        <v>NOV 19</v>
      </c>
      <c r="AQ260" s="547" t="str">
        <f t="shared" si="42"/>
        <v>无定金+有預留客戶</v>
      </c>
      <c r="AR260" s="259" t="str">
        <f t="shared" si="43"/>
        <v>Shipped_Stock</v>
      </c>
      <c r="AS260" s="259" t="str">
        <f t="shared" si="44"/>
        <v/>
      </c>
      <c r="AT260" s="259" t="str">
        <f t="shared" si="45"/>
        <v>-</v>
      </c>
      <c r="AU260" s="259" t="str">
        <f t="shared" si="46"/>
        <v>-</v>
      </c>
      <c r="AV260" s="259" t="str">
        <f t="shared" si="47"/>
        <v>Sep-06</v>
      </c>
    </row>
    <row r="261" spans="1:48" ht="15" hidden="1" customHeight="1">
      <c r="A261" s="564">
        <v>431</v>
      </c>
      <c r="B261" s="568" t="s">
        <v>280</v>
      </c>
      <c r="C261" s="565" t="s">
        <v>281</v>
      </c>
      <c r="D261" s="605">
        <v>109624</v>
      </c>
      <c r="E261" s="568" t="s">
        <v>644</v>
      </c>
      <c r="F261" s="568" t="s">
        <v>256</v>
      </c>
      <c r="G261" s="568" t="s">
        <v>24</v>
      </c>
      <c r="H261" s="568" t="s">
        <v>26</v>
      </c>
      <c r="I261" s="569" t="s">
        <v>714</v>
      </c>
      <c r="J261" s="569">
        <v>1</v>
      </c>
      <c r="K261" s="568" t="s">
        <v>605</v>
      </c>
      <c r="L261" s="570">
        <v>43714</v>
      </c>
      <c r="M261" s="571">
        <v>6.4799999999999996E-2</v>
      </c>
      <c r="N261" s="568" t="s">
        <v>320</v>
      </c>
      <c r="O261" s="569">
        <v>2019.08</v>
      </c>
      <c r="P261" s="571" t="str">
        <f>VLOOKUP(A261,'[1]Raw data'!$B:$BB,23,FALSE)</f>
        <v>RMB</v>
      </c>
      <c r="Q261" s="568" t="str">
        <f>VLOOKUP(A261,'[1]Raw data'!$B:$Z,2,FALSE)</f>
        <v>C49SZX201900131JL</v>
      </c>
      <c r="R261" s="568" t="str">
        <f>VLOOKUP(A261,'[1]Raw data'!$B:$Z,3,FALSE)</f>
        <v>杉川/end user:放德劲</v>
      </c>
      <c r="S261" s="568" t="str">
        <f>VLOOKUP(A261,'[1]Raw data'!$B:$Z,4,FALSE)</f>
        <v>YSM20R(SV)-2</v>
      </c>
      <c r="T261" s="568" t="str">
        <f>VLOOKUP(A261,'[1]Raw data'!$B:$Z,8,FALSE)</f>
        <v>L-&gt;R</v>
      </c>
      <c r="U261" s="568" t="str">
        <f>VLOOKUP(A261,'[1]Raw data'!$B:$Z,9,FALSE)</f>
        <v>No</v>
      </c>
      <c r="V261" s="572" t="str">
        <f t="shared" si="39"/>
        <v>OK</v>
      </c>
      <c r="W261" s="568" t="str">
        <f>VLOOKUP(A261,'[1]Raw data'!$B:$AG,32,FALSE)</f>
        <v>含税到厂</v>
      </c>
      <c r="X261" s="568">
        <f>VLOOKUP(A261,'[1]Raw data'!$B:$BA,31,FALSE)</f>
        <v>43717</v>
      </c>
      <c r="Y261" s="568" t="str">
        <f>VLOOKUP(A261,'[1]Raw data'!$B:$AS,39,FALSE)</f>
        <v>Yes</v>
      </c>
      <c r="Z261" s="573"/>
      <c r="AA261" s="574"/>
      <c r="AB261" s="575"/>
      <c r="AC261" s="568" t="s">
        <v>398</v>
      </c>
      <c r="AD261" s="576">
        <v>302</v>
      </c>
      <c r="AE261" s="576">
        <v>10</v>
      </c>
      <c r="AF261" s="576">
        <v>304</v>
      </c>
      <c r="AG261" s="576">
        <v>10</v>
      </c>
      <c r="AN261" s="547"/>
      <c r="AO261" s="829" t="str">
        <f t="shared" si="40"/>
        <v>Yes</v>
      </c>
      <c r="AP261" s="259" t="str">
        <f t="shared" si="41"/>
        <v>SEP 19</v>
      </c>
      <c r="AQ261" s="547" t="str">
        <f t="shared" si="42"/>
        <v>有定金+有預留客戶</v>
      </c>
      <c r="AR261" s="259" t="str">
        <f t="shared" si="43"/>
        <v>Shipped_Stock</v>
      </c>
      <c r="AS261" s="259" t="str">
        <f t="shared" si="44"/>
        <v/>
      </c>
      <c r="AT261" s="259" t="str">
        <f t="shared" si="45"/>
        <v>杉川/end user:放德劲</v>
      </c>
      <c r="AU261" s="259" t="str">
        <f t="shared" si="46"/>
        <v>C49SZX201900131JL</v>
      </c>
      <c r="AV261" s="259" t="str">
        <f t="shared" si="47"/>
        <v>Sep-06</v>
      </c>
    </row>
    <row r="262" spans="1:48" ht="15" hidden="1" customHeight="1">
      <c r="A262" s="564">
        <v>405</v>
      </c>
      <c r="B262" s="568" t="s">
        <v>280</v>
      </c>
      <c r="C262" s="565" t="s">
        <v>281</v>
      </c>
      <c r="D262" s="605">
        <v>109694</v>
      </c>
      <c r="E262" s="568" t="s">
        <v>682</v>
      </c>
      <c r="F262" s="568" t="s">
        <v>339</v>
      </c>
      <c r="G262" s="568" t="s">
        <v>24</v>
      </c>
      <c r="H262" s="568" t="s">
        <v>26</v>
      </c>
      <c r="I262" s="569" t="s">
        <v>715</v>
      </c>
      <c r="J262" s="569">
        <v>1</v>
      </c>
      <c r="K262" s="568" t="s">
        <v>388</v>
      </c>
      <c r="L262" s="570">
        <v>43737</v>
      </c>
      <c r="M262" s="571" t="s">
        <v>257</v>
      </c>
      <c r="N262" s="568" t="s">
        <v>475</v>
      </c>
      <c r="O262" s="568">
        <v>2019.09</v>
      </c>
      <c r="P262" s="571" t="str">
        <f>VLOOKUP(A262,'[1]Raw data'!$B:$BB,23,FALSE)</f>
        <v>JPY</v>
      </c>
      <c r="Q262" s="568" t="str">
        <f>VLOOKUP(A262,'[1]Raw data'!$B:$Z,2,FALSE)</f>
        <v>C49SZX20190125KW</v>
      </c>
      <c r="R262" s="568" t="str">
        <f>VLOOKUP(A262,'[1]Raw data'!$B:$Z,3,FALSE)</f>
        <v>伟盛贸易(富洛）/晶科</v>
      </c>
      <c r="S262" s="568" t="str">
        <f>VLOOKUP(A262,'[1]Raw data'!$B:$Z,4,FALSE)</f>
        <v>SIGMA G5S2</v>
      </c>
      <c r="T262" s="568" t="str">
        <f>VLOOKUP(A262,'[1]Raw data'!$B:$Z,8,FALSE)</f>
        <v>No</v>
      </c>
      <c r="U262" s="568" t="str">
        <f>VLOOKUP(A262,'[1]Raw data'!$B:$Z,9,FALSE)</f>
        <v>No</v>
      </c>
      <c r="V262" s="572" t="str">
        <f t="shared" si="39"/>
        <v>WRONG</v>
      </c>
      <c r="W262" s="568" t="str">
        <f>VLOOKUP(A262,'[1]Raw data'!$B:$AG,32,FALSE)</f>
        <v>CIF HK</v>
      </c>
      <c r="X262" s="568">
        <f>VLOOKUP(A262,'[1]Raw data'!$B:$BA,31,FALSE)</f>
        <v>43698</v>
      </c>
      <c r="Y262" s="568" t="str">
        <f>VLOOKUP(A262,'[1]Raw data'!$B:$AS,39,FALSE)</f>
        <v>Yes</v>
      </c>
      <c r="Z262" s="573"/>
      <c r="AA262" s="574"/>
      <c r="AB262" s="575"/>
      <c r="AC262" s="568" t="s">
        <v>678</v>
      </c>
      <c r="AN262" s="547"/>
      <c r="AO262" s="829" t="str">
        <f t="shared" si="40"/>
        <v>Yes</v>
      </c>
      <c r="AP262" s="259" t="str">
        <f t="shared" si="41"/>
        <v>OCT 19</v>
      </c>
      <c r="AQ262" s="547" t="str">
        <f t="shared" si="42"/>
        <v>有定金+有預留客戶</v>
      </c>
      <c r="AR262" s="259" t="str">
        <f t="shared" si="43"/>
        <v>Shipped_Stock</v>
      </c>
      <c r="AS262" s="259" t="str">
        <f t="shared" si="44"/>
        <v/>
      </c>
      <c r="AT262" s="259" t="str">
        <f t="shared" si="45"/>
        <v>伟盛贸易(富洛）/晶科</v>
      </c>
      <c r="AU262" s="259" t="str">
        <f t="shared" si="46"/>
        <v>C49SZX20190125KW</v>
      </c>
      <c r="AV262" s="259" t="str">
        <f t="shared" si="47"/>
        <v>Sep-29</v>
      </c>
    </row>
    <row r="263" spans="1:48" ht="15" hidden="1" customHeight="1">
      <c r="A263" s="564">
        <v>406</v>
      </c>
      <c r="B263" s="568" t="s">
        <v>280</v>
      </c>
      <c r="C263" s="565" t="s">
        <v>281</v>
      </c>
      <c r="D263" s="605">
        <v>109694</v>
      </c>
      <c r="E263" s="568" t="s">
        <v>682</v>
      </c>
      <c r="F263" s="568" t="s">
        <v>153</v>
      </c>
      <c r="G263" s="568" t="s">
        <v>24</v>
      </c>
      <c r="H263" s="568" t="s">
        <v>26</v>
      </c>
      <c r="I263" s="569" t="s">
        <v>716</v>
      </c>
      <c r="J263" s="569">
        <v>1</v>
      </c>
      <c r="K263" s="568" t="s">
        <v>388</v>
      </c>
      <c r="L263" s="570">
        <v>43737</v>
      </c>
      <c r="M263" s="571" t="s">
        <v>257</v>
      </c>
      <c r="N263" s="568" t="s">
        <v>475</v>
      </c>
      <c r="O263" s="568">
        <v>2019.09</v>
      </c>
      <c r="P263" s="571" t="str">
        <f>VLOOKUP(A263,'[1]Raw data'!$B:$BB,23,FALSE)</f>
        <v>JPY</v>
      </c>
      <c r="Q263" s="568" t="str">
        <f>VLOOKUP(A263,'[1]Raw data'!$B:$Z,2,FALSE)</f>
        <v>C49SZX20190125KW</v>
      </c>
      <c r="R263" s="568" t="str">
        <f>VLOOKUP(A263,'[1]Raw data'!$B:$Z,3,FALSE)</f>
        <v>伟盛贸易(富洛）/晶科</v>
      </c>
      <c r="S263" s="568" t="str">
        <f>VLOOKUP(A263,'[1]Raw data'!$B:$Z,4,FALSE)</f>
        <v>SIGMA G5S2</v>
      </c>
      <c r="T263" s="568" t="str">
        <f>VLOOKUP(A263,'[1]Raw data'!$B:$Z,8,FALSE)</f>
        <v>No</v>
      </c>
      <c r="U263" s="568" t="str">
        <f>VLOOKUP(A263,'[1]Raw data'!$B:$Z,9,FALSE)</f>
        <v>No</v>
      </c>
      <c r="V263" s="572" t="str">
        <f t="shared" si="39"/>
        <v>WRONG</v>
      </c>
      <c r="W263" s="568" t="str">
        <f>VLOOKUP(A263,'[1]Raw data'!$B:$AG,32,FALSE)</f>
        <v>CIF HK</v>
      </c>
      <c r="X263" s="568">
        <f>VLOOKUP(A263,'[1]Raw data'!$B:$BA,31,FALSE)</f>
        <v>43698</v>
      </c>
      <c r="Y263" s="568" t="str">
        <f>VLOOKUP(A263,'[1]Raw data'!$B:$AS,39,FALSE)</f>
        <v>Yes</v>
      </c>
      <c r="Z263" s="573"/>
      <c r="AA263" s="574"/>
      <c r="AB263" s="575"/>
      <c r="AC263" s="568" t="s">
        <v>678</v>
      </c>
      <c r="AN263" s="547"/>
      <c r="AO263" s="829" t="str">
        <f t="shared" si="40"/>
        <v>Yes</v>
      </c>
      <c r="AP263" s="259" t="str">
        <f t="shared" si="41"/>
        <v>OCT 19</v>
      </c>
      <c r="AQ263" s="547" t="str">
        <f t="shared" si="42"/>
        <v>有定金+有預留客戶</v>
      </c>
      <c r="AR263" s="259" t="str">
        <f t="shared" si="43"/>
        <v>Shipped_Stock</v>
      </c>
      <c r="AS263" s="259" t="str">
        <f t="shared" si="44"/>
        <v/>
      </c>
      <c r="AT263" s="259" t="str">
        <f t="shared" si="45"/>
        <v>伟盛贸易(富洛）/晶科</v>
      </c>
      <c r="AU263" s="259" t="str">
        <f t="shared" si="46"/>
        <v>C49SZX20190125KW</v>
      </c>
      <c r="AV263" s="259" t="str">
        <f t="shared" si="47"/>
        <v>Sep-29</v>
      </c>
    </row>
    <row r="264" spans="1:48" ht="15" hidden="1" customHeight="1">
      <c r="A264" s="564">
        <v>456</v>
      </c>
      <c r="B264" s="565" t="s">
        <v>280</v>
      </c>
      <c r="C264" s="565" t="s">
        <v>281</v>
      </c>
      <c r="D264" s="605">
        <v>109665</v>
      </c>
      <c r="E264" s="568" t="s">
        <v>644</v>
      </c>
      <c r="F264" s="568" t="s">
        <v>17</v>
      </c>
      <c r="G264" s="568" t="s">
        <v>18</v>
      </c>
      <c r="H264" s="568" t="s">
        <v>26</v>
      </c>
      <c r="I264" s="569" t="s">
        <v>717</v>
      </c>
      <c r="J264" s="569">
        <v>1</v>
      </c>
      <c r="K264" s="568" t="s">
        <v>661</v>
      </c>
      <c r="L264" s="570">
        <v>43749</v>
      </c>
      <c r="M264" s="571">
        <v>6.7299999999999999E-2</v>
      </c>
      <c r="N264" s="568" t="s">
        <v>504</v>
      </c>
      <c r="O264" s="568">
        <v>2019.09</v>
      </c>
      <c r="P264" s="571" t="str">
        <f>VLOOKUP(A264,'[1]Raw data'!$B:$BB,23,FALSE)</f>
        <v>RMB</v>
      </c>
      <c r="Q264" s="568" t="str">
        <f>VLOOKUP(A264,'[1]Raw data'!$B:$Z,2,FALSE)</f>
        <v>C49SZX20190148SX</v>
      </c>
      <c r="R264" s="568" t="str">
        <f>VLOOKUP(A264,'[1]Raw data'!$B:$Z,3,FALSE)</f>
        <v>悦之彩</v>
      </c>
      <c r="S264" s="568" t="str">
        <f>VLOOKUP(A264,'[1]Raw data'!$B:$Z,4,FALSE)</f>
        <v>YSM10</v>
      </c>
      <c r="T264" s="568" t="str">
        <f>VLOOKUP(A264,'[1]Raw data'!$B:$Z,8,FALSE)</f>
        <v>L-&gt;R</v>
      </c>
      <c r="U264" s="568" t="str">
        <f>VLOOKUP(A264,'[1]Raw data'!$B:$Z,9,FALSE)</f>
        <v>MVC</v>
      </c>
      <c r="V264" s="572" t="str">
        <f t="shared" si="39"/>
        <v>WRONG</v>
      </c>
      <c r="W264" s="568" t="str">
        <f>VLOOKUP(A264,'[1]Raw data'!$B:$AG,32,FALSE)</f>
        <v>含税到厂</v>
      </c>
      <c r="X264" s="568">
        <f>VLOOKUP(A264,'[1]Raw data'!$B:$BA,31,FALSE)</f>
        <v>43757</v>
      </c>
      <c r="Y264" s="568" t="str">
        <f>VLOOKUP(A264,'[1]Raw data'!$B:$AS,39,FALSE)</f>
        <v>Yes</v>
      </c>
      <c r="Z264" s="573"/>
      <c r="AA264" s="574"/>
      <c r="AB264" s="575"/>
      <c r="AC264" s="568" t="s">
        <v>673</v>
      </c>
      <c r="AD264" s="576">
        <v>302</v>
      </c>
      <c r="AE264" s="576">
        <v>10</v>
      </c>
      <c r="AN264" s="547"/>
      <c r="AO264" s="829" t="str">
        <f t="shared" si="40"/>
        <v>Yes</v>
      </c>
      <c r="AP264" s="259" t="str">
        <f t="shared" si="41"/>
        <v>NOV 19</v>
      </c>
      <c r="AQ264" s="547" t="str">
        <f t="shared" si="42"/>
        <v>有定金+有預留客戶</v>
      </c>
      <c r="AR264" s="259" t="str">
        <f t="shared" si="43"/>
        <v>Shipped_Stock</v>
      </c>
      <c r="AS264" s="259" t="str">
        <f t="shared" si="44"/>
        <v/>
      </c>
      <c r="AT264" s="259" t="str">
        <f t="shared" si="45"/>
        <v>悦之彩</v>
      </c>
      <c r="AU264" s="259" t="str">
        <f t="shared" si="46"/>
        <v>C49SZX20190148SX</v>
      </c>
      <c r="AV264" s="259" t="str">
        <f t="shared" si="47"/>
        <v>Oct-11</v>
      </c>
    </row>
    <row r="265" spans="1:48" ht="15" hidden="1" customHeight="1">
      <c r="A265" s="564">
        <v>352</v>
      </c>
      <c r="B265" s="568" t="s">
        <v>280</v>
      </c>
      <c r="C265" s="565" t="s">
        <v>281</v>
      </c>
      <c r="D265" s="605">
        <v>109665</v>
      </c>
      <c r="E265" s="568" t="s">
        <v>644</v>
      </c>
      <c r="F265" s="568" t="s">
        <v>17</v>
      </c>
      <c r="G265" s="568" t="s">
        <v>18</v>
      </c>
      <c r="H265" s="568" t="s">
        <v>26</v>
      </c>
      <c r="I265" s="569" t="s">
        <v>718</v>
      </c>
      <c r="J265" s="569">
        <v>1</v>
      </c>
      <c r="K265" s="568" t="s">
        <v>437</v>
      </c>
      <c r="L265" s="570">
        <v>43749</v>
      </c>
      <c r="M265" s="571">
        <v>6.7299999999999999E-2</v>
      </c>
      <c r="N265" s="568" t="s">
        <v>475</v>
      </c>
      <c r="O265" s="568">
        <v>2019.09</v>
      </c>
      <c r="P265" s="571" t="str">
        <f>VLOOKUP(A265,'[1]Raw data'!$B:$BB,23,FALSE)</f>
        <v>JPY</v>
      </c>
      <c r="Q265" s="568" t="str">
        <f>VLOOKUP(A265,'[1]Raw data'!$B:$Z,2,FALSE)</f>
        <v>C49SZX20190150JY</v>
      </c>
      <c r="R265" s="568" t="str">
        <f>VLOOKUP(A265,'[1]Raw data'!$B:$Z,3,FALSE)</f>
        <v>尖端电子 end user海凌科达</v>
      </c>
      <c r="S265" s="568" t="str">
        <f>VLOOKUP(A265,'[1]Raw data'!$B:$Z,4,FALSE)</f>
        <v>YSM10</v>
      </c>
      <c r="T265" s="568" t="str">
        <f>VLOOKUP(A265,'[1]Raw data'!$B:$Z,8,FALSE)</f>
        <v>L-&gt;R</v>
      </c>
      <c r="U265" s="568" t="str">
        <f>VLOOKUP(A265,'[1]Raw data'!$B:$Z,9,FALSE)</f>
        <v>No</v>
      </c>
      <c r="V265" s="572" t="str">
        <f t="shared" si="39"/>
        <v>WRONG</v>
      </c>
      <c r="W265" s="568" t="str">
        <f>VLOOKUP(A265,'[1]Raw data'!$B:$AG,32,FALSE)</f>
        <v>CIF HK</v>
      </c>
      <c r="X265" s="568">
        <f>VLOOKUP(A265,'[1]Raw data'!$B:$BA,31,FALSE)</f>
        <v>43760</v>
      </c>
      <c r="Y265" s="568" t="str">
        <f>VLOOKUP(A265,'[1]Raw data'!$B:$AS,39,FALSE)</f>
        <v>Yes</v>
      </c>
      <c r="Z265" s="573"/>
      <c r="AA265" s="574"/>
      <c r="AB265" s="575"/>
      <c r="AC265" s="568" t="s">
        <v>695</v>
      </c>
      <c r="AD265" s="576">
        <v>302</v>
      </c>
      <c r="AE265" s="576">
        <v>10</v>
      </c>
      <c r="AN265" s="547"/>
      <c r="AO265" s="829" t="str">
        <f t="shared" si="40"/>
        <v>Yes</v>
      </c>
      <c r="AP265" s="259" t="str">
        <f t="shared" si="41"/>
        <v>OCT 19</v>
      </c>
      <c r="AQ265" s="547" t="str">
        <f t="shared" si="42"/>
        <v>有定金+有預留客戶</v>
      </c>
      <c r="AR265" s="259" t="str">
        <f t="shared" si="43"/>
        <v>Shipped_Stock</v>
      </c>
      <c r="AS265" s="259" t="str">
        <f t="shared" si="44"/>
        <v/>
      </c>
      <c r="AT265" s="259" t="str">
        <f t="shared" si="45"/>
        <v>尖端电子 end user海凌科达</v>
      </c>
      <c r="AU265" s="259" t="str">
        <f t="shared" si="46"/>
        <v>C49SZX20190150JY</v>
      </c>
      <c r="AV265" s="259" t="str">
        <f t="shared" si="47"/>
        <v>Oct-11</v>
      </c>
    </row>
    <row r="266" spans="1:48" ht="15" hidden="1" customHeight="1">
      <c r="A266" s="564">
        <v>454</v>
      </c>
      <c r="B266" s="568" t="s">
        <v>280</v>
      </c>
      <c r="C266" s="565" t="s">
        <v>281</v>
      </c>
      <c r="D266" s="605">
        <v>109665</v>
      </c>
      <c r="E266" s="568" t="s">
        <v>644</v>
      </c>
      <c r="F266" s="568" t="s">
        <v>17</v>
      </c>
      <c r="G266" s="568" t="s">
        <v>18</v>
      </c>
      <c r="H266" s="568" t="s">
        <v>26</v>
      </c>
      <c r="I266" s="569" t="s">
        <v>719</v>
      </c>
      <c r="J266" s="569">
        <v>1</v>
      </c>
      <c r="K266" s="568" t="s">
        <v>437</v>
      </c>
      <c r="L266" s="570">
        <v>43749</v>
      </c>
      <c r="M266" s="571">
        <v>6.7299999999999999E-2</v>
      </c>
      <c r="N266" s="568" t="s">
        <v>475</v>
      </c>
      <c r="O266" s="568">
        <v>2019.09</v>
      </c>
      <c r="P266" s="571" t="str">
        <f>VLOOKUP(A266,'[1]Raw data'!$B:$BB,23,FALSE)</f>
        <v>JPY</v>
      </c>
      <c r="Q266" s="568" t="str">
        <f>VLOOKUP(A266,'[1]Raw data'!$B:$Z,2,FALSE)</f>
        <v>C49SZX20190143SX</v>
      </c>
      <c r="R266" s="568" t="str">
        <f>VLOOKUP(A266,'[1]Raw data'!$B:$Z,3,FALSE)</f>
        <v>利速达</v>
      </c>
      <c r="S266" s="568" t="str">
        <f>VLOOKUP(A266,'[1]Raw data'!$B:$Z,4,FALSE)</f>
        <v>YSM10</v>
      </c>
      <c r="T266" s="568" t="str">
        <f>VLOOKUP(A266,'[1]Raw data'!$B:$Z,8,FALSE)</f>
        <v>L-&gt;R</v>
      </c>
      <c r="U266" s="568" t="str">
        <f>VLOOKUP(A266,'[1]Raw data'!$B:$Z,9,FALSE)</f>
        <v>MVC</v>
      </c>
      <c r="V266" s="572" t="str">
        <f t="shared" si="39"/>
        <v>WRONG</v>
      </c>
      <c r="W266" s="568" t="str">
        <f>VLOOKUP(A266,'[1]Raw data'!$B:$AG,32,FALSE)</f>
        <v>DAP SZ</v>
      </c>
      <c r="X266" s="568">
        <f>VLOOKUP(A266,'[1]Raw data'!$B:$BA,31,FALSE)</f>
        <v>43754</v>
      </c>
      <c r="Y266" s="568" t="str">
        <f>VLOOKUP(A266,'[1]Raw data'!$B:$AS,39,FALSE)</f>
        <v>Yes</v>
      </c>
      <c r="Z266" s="573"/>
      <c r="AA266" s="574"/>
      <c r="AB266" s="575"/>
      <c r="AC266" s="568" t="s">
        <v>720</v>
      </c>
      <c r="AD266" s="576">
        <v>301</v>
      </c>
      <c r="AE266" s="576">
        <v>10</v>
      </c>
      <c r="AN266" s="547"/>
      <c r="AO266" s="829" t="str">
        <f t="shared" si="40"/>
        <v>Yes</v>
      </c>
      <c r="AP266" s="259" t="str">
        <f t="shared" si="41"/>
        <v>OCT 19</v>
      </c>
      <c r="AQ266" s="547" t="str">
        <f t="shared" si="42"/>
        <v>有定金+有預留客戶</v>
      </c>
      <c r="AR266" s="259" t="str">
        <f t="shared" si="43"/>
        <v>Shipped_Stock</v>
      </c>
      <c r="AS266" s="259" t="str">
        <f t="shared" si="44"/>
        <v/>
      </c>
      <c r="AT266" s="259" t="str">
        <f t="shared" si="45"/>
        <v>利速达</v>
      </c>
      <c r="AU266" s="259" t="str">
        <f t="shared" si="46"/>
        <v>C49SZX20190143SX</v>
      </c>
      <c r="AV266" s="259" t="str">
        <f t="shared" si="47"/>
        <v>Oct-11</v>
      </c>
    </row>
    <row r="267" spans="1:48" ht="15" hidden="1" customHeight="1">
      <c r="A267" s="564">
        <v>351</v>
      </c>
      <c r="B267" s="568" t="s">
        <v>280</v>
      </c>
      <c r="C267" s="565" t="s">
        <v>281</v>
      </c>
      <c r="D267" s="605">
        <v>109665</v>
      </c>
      <c r="E267" s="568" t="s">
        <v>644</v>
      </c>
      <c r="F267" s="568" t="s">
        <v>17</v>
      </c>
      <c r="G267" s="568" t="s">
        <v>18</v>
      </c>
      <c r="H267" s="568" t="s">
        <v>721</v>
      </c>
      <c r="I267" s="569" t="s">
        <v>722</v>
      </c>
      <c r="J267" s="569">
        <v>1</v>
      </c>
      <c r="K267" s="568" t="s">
        <v>437</v>
      </c>
      <c r="L267" s="570">
        <v>43749</v>
      </c>
      <c r="M267" s="571">
        <v>6.7299999999999999E-2</v>
      </c>
      <c r="N267" s="568" t="s">
        <v>475</v>
      </c>
      <c r="O267" s="568">
        <v>2019.09</v>
      </c>
      <c r="P267" s="571" t="str">
        <f>VLOOKUP(A267,'[1]Raw data'!$B:$BB,23,FALSE)</f>
        <v>JPY</v>
      </c>
      <c r="Q267" s="568" t="str">
        <f>VLOOKUP(A267,'[1]Raw data'!$B:$Z,2,FALSE)</f>
        <v>C49SZX20190150JY</v>
      </c>
      <c r="R267" s="568" t="str">
        <f>VLOOKUP(A267,'[1]Raw data'!$B:$Z,3,FALSE)</f>
        <v>尖端电子 end user海凌科达</v>
      </c>
      <c r="S267" s="568" t="str">
        <f>VLOOKUP(A267,'[1]Raw data'!$B:$Z,4,FALSE)</f>
        <v>YSM10</v>
      </c>
      <c r="T267" s="568" t="str">
        <f>VLOOKUP(A267,'[1]Raw data'!$B:$Z,8,FALSE)</f>
        <v>R-&gt;L</v>
      </c>
      <c r="U267" s="568" t="str">
        <f>VLOOKUP(A267,'[1]Raw data'!$B:$Z,9,FALSE)</f>
        <v>HM5</v>
      </c>
      <c r="V267" s="572" t="str">
        <f t="shared" si="39"/>
        <v>OK</v>
      </c>
      <c r="W267" s="568" t="str">
        <f>VLOOKUP(A267,'[1]Raw data'!$B:$AG,32,FALSE)</f>
        <v>CIF HK</v>
      </c>
      <c r="X267" s="568">
        <f>VLOOKUP(A267,'[1]Raw data'!$B:$BA,31,FALSE)</f>
        <v>43760</v>
      </c>
      <c r="Y267" s="568" t="str">
        <f>VLOOKUP(A267,'[1]Raw data'!$B:$AS,39,FALSE)</f>
        <v>Yes</v>
      </c>
      <c r="Z267" s="573"/>
      <c r="AA267" s="574"/>
      <c r="AB267" s="575"/>
      <c r="AC267" s="568" t="s">
        <v>695</v>
      </c>
      <c r="AD267" s="576">
        <v>302</v>
      </c>
      <c r="AE267" s="576">
        <v>10</v>
      </c>
      <c r="AN267" s="547"/>
      <c r="AO267" s="829" t="str">
        <f t="shared" si="40"/>
        <v>Yes</v>
      </c>
      <c r="AP267" s="259" t="str">
        <f t="shared" si="41"/>
        <v>OCT 19</v>
      </c>
      <c r="AQ267" s="547" t="str">
        <f t="shared" si="42"/>
        <v>有定金+有預留客戶</v>
      </c>
      <c r="AR267" s="259" t="str">
        <f t="shared" si="43"/>
        <v>Shipped_Stock</v>
      </c>
      <c r="AS267" s="259" t="str">
        <f t="shared" si="44"/>
        <v/>
      </c>
      <c r="AT267" s="259" t="str">
        <f t="shared" si="45"/>
        <v>尖端电子 end user海凌科达</v>
      </c>
      <c r="AU267" s="259" t="str">
        <f t="shared" si="46"/>
        <v>C49SZX20190150JY</v>
      </c>
      <c r="AV267" s="259" t="str">
        <f t="shared" si="47"/>
        <v>Oct-11</v>
      </c>
    </row>
    <row r="268" spans="1:48" ht="15" hidden="1" customHeight="1">
      <c r="A268" s="604">
        <v>615</v>
      </c>
      <c r="B268" s="568" t="s">
        <v>280</v>
      </c>
      <c r="C268" s="565" t="s">
        <v>281</v>
      </c>
      <c r="D268" s="605">
        <v>109665</v>
      </c>
      <c r="E268" s="568" t="s">
        <v>644</v>
      </c>
      <c r="F268" s="568" t="s">
        <v>17</v>
      </c>
      <c r="G268" s="568" t="s">
        <v>18</v>
      </c>
      <c r="H268" s="568" t="s">
        <v>723</v>
      </c>
      <c r="I268" s="569" t="s">
        <v>724</v>
      </c>
      <c r="J268" s="569">
        <v>1</v>
      </c>
      <c r="K268" s="568" t="s">
        <v>437</v>
      </c>
      <c r="L268" s="570">
        <v>43749</v>
      </c>
      <c r="M268" s="581">
        <v>6.7299999999999999E-2</v>
      </c>
      <c r="N268" s="568" t="s">
        <v>554</v>
      </c>
      <c r="O268" s="568">
        <v>2019.09</v>
      </c>
      <c r="P268" s="571" t="str">
        <f>VLOOKUP(A268,'[1]Raw data'!$B:$BB,23,FALSE)</f>
        <v>JPY</v>
      </c>
      <c r="Q268" s="568" t="str">
        <f>VLOOKUP(A268,'[1]Raw data'!$B:$Z,2,FALSE)</f>
        <v>C49SZX20200038SX</v>
      </c>
      <c r="R268" s="568" t="str">
        <f>VLOOKUP(A268,'[1]Raw data'!$B:$Z,3,FALSE)</f>
        <v>中研</v>
      </c>
      <c r="S268" s="568" t="str">
        <f>VLOOKUP(A268,'[1]Raw data'!$B:$Z,4,FALSE)</f>
        <v>YSM10</v>
      </c>
      <c r="T268" s="568" t="str">
        <f>VLOOKUP(A268,'[1]Raw data'!$B:$Z,8,FALSE)</f>
        <v>L-&gt;R</v>
      </c>
      <c r="U268" s="568" t="str">
        <f>VLOOKUP(A268,'[1]Raw data'!$B:$Z,9,FALSE)</f>
        <v>MVC+Fixed feeder plate 24 positions</v>
      </c>
      <c r="V268" s="572" t="str">
        <f t="shared" si="39"/>
        <v>WRONG</v>
      </c>
      <c r="W268" s="568" t="str">
        <f>VLOOKUP(A268,'[1]Raw data'!$B:$AG,32,FALSE)</f>
        <v>DAP DG</v>
      </c>
      <c r="X268" s="568">
        <f>VLOOKUP(A268,'[1]Raw data'!$B:$BA,31,FALSE)</f>
        <v>43923</v>
      </c>
      <c r="Y268" s="568" t="str">
        <f>VLOOKUP(A268,'[1]Raw data'!$B:$AS,39,FALSE)</f>
        <v>Yes</v>
      </c>
      <c r="AC268" s="568" t="s">
        <v>725</v>
      </c>
      <c r="AD268" s="576">
        <v>301</v>
      </c>
      <c r="AE268" s="576">
        <v>10</v>
      </c>
      <c r="AN268" s="547"/>
      <c r="AO268" s="829" t="str">
        <f t="shared" si="40"/>
        <v>Yes</v>
      </c>
      <c r="AP268" s="259" t="str">
        <f t="shared" si="41"/>
        <v>APR 20</v>
      </c>
      <c r="AQ268" s="547" t="str">
        <f t="shared" si="42"/>
        <v>有定金+有預留客戶</v>
      </c>
      <c r="AR268" s="259" t="str">
        <f t="shared" si="43"/>
        <v>Shipped_Stock</v>
      </c>
      <c r="AS268" s="259" t="str">
        <f t="shared" si="44"/>
        <v/>
      </c>
      <c r="AT268" s="259" t="str">
        <f t="shared" si="45"/>
        <v>中研</v>
      </c>
      <c r="AU268" s="259" t="str">
        <f t="shared" si="46"/>
        <v>C49SZX20200038SX</v>
      </c>
      <c r="AV268" s="259" t="str">
        <f t="shared" si="47"/>
        <v>Oct-11</v>
      </c>
    </row>
    <row r="269" spans="1:48" ht="15" hidden="1" customHeight="1">
      <c r="A269" s="564">
        <v>434</v>
      </c>
      <c r="B269" s="568" t="s">
        <v>280</v>
      </c>
      <c r="C269" s="565" t="s">
        <v>281</v>
      </c>
      <c r="D269" s="605">
        <v>109665</v>
      </c>
      <c r="E269" s="568" t="s">
        <v>644</v>
      </c>
      <c r="F269" s="568" t="s">
        <v>17</v>
      </c>
      <c r="G269" s="568" t="s">
        <v>18</v>
      </c>
      <c r="H269" s="568" t="s">
        <v>26</v>
      </c>
      <c r="I269" s="569" t="s">
        <v>726</v>
      </c>
      <c r="J269" s="569">
        <v>1</v>
      </c>
      <c r="K269" s="568" t="s">
        <v>605</v>
      </c>
      <c r="L269" s="570">
        <v>43749</v>
      </c>
      <c r="M269" s="571">
        <v>6.7299999999999999E-2</v>
      </c>
      <c r="N269" s="568" t="s">
        <v>475</v>
      </c>
      <c r="O269" s="568"/>
      <c r="P269" s="571" t="str">
        <f>VLOOKUP(A269,'[1]Raw data'!$B:$BB,23,FALSE)</f>
        <v>RMB</v>
      </c>
      <c r="Q269" s="568" t="str">
        <f>VLOOKUP(A269,'[1]Raw data'!$B:$Z,2,FALSE)</f>
        <v>C49SZX20190140SS</v>
      </c>
      <c r="R269" s="568" t="str">
        <f>VLOOKUP(A269,'[1]Raw data'!$B:$Z,3,FALSE)</f>
        <v>中润互联</v>
      </c>
      <c r="S269" s="568" t="str">
        <f>VLOOKUP(A269,'[1]Raw data'!$B:$Z,4,FALSE)</f>
        <v>YSM10</v>
      </c>
      <c r="T269" s="568" t="str">
        <f>VLOOKUP(A269,'[1]Raw data'!$B:$Z,8,FALSE)</f>
        <v>L-&gt;R</v>
      </c>
      <c r="U269" s="568" t="str">
        <f>VLOOKUP(A269,'[1]Raw data'!$B:$Z,9,FALSE)</f>
        <v>MVC</v>
      </c>
      <c r="V269" s="572" t="str">
        <f t="shared" si="39"/>
        <v>WRONG</v>
      </c>
      <c r="W269" s="568" t="str">
        <f>VLOOKUP(A269,'[1]Raw data'!$B:$AG,32,FALSE)</f>
        <v>含税到厂</v>
      </c>
      <c r="X269" s="568">
        <f>VLOOKUP(A269,'[1]Raw data'!$B:$BA,31,FALSE)</f>
        <v>43732</v>
      </c>
      <c r="Y269" s="568" t="str">
        <f>VLOOKUP(A269,'[1]Raw data'!$B:$AS,39,FALSE)</f>
        <v>Yes</v>
      </c>
      <c r="Z269" s="573"/>
      <c r="AA269" s="574"/>
      <c r="AB269" s="575"/>
      <c r="AC269" s="568" t="s">
        <v>727</v>
      </c>
      <c r="AD269" s="576">
        <v>301</v>
      </c>
      <c r="AE269" s="576">
        <v>10</v>
      </c>
      <c r="AN269" s="547"/>
      <c r="AO269" s="829" t="str">
        <f t="shared" si="40"/>
        <v>Yes</v>
      </c>
      <c r="AP269" s="259" t="str">
        <f t="shared" si="41"/>
        <v>OCT 19</v>
      </c>
      <c r="AQ269" s="547" t="str">
        <f t="shared" si="42"/>
        <v>有定金+有預留客戶</v>
      </c>
      <c r="AR269" s="259" t="str">
        <f t="shared" si="43"/>
        <v>Shipped_Stock</v>
      </c>
      <c r="AS269" s="259" t="str">
        <f t="shared" si="44"/>
        <v/>
      </c>
      <c r="AT269" s="259" t="str">
        <f t="shared" si="45"/>
        <v>中润互联</v>
      </c>
      <c r="AU269" s="259" t="str">
        <f t="shared" si="46"/>
        <v>C49SZX20190140SS</v>
      </c>
      <c r="AV269" s="259" t="str">
        <f t="shared" si="47"/>
        <v>Oct-11</v>
      </c>
    </row>
    <row r="270" spans="1:48" ht="15" hidden="1" customHeight="1">
      <c r="A270" s="564">
        <v>465</v>
      </c>
      <c r="B270" s="568" t="s">
        <v>280</v>
      </c>
      <c r="C270" s="565" t="s">
        <v>281</v>
      </c>
      <c r="D270" s="605">
        <v>109686</v>
      </c>
      <c r="E270" s="568" t="s">
        <v>644</v>
      </c>
      <c r="F270" s="568" t="s">
        <v>17</v>
      </c>
      <c r="G270" s="568" t="s">
        <v>18</v>
      </c>
      <c r="H270" s="568" t="s">
        <v>26</v>
      </c>
      <c r="I270" s="569" t="s">
        <v>728</v>
      </c>
      <c r="J270" s="569">
        <v>1</v>
      </c>
      <c r="K270" s="568" t="s">
        <v>661</v>
      </c>
      <c r="L270" s="570">
        <v>43756</v>
      </c>
      <c r="M270" s="571">
        <v>6.7100000000000007E-2</v>
      </c>
      <c r="N270" s="568" t="s">
        <v>504</v>
      </c>
      <c r="O270" s="568">
        <v>2019.1</v>
      </c>
      <c r="P270" s="571" t="str">
        <f>VLOOKUP(A270,'[1]Raw data'!$B:$BB,23,FALSE)</f>
        <v>JPY</v>
      </c>
      <c r="Q270" s="568" t="str">
        <f>VLOOKUP(A270,'[1]Raw data'!$B:$Z,2,FALSE)</f>
        <v>C49SZX20190155JY</v>
      </c>
      <c r="R270" s="568" t="str">
        <f>VLOOKUP(A270,'[1]Raw data'!$B:$Z,3,FALSE)</f>
        <v>海松微</v>
      </c>
      <c r="S270" s="568" t="str">
        <f>VLOOKUP(A270,'[1]Raw data'!$B:$Z,4,FALSE)</f>
        <v>YSM10</v>
      </c>
      <c r="T270" s="568" t="str">
        <f>VLOOKUP(A270,'[1]Raw data'!$B:$Z,8,FALSE)</f>
        <v>L-&gt;R</v>
      </c>
      <c r="U270" s="568" t="str">
        <f>VLOOKUP(A270,'[1]Raw data'!$B:$Z,9,FALSE)</f>
        <v>MVC</v>
      </c>
      <c r="V270" s="572" t="str">
        <f t="shared" si="39"/>
        <v>WRONG</v>
      </c>
      <c r="W270" s="568" t="str">
        <f>VLOOKUP(A270,'[1]Raw data'!$B:$AG,32,FALSE)</f>
        <v>DAP SZ</v>
      </c>
      <c r="X270" s="568">
        <f>VLOOKUP(A270,'[1]Raw data'!$B:$BA,31,FALSE)</f>
        <v>43763</v>
      </c>
      <c r="Y270" s="568" t="str">
        <f>VLOOKUP(A270,'[1]Raw data'!$B:$AS,39,FALSE)</f>
        <v>Yes</v>
      </c>
      <c r="Z270" s="573"/>
      <c r="AA270" s="574"/>
      <c r="AB270" s="575"/>
      <c r="AC270" s="568" t="s">
        <v>662</v>
      </c>
      <c r="AD270" s="576">
        <v>302</v>
      </c>
      <c r="AE270" s="576">
        <v>10</v>
      </c>
      <c r="AN270" s="547"/>
      <c r="AO270" s="829" t="str">
        <f t="shared" si="40"/>
        <v>Yes</v>
      </c>
      <c r="AP270" s="259" t="str">
        <f t="shared" si="41"/>
        <v>NOV 19</v>
      </c>
      <c r="AQ270" s="547" t="str">
        <f t="shared" si="42"/>
        <v>有定金+有預留客戶</v>
      </c>
      <c r="AR270" s="259" t="str">
        <f t="shared" si="43"/>
        <v>Shipped_Stock</v>
      </c>
      <c r="AS270" s="259" t="str">
        <f t="shared" si="44"/>
        <v/>
      </c>
      <c r="AT270" s="259" t="str">
        <f t="shared" si="45"/>
        <v>海松微</v>
      </c>
      <c r="AU270" s="259" t="str">
        <f t="shared" si="46"/>
        <v>C49SZX20190155JY</v>
      </c>
      <c r="AV270" s="259" t="str">
        <f t="shared" si="47"/>
        <v>Oct-18</v>
      </c>
    </row>
    <row r="271" spans="1:48" ht="15" hidden="1" customHeight="1">
      <c r="A271" s="564">
        <v>496</v>
      </c>
      <c r="B271" s="568" t="s">
        <v>280</v>
      </c>
      <c r="C271" s="565" t="s">
        <v>281</v>
      </c>
      <c r="D271" s="605">
        <v>109686</v>
      </c>
      <c r="E271" s="568" t="s">
        <v>644</v>
      </c>
      <c r="F271" s="568" t="s">
        <v>241</v>
      </c>
      <c r="G271" s="568" t="s">
        <v>18</v>
      </c>
      <c r="H271" s="568" t="s">
        <v>26</v>
      </c>
      <c r="I271" s="569" t="s">
        <v>729</v>
      </c>
      <c r="J271" s="569">
        <v>1</v>
      </c>
      <c r="K271" s="568" t="s">
        <v>295</v>
      </c>
      <c r="L271" s="570">
        <v>43756</v>
      </c>
      <c r="M271" s="571">
        <v>6.7100000000000007E-2</v>
      </c>
      <c r="N271" s="568" t="s">
        <v>286</v>
      </c>
      <c r="O271" s="568">
        <v>2019.1</v>
      </c>
      <c r="P271" s="571" t="str">
        <f>VLOOKUP(A271,'[1]Raw data'!$B:$BB,23,FALSE)</f>
        <v>RMB</v>
      </c>
      <c r="Q271" s="568" t="str">
        <f>VLOOKUP(A271,'[1]Raw data'!$B:$Z,2,FALSE)</f>
        <v>C49SZX20190168JL</v>
      </c>
      <c r="R271" s="568" t="str">
        <f>VLOOKUP(A271,'[1]Raw data'!$B:$Z,3,FALSE)</f>
        <v>名佳</v>
      </c>
      <c r="S271" s="568" t="str">
        <f>VLOOKUP(A271,'[1]Raw data'!$B:$Z,4,FALSE)</f>
        <v>YSM10</v>
      </c>
      <c r="T271" s="568" t="str">
        <f>VLOOKUP(A271,'[1]Raw data'!$B:$Z,8,FALSE)</f>
        <v>L-&gt;R</v>
      </c>
      <c r="U271" s="568" t="str">
        <f>VLOOKUP(A271,'[1]Raw data'!$B:$Z,9,FALSE)</f>
        <v>MVC</v>
      </c>
      <c r="V271" s="572" t="str">
        <f t="shared" si="39"/>
        <v>WRONG</v>
      </c>
      <c r="W271" s="568" t="str">
        <f>VLOOKUP(A271,'[1]Raw data'!$B:$AG,32,FALSE)</f>
        <v>含税到厂</v>
      </c>
      <c r="X271" s="568">
        <f>VLOOKUP(A271,'[1]Raw data'!$B:$BA,31,FALSE)</f>
        <v>43777</v>
      </c>
      <c r="Y271" s="568" t="str">
        <f>VLOOKUP(A271,'[1]Raw data'!$B:$AS,39,FALSE)</f>
        <v>Yes</v>
      </c>
      <c r="Z271" s="573"/>
      <c r="AA271" s="574"/>
      <c r="AB271" s="575"/>
      <c r="AC271" s="568" t="s">
        <v>443</v>
      </c>
      <c r="AD271" s="576">
        <v>301</v>
      </c>
      <c r="AE271" s="576">
        <v>10</v>
      </c>
      <c r="AN271" s="547"/>
      <c r="AO271" s="829" t="str">
        <f t="shared" si="40"/>
        <v>Yes</v>
      </c>
      <c r="AP271" s="259" t="str">
        <f t="shared" si="41"/>
        <v>DEC 19</v>
      </c>
      <c r="AQ271" s="547" t="str">
        <f t="shared" si="42"/>
        <v>有定金+有預留客戶</v>
      </c>
      <c r="AR271" s="259" t="str">
        <f t="shared" si="43"/>
        <v>Shipped_Stock</v>
      </c>
      <c r="AS271" s="259" t="str">
        <f t="shared" si="44"/>
        <v/>
      </c>
      <c r="AT271" s="259" t="str">
        <f t="shared" si="45"/>
        <v>名佳</v>
      </c>
      <c r="AU271" s="259" t="str">
        <f t="shared" si="46"/>
        <v>C49SZX20190168JL</v>
      </c>
      <c r="AV271" s="259" t="str">
        <f t="shared" si="47"/>
        <v>Oct-18</v>
      </c>
    </row>
    <row r="272" spans="1:48" ht="15" hidden="1" customHeight="1">
      <c r="A272" s="604">
        <v>513</v>
      </c>
      <c r="B272" s="568" t="s">
        <v>280</v>
      </c>
      <c r="C272" s="565" t="s">
        <v>281</v>
      </c>
      <c r="D272" s="605">
        <v>109686</v>
      </c>
      <c r="E272" s="568" t="s">
        <v>644</v>
      </c>
      <c r="F272" s="568" t="s">
        <v>17</v>
      </c>
      <c r="G272" s="568" t="s">
        <v>18</v>
      </c>
      <c r="H272" s="568" t="s">
        <v>19</v>
      </c>
      <c r="I272" s="569" t="s">
        <v>730</v>
      </c>
      <c r="J272" s="569">
        <v>1</v>
      </c>
      <c r="K272" s="568" t="s">
        <v>496</v>
      </c>
      <c r="L272" s="570">
        <v>43756</v>
      </c>
      <c r="M272" s="618">
        <v>6.4799999999999996E-2</v>
      </c>
      <c r="N272" s="568" t="s">
        <v>731</v>
      </c>
      <c r="O272" s="568">
        <v>2019.1</v>
      </c>
      <c r="P272" s="571" t="str">
        <f>VLOOKUP(A272,'[1]Raw data'!$B:$BB,23,FALSE)</f>
        <v>JPY</v>
      </c>
      <c r="Q272" s="568" t="str">
        <f>VLOOKUP(A272,'[1]Raw data'!$B:$Z,2,FALSE)</f>
        <v>C49SZX20190172ZX</v>
      </c>
      <c r="R272" s="568" t="str">
        <f>VLOOKUP(A272,'[1]Raw data'!$B:$Z,3,FALSE)</f>
        <v>宽宏</v>
      </c>
      <c r="S272" s="568" t="str">
        <f>VLOOKUP(A272,'[1]Raw data'!$B:$Z,4,FALSE)</f>
        <v>YSM10</v>
      </c>
      <c r="T272" s="568" t="str">
        <f>VLOOKUP(A272,'[1]Raw data'!$B:$Z,8,FALSE)</f>
        <v>L-&gt;R</v>
      </c>
      <c r="U272" s="568" t="str">
        <f>VLOOKUP(A272,'[1]Raw data'!$B:$Z,9,FALSE)</f>
        <v>MVC+ATS15</v>
      </c>
      <c r="V272" s="572" t="str">
        <f t="shared" si="39"/>
        <v>WRONG</v>
      </c>
      <c r="W272" s="568" t="str">
        <f>VLOOKUP(A272,'[1]Raw data'!$B:$AG,32,FALSE)</f>
        <v>CIF HK</v>
      </c>
      <c r="X272" s="568">
        <f>VLOOKUP(A272,'[1]Raw data'!$B:$BA,31,FALSE)</f>
        <v>43790</v>
      </c>
      <c r="Y272" s="568" t="str">
        <f>VLOOKUP(A272,'[1]Raw data'!$B:$AS,39,FALSE)</f>
        <v>Yes</v>
      </c>
      <c r="Z272" s="573"/>
      <c r="AA272" s="574"/>
      <c r="AB272" s="575"/>
      <c r="AC272" s="568" t="s">
        <v>732</v>
      </c>
      <c r="AD272" s="576">
        <v>302</v>
      </c>
      <c r="AE272" s="576">
        <v>10</v>
      </c>
      <c r="AN272" s="547"/>
      <c r="AO272" s="829" t="str">
        <f t="shared" si="40"/>
        <v>Yes</v>
      </c>
      <c r="AP272" s="259" t="str">
        <f t="shared" si="41"/>
        <v>JAN 20</v>
      </c>
      <c r="AQ272" s="547" t="str">
        <f t="shared" si="42"/>
        <v>有定金+有預留客戶</v>
      </c>
      <c r="AR272" s="259" t="str">
        <f t="shared" si="43"/>
        <v>Shipped_Stock</v>
      </c>
      <c r="AS272" s="259" t="str">
        <f t="shared" si="44"/>
        <v/>
      </c>
      <c r="AT272" s="259" t="str">
        <f t="shared" si="45"/>
        <v>宽宏</v>
      </c>
      <c r="AU272" s="259" t="str">
        <f t="shared" si="46"/>
        <v>C49SZX20190172ZX</v>
      </c>
      <c r="AV272" s="259" t="str">
        <f t="shared" si="47"/>
        <v>Oct-18</v>
      </c>
    </row>
    <row r="273" spans="1:48" ht="15" hidden="1" customHeight="1">
      <c r="A273" s="564">
        <v>527</v>
      </c>
      <c r="B273" s="568" t="s">
        <v>280</v>
      </c>
      <c r="C273" s="565" t="s">
        <v>281</v>
      </c>
      <c r="D273" s="605">
        <v>109686</v>
      </c>
      <c r="E273" s="568" t="s">
        <v>644</v>
      </c>
      <c r="F273" s="568" t="s">
        <v>17</v>
      </c>
      <c r="G273" s="568" t="s">
        <v>18</v>
      </c>
      <c r="H273" s="568" t="s">
        <v>26</v>
      </c>
      <c r="I273" s="569" t="s">
        <v>733</v>
      </c>
      <c r="J273" s="569">
        <v>1</v>
      </c>
      <c r="K273" s="568" t="s">
        <v>437</v>
      </c>
      <c r="L273" s="570">
        <v>43756</v>
      </c>
      <c r="M273" s="571">
        <v>6.7100000000000007E-2</v>
      </c>
      <c r="N273" s="568" t="s">
        <v>286</v>
      </c>
      <c r="O273" s="568">
        <v>2019.1</v>
      </c>
      <c r="P273" s="571" t="str">
        <f>VLOOKUP(A273,'[1]Raw data'!$B:$BB,23,FALSE)</f>
        <v>JPY</v>
      </c>
      <c r="Q273" s="568" t="str">
        <f>VLOOKUP(A273,'[1]Raw data'!$B:$Z,2,FALSE)</f>
        <v>C49SZX20190180SS</v>
      </c>
      <c r="R273" s="568" t="str">
        <f>VLOOKUP(A273,'[1]Raw data'!$B:$Z,3,FALSE)</f>
        <v>正创</v>
      </c>
      <c r="S273" s="568" t="str">
        <f>VLOOKUP(A273,'[1]Raw data'!$B:$Z,4,FALSE)</f>
        <v>YSM10</v>
      </c>
      <c r="T273" s="568" t="str">
        <f>VLOOKUP(A273,'[1]Raw data'!$B:$Z,8,FALSE)</f>
        <v>L-&gt;R</v>
      </c>
      <c r="U273" s="568" t="str">
        <f>VLOOKUP(A273,'[1]Raw data'!$B:$Z,9,FALSE)</f>
        <v>MVC</v>
      </c>
      <c r="V273" s="572" t="str">
        <f t="shared" si="39"/>
        <v>WRONG</v>
      </c>
      <c r="W273" s="568" t="str">
        <f>VLOOKUP(A273,'[1]Raw data'!$B:$AG,32,FALSE)</f>
        <v>DAP SZ</v>
      </c>
      <c r="X273" s="568">
        <f>VLOOKUP(A273,'[1]Raw data'!$B:$BA,31,FALSE)</f>
        <v>43805</v>
      </c>
      <c r="Y273" s="568" t="str">
        <f>VLOOKUP(A273,'[1]Raw data'!$B:$AS,39,FALSE)</f>
        <v>Yes</v>
      </c>
      <c r="Z273" s="573"/>
      <c r="AA273" s="574"/>
      <c r="AB273" s="575"/>
      <c r="AC273" s="568" t="s">
        <v>734</v>
      </c>
      <c r="AD273" s="576">
        <v>302</v>
      </c>
      <c r="AE273" s="576">
        <v>10</v>
      </c>
      <c r="AN273" s="547"/>
      <c r="AO273" s="829" t="str">
        <f t="shared" si="40"/>
        <v>Yes</v>
      </c>
      <c r="AP273" s="259" t="str">
        <f t="shared" si="41"/>
        <v>DEC 19</v>
      </c>
      <c r="AQ273" s="547" t="str">
        <f t="shared" si="42"/>
        <v>有定金+有預留客戶</v>
      </c>
      <c r="AR273" s="259" t="str">
        <f t="shared" si="43"/>
        <v>Shipped_Stock</v>
      </c>
      <c r="AS273" s="259" t="str">
        <f t="shared" si="44"/>
        <v/>
      </c>
      <c r="AT273" s="259" t="str">
        <f t="shared" si="45"/>
        <v>正创</v>
      </c>
      <c r="AU273" s="259" t="str">
        <f t="shared" si="46"/>
        <v>C49SZX20190180SS</v>
      </c>
      <c r="AV273" s="259" t="str">
        <f t="shared" si="47"/>
        <v>Oct-18</v>
      </c>
    </row>
    <row r="274" spans="1:48" ht="15" hidden="1" customHeight="1">
      <c r="A274" s="564">
        <v>459</v>
      </c>
      <c r="B274" s="568" t="s">
        <v>280</v>
      </c>
      <c r="C274" s="565" t="s">
        <v>281</v>
      </c>
      <c r="D274" s="605">
        <v>109686</v>
      </c>
      <c r="E274" s="568" t="s">
        <v>644</v>
      </c>
      <c r="F274" s="568" t="s">
        <v>17</v>
      </c>
      <c r="G274" s="568" t="s">
        <v>18</v>
      </c>
      <c r="H274" s="568" t="s">
        <v>19</v>
      </c>
      <c r="I274" s="569" t="s">
        <v>735</v>
      </c>
      <c r="J274" s="569">
        <v>1</v>
      </c>
      <c r="K274" s="568" t="s">
        <v>437</v>
      </c>
      <c r="L274" s="570">
        <v>43756</v>
      </c>
      <c r="M274" s="571">
        <v>6.7100000000000007E-2</v>
      </c>
      <c r="N274" s="568" t="s">
        <v>286</v>
      </c>
      <c r="O274" s="568">
        <v>2019.09</v>
      </c>
      <c r="P274" s="571" t="str">
        <f>VLOOKUP(A274,'[1]Raw data'!$B:$BB,23,FALSE)</f>
        <v>JPY</v>
      </c>
      <c r="Q274" s="568" t="str">
        <f>VLOOKUP(A274,'[1]Raw data'!$B:$Z,2,FALSE)</f>
        <v>C49SZX20190028MZR1</v>
      </c>
      <c r="R274" s="568" t="str">
        <f>VLOOKUP(A274,'[1]Raw data'!$B:$Z,3,FALSE)</f>
        <v>魔乐视/end user:拓普赛特</v>
      </c>
      <c r="S274" s="568" t="str">
        <f>VLOOKUP(A274,'[1]Raw data'!$B:$Z,4,FALSE)</f>
        <v>YSM10</v>
      </c>
      <c r="T274" s="568" t="str">
        <f>VLOOKUP(A274,'[1]Raw data'!$B:$Z,8,FALSE)</f>
        <v>L-&gt;R</v>
      </c>
      <c r="U274" s="568" t="str">
        <f>VLOOKUP(A274,'[1]Raw data'!$B:$Z,9,FALSE)</f>
        <v>MVC+ATS15</v>
      </c>
      <c r="V274" s="572" t="str">
        <f t="shared" si="39"/>
        <v>WRONG</v>
      </c>
      <c r="W274" s="568" t="str">
        <f>VLOOKUP(A274,'[1]Raw data'!$B:$AG,32,FALSE)</f>
        <v>DAP SZ</v>
      </c>
      <c r="X274" s="568">
        <f>VLOOKUP(A274,'[1]Raw data'!$B:$BA,31,FALSE)</f>
        <v>43762</v>
      </c>
      <c r="Y274" s="568" t="str">
        <f>VLOOKUP(A274,'[1]Raw data'!$B:$AS,39,FALSE)</f>
        <v>Yes</v>
      </c>
      <c r="Z274" s="573"/>
      <c r="AA274" s="574"/>
      <c r="AB274" s="575"/>
      <c r="AC274" s="568" t="s">
        <v>736</v>
      </c>
      <c r="AD274" s="576">
        <v>302</v>
      </c>
      <c r="AE274" s="576">
        <v>10</v>
      </c>
      <c r="AN274" s="547"/>
      <c r="AO274" s="829" t="str">
        <f t="shared" si="40"/>
        <v>Yes</v>
      </c>
      <c r="AP274" s="259" t="str">
        <f t="shared" si="41"/>
        <v>DEC 19</v>
      </c>
      <c r="AQ274" s="547" t="str">
        <f t="shared" si="42"/>
        <v>有定金+有預留客戶</v>
      </c>
      <c r="AR274" s="259" t="str">
        <f t="shared" si="43"/>
        <v>Shipped_Stock</v>
      </c>
      <c r="AS274" s="259" t="str">
        <f t="shared" si="44"/>
        <v/>
      </c>
      <c r="AT274" s="259" t="str">
        <f t="shared" si="45"/>
        <v>魔乐视/end user:拓普赛特</v>
      </c>
      <c r="AU274" s="259" t="str">
        <f t="shared" si="46"/>
        <v>C49SZX20190028MZR1</v>
      </c>
      <c r="AV274" s="259" t="str">
        <f t="shared" si="47"/>
        <v>Oct-18</v>
      </c>
    </row>
    <row r="275" spans="1:48" ht="15" hidden="1" customHeight="1">
      <c r="A275" s="564">
        <v>460</v>
      </c>
      <c r="B275" s="568" t="s">
        <v>280</v>
      </c>
      <c r="C275" s="565" t="s">
        <v>281</v>
      </c>
      <c r="D275" s="605">
        <v>109686</v>
      </c>
      <c r="E275" s="568" t="s">
        <v>644</v>
      </c>
      <c r="F275" s="568" t="s">
        <v>17</v>
      </c>
      <c r="G275" s="568" t="s">
        <v>18</v>
      </c>
      <c r="H275" s="568" t="s">
        <v>19</v>
      </c>
      <c r="I275" s="569" t="s">
        <v>737</v>
      </c>
      <c r="J275" s="569">
        <v>1</v>
      </c>
      <c r="K275" s="568" t="s">
        <v>437</v>
      </c>
      <c r="L275" s="570">
        <v>43756</v>
      </c>
      <c r="M275" s="571">
        <v>6.7100000000000007E-2</v>
      </c>
      <c r="N275" s="568" t="s">
        <v>286</v>
      </c>
      <c r="O275" s="568">
        <v>2019.09</v>
      </c>
      <c r="P275" s="571" t="str">
        <f>VLOOKUP(A275,'[1]Raw data'!$B:$BB,23,FALSE)</f>
        <v>JPY</v>
      </c>
      <c r="Q275" s="568" t="str">
        <f>VLOOKUP(A275,'[1]Raw data'!$B:$Z,2,FALSE)</f>
        <v>C49SZX20190028MZR1</v>
      </c>
      <c r="R275" s="568" t="str">
        <f>VLOOKUP(A275,'[1]Raw data'!$B:$Z,3,FALSE)</f>
        <v>魔乐视/end user:拓普赛特</v>
      </c>
      <c r="S275" s="568" t="str">
        <f>VLOOKUP(A275,'[1]Raw data'!$B:$Z,4,FALSE)</f>
        <v>YSM10</v>
      </c>
      <c r="T275" s="568" t="str">
        <f>VLOOKUP(A275,'[1]Raw data'!$B:$Z,8,FALSE)</f>
        <v>R-&gt;L</v>
      </c>
      <c r="U275" s="568" t="str">
        <f>VLOOKUP(A275,'[1]Raw data'!$B:$Z,9,FALSE)</f>
        <v>MVC+ATS15</v>
      </c>
      <c r="V275" s="572" t="str">
        <f t="shared" si="39"/>
        <v>WRONG</v>
      </c>
      <c r="W275" s="568" t="str">
        <f>VLOOKUP(A275,'[1]Raw data'!$B:$AG,32,FALSE)</f>
        <v>DAP SZ</v>
      </c>
      <c r="X275" s="568">
        <f>VLOOKUP(A275,'[1]Raw data'!$B:$BA,31,FALSE)</f>
        <v>43762</v>
      </c>
      <c r="Y275" s="568" t="str">
        <f>VLOOKUP(A275,'[1]Raw data'!$B:$AS,39,FALSE)</f>
        <v>Yes</v>
      </c>
      <c r="Z275" s="573"/>
      <c r="AA275" s="574"/>
      <c r="AB275" s="575"/>
      <c r="AC275" s="568" t="s">
        <v>736</v>
      </c>
      <c r="AD275" s="576">
        <v>302</v>
      </c>
      <c r="AE275" s="576">
        <v>10</v>
      </c>
      <c r="AN275" s="547"/>
      <c r="AO275" s="829" t="str">
        <f t="shared" si="40"/>
        <v>Yes</v>
      </c>
      <c r="AP275" s="259" t="str">
        <f t="shared" si="41"/>
        <v>DEC 19</v>
      </c>
      <c r="AQ275" s="547" t="str">
        <f t="shared" si="42"/>
        <v>有定金+有預留客戶</v>
      </c>
      <c r="AR275" s="259" t="str">
        <f t="shared" si="43"/>
        <v>Shipped_Stock</v>
      </c>
      <c r="AS275" s="259" t="str">
        <f t="shared" si="44"/>
        <v/>
      </c>
      <c r="AT275" s="259" t="str">
        <f t="shared" si="45"/>
        <v>魔乐视/end user:拓普赛特</v>
      </c>
      <c r="AU275" s="259" t="str">
        <f t="shared" si="46"/>
        <v>C49SZX20190028MZR1</v>
      </c>
      <c r="AV275" s="259" t="str">
        <f t="shared" si="47"/>
        <v>Oct-18</v>
      </c>
    </row>
    <row r="276" spans="1:48" ht="15" hidden="1" customHeight="1">
      <c r="A276" s="564">
        <v>525</v>
      </c>
      <c r="B276" s="568" t="s">
        <v>280</v>
      </c>
      <c r="C276" s="565" t="s">
        <v>281</v>
      </c>
      <c r="D276" s="605">
        <v>109715</v>
      </c>
      <c r="E276" s="568" t="s">
        <v>644</v>
      </c>
      <c r="F276" s="568" t="s">
        <v>256</v>
      </c>
      <c r="G276" s="568" t="s">
        <v>24</v>
      </c>
      <c r="H276" s="568" t="s">
        <v>26</v>
      </c>
      <c r="I276" s="569" t="s">
        <v>738</v>
      </c>
      <c r="J276" s="569">
        <v>1</v>
      </c>
      <c r="K276" s="568" t="s">
        <v>295</v>
      </c>
      <c r="L276" s="570">
        <v>43763</v>
      </c>
      <c r="M276" s="620" t="s">
        <v>739</v>
      </c>
      <c r="N276" s="568" t="s">
        <v>286</v>
      </c>
      <c r="O276" s="569">
        <v>2019.1</v>
      </c>
      <c r="P276" s="571" t="str">
        <f>VLOOKUP(A276,'[1]Raw data'!$B:$BB,23,FALSE)</f>
        <v>RMB</v>
      </c>
      <c r="Q276" s="568" t="str">
        <f>VLOOKUP(A276,'[1]Raw data'!$B:$Z,2,FALSE)</f>
        <v>C49SZX20190181DY</v>
      </c>
      <c r="R276" s="568" t="str">
        <f>VLOOKUP(A276,'[1]Raw data'!$B:$Z,3,FALSE)</f>
        <v>杰森泰</v>
      </c>
      <c r="S276" s="568" t="str">
        <f>VLOOKUP(A276,'[1]Raw data'!$B:$Z,4,FALSE)</f>
        <v>YSM20R(SV)-2</v>
      </c>
      <c r="T276" s="568" t="str">
        <f>VLOOKUP(A276,'[1]Raw data'!$B:$Z,8,FALSE)</f>
        <v>L-&gt;R</v>
      </c>
      <c r="U276" s="568" t="str">
        <f>VLOOKUP(A276,'[1]Raw data'!$B:$Z,9,FALSE)</f>
        <v>No</v>
      </c>
      <c r="V276" s="572" t="str">
        <f t="shared" si="39"/>
        <v>OK</v>
      </c>
      <c r="W276" s="568" t="str">
        <f>VLOOKUP(A276,'[1]Raw data'!$B:$AG,32,FALSE)</f>
        <v>DDP SZ</v>
      </c>
      <c r="X276" s="568">
        <f>VLOOKUP(A276,'[1]Raw data'!$B:$BA,31,FALSE)</f>
        <v>43804</v>
      </c>
      <c r="Y276" s="568" t="str">
        <f>VLOOKUP(A276,'[1]Raw data'!$B:$AS,39,FALSE)</f>
        <v>Yes</v>
      </c>
      <c r="Z276" s="573"/>
      <c r="AA276" s="574"/>
      <c r="AB276" s="575"/>
      <c r="AC276" s="568" t="s">
        <v>740</v>
      </c>
      <c r="AD276" s="576">
        <v>301</v>
      </c>
      <c r="AE276" s="576">
        <v>10</v>
      </c>
      <c r="AF276" s="576">
        <v>303</v>
      </c>
      <c r="AG276" s="576">
        <v>10</v>
      </c>
      <c r="AN276" s="547"/>
      <c r="AO276" s="829" t="str">
        <f t="shared" si="40"/>
        <v>Yes</v>
      </c>
      <c r="AP276" s="259" t="str">
        <f t="shared" si="41"/>
        <v>DEC 19</v>
      </c>
      <c r="AQ276" s="547" t="str">
        <f t="shared" si="42"/>
        <v>有定金+有預留客戶</v>
      </c>
      <c r="AR276" s="259" t="str">
        <f t="shared" si="43"/>
        <v>Shipped_Stock</v>
      </c>
      <c r="AS276" s="259" t="str">
        <f t="shared" si="44"/>
        <v/>
      </c>
      <c r="AT276" s="259" t="str">
        <f t="shared" si="45"/>
        <v>杰森泰</v>
      </c>
      <c r="AU276" s="259" t="str">
        <f t="shared" si="46"/>
        <v>C49SZX20190181DY</v>
      </c>
      <c r="AV276" s="259" t="str">
        <f t="shared" si="47"/>
        <v>Oct-25</v>
      </c>
    </row>
    <row r="277" spans="1:48" ht="15" hidden="1" customHeight="1">
      <c r="A277" s="604">
        <v>476</v>
      </c>
      <c r="B277" s="568" t="s">
        <v>280</v>
      </c>
      <c r="C277" s="565" t="s">
        <v>281</v>
      </c>
      <c r="D277" s="605">
        <v>109715</v>
      </c>
      <c r="E277" s="568" t="s">
        <v>644</v>
      </c>
      <c r="F277" s="568" t="s">
        <v>256</v>
      </c>
      <c r="G277" s="568" t="s">
        <v>24</v>
      </c>
      <c r="H277" s="568" t="s">
        <v>26</v>
      </c>
      <c r="I277" s="569" t="s">
        <v>741</v>
      </c>
      <c r="J277" s="569">
        <v>1</v>
      </c>
      <c r="K277" s="568" t="s">
        <v>496</v>
      </c>
      <c r="L277" s="570">
        <v>43763</v>
      </c>
      <c r="M277" s="571" t="s">
        <v>257</v>
      </c>
      <c r="N277" s="568" t="s">
        <v>286</v>
      </c>
      <c r="O277" s="569">
        <v>2019.1</v>
      </c>
      <c r="P277" s="571" t="str">
        <f>VLOOKUP(A277,'[1]Raw data'!$B:$BB,23,FALSE)</f>
        <v>JPY</v>
      </c>
      <c r="Q277" s="568" t="str">
        <f>VLOOKUP(A277,'[1]Raw data'!$B:$Z,2,FALSE)</f>
        <v>C49SZX20190156-1ZX</v>
      </c>
      <c r="R277" s="568" t="str">
        <f>VLOOKUP(A277,'[1]Raw data'!$B:$Z,3,FALSE)</f>
        <v>锘铧</v>
      </c>
      <c r="S277" s="568" t="str">
        <f>VLOOKUP(A277,'[1]Raw data'!$B:$Z,4,FALSE)</f>
        <v>YSM20R(SV)-2</v>
      </c>
      <c r="T277" s="568" t="str">
        <f>VLOOKUP(A277,'[1]Raw data'!$B:$Z,8,FALSE)</f>
        <v>L-&gt;R</v>
      </c>
      <c r="U277" s="568" t="str">
        <f>VLOOKUP(A277,'[1]Raw data'!$B:$Z,9,FALSE)</f>
        <v>No</v>
      </c>
      <c r="V277" s="572" t="str">
        <f t="shared" si="39"/>
        <v>OK</v>
      </c>
      <c r="W277" s="568" t="str">
        <f>VLOOKUP(A277,'[1]Raw data'!$B:$AG,32,FALSE)</f>
        <v>DAP GZ</v>
      </c>
      <c r="X277" s="568">
        <f>VLOOKUP(A277,'[1]Raw data'!$B:$BA,31,FALSE)</f>
        <v>43774</v>
      </c>
      <c r="Y277" s="568" t="str">
        <f>VLOOKUP(A277,'[1]Raw data'!$B:$AS,39,FALSE)</f>
        <v>Yes</v>
      </c>
      <c r="Z277" s="573"/>
      <c r="AA277" s="574"/>
      <c r="AB277" s="575"/>
      <c r="AC277" s="568" t="s">
        <v>621</v>
      </c>
      <c r="AD277" s="576">
        <v>302</v>
      </c>
      <c r="AE277" s="576">
        <v>20</v>
      </c>
      <c r="AN277" s="547"/>
      <c r="AO277" s="829" t="str">
        <f t="shared" si="40"/>
        <v>Yes</v>
      </c>
      <c r="AP277" s="259" t="str">
        <f t="shared" si="41"/>
        <v>DEC 19</v>
      </c>
      <c r="AQ277" s="547" t="str">
        <f t="shared" si="42"/>
        <v>有定金+有預留客戶</v>
      </c>
      <c r="AR277" s="259" t="str">
        <f t="shared" si="43"/>
        <v>Shipped_Stock</v>
      </c>
      <c r="AS277" s="259" t="str">
        <f t="shared" si="44"/>
        <v/>
      </c>
      <c r="AT277" s="259" t="str">
        <f t="shared" si="45"/>
        <v>锘铧</v>
      </c>
      <c r="AU277" s="259" t="str">
        <f t="shared" si="46"/>
        <v>C49SZX20190156-1ZX</v>
      </c>
      <c r="AV277" s="259" t="str">
        <f t="shared" si="47"/>
        <v>Oct-25</v>
      </c>
    </row>
    <row r="278" spans="1:48" ht="15" hidden="1" customHeight="1">
      <c r="A278" s="604">
        <v>477</v>
      </c>
      <c r="B278" s="568" t="s">
        <v>280</v>
      </c>
      <c r="C278" s="565" t="s">
        <v>281</v>
      </c>
      <c r="D278" s="605">
        <v>109715</v>
      </c>
      <c r="E278" s="568" t="s">
        <v>644</v>
      </c>
      <c r="F278" s="568" t="s">
        <v>256</v>
      </c>
      <c r="G278" s="568" t="s">
        <v>24</v>
      </c>
      <c r="H278" s="568" t="s">
        <v>26</v>
      </c>
      <c r="I278" s="569" t="s">
        <v>742</v>
      </c>
      <c r="J278" s="569">
        <v>1</v>
      </c>
      <c r="K278" s="568" t="s">
        <v>496</v>
      </c>
      <c r="L278" s="570">
        <v>43763</v>
      </c>
      <c r="M278" s="571" t="s">
        <v>257</v>
      </c>
      <c r="N278" s="568" t="s">
        <v>286</v>
      </c>
      <c r="O278" s="569">
        <v>2019.1</v>
      </c>
      <c r="P278" s="571" t="str">
        <f>VLOOKUP(A278,'[1]Raw data'!$B:$BB,23,FALSE)</f>
        <v>JPY</v>
      </c>
      <c r="Q278" s="568" t="str">
        <f>VLOOKUP(A278,'[1]Raw data'!$B:$Z,2,FALSE)</f>
        <v>C49SZX20190156-1ZX</v>
      </c>
      <c r="R278" s="568" t="str">
        <f>VLOOKUP(A278,'[1]Raw data'!$B:$Z,3,FALSE)</f>
        <v>锘铧</v>
      </c>
      <c r="S278" s="568" t="str">
        <f>VLOOKUP(A278,'[1]Raw data'!$B:$Z,4,FALSE)</f>
        <v>YSM20R(SV)-2</v>
      </c>
      <c r="T278" s="568" t="str">
        <f>VLOOKUP(A278,'[1]Raw data'!$B:$Z,8,FALSE)</f>
        <v>L-&gt;R</v>
      </c>
      <c r="U278" s="568" t="str">
        <f>VLOOKUP(A278,'[1]Raw data'!$B:$Z,9,FALSE)</f>
        <v>No</v>
      </c>
      <c r="V278" s="572" t="str">
        <f t="shared" ref="V278:V341" si="48">IF(G278&amp;H278=T278&amp;U278,"OK","WRONG")</f>
        <v>OK</v>
      </c>
      <c r="W278" s="568" t="str">
        <f>VLOOKUP(A278,'[1]Raw data'!$B:$AG,32,FALSE)</f>
        <v>DAP GZ</v>
      </c>
      <c r="X278" s="568">
        <f>VLOOKUP(A278,'[1]Raw data'!$B:$BA,31,FALSE)</f>
        <v>43774</v>
      </c>
      <c r="Y278" s="568" t="str">
        <f>VLOOKUP(A278,'[1]Raw data'!$B:$AS,39,FALSE)</f>
        <v>Yes</v>
      </c>
      <c r="Z278" s="573"/>
      <c r="AA278" s="574"/>
      <c r="AB278" s="575"/>
      <c r="AC278" s="568" t="s">
        <v>621</v>
      </c>
      <c r="AD278" s="576">
        <v>302</v>
      </c>
      <c r="AE278" s="576">
        <v>20</v>
      </c>
      <c r="AN278" s="547"/>
      <c r="AO278" s="829" t="str">
        <f t="shared" si="40"/>
        <v>Yes</v>
      </c>
      <c r="AP278" s="259" t="str">
        <f t="shared" si="41"/>
        <v>DEC 19</v>
      </c>
      <c r="AQ278" s="547" t="str">
        <f t="shared" si="42"/>
        <v>有定金+有預留客戶</v>
      </c>
      <c r="AR278" s="259" t="str">
        <f t="shared" si="43"/>
        <v>Shipped_Stock</v>
      </c>
      <c r="AS278" s="259" t="str">
        <f t="shared" si="44"/>
        <v/>
      </c>
      <c r="AT278" s="259" t="str">
        <f t="shared" si="45"/>
        <v>锘铧</v>
      </c>
      <c r="AU278" s="259" t="str">
        <f t="shared" si="46"/>
        <v>C49SZX20190156-1ZX</v>
      </c>
      <c r="AV278" s="259" t="str">
        <f t="shared" si="47"/>
        <v>Oct-25</v>
      </c>
    </row>
    <row r="279" spans="1:48" ht="15" hidden="1" customHeight="1">
      <c r="A279" s="564">
        <v>469</v>
      </c>
      <c r="B279" s="568" t="s">
        <v>280</v>
      </c>
      <c r="C279" s="565" t="s">
        <v>281</v>
      </c>
      <c r="D279" s="605">
        <v>109715</v>
      </c>
      <c r="E279" s="568" t="s">
        <v>644</v>
      </c>
      <c r="F279" s="568" t="s">
        <v>256</v>
      </c>
      <c r="G279" s="568" t="s">
        <v>24</v>
      </c>
      <c r="H279" s="568" t="s">
        <v>26</v>
      </c>
      <c r="I279" s="569" t="s">
        <v>743</v>
      </c>
      <c r="J279" s="569">
        <v>1</v>
      </c>
      <c r="K279" s="568" t="s">
        <v>437</v>
      </c>
      <c r="L279" s="570">
        <v>43763</v>
      </c>
      <c r="M279" s="571" t="s">
        <v>257</v>
      </c>
      <c r="N279" s="568" t="s">
        <v>504</v>
      </c>
      <c r="O279" s="569">
        <v>2019.1</v>
      </c>
      <c r="P279" s="571" t="str">
        <f>VLOOKUP(A279,'[1]Raw data'!$B:$BB,23,FALSE)</f>
        <v>JPY</v>
      </c>
      <c r="Q279" s="568" t="str">
        <f>VLOOKUP(A279,'[1]Raw data'!$B:$Z,2,FALSE)</f>
        <v>C49SZX20190161SX</v>
      </c>
      <c r="R279" s="568" t="str">
        <f>VLOOKUP(A279,'[1]Raw data'!$B:$Z,3,FALSE)</f>
        <v>玮芯电子</v>
      </c>
      <c r="S279" s="568" t="str">
        <f>VLOOKUP(A279,'[1]Raw data'!$B:$Z,4,FALSE)</f>
        <v>YSM20R(SV)-2</v>
      </c>
      <c r="T279" s="568" t="str">
        <f>VLOOKUP(A279,'[1]Raw data'!$B:$Z,8,FALSE)</f>
        <v>L-&gt;R</v>
      </c>
      <c r="U279" s="568" t="str">
        <f>VLOOKUP(A279,'[1]Raw data'!$B:$Z,9,FALSE)</f>
        <v>No</v>
      </c>
      <c r="V279" s="572" t="str">
        <f t="shared" si="48"/>
        <v>OK</v>
      </c>
      <c r="W279" s="568" t="str">
        <f>VLOOKUP(A279,'[1]Raw data'!$B:$AG,32,FALSE)</f>
        <v>DAP SZ</v>
      </c>
      <c r="X279" s="568">
        <f>VLOOKUP(A279,'[1]Raw data'!$B:$BA,31,FALSE)</f>
        <v>43775</v>
      </c>
      <c r="Y279" s="568" t="str">
        <f>VLOOKUP(A279,'[1]Raw data'!$B:$AS,39,FALSE)</f>
        <v>Yes</v>
      </c>
      <c r="Z279" s="573"/>
      <c r="AA279" s="574"/>
      <c r="AB279" s="575"/>
      <c r="AC279" s="568" t="s">
        <v>625</v>
      </c>
      <c r="AD279" s="576">
        <v>303</v>
      </c>
      <c r="AE279" s="576">
        <v>10</v>
      </c>
      <c r="AF279" s="576">
        <v>304</v>
      </c>
      <c r="AG279" s="576">
        <v>10</v>
      </c>
      <c r="AN279" s="547"/>
      <c r="AO279" s="829" t="str">
        <f t="shared" si="40"/>
        <v>Yes</v>
      </c>
      <c r="AP279" s="259" t="str">
        <f t="shared" si="41"/>
        <v>NOV 19</v>
      </c>
      <c r="AQ279" s="547" t="str">
        <f t="shared" si="42"/>
        <v>有定金+有預留客戶</v>
      </c>
      <c r="AR279" s="259" t="str">
        <f t="shared" si="43"/>
        <v>Shipped_Stock</v>
      </c>
      <c r="AS279" s="259" t="str">
        <f t="shared" si="44"/>
        <v/>
      </c>
      <c r="AT279" s="259" t="str">
        <f t="shared" si="45"/>
        <v>玮芯电子</v>
      </c>
      <c r="AU279" s="259" t="str">
        <f t="shared" si="46"/>
        <v>C49SZX20190161SX</v>
      </c>
      <c r="AV279" s="259" t="str">
        <f t="shared" si="47"/>
        <v>Oct-25</v>
      </c>
    </row>
    <row r="280" spans="1:48" ht="15" hidden="1" customHeight="1">
      <c r="A280" s="564">
        <v>411</v>
      </c>
      <c r="B280" s="568" t="s">
        <v>280</v>
      </c>
      <c r="C280" s="565" t="s">
        <v>281</v>
      </c>
      <c r="D280" s="605">
        <v>109664</v>
      </c>
      <c r="E280" s="568" t="s">
        <v>644</v>
      </c>
      <c r="F280" s="568" t="s">
        <v>256</v>
      </c>
      <c r="G280" s="568" t="s">
        <v>18</v>
      </c>
      <c r="H280" s="568" t="s">
        <v>26</v>
      </c>
      <c r="I280" s="569" t="s">
        <v>744</v>
      </c>
      <c r="J280" s="569">
        <v>1</v>
      </c>
      <c r="K280" s="568" t="s">
        <v>295</v>
      </c>
      <c r="L280" s="570">
        <v>43770</v>
      </c>
      <c r="M280" s="571">
        <v>6.7199999999999996E-2</v>
      </c>
      <c r="N280" s="568" t="s">
        <v>504</v>
      </c>
      <c r="O280" s="569">
        <v>2019.1</v>
      </c>
      <c r="P280" s="571" t="str">
        <f>VLOOKUP(A280,'[1]Raw data'!$B:$BB,23,FALSE)</f>
        <v>RMB</v>
      </c>
      <c r="Q280" s="568" t="str">
        <f>VLOOKUP(A280,'[1]Raw data'!$B:$Z,2,FALSE)</f>
        <v>C49SZX20190129DZ</v>
      </c>
      <c r="R280" s="568" t="str">
        <f>VLOOKUP(A280,'[1]Raw data'!$B:$Z,3,FALSE)</f>
        <v>博星</v>
      </c>
      <c r="S280" s="568" t="str">
        <f>VLOOKUP(A280,'[1]Raw data'!$B:$Z,4,FALSE)</f>
        <v>YSM20R(SV)-2</v>
      </c>
      <c r="T280" s="568" t="str">
        <f>VLOOKUP(A280,'[1]Raw data'!$B:$Z,8,FALSE)</f>
        <v>R-&gt;L</v>
      </c>
      <c r="U280" s="568" t="str">
        <f>VLOOKUP(A280,'[1]Raw data'!$B:$Z,9,FALSE)</f>
        <v>No</v>
      </c>
      <c r="V280" s="572" t="str">
        <f t="shared" si="48"/>
        <v>OK</v>
      </c>
      <c r="W280" s="568" t="str">
        <f>VLOOKUP(A280,'[1]Raw data'!$B:$AG,32,FALSE)</f>
        <v>含税到厂</v>
      </c>
      <c r="X280" s="568">
        <f>VLOOKUP(A280,'[1]Raw data'!$B:$BA,31,FALSE)</f>
        <v>43708</v>
      </c>
      <c r="Y280" s="568" t="str">
        <f>VLOOKUP(A280,'[1]Raw data'!$B:$AS,39,FALSE)</f>
        <v>Yes</v>
      </c>
      <c r="Z280" s="573"/>
      <c r="AA280" s="574"/>
      <c r="AB280" s="575"/>
      <c r="AC280" s="568" t="s">
        <v>606</v>
      </c>
      <c r="AD280" s="576">
        <v>301</v>
      </c>
      <c r="AE280" s="576">
        <v>20</v>
      </c>
      <c r="AN280" s="547"/>
      <c r="AO280" s="829" t="str">
        <f t="shared" si="40"/>
        <v>Yes</v>
      </c>
      <c r="AP280" s="259" t="str">
        <f t="shared" si="41"/>
        <v>NOV 19</v>
      </c>
      <c r="AQ280" s="547" t="str">
        <f t="shared" si="42"/>
        <v>有定金+有預留客戶</v>
      </c>
      <c r="AR280" s="259" t="str">
        <f t="shared" si="43"/>
        <v>Shipped_Stock</v>
      </c>
      <c r="AS280" s="259" t="str">
        <f t="shared" si="44"/>
        <v/>
      </c>
      <c r="AT280" s="259" t="str">
        <f t="shared" si="45"/>
        <v>博星</v>
      </c>
      <c r="AU280" s="259" t="str">
        <f t="shared" si="46"/>
        <v>C49SZX20190129DZ</v>
      </c>
      <c r="AV280" s="259" t="str">
        <f t="shared" si="47"/>
        <v>Nov-01</v>
      </c>
    </row>
    <row r="281" spans="1:48" ht="15" hidden="1" customHeight="1">
      <c r="A281" s="564">
        <v>435</v>
      </c>
      <c r="B281" s="568" t="s">
        <v>280</v>
      </c>
      <c r="C281" s="565" t="s">
        <v>281</v>
      </c>
      <c r="D281" s="605">
        <v>109664</v>
      </c>
      <c r="E281" s="568" t="s">
        <v>644</v>
      </c>
      <c r="F281" s="568" t="s">
        <v>256</v>
      </c>
      <c r="G281" s="568" t="s">
        <v>18</v>
      </c>
      <c r="H281" s="568" t="s">
        <v>26</v>
      </c>
      <c r="I281" s="569" t="s">
        <v>745</v>
      </c>
      <c r="J281" s="569">
        <v>1</v>
      </c>
      <c r="K281" s="568" t="s">
        <v>746</v>
      </c>
      <c r="L281" s="570">
        <v>43770</v>
      </c>
      <c r="M281" s="571">
        <v>6.7199999999999996E-2</v>
      </c>
      <c r="N281" s="568" t="s">
        <v>504</v>
      </c>
      <c r="O281" s="569">
        <v>2019.1</v>
      </c>
      <c r="P281" s="571" t="str">
        <f>VLOOKUP(A281,'[1]Raw data'!$B:$BB,23,FALSE)</f>
        <v>RMB</v>
      </c>
      <c r="Q281" s="568" t="str">
        <f>VLOOKUP(A281,'[1]Raw data'!$B:$Z,2,FALSE)</f>
        <v>C49SZX20190142KW</v>
      </c>
      <c r="R281" s="568" t="str">
        <f>VLOOKUP(A281,'[1]Raw data'!$B:$Z,3,FALSE)</f>
        <v>海龙智通</v>
      </c>
      <c r="S281" s="568" t="str">
        <f>VLOOKUP(A281,'[1]Raw data'!$B:$Z,4,FALSE)</f>
        <v>YSM20R(SV)-2</v>
      </c>
      <c r="T281" s="568" t="str">
        <f>VLOOKUP(A281,'[1]Raw data'!$B:$Z,8,FALSE)</f>
        <v>R-&gt;L</v>
      </c>
      <c r="U281" s="568" t="str">
        <f>VLOOKUP(A281,'[1]Raw data'!$B:$Z,9,FALSE)</f>
        <v>MVC</v>
      </c>
      <c r="V281" s="572" t="str">
        <f t="shared" si="48"/>
        <v>WRONG</v>
      </c>
      <c r="W281" s="568" t="str">
        <f>VLOOKUP(A281,'[1]Raw data'!$B:$AG,32,FALSE)</f>
        <v>含税到厂</v>
      </c>
      <c r="X281" s="568">
        <f>VLOOKUP(A281,'[1]Raw data'!$B:$BA,31,FALSE)</f>
        <v>43734</v>
      </c>
      <c r="Y281" s="568" t="str">
        <f>VLOOKUP(A281,'[1]Raw data'!$B:$AS,39,FALSE)</f>
        <v>Yes</v>
      </c>
      <c r="Z281" s="573"/>
      <c r="AA281" s="574" t="s">
        <v>329</v>
      </c>
      <c r="AB281" s="575"/>
      <c r="AC281" s="568" t="s">
        <v>747</v>
      </c>
      <c r="AD281" s="576">
        <v>301</v>
      </c>
      <c r="AE281" s="576">
        <v>20</v>
      </c>
      <c r="AN281" s="547"/>
      <c r="AO281" s="829" t="str">
        <f t="shared" si="40"/>
        <v>Yes</v>
      </c>
      <c r="AP281" s="259" t="str">
        <f t="shared" si="41"/>
        <v>NOV 19</v>
      </c>
      <c r="AQ281" s="547" t="str">
        <f t="shared" si="42"/>
        <v>有定金+有預留客戶</v>
      </c>
      <c r="AR281" s="259" t="str">
        <f t="shared" si="43"/>
        <v>Shipped_Stock</v>
      </c>
      <c r="AS281" s="259" t="str">
        <f t="shared" si="44"/>
        <v/>
      </c>
      <c r="AT281" s="259" t="str">
        <f t="shared" si="45"/>
        <v>海龙智通</v>
      </c>
      <c r="AU281" s="259" t="str">
        <f t="shared" si="46"/>
        <v>C49SZX20190142KW</v>
      </c>
      <c r="AV281" s="259" t="str">
        <f t="shared" si="47"/>
        <v>Nov-01</v>
      </c>
    </row>
    <row r="282" spans="1:48" hidden="1">
      <c r="A282" s="564">
        <v>413</v>
      </c>
      <c r="B282" s="568" t="s">
        <v>280</v>
      </c>
      <c r="C282" s="565" t="s">
        <v>281</v>
      </c>
      <c r="D282" s="605">
        <v>109705</v>
      </c>
      <c r="E282" s="568" t="s">
        <v>644</v>
      </c>
      <c r="F282" s="568" t="s">
        <v>256</v>
      </c>
      <c r="G282" s="568" t="s">
        <v>18</v>
      </c>
      <c r="H282" s="568" t="s">
        <v>26</v>
      </c>
      <c r="I282" s="569" t="s">
        <v>748</v>
      </c>
      <c r="J282" s="569">
        <v>1</v>
      </c>
      <c r="K282" s="568" t="s">
        <v>746</v>
      </c>
      <c r="L282" s="570">
        <v>43770</v>
      </c>
      <c r="M282" s="571" t="s">
        <v>257</v>
      </c>
      <c r="N282" s="568" t="s">
        <v>504</v>
      </c>
      <c r="O282" s="569">
        <v>2019.1</v>
      </c>
      <c r="P282" s="571" t="str">
        <f>VLOOKUP(A282,'[1]Raw data'!$B:$BB,23,FALSE)</f>
        <v>RMB</v>
      </c>
      <c r="Q282" s="568" t="str">
        <f>VLOOKUP(A282,'[1]Raw data'!$B:$Z,2,FALSE)</f>
        <v>C49SZX20190129DZ</v>
      </c>
      <c r="R282" s="568" t="str">
        <f>VLOOKUP(A282,'[1]Raw data'!$B:$Z,3,FALSE)</f>
        <v>博星</v>
      </c>
      <c r="S282" s="568" t="str">
        <f>VLOOKUP(A282,'[1]Raw data'!$B:$Z,4,FALSE)</f>
        <v>YSM20R(SV)-2</v>
      </c>
      <c r="T282" s="568" t="str">
        <f>VLOOKUP(A282,'[1]Raw data'!$B:$Z,8,FALSE)</f>
        <v>R-&gt;L</v>
      </c>
      <c r="U282" s="568" t="str">
        <f>VLOOKUP(A282,'[1]Raw data'!$B:$Z,9,FALSE)</f>
        <v>No</v>
      </c>
      <c r="V282" s="572" t="str">
        <f t="shared" si="48"/>
        <v>OK</v>
      </c>
      <c r="W282" s="568" t="str">
        <f>VLOOKUP(A282,'[1]Raw data'!$B:$AG,32,FALSE)</f>
        <v>含税到厂</v>
      </c>
      <c r="X282" s="568">
        <f>VLOOKUP(A282,'[1]Raw data'!$B:$BA,31,FALSE)</f>
        <v>43708</v>
      </c>
      <c r="Y282" s="568" t="str">
        <f>VLOOKUP(A282,'[1]Raw data'!$B:$AS,39,FALSE)</f>
        <v>Yes</v>
      </c>
      <c r="Z282" s="573"/>
      <c r="AA282" s="574"/>
      <c r="AB282" s="575"/>
      <c r="AC282" s="568" t="s">
        <v>606</v>
      </c>
      <c r="AD282" s="576">
        <v>301</v>
      </c>
      <c r="AE282" s="576">
        <v>20</v>
      </c>
      <c r="AN282" s="591"/>
      <c r="AO282" s="829" t="str">
        <f t="shared" si="40"/>
        <v>Yes</v>
      </c>
      <c r="AP282" s="259" t="str">
        <f t="shared" si="41"/>
        <v>NOV 19</v>
      </c>
      <c r="AQ282" s="547" t="str">
        <f t="shared" si="42"/>
        <v>有定金+有預留客戶</v>
      </c>
      <c r="AR282" s="259" t="str">
        <f t="shared" si="43"/>
        <v>Shipped_Stock</v>
      </c>
      <c r="AS282" s="259" t="str">
        <f t="shared" si="44"/>
        <v/>
      </c>
      <c r="AT282" s="259" t="str">
        <f t="shared" si="45"/>
        <v>博星</v>
      </c>
      <c r="AU282" s="259" t="str">
        <f t="shared" si="46"/>
        <v>C49SZX20190129DZ</v>
      </c>
      <c r="AV282" s="259" t="str">
        <f t="shared" si="47"/>
        <v>Nov-01</v>
      </c>
    </row>
    <row r="283" spans="1:48" ht="15" hidden="1" customHeight="1">
      <c r="A283" s="564">
        <v>414</v>
      </c>
      <c r="B283" s="568" t="s">
        <v>280</v>
      </c>
      <c r="C283" s="565" t="s">
        <v>281</v>
      </c>
      <c r="D283" s="605">
        <v>109705</v>
      </c>
      <c r="E283" s="568" t="s">
        <v>644</v>
      </c>
      <c r="F283" s="568" t="s">
        <v>256</v>
      </c>
      <c r="G283" s="568" t="s">
        <v>18</v>
      </c>
      <c r="H283" s="568" t="s">
        <v>26</v>
      </c>
      <c r="I283" s="569" t="s">
        <v>749</v>
      </c>
      <c r="J283" s="569">
        <v>1</v>
      </c>
      <c r="K283" s="568" t="s">
        <v>746</v>
      </c>
      <c r="L283" s="570">
        <v>43770</v>
      </c>
      <c r="M283" s="571" t="s">
        <v>257</v>
      </c>
      <c r="N283" s="568" t="s">
        <v>504</v>
      </c>
      <c r="O283" s="569">
        <v>2019.1</v>
      </c>
      <c r="P283" s="571" t="str">
        <f>VLOOKUP(A283,'[1]Raw data'!$B:$BB,23,FALSE)</f>
        <v>RMB</v>
      </c>
      <c r="Q283" s="568" t="str">
        <f>VLOOKUP(A283,'[1]Raw data'!$B:$Z,2,FALSE)</f>
        <v>C49SZX20190129DZ</v>
      </c>
      <c r="R283" s="568" t="str">
        <f>VLOOKUP(A283,'[1]Raw data'!$B:$Z,3,FALSE)</f>
        <v>博星</v>
      </c>
      <c r="S283" s="568" t="str">
        <f>VLOOKUP(A283,'[1]Raw data'!$B:$Z,4,FALSE)</f>
        <v>YSM20R(SV)-2</v>
      </c>
      <c r="T283" s="568" t="str">
        <f>VLOOKUP(A283,'[1]Raw data'!$B:$Z,8,FALSE)</f>
        <v>R-&gt;L</v>
      </c>
      <c r="U283" s="568" t="str">
        <f>VLOOKUP(A283,'[1]Raw data'!$B:$Z,9,FALSE)</f>
        <v>No</v>
      </c>
      <c r="V283" s="572" t="str">
        <f t="shared" si="48"/>
        <v>OK</v>
      </c>
      <c r="W283" s="568" t="str">
        <f>VLOOKUP(A283,'[1]Raw data'!$B:$AG,32,FALSE)</f>
        <v>含税到厂</v>
      </c>
      <c r="X283" s="568">
        <f>VLOOKUP(A283,'[1]Raw data'!$B:$BA,31,FALSE)</f>
        <v>43708</v>
      </c>
      <c r="Y283" s="568" t="str">
        <f>VLOOKUP(A283,'[1]Raw data'!$B:$AS,39,FALSE)</f>
        <v>Yes</v>
      </c>
      <c r="Z283" s="573"/>
      <c r="AA283" s="574"/>
      <c r="AB283" s="575"/>
      <c r="AC283" s="568" t="s">
        <v>606</v>
      </c>
      <c r="AD283" s="576">
        <v>301</v>
      </c>
      <c r="AE283" s="576">
        <v>20</v>
      </c>
      <c r="AN283" s="547"/>
      <c r="AO283" s="829" t="str">
        <f t="shared" si="40"/>
        <v>Yes</v>
      </c>
      <c r="AP283" s="259" t="str">
        <f t="shared" si="41"/>
        <v>NOV 19</v>
      </c>
      <c r="AQ283" s="547" t="str">
        <f t="shared" si="42"/>
        <v>有定金+有預留客戶</v>
      </c>
      <c r="AR283" s="259" t="str">
        <f t="shared" si="43"/>
        <v>Shipped_Stock</v>
      </c>
      <c r="AS283" s="259" t="str">
        <f t="shared" si="44"/>
        <v/>
      </c>
      <c r="AT283" s="259" t="str">
        <f t="shared" si="45"/>
        <v>博星</v>
      </c>
      <c r="AU283" s="259" t="str">
        <f t="shared" si="46"/>
        <v>C49SZX20190129DZ</v>
      </c>
      <c r="AV283" s="259" t="str">
        <f t="shared" si="47"/>
        <v>Nov-01</v>
      </c>
    </row>
    <row r="284" spans="1:48" ht="15" hidden="1" customHeight="1">
      <c r="A284" s="564">
        <v>412</v>
      </c>
      <c r="B284" s="568" t="s">
        <v>280</v>
      </c>
      <c r="C284" s="565" t="s">
        <v>281</v>
      </c>
      <c r="D284" s="605">
        <v>109705</v>
      </c>
      <c r="E284" s="568" t="s">
        <v>644</v>
      </c>
      <c r="F284" s="568" t="s">
        <v>256</v>
      </c>
      <c r="G284" s="568" t="s">
        <v>18</v>
      </c>
      <c r="H284" s="568" t="s">
        <v>26</v>
      </c>
      <c r="I284" s="569" t="s">
        <v>750</v>
      </c>
      <c r="J284" s="569">
        <v>1</v>
      </c>
      <c r="K284" s="568" t="s">
        <v>746</v>
      </c>
      <c r="L284" s="570">
        <v>43770</v>
      </c>
      <c r="M284" s="571" t="s">
        <v>257</v>
      </c>
      <c r="N284" s="568" t="s">
        <v>504</v>
      </c>
      <c r="O284" s="569">
        <v>2019.1</v>
      </c>
      <c r="P284" s="571" t="str">
        <f>VLOOKUP(A284,'[1]Raw data'!$B:$BB,23,FALSE)</f>
        <v>RMB</v>
      </c>
      <c r="Q284" s="568" t="str">
        <f>VLOOKUP(A284,'[1]Raw data'!$B:$Z,2,FALSE)</f>
        <v>C49SZX20190129DZ</v>
      </c>
      <c r="R284" s="568" t="str">
        <f>VLOOKUP(A284,'[1]Raw data'!$B:$Z,3,FALSE)</f>
        <v>博星</v>
      </c>
      <c r="S284" s="568" t="str">
        <f>VLOOKUP(A284,'[1]Raw data'!$B:$Z,4,FALSE)</f>
        <v>YSM20R(SV)-2</v>
      </c>
      <c r="T284" s="568" t="str">
        <f>VLOOKUP(A284,'[1]Raw data'!$B:$Z,8,FALSE)</f>
        <v>R-&gt;L</v>
      </c>
      <c r="U284" s="568" t="str">
        <f>VLOOKUP(A284,'[1]Raw data'!$B:$Z,9,FALSE)</f>
        <v>No</v>
      </c>
      <c r="V284" s="572" t="str">
        <f t="shared" si="48"/>
        <v>OK</v>
      </c>
      <c r="W284" s="568" t="str">
        <f>VLOOKUP(A284,'[1]Raw data'!$B:$AG,32,FALSE)</f>
        <v>含税到厂</v>
      </c>
      <c r="X284" s="568">
        <f>VLOOKUP(A284,'[1]Raw data'!$B:$BA,31,FALSE)</f>
        <v>43708</v>
      </c>
      <c r="Y284" s="568" t="str">
        <f>VLOOKUP(A284,'[1]Raw data'!$B:$AS,39,FALSE)</f>
        <v>Yes</v>
      </c>
      <c r="Z284" s="573"/>
      <c r="AA284" s="574"/>
      <c r="AB284" s="575"/>
      <c r="AC284" s="568" t="s">
        <v>606</v>
      </c>
      <c r="AD284" s="576">
        <v>301</v>
      </c>
      <c r="AE284" s="576">
        <v>20</v>
      </c>
      <c r="AN284" s="547"/>
      <c r="AO284" s="829" t="str">
        <f t="shared" si="40"/>
        <v>Yes</v>
      </c>
      <c r="AP284" s="259" t="str">
        <f t="shared" si="41"/>
        <v>NOV 19</v>
      </c>
      <c r="AQ284" s="547" t="str">
        <f t="shared" si="42"/>
        <v>有定金+有預留客戶</v>
      </c>
      <c r="AR284" s="259" t="str">
        <f t="shared" si="43"/>
        <v>Shipped_Stock</v>
      </c>
      <c r="AS284" s="259" t="str">
        <f t="shared" si="44"/>
        <v/>
      </c>
      <c r="AT284" s="259" t="str">
        <f t="shared" si="45"/>
        <v>博星</v>
      </c>
      <c r="AU284" s="259" t="str">
        <f t="shared" si="46"/>
        <v>C49SZX20190129DZ</v>
      </c>
      <c r="AV284" s="259" t="str">
        <f t="shared" si="47"/>
        <v>Nov-01</v>
      </c>
    </row>
    <row r="285" spans="1:48" ht="15" hidden="1" customHeight="1">
      <c r="A285" s="564">
        <v>386</v>
      </c>
      <c r="B285" s="568" t="s">
        <v>280</v>
      </c>
      <c r="C285" s="565" t="s">
        <v>281</v>
      </c>
      <c r="D285" s="605">
        <v>109705</v>
      </c>
      <c r="E285" s="568" t="s">
        <v>644</v>
      </c>
      <c r="F285" s="568" t="s">
        <v>256</v>
      </c>
      <c r="G285" s="568" t="s">
        <v>24</v>
      </c>
      <c r="H285" s="568" t="s">
        <v>26</v>
      </c>
      <c r="I285" s="569" t="s">
        <v>751</v>
      </c>
      <c r="J285" s="569">
        <v>1</v>
      </c>
      <c r="K285" s="568" t="s">
        <v>746</v>
      </c>
      <c r="L285" s="570">
        <v>43770</v>
      </c>
      <c r="M285" s="618">
        <v>6.4699999999999994E-2</v>
      </c>
      <c r="N285" s="568" t="s">
        <v>504</v>
      </c>
      <c r="O285" s="569">
        <v>2019.1</v>
      </c>
      <c r="P285" s="571" t="str">
        <f>VLOOKUP(A285,'[1]Raw data'!$B:$BB,23,FALSE)</f>
        <v>RMB</v>
      </c>
      <c r="Q285" s="568" t="str">
        <f>VLOOKUP(A285,'[1]Raw data'!$B:$Z,2,FALSE)</f>
        <v>C49SZX20190118R1SS</v>
      </c>
      <c r="R285" s="568" t="str">
        <f>VLOOKUP(A285,'[1]Raw data'!$B:$Z,3,FALSE)</f>
        <v>鼎鸿</v>
      </c>
      <c r="S285" s="568" t="str">
        <f>VLOOKUP(A285,'[1]Raw data'!$B:$Z,4,FALSE)</f>
        <v>YSM20R(SV)-2</v>
      </c>
      <c r="T285" s="568" t="str">
        <f>VLOOKUP(A285,'[1]Raw data'!$B:$Z,8,FALSE)</f>
        <v>L-&gt;R</v>
      </c>
      <c r="U285" s="568" t="str">
        <f>VLOOKUP(A285,'[1]Raw data'!$B:$Z,9,FALSE)</f>
        <v>No</v>
      </c>
      <c r="V285" s="572" t="str">
        <f t="shared" si="48"/>
        <v>OK</v>
      </c>
      <c r="W285" s="568" t="str">
        <f>VLOOKUP(A285,'[1]Raw data'!$B:$AG,32,FALSE)</f>
        <v>含税到厂</v>
      </c>
      <c r="X285" s="568">
        <f>VLOOKUP(A285,'[1]Raw data'!$B:$BA,31,FALSE)</f>
        <v>43691</v>
      </c>
      <c r="Y285" s="568" t="str">
        <f>VLOOKUP(A285,'[1]Raw data'!$B:$AS,39,FALSE)</f>
        <v>Yes</v>
      </c>
      <c r="Z285" s="573"/>
      <c r="AA285" s="574"/>
      <c r="AB285" s="575"/>
      <c r="AC285" s="568" t="s">
        <v>558</v>
      </c>
      <c r="AD285" s="576">
        <v>303</v>
      </c>
      <c r="AE285" s="576">
        <v>10</v>
      </c>
      <c r="AF285" s="576">
        <v>302</v>
      </c>
      <c r="AG285" s="576">
        <v>10</v>
      </c>
      <c r="AN285" s="547"/>
      <c r="AO285" s="829" t="str">
        <f t="shared" si="40"/>
        <v>Yes</v>
      </c>
      <c r="AP285" s="259" t="str">
        <f t="shared" si="41"/>
        <v>NOV 19</v>
      </c>
      <c r="AQ285" s="547" t="str">
        <f t="shared" si="42"/>
        <v>有定金+有預留客戶</v>
      </c>
      <c r="AR285" s="259" t="str">
        <f t="shared" si="43"/>
        <v>Shipped_Stock</v>
      </c>
      <c r="AS285" s="259" t="str">
        <f t="shared" si="44"/>
        <v/>
      </c>
      <c r="AT285" s="259" t="str">
        <f t="shared" si="45"/>
        <v>鼎鸿</v>
      </c>
      <c r="AU285" s="259" t="str">
        <f t="shared" si="46"/>
        <v>C49SZX20190118R1SS</v>
      </c>
      <c r="AV285" s="259" t="str">
        <f t="shared" si="47"/>
        <v>Nov-01</v>
      </c>
    </row>
    <row r="286" spans="1:48" ht="15" hidden="1" customHeight="1">
      <c r="A286" s="621">
        <v>514</v>
      </c>
      <c r="B286" s="589" t="s">
        <v>752</v>
      </c>
      <c r="C286" s="565" t="s">
        <v>281</v>
      </c>
      <c r="D286" s="622">
        <v>109664</v>
      </c>
      <c r="E286" s="589" t="s">
        <v>644</v>
      </c>
      <c r="F286" s="589" t="s">
        <v>256</v>
      </c>
      <c r="G286" s="589" t="s">
        <v>24</v>
      </c>
      <c r="H286" s="589" t="s">
        <v>26</v>
      </c>
      <c r="I286" s="594" t="s">
        <v>753</v>
      </c>
      <c r="J286" s="594">
        <v>1</v>
      </c>
      <c r="K286" s="589" t="s">
        <v>754</v>
      </c>
      <c r="L286" s="595">
        <v>43770</v>
      </c>
      <c r="M286" s="623">
        <v>6.7199999999999996E-2</v>
      </c>
      <c r="N286" s="589" t="s">
        <v>731</v>
      </c>
      <c r="O286" s="594">
        <v>2019.1</v>
      </c>
      <c r="P286" s="571" t="str">
        <f>VLOOKUP(A286,'[1]Raw data'!$B:$BB,23,FALSE)</f>
        <v>JPY</v>
      </c>
      <c r="Q286" s="568" t="str">
        <f>VLOOKUP(A286,'[1]Raw data'!$B:$Z,2,FALSE)</f>
        <v>C49SZX20190172ZX</v>
      </c>
      <c r="R286" s="568" t="str">
        <f>VLOOKUP(A286,'[1]Raw data'!$B:$Z,3,FALSE)</f>
        <v>宽宏</v>
      </c>
      <c r="S286" s="568" t="str">
        <f>VLOOKUP(A286,'[1]Raw data'!$B:$Z,4,FALSE)</f>
        <v>YSM20R(SV)-2</v>
      </c>
      <c r="T286" s="568" t="str">
        <f>VLOOKUP(A286,'[1]Raw data'!$B:$Z,8,FALSE)</f>
        <v>L-&gt;R</v>
      </c>
      <c r="U286" s="568" t="str">
        <f>VLOOKUP(A286,'[1]Raw data'!$B:$Z,9,FALSE)</f>
        <v>No</v>
      </c>
      <c r="V286" s="624" t="str">
        <f t="shared" si="48"/>
        <v>OK</v>
      </c>
      <c r="W286" s="568" t="str">
        <f>VLOOKUP(A286,'[1]Raw data'!$B:$AG,32,FALSE)</f>
        <v>CIF HK</v>
      </c>
      <c r="X286" s="568">
        <f>VLOOKUP(A286,'[1]Raw data'!$B:$BA,31,FALSE)</f>
        <v>43790</v>
      </c>
      <c r="Y286" s="568" t="str">
        <f>VLOOKUP(A286,'[1]Raw data'!$B:$AS,39,FALSE)</f>
        <v>Yes</v>
      </c>
      <c r="Z286" s="574"/>
      <c r="AA286" s="574"/>
      <c r="AB286" s="596"/>
      <c r="AC286" s="589" t="s">
        <v>755</v>
      </c>
      <c r="AD286" s="625">
        <v>312</v>
      </c>
      <c r="AE286" s="625">
        <v>20</v>
      </c>
      <c r="AF286" s="625"/>
      <c r="AG286" s="625"/>
      <c r="AH286" s="625"/>
      <c r="AI286" s="626"/>
      <c r="AJ286" s="625"/>
      <c r="AK286" s="625"/>
      <c r="AL286" s="625"/>
      <c r="AM286" s="625"/>
      <c r="AN286" s="547"/>
      <c r="AO286" s="829" t="str">
        <f t="shared" si="40"/>
        <v>Yes</v>
      </c>
      <c r="AP286" s="259" t="str">
        <f t="shared" si="41"/>
        <v>JAN 20</v>
      </c>
      <c r="AQ286" s="547" t="str">
        <f t="shared" si="42"/>
        <v>有定金+有預留客戶</v>
      </c>
      <c r="AR286" s="259" t="str">
        <f t="shared" si="43"/>
        <v>Shipped_Stock</v>
      </c>
      <c r="AS286" s="259" t="str">
        <f t="shared" si="44"/>
        <v/>
      </c>
      <c r="AT286" s="259" t="str">
        <f t="shared" si="45"/>
        <v>宽宏</v>
      </c>
      <c r="AU286" s="259" t="str">
        <f t="shared" si="46"/>
        <v>C49SZX20190172ZX</v>
      </c>
      <c r="AV286" s="259" t="str">
        <f t="shared" si="47"/>
        <v>Nov-01</v>
      </c>
    </row>
    <row r="287" spans="1:48" ht="15" hidden="1" customHeight="1">
      <c r="A287" s="621">
        <v>515</v>
      </c>
      <c r="B287" s="589" t="s">
        <v>752</v>
      </c>
      <c r="C287" s="565" t="s">
        <v>281</v>
      </c>
      <c r="D287" s="622">
        <v>109664</v>
      </c>
      <c r="E287" s="589" t="s">
        <v>644</v>
      </c>
      <c r="F287" s="589" t="s">
        <v>256</v>
      </c>
      <c r="G287" s="589" t="s">
        <v>24</v>
      </c>
      <c r="H287" s="589" t="s">
        <v>26</v>
      </c>
      <c r="I287" s="594" t="s">
        <v>756</v>
      </c>
      <c r="J287" s="594">
        <v>1</v>
      </c>
      <c r="K287" s="589" t="s">
        <v>754</v>
      </c>
      <c r="L287" s="595">
        <v>43770</v>
      </c>
      <c r="M287" s="623">
        <v>6.7199999999999996E-2</v>
      </c>
      <c r="N287" s="589" t="s">
        <v>731</v>
      </c>
      <c r="O287" s="594">
        <v>2019.1</v>
      </c>
      <c r="P287" s="571" t="str">
        <f>VLOOKUP(A287,'[1]Raw data'!$B:$BB,23,FALSE)</f>
        <v>JPY</v>
      </c>
      <c r="Q287" s="568" t="str">
        <f>VLOOKUP(A287,'[1]Raw data'!$B:$Z,2,FALSE)</f>
        <v>C49SZX20190172ZX</v>
      </c>
      <c r="R287" s="568" t="str">
        <f>VLOOKUP(A287,'[1]Raw data'!$B:$Z,3,FALSE)</f>
        <v>宽宏</v>
      </c>
      <c r="S287" s="568" t="str">
        <f>VLOOKUP(A287,'[1]Raw data'!$B:$Z,4,FALSE)</f>
        <v>YSM20R(SV)-2</v>
      </c>
      <c r="T287" s="568" t="str">
        <f>VLOOKUP(A287,'[1]Raw data'!$B:$Z,8,FALSE)</f>
        <v>L-&gt;R</v>
      </c>
      <c r="U287" s="568" t="str">
        <f>VLOOKUP(A287,'[1]Raw data'!$B:$Z,9,FALSE)</f>
        <v>No</v>
      </c>
      <c r="V287" s="624" t="str">
        <f t="shared" si="48"/>
        <v>OK</v>
      </c>
      <c r="W287" s="568" t="str">
        <f>VLOOKUP(A287,'[1]Raw data'!$B:$AG,32,FALSE)</f>
        <v>CIF HK</v>
      </c>
      <c r="X287" s="568">
        <f>VLOOKUP(A287,'[1]Raw data'!$B:$BA,31,FALSE)</f>
        <v>43790</v>
      </c>
      <c r="Y287" s="568" t="str">
        <f>VLOOKUP(A287,'[1]Raw data'!$B:$AS,39,FALSE)</f>
        <v>Yes</v>
      </c>
      <c r="Z287" s="574"/>
      <c r="AA287" s="574"/>
      <c r="AB287" s="596"/>
      <c r="AC287" s="589" t="s">
        <v>755</v>
      </c>
      <c r="AD287" s="625">
        <v>313</v>
      </c>
      <c r="AE287" s="625">
        <v>20</v>
      </c>
      <c r="AF287" s="625"/>
      <c r="AG287" s="625"/>
      <c r="AH287" s="625"/>
      <c r="AI287" s="626"/>
      <c r="AJ287" s="625"/>
      <c r="AK287" s="625"/>
      <c r="AL287" s="625"/>
      <c r="AM287" s="625"/>
      <c r="AN287" s="547"/>
      <c r="AO287" s="829" t="str">
        <f t="shared" si="40"/>
        <v>Yes</v>
      </c>
      <c r="AP287" s="259" t="str">
        <f t="shared" si="41"/>
        <v>JAN 20</v>
      </c>
      <c r="AQ287" s="547" t="str">
        <f t="shared" si="42"/>
        <v>有定金+有預留客戶</v>
      </c>
      <c r="AR287" s="259" t="str">
        <f t="shared" si="43"/>
        <v>Shipped_Stock</v>
      </c>
      <c r="AS287" s="259" t="str">
        <f t="shared" si="44"/>
        <v/>
      </c>
      <c r="AT287" s="259" t="str">
        <f t="shared" si="45"/>
        <v>宽宏</v>
      </c>
      <c r="AU287" s="259" t="str">
        <f t="shared" si="46"/>
        <v>C49SZX20190172ZX</v>
      </c>
      <c r="AV287" s="259" t="str">
        <f t="shared" si="47"/>
        <v>Nov-01</v>
      </c>
    </row>
    <row r="288" spans="1:48" ht="15" hidden="1" customHeight="1">
      <c r="A288" s="564">
        <v>504</v>
      </c>
      <c r="B288" s="568" t="s">
        <v>280</v>
      </c>
      <c r="C288" s="565" t="s">
        <v>281</v>
      </c>
      <c r="D288" s="605">
        <v>109685</v>
      </c>
      <c r="E288" s="568" t="s">
        <v>644</v>
      </c>
      <c r="F288" s="568" t="s">
        <v>17</v>
      </c>
      <c r="G288" s="568" t="s">
        <v>18</v>
      </c>
      <c r="H288" s="568" t="s">
        <v>26</v>
      </c>
      <c r="I288" s="569" t="s">
        <v>757</v>
      </c>
      <c r="J288" s="569">
        <v>1</v>
      </c>
      <c r="K288" s="568" t="s">
        <v>437</v>
      </c>
      <c r="L288" s="570">
        <v>43770</v>
      </c>
      <c r="M288" s="571" t="s">
        <v>257</v>
      </c>
      <c r="N288" s="568" t="s">
        <v>286</v>
      </c>
      <c r="O288" s="568">
        <v>2019.1</v>
      </c>
      <c r="P288" s="571" t="str">
        <f>VLOOKUP(A288,'[1]Raw data'!$B:$BB,23,FALSE)</f>
        <v>JPY</v>
      </c>
      <c r="Q288" s="568" t="str">
        <f>VLOOKUP(A288,'[1]Raw data'!$B:$Z,2,FALSE)</f>
        <v>C49SZX20190163JY</v>
      </c>
      <c r="R288" s="568" t="str">
        <f>VLOOKUP(A288,'[1]Raw data'!$B:$Z,3,FALSE)</f>
        <v>灿明</v>
      </c>
      <c r="S288" s="568" t="str">
        <f>VLOOKUP(A288,'[1]Raw data'!$B:$Z,4,FALSE)</f>
        <v>YSM10</v>
      </c>
      <c r="T288" s="568" t="str">
        <f>VLOOKUP(A288,'[1]Raw data'!$B:$Z,8,FALSE)</f>
        <v>L-&gt;R</v>
      </c>
      <c r="U288" s="568" t="str">
        <f>VLOOKUP(A288,'[1]Raw data'!$B:$Z,9,FALSE)</f>
        <v>MVC</v>
      </c>
      <c r="V288" s="572" t="str">
        <f t="shared" si="48"/>
        <v>WRONG</v>
      </c>
      <c r="W288" s="568" t="str">
        <f>VLOOKUP(A288,'[1]Raw data'!$B:$AG,32,FALSE)</f>
        <v>DAP SZ</v>
      </c>
      <c r="X288" s="568">
        <f>VLOOKUP(A288,'[1]Raw data'!$B:$BA,31,FALSE)</f>
        <v>43781</v>
      </c>
      <c r="Y288" s="568" t="str">
        <f>VLOOKUP(A288,'[1]Raw data'!$B:$AS,39,FALSE)</f>
        <v>Yes</v>
      </c>
      <c r="Z288" s="573"/>
      <c r="AA288" s="574"/>
      <c r="AB288" s="575"/>
      <c r="AC288" s="568" t="s">
        <v>758</v>
      </c>
      <c r="AD288" s="576">
        <v>301</v>
      </c>
      <c r="AE288" s="576">
        <v>10</v>
      </c>
      <c r="AN288" s="547"/>
      <c r="AO288" s="829" t="str">
        <f t="shared" si="40"/>
        <v>Yes</v>
      </c>
      <c r="AP288" s="259" t="str">
        <f t="shared" si="41"/>
        <v>DEC 19</v>
      </c>
      <c r="AQ288" s="547" t="str">
        <f t="shared" si="42"/>
        <v>有定金+有預留客戶</v>
      </c>
      <c r="AR288" s="259" t="str">
        <f t="shared" si="43"/>
        <v>Shipped_Stock</v>
      </c>
      <c r="AS288" s="259" t="str">
        <f t="shared" si="44"/>
        <v/>
      </c>
      <c r="AT288" s="259" t="str">
        <f t="shared" si="45"/>
        <v>灿明</v>
      </c>
      <c r="AU288" s="259" t="str">
        <f t="shared" si="46"/>
        <v>C49SZX20190163JY</v>
      </c>
      <c r="AV288" s="259" t="str">
        <f t="shared" si="47"/>
        <v>Nov-01</v>
      </c>
    </row>
    <row r="289" spans="1:69" ht="38.25" hidden="1" customHeight="1">
      <c r="A289" s="564">
        <v>505</v>
      </c>
      <c r="B289" s="568" t="s">
        <v>280</v>
      </c>
      <c r="C289" s="565" t="s">
        <v>281</v>
      </c>
      <c r="D289" s="605">
        <v>109685</v>
      </c>
      <c r="E289" s="568" t="s">
        <v>644</v>
      </c>
      <c r="F289" s="568" t="s">
        <v>17</v>
      </c>
      <c r="G289" s="568" t="s">
        <v>18</v>
      </c>
      <c r="H289" s="568" t="s">
        <v>26</v>
      </c>
      <c r="I289" s="569" t="s">
        <v>759</v>
      </c>
      <c r="J289" s="569">
        <v>1</v>
      </c>
      <c r="K289" s="568" t="s">
        <v>437</v>
      </c>
      <c r="L289" s="570">
        <v>43770</v>
      </c>
      <c r="M289" s="571" t="s">
        <v>257</v>
      </c>
      <c r="N289" s="568" t="s">
        <v>286</v>
      </c>
      <c r="O289" s="568">
        <v>2019.1</v>
      </c>
      <c r="P289" s="571" t="str">
        <f>VLOOKUP(A289,'[1]Raw data'!$B:$BB,23,FALSE)</f>
        <v>JPY</v>
      </c>
      <c r="Q289" s="568" t="str">
        <f>VLOOKUP(A289,'[1]Raw data'!$B:$Z,2,FALSE)</f>
        <v>C49SZX20190163JY</v>
      </c>
      <c r="R289" s="568" t="str">
        <f>VLOOKUP(A289,'[1]Raw data'!$B:$Z,3,FALSE)</f>
        <v>灿明</v>
      </c>
      <c r="S289" s="568" t="str">
        <f>VLOOKUP(A289,'[1]Raw data'!$B:$Z,4,FALSE)</f>
        <v>YSM10</v>
      </c>
      <c r="T289" s="568" t="str">
        <f>VLOOKUP(A289,'[1]Raw data'!$B:$Z,8,FALSE)</f>
        <v>L-&gt;R</v>
      </c>
      <c r="U289" s="568" t="str">
        <f>VLOOKUP(A289,'[1]Raw data'!$B:$Z,9,FALSE)</f>
        <v>1.2m longboard+加大板相机</v>
      </c>
      <c r="V289" s="572" t="str">
        <f t="shared" si="48"/>
        <v>WRONG</v>
      </c>
      <c r="W289" s="568" t="str">
        <f>VLOOKUP(A289,'[1]Raw data'!$B:$AG,32,FALSE)</f>
        <v>DAP SZ</v>
      </c>
      <c r="X289" s="568">
        <f>VLOOKUP(A289,'[1]Raw data'!$B:$BA,31,FALSE)</f>
        <v>43781</v>
      </c>
      <c r="Y289" s="568" t="str">
        <f>VLOOKUP(A289,'[1]Raw data'!$B:$AS,39,FALSE)</f>
        <v>Yes</v>
      </c>
      <c r="Z289" s="573"/>
      <c r="AA289" s="574"/>
      <c r="AB289" s="575"/>
      <c r="AC289" s="568" t="s">
        <v>758</v>
      </c>
      <c r="AD289" s="576">
        <v>301</v>
      </c>
      <c r="AE289" s="576">
        <v>10</v>
      </c>
      <c r="AN289" s="547"/>
      <c r="AO289" s="829" t="str">
        <f t="shared" si="40"/>
        <v>Yes</v>
      </c>
      <c r="AP289" s="259" t="str">
        <f t="shared" si="41"/>
        <v>DEC 19</v>
      </c>
      <c r="AQ289" s="547" t="str">
        <f t="shared" si="42"/>
        <v>有定金+有預留客戶</v>
      </c>
      <c r="AR289" s="259" t="str">
        <f t="shared" si="43"/>
        <v>Shipped_Stock</v>
      </c>
      <c r="AS289" s="259" t="str">
        <f t="shared" si="44"/>
        <v/>
      </c>
      <c r="AT289" s="259" t="str">
        <f t="shared" si="45"/>
        <v>灿明</v>
      </c>
      <c r="AU289" s="259" t="str">
        <f t="shared" si="46"/>
        <v>C49SZX20190163JY</v>
      </c>
      <c r="AV289" s="259" t="str">
        <f t="shared" si="47"/>
        <v>Nov-01</v>
      </c>
    </row>
    <row r="290" spans="1:69" ht="15" hidden="1" customHeight="1">
      <c r="A290" s="564">
        <v>506</v>
      </c>
      <c r="B290" s="568" t="s">
        <v>280</v>
      </c>
      <c r="C290" s="565" t="s">
        <v>281</v>
      </c>
      <c r="D290" s="605">
        <v>109685</v>
      </c>
      <c r="E290" s="568" t="s">
        <v>644</v>
      </c>
      <c r="F290" s="568" t="s">
        <v>17</v>
      </c>
      <c r="G290" s="568" t="s">
        <v>18</v>
      </c>
      <c r="H290" s="568" t="s">
        <v>26</v>
      </c>
      <c r="I290" s="569" t="s">
        <v>760</v>
      </c>
      <c r="J290" s="569">
        <v>1</v>
      </c>
      <c r="K290" s="568" t="s">
        <v>437</v>
      </c>
      <c r="L290" s="570">
        <v>43770</v>
      </c>
      <c r="M290" s="571" t="s">
        <v>257</v>
      </c>
      <c r="N290" s="568" t="s">
        <v>286</v>
      </c>
      <c r="O290" s="568">
        <v>2019.1</v>
      </c>
      <c r="P290" s="571" t="str">
        <f>VLOOKUP(A290,'[1]Raw data'!$B:$BB,23,FALSE)</f>
        <v>JPY</v>
      </c>
      <c r="Q290" s="568" t="str">
        <f>VLOOKUP(A290,'[1]Raw data'!$B:$Z,2,FALSE)</f>
        <v>C49SZX20190163JY</v>
      </c>
      <c r="R290" s="568" t="str">
        <f>VLOOKUP(A290,'[1]Raw data'!$B:$Z,3,FALSE)</f>
        <v>灿明</v>
      </c>
      <c r="S290" s="568" t="str">
        <f>VLOOKUP(A290,'[1]Raw data'!$B:$Z,4,FALSE)</f>
        <v>YSM10</v>
      </c>
      <c r="T290" s="568" t="str">
        <f>VLOOKUP(A290,'[1]Raw data'!$B:$Z,8,FALSE)</f>
        <v>L-&gt;R</v>
      </c>
      <c r="U290" s="568" t="str">
        <f>VLOOKUP(A290,'[1]Raw data'!$B:$Z,9,FALSE)</f>
        <v>No</v>
      </c>
      <c r="V290" s="572" t="str">
        <f t="shared" si="48"/>
        <v>WRONG</v>
      </c>
      <c r="W290" s="568" t="str">
        <f>VLOOKUP(A290,'[1]Raw data'!$B:$AG,32,FALSE)</f>
        <v>DAP SZ</v>
      </c>
      <c r="X290" s="568">
        <f>VLOOKUP(A290,'[1]Raw data'!$B:$BA,31,FALSE)</f>
        <v>43781</v>
      </c>
      <c r="Y290" s="568" t="str">
        <f>VLOOKUP(A290,'[1]Raw data'!$B:$AS,39,FALSE)</f>
        <v>Yes</v>
      </c>
      <c r="Z290" s="573"/>
      <c r="AA290" s="574"/>
      <c r="AB290" s="575"/>
      <c r="AC290" s="568" t="s">
        <v>758</v>
      </c>
      <c r="AD290" s="576">
        <v>301</v>
      </c>
      <c r="AE290" s="576">
        <v>10</v>
      </c>
      <c r="AN290" s="547"/>
      <c r="AO290" s="829" t="str">
        <f t="shared" si="40"/>
        <v>Yes</v>
      </c>
      <c r="AP290" s="259" t="str">
        <f t="shared" si="41"/>
        <v>DEC 19</v>
      </c>
      <c r="AQ290" s="547" t="str">
        <f t="shared" si="42"/>
        <v>有定金+有預留客戶</v>
      </c>
      <c r="AR290" s="259" t="str">
        <f t="shared" si="43"/>
        <v>Shipped_Stock</v>
      </c>
      <c r="AS290" s="259" t="str">
        <f t="shared" si="44"/>
        <v/>
      </c>
      <c r="AT290" s="259" t="str">
        <f t="shared" si="45"/>
        <v>灿明</v>
      </c>
      <c r="AU290" s="259" t="str">
        <f t="shared" si="46"/>
        <v>C49SZX20190163JY</v>
      </c>
      <c r="AV290" s="259" t="str">
        <f t="shared" si="47"/>
        <v>Nov-01</v>
      </c>
    </row>
    <row r="291" spans="1:69" ht="15" hidden="1" customHeight="1">
      <c r="A291" s="564">
        <v>497</v>
      </c>
      <c r="B291" s="568" t="s">
        <v>280</v>
      </c>
      <c r="C291" s="565" t="s">
        <v>281</v>
      </c>
      <c r="D291" s="605">
        <v>109693</v>
      </c>
      <c r="E291" s="568" t="s">
        <v>644</v>
      </c>
      <c r="F291" s="568" t="s">
        <v>17</v>
      </c>
      <c r="G291" s="568" t="s">
        <v>18</v>
      </c>
      <c r="H291" s="568" t="s">
        <v>26</v>
      </c>
      <c r="I291" s="569" t="s">
        <v>761</v>
      </c>
      <c r="J291" s="569">
        <v>1</v>
      </c>
      <c r="K291" s="568" t="s">
        <v>437</v>
      </c>
      <c r="L291" s="570">
        <v>43770</v>
      </c>
      <c r="M291" s="571" t="s">
        <v>257</v>
      </c>
      <c r="N291" s="568" t="s">
        <v>504</v>
      </c>
      <c r="O291" s="568">
        <v>2019.1</v>
      </c>
      <c r="P291" s="571" t="str">
        <f>VLOOKUP(A291,'[1]Raw data'!$B:$BB,23,FALSE)</f>
        <v>JPY</v>
      </c>
      <c r="Q291" s="568" t="str">
        <f>VLOOKUP(A291,'[1]Raw data'!$B:$Z,2,FALSE)</f>
        <v>C49SZX20190165DZ</v>
      </c>
      <c r="R291" s="568" t="str">
        <f>VLOOKUP(A291,'[1]Raw data'!$B:$Z,3,FALSE)</f>
        <v>铁甲</v>
      </c>
      <c r="S291" s="568" t="str">
        <f>VLOOKUP(A291,'[1]Raw data'!$B:$Z,4,FALSE)</f>
        <v>YSM10</v>
      </c>
      <c r="T291" s="568" t="str">
        <f>VLOOKUP(A291,'[1]Raw data'!$B:$Z,8,FALSE)</f>
        <v>L-&gt;R</v>
      </c>
      <c r="U291" s="568" t="str">
        <f>VLOOKUP(A291,'[1]Raw data'!$B:$Z,9,FALSE)</f>
        <v>No</v>
      </c>
      <c r="V291" s="572" t="str">
        <f t="shared" si="48"/>
        <v>WRONG</v>
      </c>
      <c r="W291" s="568" t="str">
        <f>VLOOKUP(A291,'[1]Raw data'!$B:$AG,32,FALSE)</f>
        <v>CIF HK</v>
      </c>
      <c r="X291" s="568">
        <f>VLOOKUP(A291,'[1]Raw data'!$B:$BA,31,FALSE)</f>
        <v>43781</v>
      </c>
      <c r="Y291" s="568" t="str">
        <f>VLOOKUP(A291,'[1]Raw data'!$B:$AS,39,FALSE)</f>
        <v>Yes</v>
      </c>
      <c r="Z291" s="573"/>
      <c r="AA291" s="574"/>
      <c r="AB291" s="575"/>
      <c r="AC291" s="568" t="s">
        <v>762</v>
      </c>
      <c r="AD291" s="576">
        <v>301</v>
      </c>
      <c r="AE291" s="576">
        <v>10</v>
      </c>
      <c r="AN291" s="547"/>
      <c r="AO291" s="829" t="str">
        <f t="shared" si="40"/>
        <v>Yes</v>
      </c>
      <c r="AP291" s="259" t="str">
        <f t="shared" si="41"/>
        <v>NOV 19</v>
      </c>
      <c r="AQ291" s="547" t="str">
        <f t="shared" si="42"/>
        <v>有定金+有預留客戶</v>
      </c>
      <c r="AR291" s="259" t="str">
        <f t="shared" si="43"/>
        <v>Shipped_Stock</v>
      </c>
      <c r="AS291" s="259" t="str">
        <f t="shared" si="44"/>
        <v/>
      </c>
      <c r="AT291" s="259" t="str">
        <f t="shared" si="45"/>
        <v>铁甲</v>
      </c>
      <c r="AU291" s="259" t="str">
        <f t="shared" si="46"/>
        <v>C49SZX20190165DZ</v>
      </c>
      <c r="AV291" s="259" t="str">
        <f t="shared" si="47"/>
        <v>Nov-01</v>
      </c>
    </row>
    <row r="292" spans="1:69" ht="15" hidden="1" customHeight="1">
      <c r="A292" s="564">
        <v>498</v>
      </c>
      <c r="B292" s="568" t="s">
        <v>280</v>
      </c>
      <c r="C292" s="565" t="s">
        <v>281</v>
      </c>
      <c r="D292" s="605">
        <v>109693</v>
      </c>
      <c r="E292" s="568" t="s">
        <v>644</v>
      </c>
      <c r="F292" s="568" t="s">
        <v>17</v>
      </c>
      <c r="G292" s="568" t="s">
        <v>18</v>
      </c>
      <c r="H292" s="568" t="s">
        <v>26</v>
      </c>
      <c r="I292" s="569" t="s">
        <v>763</v>
      </c>
      <c r="J292" s="569">
        <v>1</v>
      </c>
      <c r="K292" s="568" t="s">
        <v>437</v>
      </c>
      <c r="L292" s="570">
        <v>43770</v>
      </c>
      <c r="M292" s="571" t="s">
        <v>257</v>
      </c>
      <c r="N292" s="568" t="s">
        <v>504</v>
      </c>
      <c r="O292" s="568">
        <v>2019.1</v>
      </c>
      <c r="P292" s="571" t="str">
        <f>VLOOKUP(A292,'[1]Raw data'!$B:$BB,23,FALSE)</f>
        <v>JPY</v>
      </c>
      <c r="Q292" s="568" t="str">
        <f>VLOOKUP(A292,'[1]Raw data'!$B:$Z,2,FALSE)</f>
        <v>C49SZX20190165DZ</v>
      </c>
      <c r="R292" s="568" t="str">
        <f>VLOOKUP(A292,'[1]Raw data'!$B:$Z,3,FALSE)</f>
        <v>铁甲</v>
      </c>
      <c r="S292" s="568" t="str">
        <f>VLOOKUP(A292,'[1]Raw data'!$B:$Z,4,FALSE)</f>
        <v>YSM10</v>
      </c>
      <c r="T292" s="568" t="str">
        <f>VLOOKUP(A292,'[1]Raw data'!$B:$Z,8,FALSE)</f>
        <v>L-&gt;R</v>
      </c>
      <c r="U292" s="568" t="str">
        <f>VLOOKUP(A292,'[1]Raw data'!$B:$Z,9,FALSE)</f>
        <v>No</v>
      </c>
      <c r="V292" s="572" t="str">
        <f t="shared" si="48"/>
        <v>WRONG</v>
      </c>
      <c r="W292" s="568" t="str">
        <f>VLOOKUP(A292,'[1]Raw data'!$B:$AG,32,FALSE)</f>
        <v>CIF HK</v>
      </c>
      <c r="X292" s="568">
        <f>VLOOKUP(A292,'[1]Raw data'!$B:$BA,31,FALSE)</f>
        <v>43781</v>
      </c>
      <c r="Y292" s="568" t="str">
        <f>VLOOKUP(A292,'[1]Raw data'!$B:$AS,39,FALSE)</f>
        <v>Yes</v>
      </c>
      <c r="Z292" s="573"/>
      <c r="AA292" s="574"/>
      <c r="AB292" s="575"/>
      <c r="AC292" s="568" t="s">
        <v>762</v>
      </c>
      <c r="AD292" s="576">
        <v>301</v>
      </c>
      <c r="AE292" s="576">
        <v>10</v>
      </c>
      <c r="AN292" s="547"/>
      <c r="AO292" s="829" t="str">
        <f t="shared" si="40"/>
        <v>Yes</v>
      </c>
      <c r="AP292" s="259" t="str">
        <f t="shared" si="41"/>
        <v>NOV 19</v>
      </c>
      <c r="AQ292" s="547" t="str">
        <f t="shared" si="42"/>
        <v>有定金+有預留客戶</v>
      </c>
      <c r="AR292" s="259" t="str">
        <f t="shared" si="43"/>
        <v>Shipped_Stock</v>
      </c>
      <c r="AS292" s="259" t="str">
        <f t="shared" si="44"/>
        <v/>
      </c>
      <c r="AT292" s="259" t="str">
        <f t="shared" si="45"/>
        <v>铁甲</v>
      </c>
      <c r="AU292" s="259" t="str">
        <f t="shared" si="46"/>
        <v>C49SZX20190165DZ</v>
      </c>
      <c r="AV292" s="259" t="str">
        <f t="shared" si="47"/>
        <v>Nov-01</v>
      </c>
    </row>
    <row r="293" spans="1:69" ht="15" hidden="1" customHeight="1">
      <c r="A293" s="564">
        <v>507</v>
      </c>
      <c r="B293" s="568" t="s">
        <v>280</v>
      </c>
      <c r="C293" s="565" t="s">
        <v>281</v>
      </c>
      <c r="D293" s="605">
        <v>109693</v>
      </c>
      <c r="E293" s="568" t="s">
        <v>644</v>
      </c>
      <c r="F293" s="568" t="s">
        <v>17</v>
      </c>
      <c r="G293" s="568" t="s">
        <v>18</v>
      </c>
      <c r="H293" s="568" t="s">
        <v>26</v>
      </c>
      <c r="I293" s="569" t="s">
        <v>764</v>
      </c>
      <c r="J293" s="569">
        <v>1</v>
      </c>
      <c r="K293" s="568" t="s">
        <v>437</v>
      </c>
      <c r="L293" s="570">
        <v>43770</v>
      </c>
      <c r="M293" s="571" t="s">
        <v>257</v>
      </c>
      <c r="N293" s="568" t="s">
        <v>286</v>
      </c>
      <c r="O293" s="568">
        <v>2019.1</v>
      </c>
      <c r="P293" s="571" t="str">
        <f>VLOOKUP(A293,'[1]Raw data'!$B:$BB,23,FALSE)</f>
        <v>JPY</v>
      </c>
      <c r="Q293" s="568" t="str">
        <f>VLOOKUP(A293,'[1]Raw data'!$B:$Z,2,FALSE)</f>
        <v>C49SZX20190163JY</v>
      </c>
      <c r="R293" s="568" t="str">
        <f>VLOOKUP(A293,'[1]Raw data'!$B:$Z,3,FALSE)</f>
        <v>灿明</v>
      </c>
      <c r="S293" s="568" t="str">
        <f>VLOOKUP(A293,'[1]Raw data'!$B:$Z,4,FALSE)</f>
        <v>YSM10</v>
      </c>
      <c r="T293" s="568" t="str">
        <f>VLOOKUP(A293,'[1]Raw data'!$B:$Z,8,FALSE)</f>
        <v>L-&gt;R</v>
      </c>
      <c r="U293" s="568" t="str">
        <f>VLOOKUP(A293,'[1]Raw data'!$B:$Z,9,FALSE)</f>
        <v>No</v>
      </c>
      <c r="V293" s="572" t="str">
        <f t="shared" si="48"/>
        <v>WRONG</v>
      </c>
      <c r="W293" s="568" t="str">
        <f>VLOOKUP(A293,'[1]Raw data'!$B:$AG,32,FALSE)</f>
        <v>DAP SZ</v>
      </c>
      <c r="X293" s="568">
        <f>VLOOKUP(A293,'[1]Raw data'!$B:$BA,31,FALSE)</f>
        <v>43781</v>
      </c>
      <c r="Y293" s="568" t="str">
        <f>VLOOKUP(A293,'[1]Raw data'!$B:$AS,39,FALSE)</f>
        <v>Yes</v>
      </c>
      <c r="Z293" s="573"/>
      <c r="AA293" s="574"/>
      <c r="AB293" s="575"/>
      <c r="AC293" s="568" t="s">
        <v>758</v>
      </c>
      <c r="AD293" s="576">
        <v>301</v>
      </c>
      <c r="AE293" s="576">
        <v>10</v>
      </c>
      <c r="AN293" s="547"/>
      <c r="AO293" s="829" t="str">
        <f t="shared" si="40"/>
        <v>Yes</v>
      </c>
      <c r="AP293" s="259" t="str">
        <f t="shared" si="41"/>
        <v>DEC 19</v>
      </c>
      <c r="AQ293" s="547" t="str">
        <f t="shared" si="42"/>
        <v>有定金+有預留客戶</v>
      </c>
      <c r="AR293" s="259" t="str">
        <f t="shared" si="43"/>
        <v>Shipped_Stock</v>
      </c>
      <c r="AS293" s="259" t="str">
        <f t="shared" si="44"/>
        <v/>
      </c>
      <c r="AT293" s="259" t="str">
        <f t="shared" si="45"/>
        <v>灿明</v>
      </c>
      <c r="AU293" s="259" t="str">
        <f t="shared" si="46"/>
        <v>C49SZX20190163JY</v>
      </c>
      <c r="AV293" s="259" t="str">
        <f t="shared" si="47"/>
        <v>Nov-01</v>
      </c>
    </row>
    <row r="294" spans="1:69" ht="15" hidden="1" customHeight="1">
      <c r="A294" s="564">
        <v>512</v>
      </c>
      <c r="B294" s="568" t="s">
        <v>280</v>
      </c>
      <c r="C294" s="565" t="s">
        <v>281</v>
      </c>
      <c r="D294" s="605">
        <v>109664</v>
      </c>
      <c r="E294" s="568" t="s">
        <v>644</v>
      </c>
      <c r="F294" s="568" t="s">
        <v>256</v>
      </c>
      <c r="G294" s="568" t="s">
        <v>24</v>
      </c>
      <c r="H294" s="568" t="s">
        <v>26</v>
      </c>
      <c r="I294" s="569" t="s">
        <v>765</v>
      </c>
      <c r="J294" s="569">
        <v>1</v>
      </c>
      <c r="K294" s="568" t="s">
        <v>437</v>
      </c>
      <c r="L294" s="570">
        <v>43770</v>
      </c>
      <c r="M294" s="571">
        <v>6.7199999999999996E-2</v>
      </c>
      <c r="N294" s="568" t="s">
        <v>286</v>
      </c>
      <c r="O294" s="569">
        <v>2019.1</v>
      </c>
      <c r="P294" s="571" t="str">
        <f>VLOOKUP(A294,'[1]Raw data'!$B:$BB,23,FALSE)</f>
        <v>JPY</v>
      </c>
      <c r="Q294" s="568" t="str">
        <f>VLOOKUP(A294,'[1]Raw data'!$B:$Z,2,FALSE)</f>
        <v>C49SZX20190171CX</v>
      </c>
      <c r="R294" s="568" t="str">
        <f>VLOOKUP(A294,'[1]Raw data'!$B:$Z,3,FALSE)</f>
        <v>君博信</v>
      </c>
      <c r="S294" s="568" t="str">
        <f>VLOOKUP(A294,'[1]Raw data'!$B:$Z,4,FALSE)</f>
        <v>YSM20R(SV)-2</v>
      </c>
      <c r="T294" s="568" t="str">
        <f>VLOOKUP(A294,'[1]Raw data'!$B:$Z,8,FALSE)</f>
        <v>L-&gt;R</v>
      </c>
      <c r="U294" s="568" t="str">
        <f>VLOOKUP(A294,'[1]Raw data'!$B:$Z,9,FALSE)</f>
        <v>No</v>
      </c>
      <c r="V294" s="572" t="str">
        <f t="shared" si="48"/>
        <v>OK</v>
      </c>
      <c r="W294" s="568" t="str">
        <f>VLOOKUP(A294,'[1]Raw data'!$B:$AG,32,FALSE)</f>
        <v>DAP SZ</v>
      </c>
      <c r="X294" s="568">
        <f>VLOOKUP(A294,'[1]Raw data'!$B:$BA,31,FALSE)</f>
        <v>43789</v>
      </c>
      <c r="Y294" s="568" t="str">
        <f>VLOOKUP(A294,'[1]Raw data'!$B:$AS,39,FALSE)</f>
        <v>Yes</v>
      </c>
      <c r="Z294" s="573"/>
      <c r="AA294" s="574"/>
      <c r="AB294" s="575"/>
      <c r="AC294" s="568" t="s">
        <v>766</v>
      </c>
      <c r="AD294" s="576">
        <v>313</v>
      </c>
      <c r="AE294" s="576">
        <v>10</v>
      </c>
      <c r="AF294" s="576">
        <v>312</v>
      </c>
      <c r="AG294" s="576">
        <v>10</v>
      </c>
      <c r="AN294" s="547"/>
      <c r="AO294" s="829" t="str">
        <f t="shared" si="40"/>
        <v>Yes</v>
      </c>
      <c r="AP294" s="259" t="str">
        <f t="shared" si="41"/>
        <v>DEC 19</v>
      </c>
      <c r="AQ294" s="547" t="str">
        <f t="shared" si="42"/>
        <v>有定金+有預留客戶</v>
      </c>
      <c r="AR294" s="259" t="str">
        <f t="shared" si="43"/>
        <v>Shipped_Stock</v>
      </c>
      <c r="AS294" s="259" t="str">
        <f t="shared" si="44"/>
        <v/>
      </c>
      <c r="AT294" s="259" t="str">
        <f t="shared" si="45"/>
        <v>君博信</v>
      </c>
      <c r="AU294" s="259" t="str">
        <f t="shared" si="46"/>
        <v>C49SZX20190171CX</v>
      </c>
      <c r="AV294" s="259" t="str">
        <f t="shared" si="47"/>
        <v>Nov-01</v>
      </c>
    </row>
    <row r="295" spans="1:69" ht="15" hidden="1" customHeight="1">
      <c r="A295" s="564">
        <v>510</v>
      </c>
      <c r="B295" s="568" t="s">
        <v>280</v>
      </c>
      <c r="C295" s="565" t="s">
        <v>281</v>
      </c>
      <c r="D295" s="605">
        <v>109693</v>
      </c>
      <c r="E295" s="568" t="s">
        <v>644</v>
      </c>
      <c r="F295" s="568" t="s">
        <v>17</v>
      </c>
      <c r="G295" s="568" t="s">
        <v>18</v>
      </c>
      <c r="H295" s="568" t="s">
        <v>26</v>
      </c>
      <c r="I295" s="569" t="s">
        <v>767</v>
      </c>
      <c r="J295" s="569">
        <v>1</v>
      </c>
      <c r="K295" s="568" t="s">
        <v>437</v>
      </c>
      <c r="L295" s="570">
        <v>43770</v>
      </c>
      <c r="M295" s="571" t="s">
        <v>257</v>
      </c>
      <c r="N295" s="568" t="s">
        <v>504</v>
      </c>
      <c r="O295" s="568">
        <v>2019.1</v>
      </c>
      <c r="P295" s="571" t="str">
        <f>VLOOKUP(A295,'[1]Raw data'!$B:$BB,23,FALSE)</f>
        <v>JPY</v>
      </c>
      <c r="Q295" s="568" t="str">
        <f>VLOOKUP(A295,'[1]Raw data'!$B:$Z,2,FALSE)</f>
        <v>C49SZX20190617SS</v>
      </c>
      <c r="R295" s="568" t="str">
        <f>VLOOKUP(A295,'[1]Raw data'!$B:$Z,3,FALSE)</f>
        <v>乐上</v>
      </c>
      <c r="S295" s="568" t="str">
        <f>VLOOKUP(A295,'[1]Raw data'!$B:$Z,4,FALSE)</f>
        <v>YSM10</v>
      </c>
      <c r="T295" s="568" t="str">
        <f>VLOOKUP(A295,'[1]Raw data'!$B:$Z,8,FALSE)</f>
        <v>L-&gt;R</v>
      </c>
      <c r="U295" s="568" t="str">
        <f>VLOOKUP(A295,'[1]Raw data'!$B:$Z,9,FALSE)</f>
        <v>MVC</v>
      </c>
      <c r="V295" s="572" t="str">
        <f t="shared" si="48"/>
        <v>WRONG</v>
      </c>
      <c r="W295" s="568" t="str">
        <f>VLOOKUP(A295,'[1]Raw data'!$B:$AG,32,FALSE)</f>
        <v>DAP DG</v>
      </c>
      <c r="X295" s="568">
        <f>VLOOKUP(A295,'[1]Raw data'!$B:$BA,31,FALSE)</f>
        <v>43781</v>
      </c>
      <c r="Y295" s="568" t="str">
        <f>VLOOKUP(A295,'[1]Raw data'!$B:$AS,39,FALSE)</f>
        <v>Yes</v>
      </c>
      <c r="Z295" s="573" t="s">
        <v>329</v>
      </c>
      <c r="AA295" s="574" t="s">
        <v>329</v>
      </c>
      <c r="AB295" s="575"/>
      <c r="AC295" s="568" t="s">
        <v>768</v>
      </c>
      <c r="AD295" s="576">
        <v>301</v>
      </c>
      <c r="AE295" s="576">
        <v>10</v>
      </c>
      <c r="AN295" s="591"/>
      <c r="AO295" s="829" t="str">
        <f t="shared" si="40"/>
        <v>Yes</v>
      </c>
      <c r="AP295" s="259" t="str">
        <f t="shared" si="41"/>
        <v>NOV 19</v>
      </c>
      <c r="AQ295" s="547" t="str">
        <f t="shared" si="42"/>
        <v>有定金+有預留客戶</v>
      </c>
      <c r="AR295" s="259" t="str">
        <f t="shared" si="43"/>
        <v>Shipped_Stock</v>
      </c>
      <c r="AS295" s="259" t="str">
        <f t="shared" si="44"/>
        <v/>
      </c>
      <c r="AT295" s="259" t="str">
        <f t="shared" si="45"/>
        <v>乐上</v>
      </c>
      <c r="AU295" s="259" t="str">
        <f t="shared" si="46"/>
        <v>C49SZX20190617SS</v>
      </c>
      <c r="AV295" s="259" t="str">
        <f t="shared" si="47"/>
        <v>Nov-01</v>
      </c>
    </row>
    <row r="296" spans="1:69" ht="15" hidden="1" customHeight="1">
      <c r="A296" s="564">
        <v>468</v>
      </c>
      <c r="B296" s="568" t="s">
        <v>280</v>
      </c>
      <c r="C296" s="565" t="s">
        <v>281</v>
      </c>
      <c r="D296" s="605">
        <v>109664</v>
      </c>
      <c r="E296" s="568" t="s">
        <v>644</v>
      </c>
      <c r="F296" s="568" t="s">
        <v>256</v>
      </c>
      <c r="G296" s="568" t="s">
        <v>24</v>
      </c>
      <c r="H296" s="568" t="s">
        <v>26</v>
      </c>
      <c r="I296" s="569" t="s">
        <v>769</v>
      </c>
      <c r="J296" s="569">
        <v>1</v>
      </c>
      <c r="K296" s="568" t="s">
        <v>605</v>
      </c>
      <c r="L296" s="570">
        <v>43770</v>
      </c>
      <c r="M296" s="571">
        <v>6.7199999999999996E-2</v>
      </c>
      <c r="N296" s="568" t="s">
        <v>504</v>
      </c>
      <c r="O296" s="569">
        <v>2019.1</v>
      </c>
      <c r="P296" s="571" t="str">
        <f>VLOOKUP(A296,'[1]Raw data'!$B:$BB,23,FALSE)</f>
        <v>JPY</v>
      </c>
      <c r="Q296" s="568" t="str">
        <f>VLOOKUP(A296,'[1]Raw data'!$B:$Z,2,FALSE)</f>
        <v>C49SZX20190159SS</v>
      </c>
      <c r="R296" s="568" t="str">
        <f>VLOOKUP(A296,'[1]Raw data'!$B:$Z,3,FALSE)</f>
        <v>思迈科技</v>
      </c>
      <c r="S296" s="568" t="str">
        <f>VLOOKUP(A296,'[1]Raw data'!$B:$Z,4,FALSE)</f>
        <v>YSM20R(SV)-2</v>
      </c>
      <c r="T296" s="568" t="str">
        <f>VLOOKUP(A296,'[1]Raw data'!$B:$Z,8,FALSE)</f>
        <v>L-&gt;R</v>
      </c>
      <c r="U296" s="568" t="str">
        <f>VLOOKUP(A296,'[1]Raw data'!$B:$Z,9,FALSE)</f>
        <v>No</v>
      </c>
      <c r="V296" s="572" t="str">
        <f t="shared" si="48"/>
        <v>OK</v>
      </c>
      <c r="W296" s="568" t="str">
        <f>VLOOKUP(A296,'[1]Raw data'!$B:$AG,32,FALSE)</f>
        <v>DAP SZ</v>
      </c>
      <c r="X296" s="568">
        <f>VLOOKUP(A296,'[1]Raw data'!$B:$BA,31,FALSE)</f>
        <v>43775</v>
      </c>
      <c r="Y296" s="568" t="str">
        <f>VLOOKUP(A296,'[1]Raw data'!$B:$AS,39,FALSE)</f>
        <v>Yes</v>
      </c>
      <c r="Z296" s="573"/>
      <c r="AA296" s="574"/>
      <c r="AB296" s="575"/>
      <c r="AC296" s="568" t="s">
        <v>770</v>
      </c>
      <c r="AD296" s="576">
        <v>301</v>
      </c>
      <c r="AE296" s="576">
        <v>20</v>
      </c>
      <c r="AN296" s="547"/>
      <c r="AO296" s="829" t="str">
        <f t="shared" si="40"/>
        <v>Yes</v>
      </c>
      <c r="AP296" s="259" t="str">
        <f t="shared" si="41"/>
        <v>NOV 19</v>
      </c>
      <c r="AQ296" s="547" t="str">
        <f t="shared" si="42"/>
        <v>有定金+有預留客戶</v>
      </c>
      <c r="AR296" s="259" t="str">
        <f t="shared" si="43"/>
        <v>Shipped_Stock</v>
      </c>
      <c r="AS296" s="259" t="str">
        <f t="shared" si="44"/>
        <v/>
      </c>
      <c r="AT296" s="259" t="str">
        <f t="shared" si="45"/>
        <v>思迈科技</v>
      </c>
      <c r="AU296" s="259" t="str">
        <f t="shared" si="46"/>
        <v>C49SZX20190159SS</v>
      </c>
      <c r="AV296" s="259" t="str">
        <f t="shared" si="47"/>
        <v>Nov-01</v>
      </c>
    </row>
    <row r="297" spans="1:69" ht="15.75" hidden="1" customHeight="1" thickBot="1">
      <c r="A297" s="564">
        <v>472</v>
      </c>
      <c r="B297" s="568" t="s">
        <v>280</v>
      </c>
      <c r="C297" s="565" t="s">
        <v>281</v>
      </c>
      <c r="D297" s="627">
        <v>109685</v>
      </c>
      <c r="E297" s="568" t="s">
        <v>644</v>
      </c>
      <c r="F297" s="568" t="s">
        <v>17</v>
      </c>
      <c r="G297" s="568" t="s">
        <v>18</v>
      </c>
      <c r="H297" s="568" t="s">
        <v>26</v>
      </c>
      <c r="I297" s="569" t="s">
        <v>771</v>
      </c>
      <c r="J297" s="569">
        <v>1</v>
      </c>
      <c r="K297" s="568" t="s">
        <v>605</v>
      </c>
      <c r="L297" s="570">
        <v>43770</v>
      </c>
      <c r="M297" s="571" t="s">
        <v>257</v>
      </c>
      <c r="N297" s="568" t="s">
        <v>504</v>
      </c>
      <c r="O297" s="568">
        <v>2019.1</v>
      </c>
      <c r="P297" s="571" t="str">
        <f>VLOOKUP(A297,'[1]Raw data'!$B:$BB,23,FALSE)</f>
        <v>RMB</v>
      </c>
      <c r="Q297" s="568" t="str">
        <f>VLOOKUP(A297,'[1]Raw data'!$B:$Z,2,FALSE)</f>
        <v>C49SZX20190153JL</v>
      </c>
      <c r="R297" s="568" t="str">
        <f>VLOOKUP(A297,'[1]Raw data'!$B:$Z,3,FALSE)</f>
        <v>硕泰克/end user 铭翔</v>
      </c>
      <c r="S297" s="568" t="str">
        <f>VLOOKUP(A297,'[1]Raw data'!$B:$Z,4,FALSE)</f>
        <v>YSM10</v>
      </c>
      <c r="T297" s="568" t="str">
        <f>VLOOKUP(A297,'[1]Raw data'!$B:$Z,8,FALSE)</f>
        <v>L-&gt;R</v>
      </c>
      <c r="U297" s="568" t="str">
        <f>VLOOKUP(A297,'[1]Raw data'!$B:$Z,9,FALSE)</f>
        <v>MVC</v>
      </c>
      <c r="V297" s="572" t="str">
        <f t="shared" si="48"/>
        <v>WRONG</v>
      </c>
      <c r="W297" s="568" t="str">
        <f>VLOOKUP(A297,'[1]Raw data'!$B:$AG,32,FALSE)</f>
        <v>含税到厂</v>
      </c>
      <c r="X297" s="568">
        <f>VLOOKUP(A297,'[1]Raw data'!$B:$BA,31,FALSE)</f>
        <v>43775</v>
      </c>
      <c r="Y297" s="568" t="str">
        <f>VLOOKUP(A297,'[1]Raw data'!$B:$AS,39,FALSE)</f>
        <v>Yes</v>
      </c>
      <c r="Z297" s="573"/>
      <c r="AA297" s="574"/>
      <c r="AB297" s="575"/>
      <c r="AC297" s="568" t="s">
        <v>772</v>
      </c>
      <c r="AD297" s="576">
        <v>301</v>
      </c>
      <c r="AE297" s="576">
        <v>10</v>
      </c>
      <c r="AN297" s="547"/>
      <c r="AO297" s="829" t="str">
        <f t="shared" si="40"/>
        <v>Yes</v>
      </c>
      <c r="AP297" s="259" t="str">
        <f t="shared" si="41"/>
        <v>NOV 19</v>
      </c>
      <c r="AQ297" s="547" t="str">
        <f t="shared" si="42"/>
        <v>有定金+有預留客戶</v>
      </c>
      <c r="AR297" s="259" t="str">
        <f t="shared" si="43"/>
        <v>Shipped_Stock</v>
      </c>
      <c r="AS297" s="259" t="str">
        <f t="shared" si="44"/>
        <v/>
      </c>
      <c r="AT297" s="259" t="str">
        <f t="shared" si="45"/>
        <v>硕泰克/end user 铭翔</v>
      </c>
      <c r="AU297" s="259" t="str">
        <f t="shared" si="46"/>
        <v>C49SZX20190153JL</v>
      </c>
      <c r="AV297" s="259" t="str">
        <f t="shared" si="47"/>
        <v>Nov-01</v>
      </c>
    </row>
    <row r="298" spans="1:69" ht="15" hidden="1" customHeight="1">
      <c r="A298" s="564">
        <v>473</v>
      </c>
      <c r="B298" s="568" t="s">
        <v>280</v>
      </c>
      <c r="C298" s="565" t="s">
        <v>281</v>
      </c>
      <c r="D298" s="628">
        <v>109685</v>
      </c>
      <c r="E298" s="567" t="s">
        <v>644</v>
      </c>
      <c r="F298" s="568" t="s">
        <v>17</v>
      </c>
      <c r="G298" s="568" t="s">
        <v>18</v>
      </c>
      <c r="H298" s="568" t="s">
        <v>26</v>
      </c>
      <c r="I298" s="569" t="s">
        <v>773</v>
      </c>
      <c r="J298" s="569">
        <v>1</v>
      </c>
      <c r="K298" s="568" t="s">
        <v>605</v>
      </c>
      <c r="L298" s="570">
        <v>43770</v>
      </c>
      <c r="M298" s="571" t="s">
        <v>257</v>
      </c>
      <c r="N298" s="568" t="s">
        <v>504</v>
      </c>
      <c r="O298" s="568">
        <v>2019.1</v>
      </c>
      <c r="P298" s="571" t="str">
        <f>VLOOKUP(A298,'[1]Raw data'!$B:$BB,23,FALSE)</f>
        <v>RMB</v>
      </c>
      <c r="Q298" s="568" t="str">
        <f>VLOOKUP(A298,'[1]Raw data'!$B:$Z,2,FALSE)</f>
        <v>C49SZX20190153JL</v>
      </c>
      <c r="R298" s="568" t="str">
        <f>VLOOKUP(A298,'[1]Raw data'!$B:$Z,3,FALSE)</f>
        <v>硕泰克/end user 铭翔</v>
      </c>
      <c r="S298" s="568" t="str">
        <f>VLOOKUP(A298,'[1]Raw data'!$B:$Z,4,FALSE)</f>
        <v>YSM10</v>
      </c>
      <c r="T298" s="568" t="str">
        <f>VLOOKUP(A298,'[1]Raw data'!$B:$Z,8,FALSE)</f>
        <v>L-&gt;R</v>
      </c>
      <c r="U298" s="568" t="str">
        <f>VLOOKUP(A298,'[1]Raw data'!$B:$Z,9,FALSE)</f>
        <v>MVC</v>
      </c>
      <c r="V298" s="572" t="str">
        <f t="shared" si="48"/>
        <v>WRONG</v>
      </c>
      <c r="W298" s="568" t="str">
        <f>VLOOKUP(A298,'[1]Raw data'!$B:$AG,32,FALSE)</f>
        <v>含税到厂</v>
      </c>
      <c r="X298" s="568">
        <f>VLOOKUP(A298,'[1]Raw data'!$B:$BA,31,FALSE)</f>
        <v>43775</v>
      </c>
      <c r="Y298" s="568" t="str">
        <f>VLOOKUP(A298,'[1]Raw data'!$B:$AS,39,FALSE)</f>
        <v>Yes</v>
      </c>
      <c r="Z298" s="573"/>
      <c r="AA298" s="574"/>
      <c r="AB298" s="575"/>
      <c r="AC298" s="568" t="s">
        <v>772</v>
      </c>
      <c r="AD298" s="576">
        <v>301</v>
      </c>
      <c r="AE298" s="576">
        <v>10</v>
      </c>
      <c r="AN298" s="547"/>
      <c r="AO298" s="829" t="str">
        <f t="shared" si="40"/>
        <v>Yes</v>
      </c>
      <c r="AP298" s="259" t="str">
        <f t="shared" si="41"/>
        <v>NOV 19</v>
      </c>
      <c r="AQ298" s="547" t="str">
        <f t="shared" si="42"/>
        <v>有定金+有預留客戶</v>
      </c>
      <c r="AR298" s="259" t="str">
        <f t="shared" si="43"/>
        <v>Shipped_Stock</v>
      </c>
      <c r="AS298" s="259" t="str">
        <f t="shared" si="44"/>
        <v/>
      </c>
      <c r="AT298" s="259" t="str">
        <f t="shared" si="45"/>
        <v>硕泰克/end user 铭翔</v>
      </c>
      <c r="AU298" s="259" t="str">
        <f t="shared" si="46"/>
        <v>C49SZX20190153JL</v>
      </c>
      <c r="AV298" s="259" t="str">
        <f t="shared" si="47"/>
        <v>Nov-01</v>
      </c>
    </row>
    <row r="299" spans="1:69" ht="15.75" hidden="1" customHeight="1" thickBot="1">
      <c r="A299" s="564">
        <v>503</v>
      </c>
      <c r="B299" s="565" t="s">
        <v>280</v>
      </c>
      <c r="C299" s="565" t="s">
        <v>281</v>
      </c>
      <c r="D299" s="629">
        <v>109721</v>
      </c>
      <c r="E299" s="567" t="s">
        <v>644</v>
      </c>
      <c r="F299" s="568" t="s">
        <v>256</v>
      </c>
      <c r="G299" s="568" t="s">
        <v>24</v>
      </c>
      <c r="H299" s="568" t="s">
        <v>26</v>
      </c>
      <c r="I299" s="569" t="s">
        <v>774</v>
      </c>
      <c r="J299" s="569">
        <v>1</v>
      </c>
      <c r="K299" s="568" t="s">
        <v>437</v>
      </c>
      <c r="L299" s="570">
        <v>43803</v>
      </c>
      <c r="M299" s="618">
        <v>6.7199999999999996E-2</v>
      </c>
      <c r="N299" s="568" t="s">
        <v>286</v>
      </c>
      <c r="O299" s="569">
        <v>2019.11</v>
      </c>
      <c r="P299" s="571" t="str">
        <f>VLOOKUP(A299,'[1]Raw data'!$B:$BB,23,FALSE)</f>
        <v>JPY</v>
      </c>
      <c r="Q299" s="568" t="str">
        <f>VLOOKUP(A299,'[1]Raw data'!$B:$Z,2,FALSE)</f>
        <v>C49SZX20190163JY</v>
      </c>
      <c r="R299" s="568" t="str">
        <f>VLOOKUP(A299,'[1]Raw data'!$B:$Z,3,FALSE)</f>
        <v>灿明</v>
      </c>
      <c r="S299" s="568" t="str">
        <f>VLOOKUP(A299,'[1]Raw data'!$B:$Z,4,FALSE)</f>
        <v>YSM20R(SV)-2</v>
      </c>
      <c r="T299" s="568" t="str">
        <f>VLOOKUP(A299,'[1]Raw data'!$B:$Z,8,FALSE)</f>
        <v>L-&gt;R</v>
      </c>
      <c r="U299" s="568" t="str">
        <f>VLOOKUP(A299,'[1]Raw data'!$B:$Z,9,FALSE)</f>
        <v>No</v>
      </c>
      <c r="V299" s="572" t="str">
        <f t="shared" si="48"/>
        <v>OK</v>
      </c>
      <c r="W299" s="568" t="str">
        <f>VLOOKUP(A299,'[1]Raw data'!$B:$AG,32,FALSE)</f>
        <v>DAP SZ</v>
      </c>
      <c r="X299" s="568">
        <f>VLOOKUP(A299,'[1]Raw data'!$B:$BA,31,FALSE)</f>
        <v>43781</v>
      </c>
      <c r="Y299" s="568" t="str">
        <f>VLOOKUP(A299,'[1]Raw data'!$B:$AS,39,FALSE)</f>
        <v>Yes</v>
      </c>
      <c r="Z299" s="573"/>
      <c r="AA299" s="574"/>
      <c r="AB299" s="575"/>
      <c r="AC299" s="568" t="s">
        <v>758</v>
      </c>
      <c r="AD299" s="576">
        <v>301</v>
      </c>
      <c r="AE299" s="576">
        <v>20</v>
      </c>
      <c r="AN299" s="547"/>
      <c r="AO299" s="829" t="str">
        <f t="shared" si="40"/>
        <v>Yes</v>
      </c>
      <c r="AP299" s="259" t="str">
        <f t="shared" si="41"/>
        <v>DEC 19</v>
      </c>
      <c r="AQ299" s="547" t="str">
        <f t="shared" si="42"/>
        <v>有定金+有預留客戶</v>
      </c>
      <c r="AR299" s="259" t="str">
        <f t="shared" si="43"/>
        <v>Shipped_Stock</v>
      </c>
      <c r="AS299" s="259" t="str">
        <f t="shared" si="44"/>
        <v/>
      </c>
      <c r="AT299" s="259" t="str">
        <f t="shared" si="45"/>
        <v>灿明</v>
      </c>
      <c r="AU299" s="259" t="str">
        <f t="shared" si="46"/>
        <v>C49SZX20190163JY</v>
      </c>
      <c r="AV299" s="259" t="str">
        <f t="shared" si="47"/>
        <v>Dec-04</v>
      </c>
    </row>
    <row r="300" spans="1:69" ht="15" hidden="1" customHeight="1">
      <c r="A300" s="564">
        <v>500</v>
      </c>
      <c r="B300" s="568" t="s">
        <v>280</v>
      </c>
      <c r="C300" s="565" t="s">
        <v>281</v>
      </c>
      <c r="D300" s="628">
        <v>109721</v>
      </c>
      <c r="E300" s="567" t="s">
        <v>644</v>
      </c>
      <c r="F300" s="568" t="s">
        <v>256</v>
      </c>
      <c r="G300" s="568" t="s">
        <v>24</v>
      </c>
      <c r="H300" s="568" t="s">
        <v>26</v>
      </c>
      <c r="I300" s="569" t="s">
        <v>775</v>
      </c>
      <c r="J300" s="569">
        <v>1</v>
      </c>
      <c r="K300" s="568" t="s">
        <v>437</v>
      </c>
      <c r="L300" s="570">
        <v>43803</v>
      </c>
      <c r="M300" s="571">
        <v>6.5699999999999995E-2</v>
      </c>
      <c r="N300" s="568" t="s">
        <v>286</v>
      </c>
      <c r="O300" s="569">
        <v>2019.11</v>
      </c>
      <c r="P300" s="571" t="str">
        <f>VLOOKUP(A300,'[1]Raw data'!$B:$BB,23,FALSE)</f>
        <v>JPY</v>
      </c>
      <c r="Q300" s="568" t="str">
        <f>VLOOKUP(A300,'[1]Raw data'!$B:$Z,2,FALSE)</f>
        <v>C49SZX20190163JY</v>
      </c>
      <c r="R300" s="568" t="str">
        <f>VLOOKUP(A300,'[1]Raw data'!$B:$Z,3,FALSE)</f>
        <v>灿明</v>
      </c>
      <c r="S300" s="568" t="str">
        <f>VLOOKUP(A300,'[1]Raw data'!$B:$Z,4,FALSE)</f>
        <v>YSM20R(SV)-2</v>
      </c>
      <c r="T300" s="568" t="str">
        <f>VLOOKUP(A300,'[1]Raw data'!$B:$Z,8,FALSE)</f>
        <v>L-&gt;R</v>
      </c>
      <c r="U300" s="568" t="str">
        <f>VLOOKUP(A300,'[1]Raw data'!$B:$Z,9,FALSE)</f>
        <v>No</v>
      </c>
      <c r="V300" s="572" t="str">
        <f t="shared" si="48"/>
        <v>OK</v>
      </c>
      <c r="W300" s="568" t="str">
        <f>VLOOKUP(A300,'[1]Raw data'!$B:$AG,32,FALSE)</f>
        <v>DAP SZ</v>
      </c>
      <c r="X300" s="568">
        <f>VLOOKUP(A300,'[1]Raw data'!$B:$BA,31,FALSE)</f>
        <v>43781</v>
      </c>
      <c r="Y300" s="568" t="str">
        <f>VLOOKUP(A300,'[1]Raw data'!$B:$AS,39,FALSE)</f>
        <v>Yes</v>
      </c>
      <c r="Z300" s="573"/>
      <c r="AA300" s="574"/>
      <c r="AB300" s="575"/>
      <c r="AC300" s="568" t="s">
        <v>758</v>
      </c>
      <c r="AD300" s="576">
        <v>302</v>
      </c>
      <c r="AE300" s="576">
        <v>20</v>
      </c>
      <c r="AN300" s="547"/>
      <c r="AO300" s="829" t="str">
        <f t="shared" si="40"/>
        <v>Yes</v>
      </c>
      <c r="AP300" s="259" t="str">
        <f t="shared" si="41"/>
        <v>DEC 19</v>
      </c>
      <c r="AQ300" s="547" t="str">
        <f t="shared" si="42"/>
        <v>有定金+有預留客戶</v>
      </c>
      <c r="AR300" s="259" t="str">
        <f t="shared" si="43"/>
        <v>Shipped_Stock</v>
      </c>
      <c r="AS300" s="259" t="str">
        <f t="shared" si="44"/>
        <v/>
      </c>
      <c r="AT300" s="259" t="str">
        <f t="shared" si="45"/>
        <v>灿明</v>
      </c>
      <c r="AU300" s="259" t="str">
        <f t="shared" si="46"/>
        <v>C49SZX20190163JY</v>
      </c>
      <c r="AV300" s="259" t="str">
        <f t="shared" si="47"/>
        <v>Dec-04</v>
      </c>
    </row>
    <row r="301" spans="1:69" s="842" customFormat="1" ht="60" hidden="1" customHeight="1">
      <c r="A301" s="564">
        <v>501</v>
      </c>
      <c r="B301" s="568" t="s">
        <v>280</v>
      </c>
      <c r="C301" s="565" t="s">
        <v>281</v>
      </c>
      <c r="D301" s="630">
        <v>109721</v>
      </c>
      <c r="E301" s="567" t="s">
        <v>644</v>
      </c>
      <c r="F301" s="568" t="s">
        <v>256</v>
      </c>
      <c r="G301" s="568" t="s">
        <v>24</v>
      </c>
      <c r="H301" s="568" t="s">
        <v>26</v>
      </c>
      <c r="I301" s="569" t="s">
        <v>776</v>
      </c>
      <c r="J301" s="569">
        <v>1</v>
      </c>
      <c r="K301" s="568" t="s">
        <v>437</v>
      </c>
      <c r="L301" s="570">
        <v>43803</v>
      </c>
      <c r="M301" s="571">
        <v>6.5699999999999995E-2</v>
      </c>
      <c r="N301" s="568" t="s">
        <v>286</v>
      </c>
      <c r="O301" s="569">
        <v>2019.11</v>
      </c>
      <c r="P301" s="571" t="str">
        <f>VLOOKUP(A301,'[1]Raw data'!$B:$BB,23,FALSE)</f>
        <v>JPY</v>
      </c>
      <c r="Q301" s="568" t="str">
        <f>VLOOKUP(A301,'[1]Raw data'!$B:$Z,2,FALSE)</f>
        <v>C49SZX20190163JY</v>
      </c>
      <c r="R301" s="568" t="str">
        <f>VLOOKUP(A301,'[1]Raw data'!$B:$Z,3,FALSE)</f>
        <v>灿明</v>
      </c>
      <c r="S301" s="568" t="str">
        <f>VLOOKUP(A301,'[1]Raw data'!$B:$Z,4,FALSE)</f>
        <v>YSM20R(SV)-2</v>
      </c>
      <c r="T301" s="568" t="str">
        <f>VLOOKUP(A301,'[1]Raw data'!$B:$Z,8,FALSE)</f>
        <v>L-&gt;R</v>
      </c>
      <c r="U301" s="568" t="str">
        <f>VLOOKUP(A301,'[1]Raw data'!$B:$Z,9,FALSE)</f>
        <v>No</v>
      </c>
      <c r="V301" s="572" t="str">
        <f t="shared" si="48"/>
        <v>OK</v>
      </c>
      <c r="W301" s="568" t="str">
        <f>VLOOKUP(A301,'[1]Raw data'!$B:$AG,32,FALSE)</f>
        <v>DAP SZ</v>
      </c>
      <c r="X301" s="568">
        <f>VLOOKUP(A301,'[1]Raw data'!$B:$BA,31,FALSE)</f>
        <v>43781</v>
      </c>
      <c r="Y301" s="568" t="str">
        <f>VLOOKUP(A301,'[1]Raw data'!$B:$AS,39,FALSE)</f>
        <v>Yes</v>
      </c>
      <c r="Z301" s="573"/>
      <c r="AA301" s="574"/>
      <c r="AB301" s="575"/>
      <c r="AC301" s="568" t="s">
        <v>758</v>
      </c>
      <c r="AD301" s="576">
        <v>302</v>
      </c>
      <c r="AE301" s="576">
        <v>20</v>
      </c>
      <c r="AF301" s="576"/>
      <c r="AG301" s="576"/>
      <c r="AH301" s="576"/>
      <c r="AI301" s="577"/>
      <c r="AJ301" s="576"/>
      <c r="AK301" s="576"/>
      <c r="AL301" s="576"/>
      <c r="AM301" s="576"/>
      <c r="AN301" s="547"/>
      <c r="AO301" s="829" t="str">
        <f t="shared" si="40"/>
        <v>Yes</v>
      </c>
      <c r="AP301" s="259" t="str">
        <f t="shared" si="41"/>
        <v>DEC 19</v>
      </c>
      <c r="AQ301" s="547" t="str">
        <f t="shared" si="42"/>
        <v>有定金+有預留客戶</v>
      </c>
      <c r="AR301" s="259" t="str">
        <f t="shared" si="43"/>
        <v>Shipped_Stock</v>
      </c>
      <c r="AS301" s="259" t="str">
        <f t="shared" si="44"/>
        <v/>
      </c>
      <c r="AT301" s="259" t="str">
        <f t="shared" si="45"/>
        <v>灿明</v>
      </c>
      <c r="AU301" s="259" t="str">
        <f t="shared" si="46"/>
        <v>C49SZX20190163JY</v>
      </c>
      <c r="AV301" s="259" t="str">
        <f t="shared" si="47"/>
        <v>Dec-04</v>
      </c>
      <c r="AW301" s="259"/>
      <c r="AX301" s="259"/>
      <c r="AY301" s="259"/>
      <c r="AZ301" s="259"/>
      <c r="BA301" s="259"/>
      <c r="BB301" s="259"/>
      <c r="BC301" s="259"/>
      <c r="BD301" s="259"/>
      <c r="BE301" s="259"/>
      <c r="BF301" s="259"/>
      <c r="BG301" s="259"/>
      <c r="BH301" s="259"/>
      <c r="BI301" s="259"/>
      <c r="BJ301" s="259"/>
      <c r="BK301" s="259"/>
      <c r="BL301" s="259"/>
      <c r="BM301" s="259"/>
      <c r="BN301" s="259"/>
      <c r="BO301" s="259"/>
      <c r="BP301" s="259"/>
      <c r="BQ301" s="259"/>
    </row>
    <row r="302" spans="1:69" s="842" customFormat="1" ht="60" hidden="1" customHeight="1">
      <c r="A302" s="564">
        <v>457</v>
      </c>
      <c r="B302" s="568" t="s">
        <v>280</v>
      </c>
      <c r="C302" s="565" t="s">
        <v>281</v>
      </c>
      <c r="D302" s="630">
        <v>109721</v>
      </c>
      <c r="E302" s="567" t="s">
        <v>644</v>
      </c>
      <c r="F302" s="568" t="s">
        <v>256</v>
      </c>
      <c r="G302" s="568" t="s">
        <v>24</v>
      </c>
      <c r="H302" s="568" t="s">
        <v>26</v>
      </c>
      <c r="I302" s="569" t="s">
        <v>777</v>
      </c>
      <c r="J302" s="569">
        <v>1</v>
      </c>
      <c r="K302" s="568" t="s">
        <v>437</v>
      </c>
      <c r="L302" s="570">
        <v>43803</v>
      </c>
      <c r="M302" s="571">
        <v>6.5699999999999995E-2</v>
      </c>
      <c r="N302" s="568" t="s">
        <v>286</v>
      </c>
      <c r="O302" s="569">
        <v>2019.11</v>
      </c>
      <c r="P302" s="571" t="str">
        <f>VLOOKUP(A302,'[1]Raw data'!$B:$BB,23,FALSE)</f>
        <v>JPY</v>
      </c>
      <c r="Q302" s="568" t="str">
        <f>VLOOKUP(A302,'[1]Raw data'!$B:$Z,2,FALSE)</f>
        <v>C49SZX20190028MZR1</v>
      </c>
      <c r="R302" s="568" t="str">
        <f>VLOOKUP(A302,'[1]Raw data'!$B:$Z,3,FALSE)</f>
        <v>魔乐视/end user:拓普赛特</v>
      </c>
      <c r="S302" s="568" t="str">
        <f>VLOOKUP(A302,'[1]Raw data'!$B:$Z,4,FALSE)</f>
        <v>YSM20R(SV)-2</v>
      </c>
      <c r="T302" s="568" t="str">
        <f>VLOOKUP(A302,'[1]Raw data'!$B:$Z,8,FALSE)</f>
        <v>L-&gt;R</v>
      </c>
      <c r="U302" s="568" t="str">
        <f>VLOOKUP(A302,'[1]Raw data'!$B:$Z,9,FALSE)</f>
        <v>No</v>
      </c>
      <c r="V302" s="572" t="str">
        <f t="shared" si="48"/>
        <v>OK</v>
      </c>
      <c r="W302" s="568" t="str">
        <f>VLOOKUP(A302,'[1]Raw data'!$B:$AG,32,FALSE)</f>
        <v>DAP SZ</v>
      </c>
      <c r="X302" s="568">
        <f>VLOOKUP(A302,'[1]Raw data'!$B:$BA,31,FALSE)</f>
        <v>43762</v>
      </c>
      <c r="Y302" s="568" t="str">
        <f>VLOOKUP(A302,'[1]Raw data'!$B:$AS,39,FALSE)</f>
        <v>Yes</v>
      </c>
      <c r="Z302" s="573"/>
      <c r="AA302" s="574"/>
      <c r="AB302" s="575"/>
      <c r="AC302" s="568" t="s">
        <v>736</v>
      </c>
      <c r="AD302" s="576">
        <v>301</v>
      </c>
      <c r="AE302" s="576">
        <v>5</v>
      </c>
      <c r="AF302" s="576">
        <v>302</v>
      </c>
      <c r="AG302" s="576">
        <v>10</v>
      </c>
      <c r="AH302" s="576">
        <v>303</v>
      </c>
      <c r="AI302" s="577">
        <v>5</v>
      </c>
      <c r="AJ302" s="576"/>
      <c r="AK302" s="576"/>
      <c r="AL302" s="576"/>
      <c r="AM302" s="576"/>
      <c r="AN302" s="547"/>
      <c r="AO302" s="829" t="str">
        <f t="shared" si="40"/>
        <v>Yes</v>
      </c>
      <c r="AP302" s="259" t="str">
        <f t="shared" si="41"/>
        <v>DEC 19</v>
      </c>
      <c r="AQ302" s="547" t="str">
        <f t="shared" si="42"/>
        <v>有定金+有預留客戶</v>
      </c>
      <c r="AR302" s="259" t="str">
        <f t="shared" si="43"/>
        <v>Shipped_Stock</v>
      </c>
      <c r="AS302" s="259" t="str">
        <f t="shared" si="44"/>
        <v/>
      </c>
      <c r="AT302" s="259" t="str">
        <f t="shared" si="45"/>
        <v>魔乐视/end user:拓普赛特</v>
      </c>
      <c r="AU302" s="259" t="str">
        <f t="shared" si="46"/>
        <v>C49SZX20190028MZR1</v>
      </c>
      <c r="AV302" s="259" t="str">
        <f t="shared" si="47"/>
        <v>Dec-04</v>
      </c>
      <c r="AW302" s="259"/>
      <c r="AX302" s="259"/>
      <c r="AY302" s="259"/>
      <c r="AZ302" s="259"/>
      <c r="BA302" s="259"/>
      <c r="BB302" s="259"/>
      <c r="BC302" s="259"/>
      <c r="BD302" s="259"/>
      <c r="BE302" s="259"/>
      <c r="BF302" s="259"/>
      <c r="BG302" s="259"/>
      <c r="BH302" s="259"/>
      <c r="BI302" s="259"/>
      <c r="BJ302" s="259"/>
      <c r="BK302" s="259"/>
      <c r="BL302" s="259"/>
      <c r="BM302" s="259"/>
      <c r="BN302" s="259"/>
      <c r="BO302" s="259"/>
      <c r="BP302" s="259"/>
      <c r="BQ302" s="259"/>
    </row>
    <row r="303" spans="1:69" ht="15.75" hidden="1" customHeight="1" thickBot="1">
      <c r="A303" s="564">
        <v>458</v>
      </c>
      <c r="B303" s="568" t="s">
        <v>280</v>
      </c>
      <c r="C303" s="565" t="s">
        <v>281</v>
      </c>
      <c r="D303" s="629">
        <v>109721</v>
      </c>
      <c r="E303" s="567" t="s">
        <v>644</v>
      </c>
      <c r="F303" s="568" t="s">
        <v>256</v>
      </c>
      <c r="G303" s="568" t="s">
        <v>18</v>
      </c>
      <c r="H303" s="568" t="s">
        <v>27</v>
      </c>
      <c r="I303" s="569" t="s">
        <v>778</v>
      </c>
      <c r="J303" s="569">
        <v>1</v>
      </c>
      <c r="K303" s="568" t="s">
        <v>437</v>
      </c>
      <c r="L303" s="570">
        <v>43803</v>
      </c>
      <c r="M303" s="571">
        <v>6.5699999999999995E-2</v>
      </c>
      <c r="N303" s="568" t="s">
        <v>286</v>
      </c>
      <c r="O303" s="569">
        <v>2019.11</v>
      </c>
      <c r="P303" s="571" t="str">
        <f>VLOOKUP(A303,'[1]Raw data'!$B:$BB,23,FALSE)</f>
        <v>JPY</v>
      </c>
      <c r="Q303" s="568" t="str">
        <f>VLOOKUP(A303,'[1]Raw data'!$B:$Z,2,FALSE)</f>
        <v>C49SZX20190028MZR1</v>
      </c>
      <c r="R303" s="568" t="str">
        <f>VLOOKUP(A303,'[1]Raw data'!$B:$Z,3,FALSE)</f>
        <v>魔乐视/end user:拓普赛特</v>
      </c>
      <c r="S303" s="568" t="str">
        <f>VLOOKUP(A303,'[1]Raw data'!$B:$Z,4,FALSE)</f>
        <v>YSM20R(SV)-2</v>
      </c>
      <c r="T303" s="568" t="str">
        <f>VLOOKUP(A303,'[1]Raw data'!$B:$Z,8,FALSE)</f>
        <v>R-&gt;L</v>
      </c>
      <c r="U303" s="568" t="str">
        <f>VLOOKUP(A303,'[1]Raw data'!$B:$Z,9,FALSE)</f>
        <v>No</v>
      </c>
      <c r="V303" s="572" t="str">
        <f t="shared" si="48"/>
        <v>WRONG</v>
      </c>
      <c r="W303" s="568" t="str">
        <f>VLOOKUP(A303,'[1]Raw data'!$B:$AG,32,FALSE)</f>
        <v>DAP SZ</v>
      </c>
      <c r="X303" s="568">
        <f>VLOOKUP(A303,'[1]Raw data'!$B:$BA,31,FALSE)</f>
        <v>43762</v>
      </c>
      <c r="Y303" s="568" t="str">
        <f>VLOOKUP(A303,'[1]Raw data'!$B:$AS,39,FALSE)</f>
        <v>Yes</v>
      </c>
      <c r="Z303" s="573"/>
      <c r="AA303" s="574"/>
      <c r="AB303" s="575"/>
      <c r="AC303" s="568" t="s">
        <v>736</v>
      </c>
      <c r="AD303" s="576">
        <v>301</v>
      </c>
      <c r="AE303" s="576">
        <v>10</v>
      </c>
      <c r="AF303" s="576">
        <v>303</v>
      </c>
      <c r="AG303" s="576">
        <v>5</v>
      </c>
      <c r="AH303" s="576">
        <v>311</v>
      </c>
      <c r="AI303" s="577">
        <v>5</v>
      </c>
      <c r="AN303" s="547"/>
      <c r="AO303" s="829" t="str">
        <f t="shared" si="40"/>
        <v>Yes</v>
      </c>
      <c r="AP303" s="259" t="str">
        <f t="shared" si="41"/>
        <v>DEC 19</v>
      </c>
      <c r="AQ303" s="547" t="str">
        <f t="shared" si="42"/>
        <v>有定金+有預留客戶</v>
      </c>
      <c r="AR303" s="259" t="str">
        <f t="shared" si="43"/>
        <v>Shipped_Stock</v>
      </c>
      <c r="AS303" s="259" t="str">
        <f t="shared" si="44"/>
        <v/>
      </c>
      <c r="AT303" s="259" t="str">
        <f t="shared" si="45"/>
        <v>魔乐视/end user:拓普赛特</v>
      </c>
      <c r="AU303" s="259" t="str">
        <f t="shared" si="46"/>
        <v>C49SZX20190028MZR1</v>
      </c>
      <c r="AV303" s="259" t="str">
        <f t="shared" si="47"/>
        <v>Dec-04</v>
      </c>
    </row>
    <row r="304" spans="1:69" ht="15" hidden="1" customHeight="1">
      <c r="A304" s="564">
        <v>564</v>
      </c>
      <c r="B304" s="568" t="s">
        <v>280</v>
      </c>
      <c r="C304" s="565" t="s">
        <v>281</v>
      </c>
      <c r="D304" s="631">
        <v>109721</v>
      </c>
      <c r="E304" s="568" t="s">
        <v>644</v>
      </c>
      <c r="F304" s="568" t="s">
        <v>256</v>
      </c>
      <c r="G304" s="568" t="s">
        <v>18</v>
      </c>
      <c r="H304" s="568" t="s">
        <v>27</v>
      </c>
      <c r="I304" s="569" t="s">
        <v>779</v>
      </c>
      <c r="J304" s="569">
        <v>1</v>
      </c>
      <c r="K304" s="568" t="s">
        <v>437</v>
      </c>
      <c r="L304" s="570">
        <v>43803</v>
      </c>
      <c r="M304" s="581">
        <v>6.5699999999999995E-2</v>
      </c>
      <c r="N304" s="568" t="s">
        <v>731</v>
      </c>
      <c r="O304" s="569">
        <v>2019.11</v>
      </c>
      <c r="P304" s="571" t="str">
        <f>VLOOKUP(A304,'[1]Raw data'!$B:$BB,23,FALSE)</f>
        <v>JPY</v>
      </c>
      <c r="Q304" s="568" t="str">
        <f>VLOOKUP(A304,'[1]Raw data'!$B:$Z,2,FALSE)</f>
        <v>C49SZX20200001SX</v>
      </c>
      <c r="R304" s="568" t="str">
        <f>VLOOKUP(A304,'[1]Raw data'!$B:$Z,3,FALSE)</f>
        <v>柏星</v>
      </c>
      <c r="S304" s="568" t="str">
        <f>VLOOKUP(A304,'[1]Raw data'!$B:$Z,4,FALSE)</f>
        <v>YSM20R(SV)-2</v>
      </c>
      <c r="T304" s="568" t="str">
        <f>VLOOKUP(A304,'[1]Raw data'!$B:$Z,8,FALSE)</f>
        <v>R-&gt;L</v>
      </c>
      <c r="U304" s="568" t="str">
        <f>VLOOKUP(A304,'[1]Raw data'!$B:$Z,9,FALSE)</f>
        <v>No</v>
      </c>
      <c r="V304" s="572" t="str">
        <f t="shared" si="48"/>
        <v>WRONG</v>
      </c>
      <c r="W304" s="568" t="str">
        <f>VLOOKUP(A304,'[1]Raw data'!$B:$AG,32,FALSE)</f>
        <v>DAP DG</v>
      </c>
      <c r="X304" s="568">
        <f>VLOOKUP(A304,'[1]Raw data'!$B:$BA,31,FALSE)</f>
        <v>43831</v>
      </c>
      <c r="Y304" s="568" t="str">
        <f>VLOOKUP(A304,'[1]Raw data'!$B:$AS,39,FALSE)</f>
        <v>Yes</v>
      </c>
      <c r="Z304" s="573" t="s">
        <v>329</v>
      </c>
      <c r="AA304" s="574" t="s">
        <v>329</v>
      </c>
      <c r="AB304" s="575"/>
      <c r="AC304" s="568" t="s">
        <v>410</v>
      </c>
      <c r="AD304" s="576">
        <v>301</v>
      </c>
      <c r="AE304" s="576">
        <v>10</v>
      </c>
      <c r="AF304" s="576">
        <v>303</v>
      </c>
      <c r="AG304" s="576">
        <v>5</v>
      </c>
      <c r="AH304" s="576">
        <v>311</v>
      </c>
      <c r="AI304" s="577">
        <v>5</v>
      </c>
      <c r="AN304" s="547"/>
      <c r="AO304" s="829" t="str">
        <f t="shared" si="40"/>
        <v>Yes</v>
      </c>
      <c r="AP304" s="259" t="str">
        <f t="shared" si="41"/>
        <v>JAN 20</v>
      </c>
      <c r="AQ304" s="547" t="str">
        <f t="shared" si="42"/>
        <v>有定金+有預留客戶</v>
      </c>
      <c r="AR304" s="259" t="str">
        <f t="shared" si="43"/>
        <v>Shipped_Stock</v>
      </c>
      <c r="AS304" s="259" t="str">
        <f t="shared" si="44"/>
        <v/>
      </c>
      <c r="AT304" s="259" t="str">
        <f t="shared" si="45"/>
        <v>柏星</v>
      </c>
      <c r="AU304" s="259" t="str">
        <f t="shared" si="46"/>
        <v>C49SZX20200001SX</v>
      </c>
      <c r="AV304" s="259" t="str">
        <f t="shared" si="47"/>
        <v>Dec-04</v>
      </c>
    </row>
    <row r="305" spans="1:48" ht="15" hidden="1" customHeight="1">
      <c r="A305" s="564">
        <v>599</v>
      </c>
      <c r="B305" s="568" t="s">
        <v>280</v>
      </c>
      <c r="C305" s="565" t="s">
        <v>281</v>
      </c>
      <c r="D305" s="605">
        <v>109730</v>
      </c>
      <c r="E305" s="568" t="s">
        <v>780</v>
      </c>
      <c r="F305" s="568" t="s">
        <v>256</v>
      </c>
      <c r="G305" s="568" t="s">
        <v>24</v>
      </c>
      <c r="H305" s="568" t="s">
        <v>27</v>
      </c>
      <c r="I305" s="569" t="s">
        <v>781</v>
      </c>
      <c r="J305" s="569">
        <v>1</v>
      </c>
      <c r="K305" s="568" t="s">
        <v>295</v>
      </c>
      <c r="L305" s="570">
        <v>43810</v>
      </c>
      <c r="M305" s="581">
        <v>6.5299999999999997E-2</v>
      </c>
      <c r="N305" s="568" t="s">
        <v>554</v>
      </c>
      <c r="O305" s="569">
        <v>2019.11</v>
      </c>
      <c r="P305" s="571" t="str">
        <f>VLOOKUP(A305,'[1]Raw data'!$B:$BB,23,FALSE)</f>
        <v>RMB</v>
      </c>
      <c r="Q305" s="568" t="str">
        <f>VLOOKUP(A305,'[1]Raw data'!$B:$Z,2,FALSE)</f>
        <v>C49SZX20200009MX</v>
      </c>
      <c r="R305" s="568" t="str">
        <f>VLOOKUP(A305,'[1]Raw data'!$B:$Z,3,FALSE)</f>
        <v>民龙/End user 众立创</v>
      </c>
      <c r="S305" s="568" t="str">
        <f>VLOOKUP(A305,'[1]Raw data'!$B:$Z,4,FALSE)</f>
        <v>YSM20R(SV)-2</v>
      </c>
      <c r="T305" s="568" t="str">
        <f>VLOOKUP(A305,'[1]Raw data'!$B:$Z,8,FALSE)</f>
        <v>L-&gt;R</v>
      </c>
      <c r="U305" s="568" t="str">
        <f>VLOOKUP(A305,'[1]Raw data'!$B:$Z,9,FALSE)</f>
        <v>No</v>
      </c>
      <c r="V305" s="572" t="str">
        <f t="shared" si="48"/>
        <v>WRONG</v>
      </c>
      <c r="W305" s="568" t="str">
        <f>VLOOKUP(A305,'[1]Raw data'!$B:$AG,32,FALSE)</f>
        <v>含税到厂</v>
      </c>
      <c r="X305" s="568">
        <f>VLOOKUP(A305,'[1]Raw data'!$B:$BA,31,FALSE)</f>
        <v>43910</v>
      </c>
      <c r="Y305" s="568" t="str">
        <f>VLOOKUP(A305,'[1]Raw data'!$B:$AS,39,FALSE)</f>
        <v>Yes</v>
      </c>
      <c r="Z305" s="582"/>
      <c r="AA305" s="583"/>
      <c r="AB305" s="584"/>
      <c r="AC305" s="568" t="s">
        <v>782</v>
      </c>
      <c r="AD305" s="569">
        <v>301</v>
      </c>
      <c r="AE305" s="569">
        <v>20</v>
      </c>
      <c r="AF305" s="569"/>
      <c r="AG305" s="569"/>
      <c r="AH305" s="569"/>
      <c r="AI305" s="632"/>
      <c r="AJ305" s="569"/>
      <c r="AK305" s="569"/>
      <c r="AL305" s="569"/>
      <c r="AM305" s="569"/>
      <c r="AN305" s="547"/>
      <c r="AO305" s="829" t="str">
        <f t="shared" si="40"/>
        <v>Yes</v>
      </c>
      <c r="AP305" s="259" t="str">
        <f t="shared" si="41"/>
        <v>APR 20</v>
      </c>
      <c r="AQ305" s="547" t="str">
        <f t="shared" si="42"/>
        <v>有定金+有預留客戶</v>
      </c>
      <c r="AR305" s="259" t="str">
        <f t="shared" si="43"/>
        <v>Shipped_Stock</v>
      </c>
      <c r="AS305" s="259" t="str">
        <f t="shared" si="44"/>
        <v/>
      </c>
      <c r="AT305" s="259" t="str">
        <f t="shared" si="45"/>
        <v>民龙/End user 众立创</v>
      </c>
      <c r="AU305" s="259" t="str">
        <f t="shared" si="46"/>
        <v>C49SZX20200009MX</v>
      </c>
      <c r="AV305" s="259" t="str">
        <f t="shared" si="47"/>
        <v>Dec-11</v>
      </c>
    </row>
    <row r="306" spans="1:48" ht="15" hidden="1" customHeight="1">
      <c r="A306" s="604">
        <v>568</v>
      </c>
      <c r="B306" s="568" t="s">
        <v>280</v>
      </c>
      <c r="C306" s="565" t="s">
        <v>281</v>
      </c>
      <c r="D306" s="605">
        <v>109730</v>
      </c>
      <c r="E306" s="568" t="s">
        <v>780</v>
      </c>
      <c r="F306" s="568" t="s">
        <v>256</v>
      </c>
      <c r="G306" s="568" t="s">
        <v>18</v>
      </c>
      <c r="H306" s="568" t="s">
        <v>27</v>
      </c>
      <c r="I306" s="569" t="s">
        <v>783</v>
      </c>
      <c r="J306" s="569">
        <v>1</v>
      </c>
      <c r="K306" s="568" t="s">
        <v>784</v>
      </c>
      <c r="L306" s="570">
        <v>43810</v>
      </c>
      <c r="M306" s="581">
        <v>6.5299999999999997E-2</v>
      </c>
      <c r="N306" s="568" t="s">
        <v>785</v>
      </c>
      <c r="O306" s="569">
        <v>2019.11</v>
      </c>
      <c r="P306" s="571" t="str">
        <f>VLOOKUP(A306,'[1]Raw data'!$B:$BB,23,FALSE)</f>
        <v>JPY</v>
      </c>
      <c r="Q306" s="568" t="str">
        <f>VLOOKUP(A306,'[1]Raw data'!$B:$Z,2,FALSE)</f>
        <v>C49SZX20200003CX</v>
      </c>
      <c r="R306" s="568" t="str">
        <f>VLOOKUP(A306,'[1]Raw data'!$B:$Z,3,FALSE)</f>
        <v>靓颖电子</v>
      </c>
      <c r="S306" s="568" t="str">
        <f>VLOOKUP(A306,'[1]Raw data'!$B:$Z,4,FALSE)</f>
        <v>YSM20R(SV)-2</v>
      </c>
      <c r="T306" s="568" t="str">
        <f>VLOOKUP(A306,'[1]Raw data'!$B:$Z,8,FALSE)</f>
        <v>R-&gt;L</v>
      </c>
      <c r="U306" s="568" t="str">
        <f>VLOOKUP(A306,'[1]Raw data'!$B:$Z,9,FALSE)</f>
        <v>MVC</v>
      </c>
      <c r="V306" s="572" t="str">
        <f t="shared" si="48"/>
        <v>OK</v>
      </c>
      <c r="W306" s="568" t="str">
        <f>VLOOKUP(A306,'[1]Raw data'!$B:$AG,32,FALSE)</f>
        <v>DAP ST</v>
      </c>
      <c r="X306" s="568">
        <f>VLOOKUP(A306,'[1]Raw data'!$B:$BA,31,FALSE)</f>
        <v>43467</v>
      </c>
      <c r="Y306" s="568" t="str">
        <f>VLOOKUP(A306,'[1]Raw data'!$B:$AS,39,FALSE)</f>
        <v>Yes</v>
      </c>
      <c r="Z306" s="573"/>
      <c r="AA306" s="574"/>
      <c r="AB306" s="575"/>
      <c r="AC306" s="568" t="s">
        <v>786</v>
      </c>
      <c r="AD306" s="569">
        <v>312</v>
      </c>
      <c r="AE306" s="569">
        <v>10</v>
      </c>
      <c r="AF306" s="569">
        <v>303</v>
      </c>
      <c r="AG306" s="569">
        <v>10</v>
      </c>
      <c r="AH306" s="569"/>
      <c r="AI306" s="632"/>
      <c r="AJ306" s="569"/>
      <c r="AK306" s="569"/>
      <c r="AL306" s="569"/>
      <c r="AM306" s="569"/>
      <c r="AN306" s="547"/>
      <c r="AO306" s="829" t="str">
        <f t="shared" si="40"/>
        <v>Yes</v>
      </c>
      <c r="AP306" s="259" t="str">
        <f t="shared" si="41"/>
        <v>MAR 20</v>
      </c>
      <c r="AQ306" s="547" t="str">
        <f t="shared" si="42"/>
        <v>有定金+有預留客戶</v>
      </c>
      <c r="AR306" s="259" t="str">
        <f t="shared" si="43"/>
        <v>Shipped_Stock</v>
      </c>
      <c r="AS306" s="259" t="str">
        <f t="shared" si="44"/>
        <v/>
      </c>
      <c r="AT306" s="259" t="str">
        <f t="shared" si="45"/>
        <v>靓颖电子</v>
      </c>
      <c r="AU306" s="259" t="str">
        <f t="shared" si="46"/>
        <v>C49SZX20200003CX</v>
      </c>
      <c r="AV306" s="259" t="str">
        <f t="shared" si="47"/>
        <v>Dec-11</v>
      </c>
    </row>
    <row r="307" spans="1:48" ht="15" hidden="1" customHeight="1">
      <c r="A307" s="604">
        <v>480</v>
      </c>
      <c r="B307" s="568" t="s">
        <v>280</v>
      </c>
      <c r="C307" s="565" t="s">
        <v>281</v>
      </c>
      <c r="D307" s="605">
        <v>109730</v>
      </c>
      <c r="E307" s="568" t="s">
        <v>780</v>
      </c>
      <c r="F307" s="568" t="s">
        <v>256</v>
      </c>
      <c r="G307" s="568" t="s">
        <v>24</v>
      </c>
      <c r="H307" s="568" t="s">
        <v>26</v>
      </c>
      <c r="I307" s="569" t="s">
        <v>787</v>
      </c>
      <c r="J307" s="633">
        <v>1</v>
      </c>
      <c r="K307" s="568" t="s">
        <v>784</v>
      </c>
      <c r="L307" s="570">
        <v>43810</v>
      </c>
      <c r="M307" s="620" t="s">
        <v>788</v>
      </c>
      <c r="N307" s="568" t="s">
        <v>789</v>
      </c>
      <c r="O307" s="569">
        <v>2019.11</v>
      </c>
      <c r="P307" s="571" t="str">
        <f>VLOOKUP(A307,'[1]Raw data'!$B:$BB,23,FALSE)</f>
        <v>JPY</v>
      </c>
      <c r="Q307" s="568" t="str">
        <f>VLOOKUP(A307,'[1]Raw data'!$B:$Z,2,FALSE)</f>
        <v>C49SZX20190156-2ZX</v>
      </c>
      <c r="R307" s="568" t="str">
        <f>VLOOKUP(A307,'[1]Raw data'!$B:$Z,3,FALSE)</f>
        <v>锘铧</v>
      </c>
      <c r="S307" s="568" t="str">
        <f>VLOOKUP(A307,'[1]Raw data'!$B:$Z,4,FALSE)</f>
        <v>YSM20R(SV)-2</v>
      </c>
      <c r="T307" s="568" t="str">
        <f>VLOOKUP(A307,'[1]Raw data'!$B:$Z,8,FALSE)</f>
        <v>R-&gt;L</v>
      </c>
      <c r="U307" s="568" t="str">
        <f>VLOOKUP(A307,'[1]Raw data'!$B:$Z,9,FALSE)</f>
        <v>No</v>
      </c>
      <c r="V307" s="572" t="str">
        <f t="shared" si="48"/>
        <v>WRONG</v>
      </c>
      <c r="W307" s="568" t="str">
        <f>VLOOKUP(A307,'[1]Raw data'!$B:$AG,32,FALSE)</f>
        <v>DAP GZ</v>
      </c>
      <c r="X307" s="568">
        <f>VLOOKUP(A307,'[1]Raw data'!$B:$BA,31,FALSE)</f>
        <v>43774</v>
      </c>
      <c r="Y307" s="568" t="str">
        <f>VLOOKUP(A307,'[1]Raw data'!$B:$AS,39,FALSE)</f>
        <v>Yes</v>
      </c>
      <c r="Z307" s="573"/>
      <c r="AA307" s="574"/>
      <c r="AB307" s="575"/>
      <c r="AC307" s="568" t="s">
        <v>621</v>
      </c>
      <c r="AD307" s="569">
        <v>301</v>
      </c>
      <c r="AE307" s="569">
        <v>10</v>
      </c>
      <c r="AF307" s="569">
        <v>302</v>
      </c>
      <c r="AG307" s="569">
        <v>10</v>
      </c>
      <c r="AH307" s="569"/>
      <c r="AI307" s="632"/>
      <c r="AJ307" s="569"/>
      <c r="AK307" s="569"/>
      <c r="AL307" s="569"/>
      <c r="AM307" s="569"/>
      <c r="AN307" s="547"/>
      <c r="AO307" s="829" t="str">
        <f t="shared" si="40"/>
        <v>Yes</v>
      </c>
      <c r="AP307" s="259" t="str">
        <f t="shared" si="41"/>
        <v>FEB 20</v>
      </c>
      <c r="AQ307" s="547" t="str">
        <f t="shared" si="42"/>
        <v>有定金+有預留客戶</v>
      </c>
      <c r="AR307" s="259" t="str">
        <f t="shared" si="43"/>
        <v>Shipped_Stock</v>
      </c>
      <c r="AS307" s="259" t="str">
        <f t="shared" si="44"/>
        <v/>
      </c>
      <c r="AT307" s="259" t="str">
        <f t="shared" si="45"/>
        <v>锘铧</v>
      </c>
      <c r="AU307" s="259" t="str">
        <f t="shared" si="46"/>
        <v>C49SZX20190156-2ZX</v>
      </c>
      <c r="AV307" s="259" t="str">
        <f t="shared" si="47"/>
        <v>Dec-11</v>
      </c>
    </row>
    <row r="308" spans="1:48" ht="15" hidden="1" customHeight="1">
      <c r="A308" s="564">
        <v>608</v>
      </c>
      <c r="B308" s="568" t="s">
        <v>280</v>
      </c>
      <c r="C308" s="565" t="s">
        <v>281</v>
      </c>
      <c r="D308" s="634">
        <v>109730</v>
      </c>
      <c r="E308" s="635" t="s">
        <v>780</v>
      </c>
      <c r="F308" s="568" t="s">
        <v>256</v>
      </c>
      <c r="G308" s="568" t="s">
        <v>24</v>
      </c>
      <c r="H308" s="568" t="s">
        <v>27</v>
      </c>
      <c r="I308" s="569" t="s">
        <v>790</v>
      </c>
      <c r="J308" s="569">
        <v>1</v>
      </c>
      <c r="K308" s="568" t="s">
        <v>496</v>
      </c>
      <c r="L308" s="570">
        <v>43810</v>
      </c>
      <c r="M308" s="581">
        <v>6.5299999999999997E-2</v>
      </c>
      <c r="N308" s="568" t="s">
        <v>554</v>
      </c>
      <c r="O308" s="569">
        <v>2019.11</v>
      </c>
      <c r="P308" s="571" t="str">
        <f>VLOOKUP(A308,'[1]Raw data'!$B:$BB,23,FALSE)</f>
        <v>RMB</v>
      </c>
      <c r="Q308" s="568" t="str">
        <f>VLOOKUP(A308,'[1]Raw data'!$B:$Z,2,FALSE)</f>
        <v>C49SZX20200039SX</v>
      </c>
      <c r="R308" s="568" t="str">
        <f>VLOOKUP(A308,'[1]Raw data'!$B:$Z,3,FALSE)</f>
        <v>柏星</v>
      </c>
      <c r="S308" s="568" t="str">
        <f>VLOOKUP(A308,'[1]Raw data'!$B:$Z,4,FALSE)</f>
        <v>YSM20R(SV)-2</v>
      </c>
      <c r="T308" s="568" t="str">
        <f>VLOOKUP(A308,'[1]Raw data'!$B:$Z,8,FALSE)</f>
        <v>L-&gt;R</v>
      </c>
      <c r="U308" s="568" t="str">
        <f>VLOOKUP(A308,'[1]Raw data'!$B:$Z,9,FALSE)</f>
        <v>No</v>
      </c>
      <c r="V308" s="572" t="str">
        <f t="shared" si="48"/>
        <v>WRONG</v>
      </c>
      <c r="W308" s="568" t="str">
        <f>VLOOKUP(A308,'[1]Raw data'!$B:$AG,32,FALSE)</f>
        <v>含税到厂</v>
      </c>
      <c r="X308" s="568">
        <f>VLOOKUP(A308,'[1]Raw data'!$B:$BA,31,FALSE)</f>
        <v>43920</v>
      </c>
      <c r="Y308" s="568" t="str">
        <f>VLOOKUP(A308,'[1]Raw data'!$B:$AS,39,FALSE)</f>
        <v>Yes</v>
      </c>
      <c r="AC308" s="568" t="s">
        <v>410</v>
      </c>
      <c r="AD308" s="576">
        <v>301</v>
      </c>
      <c r="AE308" s="576">
        <v>20</v>
      </c>
      <c r="AN308" s="547"/>
      <c r="AO308" s="829" t="str">
        <f t="shared" si="40"/>
        <v>Yes</v>
      </c>
      <c r="AP308" s="259" t="str">
        <f t="shared" si="41"/>
        <v>APR 20</v>
      </c>
      <c r="AQ308" s="547" t="str">
        <f t="shared" si="42"/>
        <v>有定金+有預留客戶</v>
      </c>
      <c r="AR308" s="259" t="str">
        <f t="shared" si="43"/>
        <v>Shipped_Stock</v>
      </c>
      <c r="AS308" s="259" t="str">
        <f t="shared" si="44"/>
        <v/>
      </c>
      <c r="AT308" s="259" t="str">
        <f t="shared" si="45"/>
        <v>柏星</v>
      </c>
      <c r="AU308" s="259" t="str">
        <f t="shared" si="46"/>
        <v>C49SZX20200039SX</v>
      </c>
      <c r="AV308" s="259" t="str">
        <f t="shared" si="47"/>
        <v>Dec-11</v>
      </c>
    </row>
    <row r="309" spans="1:48" ht="15" hidden="1" customHeight="1">
      <c r="A309" s="604">
        <v>585</v>
      </c>
      <c r="B309" s="568" t="s">
        <v>280</v>
      </c>
      <c r="C309" s="565" t="s">
        <v>281</v>
      </c>
      <c r="D309" s="630">
        <v>109730</v>
      </c>
      <c r="E309" s="567" t="s">
        <v>780</v>
      </c>
      <c r="F309" s="568" t="s">
        <v>256</v>
      </c>
      <c r="G309" s="568" t="s">
        <v>18</v>
      </c>
      <c r="H309" s="568" t="s">
        <v>26</v>
      </c>
      <c r="I309" s="569" t="s">
        <v>791</v>
      </c>
      <c r="J309" s="576">
        <v>1</v>
      </c>
      <c r="K309" s="568" t="s">
        <v>437</v>
      </c>
      <c r="L309" s="570">
        <v>43810</v>
      </c>
      <c r="M309" s="581">
        <v>6.5299999999999997E-2</v>
      </c>
      <c r="N309" s="568" t="s">
        <v>789</v>
      </c>
      <c r="O309" s="569">
        <v>2019.11</v>
      </c>
      <c r="P309" s="571" t="str">
        <f>VLOOKUP(A309,'[1]Raw data'!$B:$BB,23,FALSE)</f>
        <v>JPY</v>
      </c>
      <c r="Q309" s="568" t="str">
        <f>VLOOKUP(A309,'[1]Raw data'!$B:$Z,2,FALSE)</f>
        <v>C49SZX20200018SX</v>
      </c>
      <c r="R309" s="568" t="str">
        <f>VLOOKUP(A309,'[1]Raw data'!$B:$Z,3,FALSE)</f>
        <v>福瑞康</v>
      </c>
      <c r="S309" s="568" t="str">
        <f>VLOOKUP(A309,'[1]Raw data'!$B:$Z,4,FALSE)</f>
        <v>YSM20R(SV)-2</v>
      </c>
      <c r="T309" s="568" t="str">
        <f>VLOOKUP(A309,'[1]Raw data'!$B:$Z,8,FALSE)</f>
        <v>R-&gt;L</v>
      </c>
      <c r="U309" s="568" t="str">
        <f>VLOOKUP(A309,'[1]Raw data'!$B:$Z,9,FALSE)</f>
        <v>MVC</v>
      </c>
      <c r="V309" s="572" t="str">
        <f t="shared" si="48"/>
        <v>WRONG</v>
      </c>
      <c r="W309" s="568" t="str">
        <f>VLOOKUP(A309,'[1]Raw data'!$B:$AG,32,FALSE)</f>
        <v>DAP DG</v>
      </c>
      <c r="X309" s="568">
        <f>VLOOKUP(A309,'[1]Raw data'!$B:$BA,31,FALSE)</f>
        <v>43880</v>
      </c>
      <c r="Y309" s="568" t="str">
        <f>VLOOKUP(A309,'[1]Raw data'!$B:$AS,39,FALSE)</f>
        <v>Yes</v>
      </c>
      <c r="Z309" s="573"/>
      <c r="AA309" s="574"/>
      <c r="AB309" s="575"/>
      <c r="AC309" s="568" t="s">
        <v>606</v>
      </c>
      <c r="AD309" s="569">
        <v>301</v>
      </c>
      <c r="AE309" s="569">
        <v>10</v>
      </c>
      <c r="AF309" s="569">
        <v>303</v>
      </c>
      <c r="AG309" s="569">
        <v>10</v>
      </c>
      <c r="AH309" s="569"/>
      <c r="AI309" s="632"/>
      <c r="AJ309" s="569"/>
      <c r="AK309" s="569"/>
      <c r="AL309" s="569"/>
      <c r="AM309" s="569"/>
      <c r="AN309" s="547"/>
      <c r="AO309" s="829" t="str">
        <f t="shared" si="40"/>
        <v>Yes</v>
      </c>
      <c r="AP309" s="259" t="str">
        <f t="shared" si="41"/>
        <v>FEB 20</v>
      </c>
      <c r="AQ309" s="547" t="str">
        <f t="shared" si="42"/>
        <v>有定金+有預留客戶</v>
      </c>
      <c r="AR309" s="259" t="str">
        <f t="shared" si="43"/>
        <v>Shipped_Stock</v>
      </c>
      <c r="AS309" s="259" t="str">
        <f t="shared" si="44"/>
        <v/>
      </c>
      <c r="AT309" s="259" t="str">
        <f t="shared" si="45"/>
        <v>福瑞康</v>
      </c>
      <c r="AU309" s="259" t="str">
        <f t="shared" si="46"/>
        <v>C49SZX20200018SX</v>
      </c>
      <c r="AV309" s="259" t="str">
        <f t="shared" si="47"/>
        <v>Dec-11</v>
      </c>
    </row>
    <row r="310" spans="1:48" ht="15" hidden="1" customHeight="1">
      <c r="A310" s="564">
        <v>561</v>
      </c>
      <c r="B310" s="568" t="s">
        <v>280</v>
      </c>
      <c r="C310" s="565" t="s">
        <v>281</v>
      </c>
      <c r="D310" s="630">
        <v>109730</v>
      </c>
      <c r="E310" s="567" t="s">
        <v>780</v>
      </c>
      <c r="F310" s="568" t="s">
        <v>256</v>
      </c>
      <c r="G310" s="568" t="s">
        <v>18</v>
      </c>
      <c r="H310" s="568" t="s">
        <v>27</v>
      </c>
      <c r="I310" s="569" t="s">
        <v>792</v>
      </c>
      <c r="J310" s="569">
        <v>1</v>
      </c>
      <c r="K310" s="568" t="s">
        <v>437</v>
      </c>
      <c r="L310" s="570">
        <v>43810</v>
      </c>
      <c r="M310" s="581">
        <v>6.5299999999999997E-2</v>
      </c>
      <c r="N310" s="568" t="s">
        <v>731</v>
      </c>
      <c r="O310" s="569">
        <v>2019.11</v>
      </c>
      <c r="P310" s="571" t="str">
        <f>VLOOKUP(A310,'[1]Raw data'!$B:$BB,23,FALSE)</f>
        <v>JPY</v>
      </c>
      <c r="Q310" s="568" t="str">
        <f>VLOOKUP(A310,'[1]Raw data'!$B:$Z,2,FALSE)</f>
        <v>C49SZX20190192MZ</v>
      </c>
      <c r="R310" s="568" t="str">
        <f>VLOOKUP(A310,'[1]Raw data'!$B:$Z,3,FALSE)</f>
        <v>鸿南电子</v>
      </c>
      <c r="S310" s="568" t="str">
        <f>VLOOKUP(A310,'[1]Raw data'!$B:$Z,4,FALSE)</f>
        <v>YSM20R(SV)-2</v>
      </c>
      <c r="T310" s="568" t="str">
        <f>VLOOKUP(A310,'[1]Raw data'!$B:$Z,8,FALSE)</f>
        <v>R-&gt;L</v>
      </c>
      <c r="U310" s="568" t="str">
        <f>VLOOKUP(A310,'[1]Raw data'!$B:$Z,9,FALSE)</f>
        <v>No</v>
      </c>
      <c r="V310" s="572" t="str">
        <f t="shared" si="48"/>
        <v>WRONG</v>
      </c>
      <c r="W310" s="568" t="str">
        <f>VLOOKUP(A310,'[1]Raw data'!$B:$AG,32,FALSE)</f>
        <v>CIF HK</v>
      </c>
      <c r="X310" s="568">
        <f>VLOOKUP(A310,'[1]Raw data'!$B:$BA,31,FALSE)</f>
        <v>43823</v>
      </c>
      <c r="Y310" s="568" t="str">
        <f>VLOOKUP(A310,'[1]Raw data'!$B:$AS,39,FALSE)</f>
        <v>Yes</v>
      </c>
      <c r="Z310" s="573"/>
      <c r="AA310" s="574"/>
      <c r="AB310" s="575"/>
      <c r="AC310" s="568" t="s">
        <v>400</v>
      </c>
      <c r="AD310" s="576">
        <v>311</v>
      </c>
      <c r="AE310" s="576">
        <v>10</v>
      </c>
      <c r="AF310" s="576">
        <v>303</v>
      </c>
      <c r="AG310" s="576">
        <v>10</v>
      </c>
      <c r="AN310" s="547"/>
      <c r="AO310" s="829" t="str">
        <f t="shared" si="40"/>
        <v>Yes</v>
      </c>
      <c r="AP310" s="259" t="str">
        <f t="shared" si="41"/>
        <v>JAN 20</v>
      </c>
      <c r="AQ310" s="547" t="str">
        <f t="shared" si="42"/>
        <v>有定金+有預留客戶</v>
      </c>
      <c r="AR310" s="259" t="str">
        <f t="shared" si="43"/>
        <v>Shipped_Stock</v>
      </c>
      <c r="AS310" s="259" t="str">
        <f t="shared" si="44"/>
        <v/>
      </c>
      <c r="AT310" s="259" t="str">
        <f t="shared" si="45"/>
        <v>鸿南电子</v>
      </c>
      <c r="AU310" s="259" t="str">
        <f t="shared" si="46"/>
        <v>C49SZX20190192MZ</v>
      </c>
      <c r="AV310" s="259" t="str">
        <f t="shared" si="47"/>
        <v>Dec-11</v>
      </c>
    </row>
    <row r="311" spans="1:48" ht="15.75" hidden="1" customHeight="1" thickBot="1">
      <c r="A311" s="564">
        <v>499</v>
      </c>
      <c r="B311" s="565" t="s">
        <v>280</v>
      </c>
      <c r="C311" s="565" t="s">
        <v>281</v>
      </c>
      <c r="D311" s="629">
        <v>109730</v>
      </c>
      <c r="E311" s="567" t="s">
        <v>780</v>
      </c>
      <c r="F311" s="568" t="s">
        <v>256</v>
      </c>
      <c r="G311" s="568" t="s">
        <v>24</v>
      </c>
      <c r="H311" s="568" t="s">
        <v>26</v>
      </c>
      <c r="I311" s="569" t="s">
        <v>793</v>
      </c>
      <c r="J311" s="569">
        <v>1</v>
      </c>
      <c r="K311" s="568" t="s">
        <v>437</v>
      </c>
      <c r="L311" s="570">
        <v>43810</v>
      </c>
      <c r="M311" s="618" t="s">
        <v>257</v>
      </c>
      <c r="N311" s="568" t="s">
        <v>286</v>
      </c>
      <c r="O311" s="569">
        <v>2019.11</v>
      </c>
      <c r="P311" s="571" t="str">
        <f>VLOOKUP(A311,'[1]Raw data'!$B:$BB,23,FALSE)</f>
        <v>JPY</v>
      </c>
      <c r="Q311" s="568" t="str">
        <f>VLOOKUP(A311,'[1]Raw data'!$B:$Z,2,FALSE)</f>
        <v>C49SZX20190163JY</v>
      </c>
      <c r="R311" s="568" t="str">
        <f>VLOOKUP(A311,'[1]Raw data'!$B:$Z,3,FALSE)</f>
        <v>灿明</v>
      </c>
      <c r="S311" s="568" t="str">
        <f>VLOOKUP(A311,'[1]Raw data'!$B:$Z,4,FALSE)</f>
        <v>YSM20R(SV)-2</v>
      </c>
      <c r="T311" s="568" t="str">
        <f>VLOOKUP(A311,'[1]Raw data'!$B:$Z,8,FALSE)</f>
        <v>L-&gt;R</v>
      </c>
      <c r="U311" s="568" t="str">
        <f>VLOOKUP(A311,'[1]Raw data'!$B:$Z,9,FALSE)</f>
        <v>No</v>
      </c>
      <c r="V311" s="572" t="str">
        <f t="shared" si="48"/>
        <v>OK</v>
      </c>
      <c r="W311" s="568" t="str">
        <f>VLOOKUP(A311,'[1]Raw data'!$B:$AG,32,FALSE)</f>
        <v>DAP SZ</v>
      </c>
      <c r="X311" s="568">
        <f>VLOOKUP(A311,'[1]Raw data'!$B:$BA,31,FALSE)</f>
        <v>43781</v>
      </c>
      <c r="Y311" s="568" t="str">
        <f>VLOOKUP(A311,'[1]Raw data'!$B:$AS,39,FALSE)</f>
        <v>Yes</v>
      </c>
      <c r="Z311" s="573"/>
      <c r="AA311" s="574"/>
      <c r="AB311" s="575"/>
      <c r="AC311" s="568" t="s">
        <v>758</v>
      </c>
      <c r="AD311" s="576">
        <v>301</v>
      </c>
      <c r="AE311" s="576">
        <v>10</v>
      </c>
      <c r="AF311" s="576">
        <v>302</v>
      </c>
      <c r="AG311" s="576">
        <v>10</v>
      </c>
      <c r="AN311" s="547"/>
      <c r="AO311" s="829" t="str">
        <f t="shared" si="40"/>
        <v>Yes</v>
      </c>
      <c r="AP311" s="259" t="str">
        <f t="shared" si="41"/>
        <v>DEC 19</v>
      </c>
      <c r="AQ311" s="547" t="str">
        <f t="shared" si="42"/>
        <v>有定金+有預留客戶</v>
      </c>
      <c r="AR311" s="259" t="str">
        <f t="shared" si="43"/>
        <v>Shipped_Stock</v>
      </c>
      <c r="AS311" s="259" t="str">
        <f t="shared" si="44"/>
        <v/>
      </c>
      <c r="AT311" s="259" t="str">
        <f t="shared" si="45"/>
        <v>灿明</v>
      </c>
      <c r="AU311" s="259" t="str">
        <f t="shared" si="46"/>
        <v>C49SZX20190163JY</v>
      </c>
      <c r="AV311" s="259" t="str">
        <f t="shared" si="47"/>
        <v>Dec-11</v>
      </c>
    </row>
    <row r="312" spans="1:48" ht="15" hidden="1" customHeight="1">
      <c r="A312" s="564">
        <v>502</v>
      </c>
      <c r="B312" s="568" t="s">
        <v>280</v>
      </c>
      <c r="C312" s="565" t="s">
        <v>281</v>
      </c>
      <c r="D312" s="605">
        <v>109730</v>
      </c>
      <c r="E312" s="568" t="s">
        <v>780</v>
      </c>
      <c r="F312" s="568" t="s">
        <v>256</v>
      </c>
      <c r="G312" s="568" t="s">
        <v>24</v>
      </c>
      <c r="H312" s="568" t="s">
        <v>26</v>
      </c>
      <c r="I312" s="569" t="s">
        <v>794</v>
      </c>
      <c r="J312" s="569">
        <v>1</v>
      </c>
      <c r="K312" s="568" t="s">
        <v>437</v>
      </c>
      <c r="L312" s="570">
        <v>43810</v>
      </c>
      <c r="M312" s="618" t="s">
        <v>257</v>
      </c>
      <c r="N312" s="568" t="s">
        <v>286</v>
      </c>
      <c r="O312" s="569">
        <v>2019.11</v>
      </c>
      <c r="P312" s="571" t="str">
        <f>VLOOKUP(A312,'[1]Raw data'!$B:$BB,23,FALSE)</f>
        <v>JPY</v>
      </c>
      <c r="Q312" s="568" t="str">
        <f>VLOOKUP(A312,'[1]Raw data'!$B:$Z,2,FALSE)</f>
        <v>C49SZX20190163JY</v>
      </c>
      <c r="R312" s="568" t="str">
        <f>VLOOKUP(A312,'[1]Raw data'!$B:$Z,3,FALSE)</f>
        <v>灿明</v>
      </c>
      <c r="S312" s="568" t="str">
        <f>VLOOKUP(A312,'[1]Raw data'!$B:$Z,4,FALSE)</f>
        <v>YSM20R(SV)-2</v>
      </c>
      <c r="T312" s="568" t="str">
        <f>VLOOKUP(A312,'[1]Raw data'!$B:$Z,8,FALSE)</f>
        <v>L-&gt;R</v>
      </c>
      <c r="U312" s="568" t="str">
        <f>VLOOKUP(A312,'[1]Raw data'!$B:$Z,9,FALSE)</f>
        <v>No</v>
      </c>
      <c r="V312" s="572" t="str">
        <f t="shared" si="48"/>
        <v>OK</v>
      </c>
      <c r="W312" s="568" t="str">
        <f>VLOOKUP(A312,'[1]Raw data'!$B:$AG,32,FALSE)</f>
        <v>DAP SZ</v>
      </c>
      <c r="X312" s="568">
        <f>VLOOKUP(A312,'[1]Raw data'!$B:$BA,31,FALSE)</f>
        <v>43781</v>
      </c>
      <c r="Y312" s="568" t="str">
        <f>VLOOKUP(A312,'[1]Raw data'!$B:$AS,39,FALSE)</f>
        <v>Yes</v>
      </c>
      <c r="Z312" s="573"/>
      <c r="AA312" s="574"/>
      <c r="AB312" s="575"/>
      <c r="AC312" s="568" t="s">
        <v>758</v>
      </c>
      <c r="AD312" s="576">
        <v>301</v>
      </c>
      <c r="AE312" s="576">
        <v>10</v>
      </c>
      <c r="AF312" s="576">
        <v>302</v>
      </c>
      <c r="AG312" s="576">
        <v>10</v>
      </c>
      <c r="AN312" s="547"/>
      <c r="AO312" s="829" t="str">
        <f t="shared" si="40"/>
        <v>Yes</v>
      </c>
      <c r="AP312" s="259" t="str">
        <f t="shared" si="41"/>
        <v>DEC 19</v>
      </c>
      <c r="AQ312" s="547" t="str">
        <f t="shared" si="42"/>
        <v>有定金+有預留客戶</v>
      </c>
      <c r="AR312" s="259" t="str">
        <f t="shared" si="43"/>
        <v>Shipped_Stock</v>
      </c>
      <c r="AS312" s="259" t="str">
        <f t="shared" si="44"/>
        <v/>
      </c>
      <c r="AT312" s="259" t="str">
        <f t="shared" si="45"/>
        <v>灿明</v>
      </c>
      <c r="AU312" s="259" t="str">
        <f t="shared" si="46"/>
        <v>C49SZX20190163JY</v>
      </c>
      <c r="AV312" s="259" t="str">
        <f t="shared" si="47"/>
        <v>Dec-11</v>
      </c>
    </row>
    <row r="313" spans="1:48" ht="15" hidden="1" customHeight="1">
      <c r="A313" s="564">
        <v>552</v>
      </c>
      <c r="B313" s="568" t="s">
        <v>280</v>
      </c>
      <c r="C313" s="565" t="s">
        <v>281</v>
      </c>
      <c r="D313" s="605">
        <v>109723</v>
      </c>
      <c r="E313" s="568" t="s">
        <v>780</v>
      </c>
      <c r="F313" s="568" t="s">
        <v>17</v>
      </c>
      <c r="G313" s="568" t="s">
        <v>18</v>
      </c>
      <c r="H313" s="568" t="s">
        <v>26</v>
      </c>
      <c r="I313" s="569" t="s">
        <v>795</v>
      </c>
      <c r="J313" s="569">
        <v>1</v>
      </c>
      <c r="K313" s="568" t="s">
        <v>295</v>
      </c>
      <c r="L313" s="570">
        <v>43824</v>
      </c>
      <c r="M313" s="581">
        <v>6.54E-2</v>
      </c>
      <c r="N313" s="568" t="s">
        <v>286</v>
      </c>
      <c r="O313" s="568">
        <v>2019.12</v>
      </c>
      <c r="P313" s="571" t="str">
        <f>VLOOKUP(A313,'[1]Raw data'!$B:$BB,23,FALSE)</f>
        <v>RMB</v>
      </c>
      <c r="Q313" s="568" t="str">
        <f>VLOOKUP(A313,'[1]Raw data'!$B:$Z,2,FALSE)</f>
        <v>C49SZX20190189DY</v>
      </c>
      <c r="R313" s="568" t="str">
        <f>VLOOKUP(A313,'[1]Raw data'!$B:$Z,3,FALSE)</f>
        <v>杰森泰</v>
      </c>
      <c r="S313" s="568" t="str">
        <f>VLOOKUP(A313,'[1]Raw data'!$B:$Z,4,FALSE)</f>
        <v>YSM10</v>
      </c>
      <c r="T313" s="568" t="str">
        <f>VLOOKUP(A313,'[1]Raw data'!$B:$Z,8,FALSE)</f>
        <v>L-&gt;R</v>
      </c>
      <c r="U313" s="568" t="str">
        <f>VLOOKUP(A313,'[1]Raw data'!$B:$Z,9,FALSE)</f>
        <v>MVC</v>
      </c>
      <c r="V313" s="572" t="str">
        <f t="shared" si="48"/>
        <v>WRONG</v>
      </c>
      <c r="W313" s="568" t="str">
        <f>VLOOKUP(A313,'[1]Raw data'!$B:$AG,32,FALSE)</f>
        <v>含税到厂</v>
      </c>
      <c r="X313" s="568">
        <f>VLOOKUP(A313,'[1]Raw data'!$B:$BA,31,FALSE)</f>
        <v>43819</v>
      </c>
      <c r="Y313" s="568" t="str">
        <f>VLOOKUP(A313,'[1]Raw data'!$B:$AS,39,FALSE)</f>
        <v>Yes</v>
      </c>
      <c r="Z313" s="573"/>
      <c r="AA313" s="574"/>
      <c r="AB313" s="575"/>
      <c r="AC313" s="568" t="s">
        <v>740</v>
      </c>
      <c r="AD313" s="576">
        <v>301</v>
      </c>
      <c r="AE313" s="576">
        <v>10</v>
      </c>
      <c r="AN313" s="603"/>
      <c r="AO313" s="829" t="str">
        <f t="shared" si="40"/>
        <v>Yes</v>
      </c>
      <c r="AP313" s="259" t="str">
        <f t="shared" si="41"/>
        <v>DEC 19</v>
      </c>
      <c r="AQ313" s="547" t="str">
        <f t="shared" si="42"/>
        <v>有定金+有預留客戶</v>
      </c>
      <c r="AR313" s="259" t="str">
        <f t="shared" si="43"/>
        <v>Shipped_Stock</v>
      </c>
      <c r="AS313" s="259" t="str">
        <f t="shared" si="44"/>
        <v/>
      </c>
      <c r="AT313" s="259" t="str">
        <f t="shared" si="45"/>
        <v>杰森泰</v>
      </c>
      <c r="AU313" s="259" t="str">
        <f t="shared" si="46"/>
        <v>C49SZX20190189DY</v>
      </c>
      <c r="AV313" s="259" t="str">
        <f t="shared" si="47"/>
        <v>Dec-25</v>
      </c>
    </row>
    <row r="314" spans="1:48" ht="15" hidden="1" customHeight="1">
      <c r="A314" s="564">
        <v>565</v>
      </c>
      <c r="B314" s="568" t="s">
        <v>280</v>
      </c>
      <c r="C314" s="565" t="s">
        <v>281</v>
      </c>
      <c r="D314" s="605">
        <v>109723</v>
      </c>
      <c r="E314" s="568" t="s">
        <v>780</v>
      </c>
      <c r="F314" s="568" t="s">
        <v>17</v>
      </c>
      <c r="G314" s="568" t="s">
        <v>18</v>
      </c>
      <c r="H314" s="568" t="s">
        <v>26</v>
      </c>
      <c r="I314" s="569" t="s">
        <v>796</v>
      </c>
      <c r="J314" s="569">
        <v>1</v>
      </c>
      <c r="K314" s="568" t="s">
        <v>295</v>
      </c>
      <c r="L314" s="570">
        <v>43824</v>
      </c>
      <c r="M314" s="581" t="s">
        <v>797</v>
      </c>
      <c r="N314" s="568" t="s">
        <v>731</v>
      </c>
      <c r="O314" s="568">
        <v>2019.12</v>
      </c>
      <c r="P314" s="571" t="str">
        <f>VLOOKUP(A314,'[1]Raw data'!$B:$BB,23,FALSE)</f>
        <v>JPY</v>
      </c>
      <c r="Q314" s="568" t="str">
        <f>VLOOKUP(A314,'[1]Raw data'!$B:$Z,2,FALSE)</f>
        <v>C49SZX20200001SX</v>
      </c>
      <c r="R314" s="568" t="str">
        <f>VLOOKUP(A314,'[1]Raw data'!$B:$Z,3,FALSE)</f>
        <v>柏星</v>
      </c>
      <c r="S314" s="568" t="str">
        <f>VLOOKUP(A314,'[1]Raw data'!$B:$Z,4,FALSE)</f>
        <v>YSM10</v>
      </c>
      <c r="T314" s="568" t="str">
        <f>VLOOKUP(A314,'[1]Raw data'!$B:$Z,8,FALSE)</f>
        <v>R-&gt;L</v>
      </c>
      <c r="U314" s="568" t="str">
        <f>VLOOKUP(A314,'[1]Raw data'!$B:$Z,9,FALSE)</f>
        <v>MVC</v>
      </c>
      <c r="V314" s="572" t="str">
        <f t="shared" si="48"/>
        <v>WRONG</v>
      </c>
      <c r="W314" s="568" t="str">
        <f>VLOOKUP(A314,'[1]Raw data'!$B:$AG,32,FALSE)</f>
        <v>DAP DG</v>
      </c>
      <c r="X314" s="568">
        <f>VLOOKUP(A314,'[1]Raw data'!$B:$BA,31,FALSE)</f>
        <v>43831</v>
      </c>
      <c r="Y314" s="568" t="str">
        <f>VLOOKUP(A314,'[1]Raw data'!$B:$AS,39,FALSE)</f>
        <v>Yes</v>
      </c>
      <c r="Z314" s="573" t="s">
        <v>329</v>
      </c>
      <c r="AA314" s="574" t="s">
        <v>329</v>
      </c>
      <c r="AB314" s="575"/>
      <c r="AC314" s="568" t="s">
        <v>410</v>
      </c>
      <c r="AD314" s="576">
        <v>302</v>
      </c>
      <c r="AE314" s="576">
        <v>10</v>
      </c>
      <c r="AN314" s="619"/>
      <c r="AO314" s="829" t="str">
        <f t="shared" si="40"/>
        <v>Yes</v>
      </c>
      <c r="AP314" s="259" t="str">
        <f t="shared" si="41"/>
        <v>JAN 20</v>
      </c>
      <c r="AQ314" s="547" t="str">
        <f t="shared" si="42"/>
        <v>有定金+有預留客戶</v>
      </c>
      <c r="AR314" s="259" t="str">
        <f t="shared" si="43"/>
        <v>Shipped_Stock</v>
      </c>
      <c r="AS314" s="259" t="str">
        <f t="shared" si="44"/>
        <v/>
      </c>
      <c r="AT314" s="259" t="str">
        <f t="shared" si="45"/>
        <v>柏星</v>
      </c>
      <c r="AU314" s="259" t="str">
        <f t="shared" si="46"/>
        <v>C49SZX20200001SX</v>
      </c>
      <c r="AV314" s="259" t="str">
        <f t="shared" si="47"/>
        <v>Dec-25</v>
      </c>
    </row>
    <row r="315" spans="1:48" ht="15" hidden="1" customHeight="1">
      <c r="A315" s="604">
        <v>588</v>
      </c>
      <c r="B315" s="568" t="s">
        <v>280</v>
      </c>
      <c r="C315" s="565" t="s">
        <v>281</v>
      </c>
      <c r="D315" s="605">
        <v>109723</v>
      </c>
      <c r="E315" s="568" t="s">
        <v>780</v>
      </c>
      <c r="F315" s="568" t="s">
        <v>17</v>
      </c>
      <c r="G315" s="568" t="s">
        <v>18</v>
      </c>
      <c r="H315" s="568" t="s">
        <v>19</v>
      </c>
      <c r="I315" s="569" t="s">
        <v>798</v>
      </c>
      <c r="J315" s="569">
        <v>1</v>
      </c>
      <c r="K315" s="568" t="s">
        <v>295</v>
      </c>
      <c r="L315" s="570">
        <v>43824</v>
      </c>
      <c r="M315" s="581">
        <v>6.54E-2</v>
      </c>
      <c r="N315" s="568" t="s">
        <v>785</v>
      </c>
      <c r="O315" s="568">
        <v>2019.12</v>
      </c>
      <c r="P315" s="571" t="str">
        <f>VLOOKUP(A315,'[1]Raw data'!$B:$BB,23,FALSE)</f>
        <v>RMB</v>
      </c>
      <c r="Q315" s="568" t="str">
        <f>VLOOKUP(A315,'[1]Raw data'!$B:$Z,2,FALSE)</f>
        <v>C49SZX20200022SX</v>
      </c>
      <c r="R315" s="568" t="str">
        <f>VLOOKUP(A315,'[1]Raw data'!$B:$Z,3,FALSE)</f>
        <v>柏星</v>
      </c>
      <c r="S315" s="568" t="str">
        <f>VLOOKUP(A315,'[1]Raw data'!$B:$Z,4,FALSE)</f>
        <v>YSM10</v>
      </c>
      <c r="T315" s="568" t="str">
        <f>VLOOKUP(A315,'[1]Raw data'!$B:$Z,8,FALSE)</f>
        <v>L-&gt;R</v>
      </c>
      <c r="U315" s="568" t="str">
        <f>VLOOKUP(A315,'[1]Raw data'!$B:$Z,9,FALSE)</f>
        <v>MVC</v>
      </c>
      <c r="V315" s="572" t="str">
        <f t="shared" si="48"/>
        <v>WRONG</v>
      </c>
      <c r="W315" s="568" t="str">
        <f>VLOOKUP(A315,'[1]Raw data'!$B:$AG,32,FALSE)</f>
        <v>含税到厂</v>
      </c>
      <c r="X315" s="568">
        <f>VLOOKUP(A315,'[1]Raw data'!$B:$BA,31,FALSE)</f>
        <v>43901</v>
      </c>
      <c r="Y315" s="568" t="str">
        <f>VLOOKUP(A315,'[1]Raw data'!$B:$AS,39,FALSE)</f>
        <v>Yes</v>
      </c>
      <c r="Z315" s="573" t="s">
        <v>329</v>
      </c>
      <c r="AA315" s="574"/>
      <c r="AB315" s="575"/>
      <c r="AC315" s="568" t="s">
        <v>410</v>
      </c>
      <c r="AD315" s="569">
        <v>301</v>
      </c>
      <c r="AE315" s="569">
        <v>10</v>
      </c>
      <c r="AF315" s="569"/>
      <c r="AG315" s="569"/>
      <c r="AH315" s="569"/>
      <c r="AI315" s="632"/>
      <c r="AJ315" s="569"/>
      <c r="AK315" s="569"/>
      <c r="AL315" s="569"/>
      <c r="AM315" s="569"/>
      <c r="AN315" s="547"/>
      <c r="AO315" s="829" t="str">
        <f t="shared" si="40"/>
        <v>Yes</v>
      </c>
      <c r="AP315" s="259" t="str">
        <f t="shared" si="41"/>
        <v>MAR 20</v>
      </c>
      <c r="AQ315" s="547" t="str">
        <f t="shared" si="42"/>
        <v>有定金+有預留客戶</v>
      </c>
      <c r="AR315" s="259" t="str">
        <f t="shared" si="43"/>
        <v>Shipped_Stock</v>
      </c>
      <c r="AS315" s="259" t="str">
        <f t="shared" si="44"/>
        <v/>
      </c>
      <c r="AT315" s="259" t="str">
        <f t="shared" si="45"/>
        <v>柏星</v>
      </c>
      <c r="AU315" s="259" t="str">
        <f t="shared" si="46"/>
        <v>C49SZX20200022SX</v>
      </c>
      <c r="AV315" s="259" t="str">
        <f t="shared" si="47"/>
        <v>Dec-25</v>
      </c>
    </row>
    <row r="316" spans="1:48" ht="15" hidden="1" customHeight="1">
      <c r="A316" s="604">
        <v>474</v>
      </c>
      <c r="B316" s="568" t="s">
        <v>280</v>
      </c>
      <c r="C316" s="565" t="s">
        <v>281</v>
      </c>
      <c r="D316" s="605">
        <v>109723</v>
      </c>
      <c r="E316" s="568" t="s">
        <v>780</v>
      </c>
      <c r="F316" s="568" t="s">
        <v>17</v>
      </c>
      <c r="G316" s="568" t="s">
        <v>18</v>
      </c>
      <c r="H316" s="568" t="s">
        <v>19</v>
      </c>
      <c r="I316" s="569" t="s">
        <v>799</v>
      </c>
      <c r="J316" s="569">
        <v>1</v>
      </c>
      <c r="K316" s="568" t="s">
        <v>800</v>
      </c>
      <c r="L316" s="570">
        <v>43824</v>
      </c>
      <c r="M316" s="581">
        <v>6.54E-2</v>
      </c>
      <c r="N316" s="568" t="s">
        <v>286</v>
      </c>
      <c r="O316" s="568">
        <v>2019.12</v>
      </c>
      <c r="P316" s="571" t="str">
        <f>VLOOKUP(A316,'[1]Raw data'!$B:$BB,23,FALSE)</f>
        <v>JPY</v>
      </c>
      <c r="Q316" s="568" t="str">
        <f>VLOOKUP(A316,'[1]Raw data'!$B:$Z,2,FALSE)</f>
        <v>C49SZX20190156-1ZX</v>
      </c>
      <c r="R316" s="568" t="str">
        <f>VLOOKUP(A316,'[1]Raw data'!$B:$Z,3,FALSE)</f>
        <v>锘铧</v>
      </c>
      <c r="S316" s="568" t="str">
        <f>VLOOKUP(A316,'[1]Raw data'!$B:$Z,4,FALSE)</f>
        <v>YSM10</v>
      </c>
      <c r="T316" s="568" t="str">
        <f>VLOOKUP(A316,'[1]Raw data'!$B:$Z,8,FALSE)</f>
        <v>L-&gt;R</v>
      </c>
      <c r="U316" s="568" t="str">
        <f>VLOOKUP(A316,'[1]Raw data'!$B:$Z,9,FALSE)</f>
        <v>MVC+ATS15</v>
      </c>
      <c r="V316" s="572" t="str">
        <f t="shared" si="48"/>
        <v>WRONG</v>
      </c>
      <c r="W316" s="568" t="str">
        <f>VLOOKUP(A316,'[1]Raw data'!$B:$AG,32,FALSE)</f>
        <v>DAP GZ</v>
      </c>
      <c r="X316" s="568">
        <f>VLOOKUP(A316,'[1]Raw data'!$B:$BA,31,FALSE)</f>
        <v>43774</v>
      </c>
      <c r="Y316" s="568" t="str">
        <f>VLOOKUP(A316,'[1]Raw data'!$B:$AS,39,FALSE)</f>
        <v>Yes</v>
      </c>
      <c r="Z316" s="573"/>
      <c r="AA316" s="574"/>
      <c r="AB316" s="575"/>
      <c r="AC316" s="568" t="s">
        <v>801</v>
      </c>
      <c r="AD316" s="636">
        <v>302</v>
      </c>
      <c r="AE316" s="636">
        <v>10</v>
      </c>
      <c r="AF316" s="636"/>
      <c r="AG316" s="636"/>
      <c r="AH316" s="636"/>
      <c r="AI316" s="637"/>
      <c r="AJ316" s="636"/>
      <c r="AK316" s="636"/>
      <c r="AL316" s="636"/>
      <c r="AM316" s="636"/>
      <c r="AN316" s="619"/>
      <c r="AO316" s="829" t="str">
        <f t="shared" si="40"/>
        <v>Yes</v>
      </c>
      <c r="AP316" s="259" t="str">
        <f t="shared" si="41"/>
        <v>DEC 19</v>
      </c>
      <c r="AQ316" s="547" t="str">
        <f t="shared" si="42"/>
        <v>有定金+有預留客戶</v>
      </c>
      <c r="AR316" s="259" t="str">
        <f t="shared" si="43"/>
        <v>Shipped_Stock</v>
      </c>
      <c r="AS316" s="259" t="str">
        <f t="shared" si="44"/>
        <v/>
      </c>
      <c r="AT316" s="259" t="str">
        <f t="shared" si="45"/>
        <v>锘铧</v>
      </c>
      <c r="AU316" s="259" t="str">
        <f t="shared" si="46"/>
        <v>C49SZX20190156-1ZX</v>
      </c>
      <c r="AV316" s="259" t="str">
        <f t="shared" si="47"/>
        <v>Dec-25</v>
      </c>
    </row>
    <row r="317" spans="1:48" ht="15" hidden="1" customHeight="1">
      <c r="A317" s="604">
        <v>579</v>
      </c>
      <c r="B317" s="568" t="s">
        <v>280</v>
      </c>
      <c r="C317" s="565" t="s">
        <v>281</v>
      </c>
      <c r="D317" s="605">
        <v>109750</v>
      </c>
      <c r="E317" s="568" t="s">
        <v>802</v>
      </c>
      <c r="F317" s="568" t="s">
        <v>256</v>
      </c>
      <c r="G317" s="568" t="s">
        <v>24</v>
      </c>
      <c r="H317" s="568" t="s">
        <v>26</v>
      </c>
      <c r="I317" s="569" t="s">
        <v>803</v>
      </c>
      <c r="J317" s="569">
        <v>1</v>
      </c>
      <c r="K317" s="570" t="s">
        <v>295</v>
      </c>
      <c r="L317" s="570">
        <v>43836</v>
      </c>
      <c r="M317" s="620" t="s">
        <v>804</v>
      </c>
      <c r="N317" s="568" t="s">
        <v>785</v>
      </c>
      <c r="O317" s="569">
        <v>2019.12</v>
      </c>
      <c r="P317" s="571" t="str">
        <f>VLOOKUP(A317,'[1]Raw data'!$B:$BB,23,FALSE)</f>
        <v>JPY</v>
      </c>
      <c r="Q317" s="568" t="str">
        <f>VLOOKUP(A317,'[1]Raw data'!$B:$Z,2,FALSE)</f>
        <v>C49SZX20200015JL</v>
      </c>
      <c r="R317" s="568" t="str">
        <f>VLOOKUP(A317,'[1]Raw data'!$B:$Z,3,FALSE)</f>
        <v>鹏鑫达/欧科讯</v>
      </c>
      <c r="S317" s="568" t="str">
        <f>VLOOKUP(A317,'[1]Raw data'!$B:$Z,4,FALSE)</f>
        <v>YSM20R(SV)-2</v>
      </c>
      <c r="T317" s="568" t="str">
        <f>VLOOKUP(A317,'[1]Raw data'!$B:$Z,8,FALSE)</f>
        <v>L-&gt;R</v>
      </c>
      <c r="U317" s="568" t="str">
        <f>VLOOKUP(A317,'[1]Raw data'!$B:$Z,9,FALSE)</f>
        <v>No</v>
      </c>
      <c r="V317" s="572" t="str">
        <f t="shared" si="48"/>
        <v>OK</v>
      </c>
      <c r="W317" s="568" t="str">
        <f>VLOOKUP(A317,'[1]Raw data'!$B:$AG,32,FALSE)</f>
        <v>CIF HK</v>
      </c>
      <c r="X317" s="568">
        <f>VLOOKUP(A317,'[1]Raw data'!$B:$BA,31,FALSE)</f>
        <v>43844</v>
      </c>
      <c r="Y317" s="568" t="str">
        <f>VLOOKUP(A317,'[1]Raw data'!$B:$AS,39,FALSE)</f>
        <v>Yes</v>
      </c>
      <c r="Z317" s="583"/>
      <c r="AA317" s="584"/>
      <c r="AB317" s="638"/>
      <c r="AC317" s="568" t="s">
        <v>805</v>
      </c>
      <c r="AD317" s="569">
        <v>302</v>
      </c>
      <c r="AE317" s="569">
        <v>20</v>
      </c>
      <c r="AF317" s="569"/>
      <c r="AG317" s="569"/>
      <c r="AH317" s="569"/>
      <c r="AI317" s="632"/>
      <c r="AJ317" s="569"/>
      <c r="AK317" s="569"/>
      <c r="AL317" s="569"/>
      <c r="AM317" s="569"/>
      <c r="AN317" s="585" t="s">
        <v>291</v>
      </c>
      <c r="AO317" s="829" t="str">
        <f t="shared" si="40"/>
        <v>Yes</v>
      </c>
      <c r="AP317" s="259" t="str">
        <f t="shared" si="41"/>
        <v>MAR 20</v>
      </c>
      <c r="AQ317" s="547" t="str">
        <f t="shared" si="42"/>
        <v>有定金+有預留客戶</v>
      </c>
      <c r="AR317" s="259" t="str">
        <f t="shared" si="43"/>
        <v>Shipped_Stock</v>
      </c>
      <c r="AS317" s="259" t="str">
        <f t="shared" si="44"/>
        <v/>
      </c>
      <c r="AT317" s="259" t="str">
        <f t="shared" si="45"/>
        <v>鹏鑫达/欧科讯</v>
      </c>
      <c r="AU317" s="259" t="str">
        <f t="shared" si="46"/>
        <v>C49SZX20200015JL</v>
      </c>
      <c r="AV317" s="259" t="str">
        <f t="shared" si="47"/>
        <v>Jan-06</v>
      </c>
    </row>
    <row r="318" spans="1:48" ht="15" hidden="1" customHeight="1">
      <c r="A318" s="604">
        <v>593</v>
      </c>
      <c r="B318" s="565" t="s">
        <v>280</v>
      </c>
      <c r="C318" s="565" t="s">
        <v>281</v>
      </c>
      <c r="D318" s="605">
        <v>109749</v>
      </c>
      <c r="E318" s="568" t="s">
        <v>802</v>
      </c>
      <c r="F318" s="568" t="s">
        <v>256</v>
      </c>
      <c r="G318" s="568" t="s">
        <v>18</v>
      </c>
      <c r="H318" s="568" t="s">
        <v>26</v>
      </c>
      <c r="I318" s="569" t="s">
        <v>806</v>
      </c>
      <c r="J318" s="569">
        <v>1</v>
      </c>
      <c r="K318" s="570" t="s">
        <v>295</v>
      </c>
      <c r="L318" s="570">
        <v>43836</v>
      </c>
      <c r="M318" s="581">
        <v>6.54E-2</v>
      </c>
      <c r="N318" s="568" t="s">
        <v>785</v>
      </c>
      <c r="O318" s="569">
        <v>2019.12</v>
      </c>
      <c r="P318" s="571" t="str">
        <f>VLOOKUP(A318,'[1]Raw data'!$B:$BB,23,FALSE)</f>
        <v>RMB</v>
      </c>
      <c r="Q318" s="568" t="str">
        <f>VLOOKUP(A318,'[1]Raw data'!$B:$Z,2,FALSE)</f>
        <v>C49SZX20200019SX</v>
      </c>
      <c r="R318" s="568" t="str">
        <f>VLOOKUP(A318,'[1]Raw data'!$B:$Z,3,FALSE)</f>
        <v>华汛</v>
      </c>
      <c r="S318" s="568" t="str">
        <f>VLOOKUP(A318,'[1]Raw data'!$B:$Z,4,FALSE)</f>
        <v>YSM20R(SV)-2</v>
      </c>
      <c r="T318" s="568" t="str">
        <f>VLOOKUP(A318,'[1]Raw data'!$B:$Z,8,FALSE)</f>
        <v>R-&gt;L</v>
      </c>
      <c r="U318" s="568" t="str">
        <f>VLOOKUP(A318,'[1]Raw data'!$B:$Z,9,FALSE)</f>
        <v>No</v>
      </c>
      <c r="V318" s="572" t="str">
        <f t="shared" si="48"/>
        <v>OK</v>
      </c>
      <c r="W318" s="568" t="str">
        <f>VLOOKUP(A318,'[1]Raw data'!$B:$AG,32,FALSE)</f>
        <v>含税到厂</v>
      </c>
      <c r="X318" s="568">
        <f>VLOOKUP(A318,'[1]Raw data'!$B:$BA,31,FALSE)</f>
        <v>43901</v>
      </c>
      <c r="Y318" s="568" t="str">
        <f>VLOOKUP(A318,'[1]Raw data'!$B:$AS,39,FALSE)</f>
        <v>Yes</v>
      </c>
      <c r="Z318" s="583"/>
      <c r="AA318" s="584"/>
      <c r="AB318" s="638"/>
      <c r="AC318" s="568" t="s">
        <v>807</v>
      </c>
      <c r="AD318" s="569">
        <v>301</v>
      </c>
      <c r="AE318" s="569">
        <v>20</v>
      </c>
      <c r="AF318" s="569"/>
      <c r="AG318" s="569"/>
      <c r="AH318" s="569"/>
      <c r="AI318" s="632"/>
      <c r="AJ318" s="569"/>
      <c r="AK318" s="569"/>
      <c r="AL318" s="569"/>
      <c r="AM318" s="569"/>
      <c r="AN318" s="547"/>
      <c r="AO318" s="829" t="str">
        <f t="shared" si="40"/>
        <v>Yes</v>
      </c>
      <c r="AP318" s="259" t="str">
        <f t="shared" si="41"/>
        <v>MAR 20</v>
      </c>
      <c r="AQ318" s="547" t="str">
        <f t="shared" si="42"/>
        <v>有定金+有預留客戶</v>
      </c>
      <c r="AR318" s="259" t="str">
        <f t="shared" si="43"/>
        <v>Shipped_Stock</v>
      </c>
      <c r="AS318" s="259" t="str">
        <f t="shared" si="44"/>
        <v/>
      </c>
      <c r="AT318" s="259" t="str">
        <f t="shared" si="45"/>
        <v>华汛</v>
      </c>
      <c r="AU318" s="259" t="str">
        <f t="shared" si="46"/>
        <v>C49SZX20200019SX</v>
      </c>
      <c r="AV318" s="259" t="str">
        <f t="shared" si="47"/>
        <v>Jan-06</v>
      </c>
    </row>
    <row r="319" spans="1:48" ht="25.5" hidden="1" customHeight="1">
      <c r="A319" s="604">
        <v>580</v>
      </c>
      <c r="B319" s="565" t="s">
        <v>280</v>
      </c>
      <c r="C319" s="565" t="s">
        <v>281</v>
      </c>
      <c r="D319" s="605">
        <v>109759</v>
      </c>
      <c r="E319" s="568" t="s">
        <v>808</v>
      </c>
      <c r="F319" s="639" t="s">
        <v>17</v>
      </c>
      <c r="G319" s="639" t="s">
        <v>18</v>
      </c>
      <c r="H319" s="639" t="s">
        <v>26</v>
      </c>
      <c r="I319" s="640" t="s">
        <v>809</v>
      </c>
      <c r="J319" s="640">
        <v>1</v>
      </c>
      <c r="K319" s="639" t="s">
        <v>295</v>
      </c>
      <c r="L319" s="641">
        <v>43836</v>
      </c>
      <c r="M319" s="560" t="s">
        <v>810</v>
      </c>
      <c r="N319" s="639" t="s">
        <v>785</v>
      </c>
      <c r="O319" s="568">
        <v>2019.12</v>
      </c>
      <c r="P319" s="571" t="str">
        <f>VLOOKUP(A319,'[1]Raw data'!$B:$BB,23,FALSE)</f>
        <v>JPY</v>
      </c>
      <c r="Q319" s="568" t="str">
        <f>VLOOKUP(A319,'[1]Raw data'!$B:$Z,2,FALSE)</f>
        <v>C49SZX20200015JL</v>
      </c>
      <c r="R319" s="568" t="str">
        <f>VLOOKUP(A319,'[1]Raw data'!$B:$Z,3,FALSE)</f>
        <v>鹏鑫达/欧科讯</v>
      </c>
      <c r="S319" s="568" t="str">
        <f>VLOOKUP(A319,'[1]Raw data'!$B:$Z,4,FALSE)</f>
        <v>YSM10</v>
      </c>
      <c r="T319" s="568" t="str">
        <f>VLOOKUP(A319,'[1]Raw data'!$B:$Z,8,FALSE)</f>
        <v>L-&gt;R</v>
      </c>
      <c r="U319" s="568" t="str">
        <f>VLOOKUP(A319,'[1]Raw data'!$B:$Z,9,FALSE)</f>
        <v>No</v>
      </c>
      <c r="V319" s="572" t="str">
        <f t="shared" si="48"/>
        <v>WRONG</v>
      </c>
      <c r="W319" s="568" t="str">
        <f>VLOOKUP(A319,'[1]Raw data'!$B:$AG,32,FALSE)</f>
        <v>CIF HK</v>
      </c>
      <c r="X319" s="568">
        <f>VLOOKUP(A319,'[1]Raw data'!$B:$BA,31,FALSE)</f>
        <v>43844</v>
      </c>
      <c r="Y319" s="568" t="str">
        <f>VLOOKUP(A319,'[1]Raw data'!$B:$AS,39,FALSE)</f>
        <v>Yes</v>
      </c>
      <c r="Z319" s="642"/>
      <c r="AA319" s="643"/>
      <c r="AB319" s="644"/>
      <c r="AC319" s="568" t="s">
        <v>805</v>
      </c>
      <c r="AD319" s="569">
        <v>301</v>
      </c>
      <c r="AE319" s="569">
        <v>10</v>
      </c>
      <c r="AF319" s="569"/>
      <c r="AG319" s="569"/>
      <c r="AH319" s="569"/>
      <c r="AI319" s="632"/>
      <c r="AJ319" s="569"/>
      <c r="AK319" s="569"/>
      <c r="AL319" s="569"/>
      <c r="AM319" s="569"/>
      <c r="AN319" s="619"/>
      <c r="AO319" s="829" t="str">
        <f t="shared" si="40"/>
        <v>Yes</v>
      </c>
      <c r="AP319" s="259" t="str">
        <f t="shared" si="41"/>
        <v>MAR 20</v>
      </c>
      <c r="AQ319" s="547" t="str">
        <f t="shared" si="42"/>
        <v>有定金+有預留客戶</v>
      </c>
      <c r="AR319" s="259" t="str">
        <f t="shared" si="43"/>
        <v>Shipped_Stock</v>
      </c>
      <c r="AS319" s="259" t="str">
        <f t="shared" si="44"/>
        <v/>
      </c>
      <c r="AT319" s="259" t="str">
        <f t="shared" si="45"/>
        <v>鹏鑫达/欧科讯</v>
      </c>
      <c r="AU319" s="259" t="str">
        <f t="shared" si="46"/>
        <v>C49SZX20200015JL</v>
      </c>
      <c r="AV319" s="259" t="str">
        <f t="shared" si="47"/>
        <v>Jan-06</v>
      </c>
    </row>
    <row r="320" spans="1:48" ht="60" hidden="1" customHeight="1">
      <c r="A320" s="604">
        <v>470</v>
      </c>
      <c r="B320" s="565" t="s">
        <v>280</v>
      </c>
      <c r="C320" s="565" t="s">
        <v>281</v>
      </c>
      <c r="D320" s="605">
        <v>109749</v>
      </c>
      <c r="E320" s="568" t="s">
        <v>802</v>
      </c>
      <c r="F320" s="568" t="s">
        <v>256</v>
      </c>
      <c r="G320" s="568" t="s">
        <v>18</v>
      </c>
      <c r="H320" s="568" t="s">
        <v>26</v>
      </c>
      <c r="I320" s="569" t="s">
        <v>811</v>
      </c>
      <c r="J320" s="569">
        <v>1</v>
      </c>
      <c r="K320" s="568" t="s">
        <v>812</v>
      </c>
      <c r="L320" s="570">
        <v>43836</v>
      </c>
      <c r="M320" s="581">
        <v>6.54E-2</v>
      </c>
      <c r="N320" s="568" t="s">
        <v>554</v>
      </c>
      <c r="O320" s="569">
        <v>2019.12</v>
      </c>
      <c r="P320" s="571" t="str">
        <f>VLOOKUP(A320,'[1]Raw data'!$B:$BB,23,FALSE)</f>
        <v>RMB</v>
      </c>
      <c r="Q320" s="568" t="str">
        <f>VLOOKUP(A320,'[1]Raw data'!$B:$Z,2,FALSE)</f>
        <v>C49SZX20190116CX</v>
      </c>
      <c r="R320" s="568" t="str">
        <f>VLOOKUP(A320,'[1]Raw data'!$B:$Z,3,FALSE)</f>
        <v>豪恩</v>
      </c>
      <c r="S320" s="568" t="str">
        <f>VLOOKUP(A320,'[1]Raw data'!$B:$Z,4,FALSE)</f>
        <v>YSM20R(SV)-2</v>
      </c>
      <c r="T320" s="568" t="str">
        <f>VLOOKUP(A320,'[1]Raw data'!$B:$Z,8,FALSE)</f>
        <v>R-&gt;L</v>
      </c>
      <c r="U320" s="568" t="str">
        <f>VLOOKUP(A320,'[1]Raw data'!$B:$Z,9,FALSE)</f>
        <v>No</v>
      </c>
      <c r="V320" s="572" t="str">
        <f t="shared" si="48"/>
        <v>OK</v>
      </c>
      <c r="W320" s="568" t="str">
        <f>VLOOKUP(A320,'[1]Raw data'!$B:$AG,32,FALSE)</f>
        <v>含税到厂</v>
      </c>
      <c r="X320" s="568">
        <f>VLOOKUP(A320,'[1]Raw data'!$B:$BA,31,FALSE)</f>
        <v>43760</v>
      </c>
      <c r="Y320" s="568" t="str">
        <f>VLOOKUP(A320,'[1]Raw data'!$B:$AS,39,FALSE)</f>
        <v>Yes</v>
      </c>
      <c r="Z320" s="642"/>
      <c r="AA320" s="643"/>
      <c r="AB320" s="644"/>
      <c r="AC320" s="568" t="s">
        <v>813</v>
      </c>
      <c r="AD320" s="569">
        <v>301</v>
      </c>
      <c r="AE320" s="569">
        <v>20</v>
      </c>
      <c r="AF320" s="569"/>
      <c r="AG320" s="569"/>
      <c r="AH320" s="569"/>
      <c r="AI320" s="632"/>
      <c r="AJ320" s="569"/>
      <c r="AK320" s="569"/>
      <c r="AL320" s="569"/>
      <c r="AM320" s="569"/>
      <c r="AN320" s="547"/>
      <c r="AO320" s="829" t="str">
        <f t="shared" si="40"/>
        <v>Yes</v>
      </c>
      <c r="AP320" s="259" t="str">
        <f t="shared" si="41"/>
        <v>APR 20</v>
      </c>
      <c r="AQ320" s="547" t="str">
        <f t="shared" si="42"/>
        <v>有定金+有預留客戶</v>
      </c>
      <c r="AR320" s="259" t="str">
        <f t="shared" si="43"/>
        <v>Shipped_Stock</v>
      </c>
      <c r="AS320" s="259" t="str">
        <f t="shared" si="44"/>
        <v/>
      </c>
      <c r="AT320" s="259" t="str">
        <f t="shared" si="45"/>
        <v>豪恩</v>
      </c>
      <c r="AU320" s="259" t="str">
        <f t="shared" si="46"/>
        <v>C49SZX20190116CX</v>
      </c>
      <c r="AV320" s="259" t="str">
        <f t="shared" si="47"/>
        <v>Jan-06</v>
      </c>
    </row>
    <row r="321" spans="1:48" ht="15" hidden="1" customHeight="1">
      <c r="A321" s="604">
        <v>572</v>
      </c>
      <c r="B321" s="565" t="s">
        <v>280</v>
      </c>
      <c r="C321" s="565" t="s">
        <v>281</v>
      </c>
      <c r="D321" s="605">
        <v>109750</v>
      </c>
      <c r="E321" s="568" t="s">
        <v>802</v>
      </c>
      <c r="F321" s="568" t="s">
        <v>256</v>
      </c>
      <c r="G321" s="568" t="s">
        <v>18</v>
      </c>
      <c r="H321" s="568" t="s">
        <v>26</v>
      </c>
      <c r="I321" s="569" t="s">
        <v>814</v>
      </c>
      <c r="J321" s="576">
        <v>1</v>
      </c>
      <c r="K321" s="568" t="s">
        <v>784</v>
      </c>
      <c r="L321" s="570">
        <v>43836</v>
      </c>
      <c r="M321" s="620" t="s">
        <v>815</v>
      </c>
      <c r="N321" s="568" t="s">
        <v>789</v>
      </c>
      <c r="O321" s="569">
        <v>2019.12</v>
      </c>
      <c r="P321" s="571" t="str">
        <f>VLOOKUP(A321,'[1]Raw data'!$B:$BB,23,FALSE)</f>
        <v>JPY</v>
      </c>
      <c r="Q321" s="568" t="str">
        <f>VLOOKUP(A321,'[1]Raw data'!$B:$Z,2,FALSE)</f>
        <v>C49SZX20200008MX</v>
      </c>
      <c r="R321" s="568" t="str">
        <f>VLOOKUP(A321,'[1]Raw data'!$B:$Z,3,FALSE)</f>
        <v>长源兴/end user美联辉</v>
      </c>
      <c r="S321" s="568" t="str">
        <f>VLOOKUP(A321,'[1]Raw data'!$B:$Z,4,FALSE)</f>
        <v>YSM20R(SV)-2</v>
      </c>
      <c r="T321" s="568" t="str">
        <f>VLOOKUP(A321,'[1]Raw data'!$B:$Z,8,FALSE)</f>
        <v>R-&gt;L</v>
      </c>
      <c r="U321" s="568" t="str">
        <f>VLOOKUP(A321,'[1]Raw data'!$B:$Z,9,FALSE)</f>
        <v>No</v>
      </c>
      <c r="V321" s="572" t="str">
        <f t="shared" si="48"/>
        <v>OK</v>
      </c>
      <c r="W321" s="568" t="str">
        <f>VLOOKUP(A321,'[1]Raw data'!$B:$AG,32,FALSE)</f>
        <v>CIF HK</v>
      </c>
      <c r="X321" s="568">
        <f>VLOOKUP(A321,'[1]Raw data'!$B:$BA,31,FALSE)</f>
        <v>43837</v>
      </c>
      <c r="Y321" s="568" t="str">
        <f>VLOOKUP(A321,'[1]Raw data'!$B:$AS,39,FALSE)</f>
        <v>Yes</v>
      </c>
      <c r="Z321" s="573"/>
      <c r="AA321" s="574"/>
      <c r="AB321" s="575"/>
      <c r="AC321" s="568" t="s">
        <v>621</v>
      </c>
      <c r="AD321" s="569">
        <v>302</v>
      </c>
      <c r="AE321" s="569">
        <v>20</v>
      </c>
      <c r="AF321" s="569"/>
      <c r="AG321" s="569"/>
      <c r="AH321" s="569"/>
      <c r="AI321" s="632"/>
      <c r="AJ321" s="569"/>
      <c r="AK321" s="569"/>
      <c r="AL321" s="569"/>
      <c r="AM321" s="569"/>
      <c r="AN321" s="547"/>
      <c r="AO321" s="829" t="str">
        <f t="shared" si="40"/>
        <v>Yes</v>
      </c>
      <c r="AP321" s="259" t="str">
        <f t="shared" si="41"/>
        <v>FEB 20</v>
      </c>
      <c r="AQ321" s="547" t="str">
        <f t="shared" si="42"/>
        <v>有定金+有預留客戶</v>
      </c>
      <c r="AR321" s="259" t="str">
        <f t="shared" si="43"/>
        <v>Shipped_Stock</v>
      </c>
      <c r="AS321" s="259" t="str">
        <f t="shared" si="44"/>
        <v/>
      </c>
      <c r="AT321" s="259" t="str">
        <f t="shared" si="45"/>
        <v>长源兴/end user美联辉</v>
      </c>
      <c r="AU321" s="259" t="str">
        <f t="shared" si="46"/>
        <v>C49SZX20200008MX</v>
      </c>
      <c r="AV321" s="259" t="str">
        <f t="shared" si="47"/>
        <v>Jan-06</v>
      </c>
    </row>
    <row r="322" spans="1:48" ht="15" hidden="1" customHeight="1">
      <c r="A322" s="564">
        <v>632</v>
      </c>
      <c r="B322" s="568" t="s">
        <v>280</v>
      </c>
      <c r="C322" s="565" t="s">
        <v>281</v>
      </c>
      <c r="D322" s="605">
        <v>109750</v>
      </c>
      <c r="E322" s="568" t="s">
        <v>802</v>
      </c>
      <c r="F322" s="568" t="s">
        <v>17</v>
      </c>
      <c r="G322" s="568" t="s">
        <v>18</v>
      </c>
      <c r="H322" s="568" t="s">
        <v>19</v>
      </c>
      <c r="I322" s="569" t="s">
        <v>816</v>
      </c>
      <c r="J322" s="569">
        <v>1</v>
      </c>
      <c r="K322" s="568" t="s">
        <v>295</v>
      </c>
      <c r="L322" s="570">
        <v>43836</v>
      </c>
      <c r="M322" s="581" t="s">
        <v>817</v>
      </c>
      <c r="N322" s="568" t="s">
        <v>818</v>
      </c>
      <c r="O322" s="568">
        <v>2019.12</v>
      </c>
      <c r="P322" s="571" t="str">
        <f>VLOOKUP(A322,'[1]Raw data'!$B:$BB,23,FALSE)</f>
        <v>RMB</v>
      </c>
      <c r="Q322" s="568" t="str">
        <f>VLOOKUP(A322,'[1]Raw data'!$B:$Z,2,FALSE)</f>
        <v>C49SZX20200055SX</v>
      </c>
      <c r="R322" s="568" t="str">
        <f>VLOOKUP(A322,'[1]Raw data'!$B:$Z,3,FALSE)</f>
        <v>永顺创</v>
      </c>
      <c r="S322" s="568" t="str">
        <f>VLOOKUP(A322,'[1]Raw data'!$B:$Z,4,FALSE)</f>
        <v>YSM10</v>
      </c>
      <c r="T322" s="568" t="str">
        <f>VLOOKUP(A322,'[1]Raw data'!$B:$Z,8,FALSE)</f>
        <v>L-&gt;R</v>
      </c>
      <c r="U322" s="568" t="str">
        <f>VLOOKUP(A322,'[1]Raw data'!$B:$Z,9,FALSE)</f>
        <v>MVC+ATS15</v>
      </c>
      <c r="V322" s="572" t="str">
        <f t="shared" si="48"/>
        <v>WRONG</v>
      </c>
      <c r="W322" s="568" t="str">
        <f>VLOOKUP(A322,'[1]Raw data'!$B:$AG,32,FALSE)</f>
        <v>含税到厂</v>
      </c>
      <c r="X322" s="568">
        <f>VLOOKUP(A322,'[1]Raw data'!$B:$BA,31,FALSE)</f>
        <v>43941</v>
      </c>
      <c r="Y322" s="568" t="str">
        <f>VLOOKUP(A322,'[1]Raw data'!$B:$AS,39,FALSE)</f>
        <v>Yes</v>
      </c>
      <c r="AC322" s="568" t="s">
        <v>561</v>
      </c>
      <c r="AD322" s="576">
        <v>302</v>
      </c>
      <c r="AE322" s="576">
        <v>10</v>
      </c>
      <c r="AN322" s="547"/>
      <c r="AO322" s="829" t="str">
        <f t="shared" si="40"/>
        <v>Yes</v>
      </c>
      <c r="AP322" s="259" t="str">
        <f t="shared" si="41"/>
        <v>MAY 20</v>
      </c>
      <c r="AQ322" s="547" t="str">
        <f t="shared" si="42"/>
        <v>有定金+有預留客戶</v>
      </c>
      <c r="AR322" s="259" t="str">
        <f t="shared" si="43"/>
        <v>Shipped_Stock</v>
      </c>
      <c r="AS322" s="259" t="str">
        <f t="shared" si="44"/>
        <v/>
      </c>
      <c r="AT322" s="259" t="str">
        <f t="shared" si="45"/>
        <v>永顺创</v>
      </c>
      <c r="AU322" s="259" t="str">
        <f t="shared" si="46"/>
        <v>C49SZX20200055SX</v>
      </c>
      <c r="AV322" s="259" t="str">
        <f t="shared" si="47"/>
        <v>Jan-06</v>
      </c>
    </row>
    <row r="323" spans="1:48" ht="15" hidden="1" customHeight="1">
      <c r="A323" s="564">
        <v>627</v>
      </c>
      <c r="B323" s="568" t="s">
        <v>280</v>
      </c>
      <c r="C323" s="565" t="s">
        <v>281</v>
      </c>
      <c r="D323" s="605">
        <v>109750</v>
      </c>
      <c r="E323" s="568" t="s">
        <v>802</v>
      </c>
      <c r="F323" s="568" t="s">
        <v>17</v>
      </c>
      <c r="G323" s="568" t="s">
        <v>18</v>
      </c>
      <c r="H323" s="568" t="s">
        <v>19</v>
      </c>
      <c r="I323" s="569" t="s">
        <v>819</v>
      </c>
      <c r="J323" s="569">
        <v>1</v>
      </c>
      <c r="K323" s="568" t="s">
        <v>820</v>
      </c>
      <c r="L323" s="570">
        <v>43836</v>
      </c>
      <c r="M323" s="581" t="s">
        <v>817</v>
      </c>
      <c r="N323" s="568" t="s">
        <v>818</v>
      </c>
      <c r="O323" s="568">
        <v>2019.12</v>
      </c>
      <c r="P323" s="571" t="str">
        <f>VLOOKUP(A323,'[1]Raw data'!$B:$BB,23,FALSE)</f>
        <v>RMB</v>
      </c>
      <c r="Q323" s="568" t="str">
        <f>VLOOKUP(A323,'[1]Raw data'!$B:$Z,2,FALSE)</f>
        <v>C49SZX20200051SX</v>
      </c>
      <c r="R323" s="568" t="str">
        <f>VLOOKUP(A323,'[1]Raw data'!$B:$Z,3,FALSE)</f>
        <v>中科阿尔法</v>
      </c>
      <c r="S323" s="568" t="str">
        <f>VLOOKUP(A323,'[1]Raw data'!$B:$Z,4,FALSE)</f>
        <v>YSM10</v>
      </c>
      <c r="T323" s="568" t="str">
        <f>VLOOKUP(A323,'[1]Raw data'!$B:$Z,8,FALSE)</f>
        <v>L-&gt;R</v>
      </c>
      <c r="U323" s="568" t="str">
        <f>VLOOKUP(A323,'[1]Raw data'!$B:$Z,9,FALSE)</f>
        <v>MVC+ATS15</v>
      </c>
      <c r="V323" s="572" t="str">
        <f t="shared" si="48"/>
        <v>WRONG</v>
      </c>
      <c r="W323" s="568" t="str">
        <f>VLOOKUP(A323,'[1]Raw data'!$B:$AG,32,FALSE)</f>
        <v>含税到厂</v>
      </c>
      <c r="X323" s="568">
        <f>VLOOKUP(A323,'[1]Raw data'!$B:$BA,31,FALSE)</f>
        <v>43938</v>
      </c>
      <c r="Y323" s="568" t="str">
        <f>VLOOKUP(A323,'[1]Raw data'!$B:$AS,39,FALSE)</f>
        <v>Yes</v>
      </c>
      <c r="AC323" s="568" t="s">
        <v>821</v>
      </c>
      <c r="AD323" s="576">
        <v>302</v>
      </c>
      <c r="AE323" s="576">
        <v>10</v>
      </c>
      <c r="AN323" s="619"/>
      <c r="AO323" s="829" t="str">
        <f t="shared" ref="AO323:AO386" si="49">IFERROR(IF(Y323&lt;&gt;"",Y323,"No"),"No")</f>
        <v>Yes</v>
      </c>
      <c r="AP323" s="259" t="str">
        <f t="shared" ref="AP323:AP386" si="50">IFERROR(IF(N323&lt;&gt;"",N323,"blank"),"NA")</f>
        <v>MAY 20</v>
      </c>
      <c r="AQ323" s="547" t="str">
        <f t="shared" ref="AQ323:AQ386" si="51">IFERROR(IF(AND(AO323="Yes", AP323&lt;&gt;"blank"), "有定金+有預留客戶", IF(AND(AO323="Yes", AP323="blank"), "有定金+无客戶送貨期", IF(AND(OR(AO323="No", ISBLANK(AO323), AO323="NA"), AP323&lt;&gt;"blank"), "无定金+有預留客戶", IF(AND(OR(AO323="No", ISBLANK(AO323), AO323="NA"), AP323="blank"), "无定金+无預留客戶", "")))), "")</f>
        <v>有定金+有預留客戶</v>
      </c>
      <c r="AR323" s="259" t="str">
        <f t="shared" ref="AR323:AR386" si="52">IFERROR(IF(B323="已经到货", "Instock", IF(B323="有交期", "Incoming_Stock_With_YAMAHA_Schedule", IF(B323="TBA.", "Incoming_Stock_No_YAMAHA_Schedule", IF(B323="已发货", "Shipped_Stock", "")))), "")</f>
        <v>Shipped_Stock</v>
      </c>
      <c r="AS323" s="259" t="str">
        <f t="shared" ref="AS323:AS386" si="53">IF(AND(B323="有交期", L323&lt;&gt;""), L323, "")</f>
        <v/>
      </c>
      <c r="AT323" s="259" t="str">
        <f t="shared" ref="AT323:AT386" si="54">IFERROR(IF(R323&lt;&gt;"",R323),"-")</f>
        <v>中科阿尔法</v>
      </c>
      <c r="AU323" s="259" t="str">
        <f t="shared" ref="AU323:AU386" si="55">IFERROR(IF(Q323&lt;&gt;"",Q323),"-")</f>
        <v>C49SZX20200051SX</v>
      </c>
      <c r="AV323" s="259" t="str">
        <f t="shared" ref="AV323:AV386" si="56">IF(L323="","-",TEXT(L323,"mmm-dd"))</f>
        <v>Jan-06</v>
      </c>
    </row>
    <row r="324" spans="1:48" ht="15" hidden="1" customHeight="1">
      <c r="A324" s="564">
        <v>660</v>
      </c>
      <c r="B324" s="568" t="s">
        <v>280</v>
      </c>
      <c r="C324" s="565" t="s">
        <v>281</v>
      </c>
      <c r="D324" s="605">
        <v>109750</v>
      </c>
      <c r="E324" s="568" t="s">
        <v>802</v>
      </c>
      <c r="F324" s="568" t="s">
        <v>17</v>
      </c>
      <c r="G324" s="568" t="s">
        <v>18</v>
      </c>
      <c r="H324" s="568" t="s">
        <v>19</v>
      </c>
      <c r="I324" s="569" t="s">
        <v>822</v>
      </c>
      <c r="J324" s="569">
        <v>1</v>
      </c>
      <c r="K324" s="568" t="s">
        <v>820</v>
      </c>
      <c r="L324" s="570">
        <v>43836</v>
      </c>
      <c r="M324" s="581" t="s">
        <v>817</v>
      </c>
      <c r="N324" s="568" t="s">
        <v>300</v>
      </c>
      <c r="O324" s="568">
        <v>2019.12</v>
      </c>
      <c r="P324" s="571" t="str">
        <f>VLOOKUP(A324,'[1]Raw data'!$B:$BB,23,FALSE)</f>
        <v>RMB</v>
      </c>
      <c r="Q324" s="568" t="str">
        <f>VLOOKUP(A324,'[1]Raw data'!$B:$Z,2,FALSE)</f>
        <v>C49SZX20200062SS</v>
      </c>
      <c r="R324" s="568" t="str">
        <f>VLOOKUP(A324,'[1]Raw data'!$B:$Z,3,FALSE)</f>
        <v>康腾</v>
      </c>
      <c r="S324" s="568" t="str">
        <f>VLOOKUP(A324,'[1]Raw data'!$B:$Z,4,FALSE)</f>
        <v>YSM10</v>
      </c>
      <c r="T324" s="568" t="str">
        <f>VLOOKUP(A324,'[1]Raw data'!$B:$Z,8,FALSE)</f>
        <v>R-&gt;L</v>
      </c>
      <c r="U324" s="568" t="str">
        <f>VLOOKUP(A324,'[1]Raw data'!$B:$Z,9,FALSE)</f>
        <v>MVC+ATS15</v>
      </c>
      <c r="V324" s="572" t="str">
        <f t="shared" si="48"/>
        <v>WRONG</v>
      </c>
      <c r="W324" s="568" t="str">
        <f>VLOOKUP(A324,'[1]Raw data'!$B:$AG,32,FALSE)</f>
        <v>含税到厂</v>
      </c>
      <c r="X324" s="568">
        <f>VLOOKUP(A324,'[1]Raw data'!$B:$BA,31,FALSE)</f>
        <v>43991</v>
      </c>
      <c r="Y324" s="568" t="str">
        <f>VLOOKUP(A324,'[1]Raw data'!$B:$AS,39,FALSE)</f>
        <v>Yes</v>
      </c>
      <c r="AC324" s="568" t="s">
        <v>823</v>
      </c>
      <c r="AD324" s="576">
        <v>302</v>
      </c>
      <c r="AE324" s="576">
        <v>10</v>
      </c>
      <c r="AN324" s="619"/>
      <c r="AO324" s="829" t="str">
        <f t="shared" si="49"/>
        <v>Yes</v>
      </c>
      <c r="AP324" s="259" t="str">
        <f t="shared" si="50"/>
        <v>JUL 20</v>
      </c>
      <c r="AQ324" s="547" t="str">
        <f t="shared" si="51"/>
        <v>有定金+有預留客戶</v>
      </c>
      <c r="AR324" s="259" t="str">
        <f t="shared" si="52"/>
        <v>Shipped_Stock</v>
      </c>
      <c r="AS324" s="259" t="str">
        <f t="shared" si="53"/>
        <v/>
      </c>
      <c r="AT324" s="259" t="str">
        <f t="shared" si="54"/>
        <v>康腾</v>
      </c>
      <c r="AU324" s="259" t="str">
        <f t="shared" si="55"/>
        <v>C49SZX20200062SS</v>
      </c>
      <c r="AV324" s="259" t="str">
        <f t="shared" si="56"/>
        <v>Jan-06</v>
      </c>
    </row>
    <row r="325" spans="1:48" ht="14.25" hidden="1" customHeight="1">
      <c r="A325" s="604">
        <v>521</v>
      </c>
      <c r="B325" s="568" t="s">
        <v>280</v>
      </c>
      <c r="C325" s="565" t="s">
        <v>281</v>
      </c>
      <c r="D325" s="605">
        <v>109750</v>
      </c>
      <c r="E325" s="568" t="s">
        <v>802</v>
      </c>
      <c r="F325" s="568" t="s">
        <v>256</v>
      </c>
      <c r="G325" s="568" t="s">
        <v>24</v>
      </c>
      <c r="H325" s="568" t="s">
        <v>26</v>
      </c>
      <c r="I325" s="569" t="s">
        <v>824</v>
      </c>
      <c r="J325" s="569">
        <v>1</v>
      </c>
      <c r="K325" s="568" t="s">
        <v>437</v>
      </c>
      <c r="L325" s="570">
        <v>43836</v>
      </c>
      <c r="M325" s="581" t="s">
        <v>817</v>
      </c>
      <c r="N325" s="568" t="s">
        <v>731</v>
      </c>
      <c r="O325" s="569">
        <v>2019.12</v>
      </c>
      <c r="P325" s="571" t="str">
        <f>VLOOKUP(A325,'[1]Raw data'!$B:$BB,23,FALSE)</f>
        <v>JPY</v>
      </c>
      <c r="Q325" s="568" t="str">
        <f>VLOOKUP(A325,'[1]Raw data'!$B:$Z,2,FALSE)</f>
        <v>C49SZX20190167SS</v>
      </c>
      <c r="R325" s="568" t="str">
        <f>VLOOKUP(A325,'[1]Raw data'!$B:$Z,3,FALSE)</f>
        <v>宏威创</v>
      </c>
      <c r="S325" s="568" t="str">
        <f>VLOOKUP(A325,'[1]Raw data'!$B:$Z,4,FALSE)</f>
        <v>YSM20R(SV)-2</v>
      </c>
      <c r="T325" s="568" t="str">
        <f>VLOOKUP(A325,'[1]Raw data'!$B:$Z,8,FALSE)</f>
        <v>L-&gt;R</v>
      </c>
      <c r="U325" s="568" t="str">
        <f>VLOOKUP(A325,'[1]Raw data'!$B:$Z,9,FALSE)</f>
        <v>No</v>
      </c>
      <c r="V325" s="572" t="str">
        <f t="shared" si="48"/>
        <v>OK</v>
      </c>
      <c r="W325" s="568" t="str">
        <f>VLOOKUP(A325,'[1]Raw data'!$B:$AG,32,FALSE)</f>
        <v>DAP SZ</v>
      </c>
      <c r="X325" s="568">
        <f>VLOOKUP(A325,'[1]Raw data'!$B:$BA,31,FALSE)</f>
        <v>43798</v>
      </c>
      <c r="Y325" s="568" t="str">
        <f>VLOOKUP(A325,'[1]Raw data'!$B:$AS,39,FALSE)</f>
        <v>Yes</v>
      </c>
      <c r="Z325" s="573"/>
      <c r="AA325" s="574"/>
      <c r="AB325" s="575"/>
      <c r="AC325" s="568" t="s">
        <v>825</v>
      </c>
      <c r="AD325" s="576">
        <v>311</v>
      </c>
      <c r="AE325" s="576">
        <v>10</v>
      </c>
      <c r="AF325" s="576">
        <v>303</v>
      </c>
      <c r="AG325" s="576">
        <v>10</v>
      </c>
      <c r="AN325" s="547"/>
      <c r="AO325" s="829" t="str">
        <f t="shared" si="49"/>
        <v>Yes</v>
      </c>
      <c r="AP325" s="259" t="str">
        <f t="shared" si="50"/>
        <v>JAN 20</v>
      </c>
      <c r="AQ325" s="547" t="str">
        <f t="shared" si="51"/>
        <v>有定金+有預留客戶</v>
      </c>
      <c r="AR325" s="259" t="str">
        <f t="shared" si="52"/>
        <v>Shipped_Stock</v>
      </c>
      <c r="AS325" s="259" t="str">
        <f t="shared" si="53"/>
        <v/>
      </c>
      <c r="AT325" s="259" t="str">
        <f t="shared" si="54"/>
        <v>宏威创</v>
      </c>
      <c r="AU325" s="259" t="str">
        <f t="shared" si="55"/>
        <v>C49SZX20190167SS</v>
      </c>
      <c r="AV325" s="259" t="str">
        <f t="shared" si="56"/>
        <v>Jan-06</v>
      </c>
    </row>
    <row r="326" spans="1:48" hidden="1">
      <c r="A326" s="604">
        <v>522</v>
      </c>
      <c r="B326" s="568" t="s">
        <v>280</v>
      </c>
      <c r="C326" s="565" t="s">
        <v>281</v>
      </c>
      <c r="D326" s="605">
        <v>109750</v>
      </c>
      <c r="E326" s="568" t="s">
        <v>802</v>
      </c>
      <c r="F326" s="568" t="s">
        <v>256</v>
      </c>
      <c r="G326" s="568" t="s">
        <v>24</v>
      </c>
      <c r="H326" s="568" t="s">
        <v>26</v>
      </c>
      <c r="I326" s="569" t="s">
        <v>826</v>
      </c>
      <c r="J326" s="569">
        <v>1</v>
      </c>
      <c r="K326" s="568" t="s">
        <v>437</v>
      </c>
      <c r="L326" s="570">
        <v>43836</v>
      </c>
      <c r="M326" s="581" t="s">
        <v>817</v>
      </c>
      <c r="N326" s="568" t="s">
        <v>731</v>
      </c>
      <c r="O326" s="569">
        <v>2019.12</v>
      </c>
      <c r="P326" s="571" t="str">
        <f>VLOOKUP(A326,'[1]Raw data'!$B:$BB,23,FALSE)</f>
        <v>JPY</v>
      </c>
      <c r="Q326" s="568" t="str">
        <f>VLOOKUP(A326,'[1]Raw data'!$B:$Z,2,FALSE)</f>
        <v>C49SZX20190167SS</v>
      </c>
      <c r="R326" s="568" t="str">
        <f>VLOOKUP(A326,'[1]Raw data'!$B:$Z,3,FALSE)</f>
        <v>宏威创</v>
      </c>
      <c r="S326" s="568" t="str">
        <f>VLOOKUP(A326,'[1]Raw data'!$B:$Z,4,FALSE)</f>
        <v>YSM20R(SV)-2</v>
      </c>
      <c r="T326" s="568" t="str">
        <f>VLOOKUP(A326,'[1]Raw data'!$B:$Z,8,FALSE)</f>
        <v>L-&gt;R</v>
      </c>
      <c r="U326" s="568" t="str">
        <f>VLOOKUP(A326,'[1]Raw data'!$B:$Z,9,FALSE)</f>
        <v>No</v>
      </c>
      <c r="V326" s="572" t="str">
        <f t="shared" si="48"/>
        <v>OK</v>
      </c>
      <c r="W326" s="568" t="str">
        <f>VLOOKUP(A326,'[1]Raw data'!$B:$AG,32,FALSE)</f>
        <v>DAP SZ</v>
      </c>
      <c r="X326" s="568">
        <f>VLOOKUP(A326,'[1]Raw data'!$B:$BA,31,FALSE)</f>
        <v>43798</v>
      </c>
      <c r="Y326" s="568" t="str">
        <f>VLOOKUP(A326,'[1]Raw data'!$B:$AS,39,FALSE)</f>
        <v>Yes</v>
      </c>
      <c r="Z326" s="573"/>
      <c r="AA326" s="574"/>
      <c r="AB326" s="575"/>
      <c r="AC326" s="568" t="s">
        <v>825</v>
      </c>
      <c r="AD326" s="576">
        <v>311</v>
      </c>
      <c r="AE326" s="576">
        <v>10</v>
      </c>
      <c r="AF326" s="576">
        <v>303</v>
      </c>
      <c r="AG326" s="576">
        <v>10</v>
      </c>
      <c r="AN326" s="619"/>
      <c r="AO326" s="829" t="str">
        <f t="shared" si="49"/>
        <v>Yes</v>
      </c>
      <c r="AP326" s="259" t="str">
        <f t="shared" si="50"/>
        <v>JAN 20</v>
      </c>
      <c r="AQ326" s="547" t="str">
        <f t="shared" si="51"/>
        <v>有定金+有預留客戶</v>
      </c>
      <c r="AR326" s="259" t="str">
        <f t="shared" si="52"/>
        <v>Shipped_Stock</v>
      </c>
      <c r="AS326" s="259" t="str">
        <f t="shared" si="53"/>
        <v/>
      </c>
      <c r="AT326" s="259" t="str">
        <f t="shared" si="54"/>
        <v>宏威创</v>
      </c>
      <c r="AU326" s="259" t="str">
        <f t="shared" si="55"/>
        <v>C49SZX20190167SS</v>
      </c>
      <c r="AV326" s="259" t="str">
        <f t="shared" si="56"/>
        <v>Jan-06</v>
      </c>
    </row>
    <row r="327" spans="1:48" ht="15" hidden="1" customHeight="1">
      <c r="A327" s="604">
        <v>586</v>
      </c>
      <c r="B327" s="568" t="s">
        <v>280</v>
      </c>
      <c r="C327" s="565" t="s">
        <v>281</v>
      </c>
      <c r="D327" s="605">
        <v>109750</v>
      </c>
      <c r="E327" s="568" t="s">
        <v>802</v>
      </c>
      <c r="F327" s="568" t="s">
        <v>256</v>
      </c>
      <c r="G327" s="568" t="s">
        <v>24</v>
      </c>
      <c r="H327" s="568" t="s">
        <v>26</v>
      </c>
      <c r="I327" s="569" t="s">
        <v>827</v>
      </c>
      <c r="J327" s="569">
        <v>1</v>
      </c>
      <c r="K327" s="568" t="s">
        <v>437</v>
      </c>
      <c r="L327" s="570">
        <v>43836</v>
      </c>
      <c r="M327" s="581" t="s">
        <v>817</v>
      </c>
      <c r="N327" s="568" t="s">
        <v>785</v>
      </c>
      <c r="O327" s="569">
        <v>2019.12</v>
      </c>
      <c r="P327" s="571" t="str">
        <f>VLOOKUP(A327,'[1]Raw data'!$B:$BB,23,FALSE)</f>
        <v>JPY</v>
      </c>
      <c r="Q327" s="568" t="str">
        <f>VLOOKUP(A327,'[1]Raw data'!$B:$Z,2,FALSE)</f>
        <v>C49SZX20200021SS</v>
      </c>
      <c r="R327" s="568" t="str">
        <f>VLOOKUP(A327,'[1]Raw data'!$B:$Z,3,FALSE)</f>
        <v>格瑞智达/END USER 智宏创</v>
      </c>
      <c r="S327" s="568" t="str">
        <f>VLOOKUP(A327,'[1]Raw data'!$B:$Z,4,FALSE)</f>
        <v>YSM20R(SV)-2</v>
      </c>
      <c r="T327" s="568" t="str">
        <f>VLOOKUP(A327,'[1]Raw data'!$B:$Z,8,FALSE)</f>
        <v>L-&gt;R</v>
      </c>
      <c r="U327" s="568" t="str">
        <f>VLOOKUP(A327,'[1]Raw data'!$B:$Z,9,FALSE)</f>
        <v>No</v>
      </c>
      <c r="V327" s="572" t="str">
        <f t="shared" si="48"/>
        <v>OK</v>
      </c>
      <c r="W327" s="568" t="str">
        <f>VLOOKUP(A327,'[1]Raw data'!$B:$AG,32,FALSE)</f>
        <v>DAP SZ</v>
      </c>
      <c r="X327" s="568">
        <f>VLOOKUP(A327,'[1]Raw data'!$B:$BA,31,FALSE)</f>
        <v>43892</v>
      </c>
      <c r="Y327" s="568" t="str">
        <f>VLOOKUP(A327,'[1]Raw data'!$B:$AS,39,FALSE)</f>
        <v>Yes</v>
      </c>
      <c r="Z327" s="573"/>
      <c r="AA327" s="574"/>
      <c r="AB327" s="575"/>
      <c r="AC327" s="568" t="s">
        <v>828</v>
      </c>
      <c r="AD327" s="569">
        <v>311</v>
      </c>
      <c r="AE327" s="569">
        <v>20</v>
      </c>
      <c r="AF327" s="569"/>
      <c r="AG327" s="569"/>
      <c r="AH327" s="569"/>
      <c r="AI327" s="632"/>
      <c r="AJ327" s="569"/>
      <c r="AK327" s="569"/>
      <c r="AL327" s="569"/>
      <c r="AM327" s="569"/>
      <c r="AN327" s="619"/>
      <c r="AO327" s="829" t="str">
        <f t="shared" si="49"/>
        <v>Yes</v>
      </c>
      <c r="AP327" s="259" t="str">
        <f t="shared" si="50"/>
        <v>MAR 20</v>
      </c>
      <c r="AQ327" s="547" t="str">
        <f t="shared" si="51"/>
        <v>有定金+有預留客戶</v>
      </c>
      <c r="AR327" s="259" t="str">
        <f t="shared" si="52"/>
        <v>Shipped_Stock</v>
      </c>
      <c r="AS327" s="259" t="str">
        <f t="shared" si="53"/>
        <v/>
      </c>
      <c r="AT327" s="259" t="str">
        <f t="shared" si="54"/>
        <v>格瑞智达/END USER 智宏创</v>
      </c>
      <c r="AU327" s="259" t="str">
        <f t="shared" si="55"/>
        <v>C49SZX20200021SS</v>
      </c>
      <c r="AV327" s="259" t="str">
        <f t="shared" si="56"/>
        <v>Jan-06</v>
      </c>
    </row>
    <row r="328" spans="1:48" ht="15" hidden="1" customHeight="1">
      <c r="A328" s="604">
        <v>540</v>
      </c>
      <c r="B328" s="568" t="s">
        <v>280</v>
      </c>
      <c r="C328" s="565" t="s">
        <v>281</v>
      </c>
      <c r="D328" s="605">
        <v>109750</v>
      </c>
      <c r="E328" s="568" t="s">
        <v>802</v>
      </c>
      <c r="F328" s="568" t="s">
        <v>17</v>
      </c>
      <c r="G328" s="568" t="s">
        <v>18</v>
      </c>
      <c r="H328" s="568" t="s">
        <v>19</v>
      </c>
      <c r="I328" s="569" t="s">
        <v>829</v>
      </c>
      <c r="J328" s="576">
        <v>1</v>
      </c>
      <c r="K328" s="568" t="s">
        <v>437</v>
      </c>
      <c r="L328" s="570">
        <v>43836</v>
      </c>
      <c r="M328" s="620" t="s">
        <v>830</v>
      </c>
      <c r="N328" s="568" t="s">
        <v>789</v>
      </c>
      <c r="O328" s="568">
        <v>2019.12</v>
      </c>
      <c r="P328" s="571" t="str">
        <f>VLOOKUP(A328,'[1]Raw data'!$B:$BB,23,FALSE)</f>
        <v>JPY</v>
      </c>
      <c r="Q328" s="568" t="str">
        <f>VLOOKUP(A328,'[1]Raw data'!$B:$Z,2,FALSE)</f>
        <v>C49SZX20190141SS</v>
      </c>
      <c r="R328" s="568" t="str">
        <f>VLOOKUP(A328,'[1]Raw data'!$B:$Z,3,FALSE)</f>
        <v>博睿通</v>
      </c>
      <c r="S328" s="568" t="str">
        <f>VLOOKUP(A328,'[1]Raw data'!$B:$Z,4,FALSE)</f>
        <v>YSM10</v>
      </c>
      <c r="T328" s="568" t="str">
        <f>VLOOKUP(A328,'[1]Raw data'!$B:$Z,8,FALSE)</f>
        <v>L-&gt;R</v>
      </c>
      <c r="U328" s="568" t="str">
        <f>VLOOKUP(A328,'[1]Raw data'!$B:$Z,9,FALSE)</f>
        <v>MVC+ATS15</v>
      </c>
      <c r="V328" s="572" t="str">
        <f t="shared" si="48"/>
        <v>WRONG</v>
      </c>
      <c r="W328" s="568" t="str">
        <f>VLOOKUP(A328,'[1]Raw data'!$B:$AG,32,FALSE)</f>
        <v>CIF HK</v>
      </c>
      <c r="X328" s="568">
        <f>VLOOKUP(A328,'[1]Raw data'!$B:$BA,31,FALSE)</f>
        <v>43810</v>
      </c>
      <c r="Y328" s="568" t="str">
        <f>VLOOKUP(A328,'[1]Raw data'!$B:$AS,39,FALSE)</f>
        <v>Yes</v>
      </c>
      <c r="Z328" s="573"/>
      <c r="AA328" s="574"/>
      <c r="AB328" s="575"/>
      <c r="AC328" s="568" t="s">
        <v>831</v>
      </c>
      <c r="AD328" s="569">
        <v>301</v>
      </c>
      <c r="AE328" s="569">
        <v>10</v>
      </c>
      <c r="AF328" s="569"/>
      <c r="AG328" s="569"/>
      <c r="AH328" s="569"/>
      <c r="AI328" s="632"/>
      <c r="AJ328" s="569"/>
      <c r="AK328" s="569"/>
      <c r="AL328" s="569"/>
      <c r="AM328" s="569"/>
      <c r="AN328" s="619"/>
      <c r="AO328" s="829" t="str">
        <f t="shared" si="49"/>
        <v>Yes</v>
      </c>
      <c r="AP328" s="259" t="str">
        <f t="shared" si="50"/>
        <v>FEB 20</v>
      </c>
      <c r="AQ328" s="547" t="str">
        <f t="shared" si="51"/>
        <v>有定金+有預留客戶</v>
      </c>
      <c r="AR328" s="259" t="str">
        <f t="shared" si="52"/>
        <v>Shipped_Stock</v>
      </c>
      <c r="AS328" s="259" t="str">
        <f t="shared" si="53"/>
        <v/>
      </c>
      <c r="AT328" s="259" t="str">
        <f t="shared" si="54"/>
        <v>博睿通</v>
      </c>
      <c r="AU328" s="259" t="str">
        <f t="shared" si="55"/>
        <v>C49SZX20190141SS</v>
      </c>
      <c r="AV328" s="259" t="str">
        <f t="shared" si="56"/>
        <v>Jan-06</v>
      </c>
    </row>
    <row r="329" spans="1:48" ht="39" hidden="1" customHeight="1" thickBot="1">
      <c r="A329" s="564">
        <v>595</v>
      </c>
      <c r="B329" s="568" t="s">
        <v>280</v>
      </c>
      <c r="C329" s="565" t="s">
        <v>281</v>
      </c>
      <c r="D329" s="627">
        <v>109750</v>
      </c>
      <c r="E329" s="568" t="s">
        <v>802</v>
      </c>
      <c r="F329" s="568" t="s">
        <v>17</v>
      </c>
      <c r="G329" s="568" t="s">
        <v>18</v>
      </c>
      <c r="H329" s="568" t="s">
        <v>19</v>
      </c>
      <c r="I329" s="569" t="s">
        <v>832</v>
      </c>
      <c r="J329" s="569">
        <v>1</v>
      </c>
      <c r="K329" s="568" t="s">
        <v>437</v>
      </c>
      <c r="L329" s="570">
        <v>43836</v>
      </c>
      <c r="M329" s="581" t="s">
        <v>817</v>
      </c>
      <c r="N329" s="568" t="s">
        <v>554</v>
      </c>
      <c r="O329" s="568">
        <v>2019.12</v>
      </c>
      <c r="P329" s="571" t="str">
        <f>VLOOKUP(A329,'[1]Raw data'!$B:$BB,23,FALSE)</f>
        <v>RMB</v>
      </c>
      <c r="Q329" s="568" t="str">
        <f>VLOOKUP(A329,'[1]Raw data'!$B:$Z,2,FALSE)</f>
        <v>C49SZX20200027JY</v>
      </c>
      <c r="R329" s="568" t="str">
        <f>VLOOKUP(A329,'[1]Raw data'!$B:$Z,3,FALSE)</f>
        <v>络鑫</v>
      </c>
      <c r="S329" s="568" t="str">
        <f>VLOOKUP(A329,'[1]Raw data'!$B:$Z,4,FALSE)</f>
        <v>YSM10</v>
      </c>
      <c r="T329" s="568" t="str">
        <f>VLOOKUP(A329,'[1]Raw data'!$B:$Z,8,FALSE)</f>
        <v>L-&gt;R</v>
      </c>
      <c r="U329" s="568" t="str">
        <f>VLOOKUP(A329,'[1]Raw data'!$B:$Z,9,FALSE)</f>
        <v>MVC+ATS15</v>
      </c>
      <c r="V329" s="572" t="str">
        <f t="shared" si="48"/>
        <v>WRONG</v>
      </c>
      <c r="W329" s="568" t="str">
        <f>VLOOKUP(A329,'[1]Raw data'!$B:$AG,32,FALSE)</f>
        <v>DAP DG</v>
      </c>
      <c r="X329" s="568">
        <f>VLOOKUP(A329,'[1]Raw data'!$B:$BA,31,FALSE)</f>
        <v>43906</v>
      </c>
      <c r="Y329" s="568" t="str">
        <f>VLOOKUP(A329,'[1]Raw data'!$B:$AS,39,FALSE)</f>
        <v>Yes</v>
      </c>
      <c r="AC329" s="568" t="s">
        <v>439</v>
      </c>
      <c r="AD329" s="576">
        <v>302</v>
      </c>
      <c r="AE329" s="576">
        <v>10</v>
      </c>
      <c r="AN329" s="547"/>
      <c r="AO329" s="829" t="str">
        <f t="shared" si="49"/>
        <v>Yes</v>
      </c>
      <c r="AP329" s="259" t="str">
        <f t="shared" si="50"/>
        <v>APR 20</v>
      </c>
      <c r="AQ329" s="547" t="str">
        <f t="shared" si="51"/>
        <v>有定金+有預留客戶</v>
      </c>
      <c r="AR329" s="259" t="str">
        <f t="shared" si="52"/>
        <v>Shipped_Stock</v>
      </c>
      <c r="AS329" s="259" t="str">
        <f t="shared" si="53"/>
        <v/>
      </c>
      <c r="AT329" s="259" t="str">
        <f t="shared" si="54"/>
        <v>络鑫</v>
      </c>
      <c r="AU329" s="259" t="str">
        <f t="shared" si="55"/>
        <v>C49SZX20200027JY</v>
      </c>
      <c r="AV329" s="259" t="str">
        <f t="shared" si="56"/>
        <v>Jan-06</v>
      </c>
    </row>
    <row r="330" spans="1:48" ht="14.25" hidden="1" customHeight="1">
      <c r="A330" s="604">
        <v>528</v>
      </c>
      <c r="B330" s="565" t="s">
        <v>280</v>
      </c>
      <c r="C330" s="565" t="s">
        <v>281</v>
      </c>
      <c r="D330" s="628">
        <v>109749</v>
      </c>
      <c r="E330" s="567" t="s">
        <v>802</v>
      </c>
      <c r="F330" s="568" t="s">
        <v>256</v>
      </c>
      <c r="G330" s="568" t="s">
        <v>18</v>
      </c>
      <c r="H330" s="568" t="s">
        <v>26</v>
      </c>
      <c r="I330" s="569" t="s">
        <v>833</v>
      </c>
      <c r="J330" s="569">
        <v>1</v>
      </c>
      <c r="K330" s="568" t="s">
        <v>437</v>
      </c>
      <c r="L330" s="570">
        <v>43836</v>
      </c>
      <c r="M330" s="581">
        <v>6.54E-2</v>
      </c>
      <c r="N330" s="568" t="s">
        <v>785</v>
      </c>
      <c r="O330" s="569">
        <v>2019.12</v>
      </c>
      <c r="P330" s="571" t="str">
        <f>VLOOKUP(A330,'[1]Raw data'!$B:$BB,23,FALSE)</f>
        <v>JPY</v>
      </c>
      <c r="Q330" s="568" t="str">
        <f>VLOOKUP(A330,'[1]Raw data'!$B:$Z,2,FALSE)</f>
        <v>C49SZX20190160R1ZX</v>
      </c>
      <c r="R330" s="568" t="str">
        <f>VLOOKUP(A330,'[1]Raw data'!$B:$Z,3,FALSE)</f>
        <v>新明海</v>
      </c>
      <c r="S330" s="568" t="str">
        <f>VLOOKUP(A330,'[1]Raw data'!$B:$Z,4,FALSE)</f>
        <v>YSM20R(SV)-2</v>
      </c>
      <c r="T330" s="568" t="str">
        <f>VLOOKUP(A330,'[1]Raw data'!$B:$Z,8,FALSE)</f>
        <v>R-&gt;L</v>
      </c>
      <c r="U330" s="568" t="str">
        <f>VLOOKUP(A330,'[1]Raw data'!$B:$Z,9,FALSE)</f>
        <v>MVC</v>
      </c>
      <c r="V330" s="572" t="str">
        <f t="shared" si="48"/>
        <v>WRONG</v>
      </c>
      <c r="W330" s="568" t="str">
        <f>VLOOKUP(A330,'[1]Raw data'!$B:$AG,32,FALSE)</f>
        <v>DAP HZ</v>
      </c>
      <c r="X330" s="568">
        <f>VLOOKUP(A330,'[1]Raw data'!$B:$BA,31,FALSE)</f>
        <v>43801</v>
      </c>
      <c r="Y330" s="568" t="str">
        <f>VLOOKUP(A330,'[1]Raw data'!$B:$AS,39,FALSE)</f>
        <v>Yes</v>
      </c>
      <c r="AC330" s="568" t="s">
        <v>834</v>
      </c>
      <c r="AD330" s="569">
        <v>301</v>
      </c>
      <c r="AE330" s="569">
        <v>20</v>
      </c>
      <c r="AF330" s="569"/>
      <c r="AG330" s="569"/>
      <c r="AH330" s="569"/>
      <c r="AI330" s="632"/>
      <c r="AJ330" s="569"/>
      <c r="AK330" s="569"/>
      <c r="AL330" s="569"/>
      <c r="AM330" s="569"/>
      <c r="AN330" s="547"/>
      <c r="AO330" s="829" t="str">
        <f t="shared" si="49"/>
        <v>Yes</v>
      </c>
      <c r="AP330" s="259" t="str">
        <f t="shared" si="50"/>
        <v>MAR 20</v>
      </c>
      <c r="AQ330" s="547" t="str">
        <f t="shared" si="51"/>
        <v>有定金+有預留客戶</v>
      </c>
      <c r="AR330" s="259" t="str">
        <f t="shared" si="52"/>
        <v>Shipped_Stock</v>
      </c>
      <c r="AS330" s="259" t="str">
        <f t="shared" si="53"/>
        <v/>
      </c>
      <c r="AT330" s="259" t="str">
        <f t="shared" si="54"/>
        <v>新明海</v>
      </c>
      <c r="AU330" s="259" t="str">
        <f t="shared" si="55"/>
        <v>C49SZX20190160R1ZX</v>
      </c>
      <c r="AV330" s="259" t="str">
        <f t="shared" si="56"/>
        <v>Jan-06</v>
      </c>
    </row>
    <row r="331" spans="1:48" ht="15" hidden="1" customHeight="1">
      <c r="A331" s="604">
        <v>516</v>
      </c>
      <c r="B331" s="565" t="s">
        <v>280</v>
      </c>
      <c r="C331" s="565" t="s">
        <v>281</v>
      </c>
      <c r="D331" s="630">
        <v>109749</v>
      </c>
      <c r="E331" s="567" t="s">
        <v>802</v>
      </c>
      <c r="F331" s="568" t="s">
        <v>256</v>
      </c>
      <c r="G331" s="568" t="s">
        <v>18</v>
      </c>
      <c r="H331" s="568" t="s">
        <v>26</v>
      </c>
      <c r="I331" s="569" t="s">
        <v>835</v>
      </c>
      <c r="J331" s="569">
        <v>1</v>
      </c>
      <c r="K331" s="568" t="s">
        <v>437</v>
      </c>
      <c r="L331" s="570">
        <v>43836</v>
      </c>
      <c r="M331" s="581">
        <v>6.54E-2</v>
      </c>
      <c r="N331" s="568" t="s">
        <v>731</v>
      </c>
      <c r="O331" s="569">
        <v>2019.12</v>
      </c>
      <c r="P331" s="571" t="str">
        <f>VLOOKUP(A331,'[1]Raw data'!$B:$BB,23,FALSE)</f>
        <v>JPY</v>
      </c>
      <c r="Q331" s="568" t="str">
        <f>VLOOKUP(A331,'[1]Raw data'!$B:$Z,2,FALSE)</f>
        <v>C49SZX20190169MZ</v>
      </c>
      <c r="R331" s="568" t="str">
        <f>VLOOKUP(A331,'[1]Raw data'!$B:$Z,3,FALSE)</f>
        <v>创伟峰</v>
      </c>
      <c r="S331" s="568" t="str">
        <f>VLOOKUP(A331,'[1]Raw data'!$B:$Z,4,FALSE)</f>
        <v>YSM20R(SV)-2</v>
      </c>
      <c r="T331" s="568" t="str">
        <f>VLOOKUP(A331,'[1]Raw data'!$B:$Z,8,FALSE)</f>
        <v>R-&gt;L</v>
      </c>
      <c r="U331" s="568" t="str">
        <f>VLOOKUP(A331,'[1]Raw data'!$B:$Z,9,FALSE)</f>
        <v>No</v>
      </c>
      <c r="V331" s="572" t="str">
        <f t="shared" si="48"/>
        <v>OK</v>
      </c>
      <c r="W331" s="568" t="str">
        <f>VLOOKUP(A331,'[1]Raw data'!$B:$AG,32,FALSE)</f>
        <v>CIF HK</v>
      </c>
      <c r="X331" s="568">
        <f>VLOOKUP(A331,'[1]Raw data'!$B:$BA,31,FALSE)</f>
        <v>43790</v>
      </c>
      <c r="Y331" s="568" t="str">
        <f>VLOOKUP(A331,'[1]Raw data'!$B:$AS,39,FALSE)</f>
        <v>Yes</v>
      </c>
      <c r="Z331" s="573"/>
      <c r="AA331" s="574"/>
      <c r="AB331" s="575"/>
      <c r="AC331" s="568" t="s">
        <v>836</v>
      </c>
      <c r="AD331" s="569">
        <v>301</v>
      </c>
      <c r="AE331" s="569">
        <v>10</v>
      </c>
      <c r="AF331" s="569"/>
      <c r="AG331" s="569"/>
      <c r="AH331" s="569"/>
      <c r="AI331" s="632"/>
      <c r="AJ331" s="569"/>
      <c r="AK331" s="569"/>
      <c r="AL331" s="569"/>
      <c r="AM331" s="569"/>
      <c r="AN331" s="547"/>
      <c r="AO331" s="829" t="str">
        <f t="shared" si="49"/>
        <v>Yes</v>
      </c>
      <c r="AP331" s="259" t="str">
        <f t="shared" si="50"/>
        <v>JAN 20</v>
      </c>
      <c r="AQ331" s="547" t="str">
        <f t="shared" si="51"/>
        <v>有定金+有預留客戶</v>
      </c>
      <c r="AR331" s="259" t="str">
        <f t="shared" si="52"/>
        <v>Shipped_Stock</v>
      </c>
      <c r="AS331" s="259" t="str">
        <f t="shared" si="53"/>
        <v/>
      </c>
      <c r="AT331" s="259" t="str">
        <f t="shared" si="54"/>
        <v>创伟峰</v>
      </c>
      <c r="AU331" s="259" t="str">
        <f t="shared" si="55"/>
        <v>C49SZX20190169MZ</v>
      </c>
      <c r="AV331" s="259" t="str">
        <f t="shared" si="56"/>
        <v>Jan-06</v>
      </c>
    </row>
    <row r="332" spans="1:48" ht="33" hidden="1">
      <c r="A332" s="604">
        <v>475</v>
      </c>
      <c r="B332" s="568" t="s">
        <v>280</v>
      </c>
      <c r="C332" s="565" t="s">
        <v>281</v>
      </c>
      <c r="D332" s="605">
        <v>109749</v>
      </c>
      <c r="E332" s="568" t="s">
        <v>802</v>
      </c>
      <c r="F332" s="568" t="s">
        <v>17</v>
      </c>
      <c r="G332" s="568" t="s">
        <v>18</v>
      </c>
      <c r="H332" s="568" t="s">
        <v>19</v>
      </c>
      <c r="I332" s="569" t="s">
        <v>837</v>
      </c>
      <c r="J332" s="569">
        <v>1</v>
      </c>
      <c r="K332" s="568" t="s">
        <v>437</v>
      </c>
      <c r="L332" s="570">
        <v>43836</v>
      </c>
      <c r="M332" s="620" t="s">
        <v>838</v>
      </c>
      <c r="N332" s="568" t="s">
        <v>789</v>
      </c>
      <c r="O332" s="568">
        <v>2019.12</v>
      </c>
      <c r="P332" s="571" t="str">
        <f>VLOOKUP(A332,'[1]Raw data'!$B:$BB,23,FALSE)</f>
        <v>JPY</v>
      </c>
      <c r="Q332" s="568" t="str">
        <f>VLOOKUP(A332,'[1]Raw data'!$B:$Z,2,FALSE)</f>
        <v>C49SZX20190156-2ZX</v>
      </c>
      <c r="R332" s="568" t="str">
        <f>VLOOKUP(A332,'[1]Raw data'!$B:$Z,3,FALSE)</f>
        <v>锘铧</v>
      </c>
      <c r="S332" s="568" t="str">
        <f>VLOOKUP(A332,'[1]Raw data'!$B:$Z,4,FALSE)</f>
        <v>YSM10</v>
      </c>
      <c r="T332" s="568" t="str">
        <f>VLOOKUP(A332,'[1]Raw data'!$B:$Z,8,FALSE)</f>
        <v>R-&gt;L</v>
      </c>
      <c r="U332" s="568" t="str">
        <f>VLOOKUP(A332,'[1]Raw data'!$B:$Z,9,FALSE)</f>
        <v>MVC+ATS15</v>
      </c>
      <c r="V332" s="572" t="str">
        <f t="shared" si="48"/>
        <v>WRONG</v>
      </c>
      <c r="W332" s="568" t="str">
        <f>VLOOKUP(A332,'[1]Raw data'!$B:$AG,32,FALSE)</f>
        <v>DAP GZ</v>
      </c>
      <c r="X332" s="568">
        <f>VLOOKUP(A332,'[1]Raw data'!$B:$BA,31,FALSE)</f>
        <v>43774</v>
      </c>
      <c r="Y332" s="568" t="str">
        <f>VLOOKUP(A332,'[1]Raw data'!$B:$AS,39,FALSE)</f>
        <v>Yes</v>
      </c>
      <c r="Z332" s="573"/>
      <c r="AA332" s="574"/>
      <c r="AB332" s="575"/>
      <c r="AC332" s="568" t="s">
        <v>678</v>
      </c>
      <c r="AD332" s="569">
        <v>301</v>
      </c>
      <c r="AE332" s="569">
        <v>10</v>
      </c>
      <c r="AF332" s="569"/>
      <c r="AG332" s="569"/>
      <c r="AH332" s="569"/>
      <c r="AI332" s="645"/>
      <c r="AJ332" s="569"/>
      <c r="AK332" s="569"/>
      <c r="AL332" s="569"/>
      <c r="AM332" s="569"/>
      <c r="AN332" s="619"/>
      <c r="AO332" s="829" t="str">
        <f t="shared" si="49"/>
        <v>Yes</v>
      </c>
      <c r="AP332" s="259" t="str">
        <f t="shared" si="50"/>
        <v>FEB 20</v>
      </c>
      <c r="AQ332" s="547" t="str">
        <f t="shared" si="51"/>
        <v>有定金+有預留客戶</v>
      </c>
      <c r="AR332" s="259" t="str">
        <f t="shared" si="52"/>
        <v>Shipped_Stock</v>
      </c>
      <c r="AS332" s="259" t="str">
        <f t="shared" si="53"/>
        <v/>
      </c>
      <c r="AT332" s="259" t="str">
        <f t="shared" si="54"/>
        <v>锘铧</v>
      </c>
      <c r="AU332" s="259" t="str">
        <f t="shared" si="55"/>
        <v>C49SZX20190156-2ZX</v>
      </c>
      <c r="AV332" s="259" t="str">
        <f t="shared" si="56"/>
        <v>Jan-06</v>
      </c>
    </row>
    <row r="333" spans="1:48" ht="22.5" hidden="1">
      <c r="A333" s="604">
        <v>538</v>
      </c>
      <c r="B333" s="565" t="s">
        <v>280</v>
      </c>
      <c r="C333" s="565" t="s">
        <v>281</v>
      </c>
      <c r="D333" s="630">
        <v>109749</v>
      </c>
      <c r="E333" s="567" t="s">
        <v>802</v>
      </c>
      <c r="F333" s="568" t="s">
        <v>17</v>
      </c>
      <c r="G333" s="568" t="s">
        <v>18</v>
      </c>
      <c r="H333" s="568" t="s">
        <v>19</v>
      </c>
      <c r="I333" s="569" t="s">
        <v>839</v>
      </c>
      <c r="J333" s="569">
        <v>1</v>
      </c>
      <c r="K333" s="568" t="s">
        <v>437</v>
      </c>
      <c r="L333" s="570">
        <v>43836</v>
      </c>
      <c r="M333" s="620" t="s">
        <v>830</v>
      </c>
      <c r="N333" s="568" t="s">
        <v>789</v>
      </c>
      <c r="O333" s="568">
        <v>2019.12</v>
      </c>
      <c r="P333" s="571" t="str">
        <f>VLOOKUP(A333,'[1]Raw data'!$B:$BB,23,FALSE)</f>
        <v>JPY</v>
      </c>
      <c r="Q333" s="568" t="str">
        <f>VLOOKUP(A333,'[1]Raw data'!$B:$Z,2,FALSE)</f>
        <v>C49SZX20190141SS</v>
      </c>
      <c r="R333" s="568" t="str">
        <f>VLOOKUP(A333,'[1]Raw data'!$B:$Z,3,FALSE)</f>
        <v>博睿通</v>
      </c>
      <c r="S333" s="568" t="str">
        <f>VLOOKUP(A333,'[1]Raw data'!$B:$Z,4,FALSE)</f>
        <v>YSM10</v>
      </c>
      <c r="T333" s="568" t="str">
        <f>VLOOKUP(A333,'[1]Raw data'!$B:$Z,8,FALSE)</f>
        <v>L-&gt;R</v>
      </c>
      <c r="U333" s="568" t="str">
        <f>VLOOKUP(A333,'[1]Raw data'!$B:$Z,9,FALSE)</f>
        <v>MVC+ATS15</v>
      </c>
      <c r="V333" s="572" t="str">
        <f t="shared" si="48"/>
        <v>WRONG</v>
      </c>
      <c r="W333" s="568" t="str">
        <f>VLOOKUP(A333,'[1]Raw data'!$B:$AG,32,FALSE)</f>
        <v>CIF HK</v>
      </c>
      <c r="X333" s="568">
        <f>VLOOKUP(A333,'[1]Raw data'!$B:$BA,31,FALSE)</f>
        <v>43810</v>
      </c>
      <c r="Y333" s="568" t="str">
        <f>VLOOKUP(A333,'[1]Raw data'!$B:$AS,39,FALSE)</f>
        <v>Yes</v>
      </c>
      <c r="Z333" s="573"/>
      <c r="AA333" s="574"/>
      <c r="AB333" s="575"/>
      <c r="AC333" s="568" t="s">
        <v>831</v>
      </c>
      <c r="AD333" s="569">
        <v>301</v>
      </c>
      <c r="AE333" s="569">
        <v>10</v>
      </c>
      <c r="AF333" s="569"/>
      <c r="AG333" s="569"/>
      <c r="AH333" s="569"/>
      <c r="AI333" s="632"/>
      <c r="AJ333" s="569"/>
      <c r="AK333" s="569"/>
      <c r="AL333" s="569"/>
      <c r="AM333" s="569"/>
      <c r="AN333" s="619"/>
      <c r="AO333" s="829" t="str">
        <f t="shared" si="49"/>
        <v>Yes</v>
      </c>
      <c r="AP333" s="259" t="str">
        <f t="shared" si="50"/>
        <v>FEB 20</v>
      </c>
      <c r="AQ333" s="547" t="str">
        <f t="shared" si="51"/>
        <v>有定金+有預留客戶</v>
      </c>
      <c r="AR333" s="259" t="str">
        <f t="shared" si="52"/>
        <v>Shipped_Stock</v>
      </c>
      <c r="AS333" s="259" t="str">
        <f t="shared" si="53"/>
        <v/>
      </c>
      <c r="AT333" s="259" t="str">
        <f t="shared" si="54"/>
        <v>博睿通</v>
      </c>
      <c r="AU333" s="259" t="str">
        <f t="shared" si="55"/>
        <v>C49SZX20190141SS</v>
      </c>
      <c r="AV333" s="259" t="str">
        <f t="shared" si="56"/>
        <v>Jan-06</v>
      </c>
    </row>
    <row r="334" spans="1:48" ht="23.25" hidden="1" thickBot="1">
      <c r="A334" s="604">
        <v>539</v>
      </c>
      <c r="B334" s="565" t="s">
        <v>280</v>
      </c>
      <c r="C334" s="565" t="s">
        <v>281</v>
      </c>
      <c r="D334" s="629">
        <v>109749</v>
      </c>
      <c r="E334" s="567" t="s">
        <v>802</v>
      </c>
      <c r="F334" s="568" t="s">
        <v>17</v>
      </c>
      <c r="G334" s="568" t="s">
        <v>18</v>
      </c>
      <c r="H334" s="568" t="s">
        <v>19</v>
      </c>
      <c r="I334" s="569" t="s">
        <v>840</v>
      </c>
      <c r="J334" s="569">
        <v>1</v>
      </c>
      <c r="K334" s="568" t="s">
        <v>437</v>
      </c>
      <c r="L334" s="570">
        <v>43836</v>
      </c>
      <c r="M334" s="620" t="s">
        <v>830</v>
      </c>
      <c r="N334" s="568" t="s">
        <v>789</v>
      </c>
      <c r="O334" s="568">
        <v>2019.12</v>
      </c>
      <c r="P334" s="571" t="str">
        <f>VLOOKUP(A334,'[1]Raw data'!$B:$BB,23,FALSE)</f>
        <v>JPY</v>
      </c>
      <c r="Q334" s="568" t="str">
        <f>VLOOKUP(A334,'[1]Raw data'!$B:$Z,2,FALSE)</f>
        <v>C49SZX20190141SS</v>
      </c>
      <c r="R334" s="568" t="str">
        <f>VLOOKUP(A334,'[1]Raw data'!$B:$Z,3,FALSE)</f>
        <v>博睿通</v>
      </c>
      <c r="S334" s="568" t="str">
        <f>VLOOKUP(A334,'[1]Raw data'!$B:$Z,4,FALSE)</f>
        <v>YSM10</v>
      </c>
      <c r="T334" s="568" t="str">
        <f>VLOOKUP(A334,'[1]Raw data'!$B:$Z,8,FALSE)</f>
        <v>L-&gt;R</v>
      </c>
      <c r="U334" s="568" t="str">
        <f>VLOOKUP(A334,'[1]Raw data'!$B:$Z,9,FALSE)</f>
        <v>MVC+ATS15</v>
      </c>
      <c r="V334" s="572" t="str">
        <f t="shared" si="48"/>
        <v>WRONG</v>
      </c>
      <c r="W334" s="568" t="str">
        <f>VLOOKUP(A334,'[1]Raw data'!$B:$AG,32,FALSE)</f>
        <v>CIF HK</v>
      </c>
      <c r="X334" s="568">
        <f>VLOOKUP(A334,'[1]Raw data'!$B:$BA,31,FALSE)</f>
        <v>43810</v>
      </c>
      <c r="Y334" s="568" t="str">
        <f>VLOOKUP(A334,'[1]Raw data'!$B:$AS,39,FALSE)</f>
        <v>Yes</v>
      </c>
      <c r="Z334" s="573"/>
      <c r="AA334" s="574"/>
      <c r="AB334" s="575"/>
      <c r="AC334" s="568" t="s">
        <v>831</v>
      </c>
      <c r="AD334" s="569">
        <v>301</v>
      </c>
      <c r="AE334" s="569">
        <v>10</v>
      </c>
      <c r="AF334" s="569"/>
      <c r="AG334" s="569"/>
      <c r="AH334" s="569"/>
      <c r="AI334" s="632"/>
      <c r="AJ334" s="569"/>
      <c r="AK334" s="569"/>
      <c r="AL334" s="569"/>
      <c r="AM334" s="569"/>
      <c r="AN334" s="547"/>
      <c r="AO334" s="829" t="str">
        <f t="shared" si="49"/>
        <v>Yes</v>
      </c>
      <c r="AP334" s="259" t="str">
        <f t="shared" si="50"/>
        <v>FEB 20</v>
      </c>
      <c r="AQ334" s="547" t="str">
        <f t="shared" si="51"/>
        <v>有定金+有預留客戶</v>
      </c>
      <c r="AR334" s="259" t="str">
        <f t="shared" si="52"/>
        <v>Shipped_Stock</v>
      </c>
      <c r="AS334" s="259" t="str">
        <f t="shared" si="53"/>
        <v/>
      </c>
      <c r="AT334" s="259" t="str">
        <f t="shared" si="54"/>
        <v>博睿通</v>
      </c>
      <c r="AU334" s="259" t="str">
        <f t="shared" si="55"/>
        <v>C49SZX20190141SS</v>
      </c>
      <c r="AV334" s="259" t="str">
        <f t="shared" si="56"/>
        <v>Jan-06</v>
      </c>
    </row>
    <row r="335" spans="1:48" hidden="1">
      <c r="A335" s="564">
        <v>546</v>
      </c>
      <c r="B335" s="565" t="s">
        <v>280</v>
      </c>
      <c r="C335" s="565" t="s">
        <v>281</v>
      </c>
      <c r="D335" s="628">
        <v>109750</v>
      </c>
      <c r="E335" s="567" t="s">
        <v>802</v>
      </c>
      <c r="F335" s="568" t="s">
        <v>256</v>
      </c>
      <c r="G335" s="568" t="s">
        <v>24</v>
      </c>
      <c r="H335" s="568" t="s">
        <v>26</v>
      </c>
      <c r="I335" s="569" t="s">
        <v>841</v>
      </c>
      <c r="J335" s="569">
        <v>1</v>
      </c>
      <c r="K335" s="568" t="s">
        <v>437</v>
      </c>
      <c r="L335" s="570">
        <v>43836</v>
      </c>
      <c r="M335" s="581" t="s">
        <v>817</v>
      </c>
      <c r="N335" s="568" t="s">
        <v>731</v>
      </c>
      <c r="O335" s="569">
        <v>2019.12</v>
      </c>
      <c r="P335" s="571" t="str">
        <f>VLOOKUP(A335,'[1]Raw data'!$B:$BB,23,FALSE)</f>
        <v>JPY</v>
      </c>
      <c r="Q335" s="568" t="str">
        <f>VLOOKUP(A335,'[1]Raw data'!$B:$Z,2,FALSE)</f>
        <v>C49SZX20190182JL</v>
      </c>
      <c r="R335" s="568" t="str">
        <f>VLOOKUP(A335,'[1]Raw data'!$B:$Z,3,FALSE)</f>
        <v>志恒兴盛</v>
      </c>
      <c r="S335" s="568" t="str">
        <f>VLOOKUP(A335,'[1]Raw data'!$B:$Z,4,FALSE)</f>
        <v>YSM20R(SV)-2</v>
      </c>
      <c r="T335" s="568" t="str">
        <f>VLOOKUP(A335,'[1]Raw data'!$B:$Z,8,FALSE)</f>
        <v>L-&gt;R</v>
      </c>
      <c r="U335" s="568" t="str">
        <f>VLOOKUP(A335,'[1]Raw data'!$B:$Z,9,FALSE)</f>
        <v>No</v>
      </c>
      <c r="V335" s="572" t="str">
        <f t="shared" si="48"/>
        <v>OK</v>
      </c>
      <c r="W335" s="568" t="str">
        <f>VLOOKUP(A335,'[1]Raw data'!$B:$AG,32,FALSE)</f>
        <v>CIF HK</v>
      </c>
      <c r="X335" s="568">
        <f>VLOOKUP(A335,'[1]Raw data'!$B:$BA,31,FALSE)</f>
        <v>43836</v>
      </c>
      <c r="Y335" s="568" t="str">
        <f>VLOOKUP(A335,'[1]Raw data'!$B:$AS,39,FALSE)</f>
        <v>Yes</v>
      </c>
      <c r="Z335" s="573"/>
      <c r="AA335" s="574"/>
      <c r="AB335" s="575"/>
      <c r="AC335" s="568" t="s">
        <v>842</v>
      </c>
      <c r="AD335" s="576">
        <v>301</v>
      </c>
      <c r="AE335" s="576">
        <v>10</v>
      </c>
      <c r="AF335" s="576">
        <v>302</v>
      </c>
      <c r="AG335" s="576">
        <v>10</v>
      </c>
      <c r="AN335" s="547"/>
      <c r="AO335" s="829" t="str">
        <f t="shared" si="49"/>
        <v>Yes</v>
      </c>
      <c r="AP335" s="259" t="str">
        <f t="shared" si="50"/>
        <v>JAN 20</v>
      </c>
      <c r="AQ335" s="547" t="str">
        <f t="shared" si="51"/>
        <v>有定金+有預留客戶</v>
      </c>
      <c r="AR335" s="259" t="str">
        <f t="shared" si="52"/>
        <v>Shipped_Stock</v>
      </c>
      <c r="AS335" s="259" t="str">
        <f t="shared" si="53"/>
        <v/>
      </c>
      <c r="AT335" s="259" t="str">
        <f t="shared" si="54"/>
        <v>志恒兴盛</v>
      </c>
      <c r="AU335" s="259" t="str">
        <f t="shared" si="55"/>
        <v>C49SZX20190182JL</v>
      </c>
      <c r="AV335" s="259" t="str">
        <f t="shared" si="56"/>
        <v>Jan-06</v>
      </c>
    </row>
    <row r="336" spans="1:48" ht="38.25" hidden="1" customHeight="1">
      <c r="A336" s="564">
        <v>547</v>
      </c>
      <c r="B336" s="565" t="s">
        <v>280</v>
      </c>
      <c r="C336" s="565" t="s">
        <v>281</v>
      </c>
      <c r="D336" s="630">
        <v>109750</v>
      </c>
      <c r="E336" s="567" t="s">
        <v>802</v>
      </c>
      <c r="F336" s="568" t="s">
        <v>256</v>
      </c>
      <c r="G336" s="568" t="s">
        <v>24</v>
      </c>
      <c r="H336" s="568" t="s">
        <v>26</v>
      </c>
      <c r="I336" s="569" t="s">
        <v>843</v>
      </c>
      <c r="J336" s="569">
        <v>1</v>
      </c>
      <c r="K336" s="568" t="s">
        <v>437</v>
      </c>
      <c r="L336" s="570">
        <v>43836</v>
      </c>
      <c r="M336" s="581" t="s">
        <v>817</v>
      </c>
      <c r="N336" s="568" t="s">
        <v>731</v>
      </c>
      <c r="O336" s="569">
        <v>2019.12</v>
      </c>
      <c r="P336" s="571" t="str">
        <f>VLOOKUP(A336,'[1]Raw data'!$B:$BB,23,FALSE)</f>
        <v>JPY</v>
      </c>
      <c r="Q336" s="568" t="str">
        <f>VLOOKUP(A336,'[1]Raw data'!$B:$Z,2,FALSE)</f>
        <v>C49SZX20190182JL</v>
      </c>
      <c r="R336" s="568" t="str">
        <f>VLOOKUP(A336,'[1]Raw data'!$B:$Z,3,FALSE)</f>
        <v>志恒兴盛</v>
      </c>
      <c r="S336" s="568" t="str">
        <f>VLOOKUP(A336,'[1]Raw data'!$B:$Z,4,FALSE)</f>
        <v>YSM20R(SV)-2</v>
      </c>
      <c r="T336" s="568" t="str">
        <f>VLOOKUP(A336,'[1]Raw data'!$B:$Z,8,FALSE)</f>
        <v>L-&gt;R</v>
      </c>
      <c r="U336" s="568" t="str">
        <f>VLOOKUP(A336,'[1]Raw data'!$B:$Z,9,FALSE)</f>
        <v>No</v>
      </c>
      <c r="V336" s="572" t="str">
        <f t="shared" si="48"/>
        <v>OK</v>
      </c>
      <c r="W336" s="568" t="str">
        <f>VLOOKUP(A336,'[1]Raw data'!$B:$AG,32,FALSE)</f>
        <v>CIF HK</v>
      </c>
      <c r="X336" s="568">
        <f>VLOOKUP(A336,'[1]Raw data'!$B:$BA,31,FALSE)</f>
        <v>43836</v>
      </c>
      <c r="Y336" s="568" t="str">
        <f>VLOOKUP(A336,'[1]Raw data'!$B:$AS,39,FALSE)</f>
        <v>Yes</v>
      </c>
      <c r="Z336" s="573"/>
      <c r="AA336" s="574"/>
      <c r="AB336" s="575"/>
      <c r="AC336" s="568" t="s">
        <v>842</v>
      </c>
      <c r="AD336" s="576">
        <v>303</v>
      </c>
      <c r="AE336" s="576">
        <v>10</v>
      </c>
      <c r="AF336" s="576">
        <v>302</v>
      </c>
      <c r="AG336" s="576">
        <v>10</v>
      </c>
      <c r="AN336" s="547"/>
      <c r="AO336" s="829" t="str">
        <f t="shared" si="49"/>
        <v>Yes</v>
      </c>
      <c r="AP336" s="259" t="str">
        <f t="shared" si="50"/>
        <v>JAN 20</v>
      </c>
      <c r="AQ336" s="547" t="str">
        <f t="shared" si="51"/>
        <v>有定金+有預留客戶</v>
      </c>
      <c r="AR336" s="259" t="str">
        <f t="shared" si="52"/>
        <v>Shipped_Stock</v>
      </c>
      <c r="AS336" s="259" t="str">
        <f t="shared" si="53"/>
        <v/>
      </c>
      <c r="AT336" s="259" t="str">
        <f t="shared" si="54"/>
        <v>志恒兴盛</v>
      </c>
      <c r="AU336" s="259" t="str">
        <f t="shared" si="55"/>
        <v>C49SZX20190182JL</v>
      </c>
      <c r="AV336" s="259" t="str">
        <f t="shared" si="56"/>
        <v>Jan-06</v>
      </c>
    </row>
    <row r="337" spans="1:48" ht="25.5" hidden="1" customHeight="1">
      <c r="A337" s="564">
        <v>545</v>
      </c>
      <c r="B337" s="565" t="s">
        <v>280</v>
      </c>
      <c r="C337" s="565" t="s">
        <v>281</v>
      </c>
      <c r="D337" s="630">
        <v>109750</v>
      </c>
      <c r="E337" s="567" t="s">
        <v>802</v>
      </c>
      <c r="F337" s="568" t="s">
        <v>256</v>
      </c>
      <c r="G337" s="568" t="s">
        <v>18</v>
      </c>
      <c r="H337" s="568" t="s">
        <v>26</v>
      </c>
      <c r="I337" s="569" t="s">
        <v>844</v>
      </c>
      <c r="J337" s="569">
        <v>1</v>
      </c>
      <c r="K337" s="568" t="s">
        <v>437</v>
      </c>
      <c r="L337" s="570">
        <v>43836</v>
      </c>
      <c r="M337" s="581" t="s">
        <v>817</v>
      </c>
      <c r="N337" s="568" t="s">
        <v>731</v>
      </c>
      <c r="O337" s="569">
        <v>2019.12</v>
      </c>
      <c r="P337" s="571" t="str">
        <f>VLOOKUP(A337,'[1]Raw data'!$B:$BB,23,FALSE)</f>
        <v>JPY</v>
      </c>
      <c r="Q337" s="568" t="str">
        <f>VLOOKUP(A337,'[1]Raw data'!$B:$Z,2,FALSE)</f>
        <v>C49SZX20190182JL</v>
      </c>
      <c r="R337" s="568" t="str">
        <f>VLOOKUP(A337,'[1]Raw data'!$B:$Z,3,FALSE)</f>
        <v>志恒兴盛</v>
      </c>
      <c r="S337" s="568" t="str">
        <f>VLOOKUP(A337,'[1]Raw data'!$B:$Z,4,FALSE)</f>
        <v>YSM20R(SV)-2</v>
      </c>
      <c r="T337" s="568" t="str">
        <f>VLOOKUP(A337,'[1]Raw data'!$B:$Z,8,FALSE)</f>
        <v>R-&gt;L</v>
      </c>
      <c r="U337" s="568" t="str">
        <f>VLOOKUP(A337,'[1]Raw data'!$B:$Z,9,FALSE)</f>
        <v>No</v>
      </c>
      <c r="V337" s="572" t="str">
        <f t="shared" si="48"/>
        <v>OK</v>
      </c>
      <c r="W337" s="568" t="str">
        <f>VLOOKUP(A337,'[1]Raw data'!$B:$AG,32,FALSE)</f>
        <v>CIF HK</v>
      </c>
      <c r="X337" s="568">
        <f>VLOOKUP(A337,'[1]Raw data'!$B:$BA,31,FALSE)</f>
        <v>43836</v>
      </c>
      <c r="Y337" s="568" t="str">
        <f>VLOOKUP(A337,'[1]Raw data'!$B:$AS,39,FALSE)</f>
        <v>Yes</v>
      </c>
      <c r="Z337" s="573"/>
      <c r="AA337" s="574"/>
      <c r="AB337" s="575"/>
      <c r="AC337" s="568" t="s">
        <v>842</v>
      </c>
      <c r="AD337" s="576">
        <v>304</v>
      </c>
      <c r="AE337" s="576">
        <v>10</v>
      </c>
      <c r="AF337" s="576">
        <v>302</v>
      </c>
      <c r="AG337" s="576">
        <v>10</v>
      </c>
      <c r="AN337" s="619"/>
      <c r="AO337" s="829" t="str">
        <f t="shared" si="49"/>
        <v>Yes</v>
      </c>
      <c r="AP337" s="259" t="str">
        <f t="shared" si="50"/>
        <v>JAN 20</v>
      </c>
      <c r="AQ337" s="547" t="str">
        <f t="shared" si="51"/>
        <v>有定金+有預留客戶</v>
      </c>
      <c r="AR337" s="259" t="str">
        <f t="shared" si="52"/>
        <v>Shipped_Stock</v>
      </c>
      <c r="AS337" s="259" t="str">
        <f t="shared" si="53"/>
        <v/>
      </c>
      <c r="AT337" s="259" t="str">
        <f t="shared" si="54"/>
        <v>志恒兴盛</v>
      </c>
      <c r="AU337" s="259" t="str">
        <f t="shared" si="55"/>
        <v>C49SZX20190182JL</v>
      </c>
      <c r="AV337" s="259" t="str">
        <f t="shared" si="56"/>
        <v>Jan-06</v>
      </c>
    </row>
    <row r="338" spans="1:48" ht="26.25" hidden="1" customHeight="1" thickBot="1">
      <c r="A338" s="604">
        <v>478</v>
      </c>
      <c r="B338" s="565" t="s">
        <v>280</v>
      </c>
      <c r="C338" s="565" t="s">
        <v>281</v>
      </c>
      <c r="D338" s="629">
        <v>109750</v>
      </c>
      <c r="E338" s="567" t="s">
        <v>802</v>
      </c>
      <c r="F338" s="568" t="s">
        <v>256</v>
      </c>
      <c r="G338" s="568" t="s">
        <v>18</v>
      </c>
      <c r="H338" s="568" t="s">
        <v>26</v>
      </c>
      <c r="I338" s="569" t="s">
        <v>845</v>
      </c>
      <c r="J338" s="576">
        <v>1</v>
      </c>
      <c r="K338" s="568" t="s">
        <v>437</v>
      </c>
      <c r="L338" s="570">
        <v>43836</v>
      </c>
      <c r="M338" s="581" t="s">
        <v>817</v>
      </c>
      <c r="N338" s="568" t="s">
        <v>789</v>
      </c>
      <c r="O338" s="569">
        <v>2019.12</v>
      </c>
      <c r="P338" s="571" t="str">
        <f>VLOOKUP(A338,'[1]Raw data'!$B:$BB,23,FALSE)</f>
        <v>JPY</v>
      </c>
      <c r="Q338" s="568" t="str">
        <f>VLOOKUP(A338,'[1]Raw data'!$B:$Z,2,FALSE)</f>
        <v>C49SZX20190156-2ZX</v>
      </c>
      <c r="R338" s="568" t="str">
        <f>VLOOKUP(A338,'[1]Raw data'!$B:$Z,3,FALSE)</f>
        <v>锘铧</v>
      </c>
      <c r="S338" s="568" t="str">
        <f>VLOOKUP(A338,'[1]Raw data'!$B:$Z,4,FALSE)</f>
        <v>YSM20R(SV)-2</v>
      </c>
      <c r="T338" s="568" t="str">
        <f>VLOOKUP(A338,'[1]Raw data'!$B:$Z,8,FALSE)</f>
        <v>R-&gt;L</v>
      </c>
      <c r="U338" s="568" t="str">
        <f>VLOOKUP(A338,'[1]Raw data'!$B:$Z,9,FALSE)</f>
        <v>No</v>
      </c>
      <c r="V338" s="572" t="str">
        <f t="shared" si="48"/>
        <v>OK</v>
      </c>
      <c r="W338" s="568" t="str">
        <f>VLOOKUP(A338,'[1]Raw data'!$B:$AG,32,FALSE)</f>
        <v>DAP GZ</v>
      </c>
      <c r="X338" s="568">
        <f>VLOOKUP(A338,'[1]Raw data'!$B:$BA,31,FALSE)</f>
        <v>43774</v>
      </c>
      <c r="Y338" s="568" t="str">
        <f>VLOOKUP(A338,'[1]Raw data'!$B:$AS,39,FALSE)</f>
        <v>Yes</v>
      </c>
      <c r="Z338" s="573"/>
      <c r="AA338" s="574"/>
      <c r="AB338" s="575"/>
      <c r="AC338" s="568" t="s">
        <v>678</v>
      </c>
      <c r="AD338" s="569">
        <v>304</v>
      </c>
      <c r="AE338" s="569">
        <v>10</v>
      </c>
      <c r="AF338" s="569">
        <v>302</v>
      </c>
      <c r="AG338" s="569">
        <v>10</v>
      </c>
      <c r="AH338" s="569"/>
      <c r="AI338" s="632"/>
      <c r="AJ338" s="569"/>
      <c r="AK338" s="569"/>
      <c r="AL338" s="569"/>
      <c r="AM338" s="569"/>
      <c r="AN338" s="619"/>
      <c r="AO338" s="829" t="str">
        <f t="shared" si="49"/>
        <v>Yes</v>
      </c>
      <c r="AP338" s="259" t="str">
        <f t="shared" si="50"/>
        <v>FEB 20</v>
      </c>
      <c r="AQ338" s="547" t="str">
        <f t="shared" si="51"/>
        <v>有定金+有預留客戶</v>
      </c>
      <c r="AR338" s="259" t="str">
        <f t="shared" si="52"/>
        <v>Shipped_Stock</v>
      </c>
      <c r="AS338" s="259" t="str">
        <f t="shared" si="53"/>
        <v/>
      </c>
      <c r="AT338" s="259" t="str">
        <f t="shared" si="54"/>
        <v>锘铧</v>
      </c>
      <c r="AU338" s="259" t="str">
        <f t="shared" si="55"/>
        <v>C49SZX20190156-2ZX</v>
      </c>
      <c r="AV338" s="259" t="str">
        <f t="shared" si="56"/>
        <v>Jan-06</v>
      </c>
    </row>
    <row r="339" spans="1:48" ht="15" hidden="1" customHeight="1">
      <c r="A339" s="604">
        <v>479</v>
      </c>
      <c r="B339" s="565" t="s">
        <v>280</v>
      </c>
      <c r="C339" s="565" t="s">
        <v>281</v>
      </c>
      <c r="D339" s="628">
        <v>109750</v>
      </c>
      <c r="E339" s="567" t="s">
        <v>802</v>
      </c>
      <c r="F339" s="568" t="s">
        <v>256</v>
      </c>
      <c r="G339" s="568" t="s">
        <v>18</v>
      </c>
      <c r="H339" s="568" t="s">
        <v>26</v>
      </c>
      <c r="I339" s="569" t="s">
        <v>846</v>
      </c>
      <c r="J339" s="576">
        <v>1</v>
      </c>
      <c r="K339" s="568" t="s">
        <v>437</v>
      </c>
      <c r="L339" s="570">
        <v>43836</v>
      </c>
      <c r="M339" s="581" t="s">
        <v>817</v>
      </c>
      <c r="N339" s="568" t="s">
        <v>789</v>
      </c>
      <c r="O339" s="569">
        <v>2019.12</v>
      </c>
      <c r="P339" s="571" t="str">
        <f>VLOOKUP(A339,'[1]Raw data'!$B:$BB,23,FALSE)</f>
        <v>JPY</v>
      </c>
      <c r="Q339" s="568" t="str">
        <f>VLOOKUP(A339,'[1]Raw data'!$B:$Z,2,FALSE)</f>
        <v>C49SZX20190156-2ZX</v>
      </c>
      <c r="R339" s="568" t="str">
        <f>VLOOKUP(A339,'[1]Raw data'!$B:$Z,3,FALSE)</f>
        <v>锘铧</v>
      </c>
      <c r="S339" s="568" t="str">
        <f>VLOOKUP(A339,'[1]Raw data'!$B:$Z,4,FALSE)</f>
        <v>YSM20R(SV)-2</v>
      </c>
      <c r="T339" s="568" t="str">
        <f>VLOOKUP(A339,'[1]Raw data'!$B:$Z,8,FALSE)</f>
        <v>R-&gt;L</v>
      </c>
      <c r="U339" s="568" t="str">
        <f>VLOOKUP(A339,'[1]Raw data'!$B:$Z,9,FALSE)</f>
        <v>No</v>
      </c>
      <c r="V339" s="572" t="str">
        <f t="shared" si="48"/>
        <v>OK</v>
      </c>
      <c r="W339" s="568" t="str">
        <f>VLOOKUP(A339,'[1]Raw data'!$B:$AG,32,FALSE)</f>
        <v>DAP GZ</v>
      </c>
      <c r="X339" s="568">
        <f>VLOOKUP(A339,'[1]Raw data'!$B:$BA,31,FALSE)</f>
        <v>43774</v>
      </c>
      <c r="Y339" s="568" t="str">
        <f>VLOOKUP(A339,'[1]Raw data'!$B:$AS,39,FALSE)</f>
        <v>Yes</v>
      </c>
      <c r="Z339" s="573"/>
      <c r="AA339" s="574"/>
      <c r="AB339" s="575"/>
      <c r="AC339" s="568" t="s">
        <v>678</v>
      </c>
      <c r="AD339" s="569">
        <v>302</v>
      </c>
      <c r="AE339" s="569">
        <v>20</v>
      </c>
      <c r="AF339" s="569"/>
      <c r="AG339" s="569"/>
      <c r="AH339" s="569"/>
      <c r="AI339" s="632"/>
      <c r="AJ339" s="569"/>
      <c r="AK339" s="569"/>
      <c r="AL339" s="569"/>
      <c r="AM339" s="569"/>
      <c r="AN339" s="619"/>
      <c r="AO339" s="829" t="str">
        <f t="shared" si="49"/>
        <v>Yes</v>
      </c>
      <c r="AP339" s="259" t="str">
        <f t="shared" si="50"/>
        <v>FEB 20</v>
      </c>
      <c r="AQ339" s="547" t="str">
        <f t="shared" si="51"/>
        <v>有定金+有預留客戶</v>
      </c>
      <c r="AR339" s="259" t="str">
        <f t="shared" si="52"/>
        <v>Shipped_Stock</v>
      </c>
      <c r="AS339" s="259" t="str">
        <f t="shared" si="53"/>
        <v/>
      </c>
      <c r="AT339" s="259" t="str">
        <f t="shared" si="54"/>
        <v>锘铧</v>
      </c>
      <c r="AU339" s="259" t="str">
        <f t="shared" si="55"/>
        <v>C49SZX20190156-2ZX</v>
      </c>
      <c r="AV339" s="259" t="str">
        <f t="shared" si="56"/>
        <v>Jan-06</v>
      </c>
    </row>
    <row r="340" spans="1:48" ht="15" hidden="1" customHeight="1">
      <c r="A340" s="604">
        <v>548</v>
      </c>
      <c r="B340" s="565" t="s">
        <v>280</v>
      </c>
      <c r="C340" s="565" t="s">
        <v>281</v>
      </c>
      <c r="D340" s="630">
        <v>109759</v>
      </c>
      <c r="E340" s="567" t="s">
        <v>808</v>
      </c>
      <c r="F340" s="568" t="s">
        <v>17</v>
      </c>
      <c r="G340" s="568" t="s">
        <v>18</v>
      </c>
      <c r="H340" s="568" t="s">
        <v>26</v>
      </c>
      <c r="I340" s="569" t="s">
        <v>847</v>
      </c>
      <c r="J340" s="569">
        <v>1</v>
      </c>
      <c r="K340" s="568" t="s">
        <v>437</v>
      </c>
      <c r="L340" s="570">
        <v>43836</v>
      </c>
      <c r="M340" s="581">
        <v>6.54E-2</v>
      </c>
      <c r="N340" s="568" t="s">
        <v>731</v>
      </c>
      <c r="O340" s="568">
        <v>2019.12</v>
      </c>
      <c r="P340" s="571" t="str">
        <f>VLOOKUP(A340,'[1]Raw data'!$B:$BB,23,FALSE)</f>
        <v>JPY</v>
      </c>
      <c r="Q340" s="568" t="str">
        <f>VLOOKUP(A340,'[1]Raw data'!$B:$Z,2,FALSE)</f>
        <v>C49SZX20190182JL</v>
      </c>
      <c r="R340" s="568" t="str">
        <f>VLOOKUP(A340,'[1]Raw data'!$B:$Z,3,FALSE)</f>
        <v>志恒兴盛</v>
      </c>
      <c r="S340" s="568" t="str">
        <f>VLOOKUP(A340,'[1]Raw data'!$B:$Z,4,FALSE)</f>
        <v>YSM10</v>
      </c>
      <c r="T340" s="568" t="str">
        <f>VLOOKUP(A340,'[1]Raw data'!$B:$Z,8,FALSE)</f>
        <v>L-&gt;R</v>
      </c>
      <c r="U340" s="568" t="str">
        <f>VLOOKUP(A340,'[1]Raw data'!$B:$Z,9,FALSE)</f>
        <v>MVC</v>
      </c>
      <c r="V340" s="572" t="str">
        <f t="shared" si="48"/>
        <v>WRONG</v>
      </c>
      <c r="W340" s="568" t="str">
        <f>VLOOKUP(A340,'[1]Raw data'!$B:$AG,32,FALSE)</f>
        <v>CIF HK</v>
      </c>
      <c r="X340" s="568">
        <f>VLOOKUP(A340,'[1]Raw data'!$B:$BA,31,FALSE)</f>
        <v>43836</v>
      </c>
      <c r="Y340" s="568" t="str">
        <f>VLOOKUP(A340,'[1]Raw data'!$B:$AS,39,FALSE)</f>
        <v>Yes</v>
      </c>
      <c r="Z340" s="573"/>
      <c r="AA340" s="574"/>
      <c r="AB340" s="575"/>
      <c r="AC340" s="568" t="s">
        <v>842</v>
      </c>
      <c r="AD340" s="576">
        <v>301</v>
      </c>
      <c r="AE340" s="576">
        <v>10</v>
      </c>
      <c r="AN340" s="619"/>
      <c r="AO340" s="829" t="str">
        <f t="shared" si="49"/>
        <v>Yes</v>
      </c>
      <c r="AP340" s="259" t="str">
        <f t="shared" si="50"/>
        <v>JAN 20</v>
      </c>
      <c r="AQ340" s="547" t="str">
        <f t="shared" si="51"/>
        <v>有定金+有預留客戶</v>
      </c>
      <c r="AR340" s="259" t="str">
        <f t="shared" si="52"/>
        <v>Shipped_Stock</v>
      </c>
      <c r="AS340" s="259" t="str">
        <f t="shared" si="53"/>
        <v/>
      </c>
      <c r="AT340" s="259" t="str">
        <f t="shared" si="54"/>
        <v>志恒兴盛</v>
      </c>
      <c r="AU340" s="259" t="str">
        <f t="shared" si="55"/>
        <v>C49SZX20190182JL</v>
      </c>
      <c r="AV340" s="259" t="str">
        <f t="shared" si="56"/>
        <v>Jan-06</v>
      </c>
    </row>
    <row r="341" spans="1:48" ht="15" hidden="1" customHeight="1">
      <c r="A341" s="604">
        <v>560</v>
      </c>
      <c r="B341" s="565" t="s">
        <v>280</v>
      </c>
      <c r="C341" s="565" t="s">
        <v>281</v>
      </c>
      <c r="D341" s="630">
        <v>109759</v>
      </c>
      <c r="E341" s="567" t="s">
        <v>808</v>
      </c>
      <c r="F341" s="568" t="s">
        <v>17</v>
      </c>
      <c r="G341" s="568" t="s">
        <v>18</v>
      </c>
      <c r="H341" s="568" t="s">
        <v>26</v>
      </c>
      <c r="I341" s="569" t="s">
        <v>848</v>
      </c>
      <c r="J341" s="569">
        <v>1</v>
      </c>
      <c r="K341" s="568" t="s">
        <v>437</v>
      </c>
      <c r="L341" s="570">
        <v>43836</v>
      </c>
      <c r="M341" s="581">
        <v>6.54E-2</v>
      </c>
      <c r="N341" s="568" t="s">
        <v>731</v>
      </c>
      <c r="O341" s="568">
        <v>2019.12</v>
      </c>
      <c r="P341" s="571" t="str">
        <f>VLOOKUP(A341,'[1]Raw data'!$B:$BB,23,FALSE)</f>
        <v>RMB</v>
      </c>
      <c r="Q341" s="568" t="str">
        <f>VLOOKUP(A341,'[1]Raw data'!$B:$Z,2,FALSE)</f>
        <v>C49SZX20190033SX</v>
      </c>
      <c r="R341" s="568" t="str">
        <f>VLOOKUP(A341,'[1]Raw data'!$B:$Z,3,FALSE)</f>
        <v>裕达盛</v>
      </c>
      <c r="S341" s="568" t="str">
        <f>VLOOKUP(A341,'[1]Raw data'!$B:$Z,4,FALSE)</f>
        <v>YSM10</v>
      </c>
      <c r="T341" s="568" t="str">
        <f>VLOOKUP(A341,'[1]Raw data'!$B:$Z,8,FALSE)</f>
        <v>R-&gt;L</v>
      </c>
      <c r="U341" s="568" t="str">
        <f>VLOOKUP(A341,'[1]Raw data'!$B:$Z,9,FALSE)</f>
        <v>No</v>
      </c>
      <c r="V341" s="572" t="str">
        <f t="shared" si="48"/>
        <v>OK</v>
      </c>
      <c r="W341" s="568" t="str">
        <f>VLOOKUP(A341,'[1]Raw data'!$B:$AG,32,FALSE)</f>
        <v>含税到厂</v>
      </c>
      <c r="X341" s="568">
        <f>VLOOKUP(A341,'[1]Raw data'!$B:$BA,31,FALSE)</f>
        <v>43822</v>
      </c>
      <c r="Y341" s="568" t="str">
        <f>VLOOKUP(A341,'[1]Raw data'!$B:$AS,39,FALSE)</f>
        <v>Yes</v>
      </c>
      <c r="Z341" s="573"/>
      <c r="AA341" s="574"/>
      <c r="AB341" s="575"/>
      <c r="AC341" s="568" t="s">
        <v>849</v>
      </c>
      <c r="AD341" s="576">
        <v>301</v>
      </c>
      <c r="AE341" s="576">
        <v>10</v>
      </c>
      <c r="AN341" s="547"/>
      <c r="AO341" s="829" t="str">
        <f t="shared" si="49"/>
        <v>Yes</v>
      </c>
      <c r="AP341" s="259" t="str">
        <f t="shared" si="50"/>
        <v>JAN 20</v>
      </c>
      <c r="AQ341" s="547" t="str">
        <f t="shared" si="51"/>
        <v>有定金+有預留客戶</v>
      </c>
      <c r="AR341" s="259" t="str">
        <f t="shared" si="52"/>
        <v>Shipped_Stock</v>
      </c>
      <c r="AS341" s="259" t="str">
        <f t="shared" si="53"/>
        <v/>
      </c>
      <c r="AT341" s="259" t="str">
        <f t="shared" si="54"/>
        <v>裕达盛</v>
      </c>
      <c r="AU341" s="259" t="str">
        <f t="shared" si="55"/>
        <v>C49SZX20190033SX</v>
      </c>
      <c r="AV341" s="259" t="str">
        <f t="shared" si="56"/>
        <v>Jan-06</v>
      </c>
    </row>
    <row r="342" spans="1:48" ht="15" hidden="1" customHeight="1">
      <c r="A342" s="604">
        <v>562</v>
      </c>
      <c r="B342" s="565" t="s">
        <v>280</v>
      </c>
      <c r="C342" s="565" t="s">
        <v>281</v>
      </c>
      <c r="D342" s="630">
        <v>109759</v>
      </c>
      <c r="E342" s="567" t="s">
        <v>808</v>
      </c>
      <c r="F342" s="568" t="s">
        <v>17</v>
      </c>
      <c r="G342" s="568" t="s">
        <v>18</v>
      </c>
      <c r="H342" s="568" t="s">
        <v>26</v>
      </c>
      <c r="I342" s="569" t="s">
        <v>850</v>
      </c>
      <c r="J342" s="569">
        <v>1</v>
      </c>
      <c r="K342" s="568" t="s">
        <v>437</v>
      </c>
      <c r="L342" s="570">
        <v>43836</v>
      </c>
      <c r="M342" s="581">
        <v>6.54E-2</v>
      </c>
      <c r="N342" s="568" t="s">
        <v>731</v>
      </c>
      <c r="O342" s="568">
        <v>2019.12</v>
      </c>
      <c r="P342" s="571" t="str">
        <f>VLOOKUP(A342,'[1]Raw data'!$B:$BB,23,FALSE)</f>
        <v>JPY</v>
      </c>
      <c r="Q342" s="568" t="str">
        <f>VLOOKUP(A342,'[1]Raw data'!$B:$Z,2,FALSE)</f>
        <v>C49SZX20190192MZ</v>
      </c>
      <c r="R342" s="568" t="str">
        <f>VLOOKUP(A342,'[1]Raw data'!$B:$Z,3,FALSE)</f>
        <v>鸿南电子</v>
      </c>
      <c r="S342" s="568" t="str">
        <f>VLOOKUP(A342,'[1]Raw data'!$B:$Z,4,FALSE)</f>
        <v>YSM10</v>
      </c>
      <c r="T342" s="568" t="str">
        <f>VLOOKUP(A342,'[1]Raw data'!$B:$Z,8,FALSE)</f>
        <v>R-&gt;L</v>
      </c>
      <c r="U342" s="568" t="str">
        <f>VLOOKUP(A342,'[1]Raw data'!$B:$Z,9,FALSE)</f>
        <v>MVC</v>
      </c>
      <c r="V342" s="572" t="str">
        <f t="shared" ref="V342:V405" si="57">IF(G342&amp;H342=T342&amp;U342,"OK","WRONG")</f>
        <v>WRONG</v>
      </c>
      <c r="W342" s="568" t="str">
        <f>VLOOKUP(A342,'[1]Raw data'!$B:$AG,32,FALSE)</f>
        <v>CIF HK</v>
      </c>
      <c r="X342" s="568">
        <f>VLOOKUP(A342,'[1]Raw data'!$B:$BA,31,FALSE)</f>
        <v>43823</v>
      </c>
      <c r="Y342" s="568" t="str">
        <f>VLOOKUP(A342,'[1]Raw data'!$B:$AS,39,FALSE)</f>
        <v>Yes</v>
      </c>
      <c r="Z342" s="573"/>
      <c r="AA342" s="574"/>
      <c r="AB342" s="575"/>
      <c r="AC342" s="568" t="s">
        <v>400</v>
      </c>
      <c r="AD342" s="576">
        <v>301</v>
      </c>
      <c r="AE342" s="576">
        <v>10</v>
      </c>
      <c r="AN342" s="547"/>
      <c r="AO342" s="829" t="str">
        <f t="shared" si="49"/>
        <v>Yes</v>
      </c>
      <c r="AP342" s="259" t="str">
        <f t="shared" si="50"/>
        <v>JAN 20</v>
      </c>
      <c r="AQ342" s="547" t="str">
        <f t="shared" si="51"/>
        <v>有定金+有預留客戶</v>
      </c>
      <c r="AR342" s="259" t="str">
        <f t="shared" si="52"/>
        <v>Shipped_Stock</v>
      </c>
      <c r="AS342" s="259" t="str">
        <f t="shared" si="53"/>
        <v/>
      </c>
      <c r="AT342" s="259" t="str">
        <f t="shared" si="54"/>
        <v>鸿南电子</v>
      </c>
      <c r="AU342" s="259" t="str">
        <f t="shared" si="55"/>
        <v>C49SZX20190192MZ</v>
      </c>
      <c r="AV342" s="259" t="str">
        <f t="shared" si="56"/>
        <v>Jan-06</v>
      </c>
    </row>
    <row r="343" spans="1:48" ht="15.75" hidden="1" customHeight="1" thickBot="1">
      <c r="A343" s="604">
        <v>541</v>
      </c>
      <c r="B343" s="565" t="s">
        <v>280</v>
      </c>
      <c r="C343" s="565" t="s">
        <v>281</v>
      </c>
      <c r="D343" s="629">
        <v>109759</v>
      </c>
      <c r="E343" s="567" t="s">
        <v>808</v>
      </c>
      <c r="F343" s="639" t="s">
        <v>17</v>
      </c>
      <c r="G343" s="639" t="s">
        <v>18</v>
      </c>
      <c r="H343" s="639" t="s">
        <v>26</v>
      </c>
      <c r="I343" s="640" t="s">
        <v>851</v>
      </c>
      <c r="J343" s="640">
        <v>1</v>
      </c>
      <c r="K343" s="639" t="s">
        <v>437</v>
      </c>
      <c r="L343" s="641">
        <v>43836</v>
      </c>
      <c r="M343" s="646" t="s">
        <v>830</v>
      </c>
      <c r="N343" s="568" t="s">
        <v>789</v>
      </c>
      <c r="O343" s="568">
        <v>2019.12</v>
      </c>
      <c r="P343" s="571" t="str">
        <f>VLOOKUP(A343,'[1]Raw data'!$B:$BB,23,FALSE)</f>
        <v>JPY</v>
      </c>
      <c r="Q343" s="568" t="str">
        <f>VLOOKUP(A343,'[1]Raw data'!$B:$Z,2,FALSE)</f>
        <v>C49SZX20190141SS</v>
      </c>
      <c r="R343" s="568" t="str">
        <f>VLOOKUP(A343,'[1]Raw data'!$B:$Z,3,FALSE)</f>
        <v>博睿通</v>
      </c>
      <c r="S343" s="568" t="str">
        <f>VLOOKUP(A343,'[1]Raw data'!$B:$Z,4,FALSE)</f>
        <v>YSM10</v>
      </c>
      <c r="T343" s="568" t="str">
        <f>VLOOKUP(A343,'[1]Raw data'!$B:$Z,8,FALSE)</f>
        <v>L-&gt;R</v>
      </c>
      <c r="U343" s="568" t="str">
        <f>VLOOKUP(A343,'[1]Raw data'!$B:$Z,9,FALSE)</f>
        <v>MVC</v>
      </c>
      <c r="V343" s="572" t="str">
        <f t="shared" si="57"/>
        <v>WRONG</v>
      </c>
      <c r="W343" s="568" t="str">
        <f>VLOOKUP(A343,'[1]Raw data'!$B:$AG,32,FALSE)</f>
        <v>CIF HK</v>
      </c>
      <c r="X343" s="568">
        <f>VLOOKUP(A343,'[1]Raw data'!$B:$BA,31,FALSE)</f>
        <v>43810</v>
      </c>
      <c r="Y343" s="568" t="str">
        <f>VLOOKUP(A343,'[1]Raw data'!$B:$AS,39,FALSE)</f>
        <v>Yes</v>
      </c>
      <c r="Z343" s="573"/>
      <c r="AA343" s="574"/>
      <c r="AB343" s="575"/>
      <c r="AC343" s="568" t="s">
        <v>831</v>
      </c>
      <c r="AD343" s="569">
        <v>301</v>
      </c>
      <c r="AE343" s="569">
        <v>10</v>
      </c>
      <c r="AF343" s="569"/>
      <c r="AG343" s="569"/>
      <c r="AH343" s="569"/>
      <c r="AI343" s="632"/>
      <c r="AJ343" s="569"/>
      <c r="AK343" s="569"/>
      <c r="AL343" s="569"/>
      <c r="AM343" s="569"/>
      <c r="AN343" s="619"/>
      <c r="AO343" s="829" t="str">
        <f t="shared" si="49"/>
        <v>Yes</v>
      </c>
      <c r="AP343" s="259" t="str">
        <f t="shared" si="50"/>
        <v>FEB 20</v>
      </c>
      <c r="AQ343" s="547" t="str">
        <f t="shared" si="51"/>
        <v>有定金+有預留客戶</v>
      </c>
      <c r="AR343" s="259" t="str">
        <f t="shared" si="52"/>
        <v>Shipped_Stock</v>
      </c>
      <c r="AS343" s="259" t="str">
        <f t="shared" si="53"/>
        <v/>
      </c>
      <c r="AT343" s="259" t="str">
        <f t="shared" si="54"/>
        <v>博睿通</v>
      </c>
      <c r="AU343" s="259" t="str">
        <f t="shared" si="55"/>
        <v>C49SZX20190141SS</v>
      </c>
      <c r="AV343" s="259" t="str">
        <f t="shared" si="56"/>
        <v>Jan-06</v>
      </c>
    </row>
    <row r="344" spans="1:48" ht="38.25" hidden="1" customHeight="1">
      <c r="A344" s="564">
        <v>607</v>
      </c>
      <c r="B344" s="565" t="s">
        <v>280</v>
      </c>
      <c r="C344" s="565" t="s">
        <v>281</v>
      </c>
      <c r="D344" s="628">
        <v>109749</v>
      </c>
      <c r="E344" s="567" t="s">
        <v>802</v>
      </c>
      <c r="F344" s="568" t="s">
        <v>256</v>
      </c>
      <c r="G344" s="568" t="s">
        <v>18</v>
      </c>
      <c r="H344" s="568" t="s">
        <v>26</v>
      </c>
      <c r="I344" s="569" t="s">
        <v>852</v>
      </c>
      <c r="J344" s="569">
        <v>1</v>
      </c>
      <c r="K344" s="568" t="s">
        <v>437</v>
      </c>
      <c r="L344" s="570">
        <v>43836</v>
      </c>
      <c r="M344" s="581">
        <v>6.54E-2</v>
      </c>
      <c r="N344" s="568" t="s">
        <v>554</v>
      </c>
      <c r="O344" s="569">
        <v>2019.12</v>
      </c>
      <c r="P344" s="571" t="str">
        <f>VLOOKUP(A344,'[1]Raw data'!$B:$BB,23,FALSE)</f>
        <v>JPY</v>
      </c>
      <c r="Q344" s="568" t="str">
        <f>VLOOKUP(A344,'[1]Raw data'!$B:$Z,2,FALSE)</f>
        <v>C49SZX20200040MZ</v>
      </c>
      <c r="R344" s="568" t="str">
        <f>VLOOKUP(A344,'[1]Raw data'!$B:$Z,3,FALSE)</f>
        <v>崧盛</v>
      </c>
      <c r="S344" s="568" t="str">
        <f>VLOOKUP(A344,'[1]Raw data'!$B:$Z,4,FALSE)</f>
        <v>YSM20R(SV)-2</v>
      </c>
      <c r="T344" s="568" t="str">
        <f>VLOOKUP(A344,'[1]Raw data'!$B:$Z,8,FALSE)</f>
        <v>R-&gt;L</v>
      </c>
      <c r="U344" s="568" t="str">
        <f>VLOOKUP(A344,'[1]Raw data'!$B:$Z,9,FALSE)</f>
        <v>No</v>
      </c>
      <c r="V344" s="572" t="str">
        <f t="shared" si="57"/>
        <v>OK</v>
      </c>
      <c r="W344" s="568" t="str">
        <f>VLOOKUP(A344,'[1]Raw data'!$B:$AG,32,FALSE)</f>
        <v>CIF HK</v>
      </c>
      <c r="X344" s="568">
        <f>VLOOKUP(A344,'[1]Raw data'!$B:$BA,31,FALSE)</f>
        <v>43918</v>
      </c>
      <c r="Y344" s="568" t="str">
        <f>VLOOKUP(A344,'[1]Raw data'!$B:$AS,39,FALSE)</f>
        <v>Yes</v>
      </c>
      <c r="AC344" s="568" t="s">
        <v>637</v>
      </c>
      <c r="AD344" s="576">
        <v>301</v>
      </c>
      <c r="AE344" s="576">
        <v>20</v>
      </c>
      <c r="AN344" s="547"/>
      <c r="AO344" s="829" t="str">
        <f t="shared" si="49"/>
        <v>Yes</v>
      </c>
      <c r="AP344" s="259" t="str">
        <f t="shared" si="50"/>
        <v>APR 20</v>
      </c>
      <c r="AQ344" s="547" t="str">
        <f t="shared" si="51"/>
        <v>有定金+有預留客戶</v>
      </c>
      <c r="AR344" s="259" t="str">
        <f t="shared" si="52"/>
        <v>Shipped_Stock</v>
      </c>
      <c r="AS344" s="259" t="str">
        <f t="shared" si="53"/>
        <v/>
      </c>
      <c r="AT344" s="259" t="str">
        <f t="shared" si="54"/>
        <v>崧盛</v>
      </c>
      <c r="AU344" s="259" t="str">
        <f t="shared" si="55"/>
        <v>C49SZX20200040MZ</v>
      </c>
      <c r="AV344" s="259" t="str">
        <f t="shared" si="56"/>
        <v>Jan-06</v>
      </c>
    </row>
    <row r="345" spans="1:48" hidden="1">
      <c r="A345" s="564">
        <v>613</v>
      </c>
      <c r="B345" s="568" t="s">
        <v>280</v>
      </c>
      <c r="C345" s="565" t="s">
        <v>281</v>
      </c>
      <c r="D345" s="605">
        <v>109749</v>
      </c>
      <c r="E345" s="568" t="s">
        <v>802</v>
      </c>
      <c r="F345" s="568" t="s">
        <v>256</v>
      </c>
      <c r="G345" s="568" t="s">
        <v>18</v>
      </c>
      <c r="H345" s="568" t="s">
        <v>26</v>
      </c>
      <c r="I345" s="569" t="s">
        <v>853</v>
      </c>
      <c r="J345" s="569">
        <v>1</v>
      </c>
      <c r="K345" s="568" t="s">
        <v>437</v>
      </c>
      <c r="L345" s="570">
        <v>43836</v>
      </c>
      <c r="M345" s="581">
        <v>6.54E-2</v>
      </c>
      <c r="N345" s="568" t="s">
        <v>554</v>
      </c>
      <c r="O345" s="569">
        <v>2019.12</v>
      </c>
      <c r="P345" s="571" t="str">
        <f>VLOOKUP(A345,'[1]Raw data'!$B:$BB,23,FALSE)</f>
        <v>RMB</v>
      </c>
      <c r="Q345" s="568" t="str">
        <f>VLOOKUP(A345,'[1]Raw data'!$B:$Z,2,FALSE)</f>
        <v>C49SZX20200041JY</v>
      </c>
      <c r="R345" s="568" t="str">
        <f>VLOOKUP(A345,'[1]Raw data'!$B:$Z,3,FALSE)</f>
        <v>晟锦威</v>
      </c>
      <c r="S345" s="568" t="str">
        <f>VLOOKUP(A345,'[1]Raw data'!$B:$Z,4,FALSE)</f>
        <v>YSM20R(SV)-2</v>
      </c>
      <c r="T345" s="568" t="str">
        <f>VLOOKUP(A345,'[1]Raw data'!$B:$Z,8,FALSE)</f>
        <v>R-&gt;L</v>
      </c>
      <c r="U345" s="568" t="str">
        <f>VLOOKUP(A345,'[1]Raw data'!$B:$Z,9,FALSE)</f>
        <v>No</v>
      </c>
      <c r="V345" s="572" t="str">
        <f t="shared" si="57"/>
        <v>OK</v>
      </c>
      <c r="W345" s="568" t="str">
        <f>VLOOKUP(A345,'[1]Raw data'!$B:$AG,32,FALSE)</f>
        <v>含税到厂</v>
      </c>
      <c r="X345" s="568">
        <f>VLOOKUP(A345,'[1]Raw data'!$B:$BA,31,FALSE)</f>
        <v>43923</v>
      </c>
      <c r="Y345" s="568" t="str">
        <f>VLOOKUP(A345,'[1]Raw data'!$B:$AS,39,FALSE)</f>
        <v>Yes</v>
      </c>
      <c r="AC345" s="568" t="s">
        <v>854</v>
      </c>
      <c r="AD345" s="576">
        <v>301</v>
      </c>
      <c r="AE345" s="576">
        <v>20</v>
      </c>
      <c r="AI345" s="647"/>
      <c r="AN345" s="547"/>
      <c r="AO345" s="829" t="str">
        <f t="shared" si="49"/>
        <v>Yes</v>
      </c>
      <c r="AP345" s="259" t="str">
        <f t="shared" si="50"/>
        <v>APR 20</v>
      </c>
      <c r="AQ345" s="547" t="str">
        <f t="shared" si="51"/>
        <v>有定金+有預留客戶</v>
      </c>
      <c r="AR345" s="259" t="str">
        <f t="shared" si="52"/>
        <v>Shipped_Stock</v>
      </c>
      <c r="AS345" s="259" t="str">
        <f t="shared" si="53"/>
        <v/>
      </c>
      <c r="AT345" s="259" t="str">
        <f t="shared" si="54"/>
        <v>晟锦威</v>
      </c>
      <c r="AU345" s="259" t="str">
        <f t="shared" si="55"/>
        <v>C49SZX20200041JY</v>
      </c>
      <c r="AV345" s="259" t="str">
        <f t="shared" si="56"/>
        <v>Jan-06</v>
      </c>
    </row>
    <row r="346" spans="1:48" ht="15" hidden="1" customHeight="1">
      <c r="A346" s="604">
        <v>542</v>
      </c>
      <c r="B346" s="565" t="s">
        <v>280</v>
      </c>
      <c r="C346" s="565" t="s">
        <v>281</v>
      </c>
      <c r="D346" s="630">
        <v>109762</v>
      </c>
      <c r="E346" s="567" t="s">
        <v>808</v>
      </c>
      <c r="F346" s="568" t="s">
        <v>17</v>
      </c>
      <c r="G346" s="568" t="s">
        <v>18</v>
      </c>
      <c r="H346" s="568" t="s">
        <v>26</v>
      </c>
      <c r="I346" s="569" t="s">
        <v>855</v>
      </c>
      <c r="J346" s="576">
        <v>1</v>
      </c>
      <c r="K346" s="568" t="s">
        <v>437</v>
      </c>
      <c r="L346" s="570">
        <v>43862</v>
      </c>
      <c r="M346" s="620" t="s">
        <v>830</v>
      </c>
      <c r="N346" s="568" t="s">
        <v>789</v>
      </c>
      <c r="O346" s="568">
        <v>2020.01</v>
      </c>
      <c r="P346" s="571" t="str">
        <f>VLOOKUP(A346,'[1]Raw data'!$B:$BB,23,FALSE)</f>
        <v>JPY</v>
      </c>
      <c r="Q346" s="568" t="str">
        <f>VLOOKUP(A346,'[1]Raw data'!$B:$Z,2,FALSE)</f>
        <v>C49SZX20190141SS</v>
      </c>
      <c r="R346" s="568" t="str">
        <f>VLOOKUP(A346,'[1]Raw data'!$B:$Z,3,FALSE)</f>
        <v>博睿通</v>
      </c>
      <c r="S346" s="568" t="str">
        <f>VLOOKUP(A346,'[1]Raw data'!$B:$Z,4,FALSE)</f>
        <v>YSM10</v>
      </c>
      <c r="T346" s="568" t="str">
        <f>VLOOKUP(A346,'[1]Raw data'!$B:$Z,8,FALSE)</f>
        <v>L-&gt;R</v>
      </c>
      <c r="U346" s="568" t="str">
        <f>VLOOKUP(A346,'[1]Raw data'!$B:$Z,9,FALSE)</f>
        <v>MVC</v>
      </c>
      <c r="V346" s="572" t="str">
        <f t="shared" si="57"/>
        <v>WRONG</v>
      </c>
      <c r="W346" s="568" t="str">
        <f>VLOOKUP(A346,'[1]Raw data'!$B:$AG,32,FALSE)</f>
        <v>CIF HK</v>
      </c>
      <c r="X346" s="568">
        <f>VLOOKUP(A346,'[1]Raw data'!$B:$BA,31,FALSE)</f>
        <v>43810</v>
      </c>
      <c r="Y346" s="568" t="str">
        <f>VLOOKUP(A346,'[1]Raw data'!$B:$AS,39,FALSE)</f>
        <v>Yes</v>
      </c>
      <c r="Z346" s="573"/>
      <c r="AA346" s="574"/>
      <c r="AB346" s="575"/>
      <c r="AC346" s="568" t="s">
        <v>831</v>
      </c>
      <c r="AD346" s="569">
        <v>302</v>
      </c>
      <c r="AE346" s="569">
        <v>10</v>
      </c>
      <c r="AF346" s="569"/>
      <c r="AG346" s="569"/>
      <c r="AH346" s="569"/>
      <c r="AI346" s="632"/>
      <c r="AJ346" s="569"/>
      <c r="AK346" s="569"/>
      <c r="AL346" s="569"/>
      <c r="AM346" s="569"/>
      <c r="AN346" s="547"/>
      <c r="AO346" s="829" t="str">
        <f t="shared" si="49"/>
        <v>Yes</v>
      </c>
      <c r="AP346" s="259" t="str">
        <f t="shared" si="50"/>
        <v>FEB 20</v>
      </c>
      <c r="AQ346" s="547" t="str">
        <f t="shared" si="51"/>
        <v>有定金+有預留客戶</v>
      </c>
      <c r="AR346" s="259" t="str">
        <f t="shared" si="52"/>
        <v>Shipped_Stock</v>
      </c>
      <c r="AS346" s="259" t="str">
        <f t="shared" si="53"/>
        <v/>
      </c>
      <c r="AT346" s="259" t="str">
        <f t="shared" si="54"/>
        <v>博睿通</v>
      </c>
      <c r="AU346" s="259" t="str">
        <f t="shared" si="55"/>
        <v>C49SZX20190141SS</v>
      </c>
      <c r="AV346" s="259" t="str">
        <f t="shared" si="56"/>
        <v>Feb-01</v>
      </c>
    </row>
    <row r="347" spans="1:48" ht="15" hidden="1" customHeight="1">
      <c r="A347" s="604">
        <v>587</v>
      </c>
      <c r="B347" s="565" t="s">
        <v>280</v>
      </c>
      <c r="C347" s="565" t="s">
        <v>281</v>
      </c>
      <c r="D347" s="630">
        <v>109762</v>
      </c>
      <c r="E347" s="567" t="s">
        <v>808</v>
      </c>
      <c r="F347" s="568" t="s">
        <v>17</v>
      </c>
      <c r="G347" s="568" t="s">
        <v>18</v>
      </c>
      <c r="H347" s="568" t="s">
        <v>26</v>
      </c>
      <c r="I347" s="569" t="s">
        <v>856</v>
      </c>
      <c r="J347" s="569">
        <v>1</v>
      </c>
      <c r="K347" s="568" t="s">
        <v>437</v>
      </c>
      <c r="L347" s="570">
        <v>43862</v>
      </c>
      <c r="M347" s="581">
        <v>6.54E-2</v>
      </c>
      <c r="N347" s="568" t="s">
        <v>785</v>
      </c>
      <c r="O347" s="568">
        <v>2020.01</v>
      </c>
      <c r="P347" s="571" t="str">
        <f>VLOOKUP(A347,'[1]Raw data'!$B:$BB,23,FALSE)</f>
        <v>JPY</v>
      </c>
      <c r="Q347" s="568" t="str">
        <f>VLOOKUP(A347,'[1]Raw data'!$B:$Z,2,FALSE)</f>
        <v>C49SZX20200020SS</v>
      </c>
      <c r="R347" s="568" t="str">
        <f>VLOOKUP(A347,'[1]Raw data'!$B:$Z,3,FALSE)</f>
        <v>正创</v>
      </c>
      <c r="S347" s="568" t="str">
        <f>VLOOKUP(A347,'[1]Raw data'!$B:$Z,4,FALSE)</f>
        <v>YSM10</v>
      </c>
      <c r="T347" s="568" t="str">
        <f>VLOOKUP(A347,'[1]Raw data'!$B:$Z,8,FALSE)</f>
        <v>L-&gt;R</v>
      </c>
      <c r="U347" s="568" t="str">
        <f>VLOOKUP(A347,'[1]Raw data'!$B:$Z,9,FALSE)</f>
        <v>MVC</v>
      </c>
      <c r="V347" s="572" t="str">
        <f t="shared" si="57"/>
        <v>WRONG</v>
      </c>
      <c r="W347" s="568" t="str">
        <f>VLOOKUP(A347,'[1]Raw data'!$B:$AG,32,FALSE)</f>
        <v>DAP SZ</v>
      </c>
      <c r="X347" s="568">
        <f>VLOOKUP(A347,'[1]Raw data'!$B:$BA,31,FALSE)</f>
        <v>43896</v>
      </c>
      <c r="Y347" s="568" t="str">
        <f>VLOOKUP(A347,'[1]Raw data'!$B:$AS,39,FALSE)</f>
        <v>Yes</v>
      </c>
      <c r="Z347" s="573"/>
      <c r="AA347" s="574"/>
      <c r="AB347" s="575"/>
      <c r="AC347" s="568" t="s">
        <v>734</v>
      </c>
      <c r="AD347" s="569">
        <v>302</v>
      </c>
      <c r="AE347" s="569">
        <v>10</v>
      </c>
      <c r="AF347" s="569"/>
      <c r="AG347" s="569"/>
      <c r="AH347" s="569"/>
      <c r="AI347" s="632"/>
      <c r="AJ347" s="569"/>
      <c r="AK347" s="569"/>
      <c r="AL347" s="569"/>
      <c r="AM347" s="569"/>
      <c r="AN347" s="547"/>
      <c r="AO347" s="829" t="str">
        <f t="shared" si="49"/>
        <v>Yes</v>
      </c>
      <c r="AP347" s="259" t="str">
        <f t="shared" si="50"/>
        <v>MAR 20</v>
      </c>
      <c r="AQ347" s="547" t="str">
        <f t="shared" si="51"/>
        <v>有定金+有預留客戶</v>
      </c>
      <c r="AR347" s="259" t="str">
        <f t="shared" si="52"/>
        <v>Shipped_Stock</v>
      </c>
      <c r="AS347" s="259" t="str">
        <f t="shared" si="53"/>
        <v/>
      </c>
      <c r="AT347" s="259" t="str">
        <f t="shared" si="54"/>
        <v>正创</v>
      </c>
      <c r="AU347" s="259" t="str">
        <f t="shared" si="55"/>
        <v>C49SZX20200020SS</v>
      </c>
      <c r="AV347" s="259" t="str">
        <f t="shared" si="56"/>
        <v>Feb-01</v>
      </c>
    </row>
    <row r="348" spans="1:48" ht="15.75" hidden="1" customHeight="1" thickBot="1">
      <c r="A348" s="604">
        <v>581</v>
      </c>
      <c r="B348" s="565" t="s">
        <v>280</v>
      </c>
      <c r="C348" s="565" t="s">
        <v>281</v>
      </c>
      <c r="D348" s="629">
        <v>109762</v>
      </c>
      <c r="E348" s="567" t="s">
        <v>808</v>
      </c>
      <c r="F348" s="568" t="s">
        <v>17</v>
      </c>
      <c r="G348" s="568" t="s">
        <v>18</v>
      </c>
      <c r="H348" s="568" t="s">
        <v>26</v>
      </c>
      <c r="I348" s="569" t="s">
        <v>857</v>
      </c>
      <c r="J348" s="569">
        <v>1</v>
      </c>
      <c r="K348" s="568" t="s">
        <v>437</v>
      </c>
      <c r="L348" s="570">
        <v>43862</v>
      </c>
      <c r="M348" s="581">
        <v>6.54E-2</v>
      </c>
      <c r="N348" s="568" t="s">
        <v>785</v>
      </c>
      <c r="O348" s="568">
        <v>2020.01</v>
      </c>
      <c r="P348" s="571" t="str">
        <f>VLOOKUP(A348,'[1]Raw data'!$B:$BB,23,FALSE)</f>
        <v>JPY</v>
      </c>
      <c r="Q348" s="568" t="str">
        <f>VLOOKUP(A348,'[1]Raw data'!$B:$Z,2,FALSE)</f>
        <v>C49SZX20200016SX</v>
      </c>
      <c r="R348" s="568" t="str">
        <f>VLOOKUP(A348,'[1]Raw data'!$B:$Z,3,FALSE)</f>
        <v>赛美达</v>
      </c>
      <c r="S348" s="568" t="str">
        <f>VLOOKUP(A348,'[1]Raw data'!$B:$Z,4,FALSE)</f>
        <v>YSM10</v>
      </c>
      <c r="T348" s="568" t="str">
        <f>VLOOKUP(A348,'[1]Raw data'!$B:$Z,8,FALSE)</f>
        <v>L-&gt;R</v>
      </c>
      <c r="U348" s="568" t="str">
        <f>VLOOKUP(A348,'[1]Raw data'!$B:$Z,9,FALSE)</f>
        <v>No</v>
      </c>
      <c r="V348" s="572" t="str">
        <f t="shared" si="57"/>
        <v>WRONG</v>
      </c>
      <c r="W348" s="568" t="str">
        <f>VLOOKUP(A348,'[1]Raw data'!$B:$AG,32,FALSE)</f>
        <v>DAP SZ</v>
      </c>
      <c r="X348" s="568">
        <f>VLOOKUP(A348,'[1]Raw data'!$B:$BA,31,FALSE)</f>
        <v>43845</v>
      </c>
      <c r="Y348" s="568" t="str">
        <f>VLOOKUP(A348,'[1]Raw data'!$B:$AS,39,FALSE)</f>
        <v>Yes</v>
      </c>
      <c r="AC348" s="568" t="s">
        <v>858</v>
      </c>
      <c r="AD348" s="569">
        <v>302</v>
      </c>
      <c r="AE348" s="569">
        <v>10</v>
      </c>
      <c r="AF348" s="569"/>
      <c r="AG348" s="569"/>
      <c r="AH348" s="569"/>
      <c r="AI348" s="632"/>
      <c r="AJ348" s="569"/>
      <c r="AK348" s="569"/>
      <c r="AL348" s="569"/>
      <c r="AM348" s="569"/>
      <c r="AN348" s="547"/>
      <c r="AO348" s="829" t="str">
        <f t="shared" si="49"/>
        <v>Yes</v>
      </c>
      <c r="AP348" s="259" t="str">
        <f t="shared" si="50"/>
        <v>MAR 20</v>
      </c>
      <c r="AQ348" s="547" t="str">
        <f t="shared" si="51"/>
        <v>有定金+有預留客戶</v>
      </c>
      <c r="AR348" s="259" t="str">
        <f t="shared" si="52"/>
        <v>Shipped_Stock</v>
      </c>
      <c r="AS348" s="259" t="str">
        <f t="shared" si="53"/>
        <v/>
      </c>
      <c r="AT348" s="259" t="str">
        <f t="shared" si="54"/>
        <v>赛美达</v>
      </c>
      <c r="AU348" s="259" t="str">
        <f t="shared" si="55"/>
        <v>C49SZX20200016SX</v>
      </c>
      <c r="AV348" s="259" t="str">
        <f t="shared" si="56"/>
        <v>Feb-01</v>
      </c>
    </row>
    <row r="349" spans="1:48" ht="25.5" hidden="1" customHeight="1">
      <c r="A349" s="604">
        <v>573</v>
      </c>
      <c r="B349" s="565" t="s">
        <v>280</v>
      </c>
      <c r="C349" s="565" t="s">
        <v>281</v>
      </c>
      <c r="D349" s="628">
        <v>109762</v>
      </c>
      <c r="E349" s="567" t="s">
        <v>808</v>
      </c>
      <c r="F349" s="568" t="s">
        <v>17</v>
      </c>
      <c r="G349" s="568" t="s">
        <v>18</v>
      </c>
      <c r="H349" s="568" t="s">
        <v>26</v>
      </c>
      <c r="I349" s="569" t="s">
        <v>859</v>
      </c>
      <c r="J349" s="576">
        <v>1</v>
      </c>
      <c r="K349" s="568" t="s">
        <v>437</v>
      </c>
      <c r="L349" s="570">
        <v>43862</v>
      </c>
      <c r="M349" s="581">
        <v>6.54E-2</v>
      </c>
      <c r="N349" s="568" t="s">
        <v>789</v>
      </c>
      <c r="O349" s="568">
        <v>2020.01</v>
      </c>
      <c r="P349" s="571" t="str">
        <f>VLOOKUP(A349,'[1]Raw data'!$B:$BB,23,FALSE)</f>
        <v>JPY</v>
      </c>
      <c r="Q349" s="568" t="str">
        <f>VLOOKUP(A349,'[1]Raw data'!$B:$Z,2,FALSE)</f>
        <v>C49SZX20200008MX</v>
      </c>
      <c r="R349" s="568" t="str">
        <f>VLOOKUP(A349,'[1]Raw data'!$B:$Z,3,FALSE)</f>
        <v>长源兴/end user美联辉</v>
      </c>
      <c r="S349" s="568" t="str">
        <f>VLOOKUP(A349,'[1]Raw data'!$B:$Z,4,FALSE)</f>
        <v>YSM10</v>
      </c>
      <c r="T349" s="568" t="str">
        <f>VLOOKUP(A349,'[1]Raw data'!$B:$Z,8,FALSE)</f>
        <v>R-&gt;L</v>
      </c>
      <c r="U349" s="568" t="str">
        <f>VLOOKUP(A349,'[1]Raw data'!$B:$Z,9,FALSE)</f>
        <v>MVC</v>
      </c>
      <c r="V349" s="572" t="str">
        <f t="shared" si="57"/>
        <v>WRONG</v>
      </c>
      <c r="W349" s="568" t="str">
        <f>VLOOKUP(A349,'[1]Raw data'!$B:$AG,32,FALSE)</f>
        <v>CIF HK</v>
      </c>
      <c r="X349" s="568">
        <f>VLOOKUP(A349,'[1]Raw data'!$B:$BA,31,FALSE)</f>
        <v>43837</v>
      </c>
      <c r="Y349" s="568" t="str">
        <f>VLOOKUP(A349,'[1]Raw data'!$B:$AS,39,FALSE)</f>
        <v>Yes</v>
      </c>
      <c r="Z349" s="573"/>
      <c r="AA349" s="574"/>
      <c r="AB349" s="575"/>
      <c r="AC349" s="568" t="s">
        <v>758</v>
      </c>
      <c r="AD349" s="569">
        <v>302</v>
      </c>
      <c r="AE349" s="569">
        <v>10</v>
      </c>
      <c r="AF349" s="569"/>
      <c r="AG349" s="569"/>
      <c r="AH349" s="569"/>
      <c r="AI349" s="632"/>
      <c r="AJ349" s="569"/>
      <c r="AK349" s="569"/>
      <c r="AL349" s="569"/>
      <c r="AM349" s="569"/>
      <c r="AN349" s="547"/>
      <c r="AO349" s="829" t="str">
        <f t="shared" si="49"/>
        <v>Yes</v>
      </c>
      <c r="AP349" s="259" t="str">
        <f t="shared" si="50"/>
        <v>FEB 20</v>
      </c>
      <c r="AQ349" s="547" t="str">
        <f t="shared" si="51"/>
        <v>有定金+有預留客戶</v>
      </c>
      <c r="AR349" s="259" t="str">
        <f t="shared" si="52"/>
        <v>Shipped_Stock</v>
      </c>
      <c r="AS349" s="259" t="str">
        <f t="shared" si="53"/>
        <v/>
      </c>
      <c r="AT349" s="259" t="str">
        <f t="shared" si="54"/>
        <v>长源兴/end user美联辉</v>
      </c>
      <c r="AU349" s="259" t="str">
        <f t="shared" si="55"/>
        <v>C49SZX20200008MX</v>
      </c>
      <c r="AV349" s="259" t="str">
        <f t="shared" si="56"/>
        <v>Feb-01</v>
      </c>
    </row>
    <row r="350" spans="1:48" ht="22.5" hidden="1">
      <c r="A350" s="564">
        <v>576</v>
      </c>
      <c r="B350" s="565" t="s">
        <v>280</v>
      </c>
      <c r="C350" s="565" t="s">
        <v>281</v>
      </c>
      <c r="D350" s="630">
        <v>109774</v>
      </c>
      <c r="E350" s="567" t="s">
        <v>644</v>
      </c>
      <c r="F350" s="568" t="s">
        <v>256</v>
      </c>
      <c r="G350" s="568" t="s">
        <v>24</v>
      </c>
      <c r="H350" s="568" t="s">
        <v>26</v>
      </c>
      <c r="I350" s="569" t="s">
        <v>860</v>
      </c>
      <c r="J350" s="569">
        <v>1</v>
      </c>
      <c r="K350" s="568" t="s">
        <v>295</v>
      </c>
      <c r="L350" s="570">
        <v>43866</v>
      </c>
      <c r="M350" s="620" t="s">
        <v>861</v>
      </c>
      <c r="N350" s="568" t="s">
        <v>785</v>
      </c>
      <c r="O350" s="569">
        <v>2020.01</v>
      </c>
      <c r="P350" s="571" t="str">
        <f>VLOOKUP(A350,'[1]Raw data'!$B:$BB,23,FALSE)</f>
        <v>RMB</v>
      </c>
      <c r="Q350" s="568" t="str">
        <f>VLOOKUP(A350,'[1]Raw data'!$B:$Z,2,FALSE)</f>
        <v>C49SZX20200010DZ</v>
      </c>
      <c r="R350" s="568" t="str">
        <f>VLOOKUP(A350,'[1]Raw data'!$B:$Z,3,FALSE)</f>
        <v>赛维显示</v>
      </c>
      <c r="S350" s="568" t="str">
        <f>VLOOKUP(A350,'[1]Raw data'!$B:$Z,4,FALSE)</f>
        <v>YSM20R(SV)-2</v>
      </c>
      <c r="T350" s="568" t="str">
        <f>VLOOKUP(A350,'[1]Raw data'!$B:$Z,8,FALSE)</f>
        <v>L-&gt;R</v>
      </c>
      <c r="U350" s="568" t="str">
        <f>VLOOKUP(A350,'[1]Raw data'!$B:$Z,9,FALSE)</f>
        <v>No</v>
      </c>
      <c r="V350" s="572" t="str">
        <f t="shared" si="57"/>
        <v>OK</v>
      </c>
      <c r="W350" s="568" t="str">
        <f>VLOOKUP(A350,'[1]Raw data'!$B:$AG,32,FALSE)</f>
        <v>含税到厂</v>
      </c>
      <c r="X350" s="568">
        <f>VLOOKUP(A350,'[1]Raw data'!$B:$BA,31,FALSE)</f>
        <v>43839</v>
      </c>
      <c r="Y350" s="568" t="str">
        <f>VLOOKUP(A350,'[1]Raw data'!$B:$AS,39,FALSE)</f>
        <v>Yes</v>
      </c>
      <c r="AC350" s="568" t="s">
        <v>862</v>
      </c>
      <c r="AD350" s="576">
        <v>311</v>
      </c>
      <c r="AE350" s="576">
        <v>10</v>
      </c>
      <c r="AF350" s="576">
        <v>301</v>
      </c>
      <c r="AG350" s="576">
        <v>10</v>
      </c>
      <c r="AN350" s="619"/>
      <c r="AO350" s="829" t="str">
        <f t="shared" si="49"/>
        <v>Yes</v>
      </c>
      <c r="AP350" s="259" t="str">
        <f t="shared" si="50"/>
        <v>MAR 20</v>
      </c>
      <c r="AQ350" s="547" t="str">
        <f t="shared" si="51"/>
        <v>有定金+有預留客戶</v>
      </c>
      <c r="AR350" s="259" t="str">
        <f t="shared" si="52"/>
        <v>Shipped_Stock</v>
      </c>
      <c r="AS350" s="259" t="str">
        <f t="shared" si="53"/>
        <v/>
      </c>
      <c r="AT350" s="259" t="str">
        <f t="shared" si="54"/>
        <v>赛维显示</v>
      </c>
      <c r="AU350" s="259" t="str">
        <f t="shared" si="55"/>
        <v>C49SZX20200010DZ</v>
      </c>
      <c r="AV350" s="259" t="str">
        <f t="shared" si="56"/>
        <v>Feb-05</v>
      </c>
    </row>
    <row r="351" spans="1:48" hidden="1">
      <c r="A351" s="564">
        <v>575</v>
      </c>
      <c r="B351" s="565" t="s">
        <v>280</v>
      </c>
      <c r="C351" s="565" t="s">
        <v>281</v>
      </c>
      <c r="D351" s="630">
        <v>109775</v>
      </c>
      <c r="E351" s="567" t="s">
        <v>644</v>
      </c>
      <c r="F351" s="568" t="s">
        <v>256</v>
      </c>
      <c r="G351" s="568" t="s">
        <v>24</v>
      </c>
      <c r="H351" s="568" t="s">
        <v>26</v>
      </c>
      <c r="I351" s="569" t="s">
        <v>863</v>
      </c>
      <c r="J351" s="569">
        <v>1</v>
      </c>
      <c r="K351" s="568" t="s">
        <v>295</v>
      </c>
      <c r="L351" s="570">
        <v>43866</v>
      </c>
      <c r="M351" s="581">
        <v>6.4600000000000005E-2</v>
      </c>
      <c r="N351" s="568" t="s">
        <v>785</v>
      </c>
      <c r="O351" s="569">
        <v>2020.01</v>
      </c>
      <c r="P351" s="571" t="str">
        <f>VLOOKUP(A351,'[1]Raw data'!$B:$BB,23,FALSE)</f>
        <v>RMB</v>
      </c>
      <c r="Q351" s="568" t="str">
        <f>VLOOKUP(A351,'[1]Raw data'!$B:$Z,2,FALSE)</f>
        <v>C49SZX20200010DZ</v>
      </c>
      <c r="R351" s="568" t="str">
        <f>VLOOKUP(A351,'[1]Raw data'!$B:$Z,3,FALSE)</f>
        <v>赛维显示</v>
      </c>
      <c r="S351" s="568" t="str">
        <f>VLOOKUP(A351,'[1]Raw data'!$B:$Z,4,FALSE)</f>
        <v>YSM20R(SV)-2</v>
      </c>
      <c r="T351" s="568" t="str">
        <f>VLOOKUP(A351,'[1]Raw data'!$B:$Z,8,FALSE)</f>
        <v>L-&gt;R</v>
      </c>
      <c r="U351" s="568" t="str">
        <f>VLOOKUP(A351,'[1]Raw data'!$B:$Z,9,FALSE)</f>
        <v>No</v>
      </c>
      <c r="V351" s="572" t="str">
        <f t="shared" si="57"/>
        <v>OK</v>
      </c>
      <c r="W351" s="568" t="str">
        <f>VLOOKUP(A351,'[1]Raw data'!$B:$AG,32,FALSE)</f>
        <v>含税到厂</v>
      </c>
      <c r="X351" s="568">
        <f>VLOOKUP(A351,'[1]Raw data'!$B:$BA,31,FALSE)</f>
        <v>43839</v>
      </c>
      <c r="Y351" s="568" t="str">
        <f>VLOOKUP(A351,'[1]Raw data'!$B:$AS,39,FALSE)</f>
        <v>Yes</v>
      </c>
      <c r="AC351" s="568" t="s">
        <v>862</v>
      </c>
      <c r="AD351" s="576">
        <v>301</v>
      </c>
      <c r="AE351" s="576">
        <v>20</v>
      </c>
      <c r="AN351" s="619"/>
      <c r="AO351" s="829" t="str">
        <f t="shared" si="49"/>
        <v>Yes</v>
      </c>
      <c r="AP351" s="259" t="str">
        <f t="shared" si="50"/>
        <v>MAR 20</v>
      </c>
      <c r="AQ351" s="547" t="str">
        <f t="shared" si="51"/>
        <v>有定金+有預留客戶</v>
      </c>
      <c r="AR351" s="259" t="str">
        <f t="shared" si="52"/>
        <v>Shipped_Stock</v>
      </c>
      <c r="AS351" s="259" t="str">
        <f t="shared" si="53"/>
        <v/>
      </c>
      <c r="AT351" s="259" t="str">
        <f t="shared" si="54"/>
        <v>赛维显示</v>
      </c>
      <c r="AU351" s="259" t="str">
        <f t="shared" si="55"/>
        <v>C49SZX20200010DZ</v>
      </c>
      <c r="AV351" s="259" t="str">
        <f t="shared" si="56"/>
        <v>Feb-05</v>
      </c>
    </row>
    <row r="352" spans="1:48" hidden="1">
      <c r="A352" s="604">
        <v>551</v>
      </c>
      <c r="B352" s="565" t="s">
        <v>280</v>
      </c>
      <c r="C352" s="565" t="s">
        <v>281</v>
      </c>
      <c r="D352" s="630">
        <v>109774</v>
      </c>
      <c r="E352" s="567" t="s">
        <v>644</v>
      </c>
      <c r="F352" s="568" t="s">
        <v>17</v>
      </c>
      <c r="G352" s="568" t="s">
        <v>18</v>
      </c>
      <c r="H352" s="568" t="s">
        <v>26</v>
      </c>
      <c r="I352" s="569" t="s">
        <v>864</v>
      </c>
      <c r="J352" s="576">
        <v>1</v>
      </c>
      <c r="K352" s="568" t="s">
        <v>437</v>
      </c>
      <c r="L352" s="570">
        <v>43866</v>
      </c>
      <c r="M352" s="581" t="s">
        <v>865</v>
      </c>
      <c r="N352" s="568" t="s">
        <v>789</v>
      </c>
      <c r="O352" s="568">
        <v>2020.01</v>
      </c>
      <c r="P352" s="571" t="str">
        <f>VLOOKUP(A352,'[1]Raw data'!$B:$BB,23,FALSE)</f>
        <v>JPY</v>
      </c>
      <c r="Q352" s="568" t="str">
        <f>VLOOKUP(A352,'[1]Raw data'!$B:$Z,2,FALSE)</f>
        <v>FS20191216</v>
      </c>
      <c r="R352" s="568" t="str">
        <f>VLOOKUP(A352,'[1]Raw data'!$B:$Z,3,FALSE)</f>
        <v>光世代</v>
      </c>
      <c r="S352" s="568" t="str">
        <f>VLOOKUP(A352,'[1]Raw data'!$B:$Z,4,FALSE)</f>
        <v>YSM10</v>
      </c>
      <c r="T352" s="568" t="str">
        <f>VLOOKUP(A352,'[1]Raw data'!$B:$Z,8,FALSE)</f>
        <v>R-&gt;L</v>
      </c>
      <c r="U352" s="568" t="str">
        <f>VLOOKUP(A352,'[1]Raw data'!$B:$Z,9,FALSE)</f>
        <v>MVC</v>
      </c>
      <c r="V352" s="572" t="str">
        <f t="shared" si="57"/>
        <v>WRONG</v>
      </c>
      <c r="W352" s="568" t="str">
        <f>VLOOKUP(A352,'[1]Raw data'!$B:$AG,32,FALSE)</f>
        <v>CIF HK</v>
      </c>
      <c r="X352" s="568">
        <f>VLOOKUP(A352,'[1]Raw data'!$B:$BA,31,FALSE)</f>
        <v>43815</v>
      </c>
      <c r="Y352" s="568" t="str">
        <f>VLOOKUP(A352,'[1]Raw data'!$B:$AS,39,FALSE)</f>
        <v>Yes</v>
      </c>
      <c r="Z352" s="573"/>
      <c r="AA352" s="574"/>
      <c r="AB352" s="575"/>
      <c r="AC352" s="568" t="s">
        <v>866</v>
      </c>
      <c r="AD352" s="569">
        <v>301</v>
      </c>
      <c r="AE352" s="569">
        <v>10</v>
      </c>
      <c r="AF352" s="569"/>
      <c r="AG352" s="569"/>
      <c r="AH352" s="569"/>
      <c r="AI352" s="632"/>
      <c r="AJ352" s="569"/>
      <c r="AK352" s="569"/>
      <c r="AL352" s="569"/>
      <c r="AM352" s="569"/>
      <c r="AN352" s="619"/>
      <c r="AO352" s="829" t="str">
        <f t="shared" si="49"/>
        <v>Yes</v>
      </c>
      <c r="AP352" s="259" t="str">
        <f t="shared" si="50"/>
        <v>FEB 20</v>
      </c>
      <c r="AQ352" s="547" t="str">
        <f t="shared" si="51"/>
        <v>有定金+有預留客戶</v>
      </c>
      <c r="AR352" s="259" t="str">
        <f t="shared" si="52"/>
        <v>Shipped_Stock</v>
      </c>
      <c r="AS352" s="259" t="str">
        <f t="shared" si="53"/>
        <v/>
      </c>
      <c r="AT352" s="259" t="str">
        <f t="shared" si="54"/>
        <v>光世代</v>
      </c>
      <c r="AU352" s="259" t="str">
        <f t="shared" si="55"/>
        <v>FS20191216</v>
      </c>
      <c r="AV352" s="259" t="str">
        <f t="shared" si="56"/>
        <v>Feb-05</v>
      </c>
    </row>
    <row r="353" spans="1:48" ht="13.5" hidden="1" thickBot="1">
      <c r="A353" s="604">
        <v>582</v>
      </c>
      <c r="B353" s="565" t="s">
        <v>280</v>
      </c>
      <c r="C353" s="565" t="s">
        <v>281</v>
      </c>
      <c r="D353" s="629">
        <v>109774</v>
      </c>
      <c r="E353" s="567" t="s">
        <v>644</v>
      </c>
      <c r="F353" s="568" t="s">
        <v>17</v>
      </c>
      <c r="G353" s="568" t="s">
        <v>18</v>
      </c>
      <c r="H353" s="568" t="s">
        <v>26</v>
      </c>
      <c r="I353" s="569" t="s">
        <v>867</v>
      </c>
      <c r="J353" s="569">
        <v>1</v>
      </c>
      <c r="K353" s="568" t="s">
        <v>437</v>
      </c>
      <c r="L353" s="570">
        <v>43866</v>
      </c>
      <c r="M353" s="581" t="s">
        <v>865</v>
      </c>
      <c r="N353" s="568" t="s">
        <v>785</v>
      </c>
      <c r="O353" s="568">
        <v>2020.01</v>
      </c>
      <c r="P353" s="571" t="str">
        <f>VLOOKUP(A353,'[1]Raw data'!$B:$BB,23,FALSE)</f>
        <v>JPY</v>
      </c>
      <c r="Q353" s="568" t="str">
        <f>VLOOKUP(A353,'[1]Raw data'!$B:$Z,2,FALSE)</f>
        <v>C49SZX20200016SX</v>
      </c>
      <c r="R353" s="568" t="str">
        <f>VLOOKUP(A353,'[1]Raw data'!$B:$Z,3,FALSE)</f>
        <v>赛美达</v>
      </c>
      <c r="S353" s="568" t="str">
        <f>VLOOKUP(A353,'[1]Raw data'!$B:$Z,4,FALSE)</f>
        <v>YSM10</v>
      </c>
      <c r="T353" s="568" t="str">
        <f>VLOOKUP(A353,'[1]Raw data'!$B:$Z,8,FALSE)</f>
        <v>R-&gt;L</v>
      </c>
      <c r="U353" s="568" t="str">
        <f>VLOOKUP(A353,'[1]Raw data'!$B:$Z,9,FALSE)</f>
        <v>No</v>
      </c>
      <c r="V353" s="572" t="str">
        <f t="shared" si="57"/>
        <v>OK</v>
      </c>
      <c r="W353" s="568" t="str">
        <f>VLOOKUP(A353,'[1]Raw data'!$B:$AG,32,FALSE)</f>
        <v>DAP SZ</v>
      </c>
      <c r="X353" s="568">
        <f>VLOOKUP(A353,'[1]Raw data'!$B:$BA,31,FALSE)</f>
        <v>43845</v>
      </c>
      <c r="Y353" s="568" t="str">
        <f>VLOOKUP(A353,'[1]Raw data'!$B:$AS,39,FALSE)</f>
        <v>Yes</v>
      </c>
      <c r="AC353" s="568" t="s">
        <v>858</v>
      </c>
      <c r="AD353" s="569">
        <v>301</v>
      </c>
      <c r="AE353" s="569">
        <v>10</v>
      </c>
      <c r="AF353" s="569"/>
      <c r="AG353" s="569"/>
      <c r="AH353" s="569"/>
      <c r="AI353" s="632"/>
      <c r="AJ353" s="569"/>
      <c r="AK353" s="569"/>
      <c r="AL353" s="569"/>
      <c r="AM353" s="569"/>
      <c r="AN353" s="619"/>
      <c r="AO353" s="829" t="str">
        <f t="shared" si="49"/>
        <v>Yes</v>
      </c>
      <c r="AP353" s="259" t="str">
        <f t="shared" si="50"/>
        <v>MAR 20</v>
      </c>
      <c r="AQ353" s="547" t="str">
        <f t="shared" si="51"/>
        <v>有定金+有預留客戶</v>
      </c>
      <c r="AR353" s="259" t="str">
        <f t="shared" si="52"/>
        <v>Shipped_Stock</v>
      </c>
      <c r="AS353" s="259" t="str">
        <f t="shared" si="53"/>
        <v/>
      </c>
      <c r="AT353" s="259" t="str">
        <f t="shared" si="54"/>
        <v>赛美达</v>
      </c>
      <c r="AU353" s="259" t="str">
        <f t="shared" si="55"/>
        <v>C49SZX20200016SX</v>
      </c>
      <c r="AV353" s="259" t="str">
        <f t="shared" si="56"/>
        <v>Feb-05</v>
      </c>
    </row>
    <row r="354" spans="1:48" ht="15" hidden="1" customHeight="1">
      <c r="A354" s="604">
        <v>566</v>
      </c>
      <c r="B354" s="565" t="s">
        <v>280</v>
      </c>
      <c r="C354" s="565" t="s">
        <v>281</v>
      </c>
      <c r="D354" s="628">
        <v>109775</v>
      </c>
      <c r="E354" s="567" t="s">
        <v>644</v>
      </c>
      <c r="F354" s="568" t="s">
        <v>256</v>
      </c>
      <c r="G354" s="568" t="s">
        <v>24</v>
      </c>
      <c r="H354" s="568" t="s">
        <v>26</v>
      </c>
      <c r="I354" s="569" t="s">
        <v>868</v>
      </c>
      <c r="J354" s="569">
        <v>1</v>
      </c>
      <c r="K354" s="568" t="s">
        <v>437</v>
      </c>
      <c r="L354" s="570">
        <v>43866</v>
      </c>
      <c r="M354" s="581">
        <v>6.4600000000000005E-2</v>
      </c>
      <c r="N354" s="568" t="s">
        <v>785</v>
      </c>
      <c r="O354" s="569">
        <v>2020.01</v>
      </c>
      <c r="P354" s="571" t="str">
        <f>VLOOKUP(A354,'[1]Raw data'!$B:$BB,23,FALSE)</f>
        <v>JPY</v>
      </c>
      <c r="Q354" s="568" t="str">
        <f>VLOOKUP(A354,'[1]Raw data'!$B:$Z,2,FALSE)</f>
        <v>C49SZX20200002MZ</v>
      </c>
      <c r="R354" s="568" t="str">
        <f>VLOOKUP(A354,'[1]Raw data'!$B:$Z,3,FALSE)</f>
        <v>熙洲电子</v>
      </c>
      <c r="S354" s="568" t="str">
        <f>VLOOKUP(A354,'[1]Raw data'!$B:$Z,4,FALSE)</f>
        <v>YSM20R(SV)-2</v>
      </c>
      <c r="T354" s="568" t="str">
        <f>VLOOKUP(A354,'[1]Raw data'!$B:$Z,8,FALSE)</f>
        <v>L-&gt;R</v>
      </c>
      <c r="U354" s="568" t="str">
        <f>VLOOKUP(A354,'[1]Raw data'!$B:$Z,9,FALSE)</f>
        <v>No</v>
      </c>
      <c r="V354" s="572" t="str">
        <f t="shared" si="57"/>
        <v>OK</v>
      </c>
      <c r="W354" s="568" t="str">
        <f>VLOOKUP(A354,'[1]Raw data'!$B:$AG,32,FALSE)</f>
        <v>DAP DG</v>
      </c>
      <c r="X354" s="568">
        <f>VLOOKUP(A354,'[1]Raw data'!$B:$BA,31,FALSE)</f>
        <v>43832</v>
      </c>
      <c r="Y354" s="568" t="str">
        <f>VLOOKUP(A354,'[1]Raw data'!$B:$AS,39,FALSE)</f>
        <v>Yes</v>
      </c>
      <c r="Z354" s="573"/>
      <c r="AA354" s="574"/>
      <c r="AC354" s="568" t="s">
        <v>869</v>
      </c>
      <c r="AD354" s="569">
        <v>301</v>
      </c>
      <c r="AE354" s="569">
        <v>20</v>
      </c>
      <c r="AF354" s="569"/>
      <c r="AG354" s="569"/>
      <c r="AH354" s="569"/>
      <c r="AI354" s="632"/>
      <c r="AJ354" s="569"/>
      <c r="AK354" s="569"/>
      <c r="AL354" s="569"/>
      <c r="AM354" s="569"/>
      <c r="AN354" s="619"/>
      <c r="AO354" s="829" t="str">
        <f t="shared" si="49"/>
        <v>Yes</v>
      </c>
      <c r="AP354" s="259" t="str">
        <f t="shared" si="50"/>
        <v>MAR 20</v>
      </c>
      <c r="AQ354" s="547" t="str">
        <f t="shared" si="51"/>
        <v>有定金+有預留客戶</v>
      </c>
      <c r="AR354" s="259" t="str">
        <f t="shared" si="52"/>
        <v>Shipped_Stock</v>
      </c>
      <c r="AS354" s="259" t="str">
        <f t="shared" si="53"/>
        <v/>
      </c>
      <c r="AT354" s="259" t="str">
        <f t="shared" si="54"/>
        <v>熙洲电子</v>
      </c>
      <c r="AU354" s="259" t="str">
        <f t="shared" si="55"/>
        <v>C49SZX20200002MZ</v>
      </c>
      <c r="AV354" s="259" t="str">
        <f t="shared" si="56"/>
        <v>Feb-05</v>
      </c>
    </row>
    <row r="355" spans="1:48" ht="15" hidden="1" customHeight="1">
      <c r="A355" s="564">
        <v>641</v>
      </c>
      <c r="B355" s="565" t="s">
        <v>280</v>
      </c>
      <c r="C355" s="565" t="s">
        <v>281</v>
      </c>
      <c r="D355" s="630">
        <v>109775</v>
      </c>
      <c r="E355" s="567" t="s">
        <v>644</v>
      </c>
      <c r="F355" s="568" t="s">
        <v>256</v>
      </c>
      <c r="G355" s="568" t="s">
        <v>24</v>
      </c>
      <c r="H355" s="568" t="s">
        <v>26</v>
      </c>
      <c r="I355" s="569" t="s">
        <v>870</v>
      </c>
      <c r="J355" s="569">
        <v>1</v>
      </c>
      <c r="K355" s="568" t="s">
        <v>496</v>
      </c>
      <c r="L355" s="570">
        <v>43866</v>
      </c>
      <c r="M355" s="620" t="s">
        <v>871</v>
      </c>
      <c r="N355" s="568" t="s">
        <v>818</v>
      </c>
      <c r="O355" s="569">
        <v>2020.01</v>
      </c>
      <c r="P355" s="571" t="str">
        <f>VLOOKUP(A355,'[1]Raw data'!$B:$BB,23,FALSE)</f>
        <v>JPY</v>
      </c>
      <c r="Q355" s="568" t="str">
        <f>VLOOKUP(A355,'[1]Raw data'!$B:$Z,2,FALSE)</f>
        <v>C49SZX20200056MZ</v>
      </c>
      <c r="R355" s="568" t="str">
        <f>VLOOKUP(A355,'[1]Raw data'!$B:$Z,3,FALSE)</f>
        <v>天星创展</v>
      </c>
      <c r="S355" s="568" t="str">
        <f>VLOOKUP(A355,'[1]Raw data'!$B:$Z,4,FALSE)</f>
        <v>YSM20R(SV)-2</v>
      </c>
      <c r="T355" s="568" t="str">
        <f>VLOOKUP(A355,'[1]Raw data'!$B:$Z,8,FALSE)</f>
        <v>L-&gt;R</v>
      </c>
      <c r="U355" s="568" t="str">
        <f>VLOOKUP(A355,'[1]Raw data'!$B:$Z,9,FALSE)</f>
        <v>No</v>
      </c>
      <c r="V355" s="572" t="str">
        <f t="shared" si="57"/>
        <v>OK</v>
      </c>
      <c r="W355" s="568" t="str">
        <f>VLOOKUP(A355,'[1]Raw data'!$B:$AG,32,FALSE)</f>
        <v>DAP SZ</v>
      </c>
      <c r="X355" s="568">
        <f>VLOOKUP(A355,'[1]Raw data'!$B:$BA,31,FALSE)</f>
        <v>43950</v>
      </c>
      <c r="Y355" s="568" t="str">
        <f>VLOOKUP(A355,'[1]Raw data'!$B:$AS,39,FALSE)</f>
        <v>Yes</v>
      </c>
      <c r="AC355" s="568" t="s">
        <v>591</v>
      </c>
      <c r="AD355" s="576">
        <v>301</v>
      </c>
      <c r="AE355" s="576">
        <v>20</v>
      </c>
      <c r="AN355" s="619"/>
      <c r="AO355" s="829" t="str">
        <f t="shared" si="49"/>
        <v>Yes</v>
      </c>
      <c r="AP355" s="259" t="str">
        <f t="shared" si="50"/>
        <v>MAY 20</v>
      </c>
      <c r="AQ355" s="547" t="str">
        <f t="shared" si="51"/>
        <v>有定金+有預留客戶</v>
      </c>
      <c r="AR355" s="259" t="str">
        <f t="shared" si="52"/>
        <v>Shipped_Stock</v>
      </c>
      <c r="AS355" s="259" t="str">
        <f t="shared" si="53"/>
        <v/>
      </c>
      <c r="AT355" s="259" t="str">
        <f t="shared" si="54"/>
        <v>天星创展</v>
      </c>
      <c r="AU355" s="259" t="str">
        <f t="shared" si="55"/>
        <v>C49SZX20200056MZ</v>
      </c>
      <c r="AV355" s="259" t="str">
        <f t="shared" si="56"/>
        <v>Feb-05</v>
      </c>
    </row>
    <row r="356" spans="1:48" ht="15" hidden="1" customHeight="1">
      <c r="A356" s="564">
        <v>618</v>
      </c>
      <c r="B356" s="565" t="s">
        <v>280</v>
      </c>
      <c r="C356" s="565" t="s">
        <v>281</v>
      </c>
      <c r="D356" s="630">
        <v>109775</v>
      </c>
      <c r="E356" s="567" t="s">
        <v>644</v>
      </c>
      <c r="F356" s="568" t="s">
        <v>256</v>
      </c>
      <c r="G356" s="568" t="s">
        <v>24</v>
      </c>
      <c r="H356" s="568" t="s">
        <v>26</v>
      </c>
      <c r="I356" s="569" t="s">
        <v>872</v>
      </c>
      <c r="J356" s="569">
        <v>1</v>
      </c>
      <c r="K356" s="568" t="s">
        <v>295</v>
      </c>
      <c r="L356" s="570">
        <v>43866</v>
      </c>
      <c r="M356" s="581">
        <v>6.4600000000000005E-2</v>
      </c>
      <c r="N356" s="568" t="s">
        <v>554</v>
      </c>
      <c r="O356" s="569">
        <v>2020.01</v>
      </c>
      <c r="P356" s="571" t="str">
        <f>VLOOKUP(A356,'[1]Raw data'!$B:$BB,23,FALSE)</f>
        <v>RMB</v>
      </c>
      <c r="Q356" s="568" t="str">
        <f>VLOOKUP(A356,'[1]Raw data'!$B:$Z,2,FALSE)</f>
        <v>C49SZX20200050SX</v>
      </c>
      <c r="R356" s="568" t="str">
        <f>VLOOKUP(A356,'[1]Raw data'!$B:$Z,3,FALSE)</f>
        <v>中研</v>
      </c>
      <c r="S356" s="568" t="str">
        <f>VLOOKUP(A356,'[1]Raw data'!$B:$Z,4,FALSE)</f>
        <v>YSM20R(SV)-2</v>
      </c>
      <c r="T356" s="568" t="str">
        <f>VLOOKUP(A356,'[1]Raw data'!$B:$Z,8,FALSE)</f>
        <v>L-&gt;R</v>
      </c>
      <c r="U356" s="568" t="str">
        <f>VLOOKUP(A356,'[1]Raw data'!$B:$Z,9,FALSE)</f>
        <v>No</v>
      </c>
      <c r="V356" s="572" t="str">
        <f t="shared" si="57"/>
        <v>OK</v>
      </c>
      <c r="W356" s="568" t="str">
        <f>VLOOKUP(A356,'[1]Raw data'!$B:$AG,32,FALSE)</f>
        <v>含税到厂</v>
      </c>
      <c r="X356" s="568">
        <f>VLOOKUP(A356,'[1]Raw data'!$B:$BA,31,FALSE)</f>
        <v>43938</v>
      </c>
      <c r="Y356" s="568" t="str">
        <f>VLOOKUP(A356,'[1]Raw data'!$B:$AS,39,FALSE)</f>
        <v>Yes</v>
      </c>
      <c r="AC356" s="568" t="s">
        <v>725</v>
      </c>
      <c r="AD356" s="576">
        <v>303</v>
      </c>
      <c r="AE356" s="576">
        <v>10</v>
      </c>
      <c r="AF356" s="576">
        <v>313</v>
      </c>
      <c r="AG356" s="576">
        <v>10</v>
      </c>
      <c r="AN356" s="619"/>
      <c r="AO356" s="829" t="str">
        <f t="shared" si="49"/>
        <v>Yes</v>
      </c>
      <c r="AP356" s="259" t="str">
        <f t="shared" si="50"/>
        <v>APR 20</v>
      </c>
      <c r="AQ356" s="547" t="str">
        <f t="shared" si="51"/>
        <v>有定金+有預留客戶</v>
      </c>
      <c r="AR356" s="259" t="str">
        <f t="shared" si="52"/>
        <v>Shipped_Stock</v>
      </c>
      <c r="AS356" s="259" t="str">
        <f t="shared" si="53"/>
        <v/>
      </c>
      <c r="AT356" s="259" t="str">
        <f t="shared" si="54"/>
        <v>中研</v>
      </c>
      <c r="AU356" s="259" t="str">
        <f t="shared" si="55"/>
        <v>C49SZX20200050SX</v>
      </c>
      <c r="AV356" s="259" t="str">
        <f t="shared" si="56"/>
        <v>Feb-05</v>
      </c>
    </row>
    <row r="357" spans="1:48" ht="38.25" hidden="1" customHeight="1">
      <c r="A357" s="564">
        <v>594</v>
      </c>
      <c r="B357" s="565" t="s">
        <v>280</v>
      </c>
      <c r="C357" s="565" t="s">
        <v>281</v>
      </c>
      <c r="D357" s="630">
        <v>109775</v>
      </c>
      <c r="E357" s="567" t="s">
        <v>644</v>
      </c>
      <c r="F357" s="568" t="s">
        <v>256</v>
      </c>
      <c r="G357" s="568" t="s">
        <v>24</v>
      </c>
      <c r="H357" s="568" t="s">
        <v>26</v>
      </c>
      <c r="I357" s="569" t="s">
        <v>873</v>
      </c>
      <c r="J357" s="569">
        <v>1</v>
      </c>
      <c r="K357" s="568" t="s">
        <v>437</v>
      </c>
      <c r="L357" s="570">
        <v>43866</v>
      </c>
      <c r="M357" s="581">
        <v>6.4600000000000005E-2</v>
      </c>
      <c r="N357" s="568" t="s">
        <v>554</v>
      </c>
      <c r="O357" s="569">
        <v>2020.01</v>
      </c>
      <c r="P357" s="571" t="str">
        <f>VLOOKUP(A357,'[1]Raw data'!$B:$BB,23,FALSE)</f>
        <v>RMB</v>
      </c>
      <c r="Q357" s="568" t="str">
        <f>VLOOKUP(A357,'[1]Raw data'!$B:$Z,2,FALSE)</f>
        <v>C49SZX20200027JY</v>
      </c>
      <c r="R357" s="568" t="str">
        <f>VLOOKUP(A357,'[1]Raw data'!$B:$Z,3,FALSE)</f>
        <v>络鑫</v>
      </c>
      <c r="S357" s="568" t="str">
        <f>VLOOKUP(A357,'[1]Raw data'!$B:$Z,4,FALSE)</f>
        <v>YSM20R(SV)-2</v>
      </c>
      <c r="T357" s="568" t="str">
        <f>VLOOKUP(A357,'[1]Raw data'!$B:$Z,8,FALSE)</f>
        <v>L-&gt;R</v>
      </c>
      <c r="U357" s="568" t="str">
        <f>VLOOKUP(A357,'[1]Raw data'!$B:$Z,9,FALSE)</f>
        <v>No</v>
      </c>
      <c r="V357" s="572" t="str">
        <f t="shared" si="57"/>
        <v>OK</v>
      </c>
      <c r="W357" s="568" t="str">
        <f>VLOOKUP(A357,'[1]Raw data'!$B:$AG,32,FALSE)</f>
        <v>DAP DG</v>
      </c>
      <c r="X357" s="568">
        <f>VLOOKUP(A357,'[1]Raw data'!$B:$BA,31,FALSE)</f>
        <v>43906</v>
      </c>
      <c r="Y357" s="568" t="str">
        <f>VLOOKUP(A357,'[1]Raw data'!$B:$AS,39,FALSE)</f>
        <v>Yes</v>
      </c>
      <c r="AC357" s="568" t="s">
        <v>439</v>
      </c>
      <c r="AD357" s="576">
        <v>302</v>
      </c>
      <c r="AE357" s="576">
        <v>10</v>
      </c>
      <c r="AF357" s="576">
        <v>313</v>
      </c>
      <c r="AG357" s="576">
        <v>10</v>
      </c>
      <c r="AN357" s="619"/>
      <c r="AO357" s="829" t="str">
        <f t="shared" si="49"/>
        <v>Yes</v>
      </c>
      <c r="AP357" s="259" t="str">
        <f t="shared" si="50"/>
        <v>APR 20</v>
      </c>
      <c r="AQ357" s="547" t="str">
        <f t="shared" si="51"/>
        <v>有定金+有預留客戶</v>
      </c>
      <c r="AR357" s="259" t="str">
        <f t="shared" si="52"/>
        <v>Shipped_Stock</v>
      </c>
      <c r="AS357" s="259" t="str">
        <f t="shared" si="53"/>
        <v/>
      </c>
      <c r="AT357" s="259" t="str">
        <f t="shared" si="54"/>
        <v>络鑫</v>
      </c>
      <c r="AU357" s="259" t="str">
        <f t="shared" si="55"/>
        <v>C49SZX20200027JY</v>
      </c>
      <c r="AV357" s="259" t="str">
        <f t="shared" si="56"/>
        <v>Feb-05</v>
      </c>
    </row>
    <row r="358" spans="1:48" ht="26.25" hidden="1" customHeight="1" thickBot="1">
      <c r="A358" s="564">
        <v>628</v>
      </c>
      <c r="B358" s="565" t="s">
        <v>280</v>
      </c>
      <c r="C358" s="565" t="s">
        <v>281</v>
      </c>
      <c r="D358" s="629">
        <v>109775</v>
      </c>
      <c r="E358" s="567" t="s">
        <v>644</v>
      </c>
      <c r="F358" s="568" t="s">
        <v>256</v>
      </c>
      <c r="G358" s="568" t="s">
        <v>24</v>
      </c>
      <c r="H358" s="568" t="s">
        <v>26</v>
      </c>
      <c r="I358" s="569" t="s">
        <v>874</v>
      </c>
      <c r="J358" s="569">
        <v>1</v>
      </c>
      <c r="K358" s="568" t="s">
        <v>820</v>
      </c>
      <c r="L358" s="570">
        <v>43866</v>
      </c>
      <c r="M358" s="581">
        <v>6.4600000000000005E-2</v>
      </c>
      <c r="N358" s="568" t="s">
        <v>818</v>
      </c>
      <c r="O358" s="569">
        <v>2020.01</v>
      </c>
      <c r="P358" s="571" t="str">
        <f>VLOOKUP(A358,'[1]Raw data'!$B:$BB,23,FALSE)</f>
        <v>RMB</v>
      </c>
      <c r="Q358" s="568" t="str">
        <f>VLOOKUP(A358,'[1]Raw data'!$B:$Z,2,FALSE)</f>
        <v>C49SZX20200051SX</v>
      </c>
      <c r="R358" s="568" t="str">
        <f>VLOOKUP(A358,'[1]Raw data'!$B:$Z,3,FALSE)</f>
        <v>中科阿尔法</v>
      </c>
      <c r="S358" s="568" t="str">
        <f>VLOOKUP(A358,'[1]Raw data'!$B:$Z,4,FALSE)</f>
        <v>YSM20R(SV)-2</v>
      </c>
      <c r="T358" s="568" t="str">
        <f>VLOOKUP(A358,'[1]Raw data'!$B:$Z,8,FALSE)</f>
        <v>L-&gt;R</v>
      </c>
      <c r="U358" s="568" t="str">
        <f>VLOOKUP(A358,'[1]Raw data'!$B:$Z,9,FALSE)</f>
        <v>No</v>
      </c>
      <c r="V358" s="572" t="str">
        <f t="shared" si="57"/>
        <v>OK</v>
      </c>
      <c r="W358" s="568" t="str">
        <f>VLOOKUP(A358,'[1]Raw data'!$B:$AG,32,FALSE)</f>
        <v>含税到厂</v>
      </c>
      <c r="X358" s="568">
        <f>VLOOKUP(A358,'[1]Raw data'!$B:$BA,31,FALSE)</f>
        <v>43938</v>
      </c>
      <c r="Y358" s="568" t="str">
        <f>VLOOKUP(A358,'[1]Raw data'!$B:$AS,39,FALSE)</f>
        <v>Yes</v>
      </c>
      <c r="AC358" s="568" t="s">
        <v>821</v>
      </c>
      <c r="AD358" s="576">
        <v>301</v>
      </c>
      <c r="AE358" s="576">
        <v>20</v>
      </c>
      <c r="AN358" s="547"/>
      <c r="AO358" s="829" t="str">
        <f t="shared" si="49"/>
        <v>Yes</v>
      </c>
      <c r="AP358" s="259" t="str">
        <f t="shared" si="50"/>
        <v>MAY 20</v>
      </c>
      <c r="AQ358" s="547" t="str">
        <f t="shared" si="51"/>
        <v>有定金+有預留客戶</v>
      </c>
      <c r="AR358" s="259" t="str">
        <f t="shared" si="52"/>
        <v>Shipped_Stock</v>
      </c>
      <c r="AS358" s="259" t="str">
        <f t="shared" si="53"/>
        <v/>
      </c>
      <c r="AT358" s="259" t="str">
        <f t="shared" si="54"/>
        <v>中科阿尔法</v>
      </c>
      <c r="AU358" s="259" t="str">
        <f t="shared" si="55"/>
        <v>C49SZX20200051SX</v>
      </c>
      <c r="AV358" s="259" t="str">
        <f t="shared" si="56"/>
        <v>Feb-05</v>
      </c>
    </row>
    <row r="359" spans="1:48" ht="25.5" hidden="1" customHeight="1">
      <c r="A359" s="564">
        <v>600</v>
      </c>
      <c r="B359" s="565" t="s">
        <v>280</v>
      </c>
      <c r="C359" s="565" t="s">
        <v>281</v>
      </c>
      <c r="D359" s="628">
        <v>109774</v>
      </c>
      <c r="E359" s="567" t="s">
        <v>644</v>
      </c>
      <c r="F359" s="568" t="s">
        <v>256</v>
      </c>
      <c r="G359" s="568" t="s">
        <v>24</v>
      </c>
      <c r="H359" s="568" t="s">
        <v>875</v>
      </c>
      <c r="I359" s="569" t="s">
        <v>876</v>
      </c>
      <c r="J359" s="569">
        <v>1</v>
      </c>
      <c r="K359" s="568" t="s">
        <v>437</v>
      </c>
      <c r="L359" s="570">
        <v>43866</v>
      </c>
      <c r="M359" s="581" t="s">
        <v>865</v>
      </c>
      <c r="N359" s="568" t="s">
        <v>554</v>
      </c>
      <c r="O359" s="569">
        <v>2020.01</v>
      </c>
      <c r="P359" s="571" t="str">
        <f>VLOOKUP(A359,'[1]Raw data'!$B:$BB,23,FALSE)</f>
        <v>JPY</v>
      </c>
      <c r="Q359" s="568" t="str">
        <f>VLOOKUP(A359,'[1]Raw data'!$B:$Z,2,FALSE)</f>
        <v>C49SZX20200030SX</v>
      </c>
      <c r="R359" s="568" t="str">
        <f>VLOOKUP(A359,'[1]Raw data'!$B:$Z,3,FALSE)</f>
        <v>顺弘</v>
      </c>
      <c r="S359" s="568" t="str">
        <f>VLOOKUP(A359,'[1]Raw data'!$B:$Z,4,FALSE)</f>
        <v>YSM20R(SV)-2</v>
      </c>
      <c r="T359" s="568" t="str">
        <f>VLOOKUP(A359,'[1]Raw data'!$B:$Z,8,FALSE)</f>
        <v>L-&gt;R</v>
      </c>
      <c r="U359" s="568" t="str">
        <f>VLOOKUP(A359,'[1]Raw data'!$B:$Z,9,FALSE)</f>
        <v>cATS10+MVC+special layout</v>
      </c>
      <c r="V359" s="572" t="str">
        <f t="shared" si="57"/>
        <v>OK</v>
      </c>
      <c r="W359" s="568" t="str">
        <f>VLOOKUP(A359,'[1]Raw data'!$B:$AG,32,FALSE)</f>
        <v>DAP DG</v>
      </c>
      <c r="X359" s="568">
        <f>VLOOKUP(A359,'[1]Raw data'!$B:$BA,31,FALSE)</f>
        <v>43911</v>
      </c>
      <c r="Y359" s="568" t="str">
        <f>VLOOKUP(A359,'[1]Raw data'!$B:$AS,39,FALSE)</f>
        <v>Yes</v>
      </c>
      <c r="AC359" s="568" t="s">
        <v>877</v>
      </c>
      <c r="AD359" s="576">
        <v>312</v>
      </c>
      <c r="AE359" s="576">
        <v>10</v>
      </c>
      <c r="AF359" s="576">
        <v>302</v>
      </c>
      <c r="AG359" s="576">
        <v>10</v>
      </c>
      <c r="AN359" s="547"/>
      <c r="AO359" s="829" t="str">
        <f t="shared" si="49"/>
        <v>Yes</v>
      </c>
      <c r="AP359" s="259" t="str">
        <f t="shared" si="50"/>
        <v>APR 20</v>
      </c>
      <c r="AQ359" s="547" t="str">
        <f t="shared" si="51"/>
        <v>有定金+有預留客戶</v>
      </c>
      <c r="AR359" s="259" t="str">
        <f t="shared" si="52"/>
        <v>Shipped_Stock</v>
      </c>
      <c r="AS359" s="259" t="str">
        <f t="shared" si="53"/>
        <v/>
      </c>
      <c r="AT359" s="259" t="str">
        <f t="shared" si="54"/>
        <v>顺弘</v>
      </c>
      <c r="AU359" s="259" t="str">
        <f t="shared" si="55"/>
        <v>C49SZX20200030SX</v>
      </c>
      <c r="AV359" s="259" t="str">
        <f t="shared" si="56"/>
        <v>Feb-05</v>
      </c>
    </row>
    <row r="360" spans="1:48" ht="15" hidden="1" customHeight="1">
      <c r="A360" s="604">
        <v>533</v>
      </c>
      <c r="B360" s="565" t="s">
        <v>280</v>
      </c>
      <c r="C360" s="565" t="s">
        <v>281</v>
      </c>
      <c r="D360" s="630">
        <v>109782</v>
      </c>
      <c r="E360" s="567" t="s">
        <v>878</v>
      </c>
      <c r="F360" s="568" t="s">
        <v>256</v>
      </c>
      <c r="G360" s="568" t="s">
        <v>24</v>
      </c>
      <c r="H360" s="568" t="s">
        <v>26</v>
      </c>
      <c r="I360" s="569" t="s">
        <v>879</v>
      </c>
      <c r="J360" s="576">
        <v>1</v>
      </c>
      <c r="K360" s="568" t="s">
        <v>388</v>
      </c>
      <c r="L360" s="570">
        <v>43877</v>
      </c>
      <c r="M360" s="581" t="s">
        <v>865</v>
      </c>
      <c r="N360" s="568" t="s">
        <v>789</v>
      </c>
      <c r="O360" s="569">
        <v>2020.01</v>
      </c>
      <c r="P360" s="571" t="str">
        <f>VLOOKUP(A360,'[1]Raw data'!$B:$BB,23,FALSE)</f>
        <v>JPY</v>
      </c>
      <c r="Q360" s="568" t="str">
        <f>VLOOKUP(A360,'[1]Raw data'!$B:$Z,2,FALSE)</f>
        <v>C49SZX20190141SS</v>
      </c>
      <c r="R360" s="568" t="str">
        <f>VLOOKUP(A360,'[1]Raw data'!$B:$Z,3,FALSE)</f>
        <v>博睿通</v>
      </c>
      <c r="S360" s="568" t="str">
        <f>VLOOKUP(A360,'[1]Raw data'!$B:$Z,4,FALSE)</f>
        <v>YSM20R(SV)-2</v>
      </c>
      <c r="T360" s="568" t="str">
        <f>VLOOKUP(A360,'[1]Raw data'!$B:$Z,8,FALSE)</f>
        <v>L-&gt;R</v>
      </c>
      <c r="U360" s="568" t="str">
        <f>VLOOKUP(A360,'[1]Raw data'!$B:$Z,9,FALSE)</f>
        <v>No</v>
      </c>
      <c r="V360" s="572" t="str">
        <f t="shared" si="57"/>
        <v>OK</v>
      </c>
      <c r="W360" s="568" t="str">
        <f>VLOOKUP(A360,'[1]Raw data'!$B:$AG,32,FALSE)</f>
        <v>CIF HK</v>
      </c>
      <c r="X360" s="568">
        <f>VLOOKUP(A360,'[1]Raw data'!$B:$BA,31,FALSE)</f>
        <v>43810</v>
      </c>
      <c r="Y360" s="568" t="str">
        <f>VLOOKUP(A360,'[1]Raw data'!$B:$AS,39,FALSE)</f>
        <v>Yes</v>
      </c>
      <c r="Z360" s="573"/>
      <c r="AA360" s="574"/>
      <c r="AB360" s="575"/>
      <c r="AC360" s="568" t="s">
        <v>678</v>
      </c>
      <c r="AD360" s="569">
        <v>301</v>
      </c>
      <c r="AE360" s="569">
        <v>20</v>
      </c>
      <c r="AF360" s="569"/>
      <c r="AG360" s="569"/>
      <c r="AH360" s="569"/>
      <c r="AI360" s="632"/>
      <c r="AJ360" s="569"/>
      <c r="AK360" s="569"/>
      <c r="AL360" s="569"/>
      <c r="AM360" s="569"/>
      <c r="AN360" s="547"/>
      <c r="AO360" s="829" t="str">
        <f t="shared" si="49"/>
        <v>Yes</v>
      </c>
      <c r="AP360" s="259" t="str">
        <f t="shared" si="50"/>
        <v>FEB 20</v>
      </c>
      <c r="AQ360" s="547" t="str">
        <f t="shared" si="51"/>
        <v>有定金+有預留客戶</v>
      </c>
      <c r="AR360" s="259" t="str">
        <f t="shared" si="52"/>
        <v>Shipped_Stock</v>
      </c>
      <c r="AS360" s="259" t="str">
        <f t="shared" si="53"/>
        <v/>
      </c>
      <c r="AT360" s="259" t="str">
        <f t="shared" si="54"/>
        <v>博睿通</v>
      </c>
      <c r="AU360" s="259" t="str">
        <f t="shared" si="55"/>
        <v>C49SZX20190141SS</v>
      </c>
      <c r="AV360" s="259" t="str">
        <f t="shared" si="56"/>
        <v>Feb-16</v>
      </c>
    </row>
    <row r="361" spans="1:48" ht="15" hidden="1" customHeight="1">
      <c r="A361" s="604">
        <v>534</v>
      </c>
      <c r="B361" s="565" t="s">
        <v>280</v>
      </c>
      <c r="C361" s="565" t="s">
        <v>281</v>
      </c>
      <c r="D361" s="630">
        <v>109782</v>
      </c>
      <c r="E361" s="567" t="s">
        <v>878</v>
      </c>
      <c r="F361" s="568" t="s">
        <v>256</v>
      </c>
      <c r="G361" s="568" t="s">
        <v>24</v>
      </c>
      <c r="H361" s="568" t="s">
        <v>26</v>
      </c>
      <c r="I361" s="569" t="s">
        <v>880</v>
      </c>
      <c r="J361" s="576">
        <v>1</v>
      </c>
      <c r="K361" s="568" t="s">
        <v>388</v>
      </c>
      <c r="L361" s="570">
        <v>43877</v>
      </c>
      <c r="M361" s="581" t="s">
        <v>865</v>
      </c>
      <c r="N361" s="568" t="s">
        <v>789</v>
      </c>
      <c r="O361" s="569">
        <v>2020.01</v>
      </c>
      <c r="P361" s="571" t="str">
        <f>VLOOKUP(A361,'[1]Raw data'!$B:$BB,23,FALSE)</f>
        <v>JPY</v>
      </c>
      <c r="Q361" s="568" t="str">
        <f>VLOOKUP(A361,'[1]Raw data'!$B:$Z,2,FALSE)</f>
        <v>C49SZX20190141SS</v>
      </c>
      <c r="R361" s="568" t="str">
        <f>VLOOKUP(A361,'[1]Raw data'!$B:$Z,3,FALSE)</f>
        <v>博睿通</v>
      </c>
      <c r="S361" s="568" t="str">
        <f>VLOOKUP(A361,'[1]Raw data'!$B:$Z,4,FALSE)</f>
        <v>YSM20R(SV)-2</v>
      </c>
      <c r="T361" s="568" t="str">
        <f>VLOOKUP(A361,'[1]Raw data'!$B:$Z,8,FALSE)</f>
        <v>L-&gt;R</v>
      </c>
      <c r="U361" s="568" t="str">
        <f>VLOOKUP(A361,'[1]Raw data'!$B:$Z,9,FALSE)</f>
        <v>No</v>
      </c>
      <c r="V361" s="572" t="str">
        <f t="shared" si="57"/>
        <v>OK</v>
      </c>
      <c r="W361" s="568" t="str">
        <f>VLOOKUP(A361,'[1]Raw data'!$B:$AG,32,FALSE)</f>
        <v>CIF HK</v>
      </c>
      <c r="X361" s="568">
        <f>VLOOKUP(A361,'[1]Raw data'!$B:$BA,31,FALSE)</f>
        <v>43810</v>
      </c>
      <c r="Y361" s="568" t="str">
        <f>VLOOKUP(A361,'[1]Raw data'!$B:$AS,39,FALSE)</f>
        <v>Yes</v>
      </c>
      <c r="Z361" s="573"/>
      <c r="AA361" s="574"/>
      <c r="AB361" s="575"/>
      <c r="AC361" s="568" t="s">
        <v>678</v>
      </c>
      <c r="AD361" s="569">
        <v>301</v>
      </c>
      <c r="AE361" s="569">
        <v>10</v>
      </c>
      <c r="AF361" s="569">
        <v>304</v>
      </c>
      <c r="AG361" s="569">
        <v>10</v>
      </c>
      <c r="AH361" s="569"/>
      <c r="AI361" s="632"/>
      <c r="AJ361" s="569"/>
      <c r="AK361" s="569"/>
      <c r="AL361" s="569"/>
      <c r="AM361" s="569"/>
      <c r="AN361" s="619"/>
      <c r="AO361" s="829" t="str">
        <f t="shared" si="49"/>
        <v>Yes</v>
      </c>
      <c r="AP361" s="259" t="str">
        <f t="shared" si="50"/>
        <v>FEB 20</v>
      </c>
      <c r="AQ361" s="547" t="str">
        <f t="shared" si="51"/>
        <v>有定金+有預留客戶</v>
      </c>
      <c r="AR361" s="259" t="str">
        <f t="shared" si="52"/>
        <v>Shipped_Stock</v>
      </c>
      <c r="AS361" s="259" t="str">
        <f t="shared" si="53"/>
        <v/>
      </c>
      <c r="AT361" s="259" t="str">
        <f t="shared" si="54"/>
        <v>博睿通</v>
      </c>
      <c r="AU361" s="259" t="str">
        <f t="shared" si="55"/>
        <v>C49SZX20190141SS</v>
      </c>
      <c r="AV361" s="259" t="str">
        <f t="shared" si="56"/>
        <v>Feb-16</v>
      </c>
    </row>
    <row r="362" spans="1:48" ht="15.75" hidden="1" customHeight="1" thickBot="1">
      <c r="A362" s="604">
        <v>535</v>
      </c>
      <c r="B362" s="565" t="s">
        <v>280</v>
      </c>
      <c r="C362" s="565" t="s">
        <v>281</v>
      </c>
      <c r="D362" s="629">
        <v>109782</v>
      </c>
      <c r="E362" s="567" t="s">
        <v>878</v>
      </c>
      <c r="F362" s="568" t="s">
        <v>256</v>
      </c>
      <c r="G362" s="568" t="s">
        <v>24</v>
      </c>
      <c r="H362" s="568" t="s">
        <v>26</v>
      </c>
      <c r="I362" s="569" t="s">
        <v>881</v>
      </c>
      <c r="J362" s="576">
        <v>1</v>
      </c>
      <c r="K362" s="568" t="s">
        <v>388</v>
      </c>
      <c r="L362" s="570">
        <v>43877</v>
      </c>
      <c r="M362" s="581" t="s">
        <v>865</v>
      </c>
      <c r="N362" s="568" t="s">
        <v>789</v>
      </c>
      <c r="O362" s="569">
        <v>2020.01</v>
      </c>
      <c r="P362" s="571" t="str">
        <f>VLOOKUP(A362,'[1]Raw data'!$B:$BB,23,FALSE)</f>
        <v>JPY</v>
      </c>
      <c r="Q362" s="568" t="str">
        <f>VLOOKUP(A362,'[1]Raw data'!$B:$Z,2,FALSE)</f>
        <v>C49SZX20190141SS</v>
      </c>
      <c r="R362" s="568" t="str">
        <f>VLOOKUP(A362,'[1]Raw data'!$B:$Z,3,FALSE)</f>
        <v>博睿通</v>
      </c>
      <c r="S362" s="568" t="str">
        <f>VLOOKUP(A362,'[1]Raw data'!$B:$Z,4,FALSE)</f>
        <v>YSM20R(SV)-2</v>
      </c>
      <c r="T362" s="568" t="str">
        <f>VLOOKUP(A362,'[1]Raw data'!$B:$Z,8,FALSE)</f>
        <v>L-&gt;R</v>
      </c>
      <c r="U362" s="568" t="str">
        <f>VLOOKUP(A362,'[1]Raw data'!$B:$Z,9,FALSE)</f>
        <v>No</v>
      </c>
      <c r="V362" s="572" t="str">
        <f t="shared" si="57"/>
        <v>OK</v>
      </c>
      <c r="W362" s="568" t="str">
        <f>VLOOKUP(A362,'[1]Raw data'!$B:$AG,32,FALSE)</f>
        <v>CIF HK</v>
      </c>
      <c r="X362" s="568">
        <f>VLOOKUP(A362,'[1]Raw data'!$B:$BA,31,FALSE)</f>
        <v>43810</v>
      </c>
      <c r="Y362" s="568" t="str">
        <f>VLOOKUP(A362,'[1]Raw data'!$B:$AS,39,FALSE)</f>
        <v>Yes</v>
      </c>
      <c r="Z362" s="573"/>
      <c r="AA362" s="574"/>
      <c r="AB362" s="575"/>
      <c r="AC362" s="568" t="s">
        <v>678</v>
      </c>
      <c r="AD362" s="569">
        <v>301</v>
      </c>
      <c r="AE362" s="569">
        <v>10</v>
      </c>
      <c r="AF362" s="569">
        <v>302</v>
      </c>
      <c r="AG362" s="569">
        <v>10</v>
      </c>
      <c r="AH362" s="569"/>
      <c r="AI362" s="632"/>
      <c r="AJ362" s="569"/>
      <c r="AK362" s="569"/>
      <c r="AL362" s="569"/>
      <c r="AM362" s="569"/>
      <c r="AN362" s="547"/>
      <c r="AO362" s="829" t="str">
        <f t="shared" si="49"/>
        <v>Yes</v>
      </c>
      <c r="AP362" s="259" t="str">
        <f t="shared" si="50"/>
        <v>FEB 20</v>
      </c>
      <c r="AQ362" s="547" t="str">
        <f t="shared" si="51"/>
        <v>有定金+有預留客戶</v>
      </c>
      <c r="AR362" s="259" t="str">
        <f t="shared" si="52"/>
        <v>Shipped_Stock</v>
      </c>
      <c r="AS362" s="259" t="str">
        <f t="shared" si="53"/>
        <v/>
      </c>
      <c r="AT362" s="259" t="str">
        <f t="shared" si="54"/>
        <v>博睿通</v>
      </c>
      <c r="AU362" s="259" t="str">
        <f t="shared" si="55"/>
        <v>C49SZX20190141SS</v>
      </c>
      <c r="AV362" s="259" t="str">
        <f t="shared" si="56"/>
        <v>Feb-16</v>
      </c>
    </row>
    <row r="363" spans="1:48" ht="15" hidden="1" customHeight="1">
      <c r="A363" s="604">
        <v>536</v>
      </c>
      <c r="B363" s="565" t="s">
        <v>280</v>
      </c>
      <c r="C363" s="565" t="s">
        <v>281</v>
      </c>
      <c r="D363" s="628">
        <v>109782</v>
      </c>
      <c r="E363" s="567" t="s">
        <v>878</v>
      </c>
      <c r="F363" s="568" t="s">
        <v>256</v>
      </c>
      <c r="G363" s="568" t="s">
        <v>24</v>
      </c>
      <c r="H363" s="568" t="s">
        <v>26</v>
      </c>
      <c r="I363" s="569" t="s">
        <v>882</v>
      </c>
      <c r="J363" s="576">
        <v>1</v>
      </c>
      <c r="K363" s="568" t="s">
        <v>388</v>
      </c>
      <c r="L363" s="570">
        <v>43877</v>
      </c>
      <c r="M363" s="581" t="s">
        <v>865</v>
      </c>
      <c r="N363" s="568" t="s">
        <v>789</v>
      </c>
      <c r="O363" s="569">
        <v>2020.01</v>
      </c>
      <c r="P363" s="571" t="str">
        <f>VLOOKUP(A363,'[1]Raw data'!$B:$BB,23,FALSE)</f>
        <v>JPY</v>
      </c>
      <c r="Q363" s="568" t="str">
        <f>VLOOKUP(A363,'[1]Raw data'!$B:$Z,2,FALSE)</f>
        <v>C49SZX20190141SS</v>
      </c>
      <c r="R363" s="568" t="str">
        <f>VLOOKUP(A363,'[1]Raw data'!$B:$Z,3,FALSE)</f>
        <v>博睿通</v>
      </c>
      <c r="S363" s="568" t="str">
        <f>VLOOKUP(A363,'[1]Raw data'!$B:$Z,4,FALSE)</f>
        <v>YSM20R(SV)-2</v>
      </c>
      <c r="T363" s="568" t="str">
        <f>VLOOKUP(A363,'[1]Raw data'!$B:$Z,8,FALSE)</f>
        <v>L-&gt;R</v>
      </c>
      <c r="U363" s="568" t="str">
        <f>VLOOKUP(A363,'[1]Raw data'!$B:$Z,9,FALSE)</f>
        <v>No</v>
      </c>
      <c r="V363" s="572" t="str">
        <f t="shared" si="57"/>
        <v>OK</v>
      </c>
      <c r="W363" s="568" t="str">
        <f>VLOOKUP(A363,'[1]Raw data'!$B:$AG,32,FALSE)</f>
        <v>CIF HK</v>
      </c>
      <c r="X363" s="568">
        <f>VLOOKUP(A363,'[1]Raw data'!$B:$BA,31,FALSE)</f>
        <v>43810</v>
      </c>
      <c r="Y363" s="568" t="str">
        <f>VLOOKUP(A363,'[1]Raw data'!$B:$AS,39,FALSE)</f>
        <v>Yes</v>
      </c>
      <c r="Z363" s="573"/>
      <c r="AA363" s="574"/>
      <c r="AB363" s="575"/>
      <c r="AC363" s="568" t="s">
        <v>678</v>
      </c>
      <c r="AD363" s="569">
        <v>301</v>
      </c>
      <c r="AE363" s="569">
        <v>10</v>
      </c>
      <c r="AF363" s="569">
        <v>303</v>
      </c>
      <c r="AG363" s="569">
        <v>10</v>
      </c>
      <c r="AH363" s="569"/>
      <c r="AI363" s="632"/>
      <c r="AJ363" s="569"/>
      <c r="AK363" s="569"/>
      <c r="AL363" s="569"/>
      <c r="AM363" s="569"/>
      <c r="AN363" s="547"/>
      <c r="AO363" s="829" t="str">
        <f t="shared" si="49"/>
        <v>Yes</v>
      </c>
      <c r="AP363" s="259" t="str">
        <f t="shared" si="50"/>
        <v>FEB 20</v>
      </c>
      <c r="AQ363" s="547" t="str">
        <f t="shared" si="51"/>
        <v>有定金+有預留客戶</v>
      </c>
      <c r="AR363" s="259" t="str">
        <f t="shared" si="52"/>
        <v>Shipped_Stock</v>
      </c>
      <c r="AS363" s="259" t="str">
        <f t="shared" si="53"/>
        <v/>
      </c>
      <c r="AT363" s="259" t="str">
        <f t="shared" si="54"/>
        <v>博睿通</v>
      </c>
      <c r="AU363" s="259" t="str">
        <f t="shared" si="55"/>
        <v>C49SZX20190141SS</v>
      </c>
      <c r="AV363" s="259" t="str">
        <f t="shared" si="56"/>
        <v>Feb-16</v>
      </c>
    </row>
    <row r="364" spans="1:48" ht="15" hidden="1" customHeight="1">
      <c r="A364" s="604">
        <v>537</v>
      </c>
      <c r="B364" s="565" t="s">
        <v>280</v>
      </c>
      <c r="C364" s="565" t="s">
        <v>281</v>
      </c>
      <c r="D364" s="630">
        <v>109782</v>
      </c>
      <c r="E364" s="567" t="s">
        <v>878</v>
      </c>
      <c r="F364" s="568" t="s">
        <v>256</v>
      </c>
      <c r="G364" s="568" t="s">
        <v>18</v>
      </c>
      <c r="H364" s="568" t="s">
        <v>26</v>
      </c>
      <c r="I364" s="569" t="s">
        <v>883</v>
      </c>
      <c r="J364" s="576">
        <v>1</v>
      </c>
      <c r="K364" s="568" t="s">
        <v>388</v>
      </c>
      <c r="L364" s="570">
        <v>43877</v>
      </c>
      <c r="M364" s="581" t="s">
        <v>865</v>
      </c>
      <c r="N364" s="568" t="s">
        <v>789</v>
      </c>
      <c r="O364" s="569">
        <v>2020.01</v>
      </c>
      <c r="P364" s="571" t="str">
        <f>VLOOKUP(A364,'[1]Raw data'!$B:$BB,23,FALSE)</f>
        <v>JPY</v>
      </c>
      <c r="Q364" s="568" t="str">
        <f>VLOOKUP(A364,'[1]Raw data'!$B:$Z,2,FALSE)</f>
        <v>C49SZX20190141SS</v>
      </c>
      <c r="R364" s="568" t="str">
        <f>VLOOKUP(A364,'[1]Raw data'!$B:$Z,3,FALSE)</f>
        <v>博睿通</v>
      </c>
      <c r="S364" s="568" t="str">
        <f>VLOOKUP(A364,'[1]Raw data'!$B:$Z,4,FALSE)</f>
        <v>YSM20R(SV)-2</v>
      </c>
      <c r="T364" s="568" t="str">
        <f>VLOOKUP(A364,'[1]Raw data'!$B:$Z,8,FALSE)</f>
        <v>R-&gt;L</v>
      </c>
      <c r="U364" s="568" t="str">
        <f>VLOOKUP(A364,'[1]Raw data'!$B:$Z,9,FALSE)</f>
        <v>No</v>
      </c>
      <c r="V364" s="572" t="str">
        <f t="shared" si="57"/>
        <v>OK</v>
      </c>
      <c r="W364" s="568" t="str">
        <f>VLOOKUP(A364,'[1]Raw data'!$B:$AG,32,FALSE)</f>
        <v>CIF HK</v>
      </c>
      <c r="X364" s="568">
        <f>VLOOKUP(A364,'[1]Raw data'!$B:$BA,31,FALSE)</f>
        <v>43810</v>
      </c>
      <c r="Y364" s="568" t="str">
        <f>VLOOKUP(A364,'[1]Raw data'!$B:$AS,39,FALSE)</f>
        <v>Yes</v>
      </c>
      <c r="Z364" s="573"/>
      <c r="AA364" s="574"/>
      <c r="AB364" s="575"/>
      <c r="AC364" s="568" t="s">
        <v>678</v>
      </c>
      <c r="AD364" s="569">
        <v>301</v>
      </c>
      <c r="AE364" s="569">
        <v>10</v>
      </c>
      <c r="AF364" s="569">
        <v>304</v>
      </c>
      <c r="AG364" s="569">
        <v>10</v>
      </c>
      <c r="AH364" s="569"/>
      <c r="AI364" s="632"/>
      <c r="AJ364" s="569"/>
      <c r="AK364" s="569"/>
      <c r="AL364" s="569"/>
      <c r="AM364" s="569"/>
      <c r="AN364" s="547"/>
      <c r="AO364" s="829" t="str">
        <f t="shared" si="49"/>
        <v>Yes</v>
      </c>
      <c r="AP364" s="259" t="str">
        <f t="shared" si="50"/>
        <v>FEB 20</v>
      </c>
      <c r="AQ364" s="547" t="str">
        <f t="shared" si="51"/>
        <v>有定金+有預留客戶</v>
      </c>
      <c r="AR364" s="259" t="str">
        <f t="shared" si="52"/>
        <v>Shipped_Stock</v>
      </c>
      <c r="AS364" s="259" t="str">
        <f t="shared" si="53"/>
        <v/>
      </c>
      <c r="AT364" s="259" t="str">
        <f t="shared" si="54"/>
        <v>博睿通</v>
      </c>
      <c r="AU364" s="259" t="str">
        <f t="shared" si="55"/>
        <v>C49SZX20190141SS</v>
      </c>
      <c r="AV364" s="259" t="str">
        <f t="shared" si="56"/>
        <v>Feb-16</v>
      </c>
    </row>
    <row r="365" spans="1:48" ht="22.5" hidden="1">
      <c r="A365" s="604">
        <v>543</v>
      </c>
      <c r="B365" s="565" t="s">
        <v>280</v>
      </c>
      <c r="C365" s="565" t="s">
        <v>281</v>
      </c>
      <c r="D365" s="630">
        <v>109714</v>
      </c>
      <c r="E365" s="567" t="s">
        <v>884</v>
      </c>
      <c r="F365" s="568" t="s">
        <v>17</v>
      </c>
      <c r="G365" s="568" t="s">
        <v>18</v>
      </c>
      <c r="H365" s="568" t="s">
        <v>27</v>
      </c>
      <c r="I365" s="569" t="s">
        <v>885</v>
      </c>
      <c r="J365" s="576">
        <v>1</v>
      </c>
      <c r="K365" s="568" t="s">
        <v>388</v>
      </c>
      <c r="L365" s="570">
        <v>43883</v>
      </c>
      <c r="M365" s="620" t="s">
        <v>830</v>
      </c>
      <c r="N365" s="568" t="s">
        <v>789</v>
      </c>
      <c r="O365" s="568"/>
      <c r="P365" s="571" t="str">
        <f>VLOOKUP(A365,'[1]Raw data'!$B:$BB,23,FALSE)</f>
        <v>JPY</v>
      </c>
      <c r="Q365" s="568" t="str">
        <f>VLOOKUP(A365,'[1]Raw data'!$B:$Z,2,FALSE)</f>
        <v>C49SZX20190141SS</v>
      </c>
      <c r="R365" s="568" t="str">
        <f>VLOOKUP(A365,'[1]Raw data'!$B:$Z,3,FALSE)</f>
        <v>博睿通</v>
      </c>
      <c r="S365" s="568" t="str">
        <f>VLOOKUP(A365,'[1]Raw data'!$B:$Z,4,FALSE)</f>
        <v>YSM10</v>
      </c>
      <c r="T365" s="568" t="str">
        <f>VLOOKUP(A365,'[1]Raw data'!$B:$Z,8,FALSE)</f>
        <v>R-&gt;L</v>
      </c>
      <c r="U365" s="568" t="str">
        <f>VLOOKUP(A365,'[1]Raw data'!$B:$Z,9,FALSE)</f>
        <v>MVC</v>
      </c>
      <c r="V365" s="572" t="str">
        <f t="shared" si="57"/>
        <v>OK</v>
      </c>
      <c r="W365" s="568" t="str">
        <f>VLOOKUP(A365,'[1]Raw data'!$B:$AG,32,FALSE)</f>
        <v>CIF HK</v>
      </c>
      <c r="X365" s="568">
        <f>VLOOKUP(A365,'[1]Raw data'!$B:$BA,31,FALSE)</f>
        <v>43810</v>
      </c>
      <c r="Y365" s="568" t="str">
        <f>VLOOKUP(A365,'[1]Raw data'!$B:$AS,39,FALSE)</f>
        <v>Yes</v>
      </c>
      <c r="Z365" s="573"/>
      <c r="AA365" s="574"/>
      <c r="AB365" s="575"/>
      <c r="AC365" s="568" t="s">
        <v>831</v>
      </c>
      <c r="AD365" s="569">
        <v>303</v>
      </c>
      <c r="AE365" s="569">
        <v>10</v>
      </c>
      <c r="AF365" s="569">
        <v>302</v>
      </c>
      <c r="AG365" s="569">
        <v>10</v>
      </c>
      <c r="AH365" s="569"/>
      <c r="AI365" s="632"/>
      <c r="AJ365" s="569"/>
      <c r="AK365" s="569"/>
      <c r="AL365" s="569"/>
      <c r="AM365" s="569"/>
      <c r="AN365" s="547"/>
      <c r="AO365" s="829" t="str">
        <f t="shared" si="49"/>
        <v>Yes</v>
      </c>
      <c r="AP365" s="259" t="str">
        <f t="shared" si="50"/>
        <v>FEB 20</v>
      </c>
      <c r="AQ365" s="547" t="str">
        <f t="shared" si="51"/>
        <v>有定金+有預留客戶</v>
      </c>
      <c r="AR365" s="259" t="str">
        <f t="shared" si="52"/>
        <v>Shipped_Stock</v>
      </c>
      <c r="AS365" s="259" t="str">
        <f t="shared" si="53"/>
        <v/>
      </c>
      <c r="AT365" s="259" t="str">
        <f t="shared" si="54"/>
        <v>博睿通</v>
      </c>
      <c r="AU365" s="259" t="str">
        <f t="shared" si="55"/>
        <v>C49SZX20190141SS</v>
      </c>
      <c r="AV365" s="259" t="str">
        <f t="shared" si="56"/>
        <v>Feb-22</v>
      </c>
    </row>
    <row r="366" spans="1:48" ht="23.25" hidden="1" thickBot="1">
      <c r="A366" s="604">
        <v>471</v>
      </c>
      <c r="B366" s="565" t="s">
        <v>280</v>
      </c>
      <c r="C366" s="565" t="s">
        <v>281</v>
      </c>
      <c r="D366" s="629">
        <v>109815</v>
      </c>
      <c r="E366" s="567" t="s">
        <v>886</v>
      </c>
      <c r="F366" s="568" t="s">
        <v>17</v>
      </c>
      <c r="G366" s="568" t="s">
        <v>18</v>
      </c>
      <c r="H366" s="568" t="s">
        <v>26</v>
      </c>
      <c r="I366" s="569" t="s">
        <v>887</v>
      </c>
      <c r="J366" s="569">
        <v>1</v>
      </c>
      <c r="K366" s="568" t="s">
        <v>295</v>
      </c>
      <c r="L366" s="570">
        <v>43901</v>
      </c>
      <c r="M366" s="620" t="s">
        <v>888</v>
      </c>
      <c r="N366" s="568" t="s">
        <v>554</v>
      </c>
      <c r="O366" s="568">
        <v>2020.02</v>
      </c>
      <c r="P366" s="571" t="str">
        <f>VLOOKUP(A366,'[1]Raw data'!$B:$BB,23,FALSE)</f>
        <v>RMB</v>
      </c>
      <c r="Q366" s="568" t="str">
        <f>VLOOKUP(A366,'[1]Raw data'!$B:$Z,2,FALSE)</f>
        <v>C49SZX20190116CX</v>
      </c>
      <c r="R366" s="568" t="str">
        <f>VLOOKUP(A366,'[1]Raw data'!$B:$Z,3,FALSE)</f>
        <v>豪恩</v>
      </c>
      <c r="S366" s="568" t="str">
        <f>VLOOKUP(A366,'[1]Raw data'!$B:$Z,4,FALSE)</f>
        <v>YSM10</v>
      </c>
      <c r="T366" s="568" t="str">
        <f>VLOOKUP(A366,'[1]Raw data'!$B:$Z,8,FALSE)</f>
        <v>R-&gt;L</v>
      </c>
      <c r="U366" s="568" t="str">
        <f>VLOOKUP(A366,'[1]Raw data'!$B:$Z,9,FALSE)</f>
        <v>MVC</v>
      </c>
      <c r="V366" s="572" t="str">
        <f t="shared" si="57"/>
        <v>WRONG</v>
      </c>
      <c r="W366" s="568" t="str">
        <f>VLOOKUP(A366,'[1]Raw data'!$B:$AG,32,FALSE)</f>
        <v>含税到厂</v>
      </c>
      <c r="X366" s="568">
        <f>VLOOKUP(A366,'[1]Raw data'!$B:$BA,31,FALSE)</f>
        <v>43760</v>
      </c>
      <c r="Y366" s="568" t="str">
        <f>VLOOKUP(A366,'[1]Raw data'!$B:$AS,39,FALSE)</f>
        <v>Yes</v>
      </c>
      <c r="AC366" s="568" t="s">
        <v>813</v>
      </c>
      <c r="AD366" s="569">
        <v>301</v>
      </c>
      <c r="AE366" s="569">
        <v>10</v>
      </c>
      <c r="AF366" s="569"/>
      <c r="AG366" s="569"/>
      <c r="AH366" s="569"/>
      <c r="AI366" s="632"/>
      <c r="AJ366" s="569"/>
      <c r="AK366" s="569"/>
      <c r="AL366" s="569"/>
      <c r="AM366" s="569"/>
      <c r="AN366" s="619"/>
      <c r="AO366" s="829" t="str">
        <f t="shared" si="49"/>
        <v>Yes</v>
      </c>
      <c r="AP366" s="259" t="str">
        <f t="shared" si="50"/>
        <v>APR 20</v>
      </c>
      <c r="AQ366" s="547" t="str">
        <f t="shared" si="51"/>
        <v>有定金+有預留客戶</v>
      </c>
      <c r="AR366" s="259" t="str">
        <f t="shared" si="52"/>
        <v>Shipped_Stock</v>
      </c>
      <c r="AS366" s="259" t="str">
        <f t="shared" si="53"/>
        <v/>
      </c>
      <c r="AT366" s="259" t="str">
        <f t="shared" si="54"/>
        <v>豪恩</v>
      </c>
      <c r="AU366" s="259" t="str">
        <f t="shared" si="55"/>
        <v>C49SZX20190116CX</v>
      </c>
      <c r="AV366" s="259" t="str">
        <f t="shared" si="56"/>
        <v>Mar-11</v>
      </c>
    </row>
    <row r="367" spans="1:48" hidden="1">
      <c r="A367" s="604">
        <v>558</v>
      </c>
      <c r="B367" s="565" t="s">
        <v>280</v>
      </c>
      <c r="C367" s="565" t="s">
        <v>281</v>
      </c>
      <c r="D367" s="628">
        <v>109793</v>
      </c>
      <c r="E367" s="567" t="s">
        <v>889</v>
      </c>
      <c r="F367" s="568" t="s">
        <v>149</v>
      </c>
      <c r="G367" s="568" t="s">
        <v>18</v>
      </c>
      <c r="H367" s="568" t="s">
        <v>307</v>
      </c>
      <c r="I367" s="569" t="s">
        <v>890</v>
      </c>
      <c r="J367" s="569">
        <v>1</v>
      </c>
      <c r="K367" s="568" t="s">
        <v>295</v>
      </c>
      <c r="L367" s="570">
        <v>43901</v>
      </c>
      <c r="M367" s="581">
        <v>6.4000000000000001E-2</v>
      </c>
      <c r="N367" s="568" t="s">
        <v>785</v>
      </c>
      <c r="O367" s="568">
        <v>2020.02</v>
      </c>
      <c r="P367" s="571" t="str">
        <f>VLOOKUP(A367,'[1]Raw data'!$B:$BB,23,FALSE)</f>
        <v>RMB</v>
      </c>
      <c r="Q367" s="568" t="str">
        <f>VLOOKUP(A367,'[1]Raw data'!$B:$Z,2,FALSE)</f>
        <v>C49SZX20190186SS</v>
      </c>
      <c r="R367" s="568" t="str">
        <f>VLOOKUP(A367,'[1]Raw data'!$B:$Z,3,FALSE)</f>
        <v>龙大光电</v>
      </c>
      <c r="S367" s="568" t="str">
        <f>VLOOKUP(A367,'[1]Raw data'!$B:$Z,4,FALSE)</f>
        <v>YSM40R-4</v>
      </c>
      <c r="T367" s="568" t="str">
        <f>VLOOKUP(A367,'[1]Raw data'!$B:$Z,8,FALSE)</f>
        <v>R-&gt;L</v>
      </c>
      <c r="U367" s="568" t="str">
        <f>VLOOKUP(A367,'[1]Raw data'!$B:$Z,9,FALSE)</f>
        <v>No</v>
      </c>
      <c r="V367" s="572" t="str">
        <f t="shared" si="57"/>
        <v>OK</v>
      </c>
      <c r="W367" s="568" t="str">
        <f>VLOOKUP(A367,'[1]Raw data'!$B:$AG,32,FALSE)</f>
        <v>含税到厂</v>
      </c>
      <c r="X367" s="568">
        <f>VLOOKUP(A367,'[1]Raw data'!$B:$BA,31,FALSE)</f>
        <v>43818</v>
      </c>
      <c r="Y367" s="568" t="str">
        <f>VLOOKUP(A367,'[1]Raw data'!$B:$AS,39,FALSE)</f>
        <v>Yes</v>
      </c>
      <c r="AC367" s="568" t="s">
        <v>891</v>
      </c>
      <c r="AD367" s="569"/>
      <c r="AE367" s="569"/>
      <c r="AF367" s="569"/>
      <c r="AG367" s="569"/>
      <c r="AH367" s="569"/>
      <c r="AI367" s="632"/>
      <c r="AJ367" s="569"/>
      <c r="AK367" s="569"/>
      <c r="AL367" s="569"/>
      <c r="AM367" s="569"/>
      <c r="AN367" s="619"/>
      <c r="AO367" s="829" t="str">
        <f t="shared" si="49"/>
        <v>Yes</v>
      </c>
      <c r="AP367" s="259" t="str">
        <f t="shared" si="50"/>
        <v>MAR 20</v>
      </c>
      <c r="AQ367" s="547" t="str">
        <f t="shared" si="51"/>
        <v>有定金+有預留客戶</v>
      </c>
      <c r="AR367" s="259" t="str">
        <f t="shared" si="52"/>
        <v>Shipped_Stock</v>
      </c>
      <c r="AS367" s="259" t="str">
        <f t="shared" si="53"/>
        <v/>
      </c>
      <c r="AT367" s="259" t="str">
        <f t="shared" si="54"/>
        <v>龙大光电</v>
      </c>
      <c r="AU367" s="259" t="str">
        <f t="shared" si="55"/>
        <v>C49SZX20190186SS</v>
      </c>
      <c r="AV367" s="259" t="str">
        <f t="shared" si="56"/>
        <v>Mar-11</v>
      </c>
    </row>
    <row r="368" spans="1:48" ht="15" hidden="1" customHeight="1">
      <c r="A368" s="604">
        <v>559</v>
      </c>
      <c r="B368" s="565" t="s">
        <v>280</v>
      </c>
      <c r="C368" s="565" t="s">
        <v>281</v>
      </c>
      <c r="D368" s="630">
        <v>109793</v>
      </c>
      <c r="E368" s="567" t="s">
        <v>889</v>
      </c>
      <c r="F368" s="568" t="s">
        <v>149</v>
      </c>
      <c r="G368" s="568" t="s">
        <v>18</v>
      </c>
      <c r="H368" s="568" t="s">
        <v>307</v>
      </c>
      <c r="I368" s="569" t="s">
        <v>892</v>
      </c>
      <c r="J368" s="569">
        <v>1</v>
      </c>
      <c r="K368" s="568" t="s">
        <v>295</v>
      </c>
      <c r="L368" s="570">
        <v>43901</v>
      </c>
      <c r="M368" s="581">
        <v>6.4000000000000001E-2</v>
      </c>
      <c r="N368" s="568" t="s">
        <v>785</v>
      </c>
      <c r="O368" s="568">
        <v>2020.02</v>
      </c>
      <c r="P368" s="571" t="str">
        <f>VLOOKUP(A368,'[1]Raw data'!$B:$BB,23,FALSE)</f>
        <v>RMB</v>
      </c>
      <c r="Q368" s="568" t="str">
        <f>VLOOKUP(A368,'[1]Raw data'!$B:$Z,2,FALSE)</f>
        <v>C49SZX20190186SS</v>
      </c>
      <c r="R368" s="568" t="str">
        <f>VLOOKUP(A368,'[1]Raw data'!$B:$Z,3,FALSE)</f>
        <v>龙大光电</v>
      </c>
      <c r="S368" s="568" t="str">
        <f>VLOOKUP(A368,'[1]Raw data'!$B:$Z,4,FALSE)</f>
        <v>YSM40R-4</v>
      </c>
      <c r="T368" s="568" t="str">
        <f>VLOOKUP(A368,'[1]Raw data'!$B:$Z,8,FALSE)</f>
        <v>R-&gt;L</v>
      </c>
      <c r="U368" s="568" t="str">
        <f>VLOOKUP(A368,'[1]Raw data'!$B:$Z,9,FALSE)</f>
        <v>No</v>
      </c>
      <c r="V368" s="572" t="str">
        <f t="shared" si="57"/>
        <v>OK</v>
      </c>
      <c r="W368" s="568" t="str">
        <f>VLOOKUP(A368,'[1]Raw data'!$B:$AG,32,FALSE)</f>
        <v>含税到厂</v>
      </c>
      <c r="X368" s="568">
        <f>VLOOKUP(A368,'[1]Raw data'!$B:$BA,31,FALSE)</f>
        <v>43818</v>
      </c>
      <c r="Y368" s="568" t="str">
        <f>VLOOKUP(A368,'[1]Raw data'!$B:$AS,39,FALSE)</f>
        <v>Yes</v>
      </c>
      <c r="AC368" s="568" t="s">
        <v>891</v>
      </c>
      <c r="AD368" s="569"/>
      <c r="AE368" s="569"/>
      <c r="AF368" s="569"/>
      <c r="AG368" s="569"/>
      <c r="AH368" s="569"/>
      <c r="AI368" s="632"/>
      <c r="AJ368" s="569"/>
      <c r="AK368" s="569"/>
      <c r="AL368" s="569"/>
      <c r="AM368" s="569"/>
      <c r="AN368" s="619"/>
      <c r="AO368" s="829" t="str">
        <f t="shared" si="49"/>
        <v>Yes</v>
      </c>
      <c r="AP368" s="259" t="str">
        <f t="shared" si="50"/>
        <v>MAR 20</v>
      </c>
      <c r="AQ368" s="547" t="str">
        <f t="shared" si="51"/>
        <v>有定金+有預留客戶</v>
      </c>
      <c r="AR368" s="259" t="str">
        <f t="shared" si="52"/>
        <v>Shipped_Stock</v>
      </c>
      <c r="AS368" s="259" t="str">
        <f t="shared" si="53"/>
        <v/>
      </c>
      <c r="AT368" s="259" t="str">
        <f t="shared" si="54"/>
        <v>龙大光电</v>
      </c>
      <c r="AU368" s="259" t="str">
        <f t="shared" si="55"/>
        <v>C49SZX20190186SS</v>
      </c>
      <c r="AV368" s="259" t="str">
        <f t="shared" si="56"/>
        <v>Mar-11</v>
      </c>
    </row>
    <row r="369" spans="1:48" ht="33.75" hidden="1">
      <c r="A369" s="564">
        <v>591</v>
      </c>
      <c r="B369" s="565" t="s">
        <v>280</v>
      </c>
      <c r="C369" s="565" t="s">
        <v>281</v>
      </c>
      <c r="D369" s="630">
        <v>109815</v>
      </c>
      <c r="E369" s="567" t="s">
        <v>886</v>
      </c>
      <c r="F369" s="568" t="s">
        <v>17</v>
      </c>
      <c r="G369" s="568" t="s">
        <v>18</v>
      </c>
      <c r="H369" s="568" t="s">
        <v>26</v>
      </c>
      <c r="I369" s="569" t="s">
        <v>893</v>
      </c>
      <c r="J369" s="569">
        <v>1</v>
      </c>
      <c r="K369" s="568" t="s">
        <v>437</v>
      </c>
      <c r="L369" s="570">
        <v>43901</v>
      </c>
      <c r="M369" s="620" t="s">
        <v>894</v>
      </c>
      <c r="N369" s="568" t="s">
        <v>554</v>
      </c>
      <c r="O369" s="568">
        <v>2020.02</v>
      </c>
      <c r="P369" s="571" t="str">
        <f>VLOOKUP(A369,'[1]Raw data'!$B:$BB,23,FALSE)</f>
        <v>JPY</v>
      </c>
      <c r="Q369" s="568" t="str">
        <f>VLOOKUP(A369,'[1]Raw data'!$B:$Z,2,FALSE)</f>
        <v>C49SZX20200023SX</v>
      </c>
      <c r="R369" s="568" t="str">
        <f>VLOOKUP(A369,'[1]Raw data'!$B:$Z,3,FALSE)</f>
        <v>奕东</v>
      </c>
      <c r="S369" s="568" t="str">
        <f>VLOOKUP(A369,'[1]Raw data'!$B:$Z,4,FALSE)</f>
        <v>YSM10</v>
      </c>
      <c r="T369" s="568" t="str">
        <f>VLOOKUP(A369,'[1]Raw data'!$B:$Z,8,FALSE)</f>
        <v>R-&gt;L</v>
      </c>
      <c r="U369" s="568" t="str">
        <f>VLOOKUP(A369,'[1]Raw data'!$B:$Z,9,FALSE)</f>
        <v>No</v>
      </c>
      <c r="V369" s="572" t="str">
        <f t="shared" si="57"/>
        <v>OK</v>
      </c>
      <c r="W369" s="568" t="str">
        <f>VLOOKUP(A369,'[1]Raw data'!$B:$AG,32,FALSE)</f>
        <v>DAP DG</v>
      </c>
      <c r="X369" s="568">
        <f>VLOOKUP(A369,'[1]Raw data'!$B:$BA,31,FALSE)</f>
        <v>43924</v>
      </c>
      <c r="Y369" s="568" t="str">
        <f>VLOOKUP(A369,'[1]Raw data'!$B:$AS,39,FALSE)</f>
        <v>Yes</v>
      </c>
      <c r="AC369" s="568" t="s">
        <v>895</v>
      </c>
      <c r="AD369" s="576">
        <v>302</v>
      </c>
      <c r="AE369" s="576">
        <v>10</v>
      </c>
      <c r="AN369" s="619"/>
      <c r="AO369" s="829" t="str">
        <f t="shared" si="49"/>
        <v>Yes</v>
      </c>
      <c r="AP369" s="259" t="str">
        <f t="shared" si="50"/>
        <v>APR 20</v>
      </c>
      <c r="AQ369" s="547" t="str">
        <f t="shared" si="51"/>
        <v>有定金+有預留客戶</v>
      </c>
      <c r="AR369" s="259" t="str">
        <f t="shared" si="52"/>
        <v>Shipped_Stock</v>
      </c>
      <c r="AS369" s="259" t="str">
        <f t="shared" si="53"/>
        <v/>
      </c>
      <c r="AT369" s="259" t="str">
        <f t="shared" si="54"/>
        <v>奕东</v>
      </c>
      <c r="AU369" s="259" t="str">
        <f t="shared" si="55"/>
        <v>C49SZX20200023SX</v>
      </c>
      <c r="AV369" s="259" t="str">
        <f t="shared" si="56"/>
        <v>Mar-11</v>
      </c>
    </row>
    <row r="370" spans="1:48" ht="34.5" hidden="1" thickBot="1">
      <c r="A370" s="564">
        <v>592</v>
      </c>
      <c r="B370" s="565" t="s">
        <v>280</v>
      </c>
      <c r="C370" s="565" t="s">
        <v>281</v>
      </c>
      <c r="D370" s="629">
        <v>109815</v>
      </c>
      <c r="E370" s="567" t="s">
        <v>886</v>
      </c>
      <c r="F370" s="568" t="s">
        <v>17</v>
      </c>
      <c r="G370" s="568" t="s">
        <v>18</v>
      </c>
      <c r="H370" s="568" t="s">
        <v>26</v>
      </c>
      <c r="I370" s="569" t="s">
        <v>896</v>
      </c>
      <c r="J370" s="569">
        <v>1</v>
      </c>
      <c r="K370" s="568" t="s">
        <v>437</v>
      </c>
      <c r="L370" s="570">
        <v>43901</v>
      </c>
      <c r="M370" s="620" t="s">
        <v>894</v>
      </c>
      <c r="N370" s="568" t="s">
        <v>554</v>
      </c>
      <c r="O370" s="568">
        <v>2020.02</v>
      </c>
      <c r="P370" s="571" t="str">
        <f>VLOOKUP(A370,'[1]Raw data'!$B:$BB,23,FALSE)</f>
        <v>JPY</v>
      </c>
      <c r="Q370" s="568" t="str">
        <f>VLOOKUP(A370,'[1]Raw data'!$B:$Z,2,FALSE)</f>
        <v>C49SZX20200023SX</v>
      </c>
      <c r="R370" s="568" t="str">
        <f>VLOOKUP(A370,'[1]Raw data'!$B:$Z,3,FALSE)</f>
        <v>奕东</v>
      </c>
      <c r="S370" s="568" t="str">
        <f>VLOOKUP(A370,'[1]Raw data'!$B:$Z,4,FALSE)</f>
        <v>YSM10</v>
      </c>
      <c r="T370" s="568" t="str">
        <f>VLOOKUP(A370,'[1]Raw data'!$B:$Z,8,FALSE)</f>
        <v>R-&gt;L</v>
      </c>
      <c r="U370" s="568" t="str">
        <f>VLOOKUP(A370,'[1]Raw data'!$B:$Z,9,FALSE)</f>
        <v>No</v>
      </c>
      <c r="V370" s="572" t="str">
        <f t="shared" si="57"/>
        <v>OK</v>
      </c>
      <c r="W370" s="568" t="str">
        <f>VLOOKUP(A370,'[1]Raw data'!$B:$AG,32,FALSE)</f>
        <v>DAP DG</v>
      </c>
      <c r="X370" s="568">
        <f>VLOOKUP(A370,'[1]Raw data'!$B:$BA,31,FALSE)</f>
        <v>43924</v>
      </c>
      <c r="Y370" s="568" t="str">
        <f>VLOOKUP(A370,'[1]Raw data'!$B:$AS,39,FALSE)</f>
        <v>Yes</v>
      </c>
      <c r="AC370" s="568" t="s">
        <v>895</v>
      </c>
      <c r="AD370" s="576">
        <v>302</v>
      </c>
      <c r="AE370" s="576">
        <v>10</v>
      </c>
      <c r="AN370" s="619"/>
      <c r="AO370" s="829" t="str">
        <f t="shared" si="49"/>
        <v>Yes</v>
      </c>
      <c r="AP370" s="259" t="str">
        <f t="shared" si="50"/>
        <v>APR 20</v>
      </c>
      <c r="AQ370" s="547" t="str">
        <f t="shared" si="51"/>
        <v>有定金+有預留客戶</v>
      </c>
      <c r="AR370" s="259" t="str">
        <f t="shared" si="52"/>
        <v>Shipped_Stock</v>
      </c>
      <c r="AS370" s="259" t="str">
        <f t="shared" si="53"/>
        <v/>
      </c>
      <c r="AT370" s="259" t="str">
        <f t="shared" si="54"/>
        <v>奕东</v>
      </c>
      <c r="AU370" s="259" t="str">
        <f t="shared" si="55"/>
        <v>C49SZX20200023SX</v>
      </c>
      <c r="AV370" s="259" t="str">
        <f t="shared" si="56"/>
        <v>Mar-11</v>
      </c>
    </row>
    <row r="371" spans="1:48" ht="33.75" hidden="1">
      <c r="A371" s="564">
        <v>589</v>
      </c>
      <c r="B371" s="565" t="s">
        <v>280</v>
      </c>
      <c r="C371" s="565" t="s">
        <v>281</v>
      </c>
      <c r="D371" s="628">
        <v>109815</v>
      </c>
      <c r="E371" s="567" t="s">
        <v>886</v>
      </c>
      <c r="F371" s="568" t="s">
        <v>17</v>
      </c>
      <c r="G371" s="568" t="s">
        <v>18</v>
      </c>
      <c r="H371" s="568" t="s">
        <v>26</v>
      </c>
      <c r="I371" s="569" t="s">
        <v>897</v>
      </c>
      <c r="J371" s="569">
        <v>1</v>
      </c>
      <c r="K371" s="568" t="s">
        <v>437</v>
      </c>
      <c r="L371" s="570">
        <v>43901</v>
      </c>
      <c r="M371" s="620" t="s">
        <v>894</v>
      </c>
      <c r="N371" s="568" t="s">
        <v>554</v>
      </c>
      <c r="O371" s="568">
        <v>2020.02</v>
      </c>
      <c r="P371" s="571" t="str">
        <f>VLOOKUP(A371,'[1]Raw data'!$B:$BB,23,FALSE)</f>
        <v>JPY</v>
      </c>
      <c r="Q371" s="568" t="str">
        <f>VLOOKUP(A371,'[1]Raw data'!$B:$Z,2,FALSE)</f>
        <v>C49SZX20200023SX</v>
      </c>
      <c r="R371" s="568" t="str">
        <f>VLOOKUP(A371,'[1]Raw data'!$B:$Z,3,FALSE)</f>
        <v>奕东</v>
      </c>
      <c r="S371" s="568" t="str">
        <f>VLOOKUP(A371,'[1]Raw data'!$B:$Z,4,FALSE)</f>
        <v>YSM10</v>
      </c>
      <c r="T371" s="568" t="str">
        <f>VLOOKUP(A371,'[1]Raw data'!$B:$Z,8,FALSE)</f>
        <v>R-&gt;L</v>
      </c>
      <c r="U371" s="568" t="str">
        <f>VLOOKUP(A371,'[1]Raw data'!$B:$Z,9,FALSE)</f>
        <v>No</v>
      </c>
      <c r="V371" s="572" t="str">
        <f t="shared" si="57"/>
        <v>OK</v>
      </c>
      <c r="W371" s="568" t="str">
        <f>VLOOKUP(A371,'[1]Raw data'!$B:$AG,32,FALSE)</f>
        <v>DAP DG</v>
      </c>
      <c r="X371" s="568">
        <f>VLOOKUP(A371,'[1]Raw data'!$B:$BA,31,FALSE)</f>
        <v>43924</v>
      </c>
      <c r="Y371" s="568" t="str">
        <f>VLOOKUP(A371,'[1]Raw data'!$B:$AS,39,FALSE)</f>
        <v>Yes</v>
      </c>
      <c r="AC371" s="568" t="s">
        <v>895</v>
      </c>
      <c r="AD371" s="576">
        <v>302</v>
      </c>
      <c r="AE371" s="576">
        <v>10</v>
      </c>
      <c r="AN371" s="619"/>
      <c r="AO371" s="829" t="str">
        <f t="shared" si="49"/>
        <v>Yes</v>
      </c>
      <c r="AP371" s="259" t="str">
        <f t="shared" si="50"/>
        <v>APR 20</v>
      </c>
      <c r="AQ371" s="547" t="str">
        <f t="shared" si="51"/>
        <v>有定金+有預留客戶</v>
      </c>
      <c r="AR371" s="259" t="str">
        <f t="shared" si="52"/>
        <v>Shipped_Stock</v>
      </c>
      <c r="AS371" s="259" t="str">
        <f t="shared" si="53"/>
        <v/>
      </c>
      <c r="AT371" s="259" t="str">
        <f t="shared" si="54"/>
        <v>奕东</v>
      </c>
      <c r="AU371" s="259" t="str">
        <f t="shared" si="55"/>
        <v>C49SZX20200023SX</v>
      </c>
      <c r="AV371" s="259" t="str">
        <f t="shared" si="56"/>
        <v>Mar-11</v>
      </c>
    </row>
    <row r="372" spans="1:48" ht="34.5" hidden="1" thickBot="1">
      <c r="A372" s="564">
        <v>590</v>
      </c>
      <c r="B372" s="565" t="s">
        <v>280</v>
      </c>
      <c r="C372" s="565" t="s">
        <v>281</v>
      </c>
      <c r="D372" s="629">
        <v>109815</v>
      </c>
      <c r="E372" s="567" t="s">
        <v>886</v>
      </c>
      <c r="F372" s="568" t="s">
        <v>17</v>
      </c>
      <c r="G372" s="568" t="s">
        <v>18</v>
      </c>
      <c r="H372" s="568" t="s">
        <v>26</v>
      </c>
      <c r="I372" s="569" t="s">
        <v>898</v>
      </c>
      <c r="J372" s="569">
        <v>1</v>
      </c>
      <c r="K372" s="568" t="s">
        <v>437</v>
      </c>
      <c r="L372" s="570">
        <v>43901</v>
      </c>
      <c r="M372" s="620" t="s">
        <v>894</v>
      </c>
      <c r="N372" s="568" t="s">
        <v>554</v>
      </c>
      <c r="O372" s="568">
        <v>2020.02</v>
      </c>
      <c r="P372" s="571" t="str">
        <f>VLOOKUP(A372,'[1]Raw data'!$B:$BB,23,FALSE)</f>
        <v>JPY</v>
      </c>
      <c r="Q372" s="568" t="str">
        <f>VLOOKUP(A372,'[1]Raw data'!$B:$Z,2,FALSE)</f>
        <v>C49SZX20200023SX</v>
      </c>
      <c r="R372" s="568" t="str">
        <f>VLOOKUP(A372,'[1]Raw data'!$B:$Z,3,FALSE)</f>
        <v>奕东</v>
      </c>
      <c r="S372" s="568" t="str">
        <f>VLOOKUP(A372,'[1]Raw data'!$B:$Z,4,FALSE)</f>
        <v>YSM10</v>
      </c>
      <c r="T372" s="568" t="str">
        <f>VLOOKUP(A372,'[1]Raw data'!$B:$Z,8,FALSE)</f>
        <v>R-&gt;L</v>
      </c>
      <c r="U372" s="568" t="str">
        <f>VLOOKUP(A372,'[1]Raw data'!$B:$Z,9,FALSE)</f>
        <v>No</v>
      </c>
      <c r="V372" s="572" t="str">
        <f t="shared" si="57"/>
        <v>OK</v>
      </c>
      <c r="W372" s="568" t="str">
        <f>VLOOKUP(A372,'[1]Raw data'!$B:$AG,32,FALSE)</f>
        <v>DAP DG</v>
      </c>
      <c r="X372" s="568">
        <f>VLOOKUP(A372,'[1]Raw data'!$B:$BA,31,FALSE)</f>
        <v>43924</v>
      </c>
      <c r="Y372" s="568" t="str">
        <f>VLOOKUP(A372,'[1]Raw data'!$B:$AS,39,FALSE)</f>
        <v>Yes</v>
      </c>
      <c r="AC372" s="568" t="s">
        <v>895</v>
      </c>
      <c r="AD372" s="576">
        <v>302</v>
      </c>
      <c r="AE372" s="576">
        <v>10</v>
      </c>
      <c r="AN372" s="619"/>
      <c r="AO372" s="829" t="str">
        <f t="shared" si="49"/>
        <v>Yes</v>
      </c>
      <c r="AP372" s="259" t="str">
        <f t="shared" si="50"/>
        <v>APR 20</v>
      </c>
      <c r="AQ372" s="547" t="str">
        <f t="shared" si="51"/>
        <v>有定金+有預留客戶</v>
      </c>
      <c r="AR372" s="259" t="str">
        <f t="shared" si="52"/>
        <v>Shipped_Stock</v>
      </c>
      <c r="AS372" s="259" t="str">
        <f t="shared" si="53"/>
        <v/>
      </c>
      <c r="AT372" s="259" t="str">
        <f t="shared" si="54"/>
        <v>奕东</v>
      </c>
      <c r="AU372" s="259" t="str">
        <f t="shared" si="55"/>
        <v>C49SZX20200023SX</v>
      </c>
      <c r="AV372" s="259" t="str">
        <f t="shared" si="56"/>
        <v>Mar-11</v>
      </c>
    </row>
    <row r="373" spans="1:48" ht="26.25" hidden="1" customHeight="1" thickBot="1">
      <c r="A373" s="564">
        <v>549</v>
      </c>
      <c r="B373" s="565" t="s">
        <v>280</v>
      </c>
      <c r="C373" s="565" t="s">
        <v>281</v>
      </c>
      <c r="D373" s="648">
        <v>109794</v>
      </c>
      <c r="E373" s="567" t="s">
        <v>899</v>
      </c>
      <c r="F373" s="568" t="s">
        <v>149</v>
      </c>
      <c r="G373" s="568" t="s">
        <v>18</v>
      </c>
      <c r="H373" s="568" t="s">
        <v>307</v>
      </c>
      <c r="I373" s="569" t="s">
        <v>900</v>
      </c>
      <c r="J373" s="569">
        <v>1</v>
      </c>
      <c r="K373" s="568" t="s">
        <v>746</v>
      </c>
      <c r="L373" s="570">
        <v>43908</v>
      </c>
      <c r="M373" s="581">
        <v>6.4000000000000001E-2</v>
      </c>
      <c r="N373" s="568" t="s">
        <v>785</v>
      </c>
      <c r="O373" s="568">
        <v>2020.02</v>
      </c>
      <c r="P373" s="571" t="str">
        <f>VLOOKUP(A373,'[1]Raw data'!$B:$BB,23,FALSE)</f>
        <v>RMB</v>
      </c>
      <c r="Q373" s="568" t="str">
        <f>VLOOKUP(A373,'[1]Raw data'!$B:$Z,2,FALSE)</f>
        <v>C49SZX20190185DZ</v>
      </c>
      <c r="R373" s="568" t="str">
        <f>VLOOKUP(A373,'[1]Raw data'!$B:$Z,3,FALSE)</f>
        <v>耕创</v>
      </c>
      <c r="S373" s="568" t="str">
        <f>VLOOKUP(A373,'[1]Raw data'!$B:$Z,4,FALSE)</f>
        <v>YSM40R-4</v>
      </c>
      <c r="T373" s="568" t="str">
        <f>VLOOKUP(A373,'[1]Raw data'!$B:$Z,8,FALSE)</f>
        <v>L-&gt;R</v>
      </c>
      <c r="U373" s="568" t="str">
        <f>VLOOKUP(A373,'[1]Raw data'!$B:$Z,9,FALSE)</f>
        <v>No</v>
      </c>
      <c r="V373" s="572" t="str">
        <f t="shared" si="57"/>
        <v>WRONG</v>
      </c>
      <c r="W373" s="568" t="str">
        <f>VLOOKUP(A373,'[1]Raw data'!$B:$AG,32,FALSE)</f>
        <v>DDP SZ</v>
      </c>
      <c r="X373" s="568">
        <f>VLOOKUP(A373,'[1]Raw data'!$B:$BA,31,FALSE)</f>
        <v>43817</v>
      </c>
      <c r="Y373" s="568" t="str">
        <f>VLOOKUP(A373,'[1]Raw data'!$B:$AS,39,FALSE)</f>
        <v>Yes</v>
      </c>
      <c r="AC373" s="568" t="s">
        <v>671</v>
      </c>
      <c r="AN373" s="619"/>
      <c r="AO373" s="829" t="str">
        <f t="shared" si="49"/>
        <v>Yes</v>
      </c>
      <c r="AP373" s="259" t="str">
        <f t="shared" si="50"/>
        <v>MAR 20</v>
      </c>
      <c r="AQ373" s="547" t="str">
        <f t="shared" si="51"/>
        <v>有定金+有預留客戶</v>
      </c>
      <c r="AR373" s="259" t="str">
        <f t="shared" si="52"/>
        <v>Shipped_Stock</v>
      </c>
      <c r="AS373" s="259" t="str">
        <f t="shared" si="53"/>
        <v/>
      </c>
      <c r="AT373" s="259" t="str">
        <f t="shared" si="54"/>
        <v>耕创</v>
      </c>
      <c r="AU373" s="259" t="str">
        <f t="shared" si="55"/>
        <v>C49SZX20190185DZ</v>
      </c>
      <c r="AV373" s="259" t="str">
        <f t="shared" si="56"/>
        <v>Mar-18</v>
      </c>
    </row>
    <row r="374" spans="1:48" ht="15" hidden="1" customHeight="1">
      <c r="A374" s="564">
        <v>550</v>
      </c>
      <c r="B374" s="565" t="s">
        <v>280</v>
      </c>
      <c r="C374" s="565" t="s">
        <v>281</v>
      </c>
      <c r="D374" s="628">
        <v>109794</v>
      </c>
      <c r="E374" s="567" t="s">
        <v>899</v>
      </c>
      <c r="F374" s="568" t="s">
        <v>298</v>
      </c>
      <c r="G374" s="568" t="s">
        <v>18</v>
      </c>
      <c r="H374" s="568" t="s">
        <v>307</v>
      </c>
      <c r="I374" s="569" t="s">
        <v>901</v>
      </c>
      <c r="J374" s="569">
        <v>1</v>
      </c>
      <c r="K374" s="568" t="s">
        <v>746</v>
      </c>
      <c r="L374" s="570">
        <v>43908</v>
      </c>
      <c r="M374" s="581">
        <v>6.4000000000000001E-2</v>
      </c>
      <c r="N374" s="568" t="s">
        <v>785</v>
      </c>
      <c r="O374" s="568">
        <v>2020.2</v>
      </c>
      <c r="P374" s="571" t="str">
        <f>VLOOKUP(A374,'[1]Raw data'!$B:$BB,23,FALSE)</f>
        <v>RMB</v>
      </c>
      <c r="Q374" s="568" t="str">
        <f>VLOOKUP(A374,'[1]Raw data'!$B:$Z,2,FALSE)</f>
        <v>C49SZX20190185DZ</v>
      </c>
      <c r="R374" s="568" t="str">
        <f>VLOOKUP(A374,'[1]Raw data'!$B:$Z,3,FALSE)</f>
        <v>耕创</v>
      </c>
      <c r="S374" s="568" t="str">
        <f>VLOOKUP(A374,'[1]Raw data'!$B:$Z,4,FALSE)</f>
        <v>YSM40R-4</v>
      </c>
      <c r="T374" s="568" t="str">
        <f>VLOOKUP(A374,'[1]Raw data'!$B:$Z,8,FALSE)</f>
        <v>L-&gt;R</v>
      </c>
      <c r="U374" s="568" t="str">
        <f>VLOOKUP(A374,'[1]Raw data'!$B:$Z,9,FALSE)</f>
        <v>No</v>
      </c>
      <c r="V374" s="572" t="str">
        <f t="shared" si="57"/>
        <v>WRONG</v>
      </c>
      <c r="W374" s="568" t="str">
        <f>VLOOKUP(A374,'[1]Raw data'!$B:$AG,32,FALSE)</f>
        <v>DDP SZ</v>
      </c>
      <c r="X374" s="568">
        <f>VLOOKUP(A374,'[1]Raw data'!$B:$BA,31,FALSE)</f>
        <v>43817</v>
      </c>
      <c r="Y374" s="568" t="str">
        <f>VLOOKUP(A374,'[1]Raw data'!$B:$AS,39,FALSE)</f>
        <v>Yes</v>
      </c>
      <c r="AC374" s="568" t="s">
        <v>671</v>
      </c>
      <c r="AN374" s="547"/>
      <c r="AO374" s="829" t="str">
        <f t="shared" si="49"/>
        <v>Yes</v>
      </c>
      <c r="AP374" s="259" t="str">
        <f t="shared" si="50"/>
        <v>MAR 20</v>
      </c>
      <c r="AQ374" s="547" t="str">
        <f t="shared" si="51"/>
        <v>有定金+有預留客戶</v>
      </c>
      <c r="AR374" s="259" t="str">
        <f t="shared" si="52"/>
        <v>Shipped_Stock</v>
      </c>
      <c r="AS374" s="259" t="str">
        <f t="shared" si="53"/>
        <v/>
      </c>
      <c r="AT374" s="259" t="str">
        <f t="shared" si="54"/>
        <v>耕创</v>
      </c>
      <c r="AU374" s="259" t="str">
        <f t="shared" si="55"/>
        <v>C49SZX20190185DZ</v>
      </c>
      <c r="AV374" s="259" t="str">
        <f t="shared" si="56"/>
        <v>Mar-18</v>
      </c>
    </row>
    <row r="375" spans="1:48" ht="15" hidden="1" customHeight="1">
      <c r="A375" s="564">
        <v>637</v>
      </c>
      <c r="B375" s="565" t="s">
        <v>280</v>
      </c>
      <c r="C375" s="565" t="s">
        <v>281</v>
      </c>
      <c r="D375" s="630">
        <v>109816</v>
      </c>
      <c r="E375" s="567" t="s">
        <v>886</v>
      </c>
      <c r="F375" s="568" t="s">
        <v>256</v>
      </c>
      <c r="G375" s="568" t="s">
        <v>18</v>
      </c>
      <c r="H375" s="568" t="s">
        <v>307</v>
      </c>
      <c r="I375" s="569" t="s">
        <v>902</v>
      </c>
      <c r="J375" s="569">
        <v>1</v>
      </c>
      <c r="K375" s="568" t="s">
        <v>437</v>
      </c>
      <c r="L375" s="570">
        <v>43922</v>
      </c>
      <c r="M375" s="581" t="s">
        <v>871</v>
      </c>
      <c r="N375" s="568" t="s">
        <v>903</v>
      </c>
      <c r="O375" s="569">
        <v>2020.02</v>
      </c>
      <c r="P375" s="571" t="str">
        <f>VLOOKUP(A375,'[1]Raw data'!$B:$BB,23,FALSE)</f>
        <v>JPY</v>
      </c>
      <c r="Q375" s="568" t="str">
        <f>VLOOKUP(A375,'[1]Raw data'!$B:$Z,2,FALSE)</f>
        <v>C49SZX20200053SS</v>
      </c>
      <c r="R375" s="568" t="str">
        <f>VLOOKUP(A375,'[1]Raw data'!$B:$Z,3,FALSE)</f>
        <v>弛瑞</v>
      </c>
      <c r="S375" s="568" t="str">
        <f>VLOOKUP(A375,'[1]Raw data'!$B:$Z,4,FALSE)</f>
        <v>YSM20R(SV)-2</v>
      </c>
      <c r="T375" s="568" t="str">
        <f>VLOOKUP(A375,'[1]Raw data'!$B:$Z,8,FALSE)</f>
        <v>R-&gt;L</v>
      </c>
      <c r="U375" s="568" t="str">
        <f>VLOOKUP(A375,'[1]Raw data'!$B:$Z,9,FALSE)</f>
        <v>No</v>
      </c>
      <c r="V375" s="572" t="str">
        <f t="shared" si="57"/>
        <v>OK</v>
      </c>
      <c r="W375" s="568" t="str">
        <f>VLOOKUP(A375,'[1]Raw data'!$B:$AG,32,FALSE)</f>
        <v>DAP SZ</v>
      </c>
      <c r="X375" s="568">
        <f>VLOOKUP(A375,'[1]Raw data'!$B:$BA,31,FALSE)</f>
        <v>43945</v>
      </c>
      <c r="Y375" s="568" t="str">
        <f>VLOOKUP(A375,'[1]Raw data'!$B:$AS,39,FALSE)</f>
        <v>Yes</v>
      </c>
      <c r="AC375" s="568" t="s">
        <v>904</v>
      </c>
      <c r="AD375" s="576">
        <v>301</v>
      </c>
      <c r="AE375" s="576">
        <v>20</v>
      </c>
      <c r="AN375" s="547"/>
      <c r="AO375" s="829" t="str">
        <f t="shared" si="49"/>
        <v>Yes</v>
      </c>
      <c r="AP375" s="259" t="str">
        <f t="shared" si="50"/>
        <v>JUN 20</v>
      </c>
      <c r="AQ375" s="547" t="str">
        <f t="shared" si="51"/>
        <v>有定金+有預留客戶</v>
      </c>
      <c r="AR375" s="259" t="str">
        <f t="shared" si="52"/>
        <v>Shipped_Stock</v>
      </c>
      <c r="AS375" s="259" t="str">
        <f t="shared" si="53"/>
        <v/>
      </c>
      <c r="AT375" s="259" t="str">
        <f t="shared" si="54"/>
        <v>弛瑞</v>
      </c>
      <c r="AU375" s="259" t="str">
        <f t="shared" si="55"/>
        <v>C49SZX20200053SS</v>
      </c>
      <c r="AV375" s="259" t="str">
        <f t="shared" si="56"/>
        <v>Apr-01</v>
      </c>
    </row>
    <row r="376" spans="1:48" ht="15" hidden="1" customHeight="1">
      <c r="A376" s="564">
        <v>633</v>
      </c>
      <c r="B376" s="565" t="s">
        <v>280</v>
      </c>
      <c r="C376" s="565" t="s">
        <v>281</v>
      </c>
      <c r="D376" s="630">
        <v>109816</v>
      </c>
      <c r="E376" s="567" t="s">
        <v>886</v>
      </c>
      <c r="F376" s="568" t="s">
        <v>256</v>
      </c>
      <c r="G376" s="568" t="s">
        <v>24</v>
      </c>
      <c r="H376" s="568" t="s">
        <v>307</v>
      </c>
      <c r="I376" s="569" t="s">
        <v>905</v>
      </c>
      <c r="J376" s="569">
        <v>1</v>
      </c>
      <c r="K376" s="568" t="s">
        <v>437</v>
      </c>
      <c r="L376" s="570">
        <v>43922</v>
      </c>
      <c r="M376" s="581" t="s">
        <v>906</v>
      </c>
      <c r="N376" s="568" t="s">
        <v>554</v>
      </c>
      <c r="O376" s="569">
        <v>2020.02</v>
      </c>
      <c r="P376" s="571" t="str">
        <f>VLOOKUP(A376,'[1]Raw data'!$B:$BB,23,FALSE)</f>
        <v>JPY</v>
      </c>
      <c r="Q376" s="568" t="str">
        <f>VLOOKUP(A376,'[1]Raw data'!$B:$Z,2,FALSE)</f>
        <v>C49SZX20200046JY</v>
      </c>
      <c r="R376" s="568" t="str">
        <f>VLOOKUP(A376,'[1]Raw data'!$B:$Z,3,FALSE)</f>
        <v>海松微</v>
      </c>
      <c r="S376" s="568" t="str">
        <f>VLOOKUP(A376,'[1]Raw data'!$B:$Z,4,FALSE)</f>
        <v>YSM20R(SV)-2</v>
      </c>
      <c r="T376" s="568" t="str">
        <f>VLOOKUP(A376,'[1]Raw data'!$B:$Z,8,FALSE)</f>
        <v>L-&gt;R</v>
      </c>
      <c r="U376" s="568" t="str">
        <f>VLOOKUP(A376,'[1]Raw data'!$B:$Z,9,FALSE)</f>
        <v>MVC</v>
      </c>
      <c r="V376" s="572" t="str">
        <f t="shared" si="57"/>
        <v>WRONG</v>
      </c>
      <c r="W376" s="568" t="str">
        <f>VLOOKUP(A376,'[1]Raw data'!$B:$AG,32,FALSE)</f>
        <v>DAP SZ</v>
      </c>
      <c r="X376" s="568">
        <f>VLOOKUP(A376,'[1]Raw data'!$B:$BA,31,FALSE)</f>
        <v>43942</v>
      </c>
      <c r="Y376" s="568" t="str">
        <f>VLOOKUP(A376,'[1]Raw data'!$B:$AS,39,FALSE)</f>
        <v>Yes</v>
      </c>
      <c r="AC376" s="568" t="s">
        <v>662</v>
      </c>
      <c r="AD376" s="576">
        <v>301</v>
      </c>
      <c r="AE376" s="576">
        <v>20</v>
      </c>
      <c r="AN376" s="547"/>
      <c r="AO376" s="829" t="str">
        <f t="shared" si="49"/>
        <v>Yes</v>
      </c>
      <c r="AP376" s="259" t="str">
        <f t="shared" si="50"/>
        <v>APR 20</v>
      </c>
      <c r="AQ376" s="547" t="str">
        <f t="shared" si="51"/>
        <v>有定金+有預留客戶</v>
      </c>
      <c r="AR376" s="259" t="str">
        <f t="shared" si="52"/>
        <v>Shipped_Stock</v>
      </c>
      <c r="AS376" s="259" t="str">
        <f t="shared" si="53"/>
        <v/>
      </c>
      <c r="AT376" s="259" t="str">
        <f t="shared" si="54"/>
        <v>海松微</v>
      </c>
      <c r="AU376" s="259" t="str">
        <f t="shared" si="55"/>
        <v>C49SZX20200046JY</v>
      </c>
      <c r="AV376" s="259" t="str">
        <f t="shared" si="56"/>
        <v>Apr-01</v>
      </c>
    </row>
    <row r="377" spans="1:48" ht="24.75" hidden="1" customHeight="1">
      <c r="A377" s="564">
        <v>597</v>
      </c>
      <c r="B377" s="565" t="s">
        <v>280</v>
      </c>
      <c r="C377" s="565" t="s">
        <v>281</v>
      </c>
      <c r="D377" s="630">
        <v>109816</v>
      </c>
      <c r="E377" s="567" t="s">
        <v>886</v>
      </c>
      <c r="F377" s="568" t="s">
        <v>256</v>
      </c>
      <c r="G377" s="568" t="s">
        <v>24</v>
      </c>
      <c r="H377" s="568" t="s">
        <v>26</v>
      </c>
      <c r="I377" s="569" t="s">
        <v>907</v>
      </c>
      <c r="J377" s="569">
        <v>1</v>
      </c>
      <c r="K377" s="568" t="s">
        <v>295</v>
      </c>
      <c r="L377" s="570">
        <v>43922</v>
      </c>
      <c r="M377" s="620" t="s">
        <v>908</v>
      </c>
      <c r="N377" s="568" t="s">
        <v>818</v>
      </c>
      <c r="O377" s="569">
        <v>2020.01</v>
      </c>
      <c r="P377" s="571" t="str">
        <f>VLOOKUP(A377,'[1]Raw data'!$B:$BB,23,FALSE)</f>
        <v>RMB</v>
      </c>
      <c r="Q377" s="568" t="str">
        <f>VLOOKUP(A377,'[1]Raw data'!$B:$Z,2,FALSE)</f>
        <v>C49SZX20200028JYR1</v>
      </c>
      <c r="R377" s="568" t="str">
        <f>VLOOKUP(A377,'[1]Raw data'!$B:$Z,3,FALSE)</f>
        <v>珠海太川</v>
      </c>
      <c r="S377" s="568" t="str">
        <f>VLOOKUP(A377,'[1]Raw data'!$B:$Z,4,FALSE)</f>
        <v>YSM20R(SV)-2</v>
      </c>
      <c r="T377" s="568" t="str">
        <f>VLOOKUP(A377,'[1]Raw data'!$B:$Z,8,FALSE)</f>
        <v>L-&gt;R</v>
      </c>
      <c r="U377" s="568" t="str">
        <f>VLOOKUP(A377,'[1]Raw data'!$B:$Z,9,FALSE)</f>
        <v>MVC</v>
      </c>
      <c r="V377" s="572" t="str">
        <f t="shared" si="57"/>
        <v>WRONG</v>
      </c>
      <c r="W377" s="568" t="str">
        <f>VLOOKUP(A377,'[1]Raw data'!$B:$AG,32,FALSE)</f>
        <v>含税到厂</v>
      </c>
      <c r="X377" s="568">
        <f>VLOOKUP(A377,'[1]Raw data'!$B:$BA,31,FALSE)</f>
        <v>43909</v>
      </c>
      <c r="Y377" s="568" t="str">
        <f>VLOOKUP(A377,'[1]Raw data'!$B:$AS,39,FALSE)</f>
        <v>Yes</v>
      </c>
      <c r="AC377" s="568" t="s">
        <v>909</v>
      </c>
      <c r="AD377" s="576">
        <v>301</v>
      </c>
      <c r="AE377" s="576">
        <v>20</v>
      </c>
      <c r="AN377" s="547"/>
      <c r="AO377" s="829" t="str">
        <f t="shared" si="49"/>
        <v>Yes</v>
      </c>
      <c r="AP377" s="259" t="str">
        <f t="shared" si="50"/>
        <v>MAY 20</v>
      </c>
      <c r="AQ377" s="547" t="str">
        <f t="shared" si="51"/>
        <v>有定金+有預留客戶</v>
      </c>
      <c r="AR377" s="259" t="str">
        <f t="shared" si="52"/>
        <v>Shipped_Stock</v>
      </c>
      <c r="AS377" s="259" t="str">
        <f t="shared" si="53"/>
        <v/>
      </c>
      <c r="AT377" s="259" t="str">
        <f t="shared" si="54"/>
        <v>珠海太川</v>
      </c>
      <c r="AU377" s="259" t="str">
        <f t="shared" si="55"/>
        <v>C49SZX20200028JYR1</v>
      </c>
      <c r="AV377" s="259" t="str">
        <f t="shared" si="56"/>
        <v>Apr-01</v>
      </c>
    </row>
    <row r="378" spans="1:48" ht="15.75" hidden="1" customHeight="1" thickBot="1">
      <c r="A378" s="564">
        <v>531</v>
      </c>
      <c r="B378" s="565" t="s">
        <v>280</v>
      </c>
      <c r="C378" s="565" t="s">
        <v>281</v>
      </c>
      <c r="D378" s="629">
        <v>109816</v>
      </c>
      <c r="E378" s="567" t="s">
        <v>886</v>
      </c>
      <c r="F378" s="568" t="s">
        <v>243</v>
      </c>
      <c r="G378" s="568" t="s">
        <v>24</v>
      </c>
      <c r="H378" s="568" t="s">
        <v>159</v>
      </c>
      <c r="I378" s="569" t="s">
        <v>910</v>
      </c>
      <c r="J378" s="569">
        <v>1</v>
      </c>
      <c r="K378" s="568" t="s">
        <v>437</v>
      </c>
      <c r="L378" s="570">
        <v>43922</v>
      </c>
      <c r="M378" s="581" t="s">
        <v>906</v>
      </c>
      <c r="N378" s="568" t="s">
        <v>554</v>
      </c>
      <c r="O378" s="569">
        <v>2020.02</v>
      </c>
      <c r="P378" s="571" t="str">
        <f>VLOOKUP(A378,'[1]Raw data'!$B:$BB,23,FALSE)</f>
        <v>JPY</v>
      </c>
      <c r="Q378" s="568" t="str">
        <f>VLOOKUP(A378,'[1]Raw data'!$B:$Z,2,FALSE)</f>
        <v>C49SZX20190173DZ</v>
      </c>
      <c r="R378" s="568" t="str">
        <f>VLOOKUP(A378,'[1]Raw data'!$B:$Z,3,FALSE)</f>
        <v>嘉裕</v>
      </c>
      <c r="S378" s="568" t="str">
        <f>VLOOKUP(A378,'[1]Raw data'!$B:$Z,4,FALSE)</f>
        <v>YSM20R(SV)-2</v>
      </c>
      <c r="T378" s="568" t="str">
        <f>VLOOKUP(A378,'[1]Raw data'!$B:$Z,8,FALSE)</f>
        <v>L-&gt;R</v>
      </c>
      <c r="U378" s="568" t="str">
        <f>VLOOKUP(A378,'[1]Raw data'!$B:$Z,9,FALSE)</f>
        <v>cATS10+MVC</v>
      </c>
      <c r="V378" s="572" t="str">
        <f t="shared" si="57"/>
        <v>WRONG</v>
      </c>
      <c r="W378" s="568" t="str">
        <f>VLOOKUP(A378,'[1]Raw data'!$B:$AG,32,FALSE)</f>
        <v>CIF HK</v>
      </c>
      <c r="X378" s="568">
        <f>VLOOKUP(A378,'[1]Raw data'!$B:$BA,31,FALSE)</f>
        <v>43795</v>
      </c>
      <c r="Y378" s="568" t="str">
        <f>VLOOKUP(A378,'[1]Raw data'!$B:$AS,39,FALSE)</f>
        <v>Yes</v>
      </c>
      <c r="AC378" s="568" t="s">
        <v>555</v>
      </c>
      <c r="AD378" s="576">
        <v>313</v>
      </c>
      <c r="AE378" s="576">
        <v>10</v>
      </c>
      <c r="AF378" s="576">
        <v>312</v>
      </c>
      <c r="AG378" s="576">
        <v>10</v>
      </c>
      <c r="AN378" s="547"/>
      <c r="AO378" s="829" t="str">
        <f t="shared" si="49"/>
        <v>Yes</v>
      </c>
      <c r="AP378" s="259" t="str">
        <f t="shared" si="50"/>
        <v>APR 20</v>
      </c>
      <c r="AQ378" s="547" t="str">
        <f t="shared" si="51"/>
        <v>有定金+有預留客戶</v>
      </c>
      <c r="AR378" s="259" t="str">
        <f t="shared" si="52"/>
        <v>Shipped_Stock</v>
      </c>
      <c r="AS378" s="259" t="str">
        <f t="shared" si="53"/>
        <v/>
      </c>
      <c r="AT378" s="259" t="str">
        <f t="shared" si="54"/>
        <v>嘉裕</v>
      </c>
      <c r="AU378" s="259" t="str">
        <f t="shared" si="55"/>
        <v>C49SZX20190173DZ</v>
      </c>
      <c r="AV378" s="259" t="str">
        <f t="shared" si="56"/>
        <v>Apr-01</v>
      </c>
    </row>
    <row r="379" spans="1:48" hidden="1">
      <c r="A379" s="564">
        <v>529</v>
      </c>
      <c r="B379" s="565" t="s">
        <v>280</v>
      </c>
      <c r="C379" s="565" t="s">
        <v>281</v>
      </c>
      <c r="D379" s="649">
        <v>109816</v>
      </c>
      <c r="E379" s="567" t="s">
        <v>886</v>
      </c>
      <c r="F379" s="568" t="s">
        <v>256</v>
      </c>
      <c r="G379" s="568" t="s">
        <v>24</v>
      </c>
      <c r="H379" s="568" t="s">
        <v>26</v>
      </c>
      <c r="I379" s="569" t="s">
        <v>911</v>
      </c>
      <c r="J379" s="569">
        <v>1</v>
      </c>
      <c r="K379" s="568" t="s">
        <v>437</v>
      </c>
      <c r="L379" s="570">
        <v>43922</v>
      </c>
      <c r="M379" s="581" t="s">
        <v>906</v>
      </c>
      <c r="N379" s="568" t="s">
        <v>554</v>
      </c>
      <c r="O379" s="569">
        <v>2020.02</v>
      </c>
      <c r="P379" s="571" t="str">
        <f>VLOOKUP(A379,'[1]Raw data'!$B:$BB,23,FALSE)</f>
        <v>JPY</v>
      </c>
      <c r="Q379" s="568" t="str">
        <f>VLOOKUP(A379,'[1]Raw data'!$B:$Z,2,FALSE)</f>
        <v>C49SZX20190173DZ</v>
      </c>
      <c r="R379" s="568" t="str">
        <f>VLOOKUP(A379,'[1]Raw data'!$B:$Z,3,FALSE)</f>
        <v>嘉裕</v>
      </c>
      <c r="S379" s="568" t="str">
        <f>VLOOKUP(A379,'[1]Raw data'!$B:$Z,4,FALSE)</f>
        <v>YSM20R(SV)-2</v>
      </c>
      <c r="T379" s="568" t="str">
        <f>VLOOKUP(A379,'[1]Raw data'!$B:$Z,8,FALSE)</f>
        <v>L-&gt;R</v>
      </c>
      <c r="U379" s="568" t="str">
        <f>VLOOKUP(A379,'[1]Raw data'!$B:$Z,9,FALSE)</f>
        <v>No</v>
      </c>
      <c r="V379" s="572" t="str">
        <f t="shared" si="57"/>
        <v>OK</v>
      </c>
      <c r="W379" s="568" t="str">
        <f>VLOOKUP(A379,'[1]Raw data'!$B:$AG,32,FALSE)</f>
        <v>CIF HK</v>
      </c>
      <c r="X379" s="568">
        <f>VLOOKUP(A379,'[1]Raw data'!$B:$BA,31,FALSE)</f>
        <v>43795</v>
      </c>
      <c r="Y379" s="568" t="str">
        <f>VLOOKUP(A379,'[1]Raw data'!$B:$AS,39,FALSE)</f>
        <v>Yes</v>
      </c>
      <c r="AC379" s="568" t="s">
        <v>555</v>
      </c>
      <c r="AD379" s="576">
        <v>301</v>
      </c>
      <c r="AE379" s="576">
        <v>10</v>
      </c>
      <c r="AF379" s="576">
        <v>311</v>
      </c>
      <c r="AG379" s="576">
        <v>10</v>
      </c>
      <c r="AN379" s="547"/>
      <c r="AO379" s="829" t="str">
        <f t="shared" si="49"/>
        <v>Yes</v>
      </c>
      <c r="AP379" s="259" t="str">
        <f t="shared" si="50"/>
        <v>APR 20</v>
      </c>
      <c r="AQ379" s="547" t="str">
        <f t="shared" si="51"/>
        <v>有定金+有預留客戶</v>
      </c>
      <c r="AR379" s="259" t="str">
        <f t="shared" si="52"/>
        <v>Shipped_Stock</v>
      </c>
      <c r="AS379" s="259" t="str">
        <f t="shared" si="53"/>
        <v/>
      </c>
      <c r="AT379" s="259" t="str">
        <f t="shared" si="54"/>
        <v>嘉裕</v>
      </c>
      <c r="AU379" s="259" t="str">
        <f t="shared" si="55"/>
        <v>C49SZX20190173DZ</v>
      </c>
      <c r="AV379" s="259" t="str">
        <f t="shared" si="56"/>
        <v>Apr-01</v>
      </c>
    </row>
    <row r="380" spans="1:48" hidden="1">
      <c r="A380" s="564">
        <v>530</v>
      </c>
      <c r="B380" s="565" t="s">
        <v>280</v>
      </c>
      <c r="C380" s="565" t="s">
        <v>281</v>
      </c>
      <c r="D380" s="604">
        <v>109816</v>
      </c>
      <c r="E380" s="567" t="s">
        <v>886</v>
      </c>
      <c r="F380" s="568" t="s">
        <v>256</v>
      </c>
      <c r="G380" s="568" t="s">
        <v>24</v>
      </c>
      <c r="H380" s="568" t="s">
        <v>26</v>
      </c>
      <c r="I380" s="569" t="s">
        <v>912</v>
      </c>
      <c r="J380" s="569">
        <v>1</v>
      </c>
      <c r="K380" s="568" t="s">
        <v>437</v>
      </c>
      <c r="L380" s="570">
        <v>43922</v>
      </c>
      <c r="M380" s="581" t="s">
        <v>906</v>
      </c>
      <c r="N380" s="568" t="s">
        <v>554</v>
      </c>
      <c r="O380" s="569">
        <v>2020.02</v>
      </c>
      <c r="P380" s="571" t="str">
        <f>VLOOKUP(A380,'[1]Raw data'!$B:$BB,23,FALSE)</f>
        <v>JPY</v>
      </c>
      <c r="Q380" s="568" t="str">
        <f>VLOOKUP(A380,'[1]Raw data'!$B:$Z,2,FALSE)</f>
        <v>C49SZX20190173DZ</v>
      </c>
      <c r="R380" s="568" t="str">
        <f>VLOOKUP(A380,'[1]Raw data'!$B:$Z,3,FALSE)</f>
        <v>嘉裕</v>
      </c>
      <c r="S380" s="568" t="str">
        <f>VLOOKUP(A380,'[1]Raw data'!$B:$Z,4,FALSE)</f>
        <v>YSM20R(SV)-2</v>
      </c>
      <c r="T380" s="568" t="str">
        <f>VLOOKUP(A380,'[1]Raw data'!$B:$Z,8,FALSE)</f>
        <v>L-&gt;R</v>
      </c>
      <c r="U380" s="568" t="str">
        <f>VLOOKUP(A380,'[1]Raw data'!$B:$Z,9,FALSE)</f>
        <v>No</v>
      </c>
      <c r="V380" s="572" t="str">
        <f t="shared" si="57"/>
        <v>OK</v>
      </c>
      <c r="W380" s="568" t="str">
        <f>VLOOKUP(A380,'[1]Raw data'!$B:$AG,32,FALSE)</f>
        <v>CIF HK</v>
      </c>
      <c r="X380" s="568">
        <f>VLOOKUP(A380,'[1]Raw data'!$B:$BA,31,FALSE)</f>
        <v>43795</v>
      </c>
      <c r="Y380" s="568" t="str">
        <f>VLOOKUP(A380,'[1]Raw data'!$B:$AS,39,FALSE)</f>
        <v>Yes</v>
      </c>
      <c r="AC380" s="568" t="s">
        <v>555</v>
      </c>
      <c r="AD380" s="576">
        <v>301</v>
      </c>
      <c r="AE380" s="576">
        <v>10</v>
      </c>
      <c r="AF380" s="576">
        <v>302</v>
      </c>
      <c r="AG380" s="576">
        <v>10</v>
      </c>
      <c r="AN380" s="547"/>
      <c r="AO380" s="829" t="str">
        <f t="shared" si="49"/>
        <v>Yes</v>
      </c>
      <c r="AP380" s="259" t="str">
        <f t="shared" si="50"/>
        <v>APR 20</v>
      </c>
      <c r="AQ380" s="547" t="str">
        <f t="shared" si="51"/>
        <v>有定金+有預留客戶</v>
      </c>
      <c r="AR380" s="259" t="str">
        <f t="shared" si="52"/>
        <v>Shipped_Stock</v>
      </c>
      <c r="AS380" s="259" t="str">
        <f t="shared" si="53"/>
        <v/>
      </c>
      <c r="AT380" s="259" t="str">
        <f t="shared" si="54"/>
        <v>嘉裕</v>
      </c>
      <c r="AU380" s="259" t="str">
        <f t="shared" si="55"/>
        <v>C49SZX20190173DZ</v>
      </c>
      <c r="AV380" s="259" t="str">
        <f t="shared" si="56"/>
        <v>Apr-01</v>
      </c>
    </row>
    <row r="381" spans="1:48" hidden="1">
      <c r="A381" s="564">
        <v>574</v>
      </c>
      <c r="B381" s="565" t="s">
        <v>280</v>
      </c>
      <c r="C381" s="565" t="s">
        <v>281</v>
      </c>
      <c r="D381" s="628">
        <v>109816</v>
      </c>
      <c r="E381" s="567" t="s">
        <v>886</v>
      </c>
      <c r="F381" s="568" t="s">
        <v>256</v>
      </c>
      <c r="G381" s="568" t="s">
        <v>18</v>
      </c>
      <c r="H381" s="568" t="s">
        <v>26</v>
      </c>
      <c r="I381" s="569" t="s">
        <v>913</v>
      </c>
      <c r="J381" s="569">
        <v>1</v>
      </c>
      <c r="K381" s="568" t="s">
        <v>437</v>
      </c>
      <c r="L381" s="570">
        <v>43922</v>
      </c>
      <c r="M381" s="581" t="s">
        <v>871</v>
      </c>
      <c r="N381" s="568" t="s">
        <v>818</v>
      </c>
      <c r="O381" s="569">
        <v>2020.02</v>
      </c>
      <c r="P381" s="571" t="str">
        <f>VLOOKUP(A381,'[1]Raw data'!$B:$BB,23,FALSE)</f>
        <v>JPY</v>
      </c>
      <c r="Q381" s="568" t="str">
        <f>VLOOKUP(A381,'[1]Raw data'!$B:$Z,2,FALSE)</f>
        <v>C49SZX20200012SS</v>
      </c>
      <c r="R381" s="568" t="str">
        <f>VLOOKUP(A381,'[1]Raw data'!$B:$Z,3,FALSE)</f>
        <v>康腾</v>
      </c>
      <c r="S381" s="568" t="str">
        <f>VLOOKUP(A381,'[1]Raw data'!$B:$Z,4,FALSE)</f>
        <v>YSM20R(SV)-2</v>
      </c>
      <c r="T381" s="568" t="str">
        <f>VLOOKUP(A381,'[1]Raw data'!$B:$Z,8,FALSE)</f>
        <v>R-&gt;L</v>
      </c>
      <c r="U381" s="568" t="str">
        <f>VLOOKUP(A381,'[1]Raw data'!$B:$Z,9,FALSE)</f>
        <v>No</v>
      </c>
      <c r="V381" s="572" t="str">
        <f t="shared" si="57"/>
        <v>OK</v>
      </c>
      <c r="W381" s="568" t="str">
        <f>VLOOKUP(A381,'[1]Raw data'!$B:$AG,32,FALSE)</f>
        <v>DAP SZ</v>
      </c>
      <c r="X381" s="568">
        <f>VLOOKUP(A381,'[1]Raw data'!$B:$BA,31,FALSE)</f>
        <v>43838</v>
      </c>
      <c r="Y381" s="568" t="str">
        <f>VLOOKUP(A381,'[1]Raw data'!$B:$AS,39,FALSE)</f>
        <v>Yes</v>
      </c>
      <c r="AC381" s="568" t="s">
        <v>823</v>
      </c>
      <c r="AD381" s="576">
        <v>301</v>
      </c>
      <c r="AE381" s="576">
        <v>20</v>
      </c>
      <c r="AN381" s="547"/>
      <c r="AO381" s="829" t="str">
        <f t="shared" si="49"/>
        <v>Yes</v>
      </c>
      <c r="AP381" s="259" t="str">
        <f t="shared" si="50"/>
        <v>MAY 20</v>
      </c>
      <c r="AQ381" s="547" t="str">
        <f t="shared" si="51"/>
        <v>有定金+有預留客戶</v>
      </c>
      <c r="AR381" s="259" t="str">
        <f t="shared" si="52"/>
        <v>Shipped_Stock</v>
      </c>
      <c r="AS381" s="259" t="str">
        <f t="shared" si="53"/>
        <v/>
      </c>
      <c r="AT381" s="259" t="str">
        <f t="shared" si="54"/>
        <v>康腾</v>
      </c>
      <c r="AU381" s="259" t="str">
        <f t="shared" si="55"/>
        <v>C49SZX20200012SS</v>
      </c>
      <c r="AV381" s="259" t="str">
        <f t="shared" si="56"/>
        <v>Apr-01</v>
      </c>
    </row>
    <row r="382" spans="1:48" hidden="1">
      <c r="A382" s="564">
        <v>609</v>
      </c>
      <c r="B382" s="565" t="s">
        <v>280</v>
      </c>
      <c r="C382" s="565" t="s">
        <v>281</v>
      </c>
      <c r="D382" s="604">
        <v>109816</v>
      </c>
      <c r="E382" s="567" t="s">
        <v>886</v>
      </c>
      <c r="F382" s="568" t="s">
        <v>256</v>
      </c>
      <c r="G382" s="568" t="s">
        <v>24</v>
      </c>
      <c r="H382" s="568" t="s">
        <v>26</v>
      </c>
      <c r="I382" s="569" t="s">
        <v>914</v>
      </c>
      <c r="J382" s="569">
        <v>1</v>
      </c>
      <c r="K382" s="568" t="s">
        <v>437</v>
      </c>
      <c r="L382" s="570">
        <v>43922</v>
      </c>
      <c r="M382" s="581" t="s">
        <v>871</v>
      </c>
      <c r="N382" s="568" t="s">
        <v>818</v>
      </c>
      <c r="O382" s="569">
        <v>2020.02</v>
      </c>
      <c r="P382" s="571" t="str">
        <f>VLOOKUP(A382,'[1]Raw data'!$B:$BB,23,FALSE)</f>
        <v>JPY</v>
      </c>
      <c r="Q382" s="568" t="str">
        <f>VLOOKUP(A382,'[1]Raw data'!$B:$Z,2,FALSE)</f>
        <v>C49SZX20200035JY</v>
      </c>
      <c r="R382" s="568" t="str">
        <f>VLOOKUP(A382,'[1]Raw data'!$B:$Z,3,FALSE)</f>
        <v>创荣发</v>
      </c>
      <c r="S382" s="568" t="str">
        <f>VLOOKUP(A382,'[1]Raw data'!$B:$Z,4,FALSE)</f>
        <v>YSM20R(SV)-2</v>
      </c>
      <c r="T382" s="568" t="str">
        <f>VLOOKUP(A382,'[1]Raw data'!$B:$Z,8,FALSE)</f>
        <v>L-&gt;R</v>
      </c>
      <c r="U382" s="568" t="str">
        <f>VLOOKUP(A382,'[1]Raw data'!$B:$Z,9,FALSE)</f>
        <v>No</v>
      </c>
      <c r="V382" s="572" t="str">
        <f t="shared" si="57"/>
        <v>OK</v>
      </c>
      <c r="W382" s="568" t="str">
        <f>VLOOKUP(A382,'[1]Raw data'!$B:$AG,32,FALSE)</f>
        <v>DAP HZ</v>
      </c>
      <c r="X382" s="568">
        <f>VLOOKUP(A382,'[1]Raw data'!$B:$BA,31,FALSE)</f>
        <v>43921</v>
      </c>
      <c r="Y382" s="568" t="str">
        <f>VLOOKUP(A382,'[1]Raw data'!$B:$AS,39,FALSE)</f>
        <v>Yes</v>
      </c>
      <c r="AC382" s="568" t="s">
        <v>915</v>
      </c>
      <c r="AD382" s="576">
        <v>302</v>
      </c>
      <c r="AE382" s="576">
        <v>10</v>
      </c>
      <c r="AF382" s="576">
        <v>313</v>
      </c>
      <c r="AG382" s="576">
        <v>10</v>
      </c>
      <c r="AN382" s="547"/>
      <c r="AO382" s="829" t="str">
        <f t="shared" si="49"/>
        <v>Yes</v>
      </c>
      <c r="AP382" s="259" t="str">
        <f t="shared" si="50"/>
        <v>MAY 20</v>
      </c>
      <c r="AQ382" s="547" t="str">
        <f t="shared" si="51"/>
        <v>有定金+有預留客戶</v>
      </c>
      <c r="AR382" s="259" t="str">
        <f t="shared" si="52"/>
        <v>Shipped_Stock</v>
      </c>
      <c r="AS382" s="259" t="str">
        <f t="shared" si="53"/>
        <v/>
      </c>
      <c r="AT382" s="259" t="str">
        <f t="shared" si="54"/>
        <v>创荣发</v>
      </c>
      <c r="AU382" s="259" t="str">
        <f t="shared" si="55"/>
        <v>C49SZX20200035JY</v>
      </c>
      <c r="AV382" s="259" t="str">
        <f t="shared" si="56"/>
        <v>Apr-01</v>
      </c>
    </row>
    <row r="383" spans="1:48" hidden="1">
      <c r="A383" s="564">
        <v>606</v>
      </c>
      <c r="B383" s="565" t="s">
        <v>280</v>
      </c>
      <c r="C383" s="565" t="s">
        <v>281</v>
      </c>
      <c r="D383" s="604">
        <v>109816</v>
      </c>
      <c r="E383" s="567" t="s">
        <v>886</v>
      </c>
      <c r="F383" s="568" t="s">
        <v>256</v>
      </c>
      <c r="G383" s="568" t="s">
        <v>24</v>
      </c>
      <c r="H383" s="568" t="s">
        <v>26</v>
      </c>
      <c r="I383" s="569" t="s">
        <v>916</v>
      </c>
      <c r="J383" s="569">
        <v>1</v>
      </c>
      <c r="K383" s="568" t="s">
        <v>820</v>
      </c>
      <c r="L383" s="570">
        <v>43922</v>
      </c>
      <c r="M383" s="581">
        <v>6.7000000000000004E-2</v>
      </c>
      <c r="N383" s="568" t="s">
        <v>818</v>
      </c>
      <c r="O383" s="569">
        <v>2020.02</v>
      </c>
      <c r="P383" s="571" t="str">
        <f>VLOOKUP(A383,'[1]Raw data'!$B:$BB,23,FALSE)</f>
        <v>JPY</v>
      </c>
      <c r="Q383" s="568" t="str">
        <f>VLOOKUP(A383,'[1]Raw data'!$B:$Z,2,FALSE)</f>
        <v>C49SZX20200007SS</v>
      </c>
      <c r="R383" s="568" t="str">
        <f>VLOOKUP(A383,'[1]Raw data'!$B:$Z,3,FALSE)</f>
        <v>乐上</v>
      </c>
      <c r="S383" s="568" t="str">
        <f>VLOOKUP(A383,'[1]Raw data'!$B:$Z,4,FALSE)</f>
        <v>YSM20R(SV)-2</v>
      </c>
      <c r="T383" s="568" t="str">
        <f>VLOOKUP(A383,'[1]Raw data'!$B:$Z,8,FALSE)</f>
        <v>L-&gt;R</v>
      </c>
      <c r="U383" s="568" t="str">
        <f>VLOOKUP(A383,'[1]Raw data'!$B:$Z,9,FALSE)</f>
        <v>MVC</v>
      </c>
      <c r="V383" s="572" t="str">
        <f t="shared" si="57"/>
        <v>WRONG</v>
      </c>
      <c r="W383" s="568" t="str">
        <f>VLOOKUP(A383,'[1]Raw data'!$B:$AG,32,FALSE)</f>
        <v>DAP DG</v>
      </c>
      <c r="X383" s="568">
        <f>VLOOKUP(A383,'[1]Raw data'!$B:$BA,31,FALSE)</f>
        <v>43917</v>
      </c>
      <c r="Y383" s="568" t="str">
        <f>VLOOKUP(A383,'[1]Raw data'!$B:$AS,39,FALSE)</f>
        <v>Yes</v>
      </c>
      <c r="AC383" s="568" t="s">
        <v>768</v>
      </c>
      <c r="AD383" s="576">
        <v>303</v>
      </c>
      <c r="AE383" s="576">
        <v>10</v>
      </c>
      <c r="AF383" s="576">
        <v>313</v>
      </c>
      <c r="AG383" s="576">
        <v>10</v>
      </c>
      <c r="AN383" s="547"/>
      <c r="AO383" s="829" t="str">
        <f t="shared" si="49"/>
        <v>Yes</v>
      </c>
      <c r="AP383" s="259" t="str">
        <f t="shared" si="50"/>
        <v>MAY 20</v>
      </c>
      <c r="AQ383" s="547" t="str">
        <f t="shared" si="51"/>
        <v>有定金+有預留客戶</v>
      </c>
      <c r="AR383" s="259" t="str">
        <f t="shared" si="52"/>
        <v>Shipped_Stock</v>
      </c>
      <c r="AS383" s="259" t="str">
        <f t="shared" si="53"/>
        <v/>
      </c>
      <c r="AT383" s="259" t="str">
        <f t="shared" si="54"/>
        <v>乐上</v>
      </c>
      <c r="AU383" s="259" t="str">
        <f t="shared" si="55"/>
        <v>C49SZX20200007SS</v>
      </c>
      <c r="AV383" s="259" t="str">
        <f t="shared" si="56"/>
        <v>Apr-01</v>
      </c>
    </row>
    <row r="384" spans="1:48" hidden="1">
      <c r="A384" s="564">
        <v>774</v>
      </c>
      <c r="B384" s="565" t="s">
        <v>280</v>
      </c>
      <c r="C384" s="565" t="s">
        <v>281</v>
      </c>
      <c r="D384" s="604">
        <v>109816</v>
      </c>
      <c r="E384" s="567" t="s">
        <v>886</v>
      </c>
      <c r="F384" s="568" t="s">
        <v>243</v>
      </c>
      <c r="G384" s="568" t="s">
        <v>18</v>
      </c>
      <c r="H384" s="568" t="s">
        <v>159</v>
      </c>
      <c r="I384" s="569" t="s">
        <v>917</v>
      </c>
      <c r="J384" s="569">
        <v>1</v>
      </c>
      <c r="K384" s="568" t="s">
        <v>295</v>
      </c>
      <c r="L384" s="570">
        <v>43922</v>
      </c>
      <c r="M384" s="581" t="s">
        <v>871</v>
      </c>
      <c r="N384" s="568" t="s">
        <v>918</v>
      </c>
      <c r="O384" s="569">
        <v>2020.02</v>
      </c>
      <c r="P384" s="571" t="str">
        <f>VLOOKUP(A384,'[1]Raw data'!$B:$BB,23,FALSE)</f>
        <v>RMB</v>
      </c>
      <c r="Q384" s="568" t="str">
        <f>VLOOKUP(A384,'[1]Raw data'!$B:$Z,2,FALSE)</f>
        <v>C49SZX20200123DZ</v>
      </c>
      <c r="R384" s="568" t="str">
        <f>VLOOKUP(A384,'[1]Raw data'!$B:$Z,3,FALSE)</f>
        <v>海星</v>
      </c>
      <c r="S384" s="568" t="str">
        <f>VLOOKUP(A384,'[1]Raw data'!$B:$Z,4,FALSE)</f>
        <v>YSM20R(SV)-2</v>
      </c>
      <c r="T384" s="568" t="str">
        <f>VLOOKUP(A384,'[1]Raw data'!$B:$Z,8,FALSE)</f>
        <v>R-&gt;L</v>
      </c>
      <c r="U384" s="568" t="str">
        <f>VLOOKUP(A384,'[1]Raw data'!$B:$Z,9,FALSE)</f>
        <v>cATS10+MVC</v>
      </c>
      <c r="V384" s="572" t="str">
        <f t="shared" si="57"/>
        <v>WRONG</v>
      </c>
      <c r="W384" s="568" t="str">
        <f>VLOOKUP(A384,'[1]Raw data'!$B:$AG,32,FALSE)</f>
        <v>含税到厂</v>
      </c>
      <c r="X384" s="568">
        <f>VLOOKUP(A384,'[1]Raw data'!$B:$BA,31,FALSE)</f>
        <v>44056</v>
      </c>
      <c r="Y384" s="568" t="str">
        <f>VLOOKUP(A384,'[1]Raw data'!$B:$AS,39,FALSE)</f>
        <v>Yes</v>
      </c>
      <c r="AC384" s="568" t="s">
        <v>919</v>
      </c>
      <c r="AD384" s="576">
        <v>312</v>
      </c>
      <c r="AE384" s="576">
        <v>20</v>
      </c>
      <c r="AN384" s="547"/>
      <c r="AO384" s="829" t="str">
        <f t="shared" si="49"/>
        <v>Yes</v>
      </c>
      <c r="AP384" s="259" t="str">
        <f t="shared" si="50"/>
        <v>SEP 20</v>
      </c>
      <c r="AQ384" s="547" t="str">
        <f t="shared" si="51"/>
        <v>有定金+有預留客戶</v>
      </c>
      <c r="AR384" s="259" t="str">
        <f t="shared" si="52"/>
        <v>Shipped_Stock</v>
      </c>
      <c r="AS384" s="259" t="str">
        <f t="shared" si="53"/>
        <v/>
      </c>
      <c r="AT384" s="259" t="str">
        <f t="shared" si="54"/>
        <v>海星</v>
      </c>
      <c r="AU384" s="259" t="str">
        <f t="shared" si="55"/>
        <v>C49SZX20200123DZ</v>
      </c>
      <c r="AV384" s="259" t="str">
        <f t="shared" si="56"/>
        <v>Apr-01</v>
      </c>
    </row>
    <row r="385" spans="1:48" ht="22.5" hidden="1">
      <c r="A385" s="564">
        <v>623</v>
      </c>
      <c r="B385" s="565" t="s">
        <v>280</v>
      </c>
      <c r="C385" s="565" t="s">
        <v>281</v>
      </c>
      <c r="D385" s="604">
        <v>109783</v>
      </c>
      <c r="E385" s="567" t="s">
        <v>878</v>
      </c>
      <c r="F385" s="568" t="s">
        <v>17</v>
      </c>
      <c r="G385" s="568" t="s">
        <v>18</v>
      </c>
      <c r="H385" s="568" t="s">
        <v>26</v>
      </c>
      <c r="I385" s="569" t="s">
        <v>920</v>
      </c>
      <c r="J385" s="569">
        <v>1</v>
      </c>
      <c r="K385" s="568" t="s">
        <v>921</v>
      </c>
      <c r="L385" s="570">
        <v>43922</v>
      </c>
      <c r="M385" s="620" t="s">
        <v>922</v>
      </c>
      <c r="N385" s="568" t="s">
        <v>554</v>
      </c>
      <c r="O385" s="568">
        <v>2020.03</v>
      </c>
      <c r="P385" s="571" t="str">
        <f>VLOOKUP(A385,'[1]Raw data'!$B:$BB,23,FALSE)</f>
        <v>RMB</v>
      </c>
      <c r="Q385" s="568" t="str">
        <f>VLOOKUP(A385,'[1]Raw data'!$B:$Z,2,FALSE)</f>
        <v>C49SZX20200042JL</v>
      </c>
      <c r="R385" s="568" t="str">
        <f>VLOOKUP(A385,'[1]Raw data'!$B:$Z,3,FALSE)</f>
        <v>铭翔</v>
      </c>
      <c r="S385" s="568" t="str">
        <f>VLOOKUP(A385,'[1]Raw data'!$B:$Z,4,FALSE)</f>
        <v>YSM10</v>
      </c>
      <c r="T385" s="568" t="str">
        <f>VLOOKUP(A385,'[1]Raw data'!$B:$Z,8,FALSE)</f>
        <v>L-&gt;R</v>
      </c>
      <c r="U385" s="568" t="str">
        <f>VLOOKUP(A385,'[1]Raw data'!$B:$Z,9,FALSE)</f>
        <v>MVC</v>
      </c>
      <c r="V385" s="572" t="str">
        <f t="shared" si="57"/>
        <v>WRONG</v>
      </c>
      <c r="W385" s="568" t="str">
        <f>VLOOKUP(A385,'[1]Raw data'!$B:$AG,32,FALSE)</f>
        <v>含税到厂</v>
      </c>
      <c r="X385" s="568">
        <f>VLOOKUP(A385,'[1]Raw data'!$B:$BA,31,FALSE)</f>
        <v>43938</v>
      </c>
      <c r="Y385" s="568" t="str">
        <f>VLOOKUP(A385,'[1]Raw data'!$B:$AS,39,FALSE)</f>
        <v>Yes</v>
      </c>
      <c r="AC385" s="568" t="s">
        <v>772</v>
      </c>
      <c r="AD385" s="576">
        <v>301</v>
      </c>
      <c r="AE385" s="576">
        <v>10</v>
      </c>
      <c r="AN385" s="547"/>
      <c r="AO385" s="829" t="str">
        <f t="shared" si="49"/>
        <v>Yes</v>
      </c>
      <c r="AP385" s="259" t="str">
        <f t="shared" si="50"/>
        <v>APR 20</v>
      </c>
      <c r="AQ385" s="547" t="str">
        <f t="shared" si="51"/>
        <v>有定金+有預留客戶</v>
      </c>
      <c r="AR385" s="259" t="str">
        <f t="shared" si="52"/>
        <v>Shipped_Stock</v>
      </c>
      <c r="AS385" s="259" t="str">
        <f t="shared" si="53"/>
        <v/>
      </c>
      <c r="AT385" s="259" t="str">
        <f t="shared" si="54"/>
        <v>铭翔</v>
      </c>
      <c r="AU385" s="259" t="str">
        <f t="shared" si="55"/>
        <v>C49SZX20200042JL</v>
      </c>
      <c r="AV385" s="259" t="str">
        <f t="shared" si="56"/>
        <v>Apr-01</v>
      </c>
    </row>
    <row r="386" spans="1:48" ht="33" hidden="1">
      <c r="A386" s="564">
        <v>614</v>
      </c>
      <c r="B386" s="565" t="s">
        <v>280</v>
      </c>
      <c r="C386" s="565" t="s">
        <v>281</v>
      </c>
      <c r="D386" s="604">
        <v>109783</v>
      </c>
      <c r="E386" s="567" t="s">
        <v>878</v>
      </c>
      <c r="F386" s="568" t="s">
        <v>17</v>
      </c>
      <c r="G386" s="568" t="s">
        <v>18</v>
      </c>
      <c r="H386" s="568" t="s">
        <v>26</v>
      </c>
      <c r="I386" s="569" t="s">
        <v>923</v>
      </c>
      <c r="J386" s="569">
        <v>1</v>
      </c>
      <c r="K386" s="568" t="s">
        <v>437</v>
      </c>
      <c r="L386" s="570">
        <v>43922</v>
      </c>
      <c r="M386" s="620" t="s">
        <v>924</v>
      </c>
      <c r="N386" s="568" t="s">
        <v>554</v>
      </c>
      <c r="O386" s="568">
        <v>2020.03</v>
      </c>
      <c r="P386" s="571" t="str">
        <f>VLOOKUP(A386,'[1]Raw data'!$B:$BB,23,FALSE)</f>
        <v>RMB</v>
      </c>
      <c r="Q386" s="568" t="str">
        <f>VLOOKUP(A386,'[1]Raw data'!$B:$Z,2,FALSE)</f>
        <v>C49SZX20200041JY</v>
      </c>
      <c r="R386" s="568" t="str">
        <f>VLOOKUP(A386,'[1]Raw data'!$B:$Z,3,FALSE)</f>
        <v>晟锦威</v>
      </c>
      <c r="S386" s="568" t="str">
        <f>VLOOKUP(A386,'[1]Raw data'!$B:$Z,4,FALSE)</f>
        <v>YSM10</v>
      </c>
      <c r="T386" s="568" t="str">
        <f>VLOOKUP(A386,'[1]Raw data'!$B:$Z,8,FALSE)</f>
        <v>R-&gt;L</v>
      </c>
      <c r="U386" s="568" t="str">
        <f>VLOOKUP(A386,'[1]Raw data'!$B:$Z,9,FALSE)</f>
        <v>MVC</v>
      </c>
      <c r="V386" s="572" t="str">
        <f t="shared" si="57"/>
        <v>WRONG</v>
      </c>
      <c r="W386" s="568" t="str">
        <f>VLOOKUP(A386,'[1]Raw data'!$B:$AG,32,FALSE)</f>
        <v>含税到厂</v>
      </c>
      <c r="X386" s="568">
        <f>VLOOKUP(A386,'[1]Raw data'!$B:$BA,31,FALSE)</f>
        <v>43923</v>
      </c>
      <c r="Y386" s="568" t="str">
        <f>VLOOKUP(A386,'[1]Raw data'!$B:$AS,39,FALSE)</f>
        <v>Yes</v>
      </c>
      <c r="AC386" s="568" t="s">
        <v>854</v>
      </c>
      <c r="AD386" s="576">
        <v>302</v>
      </c>
      <c r="AE386" s="576">
        <v>10</v>
      </c>
      <c r="AN386" s="547"/>
      <c r="AO386" s="829" t="str">
        <f t="shared" si="49"/>
        <v>Yes</v>
      </c>
      <c r="AP386" s="259" t="str">
        <f t="shared" si="50"/>
        <v>APR 20</v>
      </c>
      <c r="AQ386" s="547" t="str">
        <f t="shared" si="51"/>
        <v>有定金+有預留客戶</v>
      </c>
      <c r="AR386" s="259" t="str">
        <f t="shared" si="52"/>
        <v>Shipped_Stock</v>
      </c>
      <c r="AS386" s="259" t="str">
        <f t="shared" si="53"/>
        <v/>
      </c>
      <c r="AT386" s="259" t="str">
        <f t="shared" si="54"/>
        <v>晟锦威</v>
      </c>
      <c r="AU386" s="259" t="str">
        <f t="shared" si="55"/>
        <v>C49SZX20200041JY</v>
      </c>
      <c r="AV386" s="259" t="str">
        <f t="shared" si="56"/>
        <v>Apr-01</v>
      </c>
    </row>
    <row r="387" spans="1:48" ht="22.5" hidden="1">
      <c r="A387" s="564">
        <v>577</v>
      </c>
      <c r="B387" s="565" t="s">
        <v>280</v>
      </c>
      <c r="C387" s="565" t="s">
        <v>281</v>
      </c>
      <c r="D387" s="604">
        <v>109783</v>
      </c>
      <c r="E387" s="567" t="s">
        <v>878</v>
      </c>
      <c r="F387" s="568" t="s">
        <v>17</v>
      </c>
      <c r="G387" s="568" t="s">
        <v>18</v>
      </c>
      <c r="H387" s="568" t="s">
        <v>26</v>
      </c>
      <c r="I387" s="569" t="s">
        <v>925</v>
      </c>
      <c r="J387" s="569">
        <v>1</v>
      </c>
      <c r="K387" s="568" t="s">
        <v>437</v>
      </c>
      <c r="L387" s="570">
        <v>43922</v>
      </c>
      <c r="M387" s="620" t="s">
        <v>926</v>
      </c>
      <c r="N387" s="568" t="s">
        <v>818</v>
      </c>
      <c r="O387" s="568">
        <v>2020.03</v>
      </c>
      <c r="P387" s="571" t="str">
        <f>VLOOKUP(A387,'[1]Raw data'!$B:$BB,23,FALSE)</f>
        <v>JPY</v>
      </c>
      <c r="Q387" s="568" t="str">
        <f>VLOOKUP(A387,'[1]Raw data'!$B:$Z,2,FALSE)</f>
        <v>C49SZX20200013SS</v>
      </c>
      <c r="R387" s="568" t="str">
        <f>VLOOKUP(A387,'[1]Raw data'!$B:$Z,3,FALSE)</f>
        <v>新平泰/end user:弛瑞</v>
      </c>
      <c r="S387" s="568" t="str">
        <f>VLOOKUP(A387,'[1]Raw data'!$B:$Z,4,FALSE)</f>
        <v>YSM10</v>
      </c>
      <c r="T387" s="568" t="str">
        <f>VLOOKUP(A387,'[1]Raw data'!$B:$Z,8,FALSE)</f>
        <v>L-&gt;R</v>
      </c>
      <c r="U387" s="568" t="str">
        <f>VLOOKUP(A387,'[1]Raw data'!$B:$Z,9,FALSE)</f>
        <v>MVC</v>
      </c>
      <c r="V387" s="572" t="str">
        <f t="shared" si="57"/>
        <v>WRONG</v>
      </c>
      <c r="W387" s="568" t="str">
        <f>VLOOKUP(A387,'[1]Raw data'!$B:$AG,32,FALSE)</f>
        <v>DAP SZ</v>
      </c>
      <c r="X387" s="568">
        <f>VLOOKUP(A387,'[1]Raw data'!$B:$BA,31,FALSE)</f>
        <v>43840</v>
      </c>
      <c r="Y387" s="568" t="str">
        <f>VLOOKUP(A387,'[1]Raw data'!$B:$AS,39,FALSE)</f>
        <v>Yes</v>
      </c>
      <c r="AC387" s="568" t="s">
        <v>904</v>
      </c>
      <c r="AD387" s="576">
        <v>301</v>
      </c>
      <c r="AE387" s="576">
        <v>10</v>
      </c>
      <c r="AN387" s="547"/>
      <c r="AO387" s="829" t="str">
        <f t="shared" ref="AO387:AO450" si="58">IFERROR(IF(Y387&lt;&gt;"",Y387,"No"),"No")</f>
        <v>Yes</v>
      </c>
      <c r="AP387" s="259" t="str">
        <f t="shared" ref="AP387:AP450" si="59">IFERROR(IF(N387&lt;&gt;"",N387,"blank"),"NA")</f>
        <v>MAY 20</v>
      </c>
      <c r="AQ387" s="547" t="str">
        <f t="shared" ref="AQ387:AQ450" si="60">IFERROR(IF(AND(AO387="Yes", AP387&lt;&gt;"blank"), "有定金+有預留客戶", IF(AND(AO387="Yes", AP387="blank"), "有定金+无客戶送貨期", IF(AND(OR(AO387="No", ISBLANK(AO387), AO387="NA"), AP387&lt;&gt;"blank"), "无定金+有預留客戶", IF(AND(OR(AO387="No", ISBLANK(AO387), AO387="NA"), AP387="blank"), "无定金+无預留客戶", "")))), "")</f>
        <v>有定金+有預留客戶</v>
      </c>
      <c r="AR387" s="259" t="str">
        <f t="shared" ref="AR387:AR450" si="61">IFERROR(IF(B387="已经到货", "Instock", IF(B387="有交期", "Incoming_Stock_With_YAMAHA_Schedule", IF(B387="TBA.", "Incoming_Stock_No_YAMAHA_Schedule", IF(B387="已发货", "Shipped_Stock", "")))), "")</f>
        <v>Shipped_Stock</v>
      </c>
      <c r="AS387" s="259" t="str">
        <f t="shared" ref="AS387:AS450" si="62">IF(AND(B387="有交期", L387&lt;&gt;""), L387, "")</f>
        <v/>
      </c>
      <c r="AT387" s="259" t="str">
        <f t="shared" ref="AT387:AT450" si="63">IFERROR(IF(R387&lt;&gt;"",R387),"-")</f>
        <v>新平泰/end user:弛瑞</v>
      </c>
      <c r="AU387" s="259" t="str">
        <f t="shared" ref="AU387:AU450" si="64">IFERROR(IF(Q387&lt;&gt;"",Q387),"-")</f>
        <v>C49SZX20200013SS</v>
      </c>
      <c r="AV387" s="259" t="str">
        <f t="shared" ref="AV387:AV450" si="65">IF(L387="","-",TEXT(L387,"mmm-dd"))</f>
        <v>Apr-01</v>
      </c>
    </row>
    <row r="388" spans="1:48" ht="22.5" hidden="1">
      <c r="A388" s="564">
        <v>674</v>
      </c>
      <c r="B388" s="565" t="s">
        <v>927</v>
      </c>
      <c r="C388" s="565" t="s">
        <v>281</v>
      </c>
      <c r="D388" s="604">
        <v>109783</v>
      </c>
      <c r="E388" s="567" t="s">
        <v>878</v>
      </c>
      <c r="F388" s="568" t="s">
        <v>17</v>
      </c>
      <c r="G388" s="568" t="s">
        <v>18</v>
      </c>
      <c r="H388" s="568" t="s">
        <v>19</v>
      </c>
      <c r="I388" s="569" t="s">
        <v>928</v>
      </c>
      <c r="J388" s="569">
        <v>1</v>
      </c>
      <c r="K388" s="568" t="s">
        <v>437</v>
      </c>
      <c r="L388" s="570">
        <v>43922</v>
      </c>
      <c r="M388" s="620" t="s">
        <v>929</v>
      </c>
      <c r="N388" s="568" t="s">
        <v>930</v>
      </c>
      <c r="O388" s="568">
        <v>2020.03</v>
      </c>
      <c r="P388" s="571" t="str">
        <f>VLOOKUP(A388,'[1]Raw data'!$B:$BB,23,FALSE)</f>
        <v>RMB</v>
      </c>
      <c r="Q388" s="568" t="str">
        <f>VLOOKUP(A388,'[1]Raw data'!$B:$Z,2,FALSE)</f>
        <v>C49SZX20200079KW</v>
      </c>
      <c r="R388" s="568" t="str">
        <f>VLOOKUP(A388,'[1]Raw data'!$B:$Z,3,FALSE)</f>
        <v>晨日电子</v>
      </c>
      <c r="S388" s="568" t="str">
        <f>VLOOKUP(A388,'[1]Raw data'!$B:$Z,4,FALSE)</f>
        <v>YSM10</v>
      </c>
      <c r="T388" s="568" t="str">
        <f>VLOOKUP(A388,'[1]Raw data'!$B:$Z,8,FALSE)</f>
        <v>L-&gt;R</v>
      </c>
      <c r="U388" s="568" t="str">
        <f>VLOOKUP(A388,'[1]Raw data'!$B:$Z,9,FALSE)</f>
        <v>MVC+ATS15</v>
      </c>
      <c r="V388" s="572" t="str">
        <f t="shared" si="57"/>
        <v>WRONG</v>
      </c>
      <c r="W388" s="568" t="str">
        <f>VLOOKUP(A388,'[1]Raw data'!$B:$AG,32,FALSE)</f>
        <v>含税到厂</v>
      </c>
      <c r="X388" s="568">
        <f>VLOOKUP(A388,'[1]Raw data'!$B:$BA,31,FALSE)</f>
        <v>44005</v>
      </c>
      <c r="Y388" s="568" t="str">
        <f>VLOOKUP(A388,'[1]Raw data'!$B:$AS,39,FALSE)</f>
        <v>Yes</v>
      </c>
      <c r="AC388" s="568" t="s">
        <v>931</v>
      </c>
      <c r="AD388" s="576">
        <v>301</v>
      </c>
      <c r="AE388" s="576">
        <v>10</v>
      </c>
      <c r="AN388" s="547"/>
      <c r="AO388" s="829" t="str">
        <f t="shared" si="58"/>
        <v>Yes</v>
      </c>
      <c r="AP388" s="259" t="str">
        <f t="shared" si="59"/>
        <v>AUG 20</v>
      </c>
      <c r="AQ388" s="547" t="str">
        <f t="shared" si="60"/>
        <v>有定金+有預留客戶</v>
      </c>
      <c r="AR388" s="259" t="str">
        <f t="shared" si="61"/>
        <v>Shipped_Stock</v>
      </c>
      <c r="AS388" s="259" t="str">
        <f t="shared" si="62"/>
        <v/>
      </c>
      <c r="AT388" s="259" t="str">
        <f t="shared" si="63"/>
        <v>晨日电子</v>
      </c>
      <c r="AU388" s="259" t="str">
        <f t="shared" si="64"/>
        <v>C49SZX20200079KW</v>
      </c>
      <c r="AV388" s="259" t="str">
        <f t="shared" si="65"/>
        <v>Apr-01</v>
      </c>
    </row>
    <row r="389" spans="1:48" ht="22.5" hidden="1">
      <c r="A389" s="564">
        <v>676</v>
      </c>
      <c r="B389" s="565" t="s">
        <v>280</v>
      </c>
      <c r="C389" s="565" t="s">
        <v>281</v>
      </c>
      <c r="D389" s="604">
        <v>109783</v>
      </c>
      <c r="E389" s="567" t="s">
        <v>878</v>
      </c>
      <c r="F389" s="568" t="s">
        <v>17</v>
      </c>
      <c r="G389" s="568" t="s">
        <v>18</v>
      </c>
      <c r="H389" s="568" t="s">
        <v>19</v>
      </c>
      <c r="I389" s="569" t="s">
        <v>932</v>
      </c>
      <c r="J389" s="569">
        <v>1</v>
      </c>
      <c r="K389" s="568" t="s">
        <v>437</v>
      </c>
      <c r="L389" s="570">
        <v>43922</v>
      </c>
      <c r="M389" s="620" t="s">
        <v>929</v>
      </c>
      <c r="N389" s="568" t="s">
        <v>300</v>
      </c>
      <c r="O389" s="568">
        <v>2020.03</v>
      </c>
      <c r="P389" s="571" t="str">
        <f>VLOOKUP(A389,'[1]Raw data'!$B:$BB,23,FALSE)</f>
        <v>JPY</v>
      </c>
      <c r="Q389" s="568" t="str">
        <f>VLOOKUP(A389,'[1]Raw data'!$B:$Z,2,FALSE)</f>
        <v>C49SZX20200081DZ</v>
      </c>
      <c r="R389" s="568" t="str">
        <f>VLOOKUP(A389,'[1]Raw data'!$B:$Z,3,FALSE)</f>
        <v>朗特</v>
      </c>
      <c r="S389" s="568" t="str">
        <f>VLOOKUP(A389,'[1]Raw data'!$B:$Z,4,FALSE)</f>
        <v>YSM10</v>
      </c>
      <c r="T389" s="568" t="str">
        <f>VLOOKUP(A389,'[1]Raw data'!$B:$Z,8,FALSE)</f>
        <v>L-&gt;R</v>
      </c>
      <c r="U389" s="568" t="str">
        <f>VLOOKUP(A389,'[1]Raw data'!$B:$Z,9,FALSE)</f>
        <v>MVC+ATS15</v>
      </c>
      <c r="V389" s="572" t="str">
        <f t="shared" si="57"/>
        <v>WRONG</v>
      </c>
      <c r="W389" s="568" t="str">
        <f>VLOOKUP(A389,'[1]Raw data'!$B:$AG,32,FALSE)</f>
        <v>CIF HK</v>
      </c>
      <c r="X389" s="568">
        <f>VLOOKUP(A389,'[1]Raw data'!$B:$BA,31,FALSE)</f>
        <v>44006</v>
      </c>
      <c r="Y389" s="568" t="str">
        <f>VLOOKUP(A389,'[1]Raw data'!$B:$AS,39,FALSE)</f>
        <v>Yes</v>
      </c>
      <c r="AC389" s="568" t="s">
        <v>933</v>
      </c>
      <c r="AD389" s="576">
        <v>301</v>
      </c>
      <c r="AE389" s="576">
        <v>10</v>
      </c>
      <c r="AN389" s="547"/>
      <c r="AO389" s="829" t="str">
        <f t="shared" si="58"/>
        <v>Yes</v>
      </c>
      <c r="AP389" s="259" t="str">
        <f t="shared" si="59"/>
        <v>JUL 20</v>
      </c>
      <c r="AQ389" s="547" t="str">
        <f t="shared" si="60"/>
        <v>有定金+有預留客戶</v>
      </c>
      <c r="AR389" s="259" t="str">
        <f t="shared" si="61"/>
        <v>Shipped_Stock</v>
      </c>
      <c r="AS389" s="259" t="str">
        <f t="shared" si="62"/>
        <v/>
      </c>
      <c r="AT389" s="259" t="str">
        <f t="shared" si="63"/>
        <v>朗特</v>
      </c>
      <c r="AU389" s="259" t="str">
        <f t="shared" si="64"/>
        <v>C49SZX20200081DZ</v>
      </c>
      <c r="AV389" s="259" t="str">
        <f t="shared" si="65"/>
        <v>Apr-01</v>
      </c>
    </row>
    <row r="390" spans="1:48" ht="22.5" hidden="1">
      <c r="A390" s="564">
        <v>656</v>
      </c>
      <c r="B390" s="565" t="s">
        <v>280</v>
      </c>
      <c r="C390" s="565" t="s">
        <v>281</v>
      </c>
      <c r="D390" s="604">
        <v>109783</v>
      </c>
      <c r="E390" s="567" t="s">
        <v>878</v>
      </c>
      <c r="F390" s="568" t="s">
        <v>17</v>
      </c>
      <c r="G390" s="568" t="s">
        <v>18</v>
      </c>
      <c r="H390" s="568" t="s">
        <v>934</v>
      </c>
      <c r="I390" s="569" t="s">
        <v>935</v>
      </c>
      <c r="J390" s="569">
        <v>1</v>
      </c>
      <c r="K390" s="568" t="s">
        <v>295</v>
      </c>
      <c r="L390" s="570">
        <v>43922</v>
      </c>
      <c r="M390" s="620" t="s">
        <v>929</v>
      </c>
      <c r="N390" s="568" t="s">
        <v>300</v>
      </c>
      <c r="O390" s="568">
        <v>2020.03</v>
      </c>
      <c r="P390" s="571" t="str">
        <f>VLOOKUP(A390,'[1]Raw data'!$B:$BB,23,FALSE)</f>
        <v>RMB</v>
      </c>
      <c r="Q390" s="568" t="str">
        <f>VLOOKUP(A390,'[1]Raw data'!$B:$Z,2,FALSE)</f>
        <v>C49SZX20200058SS</v>
      </c>
      <c r="R390" s="568" t="str">
        <f>VLOOKUP(A390,'[1]Raw data'!$B:$Z,3,FALSE)</f>
        <v>中润互联</v>
      </c>
      <c r="S390" s="568" t="str">
        <f>VLOOKUP(A390,'[1]Raw data'!$B:$Z,4,FALSE)</f>
        <v>YSM10</v>
      </c>
      <c r="T390" s="568" t="str">
        <f>VLOOKUP(A390,'[1]Raw data'!$B:$Z,8,FALSE)</f>
        <v>R-&gt;L</v>
      </c>
      <c r="U390" s="568" t="str">
        <f>VLOOKUP(A390,'[1]Raw data'!$B:$Z,9,FALSE)</f>
        <v>MVC+ATS15</v>
      </c>
      <c r="V390" s="572" t="str">
        <f t="shared" si="57"/>
        <v>WRONG</v>
      </c>
      <c r="W390" s="568" t="str">
        <f>VLOOKUP(A390,'[1]Raw data'!$B:$AG,32,FALSE)</f>
        <v>含税到厂</v>
      </c>
      <c r="X390" s="568">
        <f>VLOOKUP(A390,'[1]Raw data'!$B:$BA,31,FALSE)</f>
        <v>43986</v>
      </c>
      <c r="Y390" s="568" t="str">
        <f>VLOOKUP(A390,'[1]Raw data'!$B:$AS,39,FALSE)</f>
        <v>Yes</v>
      </c>
      <c r="AC390" s="568" t="s">
        <v>936</v>
      </c>
      <c r="AD390" s="576">
        <v>301</v>
      </c>
      <c r="AE390" s="576">
        <v>10</v>
      </c>
      <c r="AN390" s="547"/>
      <c r="AO390" s="829" t="str">
        <f t="shared" si="58"/>
        <v>Yes</v>
      </c>
      <c r="AP390" s="259" t="str">
        <f t="shared" si="59"/>
        <v>JUL 20</v>
      </c>
      <c r="AQ390" s="547" t="str">
        <f t="shared" si="60"/>
        <v>有定金+有預留客戶</v>
      </c>
      <c r="AR390" s="259" t="str">
        <f t="shared" si="61"/>
        <v>Shipped_Stock</v>
      </c>
      <c r="AS390" s="259" t="str">
        <f t="shared" si="62"/>
        <v/>
      </c>
      <c r="AT390" s="259" t="str">
        <f t="shared" si="63"/>
        <v>中润互联</v>
      </c>
      <c r="AU390" s="259" t="str">
        <f t="shared" si="64"/>
        <v>C49SZX20200058SS</v>
      </c>
      <c r="AV390" s="259" t="str">
        <f t="shared" si="65"/>
        <v>Apr-01</v>
      </c>
    </row>
    <row r="391" spans="1:48" hidden="1">
      <c r="A391" s="564">
        <v>604</v>
      </c>
      <c r="B391" s="565" t="s">
        <v>280</v>
      </c>
      <c r="C391" s="565" t="s">
        <v>281</v>
      </c>
      <c r="D391" s="604">
        <v>109820</v>
      </c>
      <c r="E391" s="567" t="s">
        <v>886</v>
      </c>
      <c r="F391" s="568" t="s">
        <v>17</v>
      </c>
      <c r="G391" s="568" t="s">
        <v>18</v>
      </c>
      <c r="H391" s="568" t="s">
        <v>26</v>
      </c>
      <c r="I391" s="569" t="s">
        <v>937</v>
      </c>
      <c r="J391" s="569">
        <v>1</v>
      </c>
      <c r="K391" s="568" t="s">
        <v>938</v>
      </c>
      <c r="L391" s="570">
        <v>43924</v>
      </c>
      <c r="M391" s="581" t="s">
        <v>939</v>
      </c>
      <c r="N391" s="568" t="s">
        <v>818</v>
      </c>
      <c r="O391" s="568">
        <v>2020.03</v>
      </c>
      <c r="P391" s="571" t="str">
        <f>VLOOKUP(A391,'[1]Raw data'!$B:$BB,23,FALSE)</f>
        <v>JPY</v>
      </c>
      <c r="Q391" s="568" t="str">
        <f>VLOOKUP(A391,'[1]Raw data'!$B:$Z,2,FALSE)</f>
        <v>C49SZX20200036CX</v>
      </c>
      <c r="R391" s="568" t="str">
        <f>VLOOKUP(A391,'[1]Raw data'!$B:$Z,3,FALSE)</f>
        <v>钧溢电子</v>
      </c>
      <c r="S391" s="568" t="str">
        <f>VLOOKUP(A391,'[1]Raw data'!$B:$Z,4,FALSE)</f>
        <v>YSM10</v>
      </c>
      <c r="T391" s="568" t="str">
        <f>VLOOKUP(A391,'[1]Raw data'!$B:$Z,8,FALSE)</f>
        <v>L-&gt;R</v>
      </c>
      <c r="U391" s="568" t="str">
        <f>VLOOKUP(A391,'[1]Raw data'!$B:$Z,9,FALSE)</f>
        <v>MVC</v>
      </c>
      <c r="V391" s="572" t="str">
        <f t="shared" si="57"/>
        <v>WRONG</v>
      </c>
      <c r="W391" s="568" t="str">
        <f>VLOOKUP(A391,'[1]Raw data'!$B:$AG,32,FALSE)</f>
        <v>DAP SZ</v>
      </c>
      <c r="X391" s="568">
        <f>VLOOKUP(A391,'[1]Raw data'!$B:$BA,31,FALSE)</f>
        <v>43915</v>
      </c>
      <c r="Y391" s="568" t="str">
        <f>VLOOKUP(A391,'[1]Raw data'!$B:$AS,39,FALSE)</f>
        <v>Yes</v>
      </c>
      <c r="AC391" s="568" t="s">
        <v>940</v>
      </c>
      <c r="AD391" s="576">
        <v>301</v>
      </c>
      <c r="AE391" s="576">
        <v>10</v>
      </c>
      <c r="AN391" s="547"/>
      <c r="AO391" s="829" t="str">
        <f t="shared" si="58"/>
        <v>Yes</v>
      </c>
      <c r="AP391" s="259" t="str">
        <f t="shared" si="59"/>
        <v>MAY 20</v>
      </c>
      <c r="AQ391" s="547" t="str">
        <f t="shared" si="60"/>
        <v>有定金+有預留客戶</v>
      </c>
      <c r="AR391" s="259" t="str">
        <f t="shared" si="61"/>
        <v>Shipped_Stock</v>
      </c>
      <c r="AS391" s="259" t="str">
        <f t="shared" si="62"/>
        <v/>
      </c>
      <c r="AT391" s="259" t="str">
        <f t="shared" si="63"/>
        <v>钧溢电子</v>
      </c>
      <c r="AU391" s="259" t="str">
        <f t="shared" si="64"/>
        <v>C49SZX20200036CX</v>
      </c>
      <c r="AV391" s="259" t="str">
        <f t="shared" si="65"/>
        <v>Apr-03</v>
      </c>
    </row>
    <row r="392" spans="1:48" ht="33.75" hidden="1">
      <c r="A392" s="564">
        <v>634</v>
      </c>
      <c r="B392" s="565" t="s">
        <v>280</v>
      </c>
      <c r="C392" s="565" t="s">
        <v>281</v>
      </c>
      <c r="D392" s="630">
        <v>109820</v>
      </c>
      <c r="E392" s="567" t="s">
        <v>886</v>
      </c>
      <c r="F392" s="568" t="s">
        <v>17</v>
      </c>
      <c r="G392" s="568" t="s">
        <v>18</v>
      </c>
      <c r="H392" s="568" t="s">
        <v>26</v>
      </c>
      <c r="I392" s="569" t="s">
        <v>941</v>
      </c>
      <c r="J392" s="569">
        <v>1</v>
      </c>
      <c r="K392" s="568" t="s">
        <v>938</v>
      </c>
      <c r="L392" s="570">
        <v>43924</v>
      </c>
      <c r="M392" s="620" t="s">
        <v>942</v>
      </c>
      <c r="N392" s="568" t="s">
        <v>818</v>
      </c>
      <c r="O392" s="568">
        <v>2020.03</v>
      </c>
      <c r="P392" s="571" t="str">
        <f>VLOOKUP(A392,'[1]Raw data'!$B:$BB,23,FALSE)</f>
        <v>RMB</v>
      </c>
      <c r="Q392" s="568" t="str">
        <f>VLOOKUP(A392,'[1]Raw data'!$B:$Z,2,FALSE)</f>
        <v>C49SZX20200011DZ</v>
      </c>
      <c r="R392" s="568" t="str">
        <f>VLOOKUP(A392,'[1]Raw data'!$B:$Z,3,FALSE)</f>
        <v>和盛光电</v>
      </c>
      <c r="S392" s="568" t="str">
        <f>VLOOKUP(A392,'[1]Raw data'!$B:$Z,4,FALSE)</f>
        <v>YSM10</v>
      </c>
      <c r="T392" s="568" t="str">
        <f>VLOOKUP(A392,'[1]Raw data'!$B:$Z,8,FALSE)</f>
        <v>R-&gt;L</v>
      </c>
      <c r="U392" s="568" t="str">
        <f>VLOOKUP(A392,'[1]Raw data'!$B:$Z,9,FALSE)</f>
        <v>No</v>
      </c>
      <c r="V392" s="572" t="str">
        <f t="shared" si="57"/>
        <v>OK</v>
      </c>
      <c r="W392" s="568" t="str">
        <f>VLOOKUP(A392,'[1]Raw data'!$B:$AG,32,FALSE)</f>
        <v>含税到厂</v>
      </c>
      <c r="X392" s="568">
        <f>VLOOKUP(A392,'[1]Raw data'!$B:$BA,31,FALSE)</f>
        <v>43943</v>
      </c>
      <c r="Y392" s="568" t="str">
        <f>VLOOKUP(A392,'[1]Raw data'!$B:$AS,39,FALSE)</f>
        <v>Yes</v>
      </c>
      <c r="AC392" s="568" t="s">
        <v>943</v>
      </c>
      <c r="AD392" s="576">
        <v>301</v>
      </c>
      <c r="AE392" s="576">
        <v>10</v>
      </c>
      <c r="AN392" s="547"/>
      <c r="AO392" s="829" t="str">
        <f t="shared" si="58"/>
        <v>Yes</v>
      </c>
      <c r="AP392" s="259" t="str">
        <f t="shared" si="59"/>
        <v>MAY 20</v>
      </c>
      <c r="AQ392" s="547" t="str">
        <f t="shared" si="60"/>
        <v>有定金+有預留客戶</v>
      </c>
      <c r="AR392" s="259" t="str">
        <f t="shared" si="61"/>
        <v>Shipped_Stock</v>
      </c>
      <c r="AS392" s="259" t="str">
        <f t="shared" si="62"/>
        <v/>
      </c>
      <c r="AT392" s="259" t="str">
        <f t="shared" si="63"/>
        <v>和盛光电</v>
      </c>
      <c r="AU392" s="259" t="str">
        <f t="shared" si="64"/>
        <v>C49SZX20200011DZ</v>
      </c>
      <c r="AV392" s="259" t="str">
        <f t="shared" si="65"/>
        <v>Apr-03</v>
      </c>
    </row>
    <row r="393" spans="1:48" ht="34.5" hidden="1" thickBot="1">
      <c r="A393" s="564">
        <v>636</v>
      </c>
      <c r="B393" s="565" t="s">
        <v>280</v>
      </c>
      <c r="C393" s="565" t="s">
        <v>281</v>
      </c>
      <c r="D393" s="629">
        <v>109820</v>
      </c>
      <c r="E393" s="567" t="s">
        <v>886</v>
      </c>
      <c r="F393" s="568" t="s">
        <v>17</v>
      </c>
      <c r="G393" s="568" t="s">
        <v>18</v>
      </c>
      <c r="H393" s="568" t="s">
        <v>26</v>
      </c>
      <c r="I393" s="569" t="s">
        <v>944</v>
      </c>
      <c r="J393" s="569">
        <v>1</v>
      </c>
      <c r="K393" s="568" t="s">
        <v>820</v>
      </c>
      <c r="L393" s="570">
        <v>43924</v>
      </c>
      <c r="M393" s="620" t="s">
        <v>942</v>
      </c>
      <c r="N393" s="568" t="s">
        <v>818</v>
      </c>
      <c r="O393" s="568">
        <v>2020.03</v>
      </c>
      <c r="P393" s="571" t="str">
        <f>VLOOKUP(A393,'[1]Raw data'!$B:$BB,23,FALSE)</f>
        <v>RMB</v>
      </c>
      <c r="Q393" s="568" t="str">
        <f>VLOOKUP(A393,'[1]Raw data'!$B:$Z,2,FALSE)</f>
        <v>C49SZX20200047MZ</v>
      </c>
      <c r="R393" s="568" t="str">
        <f>VLOOKUP(A393,'[1]Raw data'!$B:$Z,3,FALSE)</f>
        <v>融创新合</v>
      </c>
      <c r="S393" s="568" t="str">
        <f>VLOOKUP(A393,'[1]Raw data'!$B:$Z,4,FALSE)</f>
        <v>YSM10</v>
      </c>
      <c r="T393" s="568" t="str">
        <f>VLOOKUP(A393,'[1]Raw data'!$B:$Z,8,FALSE)</f>
        <v>L-&gt;R</v>
      </c>
      <c r="U393" s="568" t="str">
        <f>VLOOKUP(A393,'[1]Raw data'!$B:$Z,9,FALSE)</f>
        <v>MVC</v>
      </c>
      <c r="V393" s="572" t="str">
        <f t="shared" si="57"/>
        <v>WRONG</v>
      </c>
      <c r="W393" s="568" t="str">
        <f>VLOOKUP(A393,'[1]Raw data'!$B:$AG,32,FALSE)</f>
        <v>含税到厂</v>
      </c>
      <c r="X393" s="568">
        <f>VLOOKUP(A393,'[1]Raw data'!$B:$BA,31,FALSE)</f>
        <v>43944</v>
      </c>
      <c r="Y393" s="568" t="str">
        <f>VLOOKUP(A393,'[1]Raw data'!$B:$AS,39,FALSE)</f>
        <v>Yes</v>
      </c>
      <c r="AC393" s="568" t="s">
        <v>945</v>
      </c>
      <c r="AD393" s="576">
        <v>301</v>
      </c>
      <c r="AE393" s="576">
        <v>10</v>
      </c>
      <c r="AN393" s="547"/>
      <c r="AO393" s="829" t="str">
        <f t="shared" si="58"/>
        <v>Yes</v>
      </c>
      <c r="AP393" s="259" t="str">
        <f t="shared" si="59"/>
        <v>MAY 20</v>
      </c>
      <c r="AQ393" s="547" t="str">
        <f t="shared" si="60"/>
        <v>有定金+有預留客戶</v>
      </c>
      <c r="AR393" s="259" t="str">
        <f t="shared" si="61"/>
        <v>Shipped_Stock</v>
      </c>
      <c r="AS393" s="259" t="str">
        <f t="shared" si="62"/>
        <v/>
      </c>
      <c r="AT393" s="259" t="str">
        <f t="shared" si="63"/>
        <v>融创新合</v>
      </c>
      <c r="AU393" s="259" t="str">
        <f t="shared" si="64"/>
        <v>C49SZX20200047MZ</v>
      </c>
      <c r="AV393" s="259" t="str">
        <f t="shared" si="65"/>
        <v>Apr-03</v>
      </c>
    </row>
    <row r="394" spans="1:48" ht="34.5" hidden="1" thickBot="1">
      <c r="A394" s="564">
        <v>602</v>
      </c>
      <c r="B394" s="565" t="s">
        <v>280</v>
      </c>
      <c r="C394" s="565" t="s">
        <v>281</v>
      </c>
      <c r="D394" s="648">
        <v>109820</v>
      </c>
      <c r="E394" s="567" t="s">
        <v>886</v>
      </c>
      <c r="F394" s="568" t="s">
        <v>17</v>
      </c>
      <c r="G394" s="568" t="s">
        <v>18</v>
      </c>
      <c r="H394" s="568" t="s">
        <v>26</v>
      </c>
      <c r="I394" s="569" t="s">
        <v>946</v>
      </c>
      <c r="J394" s="569">
        <v>1</v>
      </c>
      <c r="K394" s="568" t="s">
        <v>437</v>
      </c>
      <c r="L394" s="570">
        <v>43924</v>
      </c>
      <c r="M394" s="620" t="s">
        <v>942</v>
      </c>
      <c r="N394" s="568" t="s">
        <v>903</v>
      </c>
      <c r="O394" s="568">
        <v>2020.03</v>
      </c>
      <c r="P394" s="571" t="str">
        <f>VLOOKUP(A394,'[1]Raw data'!$B:$BB,23,FALSE)</f>
        <v>RMB</v>
      </c>
      <c r="Q394" s="568" t="str">
        <f>VLOOKUP(A394,'[1]Raw data'!$B:$Z,2,FALSE)</f>
        <v>C49SZX20200031DZ</v>
      </c>
      <c r="R394" s="568" t="str">
        <f>VLOOKUP(A394,'[1]Raw data'!$B:$Z,3,FALSE)</f>
        <v>金海智控</v>
      </c>
      <c r="S394" s="568" t="str">
        <f>VLOOKUP(A394,'[1]Raw data'!$B:$Z,4,FALSE)</f>
        <v>YSM10</v>
      </c>
      <c r="T394" s="568" t="str">
        <f>VLOOKUP(A394,'[1]Raw data'!$B:$Z,8,FALSE)</f>
        <v>L-&gt;R</v>
      </c>
      <c r="U394" s="568" t="str">
        <f>VLOOKUP(A394,'[1]Raw data'!$B:$Z,9,FALSE)</f>
        <v>MVC</v>
      </c>
      <c r="V394" s="572" t="str">
        <f t="shared" si="57"/>
        <v>WRONG</v>
      </c>
      <c r="W394" s="568" t="str">
        <f>VLOOKUP(A394,'[1]Raw data'!$B:$AG,32,FALSE)</f>
        <v>含税到厂</v>
      </c>
      <c r="X394" s="568">
        <f>VLOOKUP(A394,'[1]Raw data'!$B:$BA,31,FALSE)</f>
        <v>43915</v>
      </c>
      <c r="Y394" s="568" t="str">
        <f>VLOOKUP(A394,'[1]Raw data'!$B:$AS,39,FALSE)</f>
        <v>Yes</v>
      </c>
      <c r="AC394" s="568" t="s">
        <v>947</v>
      </c>
      <c r="AD394" s="576">
        <v>301</v>
      </c>
      <c r="AE394" s="576">
        <v>10</v>
      </c>
      <c r="AN394" s="547"/>
      <c r="AO394" s="829" t="str">
        <f t="shared" si="58"/>
        <v>Yes</v>
      </c>
      <c r="AP394" s="259" t="str">
        <f t="shared" si="59"/>
        <v>JUN 20</v>
      </c>
      <c r="AQ394" s="547" t="str">
        <f t="shared" si="60"/>
        <v>有定金+有預留客戶</v>
      </c>
      <c r="AR394" s="259" t="str">
        <f t="shared" si="61"/>
        <v>Shipped_Stock</v>
      </c>
      <c r="AS394" s="259" t="str">
        <f t="shared" si="62"/>
        <v/>
      </c>
      <c r="AT394" s="259" t="str">
        <f t="shared" si="63"/>
        <v>金海智控</v>
      </c>
      <c r="AU394" s="259" t="str">
        <f t="shared" si="64"/>
        <v>C49SZX20200031DZ</v>
      </c>
      <c r="AV394" s="259" t="str">
        <f t="shared" si="65"/>
        <v>Apr-03</v>
      </c>
    </row>
    <row r="395" spans="1:48" ht="33.75" hidden="1">
      <c r="A395" s="564">
        <v>643</v>
      </c>
      <c r="B395" s="565" t="s">
        <v>280</v>
      </c>
      <c r="C395" s="565" t="s">
        <v>281</v>
      </c>
      <c r="D395" s="649">
        <v>109820</v>
      </c>
      <c r="E395" s="567" t="s">
        <v>886</v>
      </c>
      <c r="F395" s="568" t="s">
        <v>17</v>
      </c>
      <c r="G395" s="568" t="s">
        <v>18</v>
      </c>
      <c r="H395" s="568" t="s">
        <v>26</v>
      </c>
      <c r="I395" s="569" t="s">
        <v>948</v>
      </c>
      <c r="J395" s="569">
        <v>1</v>
      </c>
      <c r="K395" s="568" t="s">
        <v>437</v>
      </c>
      <c r="L395" s="570">
        <v>43924</v>
      </c>
      <c r="M395" s="620" t="s">
        <v>942</v>
      </c>
      <c r="N395" s="568" t="s">
        <v>818</v>
      </c>
      <c r="O395" s="568">
        <v>2020.03</v>
      </c>
      <c r="P395" s="571" t="str">
        <f>VLOOKUP(A395,'[1]Raw data'!$B:$BB,23,FALSE)</f>
        <v>RMB</v>
      </c>
      <c r="Q395" s="568" t="str">
        <f>VLOOKUP(A395,'[1]Raw data'!$B:$Z,2,FALSE)</f>
        <v>C49SZX20200037SX-R1</v>
      </c>
      <c r="R395" s="568" t="str">
        <f>VLOOKUP(A395,'[1]Raw data'!$B:$Z,3,FALSE)</f>
        <v>利速达</v>
      </c>
      <c r="S395" s="568" t="str">
        <f>VLOOKUP(A395,'[1]Raw data'!$B:$Z,4,FALSE)</f>
        <v>YSM10</v>
      </c>
      <c r="T395" s="568" t="str">
        <f>VLOOKUP(A395,'[1]Raw data'!$B:$Z,8,FALSE)</f>
        <v>L-&gt;R</v>
      </c>
      <c r="U395" s="568" t="str">
        <f>VLOOKUP(A395,'[1]Raw data'!$B:$Z,9,FALSE)</f>
        <v>MVC</v>
      </c>
      <c r="V395" s="572" t="str">
        <f t="shared" si="57"/>
        <v>WRONG</v>
      </c>
      <c r="W395" s="568" t="str">
        <f>VLOOKUP(A395,'[1]Raw data'!$B:$AG,32,FALSE)</f>
        <v>含税到厂</v>
      </c>
      <c r="X395" s="568">
        <f>VLOOKUP(A395,'[1]Raw data'!$B:$BA,31,FALSE)</f>
        <v>43963</v>
      </c>
      <c r="Y395" s="568" t="str">
        <f>VLOOKUP(A395,'[1]Raw data'!$B:$AS,39,FALSE)</f>
        <v>Yes</v>
      </c>
      <c r="AC395" s="568" t="s">
        <v>720</v>
      </c>
      <c r="AD395" s="576">
        <v>301</v>
      </c>
      <c r="AE395" s="576">
        <v>10</v>
      </c>
      <c r="AN395" s="547"/>
      <c r="AO395" s="829" t="str">
        <f t="shared" si="58"/>
        <v>Yes</v>
      </c>
      <c r="AP395" s="259" t="str">
        <f t="shared" si="59"/>
        <v>MAY 20</v>
      </c>
      <c r="AQ395" s="547" t="str">
        <f t="shared" si="60"/>
        <v>有定金+有預留客戶</v>
      </c>
      <c r="AR395" s="259" t="str">
        <f t="shared" si="61"/>
        <v>Shipped_Stock</v>
      </c>
      <c r="AS395" s="259" t="str">
        <f t="shared" si="62"/>
        <v/>
      </c>
      <c r="AT395" s="259" t="str">
        <f t="shared" si="63"/>
        <v>利速达</v>
      </c>
      <c r="AU395" s="259" t="str">
        <f t="shared" si="64"/>
        <v>C49SZX20200037SX-R1</v>
      </c>
      <c r="AV395" s="259" t="str">
        <f t="shared" si="65"/>
        <v>Apr-03</v>
      </c>
    </row>
    <row r="396" spans="1:48" hidden="1">
      <c r="A396" s="564">
        <v>635</v>
      </c>
      <c r="B396" s="565" t="s">
        <v>280</v>
      </c>
      <c r="C396" s="565" t="s">
        <v>281</v>
      </c>
      <c r="D396" s="604">
        <v>109855</v>
      </c>
      <c r="E396" s="567" t="s">
        <v>886</v>
      </c>
      <c r="F396" s="568" t="s">
        <v>256</v>
      </c>
      <c r="G396" s="568" t="s">
        <v>24</v>
      </c>
      <c r="H396" s="568" t="s">
        <v>26</v>
      </c>
      <c r="I396" s="569" t="s">
        <v>949</v>
      </c>
      <c r="J396" s="569">
        <v>1</v>
      </c>
      <c r="K396" s="568" t="s">
        <v>820</v>
      </c>
      <c r="L396" s="570">
        <v>43946</v>
      </c>
      <c r="M396" s="581">
        <v>6.5600000000000006E-2</v>
      </c>
      <c r="N396" s="568" t="s">
        <v>818</v>
      </c>
      <c r="O396" s="569">
        <v>2020.02</v>
      </c>
      <c r="P396" s="571" t="str">
        <f>VLOOKUP(A396,'[1]Raw data'!$B:$BB,23,FALSE)</f>
        <v>RMB</v>
      </c>
      <c r="Q396" s="568" t="str">
        <f>VLOOKUP(A396,'[1]Raw data'!$B:$Z,2,FALSE)</f>
        <v>C49SZX20200047MZ</v>
      </c>
      <c r="R396" s="568" t="str">
        <f>VLOOKUP(A396,'[1]Raw data'!$B:$Z,3,FALSE)</f>
        <v>融创新合</v>
      </c>
      <c r="S396" s="568" t="str">
        <f>VLOOKUP(A396,'[1]Raw data'!$B:$Z,4,FALSE)</f>
        <v>YSM20R(SV)-2</v>
      </c>
      <c r="T396" s="568" t="str">
        <f>VLOOKUP(A396,'[1]Raw data'!$B:$Z,8,FALSE)</f>
        <v>L-&gt;R</v>
      </c>
      <c r="U396" s="568" t="str">
        <f>VLOOKUP(A396,'[1]Raw data'!$B:$Z,9,FALSE)</f>
        <v>No</v>
      </c>
      <c r="V396" s="572" t="str">
        <f t="shared" si="57"/>
        <v>OK</v>
      </c>
      <c r="W396" s="568" t="str">
        <f>VLOOKUP(A396,'[1]Raw data'!$B:$AG,32,FALSE)</f>
        <v>含税到厂</v>
      </c>
      <c r="X396" s="568">
        <f>VLOOKUP(A396,'[1]Raw data'!$B:$BA,31,FALSE)</f>
        <v>43944</v>
      </c>
      <c r="Y396" s="568" t="str">
        <f>VLOOKUP(A396,'[1]Raw data'!$B:$AS,39,FALSE)</f>
        <v>Yes</v>
      </c>
      <c r="AC396" s="568" t="s">
        <v>945</v>
      </c>
      <c r="AD396" s="576">
        <v>301</v>
      </c>
      <c r="AE396" s="576">
        <v>20</v>
      </c>
      <c r="AN396" s="547"/>
      <c r="AO396" s="829" t="str">
        <f t="shared" si="58"/>
        <v>Yes</v>
      </c>
      <c r="AP396" s="259" t="str">
        <f t="shared" si="59"/>
        <v>MAY 20</v>
      </c>
      <c r="AQ396" s="547" t="str">
        <f t="shared" si="60"/>
        <v>有定金+有預留客戶</v>
      </c>
      <c r="AR396" s="259" t="str">
        <f t="shared" si="61"/>
        <v>Shipped_Stock</v>
      </c>
      <c r="AS396" s="259" t="str">
        <f t="shared" si="62"/>
        <v/>
      </c>
      <c r="AT396" s="259" t="str">
        <f t="shared" si="63"/>
        <v>融创新合</v>
      </c>
      <c r="AU396" s="259" t="str">
        <f t="shared" si="64"/>
        <v>C49SZX20200047MZ</v>
      </c>
      <c r="AV396" s="259" t="str">
        <f t="shared" si="65"/>
        <v>Apr-25</v>
      </c>
    </row>
    <row r="397" spans="1:48" ht="22.5" hidden="1">
      <c r="A397" s="564">
        <v>642</v>
      </c>
      <c r="B397" s="565" t="s">
        <v>280</v>
      </c>
      <c r="C397" s="565" t="s">
        <v>281</v>
      </c>
      <c r="D397" s="604">
        <v>109855</v>
      </c>
      <c r="E397" s="567" t="s">
        <v>886</v>
      </c>
      <c r="F397" s="568" t="s">
        <v>256</v>
      </c>
      <c r="G397" s="568" t="s">
        <v>24</v>
      </c>
      <c r="H397" s="568" t="s">
        <v>26</v>
      </c>
      <c r="I397" s="569" t="s">
        <v>950</v>
      </c>
      <c r="J397" s="569">
        <v>1</v>
      </c>
      <c r="K397" s="568" t="s">
        <v>437</v>
      </c>
      <c r="L397" s="570">
        <v>43946</v>
      </c>
      <c r="M397" s="620" t="s">
        <v>951</v>
      </c>
      <c r="N397" s="568" t="s">
        <v>818</v>
      </c>
      <c r="O397" s="569">
        <v>2020.02</v>
      </c>
      <c r="P397" s="571" t="str">
        <f>VLOOKUP(A397,'[1]Raw data'!$B:$BB,23,FALSE)</f>
        <v>RMB</v>
      </c>
      <c r="Q397" s="568" t="str">
        <f>VLOOKUP(A397,'[1]Raw data'!$B:$Z,2,FALSE)</f>
        <v>C49SZX20200037SX-R1</v>
      </c>
      <c r="R397" s="568" t="str">
        <f>VLOOKUP(A397,'[1]Raw data'!$B:$Z,3,FALSE)</f>
        <v>利速达</v>
      </c>
      <c r="S397" s="568" t="str">
        <f>VLOOKUP(A397,'[1]Raw data'!$B:$Z,4,FALSE)</f>
        <v>YSM20R(SV)-2</v>
      </c>
      <c r="T397" s="568" t="str">
        <f>VLOOKUP(A397,'[1]Raw data'!$B:$Z,8,FALSE)</f>
        <v>L-&gt;R</v>
      </c>
      <c r="U397" s="568" t="str">
        <f>VLOOKUP(A397,'[1]Raw data'!$B:$Z,9,FALSE)</f>
        <v>No</v>
      </c>
      <c r="V397" s="572" t="str">
        <f t="shared" si="57"/>
        <v>OK</v>
      </c>
      <c r="W397" s="568" t="str">
        <f>VLOOKUP(A397,'[1]Raw data'!$B:$AG,32,FALSE)</f>
        <v>含税到厂</v>
      </c>
      <c r="X397" s="568">
        <f>VLOOKUP(A397,'[1]Raw data'!$B:$BA,31,FALSE)</f>
        <v>43963</v>
      </c>
      <c r="Y397" s="568" t="str">
        <f>VLOOKUP(A397,'[1]Raw data'!$B:$AS,39,FALSE)</f>
        <v>Yes</v>
      </c>
      <c r="AC397" s="568" t="s">
        <v>720</v>
      </c>
      <c r="AD397" s="576">
        <v>301</v>
      </c>
      <c r="AE397" s="576">
        <v>20</v>
      </c>
      <c r="AN397" s="547"/>
      <c r="AO397" s="829" t="str">
        <f t="shared" si="58"/>
        <v>Yes</v>
      </c>
      <c r="AP397" s="259" t="str">
        <f t="shared" si="59"/>
        <v>MAY 20</v>
      </c>
      <c r="AQ397" s="547" t="str">
        <f t="shared" si="60"/>
        <v>有定金+有預留客戶</v>
      </c>
      <c r="AR397" s="259" t="str">
        <f t="shared" si="61"/>
        <v>Shipped_Stock</v>
      </c>
      <c r="AS397" s="259" t="str">
        <f t="shared" si="62"/>
        <v/>
      </c>
      <c r="AT397" s="259" t="str">
        <f t="shared" si="63"/>
        <v>利速达</v>
      </c>
      <c r="AU397" s="259" t="str">
        <f t="shared" si="64"/>
        <v>C49SZX20200037SX-R1</v>
      </c>
      <c r="AV397" s="259" t="str">
        <f t="shared" si="65"/>
        <v>Apr-25</v>
      </c>
    </row>
    <row r="398" spans="1:48" hidden="1">
      <c r="A398" s="564">
        <v>619</v>
      </c>
      <c r="B398" s="565" t="s">
        <v>280</v>
      </c>
      <c r="C398" s="565" t="s">
        <v>281</v>
      </c>
      <c r="D398" s="604">
        <v>109855</v>
      </c>
      <c r="E398" s="567" t="s">
        <v>886</v>
      </c>
      <c r="F398" s="568" t="s">
        <v>256</v>
      </c>
      <c r="G398" s="568" t="s">
        <v>24</v>
      </c>
      <c r="H398" s="568" t="s">
        <v>26</v>
      </c>
      <c r="I398" s="569" t="s">
        <v>952</v>
      </c>
      <c r="J398" s="569">
        <v>1</v>
      </c>
      <c r="K398" s="568" t="s">
        <v>437</v>
      </c>
      <c r="L398" s="570">
        <v>43946</v>
      </c>
      <c r="M398" s="581">
        <v>6.5600000000000006E-2</v>
      </c>
      <c r="N398" s="568" t="s">
        <v>818</v>
      </c>
      <c r="O398" s="569">
        <v>2020.02</v>
      </c>
      <c r="P398" s="571" t="str">
        <f>VLOOKUP(A398,'[1]Raw data'!$B:$BB,23,FALSE)</f>
        <v>RMB</v>
      </c>
      <c r="Q398" s="568" t="str">
        <f>VLOOKUP(A398,'[1]Raw data'!$B:$Z,2,FALSE)</f>
        <v>C49SZX20200049MX</v>
      </c>
      <c r="R398" s="568" t="str">
        <f>VLOOKUP(A398,'[1]Raw data'!$B:$Z,3,FALSE)</f>
        <v>智序</v>
      </c>
      <c r="S398" s="568" t="str">
        <f>VLOOKUP(A398,'[1]Raw data'!$B:$Z,4,FALSE)</f>
        <v>YSM20R(SV)-2</v>
      </c>
      <c r="T398" s="568" t="str">
        <f>VLOOKUP(A398,'[1]Raw data'!$B:$Z,8,FALSE)</f>
        <v>L-&gt;R</v>
      </c>
      <c r="U398" s="568" t="str">
        <f>VLOOKUP(A398,'[1]Raw data'!$B:$Z,9,FALSE)</f>
        <v>No</v>
      </c>
      <c r="V398" s="572" t="str">
        <f t="shared" si="57"/>
        <v>OK</v>
      </c>
      <c r="W398" s="568" t="str">
        <f>VLOOKUP(A398,'[1]Raw data'!$B:$AG,32,FALSE)</f>
        <v>含税到厂</v>
      </c>
      <c r="X398" s="568">
        <f>VLOOKUP(A398,'[1]Raw data'!$B:$BA,31,FALSE)</f>
        <v>43938</v>
      </c>
      <c r="Y398" s="568" t="str">
        <f>VLOOKUP(A398,'[1]Raw data'!$B:$AS,39,FALSE)</f>
        <v>Yes</v>
      </c>
      <c r="AC398" s="568" t="s">
        <v>953</v>
      </c>
      <c r="AD398" s="576">
        <v>301</v>
      </c>
      <c r="AE398" s="576">
        <v>20</v>
      </c>
      <c r="AN398" s="547"/>
      <c r="AO398" s="829" t="str">
        <f t="shared" si="58"/>
        <v>Yes</v>
      </c>
      <c r="AP398" s="259" t="str">
        <f t="shared" si="59"/>
        <v>MAY 20</v>
      </c>
      <c r="AQ398" s="547" t="str">
        <f t="shared" si="60"/>
        <v>有定金+有預留客戶</v>
      </c>
      <c r="AR398" s="259" t="str">
        <f t="shared" si="61"/>
        <v>Shipped_Stock</v>
      </c>
      <c r="AS398" s="259" t="str">
        <f t="shared" si="62"/>
        <v/>
      </c>
      <c r="AT398" s="259" t="str">
        <f t="shared" si="63"/>
        <v>智序</v>
      </c>
      <c r="AU398" s="259" t="str">
        <f t="shared" si="64"/>
        <v>C49SZX20200049MX</v>
      </c>
      <c r="AV398" s="259" t="str">
        <f t="shared" si="65"/>
        <v>Apr-25</v>
      </c>
    </row>
    <row r="399" spans="1:48" hidden="1">
      <c r="A399" s="564">
        <v>620</v>
      </c>
      <c r="B399" s="565" t="s">
        <v>280</v>
      </c>
      <c r="C399" s="565" t="s">
        <v>281</v>
      </c>
      <c r="D399" s="604">
        <v>109855</v>
      </c>
      <c r="E399" s="567" t="s">
        <v>886</v>
      </c>
      <c r="F399" s="568" t="s">
        <v>256</v>
      </c>
      <c r="G399" s="568" t="s">
        <v>24</v>
      </c>
      <c r="H399" s="568" t="s">
        <v>26</v>
      </c>
      <c r="I399" s="569" t="s">
        <v>954</v>
      </c>
      <c r="J399" s="569">
        <v>1</v>
      </c>
      <c r="K399" s="568" t="s">
        <v>437</v>
      </c>
      <c r="L399" s="570">
        <v>43946</v>
      </c>
      <c r="M399" s="581">
        <v>6.5600000000000006E-2</v>
      </c>
      <c r="N399" s="568" t="s">
        <v>818</v>
      </c>
      <c r="O399" s="569">
        <v>2020.02</v>
      </c>
      <c r="P399" s="571" t="str">
        <f>VLOOKUP(A399,'[1]Raw data'!$B:$BB,23,FALSE)</f>
        <v>RMB</v>
      </c>
      <c r="Q399" s="568" t="str">
        <f>VLOOKUP(A399,'[1]Raw data'!$B:$Z,2,FALSE)</f>
        <v>C49SZX20200049MX</v>
      </c>
      <c r="R399" s="568" t="str">
        <f>VLOOKUP(A399,'[1]Raw data'!$B:$Z,3,FALSE)</f>
        <v>智序</v>
      </c>
      <c r="S399" s="568" t="str">
        <f>VLOOKUP(A399,'[1]Raw data'!$B:$Z,4,FALSE)</f>
        <v>YSM20R(SV)-2</v>
      </c>
      <c r="T399" s="568" t="str">
        <f>VLOOKUP(A399,'[1]Raw data'!$B:$Z,8,FALSE)</f>
        <v>L-&gt;R</v>
      </c>
      <c r="U399" s="568" t="str">
        <f>VLOOKUP(A399,'[1]Raw data'!$B:$Z,9,FALSE)</f>
        <v>No</v>
      </c>
      <c r="V399" s="572" t="str">
        <f t="shared" si="57"/>
        <v>OK</v>
      </c>
      <c r="W399" s="568" t="str">
        <f>VLOOKUP(A399,'[1]Raw data'!$B:$AG,32,FALSE)</f>
        <v>含税到厂</v>
      </c>
      <c r="X399" s="568">
        <f>VLOOKUP(A399,'[1]Raw data'!$B:$BA,31,FALSE)</f>
        <v>43938</v>
      </c>
      <c r="Y399" s="568" t="str">
        <f>VLOOKUP(A399,'[1]Raw data'!$B:$AS,39,FALSE)</f>
        <v>Yes</v>
      </c>
      <c r="AC399" s="568" t="s">
        <v>953</v>
      </c>
      <c r="AD399" s="576">
        <v>301</v>
      </c>
      <c r="AE399" s="576">
        <v>20</v>
      </c>
      <c r="AN399" s="547"/>
      <c r="AO399" s="829" t="str">
        <f t="shared" si="58"/>
        <v>Yes</v>
      </c>
      <c r="AP399" s="259" t="str">
        <f t="shared" si="59"/>
        <v>MAY 20</v>
      </c>
      <c r="AQ399" s="547" t="str">
        <f t="shared" si="60"/>
        <v>有定金+有預留客戶</v>
      </c>
      <c r="AR399" s="259" t="str">
        <f t="shared" si="61"/>
        <v>Shipped_Stock</v>
      </c>
      <c r="AS399" s="259" t="str">
        <f t="shared" si="62"/>
        <v/>
      </c>
      <c r="AT399" s="259" t="str">
        <f t="shared" si="63"/>
        <v>智序</v>
      </c>
      <c r="AU399" s="259" t="str">
        <f t="shared" si="64"/>
        <v>C49SZX20200049MX</v>
      </c>
      <c r="AV399" s="259" t="str">
        <f t="shared" si="65"/>
        <v>Apr-25</v>
      </c>
    </row>
    <row r="400" spans="1:48" hidden="1">
      <c r="A400" s="564">
        <v>621</v>
      </c>
      <c r="B400" s="565" t="s">
        <v>280</v>
      </c>
      <c r="C400" s="565" t="s">
        <v>281</v>
      </c>
      <c r="D400" s="604">
        <v>109855</v>
      </c>
      <c r="E400" s="567" t="s">
        <v>886</v>
      </c>
      <c r="F400" s="568" t="s">
        <v>256</v>
      </c>
      <c r="G400" s="568" t="s">
        <v>24</v>
      </c>
      <c r="H400" s="568" t="s">
        <v>26</v>
      </c>
      <c r="I400" s="569" t="s">
        <v>955</v>
      </c>
      <c r="J400" s="569">
        <v>1</v>
      </c>
      <c r="K400" s="568" t="s">
        <v>437</v>
      </c>
      <c r="L400" s="570">
        <v>43946</v>
      </c>
      <c r="M400" s="581">
        <v>6.5600000000000006E-2</v>
      </c>
      <c r="N400" s="568" t="s">
        <v>818</v>
      </c>
      <c r="O400" s="569">
        <v>2020.02</v>
      </c>
      <c r="P400" s="571" t="str">
        <f>VLOOKUP(A400,'[1]Raw data'!$B:$BB,23,FALSE)</f>
        <v>RMB</v>
      </c>
      <c r="Q400" s="568" t="str">
        <f>VLOOKUP(A400,'[1]Raw data'!$B:$Z,2,FALSE)</f>
        <v>C49SZX20200049MX</v>
      </c>
      <c r="R400" s="568" t="str">
        <f>VLOOKUP(A400,'[1]Raw data'!$B:$Z,3,FALSE)</f>
        <v>智序</v>
      </c>
      <c r="S400" s="568" t="str">
        <f>VLOOKUP(A400,'[1]Raw data'!$B:$Z,4,FALSE)</f>
        <v>YSM20R(SV)-2</v>
      </c>
      <c r="T400" s="568" t="str">
        <f>VLOOKUP(A400,'[1]Raw data'!$B:$Z,8,FALSE)</f>
        <v>L-&gt;R</v>
      </c>
      <c r="U400" s="568" t="str">
        <f>VLOOKUP(A400,'[1]Raw data'!$B:$Z,9,FALSE)</f>
        <v>No</v>
      </c>
      <c r="V400" s="572" t="str">
        <f t="shared" si="57"/>
        <v>OK</v>
      </c>
      <c r="W400" s="568" t="str">
        <f>VLOOKUP(A400,'[1]Raw data'!$B:$AG,32,FALSE)</f>
        <v>含税到厂</v>
      </c>
      <c r="X400" s="568">
        <f>VLOOKUP(A400,'[1]Raw data'!$B:$BA,31,FALSE)</f>
        <v>43938</v>
      </c>
      <c r="Y400" s="568" t="str">
        <f>VLOOKUP(A400,'[1]Raw data'!$B:$AS,39,FALSE)</f>
        <v>Yes</v>
      </c>
      <c r="AC400" s="568" t="s">
        <v>953</v>
      </c>
      <c r="AD400" s="576">
        <v>301</v>
      </c>
      <c r="AE400" s="576">
        <v>20</v>
      </c>
      <c r="AN400" s="547"/>
      <c r="AO400" s="829" t="str">
        <f t="shared" si="58"/>
        <v>Yes</v>
      </c>
      <c r="AP400" s="259" t="str">
        <f t="shared" si="59"/>
        <v>MAY 20</v>
      </c>
      <c r="AQ400" s="547" t="str">
        <f t="shared" si="60"/>
        <v>有定金+有預留客戶</v>
      </c>
      <c r="AR400" s="259" t="str">
        <f t="shared" si="61"/>
        <v>Shipped_Stock</v>
      </c>
      <c r="AS400" s="259" t="str">
        <f t="shared" si="62"/>
        <v/>
      </c>
      <c r="AT400" s="259" t="str">
        <f t="shared" si="63"/>
        <v>智序</v>
      </c>
      <c r="AU400" s="259" t="str">
        <f t="shared" si="64"/>
        <v>C49SZX20200049MX</v>
      </c>
      <c r="AV400" s="259" t="str">
        <f t="shared" si="65"/>
        <v>Apr-25</v>
      </c>
    </row>
    <row r="401" spans="1:48" hidden="1">
      <c r="A401" s="564">
        <v>622</v>
      </c>
      <c r="B401" s="565" t="s">
        <v>280</v>
      </c>
      <c r="C401" s="565" t="s">
        <v>281</v>
      </c>
      <c r="D401" s="604">
        <v>109855</v>
      </c>
      <c r="E401" s="567" t="s">
        <v>886</v>
      </c>
      <c r="F401" s="568" t="s">
        <v>243</v>
      </c>
      <c r="G401" s="568" t="s">
        <v>24</v>
      </c>
      <c r="H401" s="568" t="s">
        <v>26</v>
      </c>
      <c r="I401" s="569" t="s">
        <v>956</v>
      </c>
      <c r="J401" s="569">
        <v>1</v>
      </c>
      <c r="K401" s="568" t="s">
        <v>437</v>
      </c>
      <c r="L401" s="570">
        <v>43946</v>
      </c>
      <c r="M401" s="581">
        <v>6.5600000000000006E-2</v>
      </c>
      <c r="N401" s="568" t="s">
        <v>818</v>
      </c>
      <c r="O401" s="569">
        <v>2020.02</v>
      </c>
      <c r="P401" s="571" t="str">
        <f>VLOOKUP(A401,'[1]Raw data'!$B:$BB,23,FALSE)</f>
        <v>RMB</v>
      </c>
      <c r="Q401" s="568" t="str">
        <f>VLOOKUP(A401,'[1]Raw data'!$B:$Z,2,FALSE)</f>
        <v>C49SZX20200049MX</v>
      </c>
      <c r="R401" s="568" t="str">
        <f>VLOOKUP(A401,'[1]Raw data'!$B:$Z,3,FALSE)</f>
        <v>智序</v>
      </c>
      <c r="S401" s="568" t="str">
        <f>VLOOKUP(A401,'[1]Raw data'!$B:$Z,4,FALSE)</f>
        <v>YSM20R(SV)-2</v>
      </c>
      <c r="T401" s="568" t="str">
        <f>VLOOKUP(A401,'[1]Raw data'!$B:$Z,8,FALSE)</f>
        <v>L-&gt;R</v>
      </c>
      <c r="U401" s="568" t="str">
        <f>VLOOKUP(A401,'[1]Raw data'!$B:$Z,9,FALSE)</f>
        <v>No</v>
      </c>
      <c r="V401" s="572" t="str">
        <f t="shared" si="57"/>
        <v>OK</v>
      </c>
      <c r="W401" s="568" t="str">
        <f>VLOOKUP(A401,'[1]Raw data'!$B:$AG,32,FALSE)</f>
        <v>含税到厂</v>
      </c>
      <c r="X401" s="568">
        <f>VLOOKUP(A401,'[1]Raw data'!$B:$BA,31,FALSE)</f>
        <v>43938</v>
      </c>
      <c r="Y401" s="568" t="str">
        <f>VLOOKUP(A401,'[1]Raw data'!$B:$AS,39,FALSE)</f>
        <v>Yes</v>
      </c>
      <c r="AC401" s="568" t="s">
        <v>953</v>
      </c>
      <c r="AD401" s="576">
        <v>301</v>
      </c>
      <c r="AE401" s="576">
        <v>20</v>
      </c>
      <c r="AN401" s="547"/>
      <c r="AO401" s="829" t="str">
        <f t="shared" si="58"/>
        <v>Yes</v>
      </c>
      <c r="AP401" s="259" t="str">
        <f t="shared" si="59"/>
        <v>MAY 20</v>
      </c>
      <c r="AQ401" s="547" t="str">
        <f t="shared" si="60"/>
        <v>有定金+有預留客戶</v>
      </c>
      <c r="AR401" s="259" t="str">
        <f t="shared" si="61"/>
        <v>Shipped_Stock</v>
      </c>
      <c r="AS401" s="259" t="str">
        <f t="shared" si="62"/>
        <v/>
      </c>
      <c r="AT401" s="259" t="str">
        <f t="shared" si="63"/>
        <v>智序</v>
      </c>
      <c r="AU401" s="259" t="str">
        <f t="shared" si="64"/>
        <v>C49SZX20200049MX</v>
      </c>
      <c r="AV401" s="259" t="str">
        <f t="shared" si="65"/>
        <v>Apr-25</v>
      </c>
    </row>
    <row r="402" spans="1:48" hidden="1">
      <c r="A402" s="564">
        <v>610</v>
      </c>
      <c r="B402" s="565" t="s">
        <v>280</v>
      </c>
      <c r="C402" s="565" t="s">
        <v>281</v>
      </c>
      <c r="D402" s="604">
        <v>109806</v>
      </c>
      <c r="E402" s="567" t="s">
        <v>884</v>
      </c>
      <c r="F402" s="568" t="s">
        <v>256</v>
      </c>
      <c r="G402" s="568" t="s">
        <v>24</v>
      </c>
      <c r="H402" s="568" t="s">
        <v>307</v>
      </c>
      <c r="I402" s="569" t="s">
        <v>957</v>
      </c>
      <c r="J402" s="569">
        <v>1</v>
      </c>
      <c r="K402" s="568" t="s">
        <v>437</v>
      </c>
      <c r="L402" s="570">
        <v>43955</v>
      </c>
      <c r="M402" s="581" t="s">
        <v>939</v>
      </c>
      <c r="N402" s="568" t="s">
        <v>818</v>
      </c>
      <c r="O402" s="569">
        <v>2020.02</v>
      </c>
      <c r="P402" s="571" t="str">
        <f>VLOOKUP(A402,'[1]Raw data'!$B:$BB,23,FALSE)</f>
        <v>JPY</v>
      </c>
      <c r="Q402" s="568" t="str">
        <f>VLOOKUP(A402,'[1]Raw data'!$B:$Z,2,FALSE)</f>
        <v>C49SZX20200035JY</v>
      </c>
      <c r="R402" s="568" t="str">
        <f>VLOOKUP(A402,'[1]Raw data'!$B:$Z,3,FALSE)</f>
        <v>创荣发</v>
      </c>
      <c r="S402" s="568" t="str">
        <f>VLOOKUP(A402,'[1]Raw data'!$B:$Z,4,FALSE)</f>
        <v>YSM20R(SV)-2</v>
      </c>
      <c r="T402" s="568" t="str">
        <f>VLOOKUP(A402,'[1]Raw data'!$B:$Z,8,FALSE)</f>
        <v>L-&gt;R</v>
      </c>
      <c r="U402" s="568" t="str">
        <f>VLOOKUP(A402,'[1]Raw data'!$B:$Z,9,FALSE)</f>
        <v>No</v>
      </c>
      <c r="V402" s="572" t="str">
        <f t="shared" si="57"/>
        <v>OK</v>
      </c>
      <c r="W402" s="568" t="str">
        <f>VLOOKUP(A402,'[1]Raw data'!$B:$AG,32,FALSE)</f>
        <v>DAP HZ</v>
      </c>
      <c r="X402" s="568">
        <f>VLOOKUP(A402,'[1]Raw data'!$B:$BA,31,FALSE)</f>
        <v>43921</v>
      </c>
      <c r="Y402" s="568" t="str">
        <f>VLOOKUP(A402,'[1]Raw data'!$B:$AS,39,FALSE)</f>
        <v>Yes</v>
      </c>
      <c r="AC402" s="568" t="s">
        <v>915</v>
      </c>
      <c r="AN402" s="547"/>
      <c r="AO402" s="829" t="str">
        <f t="shared" si="58"/>
        <v>Yes</v>
      </c>
      <c r="AP402" s="259" t="str">
        <f t="shared" si="59"/>
        <v>MAY 20</v>
      </c>
      <c r="AQ402" s="547" t="str">
        <f t="shared" si="60"/>
        <v>有定金+有預留客戶</v>
      </c>
      <c r="AR402" s="259" t="str">
        <f t="shared" si="61"/>
        <v>Shipped_Stock</v>
      </c>
      <c r="AS402" s="259" t="str">
        <f t="shared" si="62"/>
        <v/>
      </c>
      <c r="AT402" s="259" t="str">
        <f t="shared" si="63"/>
        <v>创荣发</v>
      </c>
      <c r="AU402" s="259" t="str">
        <f t="shared" si="64"/>
        <v>C49SZX20200035JY</v>
      </c>
      <c r="AV402" s="259" t="str">
        <f t="shared" si="65"/>
        <v>May-04</v>
      </c>
    </row>
    <row r="403" spans="1:48" ht="33.75" hidden="1">
      <c r="A403" s="564">
        <v>638</v>
      </c>
      <c r="B403" s="565" t="s">
        <v>280</v>
      </c>
      <c r="C403" s="565" t="s">
        <v>281</v>
      </c>
      <c r="D403" s="604">
        <v>109806</v>
      </c>
      <c r="E403" s="567" t="s">
        <v>884</v>
      </c>
      <c r="F403" s="568" t="s">
        <v>241</v>
      </c>
      <c r="G403" s="568" t="s">
        <v>18</v>
      </c>
      <c r="H403" s="568" t="s">
        <v>307</v>
      </c>
      <c r="I403" s="569" t="s">
        <v>958</v>
      </c>
      <c r="J403" s="569">
        <v>1</v>
      </c>
      <c r="K403" s="568" t="s">
        <v>959</v>
      </c>
      <c r="L403" s="570">
        <v>43955</v>
      </c>
      <c r="M403" s="620" t="s">
        <v>942</v>
      </c>
      <c r="N403" s="568" t="s">
        <v>818</v>
      </c>
      <c r="O403" s="568">
        <v>2020.04</v>
      </c>
      <c r="P403" s="571" t="str">
        <f>VLOOKUP(A403,'[1]Raw data'!$B:$BB,23,FALSE)</f>
        <v>RMB</v>
      </c>
      <c r="Q403" s="568" t="str">
        <f>VLOOKUP(A403,'[1]Raw data'!$B:$Z,2,FALSE)</f>
        <v>C49SZX20200043CY</v>
      </c>
      <c r="R403" s="568" t="str">
        <f>VLOOKUP(A403,'[1]Raw data'!$B:$Z,3,FALSE)</f>
        <v>星辰宇</v>
      </c>
      <c r="S403" s="568" t="str">
        <f>VLOOKUP(A403,'[1]Raw data'!$B:$Z,4,FALSE)</f>
        <v>YSM10</v>
      </c>
      <c r="T403" s="568" t="str">
        <f>VLOOKUP(A403,'[1]Raw data'!$B:$Z,8,FALSE)</f>
        <v>L-&gt;R</v>
      </c>
      <c r="U403" s="568" t="str">
        <f>VLOOKUP(A403,'[1]Raw data'!$B:$Z,9,FALSE)</f>
        <v>MVC</v>
      </c>
      <c r="V403" s="572" t="str">
        <f t="shared" si="57"/>
        <v>WRONG</v>
      </c>
      <c r="W403" s="568" t="str">
        <f>VLOOKUP(A403,'[1]Raw data'!$B:$AG,32,FALSE)</f>
        <v>含税到厂</v>
      </c>
      <c r="X403" s="568">
        <f>VLOOKUP(A403,'[1]Raw data'!$B:$BA,31,FALSE)</f>
        <v>43950</v>
      </c>
      <c r="Y403" s="568" t="str">
        <f>VLOOKUP(A403,'[1]Raw data'!$B:$AS,39,FALSE)</f>
        <v>Yes</v>
      </c>
      <c r="AC403" s="568" t="s">
        <v>960</v>
      </c>
      <c r="AN403" s="547"/>
      <c r="AO403" s="829" t="str">
        <f t="shared" si="58"/>
        <v>Yes</v>
      </c>
      <c r="AP403" s="259" t="str">
        <f t="shared" si="59"/>
        <v>MAY 20</v>
      </c>
      <c r="AQ403" s="547" t="str">
        <f t="shared" si="60"/>
        <v>有定金+有預留客戶</v>
      </c>
      <c r="AR403" s="259" t="str">
        <f t="shared" si="61"/>
        <v>Shipped_Stock</v>
      </c>
      <c r="AS403" s="259" t="str">
        <f t="shared" si="62"/>
        <v/>
      </c>
      <c r="AT403" s="259" t="str">
        <f t="shared" si="63"/>
        <v>星辰宇</v>
      </c>
      <c r="AU403" s="259" t="str">
        <f t="shared" si="64"/>
        <v>C49SZX20200043CY</v>
      </c>
      <c r="AV403" s="259" t="str">
        <f t="shared" si="65"/>
        <v>May-04</v>
      </c>
    </row>
    <row r="404" spans="1:48" hidden="1">
      <c r="A404" s="564">
        <v>603</v>
      </c>
      <c r="B404" s="565" t="s">
        <v>280</v>
      </c>
      <c r="C404" s="565" t="s">
        <v>281</v>
      </c>
      <c r="D404" s="604">
        <v>109856</v>
      </c>
      <c r="E404" s="567" t="s">
        <v>886</v>
      </c>
      <c r="F404" s="568" t="s">
        <v>243</v>
      </c>
      <c r="G404" s="568" t="s">
        <v>24</v>
      </c>
      <c r="H404" s="568" t="s">
        <v>26</v>
      </c>
      <c r="I404" s="569" t="s">
        <v>961</v>
      </c>
      <c r="J404" s="569">
        <v>1</v>
      </c>
      <c r="K404" s="568" t="s">
        <v>962</v>
      </c>
      <c r="L404" s="570">
        <v>43971</v>
      </c>
      <c r="M404" s="620">
        <v>6.4600000000000005E-2</v>
      </c>
      <c r="N404" s="568" t="s">
        <v>903</v>
      </c>
      <c r="O404" s="569">
        <v>2020.04</v>
      </c>
      <c r="P404" s="571" t="str">
        <f>VLOOKUP(A404,'[1]Raw data'!$B:$BB,23,FALSE)</f>
        <v>RMB</v>
      </c>
      <c r="Q404" s="568" t="str">
        <f>VLOOKUP(A404,'[1]Raw data'!$B:$Z,2,FALSE)</f>
        <v>C49SZX20200031DZ</v>
      </c>
      <c r="R404" s="568" t="str">
        <f>VLOOKUP(A404,'[1]Raw data'!$B:$Z,3,FALSE)</f>
        <v>金海智控</v>
      </c>
      <c r="S404" s="568" t="str">
        <f>VLOOKUP(A404,'[1]Raw data'!$B:$Z,4,FALSE)</f>
        <v>YSM20R(SV)-2</v>
      </c>
      <c r="T404" s="568" t="str">
        <f>VLOOKUP(A404,'[1]Raw data'!$B:$Z,8,FALSE)</f>
        <v>L-&gt;R</v>
      </c>
      <c r="U404" s="568" t="str">
        <f>VLOOKUP(A404,'[1]Raw data'!$B:$Z,9,FALSE)</f>
        <v>No</v>
      </c>
      <c r="V404" s="572" t="str">
        <f t="shared" si="57"/>
        <v>OK</v>
      </c>
      <c r="W404" s="568" t="str">
        <f>VLOOKUP(A404,'[1]Raw data'!$B:$AG,32,FALSE)</f>
        <v>含税到厂</v>
      </c>
      <c r="X404" s="568">
        <f>VLOOKUP(A404,'[1]Raw data'!$B:$BA,31,FALSE)</f>
        <v>43915</v>
      </c>
      <c r="Y404" s="568" t="str">
        <f>VLOOKUP(A404,'[1]Raw data'!$B:$AS,39,FALSE)</f>
        <v>Yes</v>
      </c>
      <c r="AC404" s="568" t="s">
        <v>947</v>
      </c>
      <c r="AD404" s="576">
        <v>304</v>
      </c>
      <c r="AE404" s="576">
        <v>10</v>
      </c>
      <c r="AF404" s="576">
        <v>302</v>
      </c>
      <c r="AG404" s="576">
        <v>10</v>
      </c>
      <c r="AN404" s="547"/>
      <c r="AO404" s="829" t="str">
        <f t="shared" si="58"/>
        <v>Yes</v>
      </c>
      <c r="AP404" s="259" t="str">
        <f t="shared" si="59"/>
        <v>JUN 20</v>
      </c>
      <c r="AQ404" s="547" t="str">
        <f t="shared" si="60"/>
        <v>有定金+有預留客戶</v>
      </c>
      <c r="AR404" s="259" t="str">
        <f t="shared" si="61"/>
        <v>Shipped_Stock</v>
      </c>
      <c r="AS404" s="259" t="str">
        <f t="shared" si="62"/>
        <v/>
      </c>
      <c r="AT404" s="259" t="str">
        <f t="shared" si="63"/>
        <v>金海智控</v>
      </c>
      <c r="AU404" s="259" t="str">
        <f t="shared" si="64"/>
        <v>C49SZX20200031DZ</v>
      </c>
      <c r="AV404" s="259" t="str">
        <f t="shared" si="65"/>
        <v>May-20</v>
      </c>
    </row>
    <row r="405" spans="1:48" hidden="1">
      <c r="A405" s="564">
        <v>657</v>
      </c>
      <c r="B405" s="565" t="s">
        <v>280</v>
      </c>
      <c r="C405" s="565" t="s">
        <v>281</v>
      </c>
      <c r="D405" s="604">
        <v>109856</v>
      </c>
      <c r="E405" s="567" t="s">
        <v>886</v>
      </c>
      <c r="F405" s="568" t="s">
        <v>243</v>
      </c>
      <c r="G405" s="568" t="s">
        <v>18</v>
      </c>
      <c r="H405" s="568" t="s">
        <v>26</v>
      </c>
      <c r="I405" s="569" t="s">
        <v>963</v>
      </c>
      <c r="J405" s="569">
        <v>1</v>
      </c>
      <c r="K405" s="568" t="s">
        <v>295</v>
      </c>
      <c r="L405" s="570">
        <v>43971</v>
      </c>
      <c r="M405" s="581">
        <v>6.7000000000000004E-2</v>
      </c>
      <c r="N405" s="568" t="s">
        <v>300</v>
      </c>
      <c r="O405" s="569">
        <v>2020.04</v>
      </c>
      <c r="P405" s="571" t="str">
        <f>VLOOKUP(A405,'[1]Raw data'!$B:$BB,23,FALSE)</f>
        <v>RMB</v>
      </c>
      <c r="Q405" s="568" t="str">
        <f>VLOOKUP(A405,'[1]Raw data'!$B:$Z,2,FALSE)</f>
        <v>C49SZX20200058SS</v>
      </c>
      <c r="R405" s="568" t="str">
        <f>VLOOKUP(A405,'[1]Raw data'!$B:$Z,3,FALSE)</f>
        <v>中润互联</v>
      </c>
      <c r="S405" s="568" t="str">
        <f>VLOOKUP(A405,'[1]Raw data'!$B:$Z,4,FALSE)</f>
        <v>YSM20R(SV)-2</v>
      </c>
      <c r="T405" s="568" t="str">
        <f>VLOOKUP(A405,'[1]Raw data'!$B:$Z,8,FALSE)</f>
        <v>R-&gt;L</v>
      </c>
      <c r="U405" s="568" t="str">
        <f>VLOOKUP(A405,'[1]Raw data'!$B:$Z,9,FALSE)</f>
        <v>MVC</v>
      </c>
      <c r="V405" s="572" t="str">
        <f t="shared" si="57"/>
        <v>WRONG</v>
      </c>
      <c r="W405" s="568" t="str">
        <f>VLOOKUP(A405,'[1]Raw data'!$B:$AG,32,FALSE)</f>
        <v>含税到厂</v>
      </c>
      <c r="X405" s="568">
        <f>VLOOKUP(A405,'[1]Raw data'!$B:$BA,31,FALSE)</f>
        <v>43986</v>
      </c>
      <c r="Y405" s="568" t="str">
        <f>VLOOKUP(A405,'[1]Raw data'!$B:$AS,39,FALSE)</f>
        <v>Yes</v>
      </c>
      <c r="AC405" s="568" t="s">
        <v>936</v>
      </c>
      <c r="AD405" s="576">
        <v>302</v>
      </c>
      <c r="AE405" s="576">
        <v>20</v>
      </c>
      <c r="AN405" s="547"/>
      <c r="AO405" s="829" t="str">
        <f t="shared" si="58"/>
        <v>Yes</v>
      </c>
      <c r="AP405" s="259" t="str">
        <f t="shared" si="59"/>
        <v>JUL 20</v>
      </c>
      <c r="AQ405" s="547" t="str">
        <f t="shared" si="60"/>
        <v>有定金+有預留客戶</v>
      </c>
      <c r="AR405" s="259" t="str">
        <f t="shared" si="61"/>
        <v>Shipped_Stock</v>
      </c>
      <c r="AS405" s="259" t="str">
        <f t="shared" si="62"/>
        <v/>
      </c>
      <c r="AT405" s="259" t="str">
        <f t="shared" si="63"/>
        <v>中润互联</v>
      </c>
      <c r="AU405" s="259" t="str">
        <f t="shared" si="64"/>
        <v>C49SZX20200058SS</v>
      </c>
      <c r="AV405" s="259" t="str">
        <f t="shared" si="65"/>
        <v>May-20</v>
      </c>
    </row>
    <row r="406" spans="1:48" hidden="1">
      <c r="A406" s="564">
        <v>671</v>
      </c>
      <c r="B406" s="565" t="s">
        <v>280</v>
      </c>
      <c r="C406" s="565" t="s">
        <v>281</v>
      </c>
      <c r="D406" s="604">
        <v>109856</v>
      </c>
      <c r="E406" s="567" t="s">
        <v>886</v>
      </c>
      <c r="F406" s="568" t="s">
        <v>243</v>
      </c>
      <c r="G406" s="568" t="s">
        <v>18</v>
      </c>
      <c r="H406" s="568" t="s">
        <v>26</v>
      </c>
      <c r="I406" s="569" t="s">
        <v>964</v>
      </c>
      <c r="J406" s="569">
        <v>1</v>
      </c>
      <c r="K406" s="568" t="s">
        <v>661</v>
      </c>
      <c r="L406" s="570">
        <v>43971</v>
      </c>
      <c r="M406" s="581">
        <v>6.7000000000000004E-2</v>
      </c>
      <c r="N406" s="568" t="s">
        <v>300</v>
      </c>
      <c r="O406" s="569">
        <v>2020.04</v>
      </c>
      <c r="P406" s="571" t="str">
        <f>VLOOKUP(A406,'[1]Raw data'!$B:$BB,23,FALSE)</f>
        <v>JPY</v>
      </c>
      <c r="Q406" s="568" t="str">
        <f>VLOOKUP(A406,'[1]Raw data'!$B:$Z,2,FALSE)</f>
        <v>C49SZX20200071JY</v>
      </c>
      <c r="R406" s="568" t="str">
        <f>VLOOKUP(A406,'[1]Raw data'!$B:$Z,3,FALSE)</f>
        <v>英拓邦</v>
      </c>
      <c r="S406" s="568" t="str">
        <f>VLOOKUP(A406,'[1]Raw data'!$B:$Z,4,FALSE)</f>
        <v>YSM20R(SV)-2</v>
      </c>
      <c r="T406" s="568" t="str">
        <f>VLOOKUP(A406,'[1]Raw data'!$B:$Z,8,FALSE)</f>
        <v>R-&gt;L</v>
      </c>
      <c r="U406" s="568" t="str">
        <f>VLOOKUP(A406,'[1]Raw data'!$B:$Z,9,FALSE)</f>
        <v>No</v>
      </c>
      <c r="V406" s="572" t="str">
        <f t="shared" ref="V406:V469" si="66">IF(G406&amp;H406=T406&amp;U406,"OK","WRONG")</f>
        <v>OK</v>
      </c>
      <c r="W406" s="568" t="str">
        <f>VLOOKUP(A406,'[1]Raw data'!$B:$AG,32,FALSE)</f>
        <v>DAP SZ</v>
      </c>
      <c r="X406" s="568">
        <f>VLOOKUP(A406,'[1]Raw data'!$B:$BA,31,FALSE)</f>
        <v>44005</v>
      </c>
      <c r="Y406" s="568" t="str">
        <f>VLOOKUP(A406,'[1]Raw data'!$B:$AS,39,FALSE)</f>
        <v>Yes</v>
      </c>
      <c r="AC406" s="568" t="s">
        <v>965</v>
      </c>
      <c r="AD406" s="576">
        <v>301</v>
      </c>
      <c r="AE406" s="576">
        <v>10</v>
      </c>
      <c r="AF406" s="576">
        <v>311</v>
      </c>
      <c r="AG406" s="576">
        <v>10</v>
      </c>
      <c r="AN406" s="547"/>
      <c r="AO406" s="829" t="str">
        <f t="shared" si="58"/>
        <v>Yes</v>
      </c>
      <c r="AP406" s="259" t="str">
        <f t="shared" si="59"/>
        <v>JUL 20</v>
      </c>
      <c r="AQ406" s="547" t="str">
        <f t="shared" si="60"/>
        <v>有定金+有預留客戶</v>
      </c>
      <c r="AR406" s="259" t="str">
        <f t="shared" si="61"/>
        <v>Shipped_Stock</v>
      </c>
      <c r="AS406" s="259" t="str">
        <f t="shared" si="62"/>
        <v/>
      </c>
      <c r="AT406" s="259" t="str">
        <f t="shared" si="63"/>
        <v>英拓邦</v>
      </c>
      <c r="AU406" s="259" t="str">
        <f t="shared" si="64"/>
        <v>C49SZX20200071JY</v>
      </c>
      <c r="AV406" s="259" t="str">
        <f t="shared" si="65"/>
        <v>May-20</v>
      </c>
    </row>
    <row r="407" spans="1:48" hidden="1">
      <c r="A407" s="564">
        <v>658</v>
      </c>
      <c r="B407" s="565" t="s">
        <v>280</v>
      </c>
      <c r="C407" s="565" t="s">
        <v>281</v>
      </c>
      <c r="D407" s="604">
        <v>109856</v>
      </c>
      <c r="E407" s="567" t="s">
        <v>886</v>
      </c>
      <c r="F407" s="568" t="s">
        <v>243</v>
      </c>
      <c r="G407" s="568" t="s">
        <v>18</v>
      </c>
      <c r="H407" s="568" t="s">
        <v>26</v>
      </c>
      <c r="I407" s="569" t="s">
        <v>966</v>
      </c>
      <c r="J407" s="569">
        <v>1</v>
      </c>
      <c r="K407" s="568" t="s">
        <v>295</v>
      </c>
      <c r="L407" s="570">
        <v>43971</v>
      </c>
      <c r="M407" s="581">
        <v>6.7000000000000004E-2</v>
      </c>
      <c r="N407" s="568" t="s">
        <v>300</v>
      </c>
      <c r="O407" s="569">
        <v>2020.04</v>
      </c>
      <c r="P407" s="571" t="str">
        <f>VLOOKUP(A407,'[1]Raw data'!$B:$BB,23,FALSE)</f>
        <v>RMB</v>
      </c>
      <c r="Q407" s="568" t="str">
        <f>VLOOKUP(A407,'[1]Raw data'!$B:$Z,2,FALSE)</f>
        <v>C49SZX20200058SS</v>
      </c>
      <c r="R407" s="568" t="str">
        <f>VLOOKUP(A407,'[1]Raw data'!$B:$Z,3,FALSE)</f>
        <v>中润互联</v>
      </c>
      <c r="S407" s="568" t="str">
        <f>VLOOKUP(A407,'[1]Raw data'!$B:$Z,4,FALSE)</f>
        <v>YSM20R(SV)-2</v>
      </c>
      <c r="T407" s="568" t="str">
        <f>VLOOKUP(A407,'[1]Raw data'!$B:$Z,8,FALSE)</f>
        <v>R-&gt;L</v>
      </c>
      <c r="U407" s="568" t="str">
        <f>VLOOKUP(A407,'[1]Raw data'!$B:$Z,9,FALSE)</f>
        <v>No</v>
      </c>
      <c r="V407" s="572" t="str">
        <f t="shared" si="66"/>
        <v>OK</v>
      </c>
      <c r="W407" s="568" t="str">
        <f>VLOOKUP(A407,'[1]Raw data'!$B:$AG,32,FALSE)</f>
        <v>含税到厂</v>
      </c>
      <c r="X407" s="568">
        <f>VLOOKUP(A407,'[1]Raw data'!$B:$BA,31,FALSE)</f>
        <v>43986</v>
      </c>
      <c r="Y407" s="568" t="str">
        <f>VLOOKUP(A407,'[1]Raw data'!$B:$AS,39,FALSE)</f>
        <v>Yes</v>
      </c>
      <c r="AC407" s="568" t="s">
        <v>936</v>
      </c>
      <c r="AD407" s="576">
        <v>302</v>
      </c>
      <c r="AE407" s="576">
        <v>10</v>
      </c>
      <c r="AF407" s="576">
        <v>303</v>
      </c>
      <c r="AG407" s="576">
        <v>10</v>
      </c>
      <c r="AN407" s="547"/>
      <c r="AO407" s="829" t="str">
        <f t="shared" si="58"/>
        <v>Yes</v>
      </c>
      <c r="AP407" s="259" t="str">
        <f t="shared" si="59"/>
        <v>JUL 20</v>
      </c>
      <c r="AQ407" s="547" t="str">
        <f t="shared" si="60"/>
        <v>有定金+有預留客戶</v>
      </c>
      <c r="AR407" s="259" t="str">
        <f t="shared" si="61"/>
        <v>Shipped_Stock</v>
      </c>
      <c r="AS407" s="259" t="str">
        <f t="shared" si="62"/>
        <v/>
      </c>
      <c r="AT407" s="259" t="str">
        <f t="shared" si="63"/>
        <v>中润互联</v>
      </c>
      <c r="AU407" s="259" t="str">
        <f t="shared" si="64"/>
        <v>C49SZX20200058SS</v>
      </c>
      <c r="AV407" s="259" t="str">
        <f t="shared" si="65"/>
        <v>May-20</v>
      </c>
    </row>
    <row r="408" spans="1:48" hidden="1">
      <c r="A408" s="564">
        <v>584</v>
      </c>
      <c r="B408" s="565" t="s">
        <v>280</v>
      </c>
      <c r="C408" s="565" t="s">
        <v>281</v>
      </c>
      <c r="D408" s="604" t="s">
        <v>967</v>
      </c>
      <c r="E408" s="567" t="s">
        <v>968</v>
      </c>
      <c r="F408" s="568" t="s">
        <v>241</v>
      </c>
      <c r="G408" s="568" t="s">
        <v>18</v>
      </c>
      <c r="H408" s="568" t="s">
        <v>307</v>
      </c>
      <c r="I408" s="569" t="s">
        <v>969</v>
      </c>
      <c r="J408" s="569">
        <v>1</v>
      </c>
      <c r="K408" s="568" t="s">
        <v>295</v>
      </c>
      <c r="L408" s="570">
        <v>43818</v>
      </c>
      <c r="M408" s="581">
        <v>6.5799999999999997E-2</v>
      </c>
      <c r="N408" s="568" t="s">
        <v>554</v>
      </c>
      <c r="O408" s="568"/>
      <c r="P408" s="571" t="str">
        <f>VLOOKUP(A408,'[1]Raw data'!$B:$BB,23,FALSE)</f>
        <v>JPY</v>
      </c>
      <c r="Q408" s="568" t="str">
        <f>VLOOKUP(A408,'[1]Raw data'!$B:$Z,2,FALSE)</f>
        <v>C49SZX20200017CX</v>
      </c>
      <c r="R408" s="568" t="str">
        <f>VLOOKUP(A408,'[1]Raw data'!$B:$Z,3,FALSE)</f>
        <v>乐凡电子</v>
      </c>
      <c r="S408" s="568" t="str">
        <f>VLOOKUP(A408,'[1]Raw data'!$B:$Z,4,FALSE)</f>
        <v>YSM10</v>
      </c>
      <c r="T408" s="568" t="str">
        <f>VLOOKUP(A408,'[1]Raw data'!$B:$Z,8,FALSE)</f>
        <v>L-&gt;R</v>
      </c>
      <c r="U408" s="568" t="str">
        <f>VLOOKUP(A408,'[1]Raw data'!$B:$Z,9,FALSE)</f>
        <v>MVC</v>
      </c>
      <c r="V408" s="572" t="str">
        <f t="shared" si="66"/>
        <v>WRONG</v>
      </c>
      <c r="W408" s="568" t="str">
        <f>VLOOKUP(A408,'[1]Raw data'!$B:$AG,32,FALSE)</f>
        <v>DAP SZ</v>
      </c>
      <c r="X408" s="568">
        <f>VLOOKUP(A408,'[1]Raw data'!$B:$BA,31,FALSE)</f>
        <v>43846</v>
      </c>
      <c r="Y408" s="568" t="str">
        <f>VLOOKUP(A408,'[1]Raw data'!$B:$AS,39,FALSE)</f>
        <v>Yes</v>
      </c>
      <c r="AC408" s="568" t="s">
        <v>970</v>
      </c>
      <c r="AD408" s="576">
        <v>301</v>
      </c>
      <c r="AE408" s="576">
        <v>10</v>
      </c>
      <c r="AN408" s="547"/>
      <c r="AO408" s="829" t="str">
        <f t="shared" si="58"/>
        <v>Yes</v>
      </c>
      <c r="AP408" s="259" t="str">
        <f t="shared" si="59"/>
        <v>APR 20</v>
      </c>
      <c r="AQ408" s="547" t="str">
        <f t="shared" si="60"/>
        <v>有定金+有預留客戶</v>
      </c>
      <c r="AR408" s="259" t="str">
        <f t="shared" si="61"/>
        <v>Shipped_Stock</v>
      </c>
      <c r="AS408" s="259" t="str">
        <f t="shared" si="62"/>
        <v/>
      </c>
      <c r="AT408" s="259" t="str">
        <f t="shared" si="63"/>
        <v>乐凡电子</v>
      </c>
      <c r="AU408" s="259" t="str">
        <f t="shared" si="64"/>
        <v>C49SZX20200017CX</v>
      </c>
      <c r="AV408" s="259" t="str">
        <f t="shared" si="65"/>
        <v>Dec-19</v>
      </c>
    </row>
    <row r="409" spans="1:48" hidden="1">
      <c r="A409" s="564">
        <v>583</v>
      </c>
      <c r="B409" s="565" t="s">
        <v>280</v>
      </c>
      <c r="C409" s="565" t="s">
        <v>281</v>
      </c>
      <c r="D409" s="650" t="s">
        <v>967</v>
      </c>
      <c r="E409" s="651" t="s">
        <v>968</v>
      </c>
      <c r="F409" s="652" t="s">
        <v>241</v>
      </c>
      <c r="G409" s="568" t="s">
        <v>18</v>
      </c>
      <c r="H409" s="568" t="s">
        <v>307</v>
      </c>
      <c r="I409" s="569" t="s">
        <v>971</v>
      </c>
      <c r="J409" s="569">
        <v>1</v>
      </c>
      <c r="K409" s="568" t="s">
        <v>295</v>
      </c>
      <c r="L409" s="570">
        <v>43818</v>
      </c>
      <c r="M409" s="581">
        <v>6.5799999999999997E-2</v>
      </c>
      <c r="N409" s="568" t="s">
        <v>554</v>
      </c>
      <c r="O409" s="568"/>
      <c r="P409" s="571" t="str">
        <f>VLOOKUP(A409,'[1]Raw data'!$B:$BB,23,FALSE)</f>
        <v>JPY</v>
      </c>
      <c r="Q409" s="568" t="str">
        <f>VLOOKUP(A409,'[1]Raw data'!$B:$Z,2,FALSE)</f>
        <v>C49SZX20200017CX</v>
      </c>
      <c r="R409" s="568" t="str">
        <f>VLOOKUP(A409,'[1]Raw data'!$B:$Z,3,FALSE)</f>
        <v>乐凡电子</v>
      </c>
      <c r="S409" s="568" t="str">
        <f>VLOOKUP(A409,'[1]Raw data'!$B:$Z,4,FALSE)</f>
        <v>YSM10</v>
      </c>
      <c r="T409" s="568" t="str">
        <f>VLOOKUP(A409,'[1]Raw data'!$B:$Z,8,FALSE)</f>
        <v>L-&gt;R</v>
      </c>
      <c r="U409" s="568" t="str">
        <f>VLOOKUP(A409,'[1]Raw data'!$B:$Z,9,FALSE)</f>
        <v>MVC</v>
      </c>
      <c r="V409" s="572" t="str">
        <f t="shared" si="66"/>
        <v>WRONG</v>
      </c>
      <c r="W409" s="568" t="str">
        <f>VLOOKUP(A409,'[1]Raw data'!$B:$AG,32,FALSE)</f>
        <v>DAP SZ</v>
      </c>
      <c r="X409" s="568">
        <f>VLOOKUP(A409,'[1]Raw data'!$B:$BA,31,FALSE)</f>
        <v>43846</v>
      </c>
      <c r="Y409" s="568" t="str">
        <f>VLOOKUP(A409,'[1]Raw data'!$B:$AS,39,FALSE)</f>
        <v>Yes</v>
      </c>
      <c r="AC409" s="568" t="s">
        <v>970</v>
      </c>
      <c r="AD409" s="576">
        <v>301</v>
      </c>
      <c r="AE409" s="576">
        <v>10</v>
      </c>
      <c r="AN409" s="547"/>
      <c r="AO409" s="829" t="str">
        <f t="shared" si="58"/>
        <v>Yes</v>
      </c>
      <c r="AP409" s="259" t="str">
        <f t="shared" si="59"/>
        <v>APR 20</v>
      </c>
      <c r="AQ409" s="547" t="str">
        <f t="shared" si="60"/>
        <v>有定金+有預留客戶</v>
      </c>
      <c r="AR409" s="259" t="str">
        <f t="shared" si="61"/>
        <v>Shipped_Stock</v>
      </c>
      <c r="AS409" s="259" t="str">
        <f t="shared" si="62"/>
        <v/>
      </c>
      <c r="AT409" s="259" t="str">
        <f t="shared" si="63"/>
        <v>乐凡电子</v>
      </c>
      <c r="AU409" s="259" t="str">
        <f t="shared" si="64"/>
        <v>C49SZX20200017CX</v>
      </c>
      <c r="AV409" s="259" t="str">
        <f t="shared" si="65"/>
        <v>Dec-19</v>
      </c>
    </row>
    <row r="410" spans="1:48" hidden="1">
      <c r="A410" s="564">
        <v>601</v>
      </c>
      <c r="B410" s="565" t="s">
        <v>280</v>
      </c>
      <c r="C410" s="565" t="s">
        <v>281</v>
      </c>
      <c r="D410" s="604">
        <v>109857</v>
      </c>
      <c r="E410" s="568" t="s">
        <v>972</v>
      </c>
      <c r="F410" s="568" t="s">
        <v>154</v>
      </c>
      <c r="G410" s="568" t="s">
        <v>24</v>
      </c>
      <c r="H410" s="568" t="s">
        <v>26</v>
      </c>
      <c r="I410" s="569" t="s">
        <v>973</v>
      </c>
      <c r="J410" s="569">
        <v>1</v>
      </c>
      <c r="K410" s="568" t="s">
        <v>746</v>
      </c>
      <c r="L410" s="570">
        <v>43971</v>
      </c>
      <c r="M410" s="581" t="s">
        <v>939</v>
      </c>
      <c r="N410" s="568" t="s">
        <v>818</v>
      </c>
      <c r="O410" s="568">
        <v>2020.04</v>
      </c>
      <c r="P410" s="571" t="str">
        <f>VLOOKUP(A410,'[1]Raw data'!$B:$BB,23,FALSE)</f>
        <v>JPY</v>
      </c>
      <c r="Q410" s="568" t="str">
        <f>VLOOKUP(A410,'[1]Raw data'!$B:$Z,2,FALSE)</f>
        <v>C49SZX20200026SX</v>
      </c>
      <c r="R410" s="568" t="str">
        <f>VLOOKUP(A410,'[1]Raw data'!$B:$Z,3,FALSE)</f>
        <v>安林</v>
      </c>
      <c r="S410" s="568" t="str">
        <f>VLOOKUP(A410,'[1]Raw data'!$B:$Z,4,FALSE)</f>
        <v>YSM20WR-2</v>
      </c>
      <c r="T410" s="568" t="str">
        <f>VLOOKUP(A410,'[1]Raw data'!$B:$Z,8,FALSE)</f>
        <v>L-&gt;R</v>
      </c>
      <c r="U410" s="568" t="str">
        <f>VLOOKUP(A410,'[1]Raw data'!$B:$Z,9,FALSE)</f>
        <v>No</v>
      </c>
      <c r="V410" s="572" t="str">
        <f t="shared" si="66"/>
        <v>OK</v>
      </c>
      <c r="W410" s="568" t="str">
        <f>VLOOKUP(A410,'[1]Raw data'!$B:$AG,32,FALSE)</f>
        <v>DAP DG</v>
      </c>
      <c r="X410" s="568">
        <f>VLOOKUP(A410,'[1]Raw data'!$B:$BA,31,FALSE)</f>
        <v>43913</v>
      </c>
      <c r="Y410" s="568" t="str">
        <f>VLOOKUP(A410,'[1]Raw data'!$B:$AS,39,FALSE)</f>
        <v>Yes</v>
      </c>
      <c r="AC410" s="568" t="s">
        <v>678</v>
      </c>
      <c r="AN410" s="547"/>
      <c r="AO410" s="829" t="str">
        <f t="shared" si="58"/>
        <v>Yes</v>
      </c>
      <c r="AP410" s="259" t="str">
        <f t="shared" si="59"/>
        <v>MAY 20</v>
      </c>
      <c r="AQ410" s="547" t="str">
        <f t="shared" si="60"/>
        <v>有定金+有預留客戶</v>
      </c>
      <c r="AR410" s="259" t="str">
        <f t="shared" si="61"/>
        <v>Shipped_Stock</v>
      </c>
      <c r="AS410" s="259" t="str">
        <f t="shared" si="62"/>
        <v/>
      </c>
      <c r="AT410" s="259" t="str">
        <f t="shared" si="63"/>
        <v>安林</v>
      </c>
      <c r="AU410" s="259" t="str">
        <f t="shared" si="64"/>
        <v>C49SZX20200026SX</v>
      </c>
      <c r="AV410" s="259" t="str">
        <f t="shared" si="65"/>
        <v>May-20</v>
      </c>
    </row>
    <row r="411" spans="1:48" hidden="1">
      <c r="A411" s="564">
        <v>611</v>
      </c>
      <c r="B411" s="565" t="s">
        <v>280</v>
      </c>
      <c r="C411" s="565" t="s">
        <v>281</v>
      </c>
      <c r="D411" s="604">
        <v>109858</v>
      </c>
      <c r="E411" s="568" t="s">
        <v>974</v>
      </c>
      <c r="F411" s="568" t="s">
        <v>17</v>
      </c>
      <c r="G411" s="568" t="s">
        <v>18</v>
      </c>
      <c r="H411" s="568" t="s">
        <v>26</v>
      </c>
      <c r="I411" s="569" t="s">
        <v>975</v>
      </c>
      <c r="J411" s="569">
        <v>1</v>
      </c>
      <c r="K411" s="568" t="s">
        <v>437</v>
      </c>
      <c r="L411" s="570">
        <v>43973</v>
      </c>
      <c r="M411" s="581" t="s">
        <v>939</v>
      </c>
      <c r="N411" s="568" t="s">
        <v>818</v>
      </c>
      <c r="O411" s="568">
        <v>2020.04</v>
      </c>
      <c r="P411" s="571" t="str">
        <f>VLOOKUP(A411,'[1]Raw data'!$B:$BB,23,FALSE)</f>
        <v>JPY</v>
      </c>
      <c r="Q411" s="568" t="str">
        <f>VLOOKUP(A411,'[1]Raw data'!$B:$Z,2,FALSE)</f>
        <v>C49SZX20200035JY</v>
      </c>
      <c r="R411" s="568" t="str">
        <f>VLOOKUP(A411,'[1]Raw data'!$B:$Z,3,FALSE)</f>
        <v>创荣发</v>
      </c>
      <c r="S411" s="568" t="str">
        <f>VLOOKUP(A411,'[1]Raw data'!$B:$Z,4,FALSE)</f>
        <v>YSM10</v>
      </c>
      <c r="T411" s="568" t="str">
        <f>VLOOKUP(A411,'[1]Raw data'!$B:$Z,8,FALSE)</f>
        <v>L-&gt;R</v>
      </c>
      <c r="U411" s="568" t="str">
        <f>VLOOKUP(A411,'[1]Raw data'!$B:$Z,9,FALSE)</f>
        <v>MVC</v>
      </c>
      <c r="V411" s="572" t="str">
        <f t="shared" si="66"/>
        <v>WRONG</v>
      </c>
      <c r="W411" s="568" t="str">
        <f>VLOOKUP(A411,'[1]Raw data'!$B:$AG,32,FALSE)</f>
        <v>DAP HZ</v>
      </c>
      <c r="X411" s="568">
        <f>VLOOKUP(A411,'[1]Raw data'!$B:$BA,31,FALSE)</f>
        <v>43921</v>
      </c>
      <c r="Y411" s="568" t="str">
        <f>VLOOKUP(A411,'[1]Raw data'!$B:$AS,39,FALSE)</f>
        <v>Yes</v>
      </c>
      <c r="AC411" s="568" t="s">
        <v>915</v>
      </c>
      <c r="AD411" s="576">
        <v>301</v>
      </c>
      <c r="AE411" s="576">
        <v>10</v>
      </c>
      <c r="AN411" s="547"/>
      <c r="AO411" s="829" t="str">
        <f t="shared" si="58"/>
        <v>Yes</v>
      </c>
      <c r="AP411" s="259" t="str">
        <f t="shared" si="59"/>
        <v>MAY 20</v>
      </c>
      <c r="AQ411" s="547" t="str">
        <f t="shared" si="60"/>
        <v>有定金+有預留客戶</v>
      </c>
      <c r="AR411" s="259" t="str">
        <f t="shared" si="61"/>
        <v>Shipped_Stock</v>
      </c>
      <c r="AS411" s="259" t="str">
        <f t="shared" si="62"/>
        <v/>
      </c>
      <c r="AT411" s="259" t="str">
        <f t="shared" si="63"/>
        <v>创荣发</v>
      </c>
      <c r="AU411" s="259" t="str">
        <f t="shared" si="64"/>
        <v>C49SZX20200035JY</v>
      </c>
      <c r="AV411" s="259" t="str">
        <f t="shared" si="65"/>
        <v>May-22</v>
      </c>
    </row>
    <row r="412" spans="1:48" hidden="1">
      <c r="A412" s="564">
        <v>612</v>
      </c>
      <c r="B412" s="565" t="s">
        <v>280</v>
      </c>
      <c r="C412" s="565" t="s">
        <v>281</v>
      </c>
      <c r="D412" s="604">
        <v>109858</v>
      </c>
      <c r="E412" s="568" t="s">
        <v>974</v>
      </c>
      <c r="F412" s="568" t="s">
        <v>17</v>
      </c>
      <c r="G412" s="568" t="s">
        <v>18</v>
      </c>
      <c r="H412" s="568" t="s">
        <v>26</v>
      </c>
      <c r="I412" s="569" t="s">
        <v>976</v>
      </c>
      <c r="J412" s="569">
        <v>1</v>
      </c>
      <c r="K412" s="568" t="s">
        <v>437</v>
      </c>
      <c r="L412" s="570">
        <v>43973</v>
      </c>
      <c r="M412" s="581" t="s">
        <v>939</v>
      </c>
      <c r="N412" s="568" t="s">
        <v>818</v>
      </c>
      <c r="O412" s="568">
        <v>2020.04</v>
      </c>
      <c r="P412" s="571" t="str">
        <f>VLOOKUP(A412,'[1]Raw data'!$B:$BB,23,FALSE)</f>
        <v>JPY</v>
      </c>
      <c r="Q412" s="568" t="str">
        <f>VLOOKUP(A412,'[1]Raw data'!$B:$Z,2,FALSE)</f>
        <v>C49SZX20200035JY</v>
      </c>
      <c r="R412" s="568" t="str">
        <f>VLOOKUP(A412,'[1]Raw data'!$B:$Z,3,FALSE)</f>
        <v>创荣发</v>
      </c>
      <c r="S412" s="568" t="str">
        <f>VLOOKUP(A412,'[1]Raw data'!$B:$Z,4,FALSE)</f>
        <v>YSM10</v>
      </c>
      <c r="T412" s="568" t="str">
        <f>VLOOKUP(A412,'[1]Raw data'!$B:$Z,8,FALSE)</f>
        <v>L-&gt;R</v>
      </c>
      <c r="U412" s="568" t="str">
        <f>VLOOKUP(A412,'[1]Raw data'!$B:$Z,9,FALSE)</f>
        <v>MVC</v>
      </c>
      <c r="V412" s="572" t="str">
        <f t="shared" si="66"/>
        <v>WRONG</v>
      </c>
      <c r="W412" s="568" t="str">
        <f>VLOOKUP(A412,'[1]Raw data'!$B:$AG,32,FALSE)</f>
        <v>DAP HZ</v>
      </c>
      <c r="X412" s="568">
        <f>VLOOKUP(A412,'[1]Raw data'!$B:$BA,31,FALSE)</f>
        <v>43921</v>
      </c>
      <c r="Y412" s="568" t="str">
        <f>VLOOKUP(A412,'[1]Raw data'!$B:$AS,39,FALSE)</f>
        <v>Yes</v>
      </c>
      <c r="AC412" s="568" t="s">
        <v>915</v>
      </c>
      <c r="AD412" s="576">
        <v>301</v>
      </c>
      <c r="AE412" s="576">
        <v>10</v>
      </c>
      <c r="AN412" s="547"/>
      <c r="AO412" s="829" t="str">
        <f t="shared" si="58"/>
        <v>Yes</v>
      </c>
      <c r="AP412" s="259" t="str">
        <f t="shared" si="59"/>
        <v>MAY 20</v>
      </c>
      <c r="AQ412" s="547" t="str">
        <f t="shared" si="60"/>
        <v>有定金+有預留客戶</v>
      </c>
      <c r="AR412" s="259" t="str">
        <f t="shared" si="61"/>
        <v>Shipped_Stock</v>
      </c>
      <c r="AS412" s="259" t="str">
        <f t="shared" si="62"/>
        <v/>
      </c>
      <c r="AT412" s="259" t="str">
        <f t="shared" si="63"/>
        <v>创荣发</v>
      </c>
      <c r="AU412" s="259" t="str">
        <f t="shared" si="64"/>
        <v>C49SZX20200035JY</v>
      </c>
      <c r="AV412" s="259" t="str">
        <f t="shared" si="65"/>
        <v>May-22</v>
      </c>
    </row>
    <row r="413" spans="1:48" hidden="1">
      <c r="A413" s="564">
        <v>639</v>
      </c>
      <c r="B413" s="565" t="s">
        <v>280</v>
      </c>
      <c r="C413" s="565" t="s">
        <v>281</v>
      </c>
      <c r="D413" s="604">
        <v>109858</v>
      </c>
      <c r="E413" s="568" t="s">
        <v>974</v>
      </c>
      <c r="F413" s="568" t="s">
        <v>241</v>
      </c>
      <c r="G413" s="568" t="s">
        <v>18</v>
      </c>
      <c r="H413" s="568" t="s">
        <v>26</v>
      </c>
      <c r="I413" s="569" t="s">
        <v>977</v>
      </c>
      <c r="J413" s="569">
        <v>1</v>
      </c>
      <c r="K413" s="568" t="s">
        <v>437</v>
      </c>
      <c r="L413" s="570">
        <v>43973</v>
      </c>
      <c r="M413" s="581" t="s">
        <v>939</v>
      </c>
      <c r="N413" s="568" t="s">
        <v>818</v>
      </c>
      <c r="O413" s="568">
        <v>2020.04</v>
      </c>
      <c r="P413" s="571" t="str">
        <f>VLOOKUP(A413,'[1]Raw data'!$B:$BB,23,FALSE)</f>
        <v>JPY</v>
      </c>
      <c r="Q413" s="568" t="str">
        <f>VLOOKUP(A413,'[1]Raw data'!$B:$Z,2,FALSE)</f>
        <v>C49SZX20200052JY</v>
      </c>
      <c r="R413" s="568" t="str">
        <f>VLOOKUP(A413,'[1]Raw data'!$B:$Z,3,FALSE)</f>
        <v>创荣发</v>
      </c>
      <c r="S413" s="568" t="str">
        <f>VLOOKUP(A413,'[1]Raw data'!$B:$Z,4,FALSE)</f>
        <v>YSM10</v>
      </c>
      <c r="T413" s="568" t="str">
        <f>VLOOKUP(A413,'[1]Raw data'!$B:$Z,8,FALSE)</f>
        <v>L-&gt;R</v>
      </c>
      <c r="U413" s="568" t="str">
        <f>VLOOKUP(A413,'[1]Raw data'!$B:$Z,9,FALSE)</f>
        <v>MVC</v>
      </c>
      <c r="V413" s="572" t="str">
        <f t="shared" si="66"/>
        <v>WRONG</v>
      </c>
      <c r="W413" s="568" t="str">
        <f>VLOOKUP(A413,'[1]Raw data'!$B:$AG,32,FALSE)</f>
        <v>DAP HZ</v>
      </c>
      <c r="X413" s="568">
        <f>VLOOKUP(A413,'[1]Raw data'!$B:$BA,31,FALSE)</f>
        <v>43951</v>
      </c>
      <c r="Y413" s="568" t="str">
        <f>VLOOKUP(A413,'[1]Raw data'!$B:$AS,39,FALSE)</f>
        <v>Yes</v>
      </c>
      <c r="AC413" s="568" t="s">
        <v>978</v>
      </c>
      <c r="AD413" s="576">
        <v>301</v>
      </c>
      <c r="AE413" s="576">
        <v>10</v>
      </c>
      <c r="AN413" s="547"/>
      <c r="AO413" s="829" t="str">
        <f t="shared" si="58"/>
        <v>Yes</v>
      </c>
      <c r="AP413" s="259" t="str">
        <f t="shared" si="59"/>
        <v>MAY 20</v>
      </c>
      <c r="AQ413" s="547" t="str">
        <f t="shared" si="60"/>
        <v>有定金+有預留客戶</v>
      </c>
      <c r="AR413" s="259" t="str">
        <f t="shared" si="61"/>
        <v>Shipped_Stock</v>
      </c>
      <c r="AS413" s="259" t="str">
        <f t="shared" si="62"/>
        <v/>
      </c>
      <c r="AT413" s="259" t="str">
        <f t="shared" si="63"/>
        <v>创荣发</v>
      </c>
      <c r="AU413" s="259" t="str">
        <f t="shared" si="64"/>
        <v>C49SZX20200052JY</v>
      </c>
      <c r="AV413" s="259" t="str">
        <f t="shared" si="65"/>
        <v>May-22</v>
      </c>
    </row>
    <row r="414" spans="1:48" hidden="1">
      <c r="A414" s="564">
        <v>640</v>
      </c>
      <c r="B414" s="565" t="s">
        <v>280</v>
      </c>
      <c r="C414" s="565" t="s">
        <v>281</v>
      </c>
      <c r="D414" s="604">
        <v>109858</v>
      </c>
      <c r="E414" s="568" t="s">
        <v>974</v>
      </c>
      <c r="F414" s="568" t="s">
        <v>17</v>
      </c>
      <c r="G414" s="568" t="s">
        <v>18</v>
      </c>
      <c r="H414" s="568" t="s">
        <v>26</v>
      </c>
      <c r="I414" s="569" t="s">
        <v>979</v>
      </c>
      <c r="J414" s="569">
        <v>1</v>
      </c>
      <c r="K414" s="568" t="s">
        <v>437</v>
      </c>
      <c r="L414" s="570">
        <v>43973</v>
      </c>
      <c r="M414" s="581" t="s">
        <v>939</v>
      </c>
      <c r="N414" s="568" t="s">
        <v>818</v>
      </c>
      <c r="O414" s="568">
        <v>2020.04</v>
      </c>
      <c r="P414" s="571" t="str">
        <f>VLOOKUP(A414,'[1]Raw data'!$B:$BB,23,FALSE)</f>
        <v>JPY</v>
      </c>
      <c r="Q414" s="568" t="str">
        <f>VLOOKUP(A414,'[1]Raw data'!$B:$Z,2,FALSE)</f>
        <v>C49SZX20200052JY</v>
      </c>
      <c r="R414" s="568" t="str">
        <f>VLOOKUP(A414,'[1]Raw data'!$B:$Z,3,FALSE)</f>
        <v>创荣发</v>
      </c>
      <c r="S414" s="568" t="str">
        <f>VLOOKUP(A414,'[1]Raw data'!$B:$Z,4,FALSE)</f>
        <v>YSM10</v>
      </c>
      <c r="T414" s="568" t="str">
        <f>VLOOKUP(A414,'[1]Raw data'!$B:$Z,8,FALSE)</f>
        <v>L-&gt;R</v>
      </c>
      <c r="U414" s="568" t="str">
        <f>VLOOKUP(A414,'[1]Raw data'!$B:$Z,9,FALSE)</f>
        <v>No</v>
      </c>
      <c r="V414" s="572" t="str">
        <f t="shared" si="66"/>
        <v>WRONG</v>
      </c>
      <c r="W414" s="568" t="str">
        <f>VLOOKUP(A414,'[1]Raw data'!$B:$AG,32,FALSE)</f>
        <v>DAP HZ</v>
      </c>
      <c r="X414" s="568">
        <f>VLOOKUP(A414,'[1]Raw data'!$B:$BA,31,FALSE)</f>
        <v>43951</v>
      </c>
      <c r="Y414" s="568" t="str">
        <f>VLOOKUP(A414,'[1]Raw data'!$B:$AS,39,FALSE)</f>
        <v>Yes</v>
      </c>
      <c r="AC414" s="568" t="s">
        <v>978</v>
      </c>
      <c r="AD414" s="576">
        <v>301</v>
      </c>
      <c r="AE414" s="576">
        <v>10</v>
      </c>
      <c r="AN414" s="547"/>
      <c r="AO414" s="829" t="str">
        <f t="shared" si="58"/>
        <v>Yes</v>
      </c>
      <c r="AP414" s="259" t="str">
        <f t="shared" si="59"/>
        <v>MAY 20</v>
      </c>
      <c r="AQ414" s="547" t="str">
        <f t="shared" si="60"/>
        <v>有定金+有預留客戶</v>
      </c>
      <c r="AR414" s="259" t="str">
        <f t="shared" si="61"/>
        <v>Shipped_Stock</v>
      </c>
      <c r="AS414" s="259" t="str">
        <f t="shared" si="62"/>
        <v/>
      </c>
      <c r="AT414" s="259" t="str">
        <f t="shared" si="63"/>
        <v>创荣发</v>
      </c>
      <c r="AU414" s="259" t="str">
        <f t="shared" si="64"/>
        <v>C49SZX20200052JY</v>
      </c>
      <c r="AV414" s="259" t="str">
        <f t="shared" si="65"/>
        <v>May-22</v>
      </c>
    </row>
    <row r="415" spans="1:48" hidden="1">
      <c r="A415" s="564">
        <v>652</v>
      </c>
      <c r="B415" s="565" t="s">
        <v>280</v>
      </c>
      <c r="C415" s="565" t="s">
        <v>281</v>
      </c>
      <c r="D415" s="604">
        <v>109858</v>
      </c>
      <c r="E415" s="568" t="s">
        <v>974</v>
      </c>
      <c r="F415" s="568" t="s">
        <v>17</v>
      </c>
      <c r="G415" s="568" t="s">
        <v>18</v>
      </c>
      <c r="H415" s="568" t="s">
        <v>26</v>
      </c>
      <c r="I415" s="569" t="s">
        <v>980</v>
      </c>
      <c r="J415" s="569">
        <v>1</v>
      </c>
      <c r="K415" s="568" t="s">
        <v>437</v>
      </c>
      <c r="L415" s="570">
        <v>43973</v>
      </c>
      <c r="M415" s="581">
        <v>6.7000000000000004E-2</v>
      </c>
      <c r="N415" s="568" t="s">
        <v>903</v>
      </c>
      <c r="O415" s="568">
        <v>2020.04</v>
      </c>
      <c r="P415" s="571" t="str">
        <f>VLOOKUP(A415,'[1]Raw data'!$B:$BB,23,FALSE)</f>
        <v>RMB</v>
      </c>
      <c r="Q415" s="568" t="str">
        <f>VLOOKUP(A415,'[1]Raw data'!$B:$Z,2,FALSE)</f>
        <v>C49SZX20200025MX</v>
      </c>
      <c r="R415" s="568" t="str">
        <f>VLOOKUP(A415,'[1]Raw data'!$B:$Z,3,FALSE)</f>
        <v>城宇</v>
      </c>
      <c r="S415" s="568" t="str">
        <f>VLOOKUP(A415,'[1]Raw data'!$B:$Z,4,FALSE)</f>
        <v>YSM10</v>
      </c>
      <c r="T415" s="568" t="str">
        <f>VLOOKUP(A415,'[1]Raw data'!$B:$Z,8,FALSE)</f>
        <v>L-&gt;R</v>
      </c>
      <c r="U415" s="568" t="str">
        <f>VLOOKUP(A415,'[1]Raw data'!$B:$Z,9,FALSE)</f>
        <v>No</v>
      </c>
      <c r="V415" s="572" t="str">
        <f t="shared" si="66"/>
        <v>WRONG</v>
      </c>
      <c r="W415" s="568" t="str">
        <f>VLOOKUP(A415,'[1]Raw data'!$B:$AG,32,FALSE)</f>
        <v>含税到厂</v>
      </c>
      <c r="X415" s="568">
        <f>VLOOKUP(A415,'[1]Raw data'!$B:$BA,31,FALSE)</f>
        <v>43976</v>
      </c>
      <c r="Y415" s="568" t="str">
        <f>VLOOKUP(A415,'[1]Raw data'!$B:$AS,39,FALSE)</f>
        <v>Yes</v>
      </c>
      <c r="AC415" s="568" t="s">
        <v>981</v>
      </c>
      <c r="AD415" s="576">
        <v>301</v>
      </c>
      <c r="AE415" s="576">
        <v>10</v>
      </c>
      <c r="AN415" s="547"/>
      <c r="AO415" s="829" t="str">
        <f t="shared" si="58"/>
        <v>Yes</v>
      </c>
      <c r="AP415" s="259" t="str">
        <f t="shared" si="59"/>
        <v>JUN 20</v>
      </c>
      <c r="AQ415" s="547" t="str">
        <f t="shared" si="60"/>
        <v>有定金+有預留客戶</v>
      </c>
      <c r="AR415" s="259" t="str">
        <f t="shared" si="61"/>
        <v>Shipped_Stock</v>
      </c>
      <c r="AS415" s="259" t="str">
        <f t="shared" si="62"/>
        <v/>
      </c>
      <c r="AT415" s="259" t="str">
        <f t="shared" si="63"/>
        <v>城宇</v>
      </c>
      <c r="AU415" s="259" t="str">
        <f t="shared" si="64"/>
        <v>C49SZX20200025MX</v>
      </c>
      <c r="AV415" s="259" t="str">
        <f t="shared" si="65"/>
        <v>May-22</v>
      </c>
    </row>
    <row r="416" spans="1:48" hidden="1">
      <c r="A416" s="564">
        <v>662</v>
      </c>
      <c r="B416" s="565" t="s">
        <v>280</v>
      </c>
      <c r="C416" s="565" t="s">
        <v>281</v>
      </c>
      <c r="D416" s="604">
        <v>109889</v>
      </c>
      <c r="E416" s="568" t="s">
        <v>974</v>
      </c>
      <c r="F416" s="568" t="s">
        <v>17</v>
      </c>
      <c r="G416" s="568" t="s">
        <v>18</v>
      </c>
      <c r="H416" s="568" t="s">
        <v>26</v>
      </c>
      <c r="I416" s="569" t="s">
        <v>982</v>
      </c>
      <c r="J416" s="569">
        <v>1</v>
      </c>
      <c r="K416" s="568" t="s">
        <v>437</v>
      </c>
      <c r="L416" s="570">
        <v>43985</v>
      </c>
      <c r="M416" s="581" t="s">
        <v>939</v>
      </c>
      <c r="N416" s="568" t="s">
        <v>903</v>
      </c>
      <c r="O416" s="568">
        <v>2020.05</v>
      </c>
      <c r="P416" s="571" t="str">
        <f>VLOOKUP(A416,'[1]Raw data'!$B:$BB,23,FALSE)</f>
        <v>JPY</v>
      </c>
      <c r="Q416" s="568" t="str">
        <f>VLOOKUP(A416,'[1]Raw data'!$B:$Z,2,FALSE)</f>
        <v>C49SZX20200061JY</v>
      </c>
      <c r="R416" s="568" t="str">
        <f>VLOOKUP(A416,'[1]Raw data'!$B:$Z,3,FALSE)</f>
        <v>旭日伟光</v>
      </c>
      <c r="S416" s="568" t="str">
        <f>VLOOKUP(A416,'[1]Raw data'!$B:$Z,4,FALSE)</f>
        <v>YSM10</v>
      </c>
      <c r="T416" s="568" t="str">
        <f>VLOOKUP(A416,'[1]Raw data'!$B:$Z,8,FALSE)</f>
        <v>L-&gt;R</v>
      </c>
      <c r="U416" s="568" t="str">
        <f>VLOOKUP(A416,'[1]Raw data'!$B:$Z,9,FALSE)</f>
        <v>MVC</v>
      </c>
      <c r="V416" s="572" t="str">
        <f t="shared" si="66"/>
        <v>WRONG</v>
      </c>
      <c r="W416" s="568" t="str">
        <f>VLOOKUP(A416,'[1]Raw data'!$B:$AG,32,FALSE)</f>
        <v>DAP SZ</v>
      </c>
      <c r="X416" s="568">
        <f>VLOOKUP(A416,'[1]Raw data'!$B:$BA,31,FALSE)</f>
        <v>43993</v>
      </c>
      <c r="Y416" s="568" t="str">
        <f>VLOOKUP(A416,'[1]Raw data'!$B:$AS,39,FALSE)</f>
        <v>Yes</v>
      </c>
      <c r="AC416" s="568" t="s">
        <v>601</v>
      </c>
      <c r="AD416" s="576">
        <v>301</v>
      </c>
      <c r="AE416" s="576">
        <v>10</v>
      </c>
      <c r="AN416" s="653"/>
      <c r="AO416" s="829" t="str">
        <f t="shared" si="58"/>
        <v>Yes</v>
      </c>
      <c r="AP416" s="259" t="str">
        <f t="shared" si="59"/>
        <v>JUN 20</v>
      </c>
      <c r="AQ416" s="547" t="str">
        <f t="shared" si="60"/>
        <v>有定金+有預留客戶</v>
      </c>
      <c r="AR416" s="259" t="str">
        <f t="shared" si="61"/>
        <v>Shipped_Stock</v>
      </c>
      <c r="AS416" s="259" t="str">
        <f t="shared" si="62"/>
        <v/>
      </c>
      <c r="AT416" s="259" t="str">
        <f t="shared" si="63"/>
        <v>旭日伟光</v>
      </c>
      <c r="AU416" s="259" t="str">
        <f t="shared" si="64"/>
        <v>C49SZX20200061JY</v>
      </c>
      <c r="AV416" s="259" t="str">
        <f t="shared" si="65"/>
        <v>Jun-03</v>
      </c>
    </row>
    <row r="417" spans="1:48" hidden="1">
      <c r="A417" s="564">
        <v>661</v>
      </c>
      <c r="B417" s="565" t="s">
        <v>280</v>
      </c>
      <c r="C417" s="565" t="s">
        <v>281</v>
      </c>
      <c r="D417" s="604">
        <v>109889</v>
      </c>
      <c r="E417" s="568" t="s">
        <v>974</v>
      </c>
      <c r="F417" s="568" t="s">
        <v>17</v>
      </c>
      <c r="G417" s="654" t="s">
        <v>18</v>
      </c>
      <c r="H417" s="654" t="s">
        <v>26</v>
      </c>
      <c r="I417" s="588" t="s">
        <v>983</v>
      </c>
      <c r="J417" s="588">
        <v>1</v>
      </c>
      <c r="K417" s="568" t="s">
        <v>820</v>
      </c>
      <c r="L417" s="655">
        <v>43985</v>
      </c>
      <c r="M417" s="581">
        <v>6.7000000000000004E-2</v>
      </c>
      <c r="N417" s="654" t="s">
        <v>903</v>
      </c>
      <c r="O417" s="654">
        <v>2020.05</v>
      </c>
      <c r="P417" s="571" t="str">
        <f>VLOOKUP(A417,'[1]Raw data'!$B:$BB,23,FALSE)</f>
        <v>RMB</v>
      </c>
      <c r="Q417" s="568" t="str">
        <f>VLOOKUP(A417,'[1]Raw data'!$B:$Z,2,FALSE)</f>
        <v>C49SZX20200065JZ</v>
      </c>
      <c r="R417" s="568" t="str">
        <f>VLOOKUP(A417,'[1]Raw data'!$B:$Z,3,FALSE)</f>
        <v>科华/End user 美斯特</v>
      </c>
      <c r="S417" s="568" t="str">
        <f>VLOOKUP(A417,'[1]Raw data'!$B:$Z,4,FALSE)</f>
        <v>YSM10</v>
      </c>
      <c r="T417" s="568" t="str">
        <f>VLOOKUP(A417,'[1]Raw data'!$B:$Z,8,FALSE)</f>
        <v>L-&gt;R</v>
      </c>
      <c r="U417" s="568" t="str">
        <f>VLOOKUP(A417,'[1]Raw data'!$B:$Z,9,FALSE)</f>
        <v>No</v>
      </c>
      <c r="V417" s="656" t="str">
        <f t="shared" si="66"/>
        <v>WRONG</v>
      </c>
      <c r="W417" s="568" t="str">
        <f>VLOOKUP(A417,'[1]Raw data'!$B:$AG,32,FALSE)</f>
        <v>含税到厂</v>
      </c>
      <c r="X417" s="568">
        <f>VLOOKUP(A417,'[1]Raw data'!$B:$BA,31,FALSE)</f>
        <v>43993</v>
      </c>
      <c r="Y417" s="568" t="str">
        <f>VLOOKUP(A417,'[1]Raw data'!$B:$AS,39,FALSE)</f>
        <v>Yes</v>
      </c>
      <c r="Z417" s="657"/>
      <c r="AA417" s="658"/>
      <c r="AB417" s="659"/>
      <c r="AC417" s="654" t="s">
        <v>984</v>
      </c>
      <c r="AD417" s="660">
        <v>301</v>
      </c>
      <c r="AE417" s="660">
        <v>10</v>
      </c>
      <c r="AF417" s="660"/>
      <c r="AG417" s="660"/>
      <c r="AH417" s="660"/>
      <c r="AI417" s="661"/>
      <c r="AN417" s="547"/>
      <c r="AO417" s="829" t="str">
        <f t="shared" si="58"/>
        <v>Yes</v>
      </c>
      <c r="AP417" s="259" t="str">
        <f t="shared" si="59"/>
        <v>JUN 20</v>
      </c>
      <c r="AQ417" s="547" t="str">
        <f t="shared" si="60"/>
        <v>有定金+有預留客戶</v>
      </c>
      <c r="AR417" s="259" t="str">
        <f t="shared" si="61"/>
        <v>Shipped_Stock</v>
      </c>
      <c r="AS417" s="259" t="str">
        <f t="shared" si="62"/>
        <v/>
      </c>
      <c r="AT417" s="259" t="str">
        <f t="shared" si="63"/>
        <v>科华/End user 美斯特</v>
      </c>
      <c r="AU417" s="259" t="str">
        <f t="shared" si="64"/>
        <v>C49SZX20200065JZ</v>
      </c>
      <c r="AV417" s="259" t="str">
        <f t="shared" si="65"/>
        <v>Jun-03</v>
      </c>
    </row>
    <row r="418" spans="1:48" hidden="1">
      <c r="A418" s="564">
        <v>672</v>
      </c>
      <c r="B418" s="565" t="s">
        <v>280</v>
      </c>
      <c r="C418" s="565" t="s">
        <v>281</v>
      </c>
      <c r="D418" s="604">
        <v>109889</v>
      </c>
      <c r="E418" s="568" t="s">
        <v>974</v>
      </c>
      <c r="F418" s="568" t="s">
        <v>17</v>
      </c>
      <c r="G418" s="652" t="s">
        <v>18</v>
      </c>
      <c r="H418" s="652" t="s">
        <v>26</v>
      </c>
      <c r="I418" s="580" t="s">
        <v>985</v>
      </c>
      <c r="J418" s="580">
        <v>1</v>
      </c>
      <c r="K418" s="568" t="s">
        <v>661</v>
      </c>
      <c r="L418" s="662">
        <v>43985</v>
      </c>
      <c r="M418" s="581">
        <v>6.7000000000000004E-2</v>
      </c>
      <c r="N418" s="654" t="s">
        <v>300</v>
      </c>
      <c r="O418" s="652">
        <v>2020.05</v>
      </c>
      <c r="P418" s="571" t="str">
        <f>VLOOKUP(A418,'[1]Raw data'!$B:$BB,23,FALSE)</f>
        <v>JPY</v>
      </c>
      <c r="Q418" s="568" t="str">
        <f>VLOOKUP(A418,'[1]Raw data'!$B:$Z,2,FALSE)</f>
        <v>C49SZX20200071JY</v>
      </c>
      <c r="R418" s="568" t="str">
        <f>VLOOKUP(A418,'[1]Raw data'!$B:$Z,3,FALSE)</f>
        <v>英拓邦</v>
      </c>
      <c r="S418" s="568" t="str">
        <f>VLOOKUP(A418,'[1]Raw data'!$B:$Z,4,FALSE)</f>
        <v>YSM10</v>
      </c>
      <c r="T418" s="568" t="str">
        <f>VLOOKUP(A418,'[1]Raw data'!$B:$Z,8,FALSE)</f>
        <v>R-&gt;L</v>
      </c>
      <c r="U418" s="568" t="str">
        <f>VLOOKUP(A418,'[1]Raw data'!$B:$Z,9,FALSE)</f>
        <v>MVC</v>
      </c>
      <c r="V418" s="663" t="str">
        <f t="shared" si="66"/>
        <v>WRONG</v>
      </c>
      <c r="W418" s="568" t="str">
        <f>VLOOKUP(A418,'[1]Raw data'!$B:$AG,32,FALSE)</f>
        <v>DAP SZ</v>
      </c>
      <c r="X418" s="568">
        <f>VLOOKUP(A418,'[1]Raw data'!$B:$BA,31,FALSE)</f>
        <v>44005</v>
      </c>
      <c r="Y418" s="568" t="str">
        <f>VLOOKUP(A418,'[1]Raw data'!$B:$AS,39,FALSE)</f>
        <v>Yes</v>
      </c>
      <c r="Z418" s="664"/>
      <c r="AA418" s="665"/>
      <c r="AB418" s="666"/>
      <c r="AC418" s="652" t="s">
        <v>965</v>
      </c>
      <c r="AD418" s="667">
        <v>301</v>
      </c>
      <c r="AE418" s="667">
        <v>10</v>
      </c>
      <c r="AF418" s="667"/>
      <c r="AG418" s="667"/>
      <c r="AH418" s="667"/>
      <c r="AI418" s="668"/>
      <c r="AN418" s="547"/>
      <c r="AO418" s="829" t="str">
        <f t="shared" si="58"/>
        <v>Yes</v>
      </c>
      <c r="AP418" s="259" t="str">
        <f t="shared" si="59"/>
        <v>JUL 20</v>
      </c>
      <c r="AQ418" s="547" t="str">
        <f t="shared" si="60"/>
        <v>有定金+有預留客戶</v>
      </c>
      <c r="AR418" s="259" t="str">
        <f t="shared" si="61"/>
        <v>Shipped_Stock</v>
      </c>
      <c r="AS418" s="259" t="str">
        <f t="shared" si="62"/>
        <v/>
      </c>
      <c r="AT418" s="259" t="str">
        <f t="shared" si="63"/>
        <v>英拓邦</v>
      </c>
      <c r="AU418" s="259" t="str">
        <f t="shared" si="64"/>
        <v>C49SZX20200071JY</v>
      </c>
      <c r="AV418" s="259" t="str">
        <f t="shared" si="65"/>
        <v>Jun-03</v>
      </c>
    </row>
    <row r="419" spans="1:48" hidden="1">
      <c r="A419" s="564">
        <v>616</v>
      </c>
      <c r="B419" s="565" t="s">
        <v>280</v>
      </c>
      <c r="C419" s="565" t="s">
        <v>281</v>
      </c>
      <c r="D419" s="650">
        <v>109873</v>
      </c>
      <c r="E419" s="651" t="s">
        <v>986</v>
      </c>
      <c r="F419" s="652" t="s">
        <v>153</v>
      </c>
      <c r="G419" s="652" t="s">
        <v>24</v>
      </c>
      <c r="H419" s="652" t="s">
        <v>307</v>
      </c>
      <c r="I419" s="580" t="s">
        <v>987</v>
      </c>
      <c r="J419" s="580">
        <v>1</v>
      </c>
      <c r="K419" s="652" t="s">
        <v>388</v>
      </c>
      <c r="L419" s="662">
        <v>43985</v>
      </c>
      <c r="M419" s="581" t="s">
        <v>939</v>
      </c>
      <c r="N419" s="652" t="s">
        <v>903</v>
      </c>
      <c r="O419" s="652">
        <v>2020.05</v>
      </c>
      <c r="P419" s="571" t="str">
        <f>VLOOKUP(A419,'[1]Raw data'!$B:$BB,23,FALSE)</f>
        <v>JPY</v>
      </c>
      <c r="Q419" s="568" t="str">
        <f>VLOOKUP(A419,'[1]Raw data'!$B:$Z,2,FALSE)</f>
        <v>C49SZX20200006KW</v>
      </c>
      <c r="R419" s="568" t="str">
        <f>VLOOKUP(A419,'[1]Raw data'!$B:$Z,3,FALSE)</f>
        <v>伟盛贸易(富洛）/晶科</v>
      </c>
      <c r="S419" s="568" t="str">
        <f>VLOOKUP(A419,'[1]Raw data'!$B:$Z,4,FALSE)</f>
        <v>SIGMA G5S2</v>
      </c>
      <c r="T419" s="568" t="str">
        <f>VLOOKUP(A419,'[1]Raw data'!$B:$Z,8,FALSE)</f>
        <v>L-&gt;R</v>
      </c>
      <c r="U419" s="568" t="str">
        <f>VLOOKUP(A419,'[1]Raw data'!$B:$Z,9,FALSE)</f>
        <v>No</v>
      </c>
      <c r="V419" s="572" t="str">
        <f t="shared" si="66"/>
        <v>OK</v>
      </c>
      <c r="W419" s="568" t="str">
        <f>VLOOKUP(A419,'[1]Raw data'!$B:$AG,32,FALSE)</f>
        <v>CIF HK</v>
      </c>
      <c r="X419" s="568">
        <f>VLOOKUP(A419,'[1]Raw data'!$B:$BA,31,FALSE)</f>
        <v>43931</v>
      </c>
      <c r="Y419" s="568" t="str">
        <f>VLOOKUP(A419,'[1]Raw data'!$B:$AS,39,FALSE)</f>
        <v>Yes</v>
      </c>
      <c r="Z419" s="664"/>
      <c r="AA419" s="665"/>
      <c r="AB419" s="666"/>
      <c r="AC419" s="568" t="s">
        <v>678</v>
      </c>
      <c r="AD419" s="667"/>
      <c r="AE419" s="667"/>
      <c r="AF419" s="667"/>
      <c r="AG419" s="667"/>
      <c r="AH419" s="667"/>
      <c r="AI419" s="668"/>
      <c r="AN419" s="547"/>
      <c r="AO419" s="829" t="str">
        <f t="shared" si="58"/>
        <v>Yes</v>
      </c>
      <c r="AP419" s="259" t="str">
        <f t="shared" si="59"/>
        <v>JUN 20</v>
      </c>
      <c r="AQ419" s="547" t="str">
        <f t="shared" si="60"/>
        <v>有定金+有預留客戶</v>
      </c>
      <c r="AR419" s="259" t="str">
        <f t="shared" si="61"/>
        <v>Shipped_Stock</v>
      </c>
      <c r="AS419" s="259" t="str">
        <f t="shared" si="62"/>
        <v/>
      </c>
      <c r="AT419" s="259" t="str">
        <f t="shared" si="63"/>
        <v>伟盛贸易(富洛）/晶科</v>
      </c>
      <c r="AU419" s="259" t="str">
        <f t="shared" si="64"/>
        <v>C49SZX20200006KW</v>
      </c>
      <c r="AV419" s="259" t="str">
        <f t="shared" si="65"/>
        <v>Jun-03</v>
      </c>
    </row>
    <row r="420" spans="1:48" ht="15.75" hidden="1" customHeight="1">
      <c r="A420" s="564">
        <v>624</v>
      </c>
      <c r="B420" s="565" t="s">
        <v>280</v>
      </c>
      <c r="C420" s="565" t="s">
        <v>281</v>
      </c>
      <c r="D420" s="604">
        <v>109868</v>
      </c>
      <c r="E420" s="568" t="s">
        <v>886</v>
      </c>
      <c r="F420" s="568" t="s">
        <v>243</v>
      </c>
      <c r="G420" s="568" t="s">
        <v>24</v>
      </c>
      <c r="H420" s="568" t="s">
        <v>159</v>
      </c>
      <c r="I420" s="569" t="s">
        <v>988</v>
      </c>
      <c r="J420" s="580">
        <v>1</v>
      </c>
      <c r="K420" s="652" t="s">
        <v>388</v>
      </c>
      <c r="L420" s="662">
        <v>43992</v>
      </c>
      <c r="M420" s="581">
        <v>6.6699999999999995E-2</v>
      </c>
      <c r="N420" s="652" t="s">
        <v>903</v>
      </c>
      <c r="O420" s="580">
        <v>2020.05</v>
      </c>
      <c r="P420" s="571" t="str">
        <f>VLOOKUP(A420,'[1]Raw data'!$B:$BB,23,FALSE)</f>
        <v>RMB</v>
      </c>
      <c r="Q420" s="568" t="str">
        <f>VLOOKUP(A420,'[1]Raw data'!$B:$Z,2,FALSE)</f>
        <v>C49SZX20200048DZ</v>
      </c>
      <c r="R420" s="568" t="str">
        <f>VLOOKUP(A420,'[1]Raw data'!$B:$Z,3,FALSE)</f>
        <v>海星</v>
      </c>
      <c r="S420" s="568" t="str">
        <f>VLOOKUP(A420,'[1]Raw data'!$B:$Z,4,FALSE)</f>
        <v>YSM20R(SV)-2</v>
      </c>
      <c r="T420" s="568" t="str">
        <f>VLOOKUP(A420,'[1]Raw data'!$B:$Z,8,FALSE)</f>
        <v>L-&gt;R</v>
      </c>
      <c r="U420" s="568" t="str">
        <f>VLOOKUP(A420,'[1]Raw data'!$B:$Z,9,FALSE)</f>
        <v>cATS10+MVC</v>
      </c>
      <c r="V420" s="572" t="str">
        <f t="shared" si="66"/>
        <v>WRONG</v>
      </c>
      <c r="W420" s="568" t="str">
        <f>VLOOKUP(A420,'[1]Raw data'!$B:$AG,32,FALSE)</f>
        <v>含税到厂</v>
      </c>
      <c r="X420" s="568">
        <f>VLOOKUP(A420,'[1]Raw data'!$B:$BA,31,FALSE)</f>
        <v>43938</v>
      </c>
      <c r="Y420" s="568" t="str">
        <f>VLOOKUP(A420,'[1]Raw data'!$B:$AS,39,FALSE)</f>
        <v>Yes</v>
      </c>
      <c r="AC420" s="568">
        <v>190635038</v>
      </c>
      <c r="AD420" s="576">
        <v>303</v>
      </c>
      <c r="AE420" s="576">
        <v>20</v>
      </c>
      <c r="AN420" s="547"/>
      <c r="AO420" s="829" t="str">
        <f t="shared" si="58"/>
        <v>Yes</v>
      </c>
      <c r="AP420" s="259" t="str">
        <f t="shared" si="59"/>
        <v>JUN 20</v>
      </c>
      <c r="AQ420" s="547" t="str">
        <f t="shared" si="60"/>
        <v>有定金+有預留客戶</v>
      </c>
      <c r="AR420" s="259" t="str">
        <f t="shared" si="61"/>
        <v>Shipped_Stock</v>
      </c>
      <c r="AS420" s="259" t="str">
        <f t="shared" si="62"/>
        <v/>
      </c>
      <c r="AT420" s="259" t="str">
        <f t="shared" si="63"/>
        <v>海星</v>
      </c>
      <c r="AU420" s="259" t="str">
        <f t="shared" si="64"/>
        <v>C49SZX20200048DZ</v>
      </c>
      <c r="AV420" s="259" t="str">
        <f t="shared" si="65"/>
        <v>Jun-10</v>
      </c>
    </row>
    <row r="421" spans="1:48" ht="15" hidden="1" customHeight="1">
      <c r="A421" s="564">
        <v>645</v>
      </c>
      <c r="B421" s="565" t="s">
        <v>280</v>
      </c>
      <c r="C421" s="565" t="s">
        <v>281</v>
      </c>
      <c r="D421" s="604">
        <v>109868</v>
      </c>
      <c r="E421" s="568" t="s">
        <v>886</v>
      </c>
      <c r="F421" s="568" t="s">
        <v>256</v>
      </c>
      <c r="G421" s="568" t="s">
        <v>24</v>
      </c>
      <c r="H421" s="568" t="s">
        <v>307</v>
      </c>
      <c r="I421" s="569" t="s">
        <v>989</v>
      </c>
      <c r="J421" s="580">
        <v>1</v>
      </c>
      <c r="K421" s="652" t="s">
        <v>820</v>
      </c>
      <c r="L421" s="662">
        <v>43992</v>
      </c>
      <c r="M421" s="581">
        <v>6.6699999999999995E-2</v>
      </c>
      <c r="N421" s="652" t="s">
        <v>903</v>
      </c>
      <c r="O421" s="580">
        <v>2020.05</v>
      </c>
      <c r="P421" s="571" t="str">
        <f>VLOOKUP(A421,'[1]Raw data'!$B:$BB,23,FALSE)</f>
        <v>RMB</v>
      </c>
      <c r="Q421" s="568" t="str">
        <f>VLOOKUP(A421,'[1]Raw data'!$B:$Z,2,FALSE)</f>
        <v>C49SZX20200060SX</v>
      </c>
      <c r="R421" s="568" t="str">
        <f>VLOOKUP(A421,'[1]Raw data'!$B:$Z,3,FALSE)</f>
        <v>迅丰</v>
      </c>
      <c r="S421" s="568" t="str">
        <f>VLOOKUP(A421,'[1]Raw data'!$B:$Z,4,FALSE)</f>
        <v>YSM20R(SV)-2</v>
      </c>
      <c r="T421" s="568" t="str">
        <f>VLOOKUP(A421,'[1]Raw data'!$B:$Z,8,FALSE)</f>
        <v>L-&gt;R</v>
      </c>
      <c r="U421" s="568" t="str">
        <f>VLOOKUP(A421,'[1]Raw data'!$B:$Z,9,FALSE)</f>
        <v>MVC</v>
      </c>
      <c r="V421" s="572" t="str">
        <f t="shared" si="66"/>
        <v>WRONG</v>
      </c>
      <c r="W421" s="568" t="str">
        <f>VLOOKUP(A421,'[1]Raw data'!$B:$AG,32,FALSE)</f>
        <v>含税到厂</v>
      </c>
      <c r="X421" s="568">
        <f>VLOOKUP(A421,'[1]Raw data'!$B:$BA,31,FALSE)</f>
        <v>43963</v>
      </c>
      <c r="Y421" s="568" t="str">
        <f>VLOOKUP(A421,'[1]Raw data'!$B:$AS,39,FALSE)</f>
        <v>Yes</v>
      </c>
      <c r="AC421" s="568" t="s">
        <v>396</v>
      </c>
      <c r="AD421" s="576">
        <v>304</v>
      </c>
      <c r="AE421" s="576">
        <v>20</v>
      </c>
      <c r="AN421" s="547"/>
      <c r="AO421" s="829" t="str">
        <f t="shared" si="58"/>
        <v>Yes</v>
      </c>
      <c r="AP421" s="259" t="str">
        <f t="shared" si="59"/>
        <v>JUN 20</v>
      </c>
      <c r="AQ421" s="547" t="str">
        <f t="shared" si="60"/>
        <v>有定金+有預留客戶</v>
      </c>
      <c r="AR421" s="259" t="str">
        <f t="shared" si="61"/>
        <v>Shipped_Stock</v>
      </c>
      <c r="AS421" s="259" t="str">
        <f t="shared" si="62"/>
        <v/>
      </c>
      <c r="AT421" s="259" t="str">
        <f t="shared" si="63"/>
        <v>迅丰</v>
      </c>
      <c r="AU421" s="259" t="str">
        <f t="shared" si="64"/>
        <v>C49SZX20200060SX</v>
      </c>
      <c r="AV421" s="259" t="str">
        <f t="shared" si="65"/>
        <v>Jun-10</v>
      </c>
    </row>
    <row r="422" spans="1:48" ht="15" hidden="1" customHeight="1">
      <c r="A422" s="564">
        <v>605</v>
      </c>
      <c r="B422" s="565" t="s">
        <v>280</v>
      </c>
      <c r="C422" s="565" t="s">
        <v>281</v>
      </c>
      <c r="D422" s="604">
        <v>109868</v>
      </c>
      <c r="E422" s="568" t="s">
        <v>886</v>
      </c>
      <c r="F422" s="568" t="s">
        <v>256</v>
      </c>
      <c r="G422" s="568" t="s">
        <v>24</v>
      </c>
      <c r="H422" s="568" t="s">
        <v>307</v>
      </c>
      <c r="I422" s="569" t="s">
        <v>990</v>
      </c>
      <c r="J422" s="580">
        <v>1</v>
      </c>
      <c r="K422" s="652" t="s">
        <v>820</v>
      </c>
      <c r="L422" s="662">
        <v>43992</v>
      </c>
      <c r="M422" s="581">
        <v>6.6699999999999995E-2</v>
      </c>
      <c r="N422" s="654" t="s">
        <v>300</v>
      </c>
      <c r="O422" s="580">
        <v>2020.05</v>
      </c>
      <c r="P422" s="571" t="str">
        <f>VLOOKUP(A422,'[1]Raw data'!$B:$BB,23,FALSE)</f>
        <v>JPY</v>
      </c>
      <c r="Q422" s="568" t="str">
        <f>VLOOKUP(A422,'[1]Raw data'!$B:$Z,2,FALSE)</f>
        <v>C49SZX20200036CX</v>
      </c>
      <c r="R422" s="568" t="str">
        <f>VLOOKUP(A422,'[1]Raw data'!$B:$Z,3,FALSE)</f>
        <v>钧溢电子</v>
      </c>
      <c r="S422" s="568" t="str">
        <f>VLOOKUP(A422,'[1]Raw data'!$B:$Z,4,FALSE)</f>
        <v>YSM20R(SV)-2</v>
      </c>
      <c r="T422" s="568" t="str">
        <f>VLOOKUP(A422,'[1]Raw data'!$B:$Z,8,FALSE)</f>
        <v>L-&gt;R</v>
      </c>
      <c r="U422" s="568" t="str">
        <f>VLOOKUP(A422,'[1]Raw data'!$B:$Z,9,FALSE)</f>
        <v>No</v>
      </c>
      <c r="V422" s="572" t="str">
        <f t="shared" si="66"/>
        <v>OK</v>
      </c>
      <c r="W422" s="568" t="str">
        <f>VLOOKUP(A422,'[1]Raw data'!$B:$AG,32,FALSE)</f>
        <v>DAP SZ</v>
      </c>
      <c r="X422" s="568">
        <f>VLOOKUP(A422,'[1]Raw data'!$B:$BA,31,FALSE)</f>
        <v>43915</v>
      </c>
      <c r="Y422" s="568" t="str">
        <f>VLOOKUP(A422,'[1]Raw data'!$B:$AS,39,FALSE)</f>
        <v>Yes</v>
      </c>
      <c r="AC422" s="568" t="s">
        <v>940</v>
      </c>
      <c r="AD422" s="576">
        <v>304</v>
      </c>
      <c r="AE422" s="576">
        <v>10</v>
      </c>
      <c r="AF422" s="576">
        <v>301</v>
      </c>
      <c r="AG422" s="576">
        <v>10</v>
      </c>
      <c r="AN422" s="547"/>
      <c r="AO422" s="829" t="str">
        <f t="shared" si="58"/>
        <v>Yes</v>
      </c>
      <c r="AP422" s="259" t="str">
        <f t="shared" si="59"/>
        <v>JUL 20</v>
      </c>
      <c r="AQ422" s="547" t="str">
        <f t="shared" si="60"/>
        <v>有定金+有預留客戶</v>
      </c>
      <c r="AR422" s="259" t="str">
        <f t="shared" si="61"/>
        <v>Shipped_Stock</v>
      </c>
      <c r="AS422" s="259" t="str">
        <f t="shared" si="62"/>
        <v/>
      </c>
      <c r="AT422" s="259" t="str">
        <f t="shared" si="63"/>
        <v>钧溢电子</v>
      </c>
      <c r="AU422" s="259" t="str">
        <f t="shared" si="64"/>
        <v>C49SZX20200036CX</v>
      </c>
      <c r="AV422" s="259" t="str">
        <f t="shared" si="65"/>
        <v>Jun-10</v>
      </c>
    </row>
    <row r="423" spans="1:48" ht="15" hidden="1" customHeight="1">
      <c r="A423" s="564">
        <v>644</v>
      </c>
      <c r="B423" s="565" t="s">
        <v>280</v>
      </c>
      <c r="C423" s="565" t="s">
        <v>281</v>
      </c>
      <c r="D423" s="604">
        <v>109868</v>
      </c>
      <c r="E423" s="568" t="s">
        <v>886</v>
      </c>
      <c r="F423" s="568" t="s">
        <v>256</v>
      </c>
      <c r="G423" s="568" t="s">
        <v>24</v>
      </c>
      <c r="H423" s="568" t="s">
        <v>26</v>
      </c>
      <c r="I423" s="569" t="s">
        <v>991</v>
      </c>
      <c r="J423" s="580">
        <v>1</v>
      </c>
      <c r="K423" s="652" t="s">
        <v>820</v>
      </c>
      <c r="L423" s="662">
        <v>43992</v>
      </c>
      <c r="M423" s="581">
        <v>6.6699999999999995E-2</v>
      </c>
      <c r="N423" s="568" t="s">
        <v>903</v>
      </c>
      <c r="O423" s="580">
        <v>2020.05</v>
      </c>
      <c r="P423" s="571" t="str">
        <f>VLOOKUP(A423,'[1]Raw data'!$B:$BB,23,FALSE)</f>
        <v>RMB</v>
      </c>
      <c r="Q423" s="568" t="str">
        <f>VLOOKUP(A423,'[1]Raw data'!$B:$Z,2,FALSE)</f>
        <v>C49SZX20200060SX</v>
      </c>
      <c r="R423" s="568" t="str">
        <f>VLOOKUP(A423,'[1]Raw data'!$B:$Z,3,FALSE)</f>
        <v>迅丰</v>
      </c>
      <c r="S423" s="568" t="str">
        <f>VLOOKUP(A423,'[1]Raw data'!$B:$Z,4,FALSE)</f>
        <v>YSM20R(SV)-2</v>
      </c>
      <c r="T423" s="568" t="str">
        <f>VLOOKUP(A423,'[1]Raw data'!$B:$Z,8,FALSE)</f>
        <v>L-&gt;R</v>
      </c>
      <c r="U423" s="568" t="str">
        <f>VLOOKUP(A423,'[1]Raw data'!$B:$Z,9,FALSE)</f>
        <v>MVC</v>
      </c>
      <c r="V423" s="572" t="str">
        <f t="shared" si="66"/>
        <v>WRONG</v>
      </c>
      <c r="W423" s="568" t="str">
        <f>VLOOKUP(A423,'[1]Raw data'!$B:$AG,32,FALSE)</f>
        <v>含税到厂</v>
      </c>
      <c r="X423" s="568">
        <f>VLOOKUP(A423,'[1]Raw data'!$B:$BA,31,FALSE)</f>
        <v>43963</v>
      </c>
      <c r="Y423" s="568" t="str">
        <f>VLOOKUP(A423,'[1]Raw data'!$B:$AS,39,FALSE)</f>
        <v>Yes</v>
      </c>
      <c r="AC423" s="568" t="s">
        <v>992</v>
      </c>
      <c r="AD423" s="576">
        <v>301</v>
      </c>
      <c r="AE423" s="576">
        <v>20</v>
      </c>
      <c r="AN423" s="547"/>
      <c r="AO423" s="829" t="str">
        <f t="shared" si="58"/>
        <v>Yes</v>
      </c>
      <c r="AP423" s="259" t="str">
        <f t="shared" si="59"/>
        <v>JUN 20</v>
      </c>
      <c r="AQ423" s="547" t="str">
        <f t="shared" si="60"/>
        <v>有定金+有預留客戶</v>
      </c>
      <c r="AR423" s="259" t="str">
        <f t="shared" si="61"/>
        <v>Shipped_Stock</v>
      </c>
      <c r="AS423" s="259" t="str">
        <f t="shared" si="62"/>
        <v/>
      </c>
      <c r="AT423" s="259" t="str">
        <f t="shared" si="63"/>
        <v>迅丰</v>
      </c>
      <c r="AU423" s="259" t="str">
        <f t="shared" si="64"/>
        <v>C49SZX20200060SX</v>
      </c>
      <c r="AV423" s="259" t="str">
        <f t="shared" si="65"/>
        <v>Jun-10</v>
      </c>
    </row>
    <row r="424" spans="1:48" hidden="1">
      <c r="A424" s="564">
        <v>625</v>
      </c>
      <c r="B424" s="565" t="s">
        <v>280</v>
      </c>
      <c r="C424" s="565" t="s">
        <v>281</v>
      </c>
      <c r="D424" s="604">
        <v>109868</v>
      </c>
      <c r="E424" s="568" t="s">
        <v>886</v>
      </c>
      <c r="F424" s="568" t="s">
        <v>256</v>
      </c>
      <c r="G424" s="568" t="s">
        <v>24</v>
      </c>
      <c r="H424" s="568" t="s">
        <v>26</v>
      </c>
      <c r="I424" s="569" t="s">
        <v>993</v>
      </c>
      <c r="J424" s="580">
        <v>1</v>
      </c>
      <c r="K424" s="652" t="s">
        <v>388</v>
      </c>
      <c r="L424" s="662">
        <v>43992</v>
      </c>
      <c r="M424" s="581">
        <v>6.6699999999999995E-2</v>
      </c>
      <c r="N424" s="568" t="s">
        <v>903</v>
      </c>
      <c r="O424" s="580">
        <v>2020.05</v>
      </c>
      <c r="P424" s="571" t="str">
        <f>VLOOKUP(A424,'[1]Raw data'!$B:$BB,23,FALSE)</f>
        <v>RMB</v>
      </c>
      <c r="Q424" s="568" t="str">
        <f>VLOOKUP(A424,'[1]Raw data'!$B:$Z,2,FALSE)</f>
        <v>C49SZX20200048DZ</v>
      </c>
      <c r="R424" s="568" t="str">
        <f>VLOOKUP(A424,'[1]Raw data'!$B:$Z,3,FALSE)</f>
        <v>海星</v>
      </c>
      <c r="S424" s="568" t="str">
        <f>VLOOKUP(A424,'[1]Raw data'!$B:$Z,4,FALSE)</f>
        <v>YSM20R(SV)-2</v>
      </c>
      <c r="T424" s="568" t="str">
        <f>VLOOKUP(A424,'[1]Raw data'!$B:$Z,8,FALSE)</f>
        <v>L-&gt;R</v>
      </c>
      <c r="U424" s="568" t="str">
        <f>VLOOKUP(A424,'[1]Raw data'!$B:$Z,9,FALSE)</f>
        <v>No</v>
      </c>
      <c r="V424" s="572" t="str">
        <f t="shared" si="66"/>
        <v>OK</v>
      </c>
      <c r="W424" s="568" t="str">
        <f>VLOOKUP(A424,'[1]Raw data'!$B:$AG,32,FALSE)</f>
        <v>含税到厂</v>
      </c>
      <c r="X424" s="568">
        <f>VLOOKUP(A424,'[1]Raw data'!$B:$BA,31,FALSE)</f>
        <v>43938</v>
      </c>
      <c r="Y424" s="568" t="str">
        <f>VLOOKUP(A424,'[1]Raw data'!$B:$AS,39,FALSE)</f>
        <v>Yes</v>
      </c>
      <c r="AC424" s="568">
        <v>190635038</v>
      </c>
      <c r="AD424" s="576">
        <v>301</v>
      </c>
      <c r="AE424" s="576">
        <v>20</v>
      </c>
      <c r="AN424" s="547"/>
      <c r="AO424" s="829" t="str">
        <f t="shared" si="58"/>
        <v>Yes</v>
      </c>
      <c r="AP424" s="259" t="str">
        <f t="shared" si="59"/>
        <v>JUN 20</v>
      </c>
      <c r="AQ424" s="547" t="str">
        <f t="shared" si="60"/>
        <v>有定金+有預留客戶</v>
      </c>
      <c r="AR424" s="259" t="str">
        <f t="shared" si="61"/>
        <v>Shipped_Stock</v>
      </c>
      <c r="AS424" s="259" t="str">
        <f t="shared" si="62"/>
        <v/>
      </c>
      <c r="AT424" s="259" t="str">
        <f t="shared" si="63"/>
        <v>海星</v>
      </c>
      <c r="AU424" s="259" t="str">
        <f t="shared" si="64"/>
        <v>C49SZX20200048DZ</v>
      </c>
      <c r="AV424" s="259" t="str">
        <f t="shared" si="65"/>
        <v>Jun-10</v>
      </c>
    </row>
    <row r="425" spans="1:48" hidden="1">
      <c r="A425" s="564">
        <v>626</v>
      </c>
      <c r="B425" s="565" t="s">
        <v>280</v>
      </c>
      <c r="C425" s="565" t="s">
        <v>281</v>
      </c>
      <c r="D425" s="604">
        <v>109868</v>
      </c>
      <c r="E425" s="568" t="s">
        <v>886</v>
      </c>
      <c r="F425" s="568" t="s">
        <v>256</v>
      </c>
      <c r="G425" s="568" t="s">
        <v>24</v>
      </c>
      <c r="H425" s="568" t="s">
        <v>26</v>
      </c>
      <c r="I425" s="569" t="s">
        <v>994</v>
      </c>
      <c r="J425" s="580">
        <v>1</v>
      </c>
      <c r="K425" s="652" t="s">
        <v>388</v>
      </c>
      <c r="L425" s="662">
        <v>43992</v>
      </c>
      <c r="M425" s="581">
        <v>6.6699999999999995E-2</v>
      </c>
      <c r="N425" s="568" t="s">
        <v>903</v>
      </c>
      <c r="O425" s="580">
        <v>2020.05</v>
      </c>
      <c r="P425" s="571" t="str">
        <f>VLOOKUP(A425,'[1]Raw data'!$B:$BB,23,FALSE)</f>
        <v>RMB</v>
      </c>
      <c r="Q425" s="568" t="str">
        <f>VLOOKUP(A425,'[1]Raw data'!$B:$Z,2,FALSE)</f>
        <v>C49SZX20200048DZ</v>
      </c>
      <c r="R425" s="568" t="str">
        <f>VLOOKUP(A425,'[1]Raw data'!$B:$Z,3,FALSE)</f>
        <v>海星</v>
      </c>
      <c r="S425" s="568" t="str">
        <f>VLOOKUP(A425,'[1]Raw data'!$B:$Z,4,FALSE)</f>
        <v>YSM20R(SV)-2</v>
      </c>
      <c r="T425" s="568" t="str">
        <f>VLOOKUP(A425,'[1]Raw data'!$B:$Z,8,FALSE)</f>
        <v>L-&gt;R</v>
      </c>
      <c r="U425" s="568" t="str">
        <f>VLOOKUP(A425,'[1]Raw data'!$B:$Z,9,FALSE)</f>
        <v>No</v>
      </c>
      <c r="V425" s="572" t="str">
        <f t="shared" si="66"/>
        <v>OK</v>
      </c>
      <c r="W425" s="568" t="str">
        <f>VLOOKUP(A425,'[1]Raw data'!$B:$AG,32,FALSE)</f>
        <v>含税到厂</v>
      </c>
      <c r="X425" s="568">
        <f>VLOOKUP(A425,'[1]Raw data'!$B:$BA,31,FALSE)</f>
        <v>43938</v>
      </c>
      <c r="Y425" s="568" t="str">
        <f>VLOOKUP(A425,'[1]Raw data'!$B:$AS,39,FALSE)</f>
        <v>Yes</v>
      </c>
      <c r="AC425" s="568">
        <v>190635038</v>
      </c>
      <c r="AD425" s="576">
        <v>312</v>
      </c>
      <c r="AE425" s="576">
        <v>20</v>
      </c>
      <c r="AN425" s="547"/>
      <c r="AO425" s="829" t="str">
        <f t="shared" si="58"/>
        <v>Yes</v>
      </c>
      <c r="AP425" s="259" t="str">
        <f t="shared" si="59"/>
        <v>JUN 20</v>
      </c>
      <c r="AQ425" s="547" t="str">
        <f t="shared" si="60"/>
        <v>有定金+有預留客戶</v>
      </c>
      <c r="AR425" s="259" t="str">
        <f t="shared" si="61"/>
        <v>Shipped_Stock</v>
      </c>
      <c r="AS425" s="259" t="str">
        <f t="shared" si="62"/>
        <v/>
      </c>
      <c r="AT425" s="259" t="str">
        <f t="shared" si="63"/>
        <v>海星</v>
      </c>
      <c r="AU425" s="259" t="str">
        <f t="shared" si="64"/>
        <v>C49SZX20200048DZ</v>
      </c>
      <c r="AV425" s="259" t="str">
        <f t="shared" si="65"/>
        <v>Jun-10</v>
      </c>
    </row>
    <row r="426" spans="1:48" hidden="1">
      <c r="A426" s="564">
        <v>630</v>
      </c>
      <c r="B426" s="565" t="s">
        <v>280</v>
      </c>
      <c r="C426" s="568" t="s">
        <v>4056</v>
      </c>
      <c r="D426" s="650">
        <v>109880</v>
      </c>
      <c r="E426" s="568" t="s">
        <v>995</v>
      </c>
      <c r="F426" s="652" t="s">
        <v>551</v>
      </c>
      <c r="G426" s="652" t="s">
        <v>24</v>
      </c>
      <c r="H426" s="652" t="s">
        <v>26</v>
      </c>
      <c r="I426" s="580" t="s">
        <v>996</v>
      </c>
      <c r="J426" s="580">
        <v>1</v>
      </c>
      <c r="K426" s="652" t="s">
        <v>388</v>
      </c>
      <c r="L426" s="662">
        <v>43992</v>
      </c>
      <c r="M426" s="581">
        <v>6.6600000000000006E-2</v>
      </c>
      <c r="N426" s="568" t="s">
        <v>903</v>
      </c>
      <c r="O426" s="652">
        <v>2020.05</v>
      </c>
      <c r="P426" s="571" t="str">
        <f>VLOOKUP(A426,'[1]Raw data'!$B:$BB,23,FALSE)</f>
        <v>RMB</v>
      </c>
      <c r="Q426" s="568" t="str">
        <f>VLOOKUP(A426,'[1]Raw data'!$B:$Z,2,FALSE)</f>
        <v>C28SZX20200026YY</v>
      </c>
      <c r="R426" s="568" t="str">
        <f>VLOOKUP(A426,'[1]Raw data'!$B:$Z,3,FALSE)</f>
        <v>海星</v>
      </c>
      <c r="S426" s="568" t="str">
        <f>VLOOKUP(A426,'[1]Raw data'!$B:$Z,4,FALSE)</f>
        <v>YCP10</v>
      </c>
      <c r="T426" s="568" t="str">
        <f>VLOOKUP(A426,'[1]Raw data'!$B:$Z,8,FALSE)</f>
        <v>L-&gt;R</v>
      </c>
      <c r="U426" s="568" t="str">
        <f>VLOOKUP(A426,'[1]Raw data'!$B:$Z,9,FALSE)</f>
        <v>No</v>
      </c>
      <c r="V426" s="572" t="str">
        <f t="shared" si="66"/>
        <v>OK</v>
      </c>
      <c r="W426" s="568" t="str">
        <f>VLOOKUP(A426,'[1]Raw data'!$B:$AG,32,FALSE)</f>
        <v>含税到厂</v>
      </c>
      <c r="X426" s="568">
        <f>VLOOKUP(A426,'[1]Raw data'!$B:$BA,31,FALSE)</f>
        <v>43938</v>
      </c>
      <c r="Y426" s="568" t="str">
        <f>VLOOKUP(A426,'[1]Raw data'!$B:$AS,39,FALSE)</f>
        <v>Yes</v>
      </c>
      <c r="Z426" s="664"/>
      <c r="AA426" s="665"/>
      <c r="AB426" s="666"/>
      <c r="AC426" s="652" t="s">
        <v>919</v>
      </c>
      <c r="AD426" s="667">
        <v>302</v>
      </c>
      <c r="AE426" s="667">
        <v>10</v>
      </c>
      <c r="AF426" s="667"/>
      <c r="AG426" s="667"/>
      <c r="AH426" s="667"/>
      <c r="AI426" s="668"/>
      <c r="AN426" s="547"/>
      <c r="AO426" s="829" t="str">
        <f t="shared" si="58"/>
        <v>Yes</v>
      </c>
      <c r="AP426" s="259" t="str">
        <f t="shared" si="59"/>
        <v>JUN 20</v>
      </c>
      <c r="AQ426" s="547" t="str">
        <f t="shared" si="60"/>
        <v>有定金+有預留客戶</v>
      </c>
      <c r="AR426" s="259" t="str">
        <f t="shared" si="61"/>
        <v>Shipped_Stock</v>
      </c>
      <c r="AS426" s="259" t="str">
        <f t="shared" si="62"/>
        <v/>
      </c>
      <c r="AT426" s="259" t="str">
        <f t="shared" si="63"/>
        <v>海星</v>
      </c>
      <c r="AU426" s="259" t="str">
        <f t="shared" si="64"/>
        <v>C28SZX20200026YY</v>
      </c>
      <c r="AV426" s="259" t="str">
        <f t="shared" si="65"/>
        <v>Jun-10</v>
      </c>
    </row>
    <row r="427" spans="1:48" ht="22.5" hidden="1">
      <c r="A427" s="564">
        <v>668</v>
      </c>
      <c r="B427" s="565" t="s">
        <v>280</v>
      </c>
      <c r="C427" s="565" t="s">
        <v>281</v>
      </c>
      <c r="D427" s="650" t="s">
        <v>997</v>
      </c>
      <c r="E427" s="568" t="s">
        <v>886</v>
      </c>
      <c r="F427" s="652" t="s">
        <v>17</v>
      </c>
      <c r="G427" s="652" t="s">
        <v>18</v>
      </c>
      <c r="H427" s="652" t="s">
        <v>26</v>
      </c>
      <c r="I427" s="580" t="s">
        <v>998</v>
      </c>
      <c r="J427" s="580">
        <v>1</v>
      </c>
      <c r="K427" s="652" t="s">
        <v>295</v>
      </c>
      <c r="L427" s="662">
        <v>44004</v>
      </c>
      <c r="M427" s="620" t="s">
        <v>999</v>
      </c>
      <c r="N427" s="568" t="s">
        <v>300</v>
      </c>
      <c r="O427" s="568">
        <v>2020.06</v>
      </c>
      <c r="P427" s="571" t="str">
        <f>VLOOKUP(A427,'[1]Raw data'!$B:$BB,23,FALSE)</f>
        <v>RMB</v>
      </c>
      <c r="Q427" s="568" t="str">
        <f>VLOOKUP(A427,'[1]Raw data'!$B:$Z,2,FALSE)</f>
        <v>C49SZX20200076JL</v>
      </c>
      <c r="R427" s="568" t="str">
        <f>VLOOKUP(A427,'[1]Raw data'!$B:$Z,3,FALSE)</f>
        <v>鑫东泰</v>
      </c>
      <c r="S427" s="568" t="str">
        <f>VLOOKUP(A427,'[1]Raw data'!$B:$Z,4,FALSE)</f>
        <v>YSM10</v>
      </c>
      <c r="T427" s="568" t="str">
        <f>VLOOKUP(A427,'[1]Raw data'!$B:$Z,8,FALSE)</f>
        <v>L-&gt;R</v>
      </c>
      <c r="U427" s="568" t="str">
        <f>VLOOKUP(A427,'[1]Raw data'!$B:$Z,9,FALSE)</f>
        <v>MVC</v>
      </c>
      <c r="V427" s="572" t="str">
        <f t="shared" si="66"/>
        <v>WRONG</v>
      </c>
      <c r="W427" s="568" t="str">
        <f>VLOOKUP(A427,'[1]Raw data'!$B:$AG,32,FALSE)</f>
        <v>含税到厂</v>
      </c>
      <c r="X427" s="568">
        <f>VLOOKUP(A427,'[1]Raw data'!$B:$BA,31,FALSE)</f>
        <v>44004</v>
      </c>
      <c r="Y427" s="568" t="str">
        <f>VLOOKUP(A427,'[1]Raw data'!$B:$AS,39,FALSE)</f>
        <v>Yes</v>
      </c>
      <c r="Z427" s="664"/>
      <c r="AA427" s="665"/>
      <c r="AB427" s="666"/>
      <c r="AC427" s="652" t="s">
        <v>1000</v>
      </c>
      <c r="AD427" s="667">
        <v>301</v>
      </c>
      <c r="AE427" s="667">
        <v>10</v>
      </c>
      <c r="AF427" s="667"/>
      <c r="AG427" s="667"/>
      <c r="AH427" s="667"/>
      <c r="AI427" s="668"/>
      <c r="AN427" s="547"/>
      <c r="AO427" s="829" t="str">
        <f t="shared" si="58"/>
        <v>Yes</v>
      </c>
      <c r="AP427" s="259" t="str">
        <f t="shared" si="59"/>
        <v>JUL 20</v>
      </c>
      <c r="AQ427" s="547" t="str">
        <f t="shared" si="60"/>
        <v>有定金+有預留客戶</v>
      </c>
      <c r="AR427" s="259" t="str">
        <f t="shared" si="61"/>
        <v>Shipped_Stock</v>
      </c>
      <c r="AS427" s="259" t="str">
        <f t="shared" si="62"/>
        <v/>
      </c>
      <c r="AT427" s="259" t="str">
        <f t="shared" si="63"/>
        <v>鑫东泰</v>
      </c>
      <c r="AU427" s="259" t="str">
        <f t="shared" si="64"/>
        <v>C49SZX20200076JL</v>
      </c>
      <c r="AV427" s="259" t="str">
        <f t="shared" si="65"/>
        <v>Jun-22</v>
      </c>
    </row>
    <row r="428" spans="1:48" ht="22.5" hidden="1">
      <c r="A428" s="564">
        <v>681</v>
      </c>
      <c r="B428" s="565" t="s">
        <v>280</v>
      </c>
      <c r="C428" s="565" t="s">
        <v>281</v>
      </c>
      <c r="D428" s="650" t="s">
        <v>997</v>
      </c>
      <c r="E428" s="568" t="s">
        <v>886</v>
      </c>
      <c r="F428" s="652" t="s">
        <v>17</v>
      </c>
      <c r="G428" s="652" t="s">
        <v>18</v>
      </c>
      <c r="H428" s="652" t="s">
        <v>26</v>
      </c>
      <c r="I428" s="580" t="s">
        <v>1001</v>
      </c>
      <c r="J428" s="580">
        <v>1</v>
      </c>
      <c r="K428" s="652" t="s">
        <v>295</v>
      </c>
      <c r="L428" s="662">
        <v>44004</v>
      </c>
      <c r="M428" s="620" t="s">
        <v>999</v>
      </c>
      <c r="N428" s="568" t="s">
        <v>300</v>
      </c>
      <c r="O428" s="568">
        <v>2020.06</v>
      </c>
      <c r="P428" s="571" t="str">
        <f>VLOOKUP(A428,'[1]Raw data'!$B:$BB,23,FALSE)</f>
        <v>RMB</v>
      </c>
      <c r="Q428" s="568" t="str">
        <f>VLOOKUP(A428,'[1]Raw data'!$B:$Z,2,FALSE)</f>
        <v>C49SZX20200083JL</v>
      </c>
      <c r="R428" s="568" t="str">
        <f>VLOOKUP(A428,'[1]Raw data'!$B:$Z,3,FALSE)</f>
        <v>铭华永兴</v>
      </c>
      <c r="S428" s="568" t="str">
        <f>VLOOKUP(A428,'[1]Raw data'!$B:$Z,4,FALSE)</f>
        <v>YSM10</v>
      </c>
      <c r="T428" s="568" t="str">
        <f>VLOOKUP(A428,'[1]Raw data'!$B:$Z,8,FALSE)</f>
        <v>L-&gt;R</v>
      </c>
      <c r="U428" s="568" t="str">
        <f>VLOOKUP(A428,'[1]Raw data'!$B:$Z,9,FALSE)</f>
        <v>MVC</v>
      </c>
      <c r="V428" s="572" t="str">
        <f t="shared" si="66"/>
        <v>WRONG</v>
      </c>
      <c r="W428" s="568" t="str">
        <f>VLOOKUP(A428,'[1]Raw data'!$B:$AG,32,FALSE)</f>
        <v>含税到厂</v>
      </c>
      <c r="X428" s="568">
        <f>VLOOKUP(A428,'[1]Raw data'!$B:$BA,31,FALSE)</f>
        <v>44006</v>
      </c>
      <c r="Y428" s="568" t="str">
        <f>VLOOKUP(A428,'[1]Raw data'!$B:$AS,39,FALSE)</f>
        <v>Yes</v>
      </c>
      <c r="Z428" s="664"/>
      <c r="AA428" s="665"/>
      <c r="AB428" s="666"/>
      <c r="AC428" s="652" t="s">
        <v>589</v>
      </c>
      <c r="AD428" s="667">
        <v>301</v>
      </c>
      <c r="AE428" s="667">
        <v>10</v>
      </c>
      <c r="AF428" s="667"/>
      <c r="AG428" s="667"/>
      <c r="AH428" s="667"/>
      <c r="AI428" s="668"/>
      <c r="AN428" s="547"/>
      <c r="AO428" s="829" t="str">
        <f t="shared" si="58"/>
        <v>Yes</v>
      </c>
      <c r="AP428" s="259" t="str">
        <f t="shared" si="59"/>
        <v>JUL 20</v>
      </c>
      <c r="AQ428" s="547" t="str">
        <f t="shared" si="60"/>
        <v>有定金+有預留客戶</v>
      </c>
      <c r="AR428" s="259" t="str">
        <f t="shared" si="61"/>
        <v>Shipped_Stock</v>
      </c>
      <c r="AS428" s="259" t="str">
        <f t="shared" si="62"/>
        <v/>
      </c>
      <c r="AT428" s="259" t="str">
        <f t="shared" si="63"/>
        <v>铭华永兴</v>
      </c>
      <c r="AU428" s="259" t="str">
        <f t="shared" si="64"/>
        <v>C49SZX20200083JL</v>
      </c>
      <c r="AV428" s="259" t="str">
        <f t="shared" si="65"/>
        <v>Jun-22</v>
      </c>
    </row>
    <row r="429" spans="1:48" ht="22.5" hidden="1">
      <c r="A429" s="564">
        <v>669</v>
      </c>
      <c r="B429" s="565" t="s">
        <v>280</v>
      </c>
      <c r="C429" s="565" t="s">
        <v>281</v>
      </c>
      <c r="D429" s="650" t="s">
        <v>997</v>
      </c>
      <c r="E429" s="568" t="s">
        <v>886</v>
      </c>
      <c r="F429" s="652" t="s">
        <v>241</v>
      </c>
      <c r="G429" s="652" t="s">
        <v>18</v>
      </c>
      <c r="H429" s="652" t="s">
        <v>26</v>
      </c>
      <c r="I429" s="580" t="s">
        <v>1002</v>
      </c>
      <c r="J429" s="580">
        <v>1</v>
      </c>
      <c r="K429" s="652" t="s">
        <v>295</v>
      </c>
      <c r="L429" s="662">
        <v>44004</v>
      </c>
      <c r="M429" s="620" t="s">
        <v>999</v>
      </c>
      <c r="N429" s="568" t="s">
        <v>300</v>
      </c>
      <c r="O429" s="568">
        <v>2020.06</v>
      </c>
      <c r="P429" s="571" t="str">
        <f>VLOOKUP(A429,'[1]Raw data'!$B:$BB,23,FALSE)</f>
        <v>RMB</v>
      </c>
      <c r="Q429" s="568" t="str">
        <f>VLOOKUP(A429,'[1]Raw data'!$B:$Z,2,FALSE)</f>
        <v>C49SZX20200076JL</v>
      </c>
      <c r="R429" s="568" t="str">
        <f>VLOOKUP(A429,'[1]Raw data'!$B:$Z,3,FALSE)</f>
        <v>鑫东泰</v>
      </c>
      <c r="S429" s="568" t="str">
        <f>VLOOKUP(A429,'[1]Raw data'!$B:$Z,4,FALSE)</f>
        <v>YSM10</v>
      </c>
      <c r="T429" s="568" t="str">
        <f>VLOOKUP(A429,'[1]Raw data'!$B:$Z,8,FALSE)</f>
        <v>L-&gt;R</v>
      </c>
      <c r="U429" s="568" t="str">
        <f>VLOOKUP(A429,'[1]Raw data'!$B:$Z,9,FALSE)</f>
        <v>MVC</v>
      </c>
      <c r="V429" s="572" t="str">
        <f t="shared" si="66"/>
        <v>WRONG</v>
      </c>
      <c r="W429" s="568" t="str">
        <f>VLOOKUP(A429,'[1]Raw data'!$B:$AG,32,FALSE)</f>
        <v>含税到厂</v>
      </c>
      <c r="X429" s="568">
        <f>VLOOKUP(A429,'[1]Raw data'!$B:$BA,31,FALSE)</f>
        <v>44004</v>
      </c>
      <c r="Y429" s="568" t="str">
        <f>VLOOKUP(A429,'[1]Raw data'!$B:$AS,39,FALSE)</f>
        <v>Yes</v>
      </c>
      <c r="Z429" s="664"/>
      <c r="AA429" s="665"/>
      <c r="AB429" s="666"/>
      <c r="AC429" s="652" t="s">
        <v>1000</v>
      </c>
      <c r="AD429" s="667">
        <v>301</v>
      </c>
      <c r="AE429" s="667">
        <v>10</v>
      </c>
      <c r="AF429" s="667"/>
      <c r="AG429" s="667"/>
      <c r="AH429" s="667"/>
      <c r="AI429" s="668"/>
      <c r="AN429" s="547"/>
      <c r="AO429" s="829" t="str">
        <f t="shared" si="58"/>
        <v>Yes</v>
      </c>
      <c r="AP429" s="259" t="str">
        <f t="shared" si="59"/>
        <v>JUL 20</v>
      </c>
      <c r="AQ429" s="547" t="str">
        <f t="shared" si="60"/>
        <v>有定金+有預留客戶</v>
      </c>
      <c r="AR429" s="259" t="str">
        <f t="shared" si="61"/>
        <v>Shipped_Stock</v>
      </c>
      <c r="AS429" s="259" t="str">
        <f t="shared" si="62"/>
        <v/>
      </c>
      <c r="AT429" s="259" t="str">
        <f t="shared" si="63"/>
        <v>鑫东泰</v>
      </c>
      <c r="AU429" s="259" t="str">
        <f t="shared" si="64"/>
        <v>C49SZX20200076JL</v>
      </c>
      <c r="AV429" s="259" t="str">
        <f t="shared" si="65"/>
        <v>Jun-22</v>
      </c>
    </row>
    <row r="430" spans="1:48" hidden="1">
      <c r="A430" s="564">
        <v>689</v>
      </c>
      <c r="B430" s="565" t="s">
        <v>280</v>
      </c>
      <c r="C430" s="565" t="s">
        <v>281</v>
      </c>
      <c r="D430" s="650" t="s">
        <v>997</v>
      </c>
      <c r="E430" s="568" t="s">
        <v>886</v>
      </c>
      <c r="F430" s="652" t="s">
        <v>17</v>
      </c>
      <c r="G430" s="652" t="s">
        <v>18</v>
      </c>
      <c r="H430" s="652" t="s">
        <v>26</v>
      </c>
      <c r="I430" s="580" t="s">
        <v>1003</v>
      </c>
      <c r="J430" s="580">
        <v>1</v>
      </c>
      <c r="K430" s="652" t="s">
        <v>311</v>
      </c>
      <c r="L430" s="662">
        <v>44004</v>
      </c>
      <c r="M430" s="581">
        <v>6.6500000000000004E-2</v>
      </c>
      <c r="N430" s="568" t="s">
        <v>300</v>
      </c>
      <c r="O430" s="568">
        <v>2020.06</v>
      </c>
      <c r="P430" s="571" t="str">
        <f>VLOOKUP(A430,'[1]Raw data'!$B:$BB,23,FALSE)</f>
        <v>JPY</v>
      </c>
      <c r="Q430" s="568" t="str">
        <f>VLOOKUP(A430,'[1]Raw data'!$B:$Z,2,FALSE)</f>
        <v>C49SZX20200090SS</v>
      </c>
      <c r="R430" s="568" t="str">
        <f>VLOOKUP(A430,'[1]Raw data'!$B:$Z,3,FALSE)</f>
        <v>乐上</v>
      </c>
      <c r="S430" s="568" t="str">
        <f>VLOOKUP(A430,'[1]Raw data'!$B:$Z,4,FALSE)</f>
        <v>YSM10</v>
      </c>
      <c r="T430" s="568" t="str">
        <f>VLOOKUP(A430,'[1]Raw data'!$B:$Z,8,FALSE)</f>
        <v>L-&gt;R</v>
      </c>
      <c r="U430" s="568" t="str">
        <f>VLOOKUP(A430,'[1]Raw data'!$B:$Z,9,FALSE)</f>
        <v>MVC</v>
      </c>
      <c r="V430" s="572" t="str">
        <f t="shared" si="66"/>
        <v>WRONG</v>
      </c>
      <c r="W430" s="568" t="str">
        <f>VLOOKUP(A430,'[1]Raw data'!$B:$AG,32,FALSE)</f>
        <v>DAP DG</v>
      </c>
      <c r="X430" s="568">
        <f>VLOOKUP(A430,'[1]Raw data'!$B:$BA,31,FALSE)</f>
        <v>44011</v>
      </c>
      <c r="Y430" s="568" t="str">
        <f>VLOOKUP(A430,'[1]Raw data'!$B:$AS,39,FALSE)</f>
        <v>Yes</v>
      </c>
      <c r="Z430" s="664"/>
      <c r="AA430" s="665"/>
      <c r="AB430" s="666"/>
      <c r="AC430" s="652" t="s">
        <v>768</v>
      </c>
      <c r="AD430" s="667">
        <v>301</v>
      </c>
      <c r="AE430" s="667">
        <v>10</v>
      </c>
      <c r="AF430" s="667"/>
      <c r="AG430" s="667"/>
      <c r="AH430" s="667"/>
      <c r="AI430" s="668"/>
      <c r="AN430" s="547"/>
      <c r="AO430" s="829" t="str">
        <f t="shared" si="58"/>
        <v>Yes</v>
      </c>
      <c r="AP430" s="259" t="str">
        <f t="shared" si="59"/>
        <v>JUL 20</v>
      </c>
      <c r="AQ430" s="547" t="str">
        <f t="shared" si="60"/>
        <v>有定金+有預留客戶</v>
      </c>
      <c r="AR430" s="259" t="str">
        <f t="shared" si="61"/>
        <v>Shipped_Stock</v>
      </c>
      <c r="AS430" s="259" t="str">
        <f t="shared" si="62"/>
        <v/>
      </c>
      <c r="AT430" s="259" t="str">
        <f t="shared" si="63"/>
        <v>乐上</v>
      </c>
      <c r="AU430" s="259" t="str">
        <f t="shared" si="64"/>
        <v>C49SZX20200090SS</v>
      </c>
      <c r="AV430" s="259" t="str">
        <f t="shared" si="65"/>
        <v>Jun-22</v>
      </c>
    </row>
    <row r="431" spans="1:48" hidden="1">
      <c r="A431" s="564">
        <v>683</v>
      </c>
      <c r="B431" s="565" t="s">
        <v>280</v>
      </c>
      <c r="C431" s="565" t="s">
        <v>281</v>
      </c>
      <c r="D431" s="650" t="s">
        <v>997</v>
      </c>
      <c r="E431" s="568" t="s">
        <v>886</v>
      </c>
      <c r="F431" s="652" t="s">
        <v>17</v>
      </c>
      <c r="G431" s="652" t="s">
        <v>18</v>
      </c>
      <c r="H431" s="652" t="s">
        <v>26</v>
      </c>
      <c r="I431" s="580" t="s">
        <v>1004</v>
      </c>
      <c r="J431" s="580">
        <v>1</v>
      </c>
      <c r="K431" s="652" t="s">
        <v>311</v>
      </c>
      <c r="L431" s="662">
        <v>44004</v>
      </c>
      <c r="M431" s="581">
        <v>6.6500000000000004E-2</v>
      </c>
      <c r="N431" s="568" t="s">
        <v>300</v>
      </c>
      <c r="O431" s="568">
        <v>2020.06</v>
      </c>
      <c r="P431" s="571" t="str">
        <f>VLOOKUP(A431,'[1]Raw data'!$B:$BB,23,FALSE)</f>
        <v>JPY</v>
      </c>
      <c r="Q431" s="568" t="str">
        <f>VLOOKUP(A431,'[1]Raw data'!$B:$Z,2,FALSE)</f>
        <v>C49SZX20200032DZ</v>
      </c>
      <c r="R431" s="568" t="str">
        <f>VLOOKUP(A431,'[1]Raw data'!$B:$Z,3,FALSE)</f>
        <v>朗特/end user:朗勤</v>
      </c>
      <c r="S431" s="568" t="str">
        <f>VLOOKUP(A431,'[1]Raw data'!$B:$Z,4,FALSE)</f>
        <v>YSM10</v>
      </c>
      <c r="T431" s="568" t="str">
        <f>VLOOKUP(A431,'[1]Raw data'!$B:$Z,8,FALSE)</f>
        <v>L-&gt;R</v>
      </c>
      <c r="U431" s="568" t="str">
        <f>VLOOKUP(A431,'[1]Raw data'!$B:$Z,9,FALSE)</f>
        <v>MVC</v>
      </c>
      <c r="V431" s="572" t="str">
        <f t="shared" si="66"/>
        <v>WRONG</v>
      </c>
      <c r="W431" s="568" t="str">
        <f>VLOOKUP(A431,'[1]Raw data'!$B:$AG,32,FALSE)</f>
        <v>CIF HK</v>
      </c>
      <c r="X431" s="568">
        <f>VLOOKUP(A431,'[1]Raw data'!$B:$BA,31,FALSE)</f>
        <v>44008</v>
      </c>
      <c r="Y431" s="568" t="str">
        <f>VLOOKUP(A431,'[1]Raw data'!$B:$AS,39,FALSE)</f>
        <v>Yes</v>
      </c>
      <c r="Z431" s="664"/>
      <c r="AA431" s="665"/>
      <c r="AB431" s="666"/>
      <c r="AC431" s="652" t="s">
        <v>1005</v>
      </c>
      <c r="AD431" s="667">
        <v>301</v>
      </c>
      <c r="AE431" s="667">
        <v>10</v>
      </c>
      <c r="AF431" s="667"/>
      <c r="AG431" s="667"/>
      <c r="AH431" s="667"/>
      <c r="AI431" s="668"/>
      <c r="AN431" s="547"/>
      <c r="AO431" s="829" t="str">
        <f t="shared" si="58"/>
        <v>Yes</v>
      </c>
      <c r="AP431" s="259" t="str">
        <f t="shared" si="59"/>
        <v>JUL 20</v>
      </c>
      <c r="AQ431" s="547" t="str">
        <f t="shared" si="60"/>
        <v>有定金+有預留客戶</v>
      </c>
      <c r="AR431" s="259" t="str">
        <f t="shared" si="61"/>
        <v>Shipped_Stock</v>
      </c>
      <c r="AS431" s="259" t="str">
        <f t="shared" si="62"/>
        <v/>
      </c>
      <c r="AT431" s="259" t="str">
        <f t="shared" si="63"/>
        <v>朗特/end user:朗勤</v>
      </c>
      <c r="AU431" s="259" t="str">
        <f t="shared" si="64"/>
        <v>C49SZX20200032DZ</v>
      </c>
      <c r="AV431" s="259" t="str">
        <f t="shared" si="65"/>
        <v>Jun-22</v>
      </c>
    </row>
    <row r="432" spans="1:48" ht="22.5" hidden="1">
      <c r="A432" s="564">
        <v>684</v>
      </c>
      <c r="B432" s="565" t="s">
        <v>280</v>
      </c>
      <c r="C432" s="565" t="s">
        <v>281</v>
      </c>
      <c r="D432" s="650">
        <v>109891</v>
      </c>
      <c r="E432" s="568" t="s">
        <v>886</v>
      </c>
      <c r="F432" s="652" t="s">
        <v>17</v>
      </c>
      <c r="G432" s="652" t="s">
        <v>18</v>
      </c>
      <c r="H432" s="652" t="s">
        <v>26</v>
      </c>
      <c r="I432" s="580" t="s">
        <v>1006</v>
      </c>
      <c r="J432" s="580">
        <v>1</v>
      </c>
      <c r="K432" s="652" t="s">
        <v>311</v>
      </c>
      <c r="L432" s="662">
        <v>44004</v>
      </c>
      <c r="M432" s="620" t="s">
        <v>1007</v>
      </c>
      <c r="N432" s="568" t="s">
        <v>300</v>
      </c>
      <c r="O432" s="568">
        <v>2020.06</v>
      </c>
      <c r="P432" s="571" t="str">
        <f>VLOOKUP(A432,'[1]Raw data'!$B:$BB,23,FALSE)</f>
        <v>JPY</v>
      </c>
      <c r="Q432" s="568" t="str">
        <f>VLOOKUP(A432,'[1]Raw data'!$B:$Z,2,FALSE)</f>
        <v>C49SZX20200032DZ</v>
      </c>
      <c r="R432" s="568" t="str">
        <f>VLOOKUP(A432,'[1]Raw data'!$B:$Z,3,FALSE)</f>
        <v>朗特/end user:朗勤</v>
      </c>
      <c r="S432" s="568" t="str">
        <f>VLOOKUP(A432,'[1]Raw data'!$B:$Z,4,FALSE)</f>
        <v>YSM10</v>
      </c>
      <c r="T432" s="568" t="str">
        <f>VLOOKUP(A432,'[1]Raw data'!$B:$Z,8,FALSE)</f>
        <v>L-&gt;R</v>
      </c>
      <c r="U432" s="568" t="str">
        <f>VLOOKUP(A432,'[1]Raw data'!$B:$Z,9,FALSE)</f>
        <v>MVC</v>
      </c>
      <c r="V432" s="572" t="str">
        <f t="shared" si="66"/>
        <v>WRONG</v>
      </c>
      <c r="W432" s="568" t="str">
        <f>VLOOKUP(A432,'[1]Raw data'!$B:$AG,32,FALSE)</f>
        <v>CIF HK</v>
      </c>
      <c r="X432" s="568">
        <f>VLOOKUP(A432,'[1]Raw data'!$B:$BA,31,FALSE)</f>
        <v>44008</v>
      </c>
      <c r="Y432" s="568" t="str">
        <f>VLOOKUP(A432,'[1]Raw data'!$B:$AS,39,FALSE)</f>
        <v>Yes</v>
      </c>
      <c r="Z432" s="664"/>
      <c r="AA432" s="665"/>
      <c r="AB432" s="666"/>
      <c r="AC432" s="652" t="s">
        <v>1005</v>
      </c>
      <c r="AD432" s="667">
        <v>301</v>
      </c>
      <c r="AE432" s="667">
        <v>10</v>
      </c>
      <c r="AF432" s="667"/>
      <c r="AG432" s="667"/>
      <c r="AH432" s="667"/>
      <c r="AI432" s="668"/>
      <c r="AN432" s="547"/>
      <c r="AO432" s="829" t="str">
        <f t="shared" si="58"/>
        <v>Yes</v>
      </c>
      <c r="AP432" s="259" t="str">
        <f t="shared" si="59"/>
        <v>JUL 20</v>
      </c>
      <c r="AQ432" s="547" t="str">
        <f t="shared" si="60"/>
        <v>有定金+有預留客戶</v>
      </c>
      <c r="AR432" s="259" t="str">
        <f t="shared" si="61"/>
        <v>Shipped_Stock</v>
      </c>
      <c r="AS432" s="259" t="str">
        <f t="shared" si="62"/>
        <v/>
      </c>
      <c r="AT432" s="259" t="str">
        <f t="shared" si="63"/>
        <v>朗特/end user:朗勤</v>
      </c>
      <c r="AU432" s="259" t="str">
        <f t="shared" si="64"/>
        <v>C49SZX20200032DZ</v>
      </c>
      <c r="AV432" s="259" t="str">
        <f t="shared" si="65"/>
        <v>Jun-22</v>
      </c>
    </row>
    <row r="433" spans="1:48" ht="22.5" hidden="1">
      <c r="A433" s="564">
        <v>685</v>
      </c>
      <c r="B433" s="565" t="s">
        <v>280</v>
      </c>
      <c r="C433" s="565" t="s">
        <v>281</v>
      </c>
      <c r="D433" s="650">
        <v>109891</v>
      </c>
      <c r="E433" s="568" t="s">
        <v>886</v>
      </c>
      <c r="F433" s="652" t="s">
        <v>17</v>
      </c>
      <c r="G433" s="652" t="s">
        <v>18</v>
      </c>
      <c r="H433" s="652" t="s">
        <v>26</v>
      </c>
      <c r="I433" s="580" t="s">
        <v>1008</v>
      </c>
      <c r="J433" s="580">
        <v>1</v>
      </c>
      <c r="K433" s="652" t="s">
        <v>311</v>
      </c>
      <c r="L433" s="662">
        <v>44004</v>
      </c>
      <c r="M433" s="620" t="s">
        <v>1007</v>
      </c>
      <c r="N433" s="568" t="s">
        <v>300</v>
      </c>
      <c r="O433" s="568">
        <v>2020.06</v>
      </c>
      <c r="P433" s="571" t="str">
        <f>VLOOKUP(A433,'[1]Raw data'!$B:$BB,23,FALSE)</f>
        <v>JPY</v>
      </c>
      <c r="Q433" s="568" t="str">
        <f>VLOOKUP(A433,'[1]Raw data'!$B:$Z,2,FALSE)</f>
        <v>C49SZX20200032DZ</v>
      </c>
      <c r="R433" s="568" t="str">
        <f>VLOOKUP(A433,'[1]Raw data'!$B:$Z,3,FALSE)</f>
        <v>朗特/end user:朗勤</v>
      </c>
      <c r="S433" s="568" t="str">
        <f>VLOOKUP(A433,'[1]Raw data'!$B:$Z,4,FALSE)</f>
        <v>YSM10</v>
      </c>
      <c r="T433" s="568" t="str">
        <f>VLOOKUP(A433,'[1]Raw data'!$B:$Z,8,FALSE)</f>
        <v>L-&gt;R</v>
      </c>
      <c r="U433" s="568" t="str">
        <f>VLOOKUP(A433,'[1]Raw data'!$B:$Z,9,FALSE)</f>
        <v>No</v>
      </c>
      <c r="V433" s="572" t="str">
        <f t="shared" si="66"/>
        <v>WRONG</v>
      </c>
      <c r="W433" s="568" t="str">
        <f>VLOOKUP(A433,'[1]Raw data'!$B:$AG,32,FALSE)</f>
        <v>CIF HK</v>
      </c>
      <c r="X433" s="568">
        <f>VLOOKUP(A433,'[1]Raw data'!$B:$BA,31,FALSE)</f>
        <v>44008</v>
      </c>
      <c r="Y433" s="568" t="str">
        <f>VLOOKUP(A433,'[1]Raw data'!$B:$AS,39,FALSE)</f>
        <v>Yes</v>
      </c>
      <c r="Z433" s="664"/>
      <c r="AA433" s="665"/>
      <c r="AB433" s="666"/>
      <c r="AC433" s="652" t="s">
        <v>1005</v>
      </c>
      <c r="AD433" s="667">
        <v>302</v>
      </c>
      <c r="AE433" s="667">
        <v>10</v>
      </c>
      <c r="AF433" s="667"/>
      <c r="AG433" s="667"/>
      <c r="AH433" s="667"/>
      <c r="AI433" s="668"/>
      <c r="AN433" s="547"/>
      <c r="AO433" s="829" t="str">
        <f t="shared" si="58"/>
        <v>Yes</v>
      </c>
      <c r="AP433" s="259" t="str">
        <f t="shared" si="59"/>
        <v>JUL 20</v>
      </c>
      <c r="AQ433" s="547" t="str">
        <f t="shared" si="60"/>
        <v>有定金+有預留客戶</v>
      </c>
      <c r="AR433" s="259" t="str">
        <f t="shared" si="61"/>
        <v>Shipped_Stock</v>
      </c>
      <c r="AS433" s="259" t="str">
        <f t="shared" si="62"/>
        <v/>
      </c>
      <c r="AT433" s="259" t="str">
        <f t="shared" si="63"/>
        <v>朗特/end user:朗勤</v>
      </c>
      <c r="AU433" s="259" t="str">
        <f t="shared" si="64"/>
        <v>C49SZX20200032DZ</v>
      </c>
      <c r="AV433" s="259" t="str">
        <f t="shared" si="65"/>
        <v>Jun-22</v>
      </c>
    </row>
    <row r="434" spans="1:48" ht="22.5" hidden="1">
      <c r="A434" s="564">
        <v>677</v>
      </c>
      <c r="B434" s="565" t="s">
        <v>280</v>
      </c>
      <c r="C434" s="565" t="s">
        <v>281</v>
      </c>
      <c r="D434" s="650">
        <v>109891</v>
      </c>
      <c r="E434" s="568" t="s">
        <v>886</v>
      </c>
      <c r="F434" s="652" t="s">
        <v>17</v>
      </c>
      <c r="G434" s="652" t="s">
        <v>18</v>
      </c>
      <c r="H434" s="652" t="s">
        <v>26</v>
      </c>
      <c r="I434" s="580" t="s">
        <v>1009</v>
      </c>
      <c r="J434" s="580">
        <v>1</v>
      </c>
      <c r="K434" s="652" t="s">
        <v>311</v>
      </c>
      <c r="L434" s="662">
        <v>44004</v>
      </c>
      <c r="M434" s="620" t="s">
        <v>1007</v>
      </c>
      <c r="N434" s="568" t="s">
        <v>300</v>
      </c>
      <c r="O434" s="568">
        <v>2020.06</v>
      </c>
      <c r="P434" s="571" t="str">
        <f>VLOOKUP(A434,'[1]Raw data'!$B:$BB,23,FALSE)</f>
        <v>JPY</v>
      </c>
      <c r="Q434" s="568" t="str">
        <f>VLOOKUP(A434,'[1]Raw data'!$B:$Z,2,FALSE)</f>
        <v>C49SZX20200081DZ</v>
      </c>
      <c r="R434" s="568" t="str">
        <f>VLOOKUP(A434,'[1]Raw data'!$B:$Z,3,FALSE)</f>
        <v>朗特</v>
      </c>
      <c r="S434" s="568" t="str">
        <f>VLOOKUP(A434,'[1]Raw data'!$B:$Z,4,FALSE)</f>
        <v>YSM10</v>
      </c>
      <c r="T434" s="568" t="str">
        <f>VLOOKUP(A434,'[1]Raw data'!$B:$Z,8,FALSE)</f>
        <v>L-&gt;R</v>
      </c>
      <c r="U434" s="568" t="str">
        <f>VLOOKUP(A434,'[1]Raw data'!$B:$Z,9,FALSE)</f>
        <v>MVC</v>
      </c>
      <c r="V434" s="572" t="str">
        <f t="shared" si="66"/>
        <v>WRONG</v>
      </c>
      <c r="W434" s="568" t="str">
        <f>VLOOKUP(A434,'[1]Raw data'!$B:$AG,32,FALSE)</f>
        <v>CIF HK</v>
      </c>
      <c r="X434" s="568">
        <f>VLOOKUP(A434,'[1]Raw data'!$B:$BA,31,FALSE)</f>
        <v>44006</v>
      </c>
      <c r="Y434" s="568" t="str">
        <f>VLOOKUP(A434,'[1]Raw data'!$B:$AS,39,FALSE)</f>
        <v>Yes</v>
      </c>
      <c r="Z434" s="664"/>
      <c r="AA434" s="665"/>
      <c r="AB434" s="666"/>
      <c r="AC434" s="652" t="s">
        <v>933</v>
      </c>
      <c r="AD434" s="667">
        <v>302</v>
      </c>
      <c r="AE434" s="667">
        <v>10</v>
      </c>
      <c r="AF434" s="667"/>
      <c r="AG434" s="667"/>
      <c r="AH434" s="667"/>
      <c r="AI434" s="668"/>
      <c r="AN434" s="547"/>
      <c r="AO434" s="829" t="str">
        <f t="shared" si="58"/>
        <v>Yes</v>
      </c>
      <c r="AP434" s="259" t="str">
        <f t="shared" si="59"/>
        <v>JUL 20</v>
      </c>
      <c r="AQ434" s="547" t="str">
        <f t="shared" si="60"/>
        <v>有定金+有預留客戶</v>
      </c>
      <c r="AR434" s="259" t="str">
        <f t="shared" si="61"/>
        <v>Shipped_Stock</v>
      </c>
      <c r="AS434" s="259" t="str">
        <f t="shared" si="62"/>
        <v/>
      </c>
      <c r="AT434" s="259" t="str">
        <f t="shared" si="63"/>
        <v>朗特</v>
      </c>
      <c r="AU434" s="259" t="str">
        <f t="shared" si="64"/>
        <v>C49SZX20200081DZ</v>
      </c>
      <c r="AV434" s="259" t="str">
        <f t="shared" si="65"/>
        <v>Jun-22</v>
      </c>
    </row>
    <row r="435" spans="1:48" hidden="1">
      <c r="A435" s="564">
        <v>680</v>
      </c>
      <c r="B435" s="565" t="s">
        <v>927</v>
      </c>
      <c r="C435" s="565" t="s">
        <v>281</v>
      </c>
      <c r="D435" s="650">
        <v>109891</v>
      </c>
      <c r="E435" s="568" t="s">
        <v>886</v>
      </c>
      <c r="F435" s="652" t="s">
        <v>17</v>
      </c>
      <c r="G435" s="652" t="s">
        <v>18</v>
      </c>
      <c r="H435" s="652" t="s">
        <v>26</v>
      </c>
      <c r="I435" s="580" t="s">
        <v>1010</v>
      </c>
      <c r="J435" s="580">
        <v>1</v>
      </c>
      <c r="K435" s="652" t="s">
        <v>295</v>
      </c>
      <c r="L435" s="662">
        <v>44004</v>
      </c>
      <c r="M435" s="581">
        <v>6.6100000000000006E-2</v>
      </c>
      <c r="N435" s="568" t="s">
        <v>300</v>
      </c>
      <c r="O435" s="568">
        <v>2020.06</v>
      </c>
      <c r="P435" s="571" t="str">
        <f>VLOOKUP(A435,'[1]Raw data'!$B:$BB,23,FALSE)</f>
        <v>RMB</v>
      </c>
      <c r="Q435" s="568" t="str">
        <f>VLOOKUP(A435,'[1]Raw data'!$B:$Z,2,FALSE)</f>
        <v>C49SZX20200085JL</v>
      </c>
      <c r="R435" s="568" t="str">
        <f>VLOOKUP(A435,'[1]Raw data'!$B:$Z,3,FALSE)</f>
        <v>达人高科</v>
      </c>
      <c r="S435" s="568" t="str">
        <f>VLOOKUP(A435,'[1]Raw data'!$B:$Z,4,FALSE)</f>
        <v>YSM10</v>
      </c>
      <c r="T435" s="568" t="str">
        <f>VLOOKUP(A435,'[1]Raw data'!$B:$Z,8,FALSE)</f>
        <v>L-&gt;R</v>
      </c>
      <c r="U435" s="568" t="str">
        <f>VLOOKUP(A435,'[1]Raw data'!$B:$Z,9,FALSE)</f>
        <v>MVC</v>
      </c>
      <c r="V435" s="572" t="str">
        <f t="shared" si="66"/>
        <v>WRONG</v>
      </c>
      <c r="W435" s="568" t="str">
        <f>VLOOKUP(A435,'[1]Raw data'!$B:$AG,32,FALSE)</f>
        <v>含税到厂</v>
      </c>
      <c r="X435" s="568">
        <f>VLOOKUP(A435,'[1]Raw data'!$B:$BA,31,FALSE)</f>
        <v>44006</v>
      </c>
      <c r="Y435" s="568" t="str">
        <f>VLOOKUP(A435,'[1]Raw data'!$B:$AS,39,FALSE)</f>
        <v>Yes</v>
      </c>
      <c r="Z435" s="664"/>
      <c r="AA435" s="665"/>
      <c r="AB435" s="666"/>
      <c r="AC435" s="652" t="s">
        <v>1011</v>
      </c>
      <c r="AD435" s="667">
        <v>302</v>
      </c>
      <c r="AE435" s="667">
        <v>10</v>
      </c>
      <c r="AF435" s="667"/>
      <c r="AG435" s="667"/>
      <c r="AH435" s="667"/>
      <c r="AI435" s="668"/>
      <c r="AN435" s="547"/>
      <c r="AO435" s="829" t="str">
        <f t="shared" si="58"/>
        <v>Yes</v>
      </c>
      <c r="AP435" s="259" t="str">
        <f t="shared" si="59"/>
        <v>JUL 20</v>
      </c>
      <c r="AQ435" s="547" t="str">
        <f t="shared" si="60"/>
        <v>有定金+有預留客戶</v>
      </c>
      <c r="AR435" s="259" t="str">
        <f t="shared" si="61"/>
        <v>Shipped_Stock</v>
      </c>
      <c r="AS435" s="259" t="str">
        <f t="shared" si="62"/>
        <v/>
      </c>
      <c r="AT435" s="259" t="str">
        <f t="shared" si="63"/>
        <v>达人高科</v>
      </c>
      <c r="AU435" s="259" t="str">
        <f t="shared" si="64"/>
        <v>C49SZX20200085JL</v>
      </c>
      <c r="AV435" s="259" t="str">
        <f t="shared" si="65"/>
        <v>Jun-22</v>
      </c>
    </row>
    <row r="436" spans="1:48" hidden="1">
      <c r="A436" s="564">
        <v>665</v>
      </c>
      <c r="B436" s="565" t="s">
        <v>280</v>
      </c>
      <c r="C436" s="565" t="s">
        <v>281</v>
      </c>
      <c r="D436" s="650">
        <v>109891</v>
      </c>
      <c r="E436" s="568" t="s">
        <v>886</v>
      </c>
      <c r="F436" s="652" t="s">
        <v>17</v>
      </c>
      <c r="G436" s="652" t="s">
        <v>1012</v>
      </c>
      <c r="H436" s="652" t="s">
        <v>26</v>
      </c>
      <c r="I436" s="580" t="s">
        <v>1013</v>
      </c>
      <c r="J436" s="580">
        <v>1</v>
      </c>
      <c r="K436" s="652" t="s">
        <v>295</v>
      </c>
      <c r="L436" s="662">
        <v>44004</v>
      </c>
      <c r="M436" s="581">
        <v>6.6100000000000006E-2</v>
      </c>
      <c r="N436" s="568" t="s">
        <v>300</v>
      </c>
      <c r="O436" s="568">
        <v>2020.06</v>
      </c>
      <c r="P436" s="571" t="str">
        <f>VLOOKUP(A436,'[1]Raw data'!$B:$BB,23,FALSE)</f>
        <v>RMB</v>
      </c>
      <c r="Q436" s="568" t="str">
        <f>VLOOKUP(A436,'[1]Raw data'!$B:$Z,2,FALSE)</f>
        <v>C49SZX20200063SS</v>
      </c>
      <c r="R436" s="568" t="str">
        <f>VLOOKUP(A436,'[1]Raw data'!$B:$Z,3,FALSE)</f>
        <v>中润互联</v>
      </c>
      <c r="S436" s="568" t="str">
        <f>VLOOKUP(A436,'[1]Raw data'!$B:$Z,4,FALSE)</f>
        <v>YSM10</v>
      </c>
      <c r="T436" s="568" t="str">
        <f>VLOOKUP(A436,'[1]Raw data'!$B:$Z,8,FALSE)</f>
        <v>L-&gt;R</v>
      </c>
      <c r="U436" s="568" t="str">
        <f>VLOOKUP(A436,'[1]Raw data'!$B:$Z,9,FALSE)</f>
        <v>MVC</v>
      </c>
      <c r="V436" s="572" t="str">
        <f t="shared" si="66"/>
        <v>WRONG</v>
      </c>
      <c r="W436" s="568" t="str">
        <f>VLOOKUP(A436,'[1]Raw data'!$B:$AG,32,FALSE)</f>
        <v>含税到厂</v>
      </c>
      <c r="X436" s="568">
        <f>VLOOKUP(A436,'[1]Raw data'!$B:$BA,31,FALSE)</f>
        <v>44001</v>
      </c>
      <c r="Y436" s="568" t="str">
        <f>VLOOKUP(A436,'[1]Raw data'!$B:$AS,39,FALSE)</f>
        <v>Yes</v>
      </c>
      <c r="Z436" s="664"/>
      <c r="AA436" s="665"/>
      <c r="AB436" s="666"/>
      <c r="AC436" s="568" t="s">
        <v>936</v>
      </c>
      <c r="AD436" s="667">
        <v>302</v>
      </c>
      <c r="AE436" s="667">
        <v>10</v>
      </c>
      <c r="AF436" s="667"/>
      <c r="AG436" s="667"/>
      <c r="AH436" s="667"/>
      <c r="AI436" s="668"/>
      <c r="AN436" s="547"/>
      <c r="AO436" s="829" t="str">
        <f t="shared" si="58"/>
        <v>Yes</v>
      </c>
      <c r="AP436" s="259" t="str">
        <f t="shared" si="59"/>
        <v>JUL 20</v>
      </c>
      <c r="AQ436" s="547" t="str">
        <f t="shared" si="60"/>
        <v>有定金+有預留客戶</v>
      </c>
      <c r="AR436" s="259" t="str">
        <f t="shared" si="61"/>
        <v>Shipped_Stock</v>
      </c>
      <c r="AS436" s="259" t="str">
        <f t="shared" si="62"/>
        <v/>
      </c>
      <c r="AT436" s="259" t="str">
        <f t="shared" si="63"/>
        <v>中润互联</v>
      </c>
      <c r="AU436" s="259" t="str">
        <f t="shared" si="64"/>
        <v>C49SZX20200063SS</v>
      </c>
      <c r="AV436" s="259" t="str">
        <f t="shared" si="65"/>
        <v>Jun-22</v>
      </c>
    </row>
    <row r="437" spans="1:48" ht="15" hidden="1" customHeight="1">
      <c r="A437" s="564">
        <v>666</v>
      </c>
      <c r="B437" s="669" t="s">
        <v>280</v>
      </c>
      <c r="C437" s="565" t="s">
        <v>281</v>
      </c>
      <c r="D437" s="604">
        <v>109886</v>
      </c>
      <c r="E437" s="568" t="s">
        <v>886</v>
      </c>
      <c r="F437" s="568" t="s">
        <v>256</v>
      </c>
      <c r="G437" s="568" t="s">
        <v>24</v>
      </c>
      <c r="H437" s="568" t="s">
        <v>307</v>
      </c>
      <c r="I437" s="569" t="s">
        <v>1014</v>
      </c>
      <c r="J437" s="580">
        <v>1</v>
      </c>
      <c r="K437" s="652" t="s">
        <v>820</v>
      </c>
      <c r="L437" s="662">
        <v>44006</v>
      </c>
      <c r="M437" s="581">
        <v>6.6500000000000004E-2</v>
      </c>
      <c r="N437" s="568" t="s">
        <v>300</v>
      </c>
      <c r="O437" s="569">
        <v>2020.06</v>
      </c>
      <c r="P437" s="571" t="str">
        <f>VLOOKUP(A437,'[1]Raw data'!$B:$BB,23,FALSE)</f>
        <v>JPY</v>
      </c>
      <c r="Q437" s="568" t="str">
        <f>VLOOKUP(A437,'[1]Raw data'!$B:$Z,2,FALSE)</f>
        <v>C49SZX20200069JY</v>
      </c>
      <c r="R437" s="568" t="str">
        <f>VLOOKUP(A437,'[1]Raw data'!$B:$Z,3,FALSE)</f>
        <v>百纳海</v>
      </c>
      <c r="S437" s="568" t="str">
        <f>VLOOKUP(A437,'[1]Raw data'!$B:$Z,4,FALSE)</f>
        <v>YSM20R(SV)-2</v>
      </c>
      <c r="T437" s="568" t="str">
        <f>VLOOKUP(A437,'[1]Raw data'!$B:$Z,8,FALSE)</f>
        <v>L-&gt;R</v>
      </c>
      <c r="U437" s="568" t="str">
        <f>VLOOKUP(A437,'[1]Raw data'!$B:$Z,9,FALSE)</f>
        <v>No</v>
      </c>
      <c r="V437" s="572" t="str">
        <f t="shared" si="66"/>
        <v>OK</v>
      </c>
      <c r="W437" s="568" t="str">
        <f>VLOOKUP(A437,'[1]Raw data'!$B:$AG,32,FALSE)</f>
        <v>DAP SZ</v>
      </c>
      <c r="X437" s="568">
        <f>VLOOKUP(A437,'[1]Raw data'!$B:$BA,31,FALSE)</f>
        <v>44001</v>
      </c>
      <c r="Y437" s="568" t="str">
        <f>VLOOKUP(A437,'[1]Raw data'!$B:$AS,39,FALSE)</f>
        <v>Yes</v>
      </c>
      <c r="AC437" s="568" t="s">
        <v>1015</v>
      </c>
      <c r="AD437" s="576">
        <v>312</v>
      </c>
      <c r="AE437" s="576">
        <v>10</v>
      </c>
      <c r="AF437" s="576">
        <v>303</v>
      </c>
      <c r="AG437" s="576">
        <v>10</v>
      </c>
      <c r="AN437" s="547"/>
      <c r="AO437" s="829" t="str">
        <f t="shared" si="58"/>
        <v>Yes</v>
      </c>
      <c r="AP437" s="259" t="str">
        <f t="shared" si="59"/>
        <v>JUL 20</v>
      </c>
      <c r="AQ437" s="547" t="str">
        <f t="shared" si="60"/>
        <v>有定金+有預留客戶</v>
      </c>
      <c r="AR437" s="259" t="str">
        <f t="shared" si="61"/>
        <v>Shipped_Stock</v>
      </c>
      <c r="AS437" s="259" t="str">
        <f t="shared" si="62"/>
        <v/>
      </c>
      <c r="AT437" s="259" t="str">
        <f t="shared" si="63"/>
        <v>百纳海</v>
      </c>
      <c r="AU437" s="259" t="str">
        <f t="shared" si="64"/>
        <v>C49SZX20200069JY</v>
      </c>
      <c r="AV437" s="259" t="str">
        <f t="shared" si="65"/>
        <v>Jun-24</v>
      </c>
    </row>
    <row r="438" spans="1:48" ht="23.25" hidden="1" customHeight="1">
      <c r="A438" s="564">
        <v>690</v>
      </c>
      <c r="B438" s="565" t="s">
        <v>280</v>
      </c>
      <c r="C438" s="565" t="s">
        <v>281</v>
      </c>
      <c r="D438" s="604">
        <v>109886</v>
      </c>
      <c r="E438" s="568" t="s">
        <v>886</v>
      </c>
      <c r="F438" s="568" t="s">
        <v>256</v>
      </c>
      <c r="G438" s="568" t="s">
        <v>24</v>
      </c>
      <c r="H438" s="568" t="s">
        <v>307</v>
      </c>
      <c r="I438" s="569" t="s">
        <v>1016</v>
      </c>
      <c r="J438" s="580">
        <v>1</v>
      </c>
      <c r="K438" s="652" t="s">
        <v>959</v>
      </c>
      <c r="L438" s="662">
        <v>44006</v>
      </c>
      <c r="M438" s="620" t="s">
        <v>1017</v>
      </c>
      <c r="N438" s="568" t="s">
        <v>300</v>
      </c>
      <c r="O438" s="569">
        <v>2020.06</v>
      </c>
      <c r="P438" s="571" t="str">
        <f>VLOOKUP(A438,'[1]Raw data'!$B:$BB,23,FALSE)</f>
        <v>RMB</v>
      </c>
      <c r="Q438" s="568" t="str">
        <f>VLOOKUP(A438,'[1]Raw data'!$B:$Z,2,FALSE)</f>
        <v>C49SZX20200087DZ</v>
      </c>
      <c r="R438" s="568" t="str">
        <f>VLOOKUP(A438,'[1]Raw data'!$B:$Z,3,FALSE)</f>
        <v>海星</v>
      </c>
      <c r="S438" s="568" t="str">
        <f>VLOOKUP(A438,'[1]Raw data'!$B:$Z,4,FALSE)</f>
        <v>YSM20R(SV)-2</v>
      </c>
      <c r="T438" s="568" t="str">
        <f>VLOOKUP(A438,'[1]Raw data'!$B:$Z,8,FALSE)</f>
        <v>L-&gt;R</v>
      </c>
      <c r="U438" s="568" t="str">
        <f>VLOOKUP(A438,'[1]Raw data'!$B:$Z,9,FALSE)</f>
        <v>MVC</v>
      </c>
      <c r="V438" s="572" t="str">
        <f t="shared" si="66"/>
        <v>WRONG</v>
      </c>
      <c r="W438" s="568" t="str">
        <f>VLOOKUP(A438,'[1]Raw data'!$B:$AG,32,FALSE)</f>
        <v>含税到厂</v>
      </c>
      <c r="X438" s="568">
        <f>VLOOKUP(A438,'[1]Raw data'!$B:$BA,31,FALSE)</f>
        <v>44011</v>
      </c>
      <c r="Y438" s="568" t="str">
        <f>VLOOKUP(A438,'[1]Raw data'!$B:$AS,39,FALSE)</f>
        <v>Yes</v>
      </c>
      <c r="AC438" s="568" t="s">
        <v>919</v>
      </c>
      <c r="AD438" s="576">
        <v>313</v>
      </c>
      <c r="AE438" s="576">
        <v>10</v>
      </c>
      <c r="AF438" s="576">
        <v>312</v>
      </c>
      <c r="AG438" s="576">
        <v>10</v>
      </c>
      <c r="AN438" s="547"/>
      <c r="AO438" s="829" t="str">
        <f t="shared" si="58"/>
        <v>Yes</v>
      </c>
      <c r="AP438" s="259" t="str">
        <f t="shared" si="59"/>
        <v>JUL 20</v>
      </c>
      <c r="AQ438" s="547" t="str">
        <f t="shared" si="60"/>
        <v>有定金+有預留客戶</v>
      </c>
      <c r="AR438" s="259" t="str">
        <f t="shared" si="61"/>
        <v>Shipped_Stock</v>
      </c>
      <c r="AS438" s="259" t="str">
        <f t="shared" si="62"/>
        <v/>
      </c>
      <c r="AT438" s="259" t="str">
        <f t="shared" si="63"/>
        <v>海星</v>
      </c>
      <c r="AU438" s="259" t="str">
        <f t="shared" si="64"/>
        <v>C49SZX20200087DZ</v>
      </c>
      <c r="AV438" s="259" t="str">
        <f t="shared" si="65"/>
        <v>Jun-24</v>
      </c>
    </row>
    <row r="439" spans="1:48" ht="15" hidden="1" customHeight="1">
      <c r="A439" s="564">
        <v>721</v>
      </c>
      <c r="B439" s="565" t="s">
        <v>280</v>
      </c>
      <c r="C439" s="565" t="s">
        <v>281</v>
      </c>
      <c r="D439" s="604">
        <v>109886</v>
      </c>
      <c r="E439" s="568" t="s">
        <v>886</v>
      </c>
      <c r="F439" s="568" t="s">
        <v>256</v>
      </c>
      <c r="G439" s="568" t="s">
        <v>24</v>
      </c>
      <c r="H439" s="568" t="s">
        <v>26</v>
      </c>
      <c r="I439" s="569" t="s">
        <v>1018</v>
      </c>
      <c r="J439" s="580">
        <v>1</v>
      </c>
      <c r="K439" s="652" t="s">
        <v>437</v>
      </c>
      <c r="L439" s="662">
        <v>44006</v>
      </c>
      <c r="M439" s="581">
        <v>6.6500000000000004E-2</v>
      </c>
      <c r="N439" s="568" t="s">
        <v>300</v>
      </c>
      <c r="O439" s="569">
        <v>2020.06</v>
      </c>
      <c r="P439" s="571" t="str">
        <f>VLOOKUP(A439,'[1]Raw data'!$B:$BB,23,FALSE)</f>
        <v>JPY</v>
      </c>
      <c r="Q439" s="568" t="str">
        <f>VLOOKUP(A439,'[1]Raw data'!$B:$Z,2,FALSE)</f>
        <v>C49SZX20200101MZ</v>
      </c>
      <c r="R439" s="568" t="str">
        <f>VLOOKUP(A439,'[1]Raw data'!$B:$Z,3,FALSE)</f>
        <v>崧盛</v>
      </c>
      <c r="S439" s="568" t="str">
        <f>VLOOKUP(A439,'[1]Raw data'!$B:$Z,4,FALSE)</f>
        <v>YSM20R(SV)-2</v>
      </c>
      <c r="T439" s="568" t="str">
        <f>VLOOKUP(A439,'[1]Raw data'!$B:$Z,8,FALSE)</f>
        <v>L-&gt;R</v>
      </c>
      <c r="U439" s="568" t="str">
        <f>VLOOKUP(A439,'[1]Raw data'!$B:$Z,9,FALSE)</f>
        <v>No</v>
      </c>
      <c r="V439" s="572" t="str">
        <f t="shared" si="66"/>
        <v>OK</v>
      </c>
      <c r="W439" s="568" t="str">
        <f>VLOOKUP(A439,'[1]Raw data'!$B:$AG,32,FALSE)</f>
        <v>CIF HK</v>
      </c>
      <c r="X439" s="568">
        <f>VLOOKUP(A439,'[1]Raw data'!$B:$BA,31,FALSE)</f>
        <v>44028</v>
      </c>
      <c r="Y439" s="568" t="str">
        <f>VLOOKUP(A439,'[1]Raw data'!$B:$AS,39,FALSE)</f>
        <v>Yes</v>
      </c>
      <c r="AC439" s="568" t="s">
        <v>637</v>
      </c>
      <c r="AD439" s="576">
        <v>301</v>
      </c>
      <c r="AE439" s="576">
        <v>20</v>
      </c>
      <c r="AN439" s="547"/>
      <c r="AO439" s="829" t="str">
        <f t="shared" si="58"/>
        <v>Yes</v>
      </c>
      <c r="AP439" s="259" t="str">
        <f t="shared" si="59"/>
        <v>JUL 20</v>
      </c>
      <c r="AQ439" s="547" t="str">
        <f t="shared" si="60"/>
        <v>有定金+有預留客戶</v>
      </c>
      <c r="AR439" s="259" t="str">
        <f t="shared" si="61"/>
        <v>Shipped_Stock</v>
      </c>
      <c r="AS439" s="259" t="str">
        <f t="shared" si="62"/>
        <v/>
      </c>
      <c r="AT439" s="259" t="str">
        <f t="shared" si="63"/>
        <v>崧盛</v>
      </c>
      <c r="AU439" s="259" t="str">
        <f t="shared" si="64"/>
        <v>C49SZX20200101MZ</v>
      </c>
      <c r="AV439" s="259" t="str">
        <f t="shared" si="65"/>
        <v>Jun-24</v>
      </c>
    </row>
    <row r="440" spans="1:48" hidden="1">
      <c r="A440" s="564">
        <v>667</v>
      </c>
      <c r="B440" s="565" t="s">
        <v>280</v>
      </c>
      <c r="C440" s="565" t="s">
        <v>281</v>
      </c>
      <c r="D440" s="604">
        <v>109886</v>
      </c>
      <c r="E440" s="568" t="s">
        <v>886</v>
      </c>
      <c r="F440" s="568" t="s">
        <v>256</v>
      </c>
      <c r="G440" s="568" t="s">
        <v>24</v>
      </c>
      <c r="H440" s="568" t="s">
        <v>26</v>
      </c>
      <c r="I440" s="569" t="s">
        <v>1019</v>
      </c>
      <c r="J440" s="580">
        <v>1</v>
      </c>
      <c r="K440" s="652" t="s">
        <v>295</v>
      </c>
      <c r="L440" s="662">
        <v>44006</v>
      </c>
      <c r="M440" s="581">
        <v>6.6500000000000004E-2</v>
      </c>
      <c r="N440" s="568" t="s">
        <v>300</v>
      </c>
      <c r="O440" s="569">
        <v>2020.06</v>
      </c>
      <c r="P440" s="571" t="str">
        <f>VLOOKUP(A440,'[1]Raw data'!$B:$BB,23,FALSE)</f>
        <v>RMB</v>
      </c>
      <c r="Q440" s="568" t="str">
        <f>VLOOKUP(A440,'[1]Raw data'!$B:$Z,2,FALSE)</f>
        <v>C49SZX20200076JL</v>
      </c>
      <c r="R440" s="568" t="str">
        <f>VLOOKUP(A440,'[1]Raw data'!$B:$Z,3,FALSE)</f>
        <v>鑫东泰</v>
      </c>
      <c r="S440" s="568" t="str">
        <f>VLOOKUP(A440,'[1]Raw data'!$B:$Z,4,FALSE)</f>
        <v>YSM20R(SV)-2</v>
      </c>
      <c r="T440" s="568" t="str">
        <f>VLOOKUP(A440,'[1]Raw data'!$B:$Z,8,FALSE)</f>
        <v>L-&gt;R</v>
      </c>
      <c r="U440" s="568" t="str">
        <f>VLOOKUP(A440,'[1]Raw data'!$B:$Z,9,FALSE)</f>
        <v>No</v>
      </c>
      <c r="V440" s="572" t="str">
        <f t="shared" si="66"/>
        <v>OK</v>
      </c>
      <c r="W440" s="568" t="str">
        <f>VLOOKUP(A440,'[1]Raw data'!$B:$AG,32,FALSE)</f>
        <v>含税到厂</v>
      </c>
      <c r="X440" s="568">
        <f>VLOOKUP(A440,'[1]Raw data'!$B:$BA,31,FALSE)</f>
        <v>44004</v>
      </c>
      <c r="Y440" s="568" t="str">
        <f>VLOOKUP(A440,'[1]Raw data'!$B:$AS,39,FALSE)</f>
        <v>Yes</v>
      </c>
      <c r="AC440" s="568" t="s">
        <v>1000</v>
      </c>
      <c r="AD440" s="576">
        <v>312</v>
      </c>
      <c r="AE440" s="576">
        <v>10</v>
      </c>
      <c r="AF440" s="576">
        <v>304</v>
      </c>
      <c r="AG440" s="576">
        <v>10</v>
      </c>
      <c r="AN440" s="547"/>
      <c r="AO440" s="829" t="str">
        <f t="shared" si="58"/>
        <v>Yes</v>
      </c>
      <c r="AP440" s="259" t="str">
        <f t="shared" si="59"/>
        <v>JUL 20</v>
      </c>
      <c r="AQ440" s="547" t="str">
        <f t="shared" si="60"/>
        <v>有定金+有預留客戶</v>
      </c>
      <c r="AR440" s="259" t="str">
        <f t="shared" si="61"/>
        <v>Shipped_Stock</v>
      </c>
      <c r="AS440" s="259" t="str">
        <f t="shared" si="62"/>
        <v/>
      </c>
      <c r="AT440" s="259" t="str">
        <f t="shared" si="63"/>
        <v>鑫东泰</v>
      </c>
      <c r="AU440" s="259" t="str">
        <f t="shared" si="64"/>
        <v>C49SZX20200076JL</v>
      </c>
      <c r="AV440" s="259" t="str">
        <f t="shared" si="65"/>
        <v>Jun-24</v>
      </c>
    </row>
    <row r="441" spans="1:48" hidden="1">
      <c r="A441" s="564">
        <v>703</v>
      </c>
      <c r="B441" s="565" t="s">
        <v>280</v>
      </c>
      <c r="C441" s="565" t="s">
        <v>281</v>
      </c>
      <c r="D441" s="604">
        <v>109886</v>
      </c>
      <c r="E441" s="568" t="s">
        <v>886</v>
      </c>
      <c r="F441" s="568" t="s">
        <v>256</v>
      </c>
      <c r="G441" s="568" t="s">
        <v>24</v>
      </c>
      <c r="H441" s="568" t="s">
        <v>26</v>
      </c>
      <c r="I441" s="569" t="s">
        <v>1020</v>
      </c>
      <c r="J441" s="580">
        <v>1</v>
      </c>
      <c r="K441" s="652" t="s">
        <v>437</v>
      </c>
      <c r="L441" s="662">
        <v>44006</v>
      </c>
      <c r="M441" s="581">
        <v>6.6500000000000004E-2</v>
      </c>
      <c r="N441" s="568" t="s">
        <v>300</v>
      </c>
      <c r="O441" s="569">
        <v>2020.06</v>
      </c>
      <c r="P441" s="571" t="str">
        <f>VLOOKUP(A441,'[1]Raw data'!$B:$BB,23,FALSE)</f>
        <v>JPY</v>
      </c>
      <c r="Q441" s="568" t="str">
        <f>VLOOKUP(A441,'[1]Raw data'!$B:$Z,2,FALSE)</f>
        <v>C49SZX20200092SS</v>
      </c>
      <c r="R441" s="568" t="str">
        <f>VLOOKUP(A441,'[1]Raw data'!$B:$Z,3,FALSE)</f>
        <v>新平泰end user:弛瑞</v>
      </c>
      <c r="S441" s="568" t="str">
        <f>VLOOKUP(A441,'[1]Raw data'!$B:$Z,4,FALSE)</f>
        <v>YSM20R(SV)-2</v>
      </c>
      <c r="T441" s="568" t="str">
        <f>VLOOKUP(A441,'[1]Raw data'!$B:$Z,8,FALSE)</f>
        <v>L-&gt;R</v>
      </c>
      <c r="U441" s="568" t="str">
        <f>VLOOKUP(A441,'[1]Raw data'!$B:$Z,9,FALSE)</f>
        <v>No</v>
      </c>
      <c r="V441" s="572" t="str">
        <f t="shared" si="66"/>
        <v>OK</v>
      </c>
      <c r="W441" s="568" t="str">
        <f>VLOOKUP(A441,'[1]Raw data'!$B:$AG,32,FALSE)</f>
        <v>DAP SZ</v>
      </c>
      <c r="X441" s="568">
        <f>VLOOKUP(A441,'[1]Raw data'!$B:$BA,31,FALSE)</f>
        <v>44021</v>
      </c>
      <c r="Y441" s="568" t="str">
        <f>VLOOKUP(A441,'[1]Raw data'!$B:$AS,39,FALSE)</f>
        <v>Yes</v>
      </c>
      <c r="AC441" s="568" t="s">
        <v>904</v>
      </c>
      <c r="AD441" s="576">
        <v>301</v>
      </c>
      <c r="AE441" s="576">
        <v>5</v>
      </c>
      <c r="AF441" s="576">
        <v>306</v>
      </c>
      <c r="AG441" s="576">
        <v>5</v>
      </c>
      <c r="AH441" s="576">
        <v>304</v>
      </c>
      <c r="AI441" s="577">
        <v>10</v>
      </c>
      <c r="AN441" s="547"/>
      <c r="AO441" s="829" t="str">
        <f t="shared" si="58"/>
        <v>Yes</v>
      </c>
      <c r="AP441" s="259" t="str">
        <f t="shared" si="59"/>
        <v>JUL 20</v>
      </c>
      <c r="AQ441" s="547" t="str">
        <f t="shared" si="60"/>
        <v>有定金+有預留客戶</v>
      </c>
      <c r="AR441" s="259" t="str">
        <f t="shared" si="61"/>
        <v>Shipped_Stock</v>
      </c>
      <c r="AS441" s="259" t="str">
        <f t="shared" si="62"/>
        <v/>
      </c>
      <c r="AT441" s="259" t="str">
        <f t="shared" si="63"/>
        <v>新平泰end user:弛瑞</v>
      </c>
      <c r="AU441" s="259" t="str">
        <f t="shared" si="64"/>
        <v>C49SZX20200092SS</v>
      </c>
      <c r="AV441" s="259" t="str">
        <f t="shared" si="65"/>
        <v>Jun-24</v>
      </c>
    </row>
    <row r="442" spans="1:48" ht="15" hidden="1" customHeight="1">
      <c r="A442" s="564">
        <v>651</v>
      </c>
      <c r="B442" s="669" t="s">
        <v>280</v>
      </c>
      <c r="C442" s="565" t="s">
        <v>281</v>
      </c>
      <c r="D442" s="604" t="s">
        <v>1021</v>
      </c>
      <c r="E442" s="568" t="s">
        <v>886</v>
      </c>
      <c r="F442" s="568" t="s">
        <v>256</v>
      </c>
      <c r="G442" s="568" t="s">
        <v>24</v>
      </c>
      <c r="H442" s="568" t="s">
        <v>307</v>
      </c>
      <c r="I442" s="594" t="s">
        <v>1022</v>
      </c>
      <c r="J442" s="580">
        <v>1</v>
      </c>
      <c r="K442" s="568" t="s">
        <v>311</v>
      </c>
      <c r="L442" s="662">
        <v>44006</v>
      </c>
      <c r="M442" s="581" t="s">
        <v>906</v>
      </c>
      <c r="N442" s="568" t="s">
        <v>903</v>
      </c>
      <c r="O442" s="569">
        <v>2020.06</v>
      </c>
      <c r="P442" s="571" t="str">
        <f>VLOOKUP(A442,'[1]Raw data'!$B:$BB,23,FALSE)</f>
        <v>JPY</v>
      </c>
      <c r="Q442" s="568" t="str">
        <f>VLOOKUP(A442,'[1]Raw data'!$B:$Z,2,FALSE)</f>
        <v>C49SZX20200033DZ</v>
      </c>
      <c r="R442" s="568" t="str">
        <f>VLOOKUP(A442,'[1]Raw data'!$B:$Z,3,FALSE)</f>
        <v>兆晖</v>
      </c>
      <c r="S442" s="568" t="str">
        <f>VLOOKUP(A442,'[1]Raw data'!$B:$Z,4,FALSE)</f>
        <v>YSM20R(SV)-2</v>
      </c>
      <c r="T442" s="568" t="str">
        <f>VLOOKUP(A442,'[1]Raw data'!$B:$Z,8,FALSE)</f>
        <v>L-&gt;R</v>
      </c>
      <c r="U442" s="568" t="str">
        <f>VLOOKUP(A442,'[1]Raw data'!$B:$Z,9,FALSE)</f>
        <v>No</v>
      </c>
      <c r="V442" s="572" t="str">
        <f t="shared" si="66"/>
        <v>OK</v>
      </c>
      <c r="W442" s="568" t="str">
        <f>VLOOKUP(A442,'[1]Raw data'!$B:$AG,32,FALSE)</f>
        <v>CIF HK</v>
      </c>
      <c r="X442" s="568">
        <f>VLOOKUP(A442,'[1]Raw data'!$B:$BA,31,FALSE)</f>
        <v>43978</v>
      </c>
      <c r="Y442" s="568" t="str">
        <f>VLOOKUP(A442,'[1]Raw data'!$B:$AS,39,FALSE)</f>
        <v>Yes</v>
      </c>
      <c r="AC442" s="568" t="s">
        <v>1023</v>
      </c>
      <c r="AD442" s="576">
        <v>302</v>
      </c>
      <c r="AE442" s="576">
        <v>20</v>
      </c>
      <c r="AN442" s="547"/>
      <c r="AO442" s="829" t="str">
        <f t="shared" si="58"/>
        <v>Yes</v>
      </c>
      <c r="AP442" s="259" t="str">
        <f t="shared" si="59"/>
        <v>JUN 20</v>
      </c>
      <c r="AQ442" s="547" t="str">
        <f t="shared" si="60"/>
        <v>有定金+有預留客戶</v>
      </c>
      <c r="AR442" s="259" t="str">
        <f t="shared" si="61"/>
        <v>Shipped_Stock</v>
      </c>
      <c r="AS442" s="259" t="str">
        <f t="shared" si="62"/>
        <v/>
      </c>
      <c r="AT442" s="259" t="str">
        <f t="shared" si="63"/>
        <v>兆晖</v>
      </c>
      <c r="AU442" s="259" t="str">
        <f t="shared" si="64"/>
        <v>C49SZX20200033DZ</v>
      </c>
      <c r="AV442" s="259" t="str">
        <f t="shared" si="65"/>
        <v>Jun-24</v>
      </c>
    </row>
    <row r="443" spans="1:48" ht="15" hidden="1" customHeight="1">
      <c r="A443" s="564">
        <v>682</v>
      </c>
      <c r="B443" s="565" t="s">
        <v>280</v>
      </c>
      <c r="C443" s="565" t="s">
        <v>281</v>
      </c>
      <c r="D443" s="604" t="s">
        <v>1021</v>
      </c>
      <c r="E443" s="568" t="s">
        <v>886</v>
      </c>
      <c r="F443" s="568" t="s">
        <v>256</v>
      </c>
      <c r="G443" s="568" t="s">
        <v>24</v>
      </c>
      <c r="H443" s="568" t="s">
        <v>307</v>
      </c>
      <c r="I443" s="594" t="s">
        <v>1024</v>
      </c>
      <c r="J443" s="580">
        <v>1</v>
      </c>
      <c r="K443" s="568" t="s">
        <v>311</v>
      </c>
      <c r="L443" s="662">
        <v>44006</v>
      </c>
      <c r="M443" s="581" t="s">
        <v>906</v>
      </c>
      <c r="N443" s="568" t="s">
        <v>300</v>
      </c>
      <c r="O443" s="569">
        <v>2020.06</v>
      </c>
      <c r="P443" s="571" t="str">
        <f>VLOOKUP(A443,'[1]Raw data'!$B:$BB,23,FALSE)</f>
        <v>JPY</v>
      </c>
      <c r="Q443" s="568" t="str">
        <f>VLOOKUP(A443,'[1]Raw data'!$B:$Z,2,FALSE)</f>
        <v>C49SZX20200032DZ</v>
      </c>
      <c r="R443" s="568" t="str">
        <f>VLOOKUP(A443,'[1]Raw data'!$B:$Z,3,FALSE)</f>
        <v>朗特/end user:朗勤</v>
      </c>
      <c r="S443" s="568" t="str">
        <f>VLOOKUP(A443,'[1]Raw data'!$B:$Z,4,FALSE)</f>
        <v>YSM20R(SV)-2</v>
      </c>
      <c r="T443" s="568" t="str">
        <f>VLOOKUP(A443,'[1]Raw data'!$B:$Z,8,FALSE)</f>
        <v>L-&gt;R</v>
      </c>
      <c r="U443" s="568" t="str">
        <f>VLOOKUP(A443,'[1]Raw data'!$B:$Z,9,FALSE)</f>
        <v>No</v>
      </c>
      <c r="V443" s="572" t="str">
        <f t="shared" si="66"/>
        <v>OK</v>
      </c>
      <c r="W443" s="568" t="str">
        <f>VLOOKUP(A443,'[1]Raw data'!$B:$AG,32,FALSE)</f>
        <v>CIF HK</v>
      </c>
      <c r="X443" s="568">
        <f>VLOOKUP(A443,'[1]Raw data'!$B:$BA,31,FALSE)</f>
        <v>44008</v>
      </c>
      <c r="Y443" s="568" t="str">
        <f>VLOOKUP(A443,'[1]Raw data'!$B:$AS,39,FALSE)</f>
        <v>Yes</v>
      </c>
      <c r="AC443" s="568" t="s">
        <v>1005</v>
      </c>
      <c r="AD443" s="576">
        <v>302</v>
      </c>
      <c r="AE443" s="576">
        <v>20</v>
      </c>
      <c r="AN443" s="547"/>
      <c r="AO443" s="829" t="str">
        <f t="shared" si="58"/>
        <v>Yes</v>
      </c>
      <c r="AP443" s="259" t="str">
        <f t="shared" si="59"/>
        <v>JUL 20</v>
      </c>
      <c r="AQ443" s="547" t="str">
        <f t="shared" si="60"/>
        <v>有定金+有預留客戶</v>
      </c>
      <c r="AR443" s="259" t="str">
        <f t="shared" si="61"/>
        <v>Shipped_Stock</v>
      </c>
      <c r="AS443" s="259" t="str">
        <f t="shared" si="62"/>
        <v/>
      </c>
      <c r="AT443" s="259" t="str">
        <f t="shared" si="63"/>
        <v>朗特/end user:朗勤</v>
      </c>
      <c r="AU443" s="259" t="str">
        <f t="shared" si="64"/>
        <v>C49SZX20200032DZ</v>
      </c>
      <c r="AV443" s="259" t="str">
        <f t="shared" si="65"/>
        <v>Jun-24</v>
      </c>
    </row>
    <row r="444" spans="1:48" ht="15" hidden="1" customHeight="1">
      <c r="A444" s="564">
        <v>649</v>
      </c>
      <c r="B444" s="669" t="s">
        <v>280</v>
      </c>
      <c r="C444" s="565" t="s">
        <v>281</v>
      </c>
      <c r="D444" s="604" t="s">
        <v>1021</v>
      </c>
      <c r="E444" s="568" t="s">
        <v>886</v>
      </c>
      <c r="F444" s="568" t="s">
        <v>256</v>
      </c>
      <c r="G444" s="568" t="s">
        <v>24</v>
      </c>
      <c r="H444" s="568" t="s">
        <v>26</v>
      </c>
      <c r="I444" s="594" t="s">
        <v>1025</v>
      </c>
      <c r="J444" s="580">
        <v>1</v>
      </c>
      <c r="K444" s="568" t="s">
        <v>311</v>
      </c>
      <c r="L444" s="662">
        <v>44006</v>
      </c>
      <c r="M444" s="581" t="s">
        <v>906</v>
      </c>
      <c r="N444" s="568" t="s">
        <v>903</v>
      </c>
      <c r="O444" s="569">
        <v>2020.06</v>
      </c>
      <c r="P444" s="571" t="str">
        <f>VLOOKUP(A444,'[1]Raw data'!$B:$BB,23,FALSE)</f>
        <v>JPY</v>
      </c>
      <c r="Q444" s="568" t="str">
        <f>VLOOKUP(A444,'[1]Raw data'!$B:$Z,2,FALSE)</f>
        <v>C49SZX20200033DZ</v>
      </c>
      <c r="R444" s="568" t="str">
        <f>VLOOKUP(A444,'[1]Raw data'!$B:$Z,3,FALSE)</f>
        <v>兆晖</v>
      </c>
      <c r="S444" s="568" t="str">
        <f>VLOOKUP(A444,'[1]Raw data'!$B:$Z,4,FALSE)</f>
        <v>YSM20R(SV)-2</v>
      </c>
      <c r="T444" s="568" t="str">
        <f>VLOOKUP(A444,'[1]Raw data'!$B:$Z,8,FALSE)</f>
        <v>L-&gt;R</v>
      </c>
      <c r="U444" s="568" t="str">
        <f>VLOOKUP(A444,'[1]Raw data'!$B:$Z,9,FALSE)</f>
        <v>No</v>
      </c>
      <c r="V444" s="572" t="str">
        <f t="shared" si="66"/>
        <v>OK</v>
      </c>
      <c r="W444" s="568" t="str">
        <f>VLOOKUP(A444,'[1]Raw data'!$B:$AG,32,FALSE)</f>
        <v>CIF HK</v>
      </c>
      <c r="X444" s="568">
        <f>VLOOKUP(A444,'[1]Raw data'!$B:$BA,31,FALSE)</f>
        <v>43978</v>
      </c>
      <c r="Y444" s="568" t="str">
        <f>VLOOKUP(A444,'[1]Raw data'!$B:$AS,39,FALSE)</f>
        <v>Yes</v>
      </c>
      <c r="AC444" s="568" t="s">
        <v>1023</v>
      </c>
      <c r="AD444" s="576">
        <v>301</v>
      </c>
      <c r="AE444" s="576">
        <v>20</v>
      </c>
      <c r="AN444" s="547"/>
      <c r="AO444" s="829" t="str">
        <f t="shared" si="58"/>
        <v>Yes</v>
      </c>
      <c r="AP444" s="259" t="str">
        <f t="shared" si="59"/>
        <v>JUN 20</v>
      </c>
      <c r="AQ444" s="547" t="str">
        <f t="shared" si="60"/>
        <v>有定金+有預留客戶</v>
      </c>
      <c r="AR444" s="259" t="str">
        <f t="shared" si="61"/>
        <v>Shipped_Stock</v>
      </c>
      <c r="AS444" s="259" t="str">
        <f t="shared" si="62"/>
        <v/>
      </c>
      <c r="AT444" s="259" t="str">
        <f t="shared" si="63"/>
        <v>兆晖</v>
      </c>
      <c r="AU444" s="259" t="str">
        <f t="shared" si="64"/>
        <v>C49SZX20200033DZ</v>
      </c>
      <c r="AV444" s="259" t="str">
        <f t="shared" si="65"/>
        <v>Jun-24</v>
      </c>
    </row>
    <row r="445" spans="1:48" hidden="1">
      <c r="A445" s="564">
        <v>650</v>
      </c>
      <c r="B445" s="669" t="s">
        <v>280</v>
      </c>
      <c r="C445" s="565" t="s">
        <v>281</v>
      </c>
      <c r="D445" s="604" t="s">
        <v>1021</v>
      </c>
      <c r="E445" s="568" t="s">
        <v>886</v>
      </c>
      <c r="F445" s="568" t="s">
        <v>256</v>
      </c>
      <c r="G445" s="568" t="s">
        <v>24</v>
      </c>
      <c r="H445" s="568" t="s">
        <v>26</v>
      </c>
      <c r="I445" s="594" t="s">
        <v>1026</v>
      </c>
      <c r="J445" s="580">
        <v>1</v>
      </c>
      <c r="K445" s="568" t="s">
        <v>311</v>
      </c>
      <c r="L445" s="662">
        <v>44006</v>
      </c>
      <c r="M445" s="581" t="s">
        <v>906</v>
      </c>
      <c r="N445" s="568" t="s">
        <v>903</v>
      </c>
      <c r="O445" s="569">
        <v>2020.06</v>
      </c>
      <c r="P445" s="571" t="str">
        <f>VLOOKUP(A445,'[1]Raw data'!$B:$BB,23,FALSE)</f>
        <v>JPY</v>
      </c>
      <c r="Q445" s="568" t="str">
        <f>VLOOKUP(A445,'[1]Raw data'!$B:$Z,2,FALSE)</f>
        <v>C49SZX20200033DZ</v>
      </c>
      <c r="R445" s="568" t="str">
        <f>VLOOKUP(A445,'[1]Raw data'!$B:$Z,3,FALSE)</f>
        <v>兆晖</v>
      </c>
      <c r="S445" s="568" t="str">
        <f>VLOOKUP(A445,'[1]Raw data'!$B:$Z,4,FALSE)</f>
        <v>YSM20R(SV)-2</v>
      </c>
      <c r="T445" s="568" t="str">
        <f>VLOOKUP(A445,'[1]Raw data'!$B:$Z,8,FALSE)</f>
        <v>L-&gt;R</v>
      </c>
      <c r="U445" s="568" t="str">
        <f>VLOOKUP(A445,'[1]Raw data'!$B:$Z,9,FALSE)</f>
        <v>No</v>
      </c>
      <c r="V445" s="572" t="str">
        <f t="shared" si="66"/>
        <v>OK</v>
      </c>
      <c r="W445" s="568" t="str">
        <f>VLOOKUP(A445,'[1]Raw data'!$B:$AG,32,FALSE)</f>
        <v>CIF HK</v>
      </c>
      <c r="X445" s="568">
        <f>VLOOKUP(A445,'[1]Raw data'!$B:$BA,31,FALSE)</f>
        <v>43978</v>
      </c>
      <c r="Y445" s="568" t="str">
        <f>VLOOKUP(A445,'[1]Raw data'!$B:$AS,39,FALSE)</f>
        <v>Yes</v>
      </c>
      <c r="AC445" s="568" t="s">
        <v>1023</v>
      </c>
      <c r="AD445" s="576">
        <v>301</v>
      </c>
      <c r="AE445" s="576">
        <v>20</v>
      </c>
      <c r="AN445" s="547"/>
      <c r="AO445" s="829" t="str">
        <f t="shared" si="58"/>
        <v>Yes</v>
      </c>
      <c r="AP445" s="259" t="str">
        <f t="shared" si="59"/>
        <v>JUN 20</v>
      </c>
      <c r="AQ445" s="547" t="str">
        <f t="shared" si="60"/>
        <v>有定金+有預留客戶</v>
      </c>
      <c r="AR445" s="259" t="str">
        <f t="shared" si="61"/>
        <v>Shipped_Stock</v>
      </c>
      <c r="AS445" s="259" t="str">
        <f t="shared" si="62"/>
        <v/>
      </c>
      <c r="AT445" s="259" t="str">
        <f t="shared" si="63"/>
        <v>兆晖</v>
      </c>
      <c r="AU445" s="259" t="str">
        <f t="shared" si="64"/>
        <v>C49SZX20200033DZ</v>
      </c>
      <c r="AV445" s="259" t="str">
        <f t="shared" si="65"/>
        <v>Jun-24</v>
      </c>
    </row>
    <row r="446" spans="1:48" hidden="1">
      <c r="A446" s="564">
        <v>675</v>
      </c>
      <c r="B446" s="565" t="s">
        <v>280</v>
      </c>
      <c r="C446" s="565" t="s">
        <v>281</v>
      </c>
      <c r="D446" s="604" t="s">
        <v>1021</v>
      </c>
      <c r="E446" s="568" t="s">
        <v>886</v>
      </c>
      <c r="F446" s="568" t="s">
        <v>256</v>
      </c>
      <c r="G446" s="568" t="s">
        <v>24</v>
      </c>
      <c r="H446" s="568" t="s">
        <v>26</v>
      </c>
      <c r="I446" s="594" t="s">
        <v>1027</v>
      </c>
      <c r="J446" s="580">
        <v>1</v>
      </c>
      <c r="K446" s="568" t="s">
        <v>311</v>
      </c>
      <c r="L446" s="662">
        <v>44006</v>
      </c>
      <c r="M446" s="581" t="s">
        <v>906</v>
      </c>
      <c r="N446" s="568" t="s">
        <v>300</v>
      </c>
      <c r="O446" s="569">
        <v>2020.06</v>
      </c>
      <c r="P446" s="571" t="str">
        <f>VLOOKUP(A446,'[1]Raw data'!$B:$BB,23,FALSE)</f>
        <v>JPY</v>
      </c>
      <c r="Q446" s="568" t="str">
        <f>VLOOKUP(A446,'[1]Raw data'!$B:$Z,2,FALSE)</f>
        <v>C49SZX20200081DZ</v>
      </c>
      <c r="R446" s="568" t="str">
        <f>VLOOKUP(A446,'[1]Raw data'!$B:$Z,3,FALSE)</f>
        <v>朗特</v>
      </c>
      <c r="S446" s="568" t="str">
        <f>VLOOKUP(A446,'[1]Raw data'!$B:$Z,4,FALSE)</f>
        <v>YSM20R(SV)-2</v>
      </c>
      <c r="T446" s="568" t="str">
        <f>VLOOKUP(A446,'[1]Raw data'!$B:$Z,8,FALSE)</f>
        <v>L-&gt;R</v>
      </c>
      <c r="U446" s="568" t="str">
        <f>VLOOKUP(A446,'[1]Raw data'!$B:$Z,9,FALSE)</f>
        <v>No</v>
      </c>
      <c r="V446" s="572" t="str">
        <f t="shared" si="66"/>
        <v>OK</v>
      </c>
      <c r="W446" s="568" t="str">
        <f>VLOOKUP(A446,'[1]Raw data'!$B:$AG,32,FALSE)</f>
        <v>CIF HK</v>
      </c>
      <c r="X446" s="568">
        <f>VLOOKUP(A446,'[1]Raw data'!$B:$BA,31,FALSE)</f>
        <v>44006</v>
      </c>
      <c r="Y446" s="568" t="str">
        <f>VLOOKUP(A446,'[1]Raw data'!$B:$AS,39,FALSE)</f>
        <v>Yes</v>
      </c>
      <c r="AC446" s="568" t="s">
        <v>933</v>
      </c>
      <c r="AD446" s="576">
        <v>311</v>
      </c>
      <c r="AE446" s="576">
        <v>10</v>
      </c>
      <c r="AF446" s="576">
        <v>312</v>
      </c>
      <c r="AG446" s="576">
        <v>10</v>
      </c>
      <c r="AN446" s="547"/>
      <c r="AO446" s="829" t="str">
        <f t="shared" si="58"/>
        <v>Yes</v>
      </c>
      <c r="AP446" s="259" t="str">
        <f t="shared" si="59"/>
        <v>JUL 20</v>
      </c>
      <c r="AQ446" s="547" t="str">
        <f t="shared" si="60"/>
        <v>有定金+有預留客戶</v>
      </c>
      <c r="AR446" s="259" t="str">
        <f t="shared" si="61"/>
        <v>Shipped_Stock</v>
      </c>
      <c r="AS446" s="259" t="str">
        <f t="shared" si="62"/>
        <v/>
      </c>
      <c r="AT446" s="259" t="str">
        <f t="shared" si="63"/>
        <v>朗特</v>
      </c>
      <c r="AU446" s="259" t="str">
        <f t="shared" si="64"/>
        <v>C49SZX20200081DZ</v>
      </c>
      <c r="AV446" s="259" t="str">
        <f t="shared" si="65"/>
        <v>Jun-24</v>
      </c>
    </row>
    <row r="447" spans="1:48" hidden="1">
      <c r="A447" s="564">
        <v>692</v>
      </c>
      <c r="B447" s="565" t="s">
        <v>280</v>
      </c>
      <c r="C447" s="565" t="s">
        <v>281</v>
      </c>
      <c r="D447" s="650" t="s">
        <v>1028</v>
      </c>
      <c r="E447" s="568" t="s">
        <v>886</v>
      </c>
      <c r="F447" s="652" t="s">
        <v>256</v>
      </c>
      <c r="G447" s="652" t="s">
        <v>24</v>
      </c>
      <c r="H447" s="652" t="s">
        <v>176</v>
      </c>
      <c r="I447" s="580" t="s">
        <v>1029</v>
      </c>
      <c r="J447" s="580">
        <v>1</v>
      </c>
      <c r="K447" s="652" t="s">
        <v>437</v>
      </c>
      <c r="L447" s="662">
        <v>44034</v>
      </c>
      <c r="M447" s="670" t="s">
        <v>1030</v>
      </c>
      <c r="N447" s="568" t="s">
        <v>930</v>
      </c>
      <c r="O447" s="569">
        <v>2020.07</v>
      </c>
      <c r="P447" s="571" t="str">
        <f>VLOOKUP(A447,'[1]Raw data'!$B:$BB,23,FALSE)</f>
        <v>JPY</v>
      </c>
      <c r="Q447" s="568" t="str">
        <f>VLOOKUP(A447,'[1]Raw data'!$B:$Z,2,FALSE)</f>
        <v>C49SZX20200116JL</v>
      </c>
      <c r="R447" s="568" t="str">
        <f>VLOOKUP(A447,'[1]Raw data'!$B:$Z,3,FALSE)</f>
        <v>德劲</v>
      </c>
      <c r="S447" s="568" t="str">
        <f>VLOOKUP(A447,'[1]Raw data'!$B:$Z,4,FALSE)</f>
        <v>YSM20R(SV)-2</v>
      </c>
      <c r="T447" s="568" t="str">
        <f>VLOOKUP(A447,'[1]Raw data'!$B:$Z,8,FALSE)</f>
        <v>L-&gt;R</v>
      </c>
      <c r="U447" s="568" t="str">
        <f>VLOOKUP(A447,'[1]Raw data'!$B:$Z,9,FALSE)</f>
        <v>cATS10+MVC</v>
      </c>
      <c r="V447" s="572" t="str">
        <f t="shared" si="66"/>
        <v>WRONG</v>
      </c>
      <c r="W447" s="568" t="str">
        <f>VLOOKUP(A447,'[1]Raw data'!$B:$AG,32,FALSE)</f>
        <v>DAP SZ</v>
      </c>
      <c r="X447" s="568">
        <f>VLOOKUP(A447,'[1]Raw data'!$B:$BA,31,FALSE)</f>
        <v>44018</v>
      </c>
      <c r="Y447" s="568" t="str">
        <f>VLOOKUP(A447,'[1]Raw data'!$B:$AS,39,FALSE)</f>
        <v>Yes</v>
      </c>
      <c r="Z447" s="664"/>
      <c r="AA447" s="665"/>
      <c r="AB447" s="666"/>
      <c r="AC447" s="652" t="s">
        <v>398</v>
      </c>
      <c r="AD447" s="667"/>
      <c r="AE447" s="667"/>
      <c r="AF447" s="667"/>
      <c r="AG447" s="667"/>
      <c r="AH447" s="667"/>
      <c r="AI447" s="668"/>
      <c r="AN447" s="547"/>
      <c r="AO447" s="829" t="str">
        <f t="shared" si="58"/>
        <v>Yes</v>
      </c>
      <c r="AP447" s="259" t="str">
        <f t="shared" si="59"/>
        <v>AUG 20</v>
      </c>
      <c r="AQ447" s="547" t="str">
        <f t="shared" si="60"/>
        <v>有定金+有預留客戶</v>
      </c>
      <c r="AR447" s="259" t="str">
        <f t="shared" si="61"/>
        <v>Shipped_Stock</v>
      </c>
      <c r="AS447" s="259" t="str">
        <f t="shared" si="62"/>
        <v/>
      </c>
      <c r="AT447" s="259" t="str">
        <f t="shared" si="63"/>
        <v>德劲</v>
      </c>
      <c r="AU447" s="259" t="str">
        <f t="shared" si="64"/>
        <v>C49SZX20200116JL</v>
      </c>
      <c r="AV447" s="259" t="str">
        <f t="shared" si="65"/>
        <v>Jul-22</v>
      </c>
    </row>
    <row r="448" spans="1:48" hidden="1">
      <c r="A448" s="564">
        <v>888</v>
      </c>
      <c r="B448" s="565" t="s">
        <v>927</v>
      </c>
      <c r="C448" s="568" t="s">
        <v>15</v>
      </c>
      <c r="D448" s="650" t="s">
        <v>1028</v>
      </c>
      <c r="E448" s="568" t="s">
        <v>886</v>
      </c>
      <c r="F448" s="652" t="s">
        <v>256</v>
      </c>
      <c r="G448" s="652" t="s">
        <v>24</v>
      </c>
      <c r="H448" s="652" t="s">
        <v>176</v>
      </c>
      <c r="I448" s="580" t="s">
        <v>1031</v>
      </c>
      <c r="J448" s="580">
        <v>1</v>
      </c>
      <c r="K448" s="652" t="s">
        <v>437</v>
      </c>
      <c r="L448" s="662">
        <v>44034</v>
      </c>
      <c r="M448" s="670" t="s">
        <v>1030</v>
      </c>
      <c r="N448" s="568" t="s">
        <v>1032</v>
      </c>
      <c r="O448" s="569">
        <v>2020.07</v>
      </c>
      <c r="P448" s="571" t="str">
        <f>VLOOKUP(A448,'[1]Raw data'!$B:$BB,23,FALSE)</f>
        <v>USD</v>
      </c>
      <c r="Q448" s="568" t="str">
        <f>VLOOKUP(A448,'[1]Raw data'!$B:$Z,2,FALSE)</f>
        <v>C49SZX20200193SX</v>
      </c>
      <c r="R448" s="568" t="str">
        <f>VLOOKUP(A448,'[1]Raw data'!$B:$Z,3,FALSE)</f>
        <v>晨鑫达</v>
      </c>
      <c r="S448" s="568" t="str">
        <f>VLOOKUP(A448,'[1]Raw data'!$B:$Z,4,FALSE)</f>
        <v>YSM20R(SV)-2</v>
      </c>
      <c r="T448" s="568" t="str">
        <f>VLOOKUP(A448,'[1]Raw data'!$B:$Z,8,FALSE)</f>
        <v>L-&gt;R</v>
      </c>
      <c r="U448" s="568" t="str">
        <f>VLOOKUP(A448,'[1]Raw data'!$B:$Z,9,FALSE)</f>
        <v>cATS10+MVC</v>
      </c>
      <c r="V448" s="572" t="str">
        <f t="shared" si="66"/>
        <v>WRONG</v>
      </c>
      <c r="W448" s="568" t="str">
        <f>VLOOKUP(A448,'[1]Raw data'!$B:$AG,32,FALSE)</f>
        <v>DAP SZ</v>
      </c>
      <c r="X448" s="568">
        <f>VLOOKUP(A448,'[1]Raw data'!$B:$BA,31,FALSE)</f>
        <v>44125</v>
      </c>
      <c r="Y448" s="568" t="str">
        <f>VLOOKUP(A448,'[1]Raw data'!$B:$AS,39,FALSE)</f>
        <v>Yes</v>
      </c>
      <c r="Z448" s="671"/>
      <c r="AA448" s="672"/>
      <c r="AB448" s="673"/>
      <c r="AC448" s="652" t="s">
        <v>1033</v>
      </c>
      <c r="AD448" s="667"/>
      <c r="AE448" s="667"/>
      <c r="AF448" s="667"/>
      <c r="AG448" s="667"/>
      <c r="AH448" s="667"/>
      <c r="AI448" s="668"/>
      <c r="AN448" s="547"/>
      <c r="AO448" s="829" t="str">
        <f t="shared" si="58"/>
        <v>Yes</v>
      </c>
      <c r="AP448" s="259" t="str">
        <f t="shared" si="59"/>
        <v>OCT 20</v>
      </c>
      <c r="AQ448" s="547" t="str">
        <f t="shared" si="60"/>
        <v>有定金+有預留客戶</v>
      </c>
      <c r="AR448" s="259" t="str">
        <f t="shared" si="61"/>
        <v>Shipped_Stock</v>
      </c>
      <c r="AS448" s="259" t="str">
        <f t="shared" si="62"/>
        <v/>
      </c>
      <c r="AT448" s="259" t="str">
        <f t="shared" si="63"/>
        <v>晨鑫达</v>
      </c>
      <c r="AU448" s="259" t="str">
        <f t="shared" si="64"/>
        <v>C49SZX20200193SX</v>
      </c>
      <c r="AV448" s="259" t="str">
        <f t="shared" si="65"/>
        <v>Jul-22</v>
      </c>
    </row>
    <row r="449" spans="1:48" hidden="1">
      <c r="A449" s="564">
        <v>704</v>
      </c>
      <c r="B449" s="669" t="s">
        <v>280</v>
      </c>
      <c r="C449" s="568" t="s">
        <v>15</v>
      </c>
      <c r="D449" s="650" t="s">
        <v>1034</v>
      </c>
      <c r="E449" s="568" t="s">
        <v>886</v>
      </c>
      <c r="F449" s="652" t="s">
        <v>256</v>
      </c>
      <c r="G449" s="652" t="s">
        <v>24</v>
      </c>
      <c r="H449" s="652" t="s">
        <v>26</v>
      </c>
      <c r="I449" s="580" t="s">
        <v>1035</v>
      </c>
      <c r="J449" s="580">
        <v>1</v>
      </c>
      <c r="K449" s="652" t="s">
        <v>437</v>
      </c>
      <c r="L449" s="662">
        <v>44034</v>
      </c>
      <c r="M449" s="670" t="s">
        <v>906</v>
      </c>
      <c r="N449" s="568" t="s">
        <v>300</v>
      </c>
      <c r="O449" s="569">
        <v>2020.07</v>
      </c>
      <c r="P449" s="571" t="str">
        <f>VLOOKUP(A449,'[1]Raw data'!$B:$BB,23,FALSE)</f>
        <v>JPY</v>
      </c>
      <c r="Q449" s="568" t="str">
        <f>VLOOKUP(A449,'[1]Raw data'!$B:$Z,2,FALSE)</f>
        <v>C49SZX20200068MZ</v>
      </c>
      <c r="R449" s="568" t="str">
        <f>VLOOKUP(A449,'[1]Raw data'!$B:$Z,3,FALSE)</f>
        <v>天星创展</v>
      </c>
      <c r="S449" s="568" t="str">
        <f>VLOOKUP(A449,'[1]Raw data'!$B:$Z,4,FALSE)</f>
        <v>YSM20R(SV)-2</v>
      </c>
      <c r="T449" s="568" t="str">
        <f>VLOOKUP(A449,'[1]Raw data'!$B:$Z,8,FALSE)</f>
        <v>L-&gt;R</v>
      </c>
      <c r="U449" s="568" t="str">
        <f>VLOOKUP(A449,'[1]Raw data'!$B:$Z,9,FALSE)</f>
        <v>No</v>
      </c>
      <c r="V449" s="572" t="str">
        <f t="shared" si="66"/>
        <v>OK</v>
      </c>
      <c r="W449" s="568" t="str">
        <f>VLOOKUP(A449,'[1]Raw data'!$B:$AG,32,FALSE)</f>
        <v>DAP SZ</v>
      </c>
      <c r="X449" s="568">
        <f>VLOOKUP(A449,'[1]Raw data'!$B:$BA,31,FALSE)</f>
        <v>44021</v>
      </c>
      <c r="Y449" s="568" t="str">
        <f>VLOOKUP(A449,'[1]Raw data'!$B:$AS,39,FALSE)</f>
        <v>Yes</v>
      </c>
      <c r="Z449" s="664"/>
      <c r="AA449" s="665"/>
      <c r="AB449" s="666"/>
      <c r="AC449" s="568" t="s">
        <v>591</v>
      </c>
      <c r="AD449" s="667"/>
      <c r="AE449" s="667"/>
      <c r="AF449" s="667"/>
      <c r="AG449" s="667"/>
      <c r="AH449" s="667"/>
      <c r="AI449" s="668"/>
      <c r="AN449" s="547"/>
      <c r="AO449" s="829" t="str">
        <f t="shared" si="58"/>
        <v>Yes</v>
      </c>
      <c r="AP449" s="259" t="str">
        <f t="shared" si="59"/>
        <v>JUL 20</v>
      </c>
      <c r="AQ449" s="547" t="str">
        <f t="shared" si="60"/>
        <v>有定金+有預留客戶</v>
      </c>
      <c r="AR449" s="259" t="str">
        <f t="shared" si="61"/>
        <v>Shipped_Stock</v>
      </c>
      <c r="AS449" s="259" t="str">
        <f t="shared" si="62"/>
        <v/>
      </c>
      <c r="AT449" s="259" t="str">
        <f t="shared" si="63"/>
        <v>天星创展</v>
      </c>
      <c r="AU449" s="259" t="str">
        <f t="shared" si="64"/>
        <v>C49SZX20200068MZ</v>
      </c>
      <c r="AV449" s="259" t="str">
        <f t="shared" si="65"/>
        <v>Jul-22</v>
      </c>
    </row>
    <row r="450" spans="1:48" hidden="1">
      <c r="A450" s="564">
        <v>686</v>
      </c>
      <c r="B450" s="669" t="s">
        <v>280</v>
      </c>
      <c r="C450" s="568" t="s">
        <v>15</v>
      </c>
      <c r="D450" s="650" t="s">
        <v>1034</v>
      </c>
      <c r="E450" s="568" t="s">
        <v>886</v>
      </c>
      <c r="F450" s="652" t="s">
        <v>256</v>
      </c>
      <c r="G450" s="652" t="s">
        <v>24</v>
      </c>
      <c r="H450" s="652" t="s">
        <v>26</v>
      </c>
      <c r="I450" s="580" t="s">
        <v>1036</v>
      </c>
      <c r="J450" s="580">
        <v>1</v>
      </c>
      <c r="K450" s="652" t="s">
        <v>437</v>
      </c>
      <c r="L450" s="662">
        <v>44034</v>
      </c>
      <c r="M450" s="670" t="s">
        <v>906</v>
      </c>
      <c r="N450" s="568" t="s">
        <v>300</v>
      </c>
      <c r="O450" s="569">
        <v>2020.07</v>
      </c>
      <c r="P450" s="571" t="str">
        <f>VLOOKUP(A450,'[1]Raw data'!$B:$BB,23,FALSE)</f>
        <v>JPY</v>
      </c>
      <c r="Q450" s="568" t="str">
        <f>VLOOKUP(A450,'[1]Raw data'!$B:$Z,2,FALSE)</f>
        <v>C49SZX20200070JY</v>
      </c>
      <c r="R450" s="568" t="str">
        <f>VLOOKUP(A450,'[1]Raw data'!$B:$Z,3,FALSE)</f>
        <v>惠州创荣发</v>
      </c>
      <c r="S450" s="568" t="str">
        <f>VLOOKUP(A450,'[1]Raw data'!$B:$Z,4,FALSE)</f>
        <v>YSM20R(SV)-2</v>
      </c>
      <c r="T450" s="568" t="str">
        <f>VLOOKUP(A450,'[1]Raw data'!$B:$Z,8,FALSE)</f>
        <v>L-&gt;R</v>
      </c>
      <c r="U450" s="568" t="str">
        <f>VLOOKUP(A450,'[1]Raw data'!$B:$Z,9,FALSE)</f>
        <v>No</v>
      </c>
      <c r="V450" s="572" t="str">
        <f t="shared" si="66"/>
        <v>OK</v>
      </c>
      <c r="W450" s="568" t="str">
        <f>VLOOKUP(A450,'[1]Raw data'!$B:$AG,32,FALSE)</f>
        <v>DAP HZ</v>
      </c>
      <c r="X450" s="568">
        <f>VLOOKUP(A450,'[1]Raw data'!$B:$BA,31,FALSE)</f>
        <v>44005</v>
      </c>
      <c r="Y450" s="568" t="str">
        <f>VLOOKUP(A450,'[1]Raw data'!$B:$AS,39,FALSE)</f>
        <v>Yes</v>
      </c>
      <c r="Z450" s="664"/>
      <c r="AA450" s="665"/>
      <c r="AB450" s="666"/>
      <c r="AC450" s="652" t="s">
        <v>915</v>
      </c>
      <c r="AD450" s="667"/>
      <c r="AE450" s="667"/>
      <c r="AF450" s="667"/>
      <c r="AG450" s="667"/>
      <c r="AH450" s="667"/>
      <c r="AI450" s="668"/>
      <c r="AN450" s="547"/>
      <c r="AO450" s="829" t="str">
        <f t="shared" si="58"/>
        <v>Yes</v>
      </c>
      <c r="AP450" s="259" t="str">
        <f t="shared" si="59"/>
        <v>JUL 20</v>
      </c>
      <c r="AQ450" s="547" t="str">
        <f t="shared" si="60"/>
        <v>有定金+有預留客戶</v>
      </c>
      <c r="AR450" s="259" t="str">
        <f t="shared" si="61"/>
        <v>Shipped_Stock</v>
      </c>
      <c r="AS450" s="259" t="str">
        <f t="shared" si="62"/>
        <v/>
      </c>
      <c r="AT450" s="259" t="str">
        <f t="shared" si="63"/>
        <v>惠州创荣发</v>
      </c>
      <c r="AU450" s="259" t="str">
        <f t="shared" si="64"/>
        <v>C49SZX20200070JY</v>
      </c>
      <c r="AV450" s="259" t="str">
        <f t="shared" si="65"/>
        <v>Jul-22</v>
      </c>
    </row>
    <row r="451" spans="1:48" hidden="1">
      <c r="A451" s="564">
        <v>727</v>
      </c>
      <c r="B451" s="565" t="s">
        <v>280</v>
      </c>
      <c r="C451" s="568" t="s">
        <v>15</v>
      </c>
      <c r="D451" s="650" t="s">
        <v>1034</v>
      </c>
      <c r="E451" s="568" t="s">
        <v>886</v>
      </c>
      <c r="F451" s="652" t="s">
        <v>256</v>
      </c>
      <c r="G451" s="652" t="s">
        <v>24</v>
      </c>
      <c r="H451" s="652" t="s">
        <v>26</v>
      </c>
      <c r="I451" s="580" t="s">
        <v>1037</v>
      </c>
      <c r="J451" s="580">
        <v>1</v>
      </c>
      <c r="K451" s="652" t="s">
        <v>437</v>
      </c>
      <c r="L451" s="662">
        <v>44034</v>
      </c>
      <c r="M451" s="670" t="s">
        <v>906</v>
      </c>
      <c r="N451" s="568" t="s">
        <v>930</v>
      </c>
      <c r="O451" s="569">
        <v>2020.07</v>
      </c>
      <c r="P451" s="571" t="str">
        <f>VLOOKUP(A451,'[1]Raw data'!$B:$BB,23,FALSE)</f>
        <v>JPY</v>
      </c>
      <c r="Q451" s="568" t="str">
        <f>VLOOKUP(A451,'[1]Raw data'!$B:$Z,2,FALSE)</f>
        <v>C49SZX20200106SS</v>
      </c>
      <c r="R451" s="568" t="str">
        <f>VLOOKUP(A451,'[1]Raw data'!$B:$Z,3,FALSE)</f>
        <v>泰鑫荣</v>
      </c>
      <c r="S451" s="568" t="str">
        <f>VLOOKUP(A451,'[1]Raw data'!$B:$Z,4,FALSE)</f>
        <v>YSM20R(SV)-2</v>
      </c>
      <c r="T451" s="568" t="str">
        <f>VLOOKUP(A451,'[1]Raw data'!$B:$Z,8,FALSE)</f>
        <v>L-&gt;R</v>
      </c>
      <c r="U451" s="568" t="str">
        <f>VLOOKUP(A451,'[1]Raw data'!$B:$Z,9,FALSE)</f>
        <v>MVC</v>
      </c>
      <c r="V451" s="572" t="str">
        <f t="shared" si="66"/>
        <v>WRONG</v>
      </c>
      <c r="W451" s="568" t="str">
        <f>VLOOKUP(A451,'[1]Raw data'!$B:$AG,32,FALSE)</f>
        <v>DAP SZ</v>
      </c>
      <c r="X451" s="568">
        <f>VLOOKUP(A451,'[1]Raw data'!$B:$BA,31,FALSE)</f>
        <v>44029</v>
      </c>
      <c r="Y451" s="568" t="str">
        <f>VLOOKUP(A451,'[1]Raw data'!$B:$AS,39,FALSE)</f>
        <v>Yes</v>
      </c>
      <c r="Z451" s="664"/>
      <c r="AA451" s="665"/>
      <c r="AB451" s="666"/>
      <c r="AC451" s="652" t="s">
        <v>1038</v>
      </c>
      <c r="AD451" s="667"/>
      <c r="AE451" s="667"/>
      <c r="AF451" s="667"/>
      <c r="AG451" s="667"/>
      <c r="AH451" s="667"/>
      <c r="AI451" s="668"/>
      <c r="AN451" s="547"/>
      <c r="AO451" s="829" t="str">
        <f t="shared" ref="AO451:AO514" si="67">IFERROR(IF(Y451&lt;&gt;"",Y451,"No"),"No")</f>
        <v>Yes</v>
      </c>
      <c r="AP451" s="259" t="str">
        <f t="shared" ref="AP451:AP514" si="68">IFERROR(IF(N451&lt;&gt;"",N451,"blank"),"NA")</f>
        <v>AUG 20</v>
      </c>
      <c r="AQ451" s="547" t="str">
        <f t="shared" ref="AQ451:AQ514" si="69">IFERROR(IF(AND(AO451="Yes", AP451&lt;&gt;"blank"), "有定金+有預留客戶", IF(AND(AO451="Yes", AP451="blank"), "有定金+无客戶送貨期", IF(AND(OR(AO451="No", ISBLANK(AO451), AO451="NA"), AP451&lt;&gt;"blank"), "无定金+有預留客戶", IF(AND(OR(AO451="No", ISBLANK(AO451), AO451="NA"), AP451="blank"), "无定金+无預留客戶", "")))), "")</f>
        <v>有定金+有預留客戶</v>
      </c>
      <c r="AR451" s="259" t="str">
        <f t="shared" ref="AR451:AR514" si="70">IFERROR(IF(B451="已经到货", "Instock", IF(B451="有交期", "Incoming_Stock_With_YAMAHA_Schedule", IF(B451="TBA.", "Incoming_Stock_No_YAMAHA_Schedule", IF(B451="已发货", "Shipped_Stock", "")))), "")</f>
        <v>Shipped_Stock</v>
      </c>
      <c r="AS451" s="259" t="str">
        <f t="shared" ref="AS451:AS514" si="71">IF(AND(B451="有交期", L451&lt;&gt;""), L451, "")</f>
        <v/>
      </c>
      <c r="AT451" s="259" t="str">
        <f t="shared" ref="AT451:AT514" si="72">IFERROR(IF(R451&lt;&gt;"",R451),"-")</f>
        <v>泰鑫荣</v>
      </c>
      <c r="AU451" s="259" t="str">
        <f t="shared" ref="AU451:AU514" si="73">IFERROR(IF(Q451&lt;&gt;"",Q451),"-")</f>
        <v>C49SZX20200106SS</v>
      </c>
      <c r="AV451" s="259" t="str">
        <f t="shared" ref="AV451:AV514" si="74">IF(L451="","-",TEXT(L451,"mmm-dd"))</f>
        <v>Jul-22</v>
      </c>
    </row>
    <row r="452" spans="1:48" hidden="1">
      <c r="A452" s="564">
        <v>673</v>
      </c>
      <c r="B452" s="669" t="s">
        <v>927</v>
      </c>
      <c r="C452" s="568" t="s">
        <v>15</v>
      </c>
      <c r="D452" s="650" t="s">
        <v>1039</v>
      </c>
      <c r="E452" s="568" t="s">
        <v>886</v>
      </c>
      <c r="F452" s="652" t="s">
        <v>256</v>
      </c>
      <c r="G452" s="652" t="s">
        <v>24</v>
      </c>
      <c r="H452" s="652" t="s">
        <v>26</v>
      </c>
      <c r="I452" s="580" t="s">
        <v>1040</v>
      </c>
      <c r="J452" s="580">
        <v>1</v>
      </c>
      <c r="K452" s="652" t="s">
        <v>437</v>
      </c>
      <c r="L452" s="662">
        <v>44034</v>
      </c>
      <c r="M452" s="581">
        <v>6.6100000000000006E-2</v>
      </c>
      <c r="N452" s="568" t="s">
        <v>930</v>
      </c>
      <c r="O452" s="569">
        <v>2020.07</v>
      </c>
      <c r="P452" s="571" t="str">
        <f>VLOOKUP(A452,'[1]Raw data'!$B:$BB,23,FALSE)</f>
        <v>RMB</v>
      </c>
      <c r="Q452" s="568" t="str">
        <f>VLOOKUP(A452,'[1]Raw data'!$B:$Z,2,FALSE)</f>
        <v>C49SZX20200079KW</v>
      </c>
      <c r="R452" s="568" t="str">
        <f>VLOOKUP(A452,'[1]Raw data'!$B:$Z,3,FALSE)</f>
        <v>晨日电子</v>
      </c>
      <c r="S452" s="568" t="str">
        <f>VLOOKUP(A452,'[1]Raw data'!$B:$Z,4,FALSE)</f>
        <v>YSM20R(SV)-2</v>
      </c>
      <c r="T452" s="568" t="str">
        <f>VLOOKUP(A452,'[1]Raw data'!$B:$Z,8,FALSE)</f>
        <v>L-&gt;R</v>
      </c>
      <c r="U452" s="568" t="str">
        <f>VLOOKUP(A452,'[1]Raw data'!$B:$Z,9,FALSE)</f>
        <v>No</v>
      </c>
      <c r="V452" s="572" t="str">
        <f t="shared" si="66"/>
        <v>OK</v>
      </c>
      <c r="W452" s="568" t="str">
        <f>VLOOKUP(A452,'[1]Raw data'!$B:$AG,32,FALSE)</f>
        <v>含税到厂</v>
      </c>
      <c r="X452" s="568">
        <f>VLOOKUP(A452,'[1]Raw data'!$B:$BA,31,FALSE)</f>
        <v>44005</v>
      </c>
      <c r="Y452" s="568" t="str">
        <f>VLOOKUP(A452,'[1]Raw data'!$B:$AS,39,FALSE)</f>
        <v>Yes</v>
      </c>
      <c r="Z452" s="664"/>
      <c r="AA452" s="665"/>
      <c r="AB452" s="666"/>
      <c r="AC452" s="652" t="s">
        <v>931</v>
      </c>
      <c r="AD452" s="667"/>
      <c r="AE452" s="667"/>
      <c r="AF452" s="667"/>
      <c r="AG452" s="667"/>
      <c r="AH452" s="667"/>
      <c r="AI452" s="668"/>
      <c r="AN452" s="547"/>
      <c r="AO452" s="829" t="str">
        <f t="shared" si="67"/>
        <v>Yes</v>
      </c>
      <c r="AP452" s="259" t="str">
        <f t="shared" si="68"/>
        <v>AUG 20</v>
      </c>
      <c r="AQ452" s="547" t="str">
        <f t="shared" si="69"/>
        <v>有定金+有預留客戶</v>
      </c>
      <c r="AR452" s="259" t="str">
        <f t="shared" si="70"/>
        <v>Shipped_Stock</v>
      </c>
      <c r="AS452" s="259" t="str">
        <f t="shared" si="71"/>
        <v/>
      </c>
      <c r="AT452" s="259" t="str">
        <f t="shared" si="72"/>
        <v>晨日电子</v>
      </c>
      <c r="AU452" s="259" t="str">
        <f t="shared" si="73"/>
        <v>C49SZX20200079KW</v>
      </c>
      <c r="AV452" s="259" t="str">
        <f t="shared" si="74"/>
        <v>Jul-22</v>
      </c>
    </row>
    <row r="453" spans="1:48" hidden="1">
      <c r="A453" s="564">
        <v>687</v>
      </c>
      <c r="B453" s="669" t="s">
        <v>280</v>
      </c>
      <c r="C453" s="568" t="s">
        <v>15</v>
      </c>
      <c r="D453" s="650">
        <v>109924</v>
      </c>
      <c r="E453" s="568" t="s">
        <v>886</v>
      </c>
      <c r="F453" s="652" t="s">
        <v>17</v>
      </c>
      <c r="G453" s="652" t="s">
        <v>18</v>
      </c>
      <c r="H453" s="652" t="s">
        <v>26</v>
      </c>
      <c r="I453" s="580" t="s">
        <v>1041</v>
      </c>
      <c r="J453" s="580">
        <v>1</v>
      </c>
      <c r="K453" s="652" t="s">
        <v>437</v>
      </c>
      <c r="L453" s="662">
        <v>44034</v>
      </c>
      <c r="M453" s="581" t="s">
        <v>906</v>
      </c>
      <c r="N453" s="568" t="s">
        <v>300</v>
      </c>
      <c r="O453" s="568">
        <v>2020.07</v>
      </c>
      <c r="P453" s="571" t="str">
        <f>VLOOKUP(A453,'[1]Raw data'!$B:$BB,23,FALSE)</f>
        <v>JPY</v>
      </c>
      <c r="Q453" s="568" t="str">
        <f>VLOOKUP(A453,'[1]Raw data'!$B:$Z,2,FALSE)</f>
        <v>C49SZX20200070JY</v>
      </c>
      <c r="R453" s="568" t="str">
        <f>VLOOKUP(A453,'[1]Raw data'!$B:$Z,3,FALSE)</f>
        <v>惠州创荣发</v>
      </c>
      <c r="S453" s="568" t="str">
        <f>VLOOKUP(A453,'[1]Raw data'!$B:$Z,4,FALSE)</f>
        <v>YSM10</v>
      </c>
      <c r="T453" s="568" t="str">
        <f>VLOOKUP(A453,'[1]Raw data'!$B:$Z,8,FALSE)</f>
        <v>L-&gt;R</v>
      </c>
      <c r="U453" s="568" t="str">
        <f>VLOOKUP(A453,'[1]Raw data'!$B:$Z,9,FALSE)</f>
        <v>MVC</v>
      </c>
      <c r="V453" s="572" t="str">
        <f t="shared" si="66"/>
        <v>WRONG</v>
      </c>
      <c r="W453" s="568" t="str">
        <f>VLOOKUP(A453,'[1]Raw data'!$B:$AG,32,FALSE)</f>
        <v>DAP HZ</v>
      </c>
      <c r="X453" s="568">
        <f>VLOOKUP(A453,'[1]Raw data'!$B:$BA,31,FALSE)</f>
        <v>44005</v>
      </c>
      <c r="Y453" s="568" t="str">
        <f>VLOOKUP(A453,'[1]Raw data'!$B:$AS,39,FALSE)</f>
        <v>Yes</v>
      </c>
      <c r="Z453" s="664"/>
      <c r="AA453" s="665"/>
      <c r="AB453" s="666"/>
      <c r="AC453" s="652" t="s">
        <v>915</v>
      </c>
      <c r="AD453" s="667">
        <v>301</v>
      </c>
      <c r="AE453" s="667">
        <v>10</v>
      </c>
      <c r="AF453" s="667"/>
      <c r="AG453" s="667"/>
      <c r="AH453" s="667"/>
      <c r="AI453" s="668"/>
      <c r="AN453" s="547"/>
      <c r="AO453" s="829" t="str">
        <f t="shared" si="67"/>
        <v>Yes</v>
      </c>
      <c r="AP453" s="259" t="str">
        <f t="shared" si="68"/>
        <v>JUL 20</v>
      </c>
      <c r="AQ453" s="547" t="str">
        <f t="shared" si="69"/>
        <v>有定金+有預留客戶</v>
      </c>
      <c r="AR453" s="259" t="str">
        <f t="shared" si="70"/>
        <v>Shipped_Stock</v>
      </c>
      <c r="AS453" s="259" t="str">
        <f t="shared" si="71"/>
        <v/>
      </c>
      <c r="AT453" s="259" t="str">
        <f t="shared" si="72"/>
        <v>惠州创荣发</v>
      </c>
      <c r="AU453" s="259" t="str">
        <f t="shared" si="73"/>
        <v>C49SZX20200070JY</v>
      </c>
      <c r="AV453" s="259" t="str">
        <f t="shared" si="74"/>
        <v>Jul-22</v>
      </c>
    </row>
    <row r="454" spans="1:48" hidden="1">
      <c r="A454" s="564">
        <v>688</v>
      </c>
      <c r="B454" s="669" t="s">
        <v>280</v>
      </c>
      <c r="C454" s="568" t="s">
        <v>15</v>
      </c>
      <c r="D454" s="650">
        <v>109924</v>
      </c>
      <c r="E454" s="568" t="s">
        <v>886</v>
      </c>
      <c r="F454" s="652" t="s">
        <v>17</v>
      </c>
      <c r="G454" s="652" t="s">
        <v>18</v>
      </c>
      <c r="H454" s="652" t="s">
        <v>26</v>
      </c>
      <c r="I454" s="580" t="s">
        <v>1042</v>
      </c>
      <c r="J454" s="580">
        <v>1</v>
      </c>
      <c r="K454" s="652" t="s">
        <v>437</v>
      </c>
      <c r="L454" s="662">
        <v>44034</v>
      </c>
      <c r="M454" s="581" t="s">
        <v>906</v>
      </c>
      <c r="N454" s="568" t="s">
        <v>300</v>
      </c>
      <c r="O454" s="568">
        <v>2020.07</v>
      </c>
      <c r="P454" s="571" t="str">
        <f>VLOOKUP(A454,'[1]Raw data'!$B:$BB,23,FALSE)</f>
        <v>JPY</v>
      </c>
      <c r="Q454" s="568" t="str">
        <f>VLOOKUP(A454,'[1]Raw data'!$B:$Z,2,FALSE)</f>
        <v>C49SZX20200070JY</v>
      </c>
      <c r="R454" s="568" t="str">
        <f>VLOOKUP(A454,'[1]Raw data'!$B:$Z,3,FALSE)</f>
        <v>惠州创荣发</v>
      </c>
      <c r="S454" s="568" t="str">
        <f>VLOOKUP(A454,'[1]Raw data'!$B:$Z,4,FALSE)</f>
        <v>YSM10</v>
      </c>
      <c r="T454" s="568" t="str">
        <f>VLOOKUP(A454,'[1]Raw data'!$B:$Z,8,FALSE)</f>
        <v>L-&gt;R</v>
      </c>
      <c r="U454" s="568" t="str">
        <f>VLOOKUP(A454,'[1]Raw data'!$B:$Z,9,FALSE)</f>
        <v>MVC</v>
      </c>
      <c r="V454" s="572" t="str">
        <f t="shared" si="66"/>
        <v>WRONG</v>
      </c>
      <c r="W454" s="568" t="str">
        <f>VLOOKUP(A454,'[1]Raw data'!$B:$AG,32,FALSE)</f>
        <v>DAP HZ</v>
      </c>
      <c r="X454" s="568">
        <f>VLOOKUP(A454,'[1]Raw data'!$B:$BA,31,FALSE)</f>
        <v>44005</v>
      </c>
      <c r="Y454" s="568" t="str">
        <f>VLOOKUP(A454,'[1]Raw data'!$B:$AS,39,FALSE)</f>
        <v>Yes</v>
      </c>
      <c r="Z454" s="664"/>
      <c r="AA454" s="665"/>
      <c r="AB454" s="666"/>
      <c r="AC454" s="652" t="s">
        <v>915</v>
      </c>
      <c r="AD454" s="667">
        <v>301</v>
      </c>
      <c r="AE454" s="667">
        <v>10</v>
      </c>
      <c r="AF454" s="667"/>
      <c r="AG454" s="667"/>
      <c r="AH454" s="667"/>
      <c r="AI454" s="668"/>
      <c r="AN454" s="547"/>
      <c r="AO454" s="829" t="str">
        <f t="shared" si="67"/>
        <v>Yes</v>
      </c>
      <c r="AP454" s="259" t="str">
        <f t="shared" si="68"/>
        <v>JUL 20</v>
      </c>
      <c r="AQ454" s="547" t="str">
        <f t="shared" si="69"/>
        <v>有定金+有預留客戶</v>
      </c>
      <c r="AR454" s="259" t="str">
        <f t="shared" si="70"/>
        <v>Shipped_Stock</v>
      </c>
      <c r="AS454" s="259" t="str">
        <f t="shared" si="71"/>
        <v/>
      </c>
      <c r="AT454" s="259" t="str">
        <f t="shared" si="72"/>
        <v>惠州创荣发</v>
      </c>
      <c r="AU454" s="259" t="str">
        <f t="shared" si="73"/>
        <v>C49SZX20200070JY</v>
      </c>
      <c r="AV454" s="259" t="str">
        <f t="shared" si="74"/>
        <v>Jul-22</v>
      </c>
    </row>
    <row r="455" spans="1:48" hidden="1">
      <c r="A455" s="564">
        <v>691</v>
      </c>
      <c r="B455" s="669" t="s">
        <v>927</v>
      </c>
      <c r="C455" s="568" t="s">
        <v>15</v>
      </c>
      <c r="D455" s="650">
        <v>109924</v>
      </c>
      <c r="E455" s="568" t="s">
        <v>886</v>
      </c>
      <c r="F455" s="652" t="s">
        <v>17</v>
      </c>
      <c r="G455" s="652" t="s">
        <v>18</v>
      </c>
      <c r="H455" s="652" t="s">
        <v>26</v>
      </c>
      <c r="I455" s="580" t="s">
        <v>1043</v>
      </c>
      <c r="J455" s="580">
        <v>1</v>
      </c>
      <c r="K455" s="652" t="s">
        <v>437</v>
      </c>
      <c r="L455" s="662">
        <v>44034</v>
      </c>
      <c r="M455" s="581" t="s">
        <v>906</v>
      </c>
      <c r="N455" s="568" t="s">
        <v>300</v>
      </c>
      <c r="O455" s="568">
        <v>2020.07</v>
      </c>
      <c r="P455" s="571" t="str">
        <f>VLOOKUP(A455,'[1]Raw data'!$B:$BB,23,FALSE)</f>
        <v>JPY</v>
      </c>
      <c r="Q455" s="568" t="str">
        <f>VLOOKUP(A455,'[1]Raw data'!$B:$Z,2,FALSE)</f>
        <v>C49SZX20200072JY</v>
      </c>
      <c r="R455" s="568" t="str">
        <f>VLOOKUP(A455,'[1]Raw data'!$B:$Z,3,FALSE)</f>
        <v>百施达</v>
      </c>
      <c r="S455" s="568" t="str">
        <f>VLOOKUP(A455,'[1]Raw data'!$B:$Z,4,FALSE)</f>
        <v>YSM10</v>
      </c>
      <c r="T455" s="568" t="str">
        <f>VLOOKUP(A455,'[1]Raw data'!$B:$Z,8,FALSE)</f>
        <v>L-&gt;R</v>
      </c>
      <c r="U455" s="568" t="str">
        <f>VLOOKUP(A455,'[1]Raw data'!$B:$Z,9,FALSE)</f>
        <v>MVC</v>
      </c>
      <c r="V455" s="572" t="str">
        <f t="shared" si="66"/>
        <v>WRONG</v>
      </c>
      <c r="W455" s="568" t="str">
        <f>VLOOKUP(A455,'[1]Raw data'!$B:$AG,32,FALSE)</f>
        <v>DAP DG</v>
      </c>
      <c r="X455" s="568">
        <f>VLOOKUP(A455,'[1]Raw data'!$B:$BA,31,FALSE)</f>
        <v>44014</v>
      </c>
      <c r="Y455" s="568" t="str">
        <f>VLOOKUP(A455,'[1]Raw data'!$B:$AS,39,FALSE)</f>
        <v>Yes</v>
      </c>
      <c r="Z455" s="664"/>
      <c r="AA455" s="665"/>
      <c r="AB455" s="666"/>
      <c r="AC455" s="652" t="s">
        <v>1044</v>
      </c>
      <c r="AD455" s="667">
        <v>301</v>
      </c>
      <c r="AE455" s="667">
        <v>10</v>
      </c>
      <c r="AF455" s="667"/>
      <c r="AG455" s="667"/>
      <c r="AH455" s="667"/>
      <c r="AI455" s="668"/>
      <c r="AN455" s="547"/>
      <c r="AO455" s="829" t="str">
        <f t="shared" si="67"/>
        <v>Yes</v>
      </c>
      <c r="AP455" s="259" t="str">
        <f t="shared" si="68"/>
        <v>JUL 20</v>
      </c>
      <c r="AQ455" s="547" t="str">
        <f t="shared" si="69"/>
        <v>有定金+有預留客戶</v>
      </c>
      <c r="AR455" s="259" t="str">
        <f t="shared" si="70"/>
        <v>Shipped_Stock</v>
      </c>
      <c r="AS455" s="259" t="str">
        <f t="shared" si="71"/>
        <v/>
      </c>
      <c r="AT455" s="259" t="str">
        <f t="shared" si="72"/>
        <v>百施达</v>
      </c>
      <c r="AU455" s="259" t="str">
        <f t="shared" si="73"/>
        <v>C49SZX20200072JY</v>
      </c>
      <c r="AV455" s="259" t="str">
        <f t="shared" si="74"/>
        <v>Jul-22</v>
      </c>
    </row>
    <row r="456" spans="1:48" hidden="1">
      <c r="A456" s="564">
        <v>709</v>
      </c>
      <c r="B456" s="669" t="s">
        <v>280</v>
      </c>
      <c r="C456" s="568" t="s">
        <v>15</v>
      </c>
      <c r="D456" s="650">
        <v>109924</v>
      </c>
      <c r="E456" s="568" t="s">
        <v>886</v>
      </c>
      <c r="F456" s="652" t="s">
        <v>17</v>
      </c>
      <c r="G456" s="652" t="s">
        <v>18</v>
      </c>
      <c r="H456" s="652" t="s">
        <v>26</v>
      </c>
      <c r="I456" s="580" t="s">
        <v>1045</v>
      </c>
      <c r="J456" s="580">
        <v>1</v>
      </c>
      <c r="K456" s="652" t="s">
        <v>437</v>
      </c>
      <c r="L456" s="662">
        <v>44034</v>
      </c>
      <c r="M456" s="581" t="s">
        <v>906</v>
      </c>
      <c r="N456" s="568" t="s">
        <v>300</v>
      </c>
      <c r="O456" s="568">
        <v>2020.07</v>
      </c>
      <c r="P456" s="571" t="str">
        <f>VLOOKUP(A456,'[1]Raw data'!$B:$BB,23,FALSE)</f>
        <v>JPY</v>
      </c>
      <c r="Q456" s="568" t="str">
        <f>VLOOKUP(A456,'[1]Raw data'!$B:$Z,2,FALSE)</f>
        <v>C49SZX20200098ZX</v>
      </c>
      <c r="R456" s="568" t="str">
        <f>VLOOKUP(A456,'[1]Raw data'!$B:$Z,3,FALSE)</f>
        <v>格美通</v>
      </c>
      <c r="S456" s="568" t="str">
        <f>VLOOKUP(A456,'[1]Raw data'!$B:$Z,4,FALSE)</f>
        <v>YSM10</v>
      </c>
      <c r="T456" s="568" t="str">
        <f>VLOOKUP(A456,'[1]Raw data'!$B:$Z,8,FALSE)</f>
        <v>L-&gt;R</v>
      </c>
      <c r="U456" s="568" t="str">
        <f>VLOOKUP(A456,'[1]Raw data'!$B:$Z,9,FALSE)</f>
        <v>MVC</v>
      </c>
      <c r="V456" s="572" t="str">
        <f t="shared" si="66"/>
        <v>WRONG</v>
      </c>
      <c r="W456" s="568" t="str">
        <f>VLOOKUP(A456,'[1]Raw data'!$B:$AG,32,FALSE)</f>
        <v>DAP SZ</v>
      </c>
      <c r="X456" s="568">
        <f>VLOOKUP(A456,'[1]Raw data'!$B:$BA,31,FALSE)</f>
        <v>44026</v>
      </c>
      <c r="Y456" s="568" t="str">
        <f>VLOOKUP(A456,'[1]Raw data'!$B:$AS,39,FALSE)</f>
        <v>Yes</v>
      </c>
      <c r="Z456" s="664"/>
      <c r="AA456" s="665"/>
      <c r="AB456" s="666"/>
      <c r="AC456" s="652" t="s">
        <v>1046</v>
      </c>
      <c r="AD456" s="667">
        <v>301</v>
      </c>
      <c r="AE456" s="667">
        <v>10</v>
      </c>
      <c r="AF456" s="667"/>
      <c r="AG456" s="667"/>
      <c r="AH456" s="667"/>
      <c r="AI456" s="668"/>
      <c r="AN456" s="547"/>
      <c r="AO456" s="829" t="str">
        <f t="shared" si="67"/>
        <v>Yes</v>
      </c>
      <c r="AP456" s="259" t="str">
        <f t="shared" si="68"/>
        <v>JUL 20</v>
      </c>
      <c r="AQ456" s="547" t="str">
        <f t="shared" si="69"/>
        <v>有定金+有預留客戶</v>
      </c>
      <c r="AR456" s="259" t="str">
        <f t="shared" si="70"/>
        <v>Shipped_Stock</v>
      </c>
      <c r="AS456" s="259" t="str">
        <f t="shared" si="71"/>
        <v/>
      </c>
      <c r="AT456" s="259" t="str">
        <f t="shared" si="72"/>
        <v>格美通</v>
      </c>
      <c r="AU456" s="259" t="str">
        <f t="shared" si="73"/>
        <v>C49SZX20200098ZX</v>
      </c>
      <c r="AV456" s="259" t="str">
        <f t="shared" si="74"/>
        <v>Jul-22</v>
      </c>
    </row>
    <row r="457" spans="1:48" hidden="1">
      <c r="A457" s="564">
        <v>733</v>
      </c>
      <c r="B457" s="669" t="s">
        <v>927</v>
      </c>
      <c r="C457" s="568" t="s">
        <v>15</v>
      </c>
      <c r="D457" s="650" t="s">
        <v>1047</v>
      </c>
      <c r="E457" s="568" t="s">
        <v>886</v>
      </c>
      <c r="F457" s="652" t="s">
        <v>17</v>
      </c>
      <c r="G457" s="652" t="s">
        <v>18</v>
      </c>
      <c r="H457" s="652" t="s">
        <v>26</v>
      </c>
      <c r="I457" s="580" t="s">
        <v>1048</v>
      </c>
      <c r="J457" s="580">
        <v>1</v>
      </c>
      <c r="K457" s="652" t="s">
        <v>295</v>
      </c>
      <c r="L457" s="662">
        <v>44034</v>
      </c>
      <c r="M457" s="581">
        <v>6.6100000000000006E-2</v>
      </c>
      <c r="N457" s="652" t="s">
        <v>300</v>
      </c>
      <c r="O457" s="652">
        <v>2020.07</v>
      </c>
      <c r="P457" s="571" t="str">
        <f>VLOOKUP(A457,'[1]Raw data'!$B:$BB,23,FALSE)</f>
        <v>RMB</v>
      </c>
      <c r="Q457" s="568" t="str">
        <f>VLOOKUP(A457,'[1]Raw data'!$B:$Z,2,FALSE)</f>
        <v>C49SZX20200097JY</v>
      </c>
      <c r="R457" s="568" t="str">
        <f>VLOOKUP(A457,'[1]Raw data'!$B:$Z,3,FALSE)</f>
        <v>辉拓（end user：海纳科）</v>
      </c>
      <c r="S457" s="568" t="str">
        <f>VLOOKUP(A457,'[1]Raw data'!$B:$Z,4,FALSE)</f>
        <v>YSM10</v>
      </c>
      <c r="T457" s="568" t="str">
        <f>VLOOKUP(A457,'[1]Raw data'!$B:$Z,8,FALSE)</f>
        <v>L-&gt;R</v>
      </c>
      <c r="U457" s="568" t="str">
        <f>VLOOKUP(A457,'[1]Raw data'!$B:$Z,9,FALSE)</f>
        <v>MVC</v>
      </c>
      <c r="V457" s="572" t="str">
        <f t="shared" si="66"/>
        <v>WRONG</v>
      </c>
      <c r="W457" s="568" t="str">
        <f>VLOOKUP(A457,'[1]Raw data'!$B:$AG,32,FALSE)</f>
        <v>含税到厂</v>
      </c>
      <c r="X457" s="568">
        <f>VLOOKUP(A457,'[1]Raw data'!$B:$BA,31,FALSE)</f>
        <v>44032</v>
      </c>
      <c r="Y457" s="568" t="str">
        <f>VLOOKUP(A457,'[1]Raw data'!$B:$AS,39,FALSE)</f>
        <v>Yes</v>
      </c>
      <c r="Z457" s="664"/>
      <c r="AA457" s="665"/>
      <c r="AB457" s="666"/>
      <c r="AC457" s="652" t="s">
        <v>1049</v>
      </c>
      <c r="AD457" s="667">
        <v>301</v>
      </c>
      <c r="AE457" s="667">
        <v>10</v>
      </c>
      <c r="AF457" s="667"/>
      <c r="AG457" s="667"/>
      <c r="AH457" s="667"/>
      <c r="AI457" s="668"/>
      <c r="AN457" s="547"/>
      <c r="AO457" s="829" t="str">
        <f t="shared" si="67"/>
        <v>Yes</v>
      </c>
      <c r="AP457" s="259" t="str">
        <f t="shared" si="68"/>
        <v>JUL 20</v>
      </c>
      <c r="AQ457" s="547" t="str">
        <f t="shared" si="69"/>
        <v>有定金+有預留客戶</v>
      </c>
      <c r="AR457" s="259" t="str">
        <f t="shared" si="70"/>
        <v>Shipped_Stock</v>
      </c>
      <c r="AS457" s="259" t="str">
        <f t="shared" si="71"/>
        <v/>
      </c>
      <c r="AT457" s="259" t="str">
        <f t="shared" si="72"/>
        <v>辉拓（end user：海纳科）</v>
      </c>
      <c r="AU457" s="259" t="str">
        <f t="shared" si="73"/>
        <v>C49SZX20200097JY</v>
      </c>
      <c r="AV457" s="259" t="str">
        <f t="shared" si="74"/>
        <v>Jul-22</v>
      </c>
    </row>
    <row r="458" spans="1:48" hidden="1">
      <c r="A458" s="564">
        <v>710</v>
      </c>
      <c r="B458" s="669" t="s">
        <v>280</v>
      </c>
      <c r="C458" s="568" t="s">
        <v>15</v>
      </c>
      <c r="D458" s="650" t="s">
        <v>1047</v>
      </c>
      <c r="E458" s="568" t="s">
        <v>886</v>
      </c>
      <c r="F458" s="652" t="s">
        <v>17</v>
      </c>
      <c r="G458" s="652" t="s">
        <v>18</v>
      </c>
      <c r="H458" s="652" t="s">
        <v>26</v>
      </c>
      <c r="I458" s="580" t="s">
        <v>1050</v>
      </c>
      <c r="J458" s="580">
        <v>1</v>
      </c>
      <c r="K458" s="652" t="s">
        <v>437</v>
      </c>
      <c r="L458" s="662">
        <v>44034</v>
      </c>
      <c r="M458" s="581">
        <v>6.6100000000000006E-2</v>
      </c>
      <c r="N458" s="652" t="s">
        <v>300</v>
      </c>
      <c r="O458" s="568">
        <v>2020.07</v>
      </c>
      <c r="P458" s="571" t="str">
        <f>VLOOKUP(A458,'[1]Raw data'!$B:$BB,23,FALSE)</f>
        <v>JPY</v>
      </c>
      <c r="Q458" s="568" t="str">
        <f>VLOOKUP(A458,'[1]Raw data'!$B:$Z,2,FALSE)</f>
        <v>C49SZX20200098ZX</v>
      </c>
      <c r="R458" s="568" t="str">
        <f>VLOOKUP(A458,'[1]Raw data'!$B:$Z,3,FALSE)</f>
        <v>格美通</v>
      </c>
      <c r="S458" s="568" t="str">
        <f>VLOOKUP(A458,'[1]Raw data'!$B:$Z,4,FALSE)</f>
        <v>YSM10</v>
      </c>
      <c r="T458" s="568" t="str">
        <f>VLOOKUP(A458,'[1]Raw data'!$B:$Z,8,FALSE)</f>
        <v>L-&gt;R</v>
      </c>
      <c r="U458" s="568" t="str">
        <f>VLOOKUP(A458,'[1]Raw data'!$B:$Z,9,FALSE)</f>
        <v>MVC</v>
      </c>
      <c r="V458" s="572" t="str">
        <f t="shared" si="66"/>
        <v>WRONG</v>
      </c>
      <c r="W458" s="568" t="str">
        <f>VLOOKUP(A458,'[1]Raw data'!$B:$AG,32,FALSE)</f>
        <v>DAP SZ</v>
      </c>
      <c r="X458" s="568">
        <f>VLOOKUP(A458,'[1]Raw data'!$B:$BA,31,FALSE)</f>
        <v>44026</v>
      </c>
      <c r="Y458" s="568" t="str">
        <f>VLOOKUP(A458,'[1]Raw data'!$B:$AS,39,FALSE)</f>
        <v>Yes</v>
      </c>
      <c r="Z458" s="664"/>
      <c r="AA458" s="665"/>
      <c r="AB458" s="666"/>
      <c r="AC458" s="652" t="s">
        <v>1046</v>
      </c>
      <c r="AD458" s="667">
        <v>301</v>
      </c>
      <c r="AE458" s="667">
        <v>10</v>
      </c>
      <c r="AF458" s="667"/>
      <c r="AG458" s="667"/>
      <c r="AH458" s="667"/>
      <c r="AI458" s="668"/>
      <c r="AN458" s="547"/>
      <c r="AO458" s="829" t="str">
        <f t="shared" si="67"/>
        <v>Yes</v>
      </c>
      <c r="AP458" s="259" t="str">
        <f t="shared" si="68"/>
        <v>JUL 20</v>
      </c>
      <c r="AQ458" s="547" t="str">
        <f t="shared" si="69"/>
        <v>有定金+有預留客戶</v>
      </c>
      <c r="AR458" s="259" t="str">
        <f t="shared" si="70"/>
        <v>Shipped_Stock</v>
      </c>
      <c r="AS458" s="259" t="str">
        <f t="shared" si="71"/>
        <v/>
      </c>
      <c r="AT458" s="259" t="str">
        <f t="shared" si="72"/>
        <v>格美通</v>
      </c>
      <c r="AU458" s="259" t="str">
        <f t="shared" si="73"/>
        <v>C49SZX20200098ZX</v>
      </c>
      <c r="AV458" s="259" t="str">
        <f t="shared" si="74"/>
        <v>Jul-22</v>
      </c>
    </row>
    <row r="459" spans="1:48" hidden="1">
      <c r="A459" s="564">
        <v>679</v>
      </c>
      <c r="B459" s="669" t="s">
        <v>927</v>
      </c>
      <c r="C459" s="568" t="s">
        <v>15</v>
      </c>
      <c r="D459" s="650" t="s">
        <v>1047</v>
      </c>
      <c r="E459" s="568" t="s">
        <v>886</v>
      </c>
      <c r="F459" s="652" t="s">
        <v>17</v>
      </c>
      <c r="G459" s="652" t="s">
        <v>18</v>
      </c>
      <c r="H459" s="652" t="s">
        <v>26</v>
      </c>
      <c r="I459" s="580" t="s">
        <v>1051</v>
      </c>
      <c r="J459" s="580">
        <v>1</v>
      </c>
      <c r="K459" s="652" t="s">
        <v>437</v>
      </c>
      <c r="L459" s="662">
        <v>44034</v>
      </c>
      <c r="M459" s="581">
        <v>6.6100000000000006E-2</v>
      </c>
      <c r="N459" s="652" t="s">
        <v>300</v>
      </c>
      <c r="O459" s="652">
        <v>2020.07</v>
      </c>
      <c r="P459" s="571" t="str">
        <f>VLOOKUP(A459,'[1]Raw data'!$B:$BB,23,FALSE)</f>
        <v>RMB</v>
      </c>
      <c r="Q459" s="568" t="str">
        <f>VLOOKUP(A459,'[1]Raw data'!$B:$Z,2,FALSE)</f>
        <v>C49SZX20200085JL</v>
      </c>
      <c r="R459" s="568" t="str">
        <f>VLOOKUP(A459,'[1]Raw data'!$B:$Z,3,FALSE)</f>
        <v>达人高科</v>
      </c>
      <c r="S459" s="568" t="str">
        <f>VLOOKUP(A459,'[1]Raw data'!$B:$Z,4,FALSE)</f>
        <v>YSM10</v>
      </c>
      <c r="T459" s="568" t="str">
        <f>VLOOKUP(A459,'[1]Raw data'!$B:$Z,8,FALSE)</f>
        <v>L-&gt;R</v>
      </c>
      <c r="U459" s="568" t="str">
        <f>VLOOKUP(A459,'[1]Raw data'!$B:$Z,9,FALSE)</f>
        <v>MVC</v>
      </c>
      <c r="V459" s="572" t="str">
        <f t="shared" si="66"/>
        <v>WRONG</v>
      </c>
      <c r="W459" s="568" t="str">
        <f>VLOOKUP(A459,'[1]Raw data'!$B:$AG,32,FALSE)</f>
        <v>含税到厂</v>
      </c>
      <c r="X459" s="568">
        <f>VLOOKUP(A459,'[1]Raw data'!$B:$BA,31,FALSE)</f>
        <v>44006</v>
      </c>
      <c r="Y459" s="568" t="str">
        <f>VLOOKUP(A459,'[1]Raw data'!$B:$AS,39,FALSE)</f>
        <v>Yes</v>
      </c>
      <c r="Z459" s="664"/>
      <c r="AA459" s="665"/>
      <c r="AB459" s="666"/>
      <c r="AC459" s="652" t="s">
        <v>1011</v>
      </c>
      <c r="AD459" s="667">
        <v>302</v>
      </c>
      <c r="AE459" s="667">
        <v>10</v>
      </c>
      <c r="AF459" s="667"/>
      <c r="AG459" s="667"/>
      <c r="AH459" s="667"/>
      <c r="AI459" s="668"/>
      <c r="AN459" s="547"/>
      <c r="AO459" s="829" t="str">
        <f t="shared" si="67"/>
        <v>Yes</v>
      </c>
      <c r="AP459" s="259" t="str">
        <f t="shared" si="68"/>
        <v>JUL 20</v>
      </c>
      <c r="AQ459" s="547" t="str">
        <f t="shared" si="69"/>
        <v>有定金+有預留客戶</v>
      </c>
      <c r="AR459" s="259" t="str">
        <f t="shared" si="70"/>
        <v>Shipped_Stock</v>
      </c>
      <c r="AS459" s="259" t="str">
        <f t="shared" si="71"/>
        <v/>
      </c>
      <c r="AT459" s="259" t="str">
        <f t="shared" si="72"/>
        <v>达人高科</v>
      </c>
      <c r="AU459" s="259" t="str">
        <f t="shared" si="73"/>
        <v>C49SZX20200085JL</v>
      </c>
      <c r="AV459" s="259" t="str">
        <f t="shared" si="74"/>
        <v>Jul-22</v>
      </c>
    </row>
    <row r="460" spans="1:48" hidden="1">
      <c r="A460" s="564">
        <v>764</v>
      </c>
      <c r="B460" s="565" t="s">
        <v>280</v>
      </c>
      <c r="C460" s="568" t="s">
        <v>15</v>
      </c>
      <c r="D460" s="650" t="s">
        <v>1047</v>
      </c>
      <c r="E460" s="568" t="s">
        <v>886</v>
      </c>
      <c r="F460" s="652" t="s">
        <v>17</v>
      </c>
      <c r="G460" s="652" t="s">
        <v>18</v>
      </c>
      <c r="H460" s="652" t="s">
        <v>26</v>
      </c>
      <c r="I460" s="580" t="s">
        <v>1052</v>
      </c>
      <c r="J460" s="580">
        <v>1</v>
      </c>
      <c r="K460" s="652" t="s">
        <v>437</v>
      </c>
      <c r="L460" s="662">
        <v>44034</v>
      </c>
      <c r="M460" s="581">
        <v>6.6100000000000006E-2</v>
      </c>
      <c r="N460" s="652" t="s">
        <v>930</v>
      </c>
      <c r="O460" s="568">
        <v>2020.07</v>
      </c>
      <c r="P460" s="571" t="str">
        <f>VLOOKUP(A460,'[1]Raw data'!$B:$BB,23,FALSE)</f>
        <v>RMB</v>
      </c>
      <c r="Q460" s="568" t="str">
        <f>VLOOKUP(A460,'[1]Raw data'!$B:$Z,2,FALSE)</f>
        <v>C49SZX20200131KW</v>
      </c>
      <c r="R460" s="568" t="str">
        <f>VLOOKUP(A460,'[1]Raw data'!$B:$Z,3,FALSE)</f>
        <v>江恒</v>
      </c>
      <c r="S460" s="568" t="str">
        <f>VLOOKUP(A460,'[1]Raw data'!$B:$Z,4,FALSE)</f>
        <v>YSM10</v>
      </c>
      <c r="T460" s="568" t="str">
        <f>VLOOKUP(A460,'[1]Raw data'!$B:$Z,8,FALSE)</f>
        <v>L-&gt;R</v>
      </c>
      <c r="U460" s="568" t="str">
        <f>VLOOKUP(A460,'[1]Raw data'!$B:$Z,9,FALSE)</f>
        <v>MVC</v>
      </c>
      <c r="V460" s="572" t="str">
        <f t="shared" si="66"/>
        <v>WRONG</v>
      </c>
      <c r="W460" s="568" t="str">
        <f>VLOOKUP(A460,'[1]Raw data'!$B:$AG,32,FALSE)</f>
        <v>含税到厂</v>
      </c>
      <c r="X460" s="568">
        <f>VLOOKUP(A460,'[1]Raw data'!$B:$BA,31,FALSE)</f>
        <v>44051</v>
      </c>
      <c r="Y460" s="568" t="str">
        <f>VLOOKUP(A460,'[1]Raw data'!$B:$AS,39,FALSE)</f>
        <v>Yes</v>
      </c>
      <c r="Z460" s="664"/>
      <c r="AA460" s="665"/>
      <c r="AB460" s="666"/>
      <c r="AC460" s="652" t="s">
        <v>1053</v>
      </c>
      <c r="AD460" s="667">
        <v>302</v>
      </c>
      <c r="AE460" s="667">
        <v>10</v>
      </c>
      <c r="AF460" s="667"/>
      <c r="AG460" s="667"/>
      <c r="AH460" s="667"/>
      <c r="AI460" s="668"/>
      <c r="AN460" s="547"/>
      <c r="AO460" s="829" t="str">
        <f t="shared" si="67"/>
        <v>Yes</v>
      </c>
      <c r="AP460" s="259" t="str">
        <f t="shared" si="68"/>
        <v>AUG 20</v>
      </c>
      <c r="AQ460" s="547" t="str">
        <f t="shared" si="69"/>
        <v>有定金+有預留客戶</v>
      </c>
      <c r="AR460" s="259" t="str">
        <f t="shared" si="70"/>
        <v>Shipped_Stock</v>
      </c>
      <c r="AS460" s="259" t="str">
        <f t="shared" si="71"/>
        <v/>
      </c>
      <c r="AT460" s="259" t="str">
        <f t="shared" si="72"/>
        <v>江恒</v>
      </c>
      <c r="AU460" s="259" t="str">
        <f t="shared" si="73"/>
        <v>C49SZX20200131KW</v>
      </c>
      <c r="AV460" s="259" t="str">
        <f t="shared" si="74"/>
        <v>Jul-22</v>
      </c>
    </row>
    <row r="461" spans="1:48" hidden="1">
      <c r="A461" s="564">
        <v>752</v>
      </c>
      <c r="B461" s="565" t="s">
        <v>927</v>
      </c>
      <c r="C461" s="568" t="s">
        <v>15</v>
      </c>
      <c r="D461" s="604" t="s">
        <v>1054</v>
      </c>
      <c r="E461" s="567" t="s">
        <v>968</v>
      </c>
      <c r="F461" s="568" t="s">
        <v>256</v>
      </c>
      <c r="G461" s="568" t="s">
        <v>24</v>
      </c>
      <c r="H461" s="568" t="s">
        <v>307</v>
      </c>
      <c r="I461" s="569" t="s">
        <v>1055</v>
      </c>
      <c r="J461" s="569">
        <v>1</v>
      </c>
      <c r="K461" s="568" t="s">
        <v>1056</v>
      </c>
      <c r="L461" s="662">
        <v>44035</v>
      </c>
      <c r="M461" s="581">
        <v>6.6900000000000001E-2</v>
      </c>
      <c r="N461" s="652" t="s">
        <v>930</v>
      </c>
      <c r="O461" s="569">
        <v>2020.07</v>
      </c>
      <c r="P461" s="571" t="str">
        <f>VLOOKUP(A461,'[1]Raw data'!$B:$BB,23,FALSE)</f>
        <v>RMB</v>
      </c>
      <c r="Q461" s="568" t="str">
        <f>VLOOKUP(A461,'[1]Raw data'!$B:$Z,2,FALSE)</f>
        <v>C49SZX20200119SS</v>
      </c>
      <c r="R461" s="568" t="str">
        <f>VLOOKUP(A461,'[1]Raw data'!$B:$Z,3,FALSE)</f>
        <v>兴丰源</v>
      </c>
      <c r="S461" s="568" t="str">
        <f>VLOOKUP(A461,'[1]Raw data'!$B:$Z,4,FALSE)</f>
        <v>YSM20R(SV)-2</v>
      </c>
      <c r="T461" s="568" t="str">
        <f>VLOOKUP(A461,'[1]Raw data'!$B:$Z,8,FALSE)</f>
        <v>L-&gt;R</v>
      </c>
      <c r="U461" s="568" t="str">
        <f>VLOOKUP(A461,'[1]Raw data'!$B:$Z,9,FALSE)</f>
        <v>No</v>
      </c>
      <c r="V461" s="572" t="str">
        <f t="shared" si="66"/>
        <v>OK</v>
      </c>
      <c r="W461" s="568" t="str">
        <f>VLOOKUP(A461,'[1]Raw data'!$B:$AG,32,FALSE)</f>
        <v>含税到厂</v>
      </c>
      <c r="X461" s="568">
        <f>VLOOKUP(A461,'[1]Raw data'!$B:$BA,31,FALSE)</f>
        <v>44042</v>
      </c>
      <c r="Y461" s="568" t="str">
        <f>VLOOKUP(A461,'[1]Raw data'!$B:$AS,39,FALSE)</f>
        <v>Yes</v>
      </c>
      <c r="AC461" s="568" t="s">
        <v>1057</v>
      </c>
      <c r="AD461" s="576">
        <v>301</v>
      </c>
      <c r="AE461" s="576">
        <v>10</v>
      </c>
      <c r="AF461" s="576">
        <v>304</v>
      </c>
      <c r="AG461" s="576">
        <v>10</v>
      </c>
      <c r="AN461" s="547"/>
      <c r="AO461" s="829" t="str">
        <f t="shared" si="67"/>
        <v>Yes</v>
      </c>
      <c r="AP461" s="259" t="str">
        <f t="shared" si="68"/>
        <v>AUG 20</v>
      </c>
      <c r="AQ461" s="547" t="str">
        <f t="shared" si="69"/>
        <v>有定金+有預留客戶</v>
      </c>
      <c r="AR461" s="259" t="str">
        <f t="shared" si="70"/>
        <v>Shipped_Stock</v>
      </c>
      <c r="AS461" s="259" t="str">
        <f t="shared" si="71"/>
        <v/>
      </c>
      <c r="AT461" s="259" t="str">
        <f t="shared" si="72"/>
        <v>兴丰源</v>
      </c>
      <c r="AU461" s="259" t="str">
        <f t="shared" si="73"/>
        <v>C49SZX20200119SS</v>
      </c>
      <c r="AV461" s="259" t="str">
        <f t="shared" si="74"/>
        <v>Jul-23</v>
      </c>
    </row>
    <row r="462" spans="1:48" hidden="1">
      <c r="A462" s="564">
        <v>462</v>
      </c>
      <c r="B462" s="565" t="s">
        <v>280</v>
      </c>
      <c r="C462" s="568" t="s">
        <v>15</v>
      </c>
      <c r="D462" s="650">
        <v>109933</v>
      </c>
      <c r="E462" s="568" t="s">
        <v>1058</v>
      </c>
      <c r="F462" s="652" t="s">
        <v>17</v>
      </c>
      <c r="G462" s="652" t="s">
        <v>18</v>
      </c>
      <c r="H462" s="652" t="s">
        <v>19</v>
      </c>
      <c r="I462" s="580" t="s">
        <v>1059</v>
      </c>
      <c r="J462" s="580">
        <v>1</v>
      </c>
      <c r="K462" s="652" t="s">
        <v>437</v>
      </c>
      <c r="L462" s="662">
        <v>44055</v>
      </c>
      <c r="M462" s="581" t="s">
        <v>906</v>
      </c>
      <c r="N462" s="652" t="s">
        <v>930</v>
      </c>
      <c r="O462" s="652">
        <v>2020.07</v>
      </c>
      <c r="P462" s="571" t="str">
        <f>VLOOKUP(A462,'[1]Raw data'!$B:$BB,23,FALSE)</f>
        <v>JPY</v>
      </c>
      <c r="Q462" s="568" t="str">
        <f>VLOOKUP(A462,'[1]Raw data'!$B:$Z,2,FALSE)</f>
        <v>C49SZX20190151MZ</v>
      </c>
      <c r="R462" s="568" t="str">
        <f>VLOOKUP(A462,'[1]Raw data'!$B:$Z,3,FALSE)</f>
        <v>魔乐视/end user:拓普赛特</v>
      </c>
      <c r="S462" s="568" t="str">
        <f>VLOOKUP(A462,'[1]Raw data'!$B:$Z,4,FALSE)</f>
        <v>YSM10</v>
      </c>
      <c r="T462" s="568" t="str">
        <f>VLOOKUP(A462,'[1]Raw data'!$B:$Z,8,FALSE)</f>
        <v>L-&gt;R</v>
      </c>
      <c r="U462" s="568" t="str">
        <f>VLOOKUP(A462,'[1]Raw data'!$B:$Z,9,FALSE)</f>
        <v>MVC+ATS15</v>
      </c>
      <c r="V462" s="572" t="str">
        <f t="shared" si="66"/>
        <v>WRONG</v>
      </c>
      <c r="W462" s="568" t="str">
        <f>VLOOKUP(A462,'[1]Raw data'!$B:$AG,32,FALSE)</f>
        <v>DAP SZ</v>
      </c>
      <c r="X462" s="568">
        <f>VLOOKUP(A462,'[1]Raw data'!$B:$BA,31,FALSE)</f>
        <v>43762</v>
      </c>
      <c r="Y462" s="568" t="str">
        <f>VLOOKUP(A462,'[1]Raw data'!$B:$AS,39,FALSE)</f>
        <v>Yes</v>
      </c>
      <c r="Z462" s="664"/>
      <c r="AA462" s="665"/>
      <c r="AB462" s="666"/>
      <c r="AC462" s="652" t="s">
        <v>736</v>
      </c>
      <c r="AD462" s="667">
        <v>301</v>
      </c>
      <c r="AE462" s="667">
        <v>10</v>
      </c>
      <c r="AF462" s="667"/>
      <c r="AG462" s="667"/>
      <c r="AH462" s="667"/>
      <c r="AI462" s="668"/>
      <c r="AN462" s="547"/>
      <c r="AO462" s="829" t="str">
        <f t="shared" si="67"/>
        <v>Yes</v>
      </c>
      <c r="AP462" s="259" t="str">
        <f t="shared" si="68"/>
        <v>AUG 20</v>
      </c>
      <c r="AQ462" s="547" t="str">
        <f t="shared" si="69"/>
        <v>有定金+有預留客戶</v>
      </c>
      <c r="AR462" s="259" t="str">
        <f t="shared" si="70"/>
        <v>Shipped_Stock</v>
      </c>
      <c r="AS462" s="259" t="str">
        <f t="shared" si="71"/>
        <v/>
      </c>
      <c r="AT462" s="259" t="str">
        <f t="shared" si="72"/>
        <v>魔乐视/end user:拓普赛特</v>
      </c>
      <c r="AU462" s="259" t="str">
        <f t="shared" si="73"/>
        <v>C49SZX20190151MZ</v>
      </c>
      <c r="AV462" s="259" t="str">
        <f t="shared" si="74"/>
        <v>Aug-12</v>
      </c>
    </row>
    <row r="463" spans="1:48" hidden="1">
      <c r="A463" s="564">
        <v>767</v>
      </c>
      <c r="B463" s="565" t="s">
        <v>927</v>
      </c>
      <c r="C463" s="568" t="s">
        <v>15</v>
      </c>
      <c r="D463" s="650">
        <v>109933</v>
      </c>
      <c r="E463" s="568" t="s">
        <v>1058</v>
      </c>
      <c r="F463" s="652" t="s">
        <v>17</v>
      </c>
      <c r="G463" s="652" t="s">
        <v>18</v>
      </c>
      <c r="H463" s="652" t="s">
        <v>19</v>
      </c>
      <c r="I463" s="580" t="s">
        <v>1060</v>
      </c>
      <c r="J463" s="580">
        <v>1</v>
      </c>
      <c r="K463" s="652" t="s">
        <v>437</v>
      </c>
      <c r="L463" s="662">
        <v>44055</v>
      </c>
      <c r="M463" s="581" t="s">
        <v>1061</v>
      </c>
      <c r="N463" s="652" t="s">
        <v>918</v>
      </c>
      <c r="O463" s="652">
        <v>2020.07</v>
      </c>
      <c r="P463" s="571" t="str">
        <f>VLOOKUP(A463,'[1]Raw data'!$B:$BB,23,FALSE)</f>
        <v>JPY</v>
      </c>
      <c r="Q463" s="568" t="str">
        <f>VLOOKUP(A463,'[1]Raw data'!$B:$Z,2,FALSE)</f>
        <v>C49SZX20200078CY</v>
      </c>
      <c r="R463" s="568" t="str">
        <f>VLOOKUP(A463,'[1]Raw data'!$B:$Z,3,FALSE)</f>
        <v>博德越</v>
      </c>
      <c r="S463" s="568" t="str">
        <f>VLOOKUP(A463,'[1]Raw data'!$B:$Z,4,FALSE)</f>
        <v>YSM10</v>
      </c>
      <c r="T463" s="568" t="str">
        <f>VLOOKUP(A463,'[1]Raw data'!$B:$Z,8,FALSE)</f>
        <v>R-&gt;L</v>
      </c>
      <c r="U463" s="568" t="str">
        <f>VLOOKUP(A463,'[1]Raw data'!$B:$Z,9,FALSE)</f>
        <v>MVC+ATS15</v>
      </c>
      <c r="V463" s="572" t="str">
        <f t="shared" si="66"/>
        <v>WRONG</v>
      </c>
      <c r="W463" s="568" t="str">
        <f>VLOOKUP(A463,'[1]Raw data'!$B:$AG,32,FALSE)</f>
        <v>DAP SZ</v>
      </c>
      <c r="X463" s="568">
        <f>VLOOKUP(A463,'[1]Raw data'!$B:$BA,31,FALSE)</f>
        <v>44053</v>
      </c>
      <c r="Y463" s="568" t="str">
        <f>VLOOKUP(A463,'[1]Raw data'!$B:$AS,39,FALSE)</f>
        <v>Yes</v>
      </c>
      <c r="Z463" s="664"/>
      <c r="AA463" s="665"/>
      <c r="AB463" s="666"/>
      <c r="AC463" s="652" t="s">
        <v>1062</v>
      </c>
      <c r="AD463" s="667">
        <v>301</v>
      </c>
      <c r="AE463" s="667">
        <v>10</v>
      </c>
      <c r="AF463" s="667"/>
      <c r="AG463" s="667"/>
      <c r="AH463" s="667"/>
      <c r="AI463" s="668"/>
      <c r="AN463" s="547"/>
      <c r="AO463" s="829" t="str">
        <f t="shared" si="67"/>
        <v>Yes</v>
      </c>
      <c r="AP463" s="259" t="str">
        <f t="shared" si="68"/>
        <v>SEP 20</v>
      </c>
      <c r="AQ463" s="547" t="str">
        <f t="shared" si="69"/>
        <v>有定金+有預留客戶</v>
      </c>
      <c r="AR463" s="259" t="str">
        <f t="shared" si="70"/>
        <v>Shipped_Stock</v>
      </c>
      <c r="AS463" s="259" t="str">
        <f t="shared" si="71"/>
        <v/>
      </c>
      <c r="AT463" s="259" t="str">
        <f t="shared" si="72"/>
        <v>博德越</v>
      </c>
      <c r="AU463" s="259" t="str">
        <f t="shared" si="73"/>
        <v>C49SZX20200078CY</v>
      </c>
      <c r="AV463" s="259" t="str">
        <f t="shared" si="74"/>
        <v>Aug-12</v>
      </c>
    </row>
    <row r="464" spans="1:48" hidden="1">
      <c r="A464" s="564">
        <v>732</v>
      </c>
      <c r="B464" s="565" t="s">
        <v>280</v>
      </c>
      <c r="C464" s="568" t="s">
        <v>15</v>
      </c>
      <c r="D464" s="650">
        <v>109933</v>
      </c>
      <c r="E464" s="568" t="s">
        <v>1058</v>
      </c>
      <c r="F464" s="652" t="s">
        <v>17</v>
      </c>
      <c r="G464" s="652" t="s">
        <v>18</v>
      </c>
      <c r="H464" s="652" t="s">
        <v>19</v>
      </c>
      <c r="I464" s="580" t="s">
        <v>1063</v>
      </c>
      <c r="J464" s="580">
        <v>1</v>
      </c>
      <c r="K464" s="652" t="s">
        <v>437</v>
      </c>
      <c r="L464" s="662">
        <v>44055</v>
      </c>
      <c r="M464" s="581" t="s">
        <v>1061</v>
      </c>
      <c r="N464" s="652" t="s">
        <v>918</v>
      </c>
      <c r="O464" s="652">
        <v>2020.07</v>
      </c>
      <c r="P464" s="571" t="str">
        <f>VLOOKUP(A464,'[1]Raw data'!$B:$BB,23,FALSE)</f>
        <v>JPY</v>
      </c>
      <c r="Q464" s="568" t="str">
        <f>VLOOKUP(A464,'[1]Raw data'!$B:$Z,2,FALSE)</f>
        <v>C49SZX20200110MZ</v>
      </c>
      <c r="R464" s="568" t="str">
        <f>VLOOKUP(A464,'[1]Raw data'!$B:$Z,3,FALSE)</f>
        <v>融创新合</v>
      </c>
      <c r="S464" s="568" t="str">
        <f>VLOOKUP(A464,'[1]Raw data'!$B:$Z,4,FALSE)</f>
        <v>YSM10</v>
      </c>
      <c r="T464" s="568" t="str">
        <f>VLOOKUP(A464,'[1]Raw data'!$B:$Z,8,FALSE)</f>
        <v>L-&gt;R</v>
      </c>
      <c r="U464" s="568" t="str">
        <f>VLOOKUP(A464,'[1]Raw data'!$B:$Z,9,FALSE)</f>
        <v>MVC+ATS15</v>
      </c>
      <c r="V464" s="572" t="str">
        <f t="shared" si="66"/>
        <v>WRONG</v>
      </c>
      <c r="W464" s="568" t="str">
        <f>VLOOKUP(A464,'[1]Raw data'!$B:$AG,32,FALSE)</f>
        <v>CIF HK</v>
      </c>
      <c r="X464" s="568">
        <f>VLOOKUP(A464,'[1]Raw data'!$B:$BA,31,FALSE)</f>
        <v>44033</v>
      </c>
      <c r="Y464" s="568" t="str">
        <f>VLOOKUP(A464,'[1]Raw data'!$B:$AS,39,FALSE)</f>
        <v>Yes</v>
      </c>
      <c r="Z464" s="664"/>
      <c r="AA464" s="665"/>
      <c r="AB464" s="666"/>
      <c r="AC464" s="652" t="s">
        <v>1064</v>
      </c>
      <c r="AD464" s="667">
        <v>301</v>
      </c>
      <c r="AE464" s="667">
        <v>10</v>
      </c>
      <c r="AF464" s="667"/>
      <c r="AG464" s="667"/>
      <c r="AH464" s="667"/>
      <c r="AI464" s="668"/>
      <c r="AN464" s="547"/>
      <c r="AO464" s="829" t="str">
        <f t="shared" si="67"/>
        <v>Yes</v>
      </c>
      <c r="AP464" s="259" t="str">
        <f t="shared" si="68"/>
        <v>SEP 20</v>
      </c>
      <c r="AQ464" s="547" t="str">
        <f t="shared" si="69"/>
        <v>有定金+有預留客戶</v>
      </c>
      <c r="AR464" s="259" t="str">
        <f t="shared" si="70"/>
        <v>Shipped_Stock</v>
      </c>
      <c r="AS464" s="259" t="str">
        <f t="shared" si="71"/>
        <v/>
      </c>
      <c r="AT464" s="259" t="str">
        <f t="shared" si="72"/>
        <v>融创新合</v>
      </c>
      <c r="AU464" s="259" t="str">
        <f t="shared" si="73"/>
        <v>C49SZX20200110MZ</v>
      </c>
      <c r="AV464" s="259" t="str">
        <f t="shared" si="74"/>
        <v>Aug-12</v>
      </c>
    </row>
    <row r="465" spans="1:48" ht="22.5" hidden="1">
      <c r="A465" s="564">
        <v>773</v>
      </c>
      <c r="B465" s="565" t="s">
        <v>280</v>
      </c>
      <c r="C465" s="568" t="s">
        <v>15</v>
      </c>
      <c r="D465" s="650">
        <v>109933</v>
      </c>
      <c r="E465" s="568" t="s">
        <v>1058</v>
      </c>
      <c r="F465" s="652" t="s">
        <v>256</v>
      </c>
      <c r="G465" s="652" t="s">
        <v>18</v>
      </c>
      <c r="H465" s="652" t="s">
        <v>26</v>
      </c>
      <c r="I465" s="580" t="s">
        <v>1065</v>
      </c>
      <c r="J465" s="580">
        <v>1</v>
      </c>
      <c r="K465" s="652" t="s">
        <v>295</v>
      </c>
      <c r="L465" s="662">
        <v>44055</v>
      </c>
      <c r="M465" s="620" t="s">
        <v>1066</v>
      </c>
      <c r="N465" s="652" t="s">
        <v>918</v>
      </c>
      <c r="O465" s="580">
        <v>2020.07</v>
      </c>
      <c r="P465" s="571" t="str">
        <f>VLOOKUP(A465,'[1]Raw data'!$B:$BB,23,FALSE)</f>
        <v>RMB</v>
      </c>
      <c r="Q465" s="568" t="str">
        <f>VLOOKUP(A465,'[1]Raw data'!$B:$Z,2,FALSE)</f>
        <v>C49SZX20200123DZ</v>
      </c>
      <c r="R465" s="568" t="str">
        <f>VLOOKUP(A465,'[1]Raw data'!$B:$Z,3,FALSE)</f>
        <v>海星</v>
      </c>
      <c r="S465" s="568" t="str">
        <f>VLOOKUP(A465,'[1]Raw data'!$B:$Z,4,FALSE)</f>
        <v>YSM20R(SV)-2</v>
      </c>
      <c r="T465" s="568" t="str">
        <f>VLOOKUP(A465,'[1]Raw data'!$B:$Z,8,FALSE)</f>
        <v>R-&gt;L</v>
      </c>
      <c r="U465" s="568" t="str">
        <f>VLOOKUP(A465,'[1]Raw data'!$B:$Z,9,FALSE)</f>
        <v>No</v>
      </c>
      <c r="V465" s="572" t="str">
        <f t="shared" si="66"/>
        <v>OK</v>
      </c>
      <c r="W465" s="568" t="str">
        <f>VLOOKUP(A465,'[1]Raw data'!$B:$AG,32,FALSE)</f>
        <v>含税到厂</v>
      </c>
      <c r="X465" s="568">
        <f>VLOOKUP(A465,'[1]Raw data'!$B:$BA,31,FALSE)</f>
        <v>44056</v>
      </c>
      <c r="Y465" s="568" t="str">
        <f>VLOOKUP(A465,'[1]Raw data'!$B:$AS,39,FALSE)</f>
        <v>Yes</v>
      </c>
      <c r="Z465" s="674"/>
      <c r="AA465" s="675"/>
      <c r="AB465" s="676"/>
      <c r="AC465" s="652" t="s">
        <v>919</v>
      </c>
      <c r="AD465" s="667">
        <v>304</v>
      </c>
      <c r="AE465" s="667">
        <v>20</v>
      </c>
      <c r="AF465" s="667"/>
      <c r="AG465" s="667"/>
      <c r="AH465" s="667"/>
      <c r="AI465" s="668"/>
      <c r="AN465" s="547"/>
      <c r="AO465" s="829" t="str">
        <f t="shared" si="67"/>
        <v>Yes</v>
      </c>
      <c r="AP465" s="259" t="str">
        <f t="shared" si="68"/>
        <v>SEP 20</v>
      </c>
      <c r="AQ465" s="547" t="str">
        <f t="shared" si="69"/>
        <v>有定金+有預留客戶</v>
      </c>
      <c r="AR465" s="259" t="str">
        <f t="shared" si="70"/>
        <v>Shipped_Stock</v>
      </c>
      <c r="AS465" s="259" t="str">
        <f t="shared" si="71"/>
        <v/>
      </c>
      <c r="AT465" s="259" t="str">
        <f t="shared" si="72"/>
        <v>海星</v>
      </c>
      <c r="AU465" s="259" t="str">
        <f t="shared" si="73"/>
        <v>C49SZX20200123DZ</v>
      </c>
      <c r="AV465" s="259" t="str">
        <f t="shared" si="74"/>
        <v>Aug-12</v>
      </c>
    </row>
    <row r="466" spans="1:48" hidden="1">
      <c r="A466" s="564">
        <v>678</v>
      </c>
      <c r="B466" s="565" t="s">
        <v>280</v>
      </c>
      <c r="C466" s="568" t="s">
        <v>15</v>
      </c>
      <c r="D466" s="650">
        <v>109933</v>
      </c>
      <c r="E466" s="568" t="s">
        <v>1058</v>
      </c>
      <c r="F466" s="652" t="s">
        <v>256</v>
      </c>
      <c r="G466" s="652" t="s">
        <v>18</v>
      </c>
      <c r="H466" s="652" t="s">
        <v>26</v>
      </c>
      <c r="I466" s="580" t="s">
        <v>1067</v>
      </c>
      <c r="J466" s="580">
        <v>1</v>
      </c>
      <c r="K466" s="652" t="s">
        <v>437</v>
      </c>
      <c r="L466" s="662">
        <v>44055</v>
      </c>
      <c r="M466" s="581" t="s">
        <v>906</v>
      </c>
      <c r="N466" s="652" t="s">
        <v>930</v>
      </c>
      <c r="O466" s="580">
        <v>2020.07</v>
      </c>
      <c r="P466" s="571" t="str">
        <f>VLOOKUP(A466,'[1]Raw data'!$B:$BB,23,FALSE)</f>
        <v>JPY</v>
      </c>
      <c r="Q466" s="568" t="str">
        <f>VLOOKUP(A466,'[1]Raw data'!$B:$Z,2,FALSE)</f>
        <v>C49SZX20200082DZ</v>
      </c>
      <c r="R466" s="568" t="str">
        <f>VLOOKUP(A466,'[1]Raw data'!$B:$Z,3,FALSE)</f>
        <v>朗特</v>
      </c>
      <c r="S466" s="568" t="str">
        <f>VLOOKUP(A466,'[1]Raw data'!$B:$Z,4,FALSE)</f>
        <v>YSM20R(SV)-2</v>
      </c>
      <c r="T466" s="568" t="str">
        <f>VLOOKUP(A466,'[1]Raw data'!$B:$Z,8,FALSE)</f>
        <v>R-&gt;L</v>
      </c>
      <c r="U466" s="568" t="str">
        <f>VLOOKUP(A466,'[1]Raw data'!$B:$Z,9,FALSE)</f>
        <v>No</v>
      </c>
      <c r="V466" s="572" t="str">
        <f t="shared" si="66"/>
        <v>OK</v>
      </c>
      <c r="W466" s="568" t="str">
        <f>VLOOKUP(A466,'[1]Raw data'!$B:$AG,32,FALSE)</f>
        <v>CIF HK</v>
      </c>
      <c r="X466" s="568">
        <f>VLOOKUP(A466,'[1]Raw data'!$B:$BA,31,FALSE)</f>
        <v>44006</v>
      </c>
      <c r="Y466" s="568" t="str">
        <f>VLOOKUP(A466,'[1]Raw data'!$B:$AS,39,FALSE)</f>
        <v>Yes</v>
      </c>
      <c r="Z466" s="664"/>
      <c r="AA466" s="665"/>
      <c r="AB466" s="666"/>
      <c r="AC466" s="652" t="s">
        <v>933</v>
      </c>
      <c r="AD466" s="667">
        <v>304</v>
      </c>
      <c r="AE466" s="667">
        <v>20</v>
      </c>
      <c r="AF466" s="667"/>
      <c r="AG466" s="667"/>
      <c r="AH466" s="667"/>
      <c r="AI466" s="668"/>
      <c r="AN466" s="547"/>
      <c r="AO466" s="829" t="str">
        <f t="shared" si="67"/>
        <v>Yes</v>
      </c>
      <c r="AP466" s="259" t="str">
        <f t="shared" si="68"/>
        <v>AUG 20</v>
      </c>
      <c r="AQ466" s="547" t="str">
        <f t="shared" si="69"/>
        <v>有定金+有預留客戶</v>
      </c>
      <c r="AR466" s="259" t="str">
        <f t="shared" si="70"/>
        <v>Shipped_Stock</v>
      </c>
      <c r="AS466" s="259" t="str">
        <f t="shared" si="71"/>
        <v/>
      </c>
      <c r="AT466" s="259" t="str">
        <f t="shared" si="72"/>
        <v>朗特</v>
      </c>
      <c r="AU466" s="259" t="str">
        <f t="shared" si="73"/>
        <v>C49SZX20200082DZ</v>
      </c>
      <c r="AV466" s="259" t="str">
        <f t="shared" si="74"/>
        <v>Aug-12</v>
      </c>
    </row>
    <row r="467" spans="1:48" hidden="1">
      <c r="A467" s="564">
        <v>461</v>
      </c>
      <c r="B467" s="565" t="s">
        <v>280</v>
      </c>
      <c r="C467" s="568" t="s">
        <v>15</v>
      </c>
      <c r="D467" s="650">
        <v>109933</v>
      </c>
      <c r="E467" s="568" t="s">
        <v>1058</v>
      </c>
      <c r="F467" s="652" t="s">
        <v>256</v>
      </c>
      <c r="G467" s="652" t="s">
        <v>24</v>
      </c>
      <c r="H467" s="652" t="s">
        <v>26</v>
      </c>
      <c r="I467" s="580" t="s">
        <v>1068</v>
      </c>
      <c r="J467" s="580">
        <v>1</v>
      </c>
      <c r="K467" s="652" t="s">
        <v>437</v>
      </c>
      <c r="L467" s="662">
        <v>44055</v>
      </c>
      <c r="M467" s="581" t="s">
        <v>906</v>
      </c>
      <c r="N467" s="652" t="s">
        <v>930</v>
      </c>
      <c r="O467" s="580">
        <v>2020.07</v>
      </c>
      <c r="P467" s="571" t="str">
        <f>VLOOKUP(A467,'[1]Raw data'!$B:$BB,23,FALSE)</f>
        <v>JPY</v>
      </c>
      <c r="Q467" s="568" t="str">
        <f>VLOOKUP(A467,'[1]Raw data'!$B:$Z,2,FALSE)</f>
        <v>C49SZX20190151MZ</v>
      </c>
      <c r="R467" s="568" t="str">
        <f>VLOOKUP(A467,'[1]Raw data'!$B:$Z,3,FALSE)</f>
        <v>魔乐视/end user:拓普赛特</v>
      </c>
      <c r="S467" s="568" t="str">
        <f>VLOOKUP(A467,'[1]Raw data'!$B:$Z,4,FALSE)</f>
        <v>YSM20R(SV)-2</v>
      </c>
      <c r="T467" s="568" t="str">
        <f>VLOOKUP(A467,'[1]Raw data'!$B:$Z,8,FALSE)</f>
        <v>L-&gt;R</v>
      </c>
      <c r="U467" s="568" t="str">
        <f>VLOOKUP(A467,'[1]Raw data'!$B:$Z,9,FALSE)</f>
        <v>No</v>
      </c>
      <c r="V467" s="572" t="str">
        <f t="shared" si="66"/>
        <v>OK</v>
      </c>
      <c r="W467" s="568" t="str">
        <f>VLOOKUP(A467,'[1]Raw data'!$B:$AG,32,FALSE)</f>
        <v>DAP SZ</v>
      </c>
      <c r="X467" s="568">
        <f>VLOOKUP(A467,'[1]Raw data'!$B:$BA,31,FALSE)</f>
        <v>43762</v>
      </c>
      <c r="Y467" s="568" t="str">
        <f>VLOOKUP(A467,'[1]Raw data'!$B:$AS,39,FALSE)</f>
        <v>Yes</v>
      </c>
      <c r="Z467" s="664"/>
      <c r="AA467" s="665"/>
      <c r="AB467" s="666"/>
      <c r="AC467" s="652" t="s">
        <v>736</v>
      </c>
      <c r="AD467" s="667">
        <v>303</v>
      </c>
      <c r="AE467" s="667">
        <v>20</v>
      </c>
      <c r="AF467" s="667"/>
      <c r="AG467" s="667"/>
      <c r="AH467" s="667"/>
      <c r="AI467" s="668"/>
      <c r="AN467" s="547"/>
      <c r="AO467" s="829" t="str">
        <f t="shared" si="67"/>
        <v>Yes</v>
      </c>
      <c r="AP467" s="259" t="str">
        <f t="shared" si="68"/>
        <v>AUG 20</v>
      </c>
      <c r="AQ467" s="547" t="str">
        <f t="shared" si="69"/>
        <v>有定金+有預留客戶</v>
      </c>
      <c r="AR467" s="259" t="str">
        <f t="shared" si="70"/>
        <v>Shipped_Stock</v>
      </c>
      <c r="AS467" s="259" t="str">
        <f t="shared" si="71"/>
        <v/>
      </c>
      <c r="AT467" s="259" t="str">
        <f t="shared" si="72"/>
        <v>魔乐视/end user:拓普赛特</v>
      </c>
      <c r="AU467" s="259" t="str">
        <f t="shared" si="73"/>
        <v>C49SZX20190151MZ</v>
      </c>
      <c r="AV467" s="259" t="str">
        <f t="shared" si="74"/>
        <v>Aug-12</v>
      </c>
    </row>
    <row r="468" spans="1:48" hidden="1">
      <c r="A468" s="564">
        <v>693</v>
      </c>
      <c r="B468" s="565" t="s">
        <v>280</v>
      </c>
      <c r="C468" s="568" t="s">
        <v>15</v>
      </c>
      <c r="D468" s="650">
        <v>109933</v>
      </c>
      <c r="E468" s="568" t="s">
        <v>1058</v>
      </c>
      <c r="F468" s="652" t="s">
        <v>256</v>
      </c>
      <c r="G468" s="652" t="s">
        <v>24</v>
      </c>
      <c r="H468" s="652" t="s">
        <v>26</v>
      </c>
      <c r="I468" s="580" t="s">
        <v>1069</v>
      </c>
      <c r="J468" s="580">
        <v>1</v>
      </c>
      <c r="K468" s="652" t="s">
        <v>437</v>
      </c>
      <c r="L468" s="662">
        <v>44055</v>
      </c>
      <c r="M468" s="581" t="s">
        <v>1061</v>
      </c>
      <c r="N468" s="652" t="s">
        <v>930</v>
      </c>
      <c r="O468" s="580">
        <v>2020.07</v>
      </c>
      <c r="P468" s="571" t="str">
        <f>VLOOKUP(A468,'[1]Raw data'!$B:$BB,23,FALSE)</f>
        <v>JPY</v>
      </c>
      <c r="Q468" s="568" t="str">
        <f>VLOOKUP(A468,'[1]Raw data'!$B:$Z,2,FALSE)</f>
        <v>C49SZX20200116JL</v>
      </c>
      <c r="R468" s="568" t="str">
        <f>VLOOKUP(A468,'[1]Raw data'!$B:$Z,3,FALSE)</f>
        <v>德劲</v>
      </c>
      <c r="S468" s="568" t="str">
        <f>VLOOKUP(A468,'[1]Raw data'!$B:$Z,4,FALSE)</f>
        <v>YSM20R(SV)-2</v>
      </c>
      <c r="T468" s="568" t="str">
        <f>VLOOKUP(A468,'[1]Raw data'!$B:$Z,8,FALSE)</f>
        <v>L-&gt;R</v>
      </c>
      <c r="U468" s="568" t="str">
        <f>VLOOKUP(A468,'[1]Raw data'!$B:$Z,9,FALSE)</f>
        <v>MVC</v>
      </c>
      <c r="V468" s="572" t="str">
        <f t="shared" si="66"/>
        <v>WRONG</v>
      </c>
      <c r="W468" s="568" t="str">
        <f>VLOOKUP(A468,'[1]Raw data'!$B:$AG,32,FALSE)</f>
        <v>DAP SZ</v>
      </c>
      <c r="X468" s="568">
        <f>VLOOKUP(A468,'[1]Raw data'!$B:$BA,31,FALSE)</f>
        <v>44018</v>
      </c>
      <c r="Y468" s="568" t="str">
        <f>VLOOKUP(A468,'[1]Raw data'!$B:$AS,39,FALSE)</f>
        <v>Yes</v>
      </c>
      <c r="Z468" s="664"/>
      <c r="AA468" s="665"/>
      <c r="AB468" s="666"/>
      <c r="AC468" s="652" t="s">
        <v>398</v>
      </c>
      <c r="AD468" s="667">
        <v>301</v>
      </c>
      <c r="AE468" s="667">
        <v>20</v>
      </c>
      <c r="AF468" s="667"/>
      <c r="AG468" s="667"/>
      <c r="AH468" s="667"/>
      <c r="AI468" s="668"/>
      <c r="AN468" s="547"/>
      <c r="AO468" s="829" t="str">
        <f t="shared" si="67"/>
        <v>Yes</v>
      </c>
      <c r="AP468" s="259" t="str">
        <f t="shared" si="68"/>
        <v>AUG 20</v>
      </c>
      <c r="AQ468" s="547" t="str">
        <f t="shared" si="69"/>
        <v>有定金+有預留客戶</v>
      </c>
      <c r="AR468" s="259" t="str">
        <f t="shared" si="70"/>
        <v>Shipped_Stock</v>
      </c>
      <c r="AS468" s="259" t="str">
        <f t="shared" si="71"/>
        <v/>
      </c>
      <c r="AT468" s="259" t="str">
        <f t="shared" si="72"/>
        <v>德劲</v>
      </c>
      <c r="AU468" s="259" t="str">
        <f t="shared" si="73"/>
        <v>C49SZX20200116JL</v>
      </c>
      <c r="AV468" s="259" t="str">
        <f t="shared" si="74"/>
        <v>Aug-12</v>
      </c>
    </row>
    <row r="469" spans="1:48" hidden="1">
      <c r="A469" s="564">
        <v>694</v>
      </c>
      <c r="B469" s="565" t="s">
        <v>280</v>
      </c>
      <c r="C469" s="568" t="s">
        <v>15</v>
      </c>
      <c r="D469" s="650">
        <v>109933</v>
      </c>
      <c r="E469" s="568" t="s">
        <v>1058</v>
      </c>
      <c r="F469" s="652" t="s">
        <v>256</v>
      </c>
      <c r="G469" s="652" t="s">
        <v>24</v>
      </c>
      <c r="H469" s="652" t="s">
        <v>26</v>
      </c>
      <c r="I469" s="580" t="s">
        <v>1070</v>
      </c>
      <c r="J469" s="580">
        <v>1</v>
      </c>
      <c r="K469" s="652" t="s">
        <v>437</v>
      </c>
      <c r="L469" s="662">
        <v>44055</v>
      </c>
      <c r="M469" s="581" t="s">
        <v>1061</v>
      </c>
      <c r="N469" s="652" t="s">
        <v>930</v>
      </c>
      <c r="O469" s="580">
        <v>2020.07</v>
      </c>
      <c r="P469" s="571" t="str">
        <f>VLOOKUP(A469,'[1]Raw data'!$B:$BB,23,FALSE)</f>
        <v>JPY</v>
      </c>
      <c r="Q469" s="568" t="str">
        <f>VLOOKUP(A469,'[1]Raw data'!$B:$Z,2,FALSE)</f>
        <v>C49SZX20200116JL</v>
      </c>
      <c r="R469" s="568" t="str">
        <f>VLOOKUP(A469,'[1]Raw data'!$B:$Z,3,FALSE)</f>
        <v>德劲</v>
      </c>
      <c r="S469" s="568" t="str">
        <f>VLOOKUP(A469,'[1]Raw data'!$B:$Z,4,FALSE)</f>
        <v>YSM20R(SV)-2</v>
      </c>
      <c r="T469" s="568" t="str">
        <f>VLOOKUP(A469,'[1]Raw data'!$B:$Z,8,FALSE)</f>
        <v>L-&gt;R</v>
      </c>
      <c r="U469" s="568" t="str">
        <f>VLOOKUP(A469,'[1]Raw data'!$B:$Z,9,FALSE)</f>
        <v>MVC</v>
      </c>
      <c r="V469" s="572" t="str">
        <f t="shared" si="66"/>
        <v>WRONG</v>
      </c>
      <c r="W469" s="568" t="str">
        <f>VLOOKUP(A469,'[1]Raw data'!$B:$AG,32,FALSE)</f>
        <v>DAP SZ</v>
      </c>
      <c r="X469" s="568">
        <f>VLOOKUP(A469,'[1]Raw data'!$B:$BA,31,FALSE)</f>
        <v>44018</v>
      </c>
      <c r="Y469" s="568" t="str">
        <f>VLOOKUP(A469,'[1]Raw data'!$B:$AS,39,FALSE)</f>
        <v>Yes</v>
      </c>
      <c r="Z469" s="664"/>
      <c r="AA469" s="665"/>
      <c r="AB469" s="666"/>
      <c r="AC469" s="652" t="s">
        <v>398</v>
      </c>
      <c r="AD469" s="667">
        <v>301</v>
      </c>
      <c r="AE469" s="667">
        <v>10</v>
      </c>
      <c r="AF469" s="667">
        <v>311</v>
      </c>
      <c r="AG469" s="667">
        <v>10</v>
      </c>
      <c r="AH469" s="667"/>
      <c r="AI469" s="668"/>
      <c r="AN469" s="547"/>
      <c r="AO469" s="829" t="str">
        <f t="shared" si="67"/>
        <v>Yes</v>
      </c>
      <c r="AP469" s="259" t="str">
        <f t="shared" si="68"/>
        <v>AUG 20</v>
      </c>
      <c r="AQ469" s="547" t="str">
        <f t="shared" si="69"/>
        <v>有定金+有預留客戶</v>
      </c>
      <c r="AR469" s="259" t="str">
        <f t="shared" si="70"/>
        <v>Shipped_Stock</v>
      </c>
      <c r="AS469" s="259" t="str">
        <f t="shared" si="71"/>
        <v/>
      </c>
      <c r="AT469" s="259" t="str">
        <f t="shared" si="72"/>
        <v>德劲</v>
      </c>
      <c r="AU469" s="259" t="str">
        <f t="shared" si="73"/>
        <v>C49SZX20200116JL</v>
      </c>
      <c r="AV469" s="259" t="str">
        <f t="shared" si="74"/>
        <v>Aug-12</v>
      </c>
    </row>
    <row r="470" spans="1:48" hidden="1">
      <c r="A470" s="564">
        <v>695</v>
      </c>
      <c r="B470" s="565" t="s">
        <v>280</v>
      </c>
      <c r="C470" s="568" t="s">
        <v>15</v>
      </c>
      <c r="D470" s="650">
        <v>109933</v>
      </c>
      <c r="E470" s="568" t="s">
        <v>1058</v>
      </c>
      <c r="F470" s="652" t="s">
        <v>256</v>
      </c>
      <c r="G470" s="652" t="s">
        <v>24</v>
      </c>
      <c r="H470" s="652" t="s">
        <v>26</v>
      </c>
      <c r="I470" s="580" t="s">
        <v>1071</v>
      </c>
      <c r="J470" s="580">
        <v>1</v>
      </c>
      <c r="K470" s="652" t="s">
        <v>437</v>
      </c>
      <c r="L470" s="662">
        <v>44055</v>
      </c>
      <c r="M470" s="581" t="s">
        <v>1061</v>
      </c>
      <c r="N470" s="652" t="s">
        <v>930</v>
      </c>
      <c r="O470" s="580">
        <v>2020.07</v>
      </c>
      <c r="P470" s="571" t="str">
        <f>VLOOKUP(A470,'[1]Raw data'!$B:$BB,23,FALSE)</f>
        <v>JPY</v>
      </c>
      <c r="Q470" s="568" t="str">
        <f>VLOOKUP(A470,'[1]Raw data'!$B:$Z,2,FALSE)</f>
        <v>C49SZX20200116JL</v>
      </c>
      <c r="R470" s="568" t="str">
        <f>VLOOKUP(A470,'[1]Raw data'!$B:$Z,3,FALSE)</f>
        <v>德劲</v>
      </c>
      <c r="S470" s="568" t="str">
        <f>VLOOKUP(A470,'[1]Raw data'!$B:$Z,4,FALSE)</f>
        <v>YSM20R(SV)-2</v>
      </c>
      <c r="T470" s="568" t="str">
        <f>VLOOKUP(A470,'[1]Raw data'!$B:$Z,8,FALSE)</f>
        <v>L-&gt;R</v>
      </c>
      <c r="U470" s="568" t="str">
        <f>VLOOKUP(A470,'[1]Raw data'!$B:$Z,9,FALSE)</f>
        <v>MVC</v>
      </c>
      <c r="V470" s="572" t="str">
        <f t="shared" ref="V470:V533" si="75">IF(G470&amp;H470=T470&amp;U470,"OK","WRONG")</f>
        <v>WRONG</v>
      </c>
      <c r="W470" s="568" t="str">
        <f>VLOOKUP(A470,'[1]Raw data'!$B:$AG,32,FALSE)</f>
        <v>DAP SZ</v>
      </c>
      <c r="X470" s="568">
        <f>VLOOKUP(A470,'[1]Raw data'!$B:$BA,31,FALSE)</f>
        <v>44018</v>
      </c>
      <c r="Y470" s="568" t="str">
        <f>VLOOKUP(A470,'[1]Raw data'!$B:$AS,39,FALSE)</f>
        <v>Yes</v>
      </c>
      <c r="Z470" s="664"/>
      <c r="AA470" s="665"/>
      <c r="AB470" s="666"/>
      <c r="AC470" s="652" t="s">
        <v>398</v>
      </c>
      <c r="AD470" s="667">
        <v>301</v>
      </c>
      <c r="AE470" s="667">
        <v>10</v>
      </c>
      <c r="AF470" s="667">
        <v>311</v>
      </c>
      <c r="AG470" s="667">
        <v>10</v>
      </c>
      <c r="AH470" s="667"/>
      <c r="AI470" s="668"/>
      <c r="AN470" s="547"/>
      <c r="AO470" s="829" t="str">
        <f t="shared" si="67"/>
        <v>Yes</v>
      </c>
      <c r="AP470" s="259" t="str">
        <f t="shared" si="68"/>
        <v>AUG 20</v>
      </c>
      <c r="AQ470" s="547" t="str">
        <f t="shared" si="69"/>
        <v>有定金+有預留客戶</v>
      </c>
      <c r="AR470" s="259" t="str">
        <f t="shared" si="70"/>
        <v>Shipped_Stock</v>
      </c>
      <c r="AS470" s="259" t="str">
        <f t="shared" si="71"/>
        <v/>
      </c>
      <c r="AT470" s="259" t="str">
        <f t="shared" si="72"/>
        <v>德劲</v>
      </c>
      <c r="AU470" s="259" t="str">
        <f t="shared" si="73"/>
        <v>C49SZX20200116JL</v>
      </c>
      <c r="AV470" s="259" t="str">
        <f t="shared" si="74"/>
        <v>Aug-12</v>
      </c>
    </row>
    <row r="471" spans="1:48" hidden="1">
      <c r="A471" s="564">
        <v>670</v>
      </c>
      <c r="B471" s="677" t="s">
        <v>1072</v>
      </c>
      <c r="C471" s="568" t="s">
        <v>15</v>
      </c>
      <c r="D471" s="621" t="s">
        <v>1073</v>
      </c>
      <c r="E471" s="589" t="s">
        <v>1074</v>
      </c>
      <c r="F471" s="678" t="s">
        <v>149</v>
      </c>
      <c r="G471" s="678" t="s">
        <v>24</v>
      </c>
      <c r="H471" s="678" t="s">
        <v>26</v>
      </c>
      <c r="I471" s="679" t="s">
        <v>1075</v>
      </c>
      <c r="J471" s="679">
        <v>1</v>
      </c>
      <c r="K471" s="678" t="s">
        <v>1076</v>
      </c>
      <c r="L471" s="680">
        <v>44024</v>
      </c>
      <c r="M471" s="681" t="s">
        <v>1077</v>
      </c>
      <c r="N471" s="678" t="s">
        <v>300</v>
      </c>
      <c r="O471" s="678"/>
      <c r="P471" s="571" t="str">
        <f>VLOOKUP(A471,'[1]Raw data'!$B:$BB,23,FALSE)</f>
        <v>RMB</v>
      </c>
      <c r="Q471" s="568" t="str">
        <f>VLOOKUP(A471,'[1]Raw data'!$B:$Z,2,FALSE)</f>
        <v>C49SZX20200077JZ</v>
      </c>
      <c r="R471" s="568" t="str">
        <f>VLOOKUP(A471,'[1]Raw data'!$B:$Z,3,FALSE)</f>
        <v>正邦</v>
      </c>
      <c r="S471" s="568" t="str">
        <f>VLOOKUP(A471,'[1]Raw data'!$B:$Z,4,FALSE)</f>
        <v>YSM40R-4</v>
      </c>
      <c r="T471" s="568" t="str">
        <f>VLOOKUP(A471,'[1]Raw data'!$B:$Z,8,FALSE)</f>
        <v>L-&gt;R</v>
      </c>
      <c r="U471" s="568" t="str">
        <f>VLOOKUP(A471,'[1]Raw data'!$B:$Z,9,FALSE)</f>
        <v>No</v>
      </c>
      <c r="V471" s="624" t="str">
        <f t="shared" si="75"/>
        <v>OK</v>
      </c>
      <c r="W471" s="568" t="str">
        <f>VLOOKUP(A471,'[1]Raw data'!$B:$AG,32,FALSE)</f>
        <v>含税到厂</v>
      </c>
      <c r="X471" s="568">
        <f>VLOOKUP(A471,'[1]Raw data'!$B:$BA,31,FALSE)</f>
        <v>44005</v>
      </c>
      <c r="Y471" s="568" t="str">
        <f>VLOOKUP(A471,'[1]Raw data'!$B:$AS,39,FALSE)</f>
        <v>Yes</v>
      </c>
      <c r="Z471" s="672"/>
      <c r="AA471" s="672"/>
      <c r="AB471" s="682"/>
      <c r="AC471" s="568" t="s">
        <v>678</v>
      </c>
      <c r="AD471" s="667"/>
      <c r="AE471" s="667"/>
      <c r="AF471" s="667"/>
      <c r="AG471" s="667"/>
      <c r="AH471" s="667"/>
      <c r="AI471" s="668"/>
      <c r="AN471" s="547"/>
      <c r="AO471" s="829" t="str">
        <f t="shared" si="67"/>
        <v>Yes</v>
      </c>
      <c r="AP471" s="259" t="str">
        <f t="shared" si="68"/>
        <v>JUL 20</v>
      </c>
      <c r="AQ471" s="547" t="str">
        <f t="shared" si="69"/>
        <v>有定金+有預留客戶</v>
      </c>
      <c r="AR471" s="259" t="str">
        <f t="shared" si="70"/>
        <v>Shipped_Stock</v>
      </c>
      <c r="AS471" s="259" t="str">
        <f t="shared" si="71"/>
        <v/>
      </c>
      <c r="AT471" s="259" t="str">
        <f t="shared" si="72"/>
        <v>正邦</v>
      </c>
      <c r="AU471" s="259" t="str">
        <f t="shared" si="73"/>
        <v>C49SZX20200077JZ</v>
      </c>
      <c r="AV471" s="259" t="str">
        <f t="shared" si="74"/>
        <v>Jul-12</v>
      </c>
    </row>
    <row r="472" spans="1:48" hidden="1">
      <c r="A472" s="564">
        <v>706</v>
      </c>
      <c r="B472" s="565" t="s">
        <v>280</v>
      </c>
      <c r="C472" s="568" t="s">
        <v>15</v>
      </c>
      <c r="D472" s="650">
        <v>109957</v>
      </c>
      <c r="E472" s="568" t="s">
        <v>886</v>
      </c>
      <c r="F472" s="652" t="s">
        <v>17</v>
      </c>
      <c r="G472" s="652" t="s">
        <v>18</v>
      </c>
      <c r="H472" s="652" t="s">
        <v>19</v>
      </c>
      <c r="I472" s="580" t="s">
        <v>1078</v>
      </c>
      <c r="J472" s="580">
        <v>1</v>
      </c>
      <c r="K472" s="652" t="s">
        <v>437</v>
      </c>
      <c r="L472" s="662">
        <v>44064</v>
      </c>
      <c r="M472" s="581" t="s">
        <v>1061</v>
      </c>
      <c r="N472" s="652" t="s">
        <v>918</v>
      </c>
      <c r="O472" s="669">
        <v>2020.07</v>
      </c>
      <c r="P472" s="571" t="str">
        <f>VLOOKUP(A472,'[1]Raw data'!$B:$BB,23,FALSE)</f>
        <v>JPY</v>
      </c>
      <c r="Q472" s="568" t="str">
        <f>VLOOKUP(A472,'[1]Raw data'!$B:$Z,2,FALSE)</f>
        <v>C49SZX20200075EC</v>
      </c>
      <c r="R472" s="568" t="str">
        <f>VLOOKUP(A472,'[1]Raw data'!$B:$Z,3,FALSE)</f>
        <v>海红天远</v>
      </c>
      <c r="S472" s="568" t="str">
        <f>VLOOKUP(A472,'[1]Raw data'!$B:$Z,4,FALSE)</f>
        <v>YSM10</v>
      </c>
      <c r="T472" s="568" t="str">
        <f>VLOOKUP(A472,'[1]Raw data'!$B:$Z,8,FALSE)</f>
        <v>R-&gt;L</v>
      </c>
      <c r="U472" s="568" t="str">
        <f>VLOOKUP(A472,'[1]Raw data'!$B:$Z,9,FALSE)</f>
        <v>MVC+ATS15</v>
      </c>
      <c r="V472" s="572" t="str">
        <f t="shared" si="75"/>
        <v>WRONG</v>
      </c>
      <c r="W472" s="568" t="str">
        <f>VLOOKUP(A472,'[1]Raw data'!$B:$AG,32,FALSE)</f>
        <v>CIF HK</v>
      </c>
      <c r="X472" s="568">
        <f>VLOOKUP(A472,'[1]Raw data'!$B:$BA,31,FALSE)</f>
        <v>44025</v>
      </c>
      <c r="Y472" s="568" t="str">
        <f>VLOOKUP(A472,'[1]Raw data'!$B:$AS,39,FALSE)</f>
        <v>Yes</v>
      </c>
      <c r="Z472" s="664"/>
      <c r="AA472" s="665"/>
      <c r="AB472" s="666"/>
      <c r="AC472" s="652" t="s">
        <v>1079</v>
      </c>
      <c r="AD472" s="667">
        <v>302</v>
      </c>
      <c r="AE472" s="667">
        <v>10</v>
      </c>
      <c r="AF472" s="667"/>
      <c r="AG472" s="667"/>
      <c r="AH472" s="667"/>
      <c r="AI472" s="668"/>
      <c r="AN472" s="547"/>
      <c r="AO472" s="829" t="str">
        <f t="shared" si="67"/>
        <v>Yes</v>
      </c>
      <c r="AP472" s="259" t="str">
        <f t="shared" si="68"/>
        <v>SEP 20</v>
      </c>
      <c r="AQ472" s="547" t="str">
        <f t="shared" si="69"/>
        <v>有定金+有預留客戶</v>
      </c>
      <c r="AR472" s="259" t="str">
        <f t="shared" si="70"/>
        <v>Shipped_Stock</v>
      </c>
      <c r="AS472" s="259" t="str">
        <f t="shared" si="71"/>
        <v/>
      </c>
      <c r="AT472" s="259" t="str">
        <f t="shared" si="72"/>
        <v>海红天远</v>
      </c>
      <c r="AU472" s="259" t="str">
        <f t="shared" si="73"/>
        <v>C49SZX20200075EC</v>
      </c>
      <c r="AV472" s="259" t="str">
        <f t="shared" si="74"/>
        <v>Aug-21</v>
      </c>
    </row>
    <row r="473" spans="1:48" hidden="1">
      <c r="A473" s="564">
        <v>768</v>
      </c>
      <c r="B473" s="565" t="s">
        <v>927</v>
      </c>
      <c r="C473" s="568" t="s">
        <v>15</v>
      </c>
      <c r="D473" s="650">
        <v>109957</v>
      </c>
      <c r="E473" s="568" t="s">
        <v>886</v>
      </c>
      <c r="F473" s="652" t="s">
        <v>17</v>
      </c>
      <c r="G473" s="652" t="s">
        <v>18</v>
      </c>
      <c r="H473" s="652" t="s">
        <v>19</v>
      </c>
      <c r="I473" s="580" t="s">
        <v>1080</v>
      </c>
      <c r="J473" s="580">
        <v>1</v>
      </c>
      <c r="K473" s="652" t="s">
        <v>437</v>
      </c>
      <c r="L473" s="662">
        <v>44064</v>
      </c>
      <c r="M473" s="581" t="s">
        <v>1061</v>
      </c>
      <c r="N473" s="652" t="s">
        <v>918</v>
      </c>
      <c r="O473" s="669">
        <v>2020.07</v>
      </c>
      <c r="P473" s="571" t="str">
        <f>VLOOKUP(A473,'[1]Raw data'!$B:$BB,23,FALSE)</f>
        <v>JPY</v>
      </c>
      <c r="Q473" s="568" t="str">
        <f>VLOOKUP(A473,'[1]Raw data'!$B:$Z,2,FALSE)</f>
        <v>C49SZX20200078CY</v>
      </c>
      <c r="R473" s="568" t="str">
        <f>VLOOKUP(A473,'[1]Raw data'!$B:$Z,3,FALSE)</f>
        <v>博德越</v>
      </c>
      <c r="S473" s="568" t="str">
        <f>VLOOKUP(A473,'[1]Raw data'!$B:$Z,4,FALSE)</f>
        <v>YSM10</v>
      </c>
      <c r="T473" s="568" t="str">
        <f>VLOOKUP(A473,'[1]Raw data'!$B:$Z,8,FALSE)</f>
        <v>R-&gt;L</v>
      </c>
      <c r="U473" s="568" t="str">
        <f>VLOOKUP(A473,'[1]Raw data'!$B:$Z,9,FALSE)</f>
        <v>MVC+ATS15</v>
      </c>
      <c r="V473" s="572" t="str">
        <f t="shared" si="75"/>
        <v>WRONG</v>
      </c>
      <c r="W473" s="568" t="str">
        <f>VLOOKUP(A473,'[1]Raw data'!$B:$AG,32,FALSE)</f>
        <v>DAP SZ</v>
      </c>
      <c r="X473" s="568">
        <f>VLOOKUP(A473,'[1]Raw data'!$B:$BA,31,FALSE)</f>
        <v>44053</v>
      </c>
      <c r="Y473" s="568" t="str">
        <f>VLOOKUP(A473,'[1]Raw data'!$B:$AS,39,FALSE)</f>
        <v>Yes</v>
      </c>
      <c r="Z473" s="664"/>
      <c r="AA473" s="665"/>
      <c r="AB473" s="666"/>
      <c r="AC473" s="652" t="s">
        <v>1062</v>
      </c>
      <c r="AD473" s="667">
        <v>302</v>
      </c>
      <c r="AE473" s="667">
        <v>10</v>
      </c>
      <c r="AF473" s="667"/>
      <c r="AG473" s="667"/>
      <c r="AH473" s="667"/>
      <c r="AI473" s="668"/>
      <c r="AN473" s="547"/>
      <c r="AO473" s="829" t="str">
        <f t="shared" si="67"/>
        <v>Yes</v>
      </c>
      <c r="AP473" s="259" t="str">
        <f t="shared" si="68"/>
        <v>SEP 20</v>
      </c>
      <c r="AQ473" s="547" t="str">
        <f t="shared" si="69"/>
        <v>有定金+有預留客戶</v>
      </c>
      <c r="AR473" s="259" t="str">
        <f t="shared" si="70"/>
        <v>Shipped_Stock</v>
      </c>
      <c r="AS473" s="259" t="str">
        <f t="shared" si="71"/>
        <v/>
      </c>
      <c r="AT473" s="259" t="str">
        <f t="shared" si="72"/>
        <v>博德越</v>
      </c>
      <c r="AU473" s="259" t="str">
        <f t="shared" si="73"/>
        <v>C49SZX20200078CY</v>
      </c>
      <c r="AV473" s="259" t="str">
        <f t="shared" si="74"/>
        <v>Aug-21</v>
      </c>
    </row>
    <row r="474" spans="1:48" hidden="1">
      <c r="A474" s="564">
        <v>734</v>
      </c>
      <c r="B474" s="565" t="s">
        <v>280</v>
      </c>
      <c r="C474" s="568" t="s">
        <v>15</v>
      </c>
      <c r="D474" s="650">
        <v>109957</v>
      </c>
      <c r="E474" s="568" t="s">
        <v>886</v>
      </c>
      <c r="F474" s="652" t="s">
        <v>17</v>
      </c>
      <c r="G474" s="652" t="s">
        <v>18</v>
      </c>
      <c r="H474" s="652" t="s">
        <v>26</v>
      </c>
      <c r="I474" s="580" t="s">
        <v>1081</v>
      </c>
      <c r="J474" s="580">
        <v>1</v>
      </c>
      <c r="K474" s="652" t="s">
        <v>437</v>
      </c>
      <c r="L474" s="662">
        <v>44064</v>
      </c>
      <c r="M474" s="670" t="s">
        <v>1061</v>
      </c>
      <c r="N474" s="652" t="s">
        <v>918</v>
      </c>
      <c r="O474" s="652">
        <v>2020.07</v>
      </c>
      <c r="P474" s="571" t="str">
        <f>VLOOKUP(A474,'[1]Raw data'!$B:$BB,23,FALSE)</f>
        <v>JPY</v>
      </c>
      <c r="Q474" s="568" t="str">
        <f>VLOOKUP(A474,'[1]Raw data'!$B:$Z,2,FALSE)</f>
        <v>C49SZX20200125JY</v>
      </c>
      <c r="R474" s="568" t="str">
        <f>VLOOKUP(A474,'[1]Raw data'!$B:$Z,3,FALSE)</f>
        <v>昊亮迪（end user：海纳科）</v>
      </c>
      <c r="S474" s="568" t="str">
        <f>VLOOKUP(A474,'[1]Raw data'!$B:$Z,4,FALSE)</f>
        <v>YSM10</v>
      </c>
      <c r="T474" s="568" t="str">
        <f>VLOOKUP(A474,'[1]Raw data'!$B:$Z,8,FALSE)</f>
        <v>L-&gt;R</v>
      </c>
      <c r="U474" s="568" t="str">
        <f>VLOOKUP(A474,'[1]Raw data'!$B:$Z,9,FALSE)</f>
        <v>MVC</v>
      </c>
      <c r="V474" s="572" t="str">
        <f t="shared" si="75"/>
        <v>WRONG</v>
      </c>
      <c r="W474" s="568" t="str">
        <f>VLOOKUP(A474,'[1]Raw data'!$B:$AG,32,FALSE)</f>
        <v>DAP SZ</v>
      </c>
      <c r="X474" s="568">
        <f>VLOOKUP(A474,'[1]Raw data'!$B:$BA,31,FALSE)</f>
        <v>44032</v>
      </c>
      <c r="Y474" s="568" t="str">
        <f>VLOOKUP(A474,'[1]Raw data'!$B:$AS,39,FALSE)</f>
        <v>Yes</v>
      </c>
      <c r="Z474" s="664"/>
      <c r="AA474" s="665"/>
      <c r="AB474" s="666"/>
      <c r="AC474" s="652" t="s">
        <v>1082</v>
      </c>
      <c r="AD474" s="667">
        <v>301</v>
      </c>
      <c r="AE474" s="667">
        <v>10</v>
      </c>
      <c r="AF474" s="667"/>
      <c r="AG474" s="667"/>
      <c r="AH474" s="667"/>
      <c r="AI474" s="668"/>
      <c r="AN474" s="547"/>
      <c r="AO474" s="829" t="str">
        <f t="shared" si="67"/>
        <v>Yes</v>
      </c>
      <c r="AP474" s="259" t="str">
        <f t="shared" si="68"/>
        <v>SEP 20</v>
      </c>
      <c r="AQ474" s="547" t="str">
        <f t="shared" si="69"/>
        <v>有定金+有預留客戶</v>
      </c>
      <c r="AR474" s="259" t="str">
        <f t="shared" si="70"/>
        <v>Shipped_Stock</v>
      </c>
      <c r="AS474" s="259" t="str">
        <f t="shared" si="71"/>
        <v/>
      </c>
      <c r="AT474" s="259" t="str">
        <f t="shared" si="72"/>
        <v>昊亮迪（end user：海纳科）</v>
      </c>
      <c r="AU474" s="259" t="str">
        <f t="shared" si="73"/>
        <v>C49SZX20200125JY</v>
      </c>
      <c r="AV474" s="259" t="str">
        <f t="shared" si="74"/>
        <v>Aug-21</v>
      </c>
    </row>
    <row r="475" spans="1:48" ht="22.5" hidden="1">
      <c r="A475" s="564">
        <v>775</v>
      </c>
      <c r="B475" s="565" t="s">
        <v>280</v>
      </c>
      <c r="C475" s="568" t="s">
        <v>15</v>
      </c>
      <c r="D475" s="650">
        <v>109957</v>
      </c>
      <c r="E475" s="568" t="s">
        <v>886</v>
      </c>
      <c r="F475" s="652" t="s">
        <v>17</v>
      </c>
      <c r="G475" s="652" t="s">
        <v>18</v>
      </c>
      <c r="H475" s="652" t="s">
        <v>26</v>
      </c>
      <c r="I475" s="580" t="s">
        <v>1083</v>
      </c>
      <c r="J475" s="580">
        <v>1</v>
      </c>
      <c r="K475" s="652" t="s">
        <v>295</v>
      </c>
      <c r="L475" s="662">
        <v>44064</v>
      </c>
      <c r="M475" s="683" t="s">
        <v>1084</v>
      </c>
      <c r="N475" s="652" t="s">
        <v>918</v>
      </c>
      <c r="O475" s="652">
        <v>2020.07</v>
      </c>
      <c r="P475" s="571" t="str">
        <f>VLOOKUP(A475,'[1]Raw data'!$B:$BB,23,FALSE)</f>
        <v>RMB</v>
      </c>
      <c r="Q475" s="568" t="str">
        <f>VLOOKUP(A475,'[1]Raw data'!$B:$Z,2,FALSE)</f>
        <v>C49SZX20200123DZ</v>
      </c>
      <c r="R475" s="568" t="str">
        <f>VLOOKUP(A475,'[1]Raw data'!$B:$Z,3,FALSE)</f>
        <v>海星</v>
      </c>
      <c r="S475" s="568" t="str">
        <f>VLOOKUP(A475,'[1]Raw data'!$B:$Z,4,FALSE)</f>
        <v>YSM10</v>
      </c>
      <c r="T475" s="568" t="str">
        <f>VLOOKUP(A475,'[1]Raw data'!$B:$Z,8,FALSE)</f>
        <v>R-&gt;L</v>
      </c>
      <c r="U475" s="568" t="str">
        <f>VLOOKUP(A475,'[1]Raw data'!$B:$Z,9,FALSE)</f>
        <v>MVC</v>
      </c>
      <c r="V475" s="572" t="str">
        <f t="shared" si="75"/>
        <v>WRONG</v>
      </c>
      <c r="W475" s="568" t="str">
        <f>VLOOKUP(A475,'[1]Raw data'!$B:$AG,32,FALSE)</f>
        <v>含税到厂</v>
      </c>
      <c r="X475" s="568">
        <f>VLOOKUP(A475,'[1]Raw data'!$B:$BA,31,FALSE)</f>
        <v>44056</v>
      </c>
      <c r="Y475" s="568" t="str">
        <f>VLOOKUP(A475,'[1]Raw data'!$B:$AS,39,FALSE)</f>
        <v>Yes</v>
      </c>
      <c r="Z475" s="664"/>
      <c r="AA475" s="665"/>
      <c r="AB475" s="666"/>
      <c r="AC475" s="652" t="s">
        <v>919</v>
      </c>
      <c r="AD475" s="667">
        <v>301</v>
      </c>
      <c r="AE475" s="667">
        <v>10</v>
      </c>
      <c r="AF475" s="667"/>
      <c r="AG475" s="667"/>
      <c r="AH475" s="667"/>
      <c r="AI475" s="668"/>
      <c r="AN475" s="547"/>
      <c r="AO475" s="829" t="str">
        <f t="shared" si="67"/>
        <v>Yes</v>
      </c>
      <c r="AP475" s="259" t="str">
        <f t="shared" si="68"/>
        <v>SEP 20</v>
      </c>
      <c r="AQ475" s="547" t="str">
        <f t="shared" si="69"/>
        <v>有定金+有預留客戶</v>
      </c>
      <c r="AR475" s="259" t="str">
        <f t="shared" si="70"/>
        <v>Shipped_Stock</v>
      </c>
      <c r="AS475" s="259" t="str">
        <f t="shared" si="71"/>
        <v/>
      </c>
      <c r="AT475" s="259" t="str">
        <f t="shared" si="72"/>
        <v>海星</v>
      </c>
      <c r="AU475" s="259" t="str">
        <f t="shared" si="73"/>
        <v>C49SZX20200123DZ</v>
      </c>
      <c r="AV475" s="259" t="str">
        <f t="shared" si="74"/>
        <v>Aug-21</v>
      </c>
    </row>
    <row r="476" spans="1:48" hidden="1">
      <c r="A476" s="564">
        <v>729</v>
      </c>
      <c r="B476" s="669" t="s">
        <v>280</v>
      </c>
      <c r="C476" s="568" t="s">
        <v>15</v>
      </c>
      <c r="D476" s="650">
        <v>109957</v>
      </c>
      <c r="E476" s="568" t="s">
        <v>886</v>
      </c>
      <c r="F476" s="652" t="s">
        <v>17</v>
      </c>
      <c r="G476" s="652" t="s">
        <v>18</v>
      </c>
      <c r="H476" s="652" t="s">
        <v>26</v>
      </c>
      <c r="I476" s="580" t="s">
        <v>1085</v>
      </c>
      <c r="J476" s="580">
        <v>1</v>
      </c>
      <c r="K476" s="652" t="s">
        <v>437</v>
      </c>
      <c r="L476" s="662">
        <v>44064</v>
      </c>
      <c r="M476" s="581" t="s">
        <v>1061</v>
      </c>
      <c r="N476" s="652" t="s">
        <v>930</v>
      </c>
      <c r="O476" s="652">
        <v>2020.08</v>
      </c>
      <c r="P476" s="571" t="str">
        <f>VLOOKUP(A476,'[1]Raw data'!$B:$BB,23,FALSE)</f>
        <v>JPY</v>
      </c>
      <c r="Q476" s="568" t="str">
        <f>VLOOKUP(A476,'[1]Raw data'!$B:$Z,2,FALSE)</f>
        <v>C49SZX20200066SX</v>
      </c>
      <c r="R476" s="568" t="str">
        <f>VLOOKUP(A476,'[1]Raw data'!$B:$Z,3,FALSE)</f>
        <v>锐诚</v>
      </c>
      <c r="S476" s="568" t="str">
        <f>VLOOKUP(A476,'[1]Raw data'!$B:$Z,4,FALSE)</f>
        <v>YSM10</v>
      </c>
      <c r="T476" s="568" t="str">
        <f>VLOOKUP(A476,'[1]Raw data'!$B:$Z,8,FALSE)</f>
        <v>L-&gt;R</v>
      </c>
      <c r="U476" s="568" t="str">
        <f>VLOOKUP(A476,'[1]Raw data'!$B:$Z,9,FALSE)</f>
        <v>MVC</v>
      </c>
      <c r="V476" s="572" t="str">
        <f t="shared" si="75"/>
        <v>WRONG</v>
      </c>
      <c r="W476" s="568" t="str">
        <f>VLOOKUP(A476,'[1]Raw data'!$B:$AG,32,FALSE)</f>
        <v>DAP HZ</v>
      </c>
      <c r="X476" s="568">
        <f>VLOOKUP(A476,'[1]Raw data'!$B:$BA,31,FALSE)</f>
        <v>44032</v>
      </c>
      <c r="Y476" s="568" t="str">
        <f>VLOOKUP(A476,'[1]Raw data'!$B:$AS,39,FALSE)</f>
        <v>Yes</v>
      </c>
      <c r="Z476" s="664"/>
      <c r="AA476" s="665"/>
      <c r="AB476" s="666"/>
      <c r="AC476" s="652" t="s">
        <v>563</v>
      </c>
      <c r="AD476" s="667">
        <v>301</v>
      </c>
      <c r="AE476" s="667">
        <v>10</v>
      </c>
      <c r="AF476" s="667"/>
      <c r="AG476" s="667"/>
      <c r="AH476" s="667"/>
      <c r="AI476" s="668"/>
      <c r="AN476" s="547"/>
      <c r="AO476" s="829" t="str">
        <f t="shared" si="67"/>
        <v>Yes</v>
      </c>
      <c r="AP476" s="259" t="str">
        <f t="shared" si="68"/>
        <v>AUG 20</v>
      </c>
      <c r="AQ476" s="547" t="str">
        <f t="shared" si="69"/>
        <v>有定金+有預留客戶</v>
      </c>
      <c r="AR476" s="259" t="str">
        <f t="shared" si="70"/>
        <v>Shipped_Stock</v>
      </c>
      <c r="AS476" s="259" t="str">
        <f t="shared" si="71"/>
        <v/>
      </c>
      <c r="AT476" s="259" t="str">
        <f t="shared" si="72"/>
        <v>锐诚</v>
      </c>
      <c r="AU476" s="259" t="str">
        <f t="shared" si="73"/>
        <v>C49SZX20200066SX</v>
      </c>
      <c r="AV476" s="259" t="str">
        <f t="shared" si="74"/>
        <v>Aug-21</v>
      </c>
    </row>
    <row r="477" spans="1:48" hidden="1">
      <c r="A477" s="564">
        <v>730</v>
      </c>
      <c r="B477" s="669" t="s">
        <v>280</v>
      </c>
      <c r="C477" s="568" t="s">
        <v>15</v>
      </c>
      <c r="D477" s="650">
        <v>109957</v>
      </c>
      <c r="E477" s="568" t="s">
        <v>886</v>
      </c>
      <c r="F477" s="652" t="s">
        <v>17</v>
      </c>
      <c r="G477" s="652" t="s">
        <v>18</v>
      </c>
      <c r="H477" s="652" t="s">
        <v>26</v>
      </c>
      <c r="I477" s="580" t="s">
        <v>1086</v>
      </c>
      <c r="J477" s="580">
        <v>1</v>
      </c>
      <c r="K477" s="652" t="s">
        <v>437</v>
      </c>
      <c r="L477" s="662">
        <v>44064</v>
      </c>
      <c r="M477" s="581" t="s">
        <v>1061</v>
      </c>
      <c r="N477" s="652" t="s">
        <v>930</v>
      </c>
      <c r="O477" s="652">
        <v>2020.08</v>
      </c>
      <c r="P477" s="571" t="str">
        <f>VLOOKUP(A477,'[1]Raw data'!$B:$BB,23,FALSE)</f>
        <v>JPY</v>
      </c>
      <c r="Q477" s="568" t="str">
        <f>VLOOKUP(A477,'[1]Raw data'!$B:$Z,2,FALSE)</f>
        <v>C49SZX20200066SX</v>
      </c>
      <c r="R477" s="568" t="str">
        <f>VLOOKUP(A477,'[1]Raw data'!$B:$Z,3,FALSE)</f>
        <v>锐诚</v>
      </c>
      <c r="S477" s="568" t="str">
        <f>VLOOKUP(A477,'[1]Raw data'!$B:$Z,4,FALSE)</f>
        <v>YSM10</v>
      </c>
      <c r="T477" s="568" t="str">
        <f>VLOOKUP(A477,'[1]Raw data'!$B:$Z,8,FALSE)</f>
        <v>L-&gt;R</v>
      </c>
      <c r="U477" s="568" t="str">
        <f>VLOOKUP(A477,'[1]Raw data'!$B:$Z,9,FALSE)</f>
        <v>No</v>
      </c>
      <c r="V477" s="572" t="str">
        <f t="shared" si="75"/>
        <v>WRONG</v>
      </c>
      <c r="W477" s="568" t="str">
        <f>VLOOKUP(A477,'[1]Raw data'!$B:$AG,32,FALSE)</f>
        <v>DAP HZ</v>
      </c>
      <c r="X477" s="568">
        <f>VLOOKUP(A477,'[1]Raw data'!$B:$BA,31,FALSE)</f>
        <v>44032</v>
      </c>
      <c r="Y477" s="568" t="str">
        <f>VLOOKUP(A477,'[1]Raw data'!$B:$AS,39,FALSE)</f>
        <v>Yes</v>
      </c>
      <c r="Z477" s="664"/>
      <c r="AA477" s="665"/>
      <c r="AB477" s="666"/>
      <c r="AC477" s="652" t="s">
        <v>563</v>
      </c>
      <c r="AD477" s="667">
        <v>301</v>
      </c>
      <c r="AE477" s="667">
        <v>10</v>
      </c>
      <c r="AF477" s="667"/>
      <c r="AG477" s="667"/>
      <c r="AH477" s="667"/>
      <c r="AI477" s="668"/>
      <c r="AN477" s="547"/>
      <c r="AO477" s="829" t="str">
        <f t="shared" si="67"/>
        <v>Yes</v>
      </c>
      <c r="AP477" s="259" t="str">
        <f t="shared" si="68"/>
        <v>AUG 20</v>
      </c>
      <c r="AQ477" s="547" t="str">
        <f t="shared" si="69"/>
        <v>有定金+有預留客戶</v>
      </c>
      <c r="AR477" s="259" t="str">
        <f t="shared" si="70"/>
        <v>Shipped_Stock</v>
      </c>
      <c r="AS477" s="259" t="str">
        <f t="shared" si="71"/>
        <v/>
      </c>
      <c r="AT477" s="259" t="str">
        <f t="shared" si="72"/>
        <v>锐诚</v>
      </c>
      <c r="AU477" s="259" t="str">
        <f t="shared" si="73"/>
        <v>C49SZX20200066SX</v>
      </c>
      <c r="AV477" s="259" t="str">
        <f t="shared" si="74"/>
        <v>Aug-21</v>
      </c>
    </row>
    <row r="478" spans="1:48" hidden="1">
      <c r="A478" s="564">
        <v>771</v>
      </c>
      <c r="B478" s="565" t="s">
        <v>280</v>
      </c>
      <c r="C478" s="568" t="s">
        <v>15</v>
      </c>
      <c r="D478" s="650">
        <v>109957</v>
      </c>
      <c r="E478" s="568" t="s">
        <v>886</v>
      </c>
      <c r="F478" s="652" t="s">
        <v>17</v>
      </c>
      <c r="G478" s="652" t="s">
        <v>18</v>
      </c>
      <c r="H478" s="652" t="s">
        <v>26</v>
      </c>
      <c r="I478" s="580" t="s">
        <v>1087</v>
      </c>
      <c r="J478" s="580">
        <v>1</v>
      </c>
      <c r="K478" s="652" t="s">
        <v>437</v>
      </c>
      <c r="L478" s="662">
        <v>44064</v>
      </c>
      <c r="M478" s="581" t="s">
        <v>1061</v>
      </c>
      <c r="N478" s="652" t="s">
        <v>918</v>
      </c>
      <c r="O478" s="652">
        <v>2020.08</v>
      </c>
      <c r="P478" s="571" t="str">
        <f>VLOOKUP(A478,'[1]Raw data'!$B:$BB,23,FALSE)</f>
        <v>RMB</v>
      </c>
      <c r="Q478" s="568" t="str">
        <f>VLOOKUP(A478,'[1]Raw data'!$B:$Z,2,FALSE)</f>
        <v>C49SZX20200126JY</v>
      </c>
      <c r="R478" s="568" t="str">
        <f>VLOOKUP(A478,'[1]Raw data'!$B:$Z,3,FALSE)</f>
        <v>芯联鑫</v>
      </c>
      <c r="S478" s="568" t="str">
        <f>VLOOKUP(A478,'[1]Raw data'!$B:$Z,4,FALSE)</f>
        <v>YSM10</v>
      </c>
      <c r="T478" s="568" t="str">
        <f>VLOOKUP(A478,'[1]Raw data'!$B:$Z,8,FALSE)</f>
        <v>L-&gt;R</v>
      </c>
      <c r="U478" s="568" t="str">
        <f>VLOOKUP(A478,'[1]Raw data'!$B:$Z,9,FALSE)</f>
        <v>MVC</v>
      </c>
      <c r="V478" s="572" t="str">
        <f t="shared" si="75"/>
        <v>WRONG</v>
      </c>
      <c r="W478" s="568" t="str">
        <f>VLOOKUP(A478,'[1]Raw data'!$B:$AG,32,FALSE)</f>
        <v>含税到厂</v>
      </c>
      <c r="X478" s="568">
        <f>VLOOKUP(A478,'[1]Raw data'!$B:$BA,31,FALSE)</f>
        <v>44054</v>
      </c>
      <c r="Y478" s="568" t="str">
        <f>VLOOKUP(A478,'[1]Raw data'!$B:$AS,39,FALSE)</f>
        <v>Yes</v>
      </c>
      <c r="Z478" s="664"/>
      <c r="AA478" s="665"/>
      <c r="AB478" s="666"/>
      <c r="AC478" s="652" t="s">
        <v>1088</v>
      </c>
      <c r="AD478" s="667">
        <v>301</v>
      </c>
      <c r="AE478" s="667">
        <v>10</v>
      </c>
      <c r="AF478" s="667"/>
      <c r="AG478" s="667"/>
      <c r="AH478" s="667"/>
      <c r="AI478" s="668"/>
      <c r="AN478" s="547"/>
      <c r="AO478" s="829" t="str">
        <f t="shared" si="67"/>
        <v>Yes</v>
      </c>
      <c r="AP478" s="259" t="str">
        <f t="shared" si="68"/>
        <v>SEP 20</v>
      </c>
      <c r="AQ478" s="547" t="str">
        <f t="shared" si="69"/>
        <v>有定金+有預留客戶</v>
      </c>
      <c r="AR478" s="259" t="str">
        <f t="shared" si="70"/>
        <v>Shipped_Stock</v>
      </c>
      <c r="AS478" s="259" t="str">
        <f t="shared" si="71"/>
        <v/>
      </c>
      <c r="AT478" s="259" t="str">
        <f t="shared" si="72"/>
        <v>芯联鑫</v>
      </c>
      <c r="AU478" s="259" t="str">
        <f t="shared" si="73"/>
        <v>C49SZX20200126JY</v>
      </c>
      <c r="AV478" s="259" t="str">
        <f t="shared" si="74"/>
        <v>Aug-21</v>
      </c>
    </row>
    <row r="479" spans="1:48" hidden="1">
      <c r="A479" s="564">
        <v>696</v>
      </c>
      <c r="B479" s="565" t="s">
        <v>280</v>
      </c>
      <c r="C479" s="568" t="s">
        <v>15</v>
      </c>
      <c r="D479" s="650">
        <v>109981</v>
      </c>
      <c r="E479" s="651" t="s">
        <v>1089</v>
      </c>
      <c r="F479" s="652" t="s">
        <v>149</v>
      </c>
      <c r="G479" s="652" t="s">
        <v>24</v>
      </c>
      <c r="H479" s="652" t="s">
        <v>26</v>
      </c>
      <c r="I479" s="580" t="s">
        <v>1090</v>
      </c>
      <c r="J479" s="580">
        <v>1</v>
      </c>
      <c r="K479" s="652" t="s">
        <v>437</v>
      </c>
      <c r="L479" s="662">
        <v>44069</v>
      </c>
      <c r="M479" s="581" t="s">
        <v>1061</v>
      </c>
      <c r="N479" s="652" t="s">
        <v>930</v>
      </c>
      <c r="O479" s="652">
        <v>2020.04</v>
      </c>
      <c r="P479" s="571" t="str">
        <f>VLOOKUP(A479,'[1]Raw data'!$B:$BB,23,FALSE)</f>
        <v>JPY</v>
      </c>
      <c r="Q479" s="568" t="str">
        <f>VLOOKUP(A479,'[1]Raw data'!$B:$Z,2,FALSE)</f>
        <v>C49SZX20200116JL</v>
      </c>
      <c r="R479" s="568" t="str">
        <f>VLOOKUP(A479,'[1]Raw data'!$B:$Z,3,FALSE)</f>
        <v>德劲</v>
      </c>
      <c r="S479" s="568" t="str">
        <f>VLOOKUP(A479,'[1]Raw data'!$B:$Z,4,FALSE)</f>
        <v>YSM40R-4</v>
      </c>
      <c r="T479" s="568" t="str">
        <f>VLOOKUP(A479,'[1]Raw data'!$B:$Z,8,FALSE)</f>
        <v>L-&gt;R</v>
      </c>
      <c r="U479" s="568" t="str">
        <f>VLOOKUP(A479,'[1]Raw data'!$B:$Z,9,FALSE)</f>
        <v>No</v>
      </c>
      <c r="V479" s="572" t="str">
        <f t="shared" si="75"/>
        <v>OK</v>
      </c>
      <c r="W479" s="568" t="str">
        <f>VLOOKUP(A479,'[1]Raw data'!$B:$AG,32,FALSE)</f>
        <v>DAP SZ</v>
      </c>
      <c r="X479" s="568">
        <f>VLOOKUP(A479,'[1]Raw data'!$B:$BA,31,FALSE)</f>
        <v>44018</v>
      </c>
      <c r="Y479" s="568" t="str">
        <f>VLOOKUP(A479,'[1]Raw data'!$B:$AS,39,FALSE)</f>
        <v>Yes</v>
      </c>
      <c r="Z479" s="664"/>
      <c r="AA479" s="665"/>
      <c r="AB479" s="666"/>
      <c r="AC479" s="568" t="s">
        <v>678</v>
      </c>
      <c r="AD479" s="667"/>
      <c r="AE479" s="667"/>
      <c r="AF479" s="667"/>
      <c r="AG479" s="667"/>
      <c r="AH479" s="667"/>
      <c r="AI479" s="668"/>
      <c r="AN479" s="547"/>
      <c r="AO479" s="829" t="str">
        <f t="shared" si="67"/>
        <v>Yes</v>
      </c>
      <c r="AP479" s="259" t="str">
        <f t="shared" si="68"/>
        <v>AUG 20</v>
      </c>
      <c r="AQ479" s="547" t="str">
        <f t="shared" si="69"/>
        <v>有定金+有預留客戶</v>
      </c>
      <c r="AR479" s="259" t="str">
        <f t="shared" si="70"/>
        <v>Shipped_Stock</v>
      </c>
      <c r="AS479" s="259" t="str">
        <f t="shared" si="71"/>
        <v/>
      </c>
      <c r="AT479" s="259" t="str">
        <f t="shared" si="72"/>
        <v>德劲</v>
      </c>
      <c r="AU479" s="259" t="str">
        <f t="shared" si="73"/>
        <v>C49SZX20200116JL</v>
      </c>
      <c r="AV479" s="259" t="str">
        <f t="shared" si="74"/>
        <v>Aug-26</v>
      </c>
    </row>
    <row r="480" spans="1:48" hidden="1">
      <c r="A480" s="564">
        <v>793</v>
      </c>
      <c r="B480" s="565" t="s">
        <v>280</v>
      </c>
      <c r="C480" s="568" t="s">
        <v>15</v>
      </c>
      <c r="D480" s="650" t="s">
        <v>1091</v>
      </c>
      <c r="E480" s="651" t="s">
        <v>1089</v>
      </c>
      <c r="F480" s="652" t="s">
        <v>149</v>
      </c>
      <c r="G480" s="652" t="s">
        <v>24</v>
      </c>
      <c r="H480" s="652" t="s">
        <v>26</v>
      </c>
      <c r="I480" s="580" t="s">
        <v>1092</v>
      </c>
      <c r="J480" s="580">
        <v>1</v>
      </c>
      <c r="K480" s="652" t="s">
        <v>437</v>
      </c>
      <c r="L480" s="662">
        <v>44069</v>
      </c>
      <c r="M480" s="670">
        <v>6.5500000000000003E-2</v>
      </c>
      <c r="N480" s="652" t="s">
        <v>918</v>
      </c>
      <c r="O480" s="652">
        <v>2020.04</v>
      </c>
      <c r="P480" s="571" t="str">
        <f>VLOOKUP(A480,'[1]Raw data'!$B:$BB,23,FALSE)</f>
        <v>RMB</v>
      </c>
      <c r="Q480" s="568" t="str">
        <f>VLOOKUP(A480,'[1]Raw data'!$B:$Z,2,FALSE)</f>
        <v>C49SZX20200127KW</v>
      </c>
      <c r="R480" s="568" t="str">
        <f>VLOOKUP(A480,'[1]Raw data'!$B:$Z,3,FALSE)</f>
        <v>万恒光电</v>
      </c>
      <c r="S480" s="568" t="str">
        <f>VLOOKUP(A480,'[1]Raw data'!$B:$Z,4,FALSE)</f>
        <v>YSM40R-4</v>
      </c>
      <c r="T480" s="568" t="str">
        <f>VLOOKUP(A480,'[1]Raw data'!$B:$Z,8,FALSE)</f>
        <v>L-&gt;R</v>
      </c>
      <c r="U480" s="568" t="str">
        <f>VLOOKUP(A480,'[1]Raw data'!$B:$Z,9,FALSE)</f>
        <v>No</v>
      </c>
      <c r="V480" s="572" t="str">
        <f t="shared" si="75"/>
        <v>OK</v>
      </c>
      <c r="W480" s="568" t="str">
        <f>VLOOKUP(A480,'[1]Raw data'!$B:$AG,32,FALSE)</f>
        <v>含税到厂</v>
      </c>
      <c r="X480" s="568">
        <f>VLOOKUP(A480,'[1]Raw data'!$B:$BA,31,FALSE)</f>
        <v>44069</v>
      </c>
      <c r="Y480" s="568" t="str">
        <f>VLOOKUP(A480,'[1]Raw data'!$B:$AS,39,FALSE)</f>
        <v>Yes</v>
      </c>
      <c r="Z480" s="664"/>
      <c r="AA480" s="665"/>
      <c r="AB480" s="666"/>
      <c r="AC480" s="652" t="s">
        <v>1093</v>
      </c>
      <c r="AD480" s="667"/>
      <c r="AE480" s="667"/>
      <c r="AF480" s="667"/>
      <c r="AG480" s="667"/>
      <c r="AH480" s="667"/>
      <c r="AI480" s="668"/>
      <c r="AN480" s="547"/>
      <c r="AO480" s="829" t="str">
        <f t="shared" si="67"/>
        <v>Yes</v>
      </c>
      <c r="AP480" s="259" t="str">
        <f t="shared" si="68"/>
        <v>SEP 20</v>
      </c>
      <c r="AQ480" s="547" t="str">
        <f t="shared" si="69"/>
        <v>有定金+有預留客戶</v>
      </c>
      <c r="AR480" s="259" t="str">
        <f t="shared" si="70"/>
        <v>Shipped_Stock</v>
      </c>
      <c r="AS480" s="259" t="str">
        <f t="shared" si="71"/>
        <v/>
      </c>
      <c r="AT480" s="259" t="str">
        <f t="shared" si="72"/>
        <v>万恒光电</v>
      </c>
      <c r="AU480" s="259" t="str">
        <f t="shared" si="73"/>
        <v>C49SZX20200127KW</v>
      </c>
      <c r="AV480" s="259" t="str">
        <f t="shared" si="74"/>
        <v>Aug-26</v>
      </c>
    </row>
    <row r="481" spans="1:48" hidden="1">
      <c r="A481" s="564">
        <v>707</v>
      </c>
      <c r="B481" s="565" t="s">
        <v>280</v>
      </c>
      <c r="C481" s="568" t="s">
        <v>15</v>
      </c>
      <c r="D481" s="650">
        <v>109958</v>
      </c>
      <c r="E481" s="568" t="s">
        <v>886</v>
      </c>
      <c r="F481" s="652" t="s">
        <v>17</v>
      </c>
      <c r="G481" s="652" t="s">
        <v>1012</v>
      </c>
      <c r="H481" s="652" t="s">
        <v>26</v>
      </c>
      <c r="I481" s="580" t="s">
        <v>1094</v>
      </c>
      <c r="J481" s="580">
        <v>1</v>
      </c>
      <c r="K481" s="652" t="s">
        <v>437</v>
      </c>
      <c r="L481" s="662">
        <v>44071</v>
      </c>
      <c r="M481" s="670">
        <v>6.6299999999999998E-2</v>
      </c>
      <c r="N481" s="652" t="s">
        <v>918</v>
      </c>
      <c r="O481" s="669">
        <v>2020.08</v>
      </c>
      <c r="P481" s="571" t="str">
        <f>VLOOKUP(A481,'[1]Raw data'!$B:$BB,23,FALSE)</f>
        <v>JPY</v>
      </c>
      <c r="Q481" s="568" t="str">
        <f>VLOOKUP(A481,'[1]Raw data'!$B:$Z,2,FALSE)</f>
        <v>C49SZX20200075EC</v>
      </c>
      <c r="R481" s="568" t="str">
        <f>VLOOKUP(A481,'[1]Raw data'!$B:$Z,3,FALSE)</f>
        <v>海红天远</v>
      </c>
      <c r="S481" s="568" t="str">
        <f>VLOOKUP(A481,'[1]Raw data'!$B:$Z,4,FALSE)</f>
        <v>YSM10</v>
      </c>
      <c r="T481" s="568" t="str">
        <f>VLOOKUP(A481,'[1]Raw data'!$B:$Z,8,FALSE)</f>
        <v>R-&gt;L</v>
      </c>
      <c r="U481" s="568" t="str">
        <f>VLOOKUP(A481,'[1]Raw data'!$B:$Z,9,FALSE)</f>
        <v>No</v>
      </c>
      <c r="V481" s="572" t="str">
        <f t="shared" si="75"/>
        <v>OK</v>
      </c>
      <c r="W481" s="568" t="str">
        <f>VLOOKUP(A481,'[1]Raw data'!$B:$AG,32,FALSE)</f>
        <v>CIF HK</v>
      </c>
      <c r="X481" s="568">
        <f>VLOOKUP(A481,'[1]Raw data'!$B:$BA,31,FALSE)</f>
        <v>44025</v>
      </c>
      <c r="Y481" s="568" t="str">
        <f>VLOOKUP(A481,'[1]Raw data'!$B:$AS,39,FALSE)</f>
        <v>Yes</v>
      </c>
      <c r="Z481" s="664"/>
      <c r="AA481" s="665"/>
      <c r="AB481" s="666"/>
      <c r="AC481" s="652" t="s">
        <v>1079</v>
      </c>
      <c r="AD481" s="667">
        <v>301</v>
      </c>
      <c r="AE481" s="667">
        <v>10</v>
      </c>
      <c r="AF481" s="667"/>
      <c r="AG481" s="667"/>
      <c r="AH481" s="667"/>
      <c r="AI481" s="668"/>
      <c r="AN481" s="547"/>
      <c r="AO481" s="829" t="str">
        <f t="shared" si="67"/>
        <v>Yes</v>
      </c>
      <c r="AP481" s="259" t="str">
        <f t="shared" si="68"/>
        <v>SEP 20</v>
      </c>
      <c r="AQ481" s="547" t="str">
        <f t="shared" si="69"/>
        <v>有定金+有預留客戶</v>
      </c>
      <c r="AR481" s="259" t="str">
        <f t="shared" si="70"/>
        <v>Shipped_Stock</v>
      </c>
      <c r="AS481" s="259" t="str">
        <f t="shared" si="71"/>
        <v/>
      </c>
      <c r="AT481" s="259" t="str">
        <f t="shared" si="72"/>
        <v>海红天远</v>
      </c>
      <c r="AU481" s="259" t="str">
        <f t="shared" si="73"/>
        <v>C49SZX20200075EC</v>
      </c>
      <c r="AV481" s="259" t="str">
        <f t="shared" si="74"/>
        <v>Aug-28</v>
      </c>
    </row>
    <row r="482" spans="1:48" hidden="1">
      <c r="A482" s="564">
        <v>724</v>
      </c>
      <c r="B482" s="565" t="s">
        <v>280</v>
      </c>
      <c r="C482" s="568" t="s">
        <v>15</v>
      </c>
      <c r="D482" s="650">
        <v>109958</v>
      </c>
      <c r="E482" s="568" t="s">
        <v>886</v>
      </c>
      <c r="F482" s="652" t="s">
        <v>17</v>
      </c>
      <c r="G482" s="652" t="s">
        <v>18</v>
      </c>
      <c r="H482" s="652" t="s">
        <v>26</v>
      </c>
      <c r="I482" s="580" t="s">
        <v>1095</v>
      </c>
      <c r="J482" s="580">
        <v>1</v>
      </c>
      <c r="K482" s="652" t="s">
        <v>437</v>
      </c>
      <c r="L482" s="662">
        <v>44071</v>
      </c>
      <c r="M482" s="670">
        <v>6.6299999999999998E-2</v>
      </c>
      <c r="N482" s="652" t="s">
        <v>918</v>
      </c>
      <c r="O482" s="669">
        <v>2020.08</v>
      </c>
      <c r="P482" s="571" t="str">
        <f>VLOOKUP(A482,'[1]Raw data'!$B:$BB,23,FALSE)</f>
        <v>JPY</v>
      </c>
      <c r="Q482" s="568" t="str">
        <f>VLOOKUP(A482,'[1]Raw data'!$B:$Z,2,FALSE)</f>
        <v>C49SZX20200102MZ</v>
      </c>
      <c r="R482" s="568" t="str">
        <f>VLOOKUP(A482,'[1]Raw data'!$B:$Z,3,FALSE)</f>
        <v>崧盛</v>
      </c>
      <c r="S482" s="568" t="str">
        <f>VLOOKUP(A482,'[1]Raw data'!$B:$Z,4,FALSE)</f>
        <v>YSM10</v>
      </c>
      <c r="T482" s="568" t="str">
        <f>VLOOKUP(A482,'[1]Raw data'!$B:$Z,8,FALSE)</f>
        <v>L-&gt;R</v>
      </c>
      <c r="U482" s="568" t="str">
        <f>VLOOKUP(A482,'[1]Raw data'!$B:$Z,9,FALSE)</f>
        <v>No</v>
      </c>
      <c r="V482" s="572" t="str">
        <f t="shared" si="75"/>
        <v>WRONG</v>
      </c>
      <c r="W482" s="568" t="str">
        <f>VLOOKUP(A482,'[1]Raw data'!$B:$AG,32,FALSE)</f>
        <v>CIF HK</v>
      </c>
      <c r="X482" s="568">
        <f>VLOOKUP(A482,'[1]Raw data'!$B:$BA,31,FALSE)</f>
        <v>44028</v>
      </c>
      <c r="Y482" s="568" t="str">
        <f>VLOOKUP(A482,'[1]Raw data'!$B:$AS,39,FALSE)</f>
        <v>Yes</v>
      </c>
      <c r="Z482" s="664"/>
      <c r="AA482" s="665"/>
      <c r="AB482" s="666"/>
      <c r="AC482" s="652" t="s">
        <v>637</v>
      </c>
      <c r="AD482" s="667">
        <v>301</v>
      </c>
      <c r="AE482" s="667">
        <v>10</v>
      </c>
      <c r="AF482" s="667"/>
      <c r="AG482" s="667"/>
      <c r="AH482" s="667"/>
      <c r="AI482" s="668"/>
      <c r="AN482" s="547"/>
      <c r="AO482" s="829" t="str">
        <f t="shared" si="67"/>
        <v>Yes</v>
      </c>
      <c r="AP482" s="259" t="str">
        <f t="shared" si="68"/>
        <v>SEP 20</v>
      </c>
      <c r="AQ482" s="547" t="str">
        <f t="shared" si="69"/>
        <v>有定金+有預留客戶</v>
      </c>
      <c r="AR482" s="259" t="str">
        <f t="shared" si="70"/>
        <v>Shipped_Stock</v>
      </c>
      <c r="AS482" s="259" t="str">
        <f t="shared" si="71"/>
        <v/>
      </c>
      <c r="AT482" s="259" t="str">
        <f t="shared" si="72"/>
        <v>崧盛</v>
      </c>
      <c r="AU482" s="259" t="str">
        <f t="shared" si="73"/>
        <v>C49SZX20200102MZ</v>
      </c>
      <c r="AV482" s="259" t="str">
        <f t="shared" si="74"/>
        <v>Aug-28</v>
      </c>
    </row>
    <row r="483" spans="1:48" hidden="1">
      <c r="A483" s="564">
        <v>725</v>
      </c>
      <c r="B483" s="565" t="s">
        <v>280</v>
      </c>
      <c r="C483" s="568" t="s">
        <v>15</v>
      </c>
      <c r="D483" s="650">
        <v>109958</v>
      </c>
      <c r="E483" s="568" t="s">
        <v>886</v>
      </c>
      <c r="F483" s="652" t="s">
        <v>17</v>
      </c>
      <c r="G483" s="652" t="s">
        <v>18</v>
      </c>
      <c r="H483" s="652" t="s">
        <v>26</v>
      </c>
      <c r="I483" s="580" t="s">
        <v>1096</v>
      </c>
      <c r="J483" s="580">
        <v>1</v>
      </c>
      <c r="K483" s="652" t="s">
        <v>437</v>
      </c>
      <c r="L483" s="662">
        <v>44071</v>
      </c>
      <c r="M483" s="681">
        <v>6.6299999999999998E-2</v>
      </c>
      <c r="N483" s="652" t="s">
        <v>918</v>
      </c>
      <c r="O483" s="669">
        <v>2020.08</v>
      </c>
      <c r="P483" s="571" t="str">
        <f>VLOOKUP(A483,'[1]Raw data'!$B:$BB,23,FALSE)</f>
        <v>JPY</v>
      </c>
      <c r="Q483" s="568" t="str">
        <f>VLOOKUP(A483,'[1]Raw data'!$B:$Z,2,FALSE)</f>
        <v>C49SZX20200102MZ</v>
      </c>
      <c r="R483" s="568" t="str">
        <f>VLOOKUP(A483,'[1]Raw data'!$B:$Z,3,FALSE)</f>
        <v>崧盛</v>
      </c>
      <c r="S483" s="568" t="str">
        <f>VLOOKUP(A483,'[1]Raw data'!$B:$Z,4,FALSE)</f>
        <v>YSM10</v>
      </c>
      <c r="T483" s="568" t="str">
        <f>VLOOKUP(A483,'[1]Raw data'!$B:$Z,8,FALSE)</f>
        <v>L-&gt;R</v>
      </c>
      <c r="U483" s="568" t="str">
        <f>VLOOKUP(A483,'[1]Raw data'!$B:$Z,9,FALSE)</f>
        <v>No</v>
      </c>
      <c r="V483" s="572" t="str">
        <f t="shared" si="75"/>
        <v>WRONG</v>
      </c>
      <c r="W483" s="568" t="str">
        <f>VLOOKUP(A483,'[1]Raw data'!$B:$AG,32,FALSE)</f>
        <v>CIF HK</v>
      </c>
      <c r="X483" s="568">
        <f>VLOOKUP(A483,'[1]Raw data'!$B:$BA,31,FALSE)</f>
        <v>44028</v>
      </c>
      <c r="Y483" s="568" t="str">
        <f>VLOOKUP(A483,'[1]Raw data'!$B:$AS,39,FALSE)</f>
        <v>Yes</v>
      </c>
      <c r="Z483" s="674"/>
      <c r="AA483" s="675"/>
      <c r="AB483" s="676"/>
      <c r="AC483" s="652" t="s">
        <v>637</v>
      </c>
      <c r="AD483" s="667">
        <v>301</v>
      </c>
      <c r="AE483" s="667">
        <v>10</v>
      </c>
      <c r="AF483" s="667"/>
      <c r="AG483" s="667"/>
      <c r="AH483" s="667"/>
      <c r="AI483" s="668"/>
      <c r="AN483" s="547"/>
      <c r="AO483" s="829" t="str">
        <f t="shared" si="67"/>
        <v>Yes</v>
      </c>
      <c r="AP483" s="259" t="str">
        <f t="shared" si="68"/>
        <v>SEP 20</v>
      </c>
      <c r="AQ483" s="547" t="str">
        <f t="shared" si="69"/>
        <v>有定金+有預留客戶</v>
      </c>
      <c r="AR483" s="259" t="str">
        <f t="shared" si="70"/>
        <v>Shipped_Stock</v>
      </c>
      <c r="AS483" s="259" t="str">
        <f t="shared" si="71"/>
        <v/>
      </c>
      <c r="AT483" s="259" t="str">
        <f t="shared" si="72"/>
        <v>崧盛</v>
      </c>
      <c r="AU483" s="259" t="str">
        <f t="shared" si="73"/>
        <v>C49SZX20200102MZ</v>
      </c>
      <c r="AV483" s="259" t="str">
        <f t="shared" si="74"/>
        <v>Aug-28</v>
      </c>
    </row>
    <row r="484" spans="1:48" hidden="1">
      <c r="A484" s="564">
        <v>719</v>
      </c>
      <c r="B484" s="565" t="s">
        <v>280</v>
      </c>
      <c r="C484" s="568" t="s">
        <v>15</v>
      </c>
      <c r="D484" s="650">
        <v>109958</v>
      </c>
      <c r="E484" s="568" t="s">
        <v>886</v>
      </c>
      <c r="F484" s="652" t="s">
        <v>17</v>
      </c>
      <c r="G484" s="652" t="s">
        <v>18</v>
      </c>
      <c r="H484" s="652" t="s">
        <v>26</v>
      </c>
      <c r="I484" s="580" t="s">
        <v>1097</v>
      </c>
      <c r="J484" s="580">
        <v>1</v>
      </c>
      <c r="K484" s="652" t="s">
        <v>437</v>
      </c>
      <c r="L484" s="662">
        <v>44071</v>
      </c>
      <c r="M484" s="670">
        <v>6.6299999999999998E-2</v>
      </c>
      <c r="N484" s="652" t="s">
        <v>918</v>
      </c>
      <c r="O484" s="652">
        <v>2020.08</v>
      </c>
      <c r="P484" s="571" t="str">
        <f>VLOOKUP(A484,'[1]Raw data'!$B:$BB,23,FALSE)</f>
        <v>JPY</v>
      </c>
      <c r="Q484" s="568" t="str">
        <f>VLOOKUP(A484,'[1]Raw data'!$B:$Z,2,FALSE)</f>
        <v>C49SZX20200103SS</v>
      </c>
      <c r="R484" s="568" t="str">
        <f>VLOOKUP(A484,'[1]Raw data'!$B:$Z,3,FALSE)</f>
        <v>钧溢电子</v>
      </c>
      <c r="S484" s="568" t="str">
        <f>VLOOKUP(A484,'[1]Raw data'!$B:$Z,4,FALSE)</f>
        <v>YSM10</v>
      </c>
      <c r="T484" s="568" t="str">
        <f>VLOOKUP(A484,'[1]Raw data'!$B:$Z,8,FALSE)</f>
        <v>L-&gt;R</v>
      </c>
      <c r="U484" s="568" t="str">
        <f>VLOOKUP(A484,'[1]Raw data'!$B:$Z,9,FALSE)</f>
        <v>MVC</v>
      </c>
      <c r="V484" s="572" t="str">
        <f t="shared" si="75"/>
        <v>WRONG</v>
      </c>
      <c r="W484" s="568" t="str">
        <f>VLOOKUP(A484,'[1]Raw data'!$B:$AG,32,FALSE)</f>
        <v>DAP SZ</v>
      </c>
      <c r="X484" s="568">
        <f>VLOOKUP(A484,'[1]Raw data'!$B:$BA,31,FALSE)</f>
        <v>44027</v>
      </c>
      <c r="Y484" s="568" t="str">
        <f>VLOOKUP(A484,'[1]Raw data'!$B:$AS,39,FALSE)</f>
        <v>Yes</v>
      </c>
      <c r="Z484" s="664"/>
      <c r="AA484" s="665"/>
      <c r="AB484" s="666"/>
      <c r="AC484" s="652" t="s">
        <v>940</v>
      </c>
      <c r="AD484" s="667">
        <v>302</v>
      </c>
      <c r="AE484" s="667">
        <v>10</v>
      </c>
      <c r="AF484" s="667"/>
      <c r="AG484" s="667"/>
      <c r="AH484" s="667"/>
      <c r="AI484" s="668"/>
      <c r="AN484" s="547"/>
      <c r="AO484" s="829" t="str">
        <f t="shared" si="67"/>
        <v>Yes</v>
      </c>
      <c r="AP484" s="259" t="str">
        <f t="shared" si="68"/>
        <v>SEP 20</v>
      </c>
      <c r="AQ484" s="547" t="str">
        <f t="shared" si="69"/>
        <v>有定金+有預留客戶</v>
      </c>
      <c r="AR484" s="259" t="str">
        <f t="shared" si="70"/>
        <v>Shipped_Stock</v>
      </c>
      <c r="AS484" s="259" t="str">
        <f t="shared" si="71"/>
        <v/>
      </c>
      <c r="AT484" s="259" t="str">
        <f t="shared" si="72"/>
        <v>钧溢电子</v>
      </c>
      <c r="AU484" s="259" t="str">
        <f t="shared" si="73"/>
        <v>C49SZX20200103SS</v>
      </c>
      <c r="AV484" s="259" t="str">
        <f t="shared" si="74"/>
        <v>Aug-28</v>
      </c>
    </row>
    <row r="485" spans="1:48" hidden="1">
      <c r="A485" s="564">
        <v>742</v>
      </c>
      <c r="B485" s="565" t="s">
        <v>280</v>
      </c>
      <c r="C485" s="568" t="s">
        <v>15</v>
      </c>
      <c r="D485" s="650">
        <v>109958</v>
      </c>
      <c r="E485" s="568" t="s">
        <v>886</v>
      </c>
      <c r="F485" s="652" t="s">
        <v>17</v>
      </c>
      <c r="G485" s="652" t="s">
        <v>18</v>
      </c>
      <c r="H485" s="652" t="s">
        <v>26</v>
      </c>
      <c r="I485" s="580" t="s">
        <v>1098</v>
      </c>
      <c r="J485" s="580">
        <v>1</v>
      </c>
      <c r="K485" s="652" t="s">
        <v>437</v>
      </c>
      <c r="L485" s="662">
        <v>44071</v>
      </c>
      <c r="M485" s="670">
        <v>6.6299999999999998E-2</v>
      </c>
      <c r="N485" s="652" t="s">
        <v>918</v>
      </c>
      <c r="O485" s="652">
        <v>2020.08</v>
      </c>
      <c r="P485" s="571" t="str">
        <f>VLOOKUP(A485,'[1]Raw data'!$B:$BB,23,FALSE)</f>
        <v>JPY</v>
      </c>
      <c r="Q485" s="568" t="str">
        <f>VLOOKUP(A485,'[1]Raw data'!$B:$Z,2,FALSE)</f>
        <v>C49SZX20200111JY</v>
      </c>
      <c r="R485" s="568" t="str">
        <f>VLOOKUP(A485,'[1]Raw data'!$B:$Z,3,FALSE)</f>
        <v>华创易达</v>
      </c>
      <c r="S485" s="568" t="str">
        <f>VLOOKUP(A485,'[1]Raw data'!$B:$Z,4,FALSE)</f>
        <v>YSM10</v>
      </c>
      <c r="T485" s="568" t="str">
        <f>VLOOKUP(A485,'[1]Raw data'!$B:$Z,8,FALSE)</f>
        <v>L-&gt;R</v>
      </c>
      <c r="U485" s="568" t="str">
        <f>VLOOKUP(A485,'[1]Raw data'!$B:$Z,9,FALSE)</f>
        <v>No</v>
      </c>
      <c r="V485" s="572" t="str">
        <f t="shared" si="75"/>
        <v>WRONG</v>
      </c>
      <c r="W485" s="568" t="str">
        <f>VLOOKUP(A485,'[1]Raw data'!$B:$AG,32,FALSE)</f>
        <v>DAP SZ</v>
      </c>
      <c r="X485" s="568">
        <f>VLOOKUP(A485,'[1]Raw data'!$B:$BA,31,FALSE)</f>
        <v>44035</v>
      </c>
      <c r="Y485" s="568" t="str">
        <f>VLOOKUP(A485,'[1]Raw data'!$B:$AS,39,FALSE)</f>
        <v>Yes</v>
      </c>
      <c r="Z485" s="664"/>
      <c r="AA485" s="665"/>
      <c r="AB485" s="666"/>
      <c r="AC485" s="652" t="s">
        <v>1099</v>
      </c>
      <c r="AD485" s="667">
        <v>302</v>
      </c>
      <c r="AE485" s="667">
        <v>10</v>
      </c>
      <c r="AF485" s="667"/>
      <c r="AG485" s="667"/>
      <c r="AH485" s="667"/>
      <c r="AI485" s="668"/>
      <c r="AN485" s="547"/>
      <c r="AO485" s="829" t="str">
        <f t="shared" si="67"/>
        <v>Yes</v>
      </c>
      <c r="AP485" s="259" t="str">
        <f t="shared" si="68"/>
        <v>SEP 20</v>
      </c>
      <c r="AQ485" s="547" t="str">
        <f t="shared" si="69"/>
        <v>有定金+有預留客戶</v>
      </c>
      <c r="AR485" s="259" t="str">
        <f t="shared" si="70"/>
        <v>Shipped_Stock</v>
      </c>
      <c r="AS485" s="259" t="str">
        <f t="shared" si="71"/>
        <v/>
      </c>
      <c r="AT485" s="259" t="str">
        <f t="shared" si="72"/>
        <v>华创易达</v>
      </c>
      <c r="AU485" s="259" t="str">
        <f t="shared" si="73"/>
        <v>C49SZX20200111JY</v>
      </c>
      <c r="AV485" s="259" t="str">
        <f t="shared" si="74"/>
        <v>Aug-28</v>
      </c>
    </row>
    <row r="486" spans="1:48" hidden="1">
      <c r="A486" s="564">
        <v>728</v>
      </c>
      <c r="B486" s="669" t="s">
        <v>280</v>
      </c>
      <c r="C486" s="568" t="s">
        <v>15</v>
      </c>
      <c r="D486" s="604" t="s">
        <v>1100</v>
      </c>
      <c r="E486" s="568" t="s">
        <v>886</v>
      </c>
      <c r="F486" s="568" t="s">
        <v>256</v>
      </c>
      <c r="G486" s="568" t="s">
        <v>24</v>
      </c>
      <c r="H486" s="652" t="s">
        <v>26</v>
      </c>
      <c r="I486" s="580" t="s">
        <v>1101</v>
      </c>
      <c r="J486" s="580">
        <v>1</v>
      </c>
      <c r="K486" s="652" t="s">
        <v>496</v>
      </c>
      <c r="L486" s="662">
        <v>44090</v>
      </c>
      <c r="M486" s="623">
        <v>6.5500000000000003E-2</v>
      </c>
      <c r="N486" s="652" t="s">
        <v>918</v>
      </c>
      <c r="O486" s="684">
        <v>2020.09</v>
      </c>
      <c r="P486" s="571" t="str">
        <f>VLOOKUP(A486,'[1]Raw data'!$B:$BB,23,FALSE)</f>
        <v>RMB</v>
      </c>
      <c r="Q486" s="568" t="str">
        <f>VLOOKUP(A486,'[1]Raw data'!$B:$Z,2,FALSE)</f>
        <v>C49SZX20200096MZ</v>
      </c>
      <c r="R486" s="568" t="str">
        <f>VLOOKUP(A486,'[1]Raw data'!$B:$Z,3,FALSE)</f>
        <v>东原</v>
      </c>
      <c r="S486" s="568" t="str">
        <f>VLOOKUP(A486,'[1]Raw data'!$B:$Z,4,FALSE)</f>
        <v>YSM20R(SV)-2</v>
      </c>
      <c r="T486" s="568" t="str">
        <f>VLOOKUP(A486,'[1]Raw data'!$B:$Z,8,FALSE)</f>
        <v>L-&gt;R</v>
      </c>
      <c r="U486" s="568" t="str">
        <f>VLOOKUP(A486,'[1]Raw data'!$B:$Z,9,FALSE)</f>
        <v>No</v>
      </c>
      <c r="V486" s="572" t="str">
        <f t="shared" si="75"/>
        <v>OK</v>
      </c>
      <c r="W486" s="568" t="str">
        <f>VLOOKUP(A486,'[1]Raw data'!$B:$AG,32,FALSE)</f>
        <v>含税到厂</v>
      </c>
      <c r="X486" s="568">
        <f>VLOOKUP(A486,'[1]Raw data'!$B:$BA,31,FALSE)</f>
        <v>44030</v>
      </c>
      <c r="Y486" s="568" t="str">
        <f>VLOOKUP(A486,'[1]Raw data'!$B:$AS,39,FALSE)</f>
        <v>Yes</v>
      </c>
      <c r="Z486" s="664"/>
      <c r="AA486" s="665"/>
      <c r="AB486" s="666"/>
      <c r="AC486" s="652" t="s">
        <v>1102</v>
      </c>
      <c r="AD486" s="667">
        <v>312</v>
      </c>
      <c r="AE486" s="667">
        <v>10</v>
      </c>
      <c r="AF486" s="667">
        <v>303</v>
      </c>
      <c r="AG486" s="667">
        <v>10</v>
      </c>
      <c r="AH486" s="667"/>
      <c r="AI486" s="668"/>
      <c r="AN486" s="547"/>
      <c r="AO486" s="829" t="str">
        <f t="shared" si="67"/>
        <v>Yes</v>
      </c>
      <c r="AP486" s="259" t="str">
        <f t="shared" si="68"/>
        <v>SEP 20</v>
      </c>
      <c r="AQ486" s="547" t="str">
        <f t="shared" si="69"/>
        <v>有定金+有預留客戶</v>
      </c>
      <c r="AR486" s="259" t="str">
        <f t="shared" si="70"/>
        <v>Shipped_Stock</v>
      </c>
      <c r="AS486" s="259" t="str">
        <f t="shared" si="71"/>
        <v/>
      </c>
      <c r="AT486" s="259" t="str">
        <f t="shared" si="72"/>
        <v>东原</v>
      </c>
      <c r="AU486" s="259" t="str">
        <f t="shared" si="73"/>
        <v>C49SZX20200096MZ</v>
      </c>
      <c r="AV486" s="259" t="str">
        <f t="shared" si="74"/>
        <v>Sep-16</v>
      </c>
    </row>
    <row r="487" spans="1:48" ht="22.5" hidden="1">
      <c r="A487" s="564">
        <v>758</v>
      </c>
      <c r="B487" s="669" t="s">
        <v>280</v>
      </c>
      <c r="C487" s="568" t="s">
        <v>15</v>
      </c>
      <c r="D487" s="604" t="s">
        <v>1100</v>
      </c>
      <c r="E487" s="568" t="s">
        <v>886</v>
      </c>
      <c r="F487" s="568" t="s">
        <v>256</v>
      </c>
      <c r="G487" s="568" t="s">
        <v>24</v>
      </c>
      <c r="H487" s="652" t="s">
        <v>26</v>
      </c>
      <c r="I487" s="580" t="s">
        <v>1103</v>
      </c>
      <c r="J487" s="580">
        <v>1</v>
      </c>
      <c r="K487" s="652" t="s">
        <v>496</v>
      </c>
      <c r="L487" s="662">
        <v>44090</v>
      </c>
      <c r="M487" s="683" t="s">
        <v>1104</v>
      </c>
      <c r="N487" s="652" t="s">
        <v>918</v>
      </c>
      <c r="O487" s="684">
        <v>2020.09</v>
      </c>
      <c r="P487" s="571" t="str">
        <f>VLOOKUP(A487,'[1]Raw data'!$B:$BB,23,FALSE)</f>
        <v>JPY</v>
      </c>
      <c r="Q487" s="568" t="str">
        <f>VLOOKUP(A487,'[1]Raw data'!$B:$Z,2,FALSE)</f>
        <v>C49SZX20200130JZ</v>
      </c>
      <c r="R487" s="568" t="str">
        <f>VLOOKUP(A487,'[1]Raw data'!$B:$Z,3,FALSE)</f>
        <v>斯迈</v>
      </c>
      <c r="S487" s="568" t="str">
        <f>VLOOKUP(A487,'[1]Raw data'!$B:$Z,4,FALSE)</f>
        <v>YSM20R(SV)-2</v>
      </c>
      <c r="T487" s="568" t="str">
        <f>VLOOKUP(A487,'[1]Raw data'!$B:$Z,8,FALSE)</f>
        <v>L-&gt;R</v>
      </c>
      <c r="U487" s="568" t="str">
        <f>VLOOKUP(A487,'[1]Raw data'!$B:$Z,9,FALSE)</f>
        <v>No</v>
      </c>
      <c r="V487" s="572" t="str">
        <f t="shared" si="75"/>
        <v>OK</v>
      </c>
      <c r="W487" s="568" t="str">
        <f>VLOOKUP(A487,'[1]Raw data'!$B:$AG,32,FALSE)</f>
        <v>DAP GZ</v>
      </c>
      <c r="X487" s="568">
        <f>VLOOKUP(A487,'[1]Raw data'!$B:$BA,31,FALSE)</f>
        <v>44049</v>
      </c>
      <c r="Y487" s="568" t="str">
        <f>VLOOKUP(A487,'[1]Raw data'!$B:$AS,39,FALSE)</f>
        <v>Yes</v>
      </c>
      <c r="Z487" s="674"/>
      <c r="AA487" s="675"/>
      <c r="AB487" s="676"/>
      <c r="AC487" s="652" t="s">
        <v>1105</v>
      </c>
      <c r="AD487" s="667">
        <v>303</v>
      </c>
      <c r="AE487" s="667">
        <v>10</v>
      </c>
      <c r="AF487" s="667">
        <v>312</v>
      </c>
      <c r="AG487" s="667">
        <v>10</v>
      </c>
      <c r="AH487" s="667"/>
      <c r="AI487" s="668"/>
      <c r="AN487" s="547"/>
      <c r="AO487" s="829" t="str">
        <f t="shared" si="67"/>
        <v>Yes</v>
      </c>
      <c r="AP487" s="259" t="str">
        <f t="shared" si="68"/>
        <v>SEP 20</v>
      </c>
      <c r="AQ487" s="547" t="str">
        <f t="shared" si="69"/>
        <v>有定金+有預留客戶</v>
      </c>
      <c r="AR487" s="259" t="str">
        <f t="shared" si="70"/>
        <v>Shipped_Stock</v>
      </c>
      <c r="AS487" s="259" t="str">
        <f t="shared" si="71"/>
        <v/>
      </c>
      <c r="AT487" s="259" t="str">
        <f t="shared" si="72"/>
        <v>斯迈</v>
      </c>
      <c r="AU487" s="259" t="str">
        <f t="shared" si="73"/>
        <v>C49SZX20200130JZ</v>
      </c>
      <c r="AV487" s="259" t="str">
        <f t="shared" si="74"/>
        <v>Sep-16</v>
      </c>
    </row>
    <row r="488" spans="1:48" hidden="1">
      <c r="A488" s="564">
        <v>759</v>
      </c>
      <c r="B488" s="669" t="s">
        <v>280</v>
      </c>
      <c r="C488" s="568" t="s">
        <v>15</v>
      </c>
      <c r="D488" s="604" t="s">
        <v>1100</v>
      </c>
      <c r="E488" s="568" t="s">
        <v>886</v>
      </c>
      <c r="F488" s="568" t="s">
        <v>256</v>
      </c>
      <c r="G488" s="568" t="s">
        <v>24</v>
      </c>
      <c r="H488" s="652" t="s">
        <v>26</v>
      </c>
      <c r="I488" s="580" t="s">
        <v>1106</v>
      </c>
      <c r="J488" s="580">
        <v>1</v>
      </c>
      <c r="K488" s="652" t="s">
        <v>496</v>
      </c>
      <c r="L488" s="662">
        <v>44090</v>
      </c>
      <c r="M488" s="670">
        <v>6.5500000000000003E-2</v>
      </c>
      <c r="N488" s="652" t="s">
        <v>918</v>
      </c>
      <c r="O488" s="684">
        <v>2020.09</v>
      </c>
      <c r="P488" s="571" t="str">
        <f>VLOOKUP(A488,'[1]Raw data'!$B:$BB,23,FALSE)</f>
        <v>JPY</v>
      </c>
      <c r="Q488" s="568" t="str">
        <f>VLOOKUP(A488,'[1]Raw data'!$B:$Z,2,FALSE)</f>
        <v>C49SZX20200130JZ</v>
      </c>
      <c r="R488" s="568" t="str">
        <f>VLOOKUP(A488,'[1]Raw data'!$B:$Z,3,FALSE)</f>
        <v>斯迈</v>
      </c>
      <c r="S488" s="568" t="str">
        <f>VLOOKUP(A488,'[1]Raw data'!$B:$Z,4,FALSE)</f>
        <v>YSM20R(SV)-2</v>
      </c>
      <c r="T488" s="568" t="str">
        <f>VLOOKUP(A488,'[1]Raw data'!$B:$Z,8,FALSE)</f>
        <v>L-&gt;R</v>
      </c>
      <c r="U488" s="568" t="str">
        <f>VLOOKUP(A488,'[1]Raw data'!$B:$Z,9,FALSE)</f>
        <v>No</v>
      </c>
      <c r="V488" s="572" t="str">
        <f t="shared" si="75"/>
        <v>OK</v>
      </c>
      <c r="W488" s="568" t="str">
        <f>VLOOKUP(A488,'[1]Raw data'!$B:$AG,32,FALSE)</f>
        <v>DAP GZ</v>
      </c>
      <c r="X488" s="568">
        <f>VLOOKUP(A488,'[1]Raw data'!$B:$BA,31,FALSE)</f>
        <v>44049</v>
      </c>
      <c r="Y488" s="568" t="str">
        <f>VLOOKUP(A488,'[1]Raw data'!$B:$AS,39,FALSE)</f>
        <v>Yes</v>
      </c>
      <c r="Z488" s="664"/>
      <c r="AA488" s="665"/>
      <c r="AB488" s="666"/>
      <c r="AC488" s="652" t="s">
        <v>1105</v>
      </c>
      <c r="AD488" s="667">
        <v>301</v>
      </c>
      <c r="AE488" s="667">
        <v>20</v>
      </c>
      <c r="AF488" s="667"/>
      <c r="AG488" s="667"/>
      <c r="AH488" s="667"/>
      <c r="AI488" s="668"/>
      <c r="AN488" s="547"/>
      <c r="AO488" s="829" t="str">
        <f t="shared" si="67"/>
        <v>Yes</v>
      </c>
      <c r="AP488" s="259" t="str">
        <f t="shared" si="68"/>
        <v>SEP 20</v>
      </c>
      <c r="AQ488" s="547" t="str">
        <f t="shared" si="69"/>
        <v>有定金+有預留客戶</v>
      </c>
      <c r="AR488" s="259" t="str">
        <f t="shared" si="70"/>
        <v>Shipped_Stock</v>
      </c>
      <c r="AS488" s="259" t="str">
        <f t="shared" si="71"/>
        <v/>
      </c>
      <c r="AT488" s="259" t="str">
        <f t="shared" si="72"/>
        <v>斯迈</v>
      </c>
      <c r="AU488" s="259" t="str">
        <f t="shared" si="73"/>
        <v>C49SZX20200130JZ</v>
      </c>
      <c r="AV488" s="259" t="str">
        <f t="shared" si="74"/>
        <v>Sep-16</v>
      </c>
    </row>
    <row r="489" spans="1:48" hidden="1">
      <c r="A489" s="564">
        <v>736</v>
      </c>
      <c r="B489" s="669" t="s">
        <v>280</v>
      </c>
      <c r="C489" s="568" t="s">
        <v>15</v>
      </c>
      <c r="D489" s="604" t="s">
        <v>1107</v>
      </c>
      <c r="E489" s="568" t="s">
        <v>886</v>
      </c>
      <c r="F489" s="568" t="s">
        <v>256</v>
      </c>
      <c r="G489" s="568" t="s">
        <v>24</v>
      </c>
      <c r="H489" s="652" t="s">
        <v>26</v>
      </c>
      <c r="I489" s="580" t="s">
        <v>1108</v>
      </c>
      <c r="J489" s="580">
        <v>1</v>
      </c>
      <c r="K489" s="652" t="s">
        <v>496</v>
      </c>
      <c r="L489" s="662">
        <v>44090</v>
      </c>
      <c r="M489" s="670">
        <v>6.5600000000000006E-2</v>
      </c>
      <c r="N489" s="652" t="s">
        <v>918</v>
      </c>
      <c r="O489" s="684">
        <v>2020.09</v>
      </c>
      <c r="P489" s="571" t="str">
        <f>VLOOKUP(A489,'[1]Raw data'!$B:$BB,23,FALSE)</f>
        <v>JPY</v>
      </c>
      <c r="Q489" s="568" t="str">
        <f>VLOOKUP(A489,'[1]Raw data'!$B:$Z,2,FALSE)</f>
        <v>C49SZX20200108JL</v>
      </c>
      <c r="R489" s="568" t="str">
        <f>VLOOKUP(A489,'[1]Raw data'!$B:$Z,3,FALSE)</f>
        <v>伯莱科</v>
      </c>
      <c r="S489" s="568" t="str">
        <f>VLOOKUP(A489,'[1]Raw data'!$B:$Z,4,FALSE)</f>
        <v>YSM20R(SV)-2</v>
      </c>
      <c r="T489" s="568" t="str">
        <f>VLOOKUP(A489,'[1]Raw data'!$B:$Z,8,FALSE)</f>
        <v>L-&gt;R</v>
      </c>
      <c r="U489" s="568" t="str">
        <f>VLOOKUP(A489,'[1]Raw data'!$B:$Z,9,FALSE)</f>
        <v>No</v>
      </c>
      <c r="V489" s="572" t="str">
        <f t="shared" si="75"/>
        <v>OK</v>
      </c>
      <c r="W489" s="568" t="str">
        <f>VLOOKUP(A489,'[1]Raw data'!$B:$AG,32,FALSE)</f>
        <v>DAP SZ</v>
      </c>
      <c r="X489" s="568">
        <f>VLOOKUP(A489,'[1]Raw data'!$B:$BA,31,FALSE)</f>
        <v>44033</v>
      </c>
      <c r="Y489" s="568" t="str">
        <f>VLOOKUP(A489,'[1]Raw data'!$B:$AS,39,FALSE)</f>
        <v>Yes</v>
      </c>
      <c r="Z489" s="664"/>
      <c r="AA489" s="665"/>
      <c r="AB489" s="666"/>
      <c r="AC489" s="652" t="s">
        <v>1109</v>
      </c>
      <c r="AD489" s="667">
        <v>301</v>
      </c>
      <c r="AE489" s="667">
        <v>20</v>
      </c>
      <c r="AF489" s="667"/>
      <c r="AG489" s="667"/>
      <c r="AH489" s="667"/>
      <c r="AI489" s="668"/>
      <c r="AN489" s="547"/>
      <c r="AO489" s="829" t="str">
        <f t="shared" si="67"/>
        <v>Yes</v>
      </c>
      <c r="AP489" s="259" t="str">
        <f t="shared" si="68"/>
        <v>SEP 20</v>
      </c>
      <c r="AQ489" s="547" t="str">
        <f t="shared" si="69"/>
        <v>有定金+有預留客戶</v>
      </c>
      <c r="AR489" s="259" t="str">
        <f t="shared" si="70"/>
        <v>Shipped_Stock</v>
      </c>
      <c r="AS489" s="259" t="str">
        <f t="shared" si="71"/>
        <v/>
      </c>
      <c r="AT489" s="259" t="str">
        <f t="shared" si="72"/>
        <v>伯莱科</v>
      </c>
      <c r="AU489" s="259" t="str">
        <f t="shared" si="73"/>
        <v>C49SZX20200108JL</v>
      </c>
      <c r="AV489" s="259" t="str">
        <f t="shared" si="74"/>
        <v>Sep-16</v>
      </c>
    </row>
    <row r="490" spans="1:48" hidden="1">
      <c r="A490" s="564">
        <v>722</v>
      </c>
      <c r="B490" s="669" t="s">
        <v>280</v>
      </c>
      <c r="C490" s="568" t="s">
        <v>15</v>
      </c>
      <c r="D490" s="604" t="s">
        <v>1107</v>
      </c>
      <c r="E490" s="568" t="s">
        <v>886</v>
      </c>
      <c r="F490" s="568" t="s">
        <v>256</v>
      </c>
      <c r="G490" s="568" t="s">
        <v>24</v>
      </c>
      <c r="H490" s="652" t="s">
        <v>26</v>
      </c>
      <c r="I490" s="580" t="s">
        <v>1110</v>
      </c>
      <c r="J490" s="580">
        <v>1</v>
      </c>
      <c r="K490" s="652" t="s">
        <v>437</v>
      </c>
      <c r="L490" s="662">
        <v>44090</v>
      </c>
      <c r="M490" s="670">
        <v>6.5600000000000006E-2</v>
      </c>
      <c r="N490" s="652" t="s">
        <v>918</v>
      </c>
      <c r="O490" s="684">
        <v>2020.09</v>
      </c>
      <c r="P490" s="571" t="str">
        <f>VLOOKUP(A490,'[1]Raw data'!$B:$BB,23,FALSE)</f>
        <v>JPY</v>
      </c>
      <c r="Q490" s="568" t="str">
        <f>VLOOKUP(A490,'[1]Raw data'!$B:$Z,2,FALSE)</f>
        <v>C49SZX20200102MZ</v>
      </c>
      <c r="R490" s="568" t="str">
        <f>VLOOKUP(A490,'[1]Raw data'!$B:$Z,3,FALSE)</f>
        <v>崧盛</v>
      </c>
      <c r="S490" s="568" t="str">
        <f>VLOOKUP(A490,'[1]Raw data'!$B:$Z,4,FALSE)</f>
        <v>YSM20R(SV)-2</v>
      </c>
      <c r="T490" s="568" t="str">
        <f>VLOOKUP(A490,'[1]Raw data'!$B:$Z,8,FALSE)</f>
        <v>L-&gt;R</v>
      </c>
      <c r="U490" s="568" t="str">
        <f>VLOOKUP(A490,'[1]Raw data'!$B:$Z,9,FALSE)</f>
        <v>No</v>
      </c>
      <c r="V490" s="572" t="str">
        <f t="shared" si="75"/>
        <v>OK</v>
      </c>
      <c r="W490" s="568" t="str">
        <f>VLOOKUP(A490,'[1]Raw data'!$B:$AG,32,FALSE)</f>
        <v>CIF HK</v>
      </c>
      <c r="X490" s="568">
        <f>VLOOKUP(A490,'[1]Raw data'!$B:$BA,31,FALSE)</f>
        <v>44028</v>
      </c>
      <c r="Y490" s="568" t="str">
        <f>VLOOKUP(A490,'[1]Raw data'!$B:$AS,39,FALSE)</f>
        <v>Yes</v>
      </c>
      <c r="Z490" s="664"/>
      <c r="AA490" s="665"/>
      <c r="AB490" s="666"/>
      <c r="AC490" s="652" t="s">
        <v>637</v>
      </c>
      <c r="AD490" s="667">
        <v>301</v>
      </c>
      <c r="AE490" s="667">
        <v>20</v>
      </c>
      <c r="AF490" s="667"/>
      <c r="AG490" s="667"/>
      <c r="AH490" s="667"/>
      <c r="AI490" s="668"/>
      <c r="AN490" s="547"/>
      <c r="AO490" s="829" t="str">
        <f t="shared" si="67"/>
        <v>Yes</v>
      </c>
      <c r="AP490" s="259" t="str">
        <f t="shared" si="68"/>
        <v>SEP 20</v>
      </c>
      <c r="AQ490" s="547" t="str">
        <f t="shared" si="69"/>
        <v>有定金+有預留客戶</v>
      </c>
      <c r="AR490" s="259" t="str">
        <f t="shared" si="70"/>
        <v>Shipped_Stock</v>
      </c>
      <c r="AS490" s="259" t="str">
        <f t="shared" si="71"/>
        <v/>
      </c>
      <c r="AT490" s="259" t="str">
        <f t="shared" si="72"/>
        <v>崧盛</v>
      </c>
      <c r="AU490" s="259" t="str">
        <f t="shared" si="73"/>
        <v>C49SZX20200102MZ</v>
      </c>
      <c r="AV490" s="259" t="str">
        <f t="shared" si="74"/>
        <v>Sep-16</v>
      </c>
    </row>
    <row r="491" spans="1:48" hidden="1">
      <c r="A491" s="564">
        <v>723</v>
      </c>
      <c r="B491" s="669" t="s">
        <v>280</v>
      </c>
      <c r="C491" s="568" t="s">
        <v>15</v>
      </c>
      <c r="D491" s="604">
        <v>109954</v>
      </c>
      <c r="E491" s="568" t="s">
        <v>886</v>
      </c>
      <c r="F491" s="652" t="s">
        <v>256</v>
      </c>
      <c r="G491" s="652" t="s">
        <v>24</v>
      </c>
      <c r="H491" s="652" t="s">
        <v>307</v>
      </c>
      <c r="I491" s="580" t="s">
        <v>1111</v>
      </c>
      <c r="J491" s="580">
        <v>1</v>
      </c>
      <c r="K491" s="652" t="s">
        <v>437</v>
      </c>
      <c r="L491" s="662">
        <v>44090</v>
      </c>
      <c r="M491" s="581">
        <v>6.6100000000000006E-2</v>
      </c>
      <c r="N491" s="652" t="s">
        <v>918</v>
      </c>
      <c r="O491" s="684">
        <v>2020.09</v>
      </c>
      <c r="P491" s="571" t="str">
        <f>VLOOKUP(A491,'[1]Raw data'!$B:$BB,23,FALSE)</f>
        <v>JPY</v>
      </c>
      <c r="Q491" s="568" t="str">
        <f>VLOOKUP(A491,'[1]Raw data'!$B:$Z,2,FALSE)</f>
        <v>C49SZX20200102MZ</v>
      </c>
      <c r="R491" s="568" t="str">
        <f>VLOOKUP(A491,'[1]Raw data'!$B:$Z,3,FALSE)</f>
        <v>崧盛</v>
      </c>
      <c r="S491" s="568" t="str">
        <f>VLOOKUP(A491,'[1]Raw data'!$B:$Z,4,FALSE)</f>
        <v>YSM20R(SV)-2</v>
      </c>
      <c r="T491" s="568" t="str">
        <f>VLOOKUP(A491,'[1]Raw data'!$B:$Z,8,FALSE)</f>
        <v>L-&gt;R</v>
      </c>
      <c r="U491" s="568" t="str">
        <f>VLOOKUP(A491,'[1]Raw data'!$B:$Z,9,FALSE)</f>
        <v>No</v>
      </c>
      <c r="V491" s="572" t="str">
        <f t="shared" si="75"/>
        <v>OK</v>
      </c>
      <c r="W491" s="568" t="str">
        <f>VLOOKUP(A491,'[1]Raw data'!$B:$AG,32,FALSE)</f>
        <v>CIF HK</v>
      </c>
      <c r="X491" s="568">
        <f>VLOOKUP(A491,'[1]Raw data'!$B:$BA,31,FALSE)</f>
        <v>44028</v>
      </c>
      <c r="Y491" s="568" t="str">
        <f>VLOOKUP(A491,'[1]Raw data'!$B:$AS,39,FALSE)</f>
        <v>Yes</v>
      </c>
      <c r="Z491" s="664"/>
      <c r="AA491" s="665"/>
      <c r="AB491" s="666"/>
      <c r="AC491" s="652" t="s">
        <v>637</v>
      </c>
      <c r="AD491" s="667">
        <v>302</v>
      </c>
      <c r="AE491" s="667">
        <v>20</v>
      </c>
      <c r="AF491" s="667"/>
      <c r="AG491" s="667"/>
      <c r="AH491" s="667"/>
      <c r="AI491" s="668"/>
      <c r="AN491" s="547"/>
      <c r="AO491" s="829" t="str">
        <f t="shared" si="67"/>
        <v>Yes</v>
      </c>
      <c r="AP491" s="259" t="str">
        <f t="shared" si="68"/>
        <v>SEP 20</v>
      </c>
      <c r="AQ491" s="547" t="str">
        <f t="shared" si="69"/>
        <v>有定金+有預留客戶</v>
      </c>
      <c r="AR491" s="259" t="str">
        <f t="shared" si="70"/>
        <v>Shipped_Stock</v>
      </c>
      <c r="AS491" s="259" t="str">
        <f t="shared" si="71"/>
        <v/>
      </c>
      <c r="AT491" s="259" t="str">
        <f t="shared" si="72"/>
        <v>崧盛</v>
      </c>
      <c r="AU491" s="259" t="str">
        <f t="shared" si="73"/>
        <v>C49SZX20200102MZ</v>
      </c>
      <c r="AV491" s="259" t="str">
        <f t="shared" si="74"/>
        <v>Sep-16</v>
      </c>
    </row>
    <row r="492" spans="1:48" hidden="1">
      <c r="A492" s="564">
        <v>731</v>
      </c>
      <c r="B492" s="669" t="s">
        <v>280</v>
      </c>
      <c r="C492" s="568" t="s">
        <v>15</v>
      </c>
      <c r="D492" s="604">
        <v>109954</v>
      </c>
      <c r="E492" s="568" t="s">
        <v>886</v>
      </c>
      <c r="F492" s="652" t="s">
        <v>256</v>
      </c>
      <c r="G492" s="652" t="s">
        <v>24</v>
      </c>
      <c r="H492" s="652" t="s">
        <v>26</v>
      </c>
      <c r="I492" s="580" t="s">
        <v>1112</v>
      </c>
      <c r="J492" s="580">
        <v>1</v>
      </c>
      <c r="K492" s="652" t="s">
        <v>437</v>
      </c>
      <c r="L492" s="662">
        <v>44090</v>
      </c>
      <c r="M492" s="623">
        <v>6.6100000000000006E-2</v>
      </c>
      <c r="N492" s="652" t="s">
        <v>918</v>
      </c>
      <c r="O492" s="684">
        <v>2020.09</v>
      </c>
      <c r="P492" s="571" t="str">
        <f>VLOOKUP(A492,'[1]Raw data'!$B:$BB,23,FALSE)</f>
        <v>JPY</v>
      </c>
      <c r="Q492" s="568" t="str">
        <f>VLOOKUP(A492,'[1]Raw data'!$B:$Z,2,FALSE)</f>
        <v>C49SZX20200110MZ</v>
      </c>
      <c r="R492" s="568" t="str">
        <f>VLOOKUP(A492,'[1]Raw data'!$B:$Z,3,FALSE)</f>
        <v>融创新合</v>
      </c>
      <c r="S492" s="568" t="str">
        <f>VLOOKUP(A492,'[1]Raw data'!$B:$Z,4,FALSE)</f>
        <v>YSM20R(SV)-2</v>
      </c>
      <c r="T492" s="568" t="str">
        <f>VLOOKUP(A492,'[1]Raw data'!$B:$Z,8,FALSE)</f>
        <v>L-&gt;R</v>
      </c>
      <c r="U492" s="568" t="str">
        <f>VLOOKUP(A492,'[1]Raw data'!$B:$Z,9,FALSE)</f>
        <v>No</v>
      </c>
      <c r="V492" s="572" t="str">
        <f t="shared" si="75"/>
        <v>OK</v>
      </c>
      <c r="W492" s="568" t="str">
        <f>VLOOKUP(A492,'[1]Raw data'!$B:$AG,32,FALSE)</f>
        <v>CIF HK</v>
      </c>
      <c r="X492" s="568">
        <f>VLOOKUP(A492,'[1]Raw data'!$B:$BA,31,FALSE)</f>
        <v>44033</v>
      </c>
      <c r="Y492" s="568" t="str">
        <f>VLOOKUP(A492,'[1]Raw data'!$B:$AS,39,FALSE)</f>
        <v>Yes</v>
      </c>
      <c r="Z492" s="664"/>
      <c r="AA492" s="665"/>
      <c r="AB492" s="666"/>
      <c r="AC492" s="652" t="s">
        <v>1064</v>
      </c>
      <c r="AD492" s="667">
        <v>302</v>
      </c>
      <c r="AE492" s="667">
        <v>20</v>
      </c>
      <c r="AF492" s="667"/>
      <c r="AG492" s="667"/>
      <c r="AH492" s="667"/>
      <c r="AI492" s="668"/>
      <c r="AN492" s="547"/>
      <c r="AO492" s="829" t="str">
        <f t="shared" si="67"/>
        <v>Yes</v>
      </c>
      <c r="AP492" s="259" t="str">
        <f t="shared" si="68"/>
        <v>SEP 20</v>
      </c>
      <c r="AQ492" s="547" t="str">
        <f t="shared" si="69"/>
        <v>有定金+有預留客戶</v>
      </c>
      <c r="AR492" s="259" t="str">
        <f t="shared" si="70"/>
        <v>Shipped_Stock</v>
      </c>
      <c r="AS492" s="259" t="str">
        <f t="shared" si="71"/>
        <v/>
      </c>
      <c r="AT492" s="259" t="str">
        <f t="shared" si="72"/>
        <v>融创新合</v>
      </c>
      <c r="AU492" s="259" t="str">
        <f t="shared" si="73"/>
        <v>C49SZX20200110MZ</v>
      </c>
      <c r="AV492" s="259" t="str">
        <f t="shared" si="74"/>
        <v>Sep-16</v>
      </c>
    </row>
    <row r="493" spans="1:48" hidden="1">
      <c r="A493" s="564">
        <v>708</v>
      </c>
      <c r="B493" s="669" t="s">
        <v>280</v>
      </c>
      <c r="C493" s="568" t="s">
        <v>15</v>
      </c>
      <c r="D493" s="650">
        <v>109954</v>
      </c>
      <c r="E493" s="652" t="s">
        <v>886</v>
      </c>
      <c r="F493" s="652" t="s">
        <v>256</v>
      </c>
      <c r="G493" s="652" t="s">
        <v>18</v>
      </c>
      <c r="H493" s="652" t="s">
        <v>26</v>
      </c>
      <c r="I493" s="580" t="s">
        <v>1113</v>
      </c>
      <c r="J493" s="580">
        <v>1</v>
      </c>
      <c r="K493" s="652" t="s">
        <v>20</v>
      </c>
      <c r="L493" s="662">
        <v>44090</v>
      </c>
      <c r="M493" s="581">
        <v>6.6100000000000006E-2</v>
      </c>
      <c r="N493" s="652" t="s">
        <v>918</v>
      </c>
      <c r="O493" s="684">
        <v>2020.09</v>
      </c>
      <c r="P493" s="571" t="str">
        <f>VLOOKUP(A493,'[1]Raw data'!$B:$BB,23,FALSE)</f>
        <v>JPY</v>
      </c>
      <c r="Q493" s="568" t="str">
        <f>VLOOKUP(A493,'[1]Raw data'!$B:$Z,2,FALSE)</f>
        <v>C49SZX20200075EC</v>
      </c>
      <c r="R493" s="568" t="str">
        <f>VLOOKUP(A493,'[1]Raw data'!$B:$Z,3,FALSE)</f>
        <v>海红天远</v>
      </c>
      <c r="S493" s="568" t="str">
        <f>VLOOKUP(A493,'[1]Raw data'!$B:$Z,4,FALSE)</f>
        <v>YSM20R(SV)-2</v>
      </c>
      <c r="T493" s="568" t="str">
        <f>VLOOKUP(A493,'[1]Raw data'!$B:$Z,8,FALSE)</f>
        <v>R-&gt;L</v>
      </c>
      <c r="U493" s="568" t="str">
        <f>VLOOKUP(A493,'[1]Raw data'!$B:$Z,9,FALSE)</f>
        <v>No</v>
      </c>
      <c r="V493" s="572" t="str">
        <f t="shared" si="75"/>
        <v>OK</v>
      </c>
      <c r="W493" s="568" t="str">
        <f>VLOOKUP(A493,'[1]Raw data'!$B:$AG,32,FALSE)</f>
        <v>CIF HK</v>
      </c>
      <c r="X493" s="568">
        <f>VLOOKUP(A493,'[1]Raw data'!$B:$BA,31,FALSE)</f>
        <v>44025</v>
      </c>
      <c r="Y493" s="568" t="str">
        <f>VLOOKUP(A493,'[1]Raw data'!$B:$AS,39,FALSE)</f>
        <v>Yes</v>
      </c>
      <c r="Z493" s="664"/>
      <c r="AA493" s="665"/>
      <c r="AB493" s="666"/>
      <c r="AC493" s="652" t="s">
        <v>1079</v>
      </c>
      <c r="AD493" s="667">
        <v>312</v>
      </c>
      <c r="AE493" s="667">
        <v>20</v>
      </c>
      <c r="AF493" s="667"/>
      <c r="AG493" s="667"/>
      <c r="AH493" s="667"/>
      <c r="AI493" s="668"/>
      <c r="AN493" s="547"/>
      <c r="AO493" s="829" t="str">
        <f t="shared" si="67"/>
        <v>Yes</v>
      </c>
      <c r="AP493" s="259" t="str">
        <f t="shared" si="68"/>
        <v>SEP 20</v>
      </c>
      <c r="AQ493" s="547" t="str">
        <f t="shared" si="69"/>
        <v>有定金+有預留客戶</v>
      </c>
      <c r="AR493" s="259" t="str">
        <f t="shared" si="70"/>
        <v>Shipped_Stock</v>
      </c>
      <c r="AS493" s="259" t="str">
        <f t="shared" si="71"/>
        <v/>
      </c>
      <c r="AT493" s="259" t="str">
        <f t="shared" si="72"/>
        <v>海红天远</v>
      </c>
      <c r="AU493" s="259" t="str">
        <f t="shared" si="73"/>
        <v>C49SZX20200075EC</v>
      </c>
      <c r="AV493" s="259" t="str">
        <f t="shared" si="74"/>
        <v>Sep-16</v>
      </c>
    </row>
    <row r="494" spans="1:48" hidden="1">
      <c r="A494" s="564">
        <v>715</v>
      </c>
      <c r="B494" s="568" t="s">
        <v>280</v>
      </c>
      <c r="C494" s="565" t="s">
        <v>15</v>
      </c>
      <c r="D494" s="685">
        <v>109976</v>
      </c>
      <c r="E494" s="686" t="s">
        <v>886</v>
      </c>
      <c r="F494" s="687" t="s">
        <v>17</v>
      </c>
      <c r="G494" s="687" t="s">
        <v>18</v>
      </c>
      <c r="H494" s="688" t="s">
        <v>26</v>
      </c>
      <c r="I494" s="689" t="s">
        <v>1114</v>
      </c>
      <c r="J494" s="580">
        <v>1</v>
      </c>
      <c r="K494" s="652" t="s">
        <v>388</v>
      </c>
      <c r="L494" s="662">
        <v>44097</v>
      </c>
      <c r="M494" s="670" t="s">
        <v>906</v>
      </c>
      <c r="N494" s="652" t="s">
        <v>918</v>
      </c>
      <c r="O494" s="669">
        <v>2020.09</v>
      </c>
      <c r="P494" s="571" t="str">
        <f>VLOOKUP(A494,'[1]Raw data'!$B:$BB,23,FALSE)</f>
        <v>JPY</v>
      </c>
      <c r="Q494" s="568" t="str">
        <f>VLOOKUP(A494,'[1]Raw data'!$B:$Z,2,FALSE)</f>
        <v>C49SZX20200089JL-R2</v>
      </c>
      <c r="R494" s="568" t="str">
        <f>VLOOKUP(A494,'[1]Raw data'!$B:$Z,3,FALSE)</f>
        <v>瑞福联</v>
      </c>
      <c r="S494" s="568" t="str">
        <f>VLOOKUP(A494,'[1]Raw data'!$B:$Z,4,FALSE)</f>
        <v>YSM10</v>
      </c>
      <c r="T494" s="568" t="str">
        <f>VLOOKUP(A494,'[1]Raw data'!$B:$Z,8,FALSE)</f>
        <v>L-&gt;R</v>
      </c>
      <c r="U494" s="568" t="str">
        <f>VLOOKUP(A494,'[1]Raw data'!$B:$Z,9,FALSE)</f>
        <v>MVC</v>
      </c>
      <c r="V494" s="572" t="str">
        <f t="shared" si="75"/>
        <v>WRONG</v>
      </c>
      <c r="W494" s="568" t="str">
        <f>VLOOKUP(A494,'[1]Raw data'!$B:$AG,32,FALSE)</f>
        <v>CIF HK</v>
      </c>
      <c r="X494" s="568">
        <f>VLOOKUP(A494,'[1]Raw data'!$B:$BA,31,FALSE)</f>
        <v>44027</v>
      </c>
      <c r="Y494" s="568" t="str">
        <f>VLOOKUP(A494,'[1]Raw data'!$B:$AS,39,FALSE)</f>
        <v>Yes</v>
      </c>
      <c r="Z494" s="664"/>
      <c r="AA494" s="665"/>
      <c r="AB494" s="666"/>
      <c r="AC494" s="652" t="s">
        <v>1115</v>
      </c>
      <c r="AD494" s="667">
        <v>301</v>
      </c>
      <c r="AE494" s="667">
        <v>10</v>
      </c>
      <c r="AF494" s="667"/>
      <c r="AG494" s="667"/>
      <c r="AH494" s="667"/>
      <c r="AI494" s="668"/>
      <c r="AN494" s="547"/>
      <c r="AO494" s="829" t="str">
        <f t="shared" si="67"/>
        <v>Yes</v>
      </c>
      <c r="AP494" s="259" t="str">
        <f t="shared" si="68"/>
        <v>SEP 20</v>
      </c>
      <c r="AQ494" s="547" t="str">
        <f t="shared" si="69"/>
        <v>有定金+有預留客戶</v>
      </c>
      <c r="AR494" s="259" t="str">
        <f t="shared" si="70"/>
        <v>Shipped_Stock</v>
      </c>
      <c r="AS494" s="259" t="str">
        <f t="shared" si="71"/>
        <v/>
      </c>
      <c r="AT494" s="259" t="str">
        <f t="shared" si="72"/>
        <v>瑞福联</v>
      </c>
      <c r="AU494" s="259" t="str">
        <f t="shared" si="73"/>
        <v>C49SZX20200089JL-R2</v>
      </c>
      <c r="AV494" s="259" t="str">
        <f t="shared" si="74"/>
        <v>Sep-23</v>
      </c>
    </row>
    <row r="495" spans="1:48" hidden="1">
      <c r="A495" s="564">
        <v>716</v>
      </c>
      <c r="B495" s="568" t="s">
        <v>280</v>
      </c>
      <c r="C495" s="565" t="s">
        <v>15</v>
      </c>
      <c r="D495" s="690">
        <v>109976</v>
      </c>
      <c r="E495" s="568" t="s">
        <v>886</v>
      </c>
      <c r="F495" s="652" t="s">
        <v>17</v>
      </c>
      <c r="G495" s="652" t="s">
        <v>18</v>
      </c>
      <c r="H495" s="691" t="s">
        <v>26</v>
      </c>
      <c r="I495" s="689" t="s">
        <v>1116</v>
      </c>
      <c r="J495" s="580">
        <v>1</v>
      </c>
      <c r="K495" s="652" t="s">
        <v>388</v>
      </c>
      <c r="L495" s="662">
        <v>44097</v>
      </c>
      <c r="M495" s="670" t="s">
        <v>906</v>
      </c>
      <c r="N495" s="652" t="s">
        <v>918</v>
      </c>
      <c r="O495" s="669">
        <v>2020.09</v>
      </c>
      <c r="P495" s="571" t="str">
        <f>VLOOKUP(A495,'[1]Raw data'!$B:$BB,23,FALSE)</f>
        <v>JPY</v>
      </c>
      <c r="Q495" s="568" t="str">
        <f>VLOOKUP(A495,'[1]Raw data'!$B:$Z,2,FALSE)</f>
        <v>C49SZX20200089JL-R2</v>
      </c>
      <c r="R495" s="568" t="str">
        <f>VLOOKUP(A495,'[1]Raw data'!$B:$Z,3,FALSE)</f>
        <v>瑞福联</v>
      </c>
      <c r="S495" s="568" t="str">
        <f>VLOOKUP(A495,'[1]Raw data'!$B:$Z,4,FALSE)</f>
        <v>YSM10</v>
      </c>
      <c r="T495" s="568" t="str">
        <f>VLOOKUP(A495,'[1]Raw data'!$B:$Z,8,FALSE)</f>
        <v>L-&gt;R</v>
      </c>
      <c r="U495" s="568" t="str">
        <f>VLOOKUP(A495,'[1]Raw data'!$B:$Z,9,FALSE)</f>
        <v>MVC</v>
      </c>
      <c r="V495" s="572" t="str">
        <f t="shared" si="75"/>
        <v>WRONG</v>
      </c>
      <c r="W495" s="568" t="str">
        <f>VLOOKUP(A495,'[1]Raw data'!$B:$AG,32,FALSE)</f>
        <v>CIF HK</v>
      </c>
      <c r="X495" s="568">
        <f>VLOOKUP(A495,'[1]Raw data'!$B:$BA,31,FALSE)</f>
        <v>44027</v>
      </c>
      <c r="Y495" s="568" t="str">
        <f>VLOOKUP(A495,'[1]Raw data'!$B:$AS,39,FALSE)</f>
        <v>Yes</v>
      </c>
      <c r="Z495" s="664"/>
      <c r="AA495" s="665"/>
      <c r="AB495" s="666"/>
      <c r="AC495" s="652" t="s">
        <v>1115</v>
      </c>
      <c r="AD495" s="667">
        <v>301</v>
      </c>
      <c r="AE495" s="667">
        <v>10</v>
      </c>
      <c r="AF495" s="667"/>
      <c r="AG495" s="667"/>
      <c r="AH495" s="667"/>
      <c r="AI495" s="668"/>
      <c r="AN495" s="547"/>
      <c r="AO495" s="829" t="str">
        <f t="shared" si="67"/>
        <v>Yes</v>
      </c>
      <c r="AP495" s="259" t="str">
        <f t="shared" si="68"/>
        <v>SEP 20</v>
      </c>
      <c r="AQ495" s="547" t="str">
        <f t="shared" si="69"/>
        <v>有定金+有預留客戶</v>
      </c>
      <c r="AR495" s="259" t="str">
        <f t="shared" si="70"/>
        <v>Shipped_Stock</v>
      </c>
      <c r="AS495" s="259" t="str">
        <f t="shared" si="71"/>
        <v/>
      </c>
      <c r="AT495" s="259" t="str">
        <f t="shared" si="72"/>
        <v>瑞福联</v>
      </c>
      <c r="AU495" s="259" t="str">
        <f t="shared" si="73"/>
        <v>C49SZX20200089JL-R2</v>
      </c>
      <c r="AV495" s="259" t="str">
        <f t="shared" si="74"/>
        <v>Sep-23</v>
      </c>
    </row>
    <row r="496" spans="1:48" hidden="1">
      <c r="A496" s="564">
        <v>717</v>
      </c>
      <c r="B496" s="568" t="s">
        <v>280</v>
      </c>
      <c r="C496" s="565" t="s">
        <v>15</v>
      </c>
      <c r="D496" s="690">
        <v>109976</v>
      </c>
      <c r="E496" s="568" t="s">
        <v>886</v>
      </c>
      <c r="F496" s="652" t="s">
        <v>17</v>
      </c>
      <c r="G496" s="652" t="s">
        <v>18</v>
      </c>
      <c r="H496" s="691" t="s">
        <v>26</v>
      </c>
      <c r="I496" s="689" t="s">
        <v>1117</v>
      </c>
      <c r="J496" s="580">
        <v>1</v>
      </c>
      <c r="K496" s="652" t="s">
        <v>388</v>
      </c>
      <c r="L496" s="662">
        <v>44097</v>
      </c>
      <c r="M496" s="670" t="s">
        <v>906</v>
      </c>
      <c r="N496" s="652" t="s">
        <v>918</v>
      </c>
      <c r="O496" s="669">
        <v>2020.09</v>
      </c>
      <c r="P496" s="571" t="str">
        <f>VLOOKUP(A496,'[1]Raw data'!$B:$BB,23,FALSE)</f>
        <v>JPY</v>
      </c>
      <c r="Q496" s="568" t="str">
        <f>VLOOKUP(A496,'[1]Raw data'!$B:$Z,2,FALSE)</f>
        <v>C49SZX20200089JL-R3</v>
      </c>
      <c r="R496" s="568" t="str">
        <f>VLOOKUP(A496,'[1]Raw data'!$B:$Z,3,FALSE)</f>
        <v>金睿通</v>
      </c>
      <c r="S496" s="568" t="str">
        <f>VLOOKUP(A496,'[1]Raw data'!$B:$Z,4,FALSE)</f>
        <v>YSM10</v>
      </c>
      <c r="T496" s="568" t="str">
        <f>VLOOKUP(A496,'[1]Raw data'!$B:$Z,8,FALSE)</f>
        <v>L-&gt;R</v>
      </c>
      <c r="U496" s="568" t="str">
        <f>VLOOKUP(A496,'[1]Raw data'!$B:$Z,9,FALSE)</f>
        <v>MVC</v>
      </c>
      <c r="V496" s="572" t="str">
        <f t="shared" si="75"/>
        <v>WRONG</v>
      </c>
      <c r="W496" s="568" t="str">
        <f>VLOOKUP(A496,'[1]Raw data'!$B:$AG,32,FALSE)</f>
        <v>CIF HK</v>
      </c>
      <c r="X496" s="568">
        <f>VLOOKUP(A496,'[1]Raw data'!$B:$BA,31,FALSE)</f>
        <v>44027</v>
      </c>
      <c r="Y496" s="568" t="str">
        <f>VLOOKUP(A496,'[1]Raw data'!$B:$AS,39,FALSE)</f>
        <v>Yes</v>
      </c>
      <c r="Z496" s="664"/>
      <c r="AA496" s="665"/>
      <c r="AB496" s="666"/>
      <c r="AC496" s="652" t="s">
        <v>1115</v>
      </c>
      <c r="AD496" s="667">
        <v>301</v>
      </c>
      <c r="AE496" s="667">
        <v>10</v>
      </c>
      <c r="AF496" s="667"/>
      <c r="AG496" s="667"/>
      <c r="AH496" s="667"/>
      <c r="AI496" s="668"/>
      <c r="AN496" s="547"/>
      <c r="AO496" s="829" t="str">
        <f t="shared" si="67"/>
        <v>Yes</v>
      </c>
      <c r="AP496" s="259" t="str">
        <f t="shared" si="68"/>
        <v>SEP 20</v>
      </c>
      <c r="AQ496" s="547" t="str">
        <f t="shared" si="69"/>
        <v>有定金+有預留客戶</v>
      </c>
      <c r="AR496" s="259" t="str">
        <f t="shared" si="70"/>
        <v>Shipped_Stock</v>
      </c>
      <c r="AS496" s="259" t="str">
        <f t="shared" si="71"/>
        <v/>
      </c>
      <c r="AT496" s="259" t="str">
        <f t="shared" si="72"/>
        <v>金睿通</v>
      </c>
      <c r="AU496" s="259" t="str">
        <f t="shared" si="73"/>
        <v>C49SZX20200089JL-R3</v>
      </c>
      <c r="AV496" s="259" t="str">
        <f t="shared" si="74"/>
        <v>Sep-23</v>
      </c>
    </row>
    <row r="497" spans="1:48" hidden="1">
      <c r="A497" s="564">
        <v>718</v>
      </c>
      <c r="B497" s="568" t="s">
        <v>280</v>
      </c>
      <c r="C497" s="565" t="s">
        <v>15</v>
      </c>
      <c r="D497" s="690">
        <v>109976</v>
      </c>
      <c r="E497" s="568" t="s">
        <v>886</v>
      </c>
      <c r="F497" s="652" t="s">
        <v>17</v>
      </c>
      <c r="G497" s="652" t="s">
        <v>18</v>
      </c>
      <c r="H497" s="691" t="s">
        <v>26</v>
      </c>
      <c r="I497" s="689" t="s">
        <v>1118</v>
      </c>
      <c r="J497" s="580">
        <v>1</v>
      </c>
      <c r="K497" s="652" t="s">
        <v>388</v>
      </c>
      <c r="L497" s="662">
        <v>44097</v>
      </c>
      <c r="M497" s="670" t="s">
        <v>906</v>
      </c>
      <c r="N497" s="652" t="s">
        <v>918</v>
      </c>
      <c r="O497" s="669">
        <v>2020.09</v>
      </c>
      <c r="P497" s="571" t="str">
        <f>VLOOKUP(A497,'[1]Raw data'!$B:$BB,23,FALSE)</f>
        <v>JPY</v>
      </c>
      <c r="Q497" s="568" t="str">
        <f>VLOOKUP(A497,'[1]Raw data'!$B:$Z,2,FALSE)</f>
        <v>C49SZX20200089JL-R3</v>
      </c>
      <c r="R497" s="568" t="str">
        <f>VLOOKUP(A497,'[1]Raw data'!$B:$Z,3,FALSE)</f>
        <v>金睿通</v>
      </c>
      <c r="S497" s="568" t="str">
        <f>VLOOKUP(A497,'[1]Raw data'!$B:$Z,4,FALSE)</f>
        <v>YSM10</v>
      </c>
      <c r="T497" s="568" t="str">
        <f>VLOOKUP(A497,'[1]Raw data'!$B:$Z,8,FALSE)</f>
        <v>L-&gt;R</v>
      </c>
      <c r="U497" s="568" t="str">
        <f>VLOOKUP(A497,'[1]Raw data'!$B:$Z,9,FALSE)</f>
        <v>MVC</v>
      </c>
      <c r="V497" s="572" t="str">
        <f t="shared" si="75"/>
        <v>WRONG</v>
      </c>
      <c r="W497" s="568" t="str">
        <f>VLOOKUP(A497,'[1]Raw data'!$B:$AG,32,FALSE)</f>
        <v>CIF HK</v>
      </c>
      <c r="X497" s="568">
        <f>VLOOKUP(A497,'[1]Raw data'!$B:$BA,31,FALSE)</f>
        <v>44027</v>
      </c>
      <c r="Y497" s="568" t="str">
        <f>VLOOKUP(A497,'[1]Raw data'!$B:$AS,39,FALSE)</f>
        <v>Yes</v>
      </c>
      <c r="Z497" s="664"/>
      <c r="AA497" s="665"/>
      <c r="AB497" s="666"/>
      <c r="AC497" s="652" t="s">
        <v>1115</v>
      </c>
      <c r="AD497" s="667">
        <v>301</v>
      </c>
      <c r="AE497" s="667">
        <v>10</v>
      </c>
      <c r="AF497" s="667"/>
      <c r="AG497" s="667"/>
      <c r="AH497" s="667"/>
      <c r="AI497" s="668"/>
      <c r="AN497" s="547"/>
      <c r="AO497" s="829" t="str">
        <f t="shared" si="67"/>
        <v>Yes</v>
      </c>
      <c r="AP497" s="259" t="str">
        <f t="shared" si="68"/>
        <v>SEP 20</v>
      </c>
      <c r="AQ497" s="547" t="str">
        <f t="shared" si="69"/>
        <v>有定金+有預留客戶</v>
      </c>
      <c r="AR497" s="259" t="str">
        <f t="shared" si="70"/>
        <v>Shipped_Stock</v>
      </c>
      <c r="AS497" s="259" t="str">
        <f t="shared" si="71"/>
        <v/>
      </c>
      <c r="AT497" s="259" t="str">
        <f t="shared" si="72"/>
        <v>金睿通</v>
      </c>
      <c r="AU497" s="259" t="str">
        <f t="shared" si="73"/>
        <v>C49SZX20200089JL-R3</v>
      </c>
      <c r="AV497" s="259" t="str">
        <f t="shared" si="74"/>
        <v>Sep-23</v>
      </c>
    </row>
    <row r="498" spans="1:48" ht="13.5" hidden="1" thickBot="1">
      <c r="A498" s="564">
        <v>701</v>
      </c>
      <c r="B498" s="565" t="s">
        <v>280</v>
      </c>
      <c r="C498" s="565" t="s">
        <v>15</v>
      </c>
      <c r="D498" s="692">
        <v>109976</v>
      </c>
      <c r="E498" s="693" t="s">
        <v>886</v>
      </c>
      <c r="F498" s="693" t="s">
        <v>17</v>
      </c>
      <c r="G498" s="693" t="s">
        <v>18</v>
      </c>
      <c r="H498" s="694" t="s">
        <v>26</v>
      </c>
      <c r="I498" s="689" t="s">
        <v>1119</v>
      </c>
      <c r="J498" s="580">
        <v>1</v>
      </c>
      <c r="K498" s="652" t="s">
        <v>311</v>
      </c>
      <c r="L498" s="662">
        <v>44097</v>
      </c>
      <c r="M498" s="681" t="s">
        <v>906</v>
      </c>
      <c r="N498" s="652" t="s">
        <v>918</v>
      </c>
      <c r="O498" s="669">
        <v>2020.09</v>
      </c>
      <c r="P498" s="571" t="str">
        <f>VLOOKUP(A498,'[1]Raw data'!$B:$BB,23,FALSE)</f>
        <v>JPY</v>
      </c>
      <c r="Q498" s="568" t="str">
        <f>VLOOKUP(A498,'[1]Raw data'!$B:$Z,2,FALSE)</f>
        <v>C49SZX20200095R1SS</v>
      </c>
      <c r="R498" s="568" t="str">
        <f>VLOOKUP(A498,'[1]Raw data'!$B:$Z,3,FALSE)</f>
        <v>前海福源</v>
      </c>
      <c r="S498" s="568" t="str">
        <f>VLOOKUP(A498,'[1]Raw data'!$B:$Z,4,FALSE)</f>
        <v>YSM10</v>
      </c>
      <c r="T498" s="568" t="str">
        <f>VLOOKUP(A498,'[1]Raw data'!$B:$Z,8,FALSE)</f>
        <v>L-&gt;R</v>
      </c>
      <c r="U498" s="568" t="str">
        <f>VLOOKUP(A498,'[1]Raw data'!$B:$Z,9,FALSE)</f>
        <v>No</v>
      </c>
      <c r="V498" s="572" t="str">
        <f t="shared" si="75"/>
        <v>WRONG</v>
      </c>
      <c r="W498" s="568" t="str">
        <f>VLOOKUP(A498,'[1]Raw data'!$B:$AG,32,FALSE)</f>
        <v>DAP SZ</v>
      </c>
      <c r="X498" s="568">
        <f>VLOOKUP(A498,'[1]Raw data'!$B:$BA,31,FALSE)</f>
        <v>44021</v>
      </c>
      <c r="Y498" s="568" t="str">
        <f>VLOOKUP(A498,'[1]Raw data'!$B:$AS,39,FALSE)</f>
        <v>Yes</v>
      </c>
      <c r="Z498" s="664"/>
      <c r="AA498" s="665"/>
      <c r="AB498" s="666"/>
      <c r="AC498" s="652" t="s">
        <v>686</v>
      </c>
      <c r="AD498" s="667">
        <v>301</v>
      </c>
      <c r="AE498" s="667">
        <v>10</v>
      </c>
      <c r="AF498" s="667"/>
      <c r="AG498" s="667"/>
      <c r="AH498" s="667"/>
      <c r="AI498" s="668"/>
      <c r="AN498" s="547"/>
      <c r="AO498" s="829" t="str">
        <f t="shared" si="67"/>
        <v>Yes</v>
      </c>
      <c r="AP498" s="259" t="str">
        <f t="shared" si="68"/>
        <v>SEP 20</v>
      </c>
      <c r="AQ498" s="547" t="str">
        <f t="shared" si="69"/>
        <v>有定金+有預留客戶</v>
      </c>
      <c r="AR498" s="259" t="str">
        <f t="shared" si="70"/>
        <v>Shipped_Stock</v>
      </c>
      <c r="AS498" s="259" t="str">
        <f t="shared" si="71"/>
        <v/>
      </c>
      <c r="AT498" s="259" t="str">
        <f t="shared" si="72"/>
        <v>前海福源</v>
      </c>
      <c r="AU498" s="259" t="str">
        <f t="shared" si="73"/>
        <v>C49SZX20200095R1SS</v>
      </c>
      <c r="AV498" s="259" t="str">
        <f t="shared" si="74"/>
        <v>Sep-23</v>
      </c>
    </row>
    <row r="499" spans="1:48" hidden="1">
      <c r="A499" s="564">
        <v>757</v>
      </c>
      <c r="B499" s="565" t="s">
        <v>927</v>
      </c>
      <c r="C499" s="568" t="s">
        <v>15</v>
      </c>
      <c r="D499" s="695">
        <v>109980</v>
      </c>
      <c r="E499" s="696" t="s">
        <v>1089</v>
      </c>
      <c r="F499" s="697" t="s">
        <v>256</v>
      </c>
      <c r="G499" s="697" t="s">
        <v>24</v>
      </c>
      <c r="H499" s="697" t="s">
        <v>26</v>
      </c>
      <c r="I499" s="580" t="s">
        <v>1120</v>
      </c>
      <c r="J499" s="580">
        <v>1</v>
      </c>
      <c r="K499" s="652" t="s">
        <v>437</v>
      </c>
      <c r="L499" s="662">
        <v>44097</v>
      </c>
      <c r="M499" s="670" t="s">
        <v>906</v>
      </c>
      <c r="N499" s="652" t="s">
        <v>918</v>
      </c>
      <c r="O499" s="684">
        <v>2020.09</v>
      </c>
      <c r="P499" s="571" t="str">
        <f>VLOOKUP(A499,'[1]Raw data'!$B:$BB,23,FALSE)</f>
        <v>JPY</v>
      </c>
      <c r="Q499" s="568" t="str">
        <f>VLOOKUP(A499,'[1]Raw data'!$B:$Z,2,FALSE)</f>
        <v>C49SZX20200122JY</v>
      </c>
      <c r="R499" s="568" t="str">
        <f>VLOOKUP(A499,'[1]Raw data'!$B:$Z,3,FALSE)</f>
        <v>豫龙辉</v>
      </c>
      <c r="S499" s="568" t="str">
        <f>VLOOKUP(A499,'[1]Raw data'!$B:$Z,4,FALSE)</f>
        <v>YSM20R(SV)-2</v>
      </c>
      <c r="T499" s="568" t="str">
        <f>VLOOKUP(A499,'[1]Raw data'!$B:$Z,8,FALSE)</f>
        <v>L-&gt;R</v>
      </c>
      <c r="U499" s="568" t="str">
        <f>VLOOKUP(A499,'[1]Raw data'!$B:$Z,9,FALSE)</f>
        <v>No</v>
      </c>
      <c r="V499" s="572" t="str">
        <f t="shared" si="75"/>
        <v>OK</v>
      </c>
      <c r="W499" s="568" t="str">
        <f>VLOOKUP(A499,'[1]Raw data'!$B:$AG,32,FALSE)</f>
        <v>DAP SZ</v>
      </c>
      <c r="X499" s="568">
        <f>VLOOKUP(A499,'[1]Raw data'!$B:$BA,31,FALSE)</f>
        <v>44047</v>
      </c>
      <c r="Y499" s="568" t="str">
        <f>VLOOKUP(A499,'[1]Raw data'!$B:$AS,39,FALSE)</f>
        <v>Yes</v>
      </c>
      <c r="Z499" s="671"/>
      <c r="AA499" s="672"/>
      <c r="AB499" s="673"/>
      <c r="AC499" s="652" t="s">
        <v>1121</v>
      </c>
      <c r="AD499" s="667">
        <v>311</v>
      </c>
      <c r="AE499" s="667">
        <v>10</v>
      </c>
      <c r="AF499" s="667">
        <v>302</v>
      </c>
      <c r="AG499" s="667">
        <v>10</v>
      </c>
      <c r="AH499" s="667"/>
      <c r="AI499" s="668"/>
      <c r="AN499" s="547"/>
      <c r="AO499" s="829" t="str">
        <f t="shared" si="67"/>
        <v>Yes</v>
      </c>
      <c r="AP499" s="259" t="str">
        <f t="shared" si="68"/>
        <v>SEP 20</v>
      </c>
      <c r="AQ499" s="547" t="str">
        <f t="shared" si="69"/>
        <v>有定金+有預留客戶</v>
      </c>
      <c r="AR499" s="259" t="str">
        <f t="shared" si="70"/>
        <v>Shipped_Stock</v>
      </c>
      <c r="AS499" s="259" t="str">
        <f t="shared" si="71"/>
        <v/>
      </c>
      <c r="AT499" s="259" t="str">
        <f t="shared" si="72"/>
        <v>豫龙辉</v>
      </c>
      <c r="AU499" s="259" t="str">
        <f t="shared" si="73"/>
        <v>C49SZX20200122JY</v>
      </c>
      <c r="AV499" s="259" t="str">
        <f t="shared" si="74"/>
        <v>Sep-23</v>
      </c>
    </row>
    <row r="500" spans="1:48" hidden="1">
      <c r="A500" s="564">
        <v>743</v>
      </c>
      <c r="B500" s="565" t="s">
        <v>280</v>
      </c>
      <c r="C500" s="568" t="s">
        <v>15</v>
      </c>
      <c r="D500" s="650">
        <v>109980</v>
      </c>
      <c r="E500" s="696" t="s">
        <v>1089</v>
      </c>
      <c r="F500" s="697" t="s">
        <v>256</v>
      </c>
      <c r="G500" s="697" t="s">
        <v>24</v>
      </c>
      <c r="H500" s="697" t="s">
        <v>26</v>
      </c>
      <c r="I500" s="698" t="s">
        <v>1122</v>
      </c>
      <c r="J500" s="580">
        <v>1</v>
      </c>
      <c r="K500" s="652" t="s">
        <v>437</v>
      </c>
      <c r="L500" s="662">
        <v>44097</v>
      </c>
      <c r="M500" s="670" t="s">
        <v>906</v>
      </c>
      <c r="N500" s="652" t="s">
        <v>918</v>
      </c>
      <c r="O500" s="684">
        <v>2020.09</v>
      </c>
      <c r="P500" s="571" t="str">
        <f>VLOOKUP(A500,'[1]Raw data'!$B:$BB,23,FALSE)</f>
        <v>JPY</v>
      </c>
      <c r="Q500" s="568" t="str">
        <f>VLOOKUP(A500,'[1]Raw data'!$B:$Z,2,FALSE)</f>
        <v>C49SZX20200112SS</v>
      </c>
      <c r="R500" s="568" t="str">
        <f>VLOOKUP(A500,'[1]Raw data'!$B:$Z,3,FALSE)</f>
        <v>钧溢电子</v>
      </c>
      <c r="S500" s="568" t="str">
        <f>VLOOKUP(A500,'[1]Raw data'!$B:$Z,4,FALSE)</f>
        <v>YSM20R(SV)-2</v>
      </c>
      <c r="T500" s="568" t="str">
        <f>VLOOKUP(A500,'[1]Raw data'!$B:$Z,8,FALSE)</f>
        <v>L-&gt;R</v>
      </c>
      <c r="U500" s="568" t="str">
        <f>VLOOKUP(A500,'[1]Raw data'!$B:$Z,9,FALSE)</f>
        <v>No</v>
      </c>
      <c r="V500" s="572" t="str">
        <f t="shared" si="75"/>
        <v>OK</v>
      </c>
      <c r="W500" s="568" t="str">
        <f>VLOOKUP(A500,'[1]Raw data'!$B:$AG,32,FALSE)</f>
        <v>DAP SZ</v>
      </c>
      <c r="X500" s="568">
        <f>VLOOKUP(A500,'[1]Raw data'!$B:$BA,31,FALSE)</f>
        <v>44036</v>
      </c>
      <c r="Y500" s="568" t="str">
        <f>VLOOKUP(A500,'[1]Raw data'!$B:$AS,39,FALSE)</f>
        <v>Yes</v>
      </c>
      <c r="Z500" s="664"/>
      <c r="AA500" s="665"/>
      <c r="AB500" s="666"/>
      <c r="AC500" s="652" t="s">
        <v>940</v>
      </c>
      <c r="AD500" s="667">
        <v>301</v>
      </c>
      <c r="AE500" s="667">
        <v>10</v>
      </c>
      <c r="AF500" s="667">
        <v>303</v>
      </c>
      <c r="AG500" s="667">
        <v>10</v>
      </c>
      <c r="AH500" s="667"/>
      <c r="AI500" s="668"/>
      <c r="AN500" s="547"/>
      <c r="AO500" s="829" t="str">
        <f t="shared" si="67"/>
        <v>Yes</v>
      </c>
      <c r="AP500" s="259" t="str">
        <f t="shared" si="68"/>
        <v>SEP 20</v>
      </c>
      <c r="AQ500" s="547" t="str">
        <f t="shared" si="69"/>
        <v>有定金+有預留客戶</v>
      </c>
      <c r="AR500" s="259" t="str">
        <f t="shared" si="70"/>
        <v>Shipped_Stock</v>
      </c>
      <c r="AS500" s="259" t="str">
        <f t="shared" si="71"/>
        <v/>
      </c>
      <c r="AT500" s="259" t="str">
        <f t="shared" si="72"/>
        <v>钧溢电子</v>
      </c>
      <c r="AU500" s="259" t="str">
        <f t="shared" si="73"/>
        <v>C49SZX20200112SS</v>
      </c>
      <c r="AV500" s="259" t="str">
        <f t="shared" si="74"/>
        <v>Sep-23</v>
      </c>
    </row>
    <row r="501" spans="1:48" hidden="1">
      <c r="A501" s="564">
        <v>868</v>
      </c>
      <c r="B501" s="565" t="s">
        <v>280</v>
      </c>
      <c r="C501" s="568" t="s">
        <v>15</v>
      </c>
      <c r="D501" s="650">
        <v>109980</v>
      </c>
      <c r="E501" s="651" t="s">
        <v>1089</v>
      </c>
      <c r="F501" s="652" t="s">
        <v>243</v>
      </c>
      <c r="G501" s="652" t="s">
        <v>24</v>
      </c>
      <c r="H501" s="652" t="s">
        <v>176</v>
      </c>
      <c r="I501" s="580" t="s">
        <v>1123</v>
      </c>
      <c r="J501" s="580">
        <v>1</v>
      </c>
      <c r="K501" s="652" t="s">
        <v>437</v>
      </c>
      <c r="L501" s="662">
        <v>44097</v>
      </c>
      <c r="M501" s="670" t="s">
        <v>906</v>
      </c>
      <c r="N501" s="652" t="s">
        <v>1124</v>
      </c>
      <c r="O501" s="684">
        <v>2020.09</v>
      </c>
      <c r="P501" s="571" t="str">
        <f>VLOOKUP(A501,'[1]Raw data'!$B:$BB,23,FALSE)</f>
        <v>JPY</v>
      </c>
      <c r="Q501" s="568" t="str">
        <f>VLOOKUP(A501,'[1]Raw data'!$B:$Z,2,FALSE)</f>
        <v>C49SZX20200170DZ</v>
      </c>
      <c r="R501" s="568" t="str">
        <f>VLOOKUP(A501,'[1]Raw data'!$B:$Z,3,FALSE)</f>
        <v>嘉裕</v>
      </c>
      <c r="S501" s="568" t="str">
        <f>VLOOKUP(A501,'[1]Raw data'!$B:$Z,4,FALSE)</f>
        <v>YSM20R(SV)-2</v>
      </c>
      <c r="T501" s="568" t="str">
        <f>VLOOKUP(A501,'[1]Raw data'!$B:$Z,8,FALSE)</f>
        <v>L-&gt;R</v>
      </c>
      <c r="U501" s="568" t="str">
        <f>VLOOKUP(A501,'[1]Raw data'!$B:$Z,9,FALSE)</f>
        <v>cATS10+MVC</v>
      </c>
      <c r="V501" s="572" t="str">
        <f t="shared" si="75"/>
        <v>WRONG</v>
      </c>
      <c r="W501" s="568" t="str">
        <f>VLOOKUP(A501,'[1]Raw data'!$B:$AG,32,FALSE)</f>
        <v>CIF HK</v>
      </c>
      <c r="X501" s="568">
        <f>VLOOKUP(A501,'[1]Raw data'!$B:$BA,31,FALSE)</f>
        <v>44098</v>
      </c>
      <c r="Y501" s="568" t="str">
        <f>VLOOKUP(A501,'[1]Raw data'!$B:$AS,39,FALSE)</f>
        <v>Yes</v>
      </c>
      <c r="Z501" s="664"/>
      <c r="AA501" s="665"/>
      <c r="AB501" s="666"/>
      <c r="AC501" s="568" t="s">
        <v>555</v>
      </c>
      <c r="AD501" s="667">
        <v>311</v>
      </c>
      <c r="AE501" s="667">
        <v>10</v>
      </c>
      <c r="AF501" s="667">
        <v>302</v>
      </c>
      <c r="AG501" s="667">
        <v>10</v>
      </c>
      <c r="AH501" s="667"/>
      <c r="AI501" s="668"/>
      <c r="AN501" s="547"/>
      <c r="AO501" s="829" t="str">
        <f t="shared" si="67"/>
        <v>Yes</v>
      </c>
      <c r="AP501" s="259" t="str">
        <f t="shared" si="68"/>
        <v>DEC 20</v>
      </c>
      <c r="AQ501" s="547" t="str">
        <f t="shared" si="69"/>
        <v>有定金+有預留客戶</v>
      </c>
      <c r="AR501" s="259" t="str">
        <f t="shared" si="70"/>
        <v>Shipped_Stock</v>
      </c>
      <c r="AS501" s="259" t="str">
        <f t="shared" si="71"/>
        <v/>
      </c>
      <c r="AT501" s="259" t="str">
        <f t="shared" si="72"/>
        <v>嘉裕</v>
      </c>
      <c r="AU501" s="259" t="str">
        <f t="shared" si="73"/>
        <v>C49SZX20200170DZ</v>
      </c>
      <c r="AV501" s="259" t="str">
        <f t="shared" si="74"/>
        <v>Sep-23</v>
      </c>
    </row>
    <row r="502" spans="1:48" hidden="1">
      <c r="A502" s="564">
        <v>921</v>
      </c>
      <c r="B502" s="565" t="s">
        <v>1125</v>
      </c>
      <c r="C502" s="568" t="s">
        <v>15</v>
      </c>
      <c r="D502" s="650">
        <v>109980</v>
      </c>
      <c r="E502" s="651" t="s">
        <v>1089</v>
      </c>
      <c r="F502" s="652" t="s">
        <v>256</v>
      </c>
      <c r="G502" s="652" t="s">
        <v>24</v>
      </c>
      <c r="H502" s="652" t="s">
        <v>176</v>
      </c>
      <c r="I502" s="580" t="s">
        <v>1126</v>
      </c>
      <c r="J502" s="580">
        <v>1</v>
      </c>
      <c r="K502" s="652" t="s">
        <v>437</v>
      </c>
      <c r="L502" s="662">
        <v>44097</v>
      </c>
      <c r="M502" s="670" t="s">
        <v>906</v>
      </c>
      <c r="N502" s="652" t="s">
        <v>1127</v>
      </c>
      <c r="O502" s="684">
        <v>2020.09</v>
      </c>
      <c r="P502" s="571" t="str">
        <f>VLOOKUP(A502,'[1]Raw data'!$B:$BB,23,FALSE)</f>
        <v>JPY</v>
      </c>
      <c r="Q502" s="568" t="str">
        <f>VLOOKUP(A502,'[1]Raw data'!$B:$Z,2,FALSE)</f>
        <v>C49SZX20200145JL</v>
      </c>
      <c r="R502" s="568" t="str">
        <f>VLOOKUP(A502,'[1]Raw data'!$B:$Z,3,FALSE)</f>
        <v>易而达</v>
      </c>
      <c r="S502" s="568" t="str">
        <f>VLOOKUP(A502,'[1]Raw data'!$B:$Z,4,FALSE)</f>
        <v>YSM20R(SV)-2</v>
      </c>
      <c r="T502" s="568" t="str">
        <f>VLOOKUP(A502,'[1]Raw data'!$B:$Z,8,FALSE)</f>
        <v>L-&gt;R</v>
      </c>
      <c r="U502" s="568" t="str">
        <f>VLOOKUP(A502,'[1]Raw data'!$B:$Z,9,FALSE)</f>
        <v>cATS10+MVC</v>
      </c>
      <c r="V502" s="572" t="str">
        <f t="shared" si="75"/>
        <v>WRONG</v>
      </c>
      <c r="W502" s="568" t="str">
        <f>VLOOKUP(A502,'[1]Raw data'!$B:$AG,32,FALSE)</f>
        <v>DAP GZ</v>
      </c>
      <c r="X502" s="568">
        <f>VLOOKUP(A502,'[1]Raw data'!$B:$BA,31,FALSE)</f>
        <v>44145</v>
      </c>
      <c r="Y502" s="568" t="str">
        <f>VLOOKUP(A502,'[1]Raw data'!$B:$AS,39,FALSE)</f>
        <v>Yes</v>
      </c>
      <c r="Z502" s="664"/>
      <c r="AA502" s="665"/>
      <c r="AB502" s="666"/>
      <c r="AC502" s="652" t="s">
        <v>1128</v>
      </c>
      <c r="AD502" s="667">
        <v>301</v>
      </c>
      <c r="AE502" s="667">
        <v>10</v>
      </c>
      <c r="AF502" s="667">
        <v>302</v>
      </c>
      <c r="AG502" s="667">
        <v>10</v>
      </c>
      <c r="AH502" s="667"/>
      <c r="AI502" s="668"/>
      <c r="AN502" s="547"/>
      <c r="AO502" s="829" t="str">
        <f t="shared" si="67"/>
        <v>Yes</v>
      </c>
      <c r="AP502" s="259" t="str">
        <f t="shared" si="68"/>
        <v>JAN 21</v>
      </c>
      <c r="AQ502" s="547" t="str">
        <f t="shared" si="69"/>
        <v>有定金+有預留客戶</v>
      </c>
      <c r="AR502" s="259" t="str">
        <f t="shared" si="70"/>
        <v>Shipped_Stock</v>
      </c>
      <c r="AS502" s="259" t="str">
        <f t="shared" si="71"/>
        <v/>
      </c>
      <c r="AT502" s="259" t="str">
        <f t="shared" si="72"/>
        <v>易而达</v>
      </c>
      <c r="AU502" s="259" t="str">
        <f t="shared" si="73"/>
        <v>C49SZX20200145JL</v>
      </c>
      <c r="AV502" s="259" t="str">
        <f t="shared" si="74"/>
        <v>Sep-23</v>
      </c>
    </row>
    <row r="503" spans="1:48" hidden="1">
      <c r="A503" s="564">
        <v>713</v>
      </c>
      <c r="B503" s="568" t="s">
        <v>280</v>
      </c>
      <c r="C503" s="568" t="s">
        <v>15</v>
      </c>
      <c r="D503" s="699">
        <v>109980</v>
      </c>
      <c r="E503" s="700" t="s">
        <v>1089</v>
      </c>
      <c r="F503" s="687" t="s">
        <v>256</v>
      </c>
      <c r="G503" s="687" t="s">
        <v>24</v>
      </c>
      <c r="H503" s="687" t="s">
        <v>26</v>
      </c>
      <c r="I503" s="701" t="s">
        <v>1129</v>
      </c>
      <c r="J503" s="689">
        <v>1</v>
      </c>
      <c r="K503" s="652" t="s">
        <v>388</v>
      </c>
      <c r="L503" s="662">
        <v>44097</v>
      </c>
      <c r="M503" s="670" t="s">
        <v>906</v>
      </c>
      <c r="N503" s="652" t="s">
        <v>918</v>
      </c>
      <c r="O503" s="684">
        <v>2020.09</v>
      </c>
      <c r="P503" s="571" t="str">
        <f>VLOOKUP(A503,'[1]Raw data'!$B:$BB,23,FALSE)</f>
        <v>JPY</v>
      </c>
      <c r="Q503" s="568" t="str">
        <f>VLOOKUP(A503,'[1]Raw data'!$B:$Z,2,FALSE)</f>
        <v>C49SZX20200089JL-R3</v>
      </c>
      <c r="R503" s="568" t="str">
        <f>VLOOKUP(A503,'[1]Raw data'!$B:$Z,3,FALSE)</f>
        <v>金睿通</v>
      </c>
      <c r="S503" s="568" t="str">
        <f>VLOOKUP(A503,'[1]Raw data'!$B:$Z,4,FALSE)</f>
        <v>YSM20R(SV)-2</v>
      </c>
      <c r="T503" s="568" t="str">
        <f>VLOOKUP(A503,'[1]Raw data'!$B:$Z,8,FALSE)</f>
        <v>L-&gt;R</v>
      </c>
      <c r="U503" s="568" t="str">
        <f>VLOOKUP(A503,'[1]Raw data'!$B:$Z,9,FALSE)</f>
        <v>No</v>
      </c>
      <c r="V503" s="572" t="str">
        <f t="shared" si="75"/>
        <v>OK</v>
      </c>
      <c r="W503" s="568" t="str">
        <f>VLOOKUP(A503,'[1]Raw data'!$B:$AG,32,FALSE)</f>
        <v>CIF HK</v>
      </c>
      <c r="X503" s="568">
        <f>VLOOKUP(A503,'[1]Raw data'!$B:$BA,31,FALSE)</f>
        <v>44027</v>
      </c>
      <c r="Y503" s="568" t="str">
        <f>VLOOKUP(A503,'[1]Raw data'!$B:$AS,39,FALSE)</f>
        <v>Yes</v>
      </c>
      <c r="Z503" s="664"/>
      <c r="AA503" s="665"/>
      <c r="AB503" s="666"/>
      <c r="AC503" s="652" t="s">
        <v>1115</v>
      </c>
      <c r="AD503" s="667">
        <v>301</v>
      </c>
      <c r="AE503" s="667">
        <v>10</v>
      </c>
      <c r="AF503" s="667">
        <v>302</v>
      </c>
      <c r="AG503" s="667">
        <v>10</v>
      </c>
      <c r="AH503" s="667"/>
      <c r="AI503" s="668"/>
      <c r="AN503" s="547"/>
      <c r="AO503" s="829" t="str">
        <f t="shared" si="67"/>
        <v>Yes</v>
      </c>
      <c r="AP503" s="259" t="str">
        <f t="shared" si="68"/>
        <v>SEP 20</v>
      </c>
      <c r="AQ503" s="547" t="str">
        <f t="shared" si="69"/>
        <v>有定金+有預留客戶</v>
      </c>
      <c r="AR503" s="259" t="str">
        <f t="shared" si="70"/>
        <v>Shipped_Stock</v>
      </c>
      <c r="AS503" s="259" t="str">
        <f t="shared" si="71"/>
        <v/>
      </c>
      <c r="AT503" s="259" t="str">
        <f t="shared" si="72"/>
        <v>金睿通</v>
      </c>
      <c r="AU503" s="259" t="str">
        <f t="shared" si="73"/>
        <v>C49SZX20200089JL-R3</v>
      </c>
      <c r="AV503" s="259" t="str">
        <f t="shared" si="74"/>
        <v>Sep-23</v>
      </c>
    </row>
    <row r="504" spans="1:48" hidden="1">
      <c r="A504" s="564">
        <v>714</v>
      </c>
      <c r="B504" s="568" t="s">
        <v>280</v>
      </c>
      <c r="C504" s="568" t="s">
        <v>15</v>
      </c>
      <c r="D504" s="699">
        <v>109980</v>
      </c>
      <c r="E504" s="702" t="s">
        <v>1089</v>
      </c>
      <c r="F504" s="652" t="s">
        <v>256</v>
      </c>
      <c r="G504" s="652" t="s">
        <v>24</v>
      </c>
      <c r="H504" s="652" t="s">
        <v>26</v>
      </c>
      <c r="I504" s="703" t="s">
        <v>1130</v>
      </c>
      <c r="J504" s="689">
        <v>1</v>
      </c>
      <c r="K504" s="652" t="s">
        <v>388</v>
      </c>
      <c r="L504" s="662">
        <v>44097</v>
      </c>
      <c r="M504" s="670" t="s">
        <v>906</v>
      </c>
      <c r="N504" s="652" t="s">
        <v>918</v>
      </c>
      <c r="O504" s="684">
        <v>2020.09</v>
      </c>
      <c r="P504" s="571" t="str">
        <f>VLOOKUP(A504,'[1]Raw data'!$B:$BB,23,FALSE)</f>
        <v>JPY</v>
      </c>
      <c r="Q504" s="568" t="str">
        <f>VLOOKUP(A504,'[1]Raw data'!$B:$Z,2,FALSE)</f>
        <v>C49SZX20200089JL-R3</v>
      </c>
      <c r="R504" s="568" t="str">
        <f>VLOOKUP(A504,'[1]Raw data'!$B:$Z,3,FALSE)</f>
        <v>金睿通</v>
      </c>
      <c r="S504" s="568" t="str">
        <f>VLOOKUP(A504,'[1]Raw data'!$B:$Z,4,FALSE)</f>
        <v>YSM20R(SV)-2</v>
      </c>
      <c r="T504" s="568" t="str">
        <f>VLOOKUP(A504,'[1]Raw data'!$B:$Z,8,FALSE)</f>
        <v>L-&gt;R</v>
      </c>
      <c r="U504" s="568" t="str">
        <f>VLOOKUP(A504,'[1]Raw data'!$B:$Z,9,FALSE)</f>
        <v>No</v>
      </c>
      <c r="V504" s="572" t="str">
        <f t="shared" si="75"/>
        <v>OK</v>
      </c>
      <c r="W504" s="568" t="str">
        <f>VLOOKUP(A504,'[1]Raw data'!$B:$AG,32,FALSE)</f>
        <v>CIF HK</v>
      </c>
      <c r="X504" s="568">
        <f>VLOOKUP(A504,'[1]Raw data'!$B:$BA,31,FALSE)</f>
        <v>44027</v>
      </c>
      <c r="Y504" s="568" t="str">
        <f>VLOOKUP(A504,'[1]Raw data'!$B:$AS,39,FALSE)</f>
        <v>Yes</v>
      </c>
      <c r="Z504" s="664"/>
      <c r="AA504" s="665"/>
      <c r="AB504" s="666"/>
      <c r="AC504" s="652" t="s">
        <v>1115</v>
      </c>
      <c r="AD504" s="667">
        <v>301</v>
      </c>
      <c r="AE504" s="667">
        <v>10</v>
      </c>
      <c r="AF504" s="667">
        <v>303</v>
      </c>
      <c r="AG504" s="667">
        <v>10</v>
      </c>
      <c r="AH504" s="667"/>
      <c r="AI504" s="668"/>
      <c r="AN504" s="547"/>
      <c r="AO504" s="829" t="str">
        <f t="shared" si="67"/>
        <v>Yes</v>
      </c>
      <c r="AP504" s="259" t="str">
        <f t="shared" si="68"/>
        <v>SEP 20</v>
      </c>
      <c r="AQ504" s="547" t="str">
        <f t="shared" si="69"/>
        <v>有定金+有預留客戶</v>
      </c>
      <c r="AR504" s="259" t="str">
        <f t="shared" si="70"/>
        <v>Shipped_Stock</v>
      </c>
      <c r="AS504" s="259" t="str">
        <f t="shared" si="71"/>
        <v/>
      </c>
      <c r="AT504" s="259" t="str">
        <f t="shared" si="72"/>
        <v>金睿通</v>
      </c>
      <c r="AU504" s="259" t="str">
        <f t="shared" si="73"/>
        <v>C49SZX20200089JL-R3</v>
      </c>
      <c r="AV504" s="259" t="str">
        <f t="shared" si="74"/>
        <v>Sep-23</v>
      </c>
    </row>
    <row r="505" spans="1:48" hidden="1">
      <c r="A505" s="564">
        <v>711</v>
      </c>
      <c r="B505" s="568" t="s">
        <v>280</v>
      </c>
      <c r="C505" s="568" t="s">
        <v>15</v>
      </c>
      <c r="D505" s="699">
        <v>109980</v>
      </c>
      <c r="E505" s="702" t="s">
        <v>1089</v>
      </c>
      <c r="F505" s="652" t="s">
        <v>256</v>
      </c>
      <c r="G505" s="652" t="s">
        <v>24</v>
      </c>
      <c r="H505" s="652" t="s">
        <v>26</v>
      </c>
      <c r="I505" s="703" t="s">
        <v>1131</v>
      </c>
      <c r="J505" s="689">
        <v>1</v>
      </c>
      <c r="K505" s="652" t="s">
        <v>388</v>
      </c>
      <c r="L505" s="662">
        <v>44097</v>
      </c>
      <c r="M505" s="670" t="s">
        <v>906</v>
      </c>
      <c r="N505" s="652" t="s">
        <v>918</v>
      </c>
      <c r="O505" s="684">
        <v>2020.09</v>
      </c>
      <c r="P505" s="571" t="str">
        <f>VLOOKUP(A505,'[1]Raw data'!$B:$BB,23,FALSE)</f>
        <v>JPY</v>
      </c>
      <c r="Q505" s="568" t="str">
        <f>VLOOKUP(A505,'[1]Raw data'!$B:$Z,2,FALSE)</f>
        <v>C49SZX20200089JL-R2</v>
      </c>
      <c r="R505" s="568" t="str">
        <f>VLOOKUP(A505,'[1]Raw data'!$B:$Z,3,FALSE)</f>
        <v>瑞福联</v>
      </c>
      <c r="S505" s="568" t="str">
        <f>VLOOKUP(A505,'[1]Raw data'!$B:$Z,4,FALSE)</f>
        <v>YSM20R(SV)-2</v>
      </c>
      <c r="T505" s="568" t="str">
        <f>VLOOKUP(A505,'[1]Raw data'!$B:$Z,8,FALSE)</f>
        <v>L-&gt;R</v>
      </c>
      <c r="U505" s="568" t="str">
        <f>VLOOKUP(A505,'[1]Raw data'!$B:$Z,9,FALSE)</f>
        <v>No</v>
      </c>
      <c r="V505" s="572" t="str">
        <f t="shared" si="75"/>
        <v>OK</v>
      </c>
      <c r="W505" s="568" t="str">
        <f>VLOOKUP(A505,'[1]Raw data'!$B:$AG,32,FALSE)</f>
        <v>CIF HK</v>
      </c>
      <c r="X505" s="568">
        <f>VLOOKUP(A505,'[1]Raw data'!$B:$BA,31,FALSE)</f>
        <v>44027</v>
      </c>
      <c r="Y505" s="568" t="str">
        <f>VLOOKUP(A505,'[1]Raw data'!$B:$AS,39,FALSE)</f>
        <v>Yes</v>
      </c>
      <c r="Z505" s="664"/>
      <c r="AA505" s="665"/>
      <c r="AB505" s="666"/>
      <c r="AC505" s="652" t="s">
        <v>1115</v>
      </c>
      <c r="AD505" s="667">
        <v>301</v>
      </c>
      <c r="AE505" s="667">
        <v>10</v>
      </c>
      <c r="AF505" s="667">
        <v>302</v>
      </c>
      <c r="AG505" s="667">
        <v>10</v>
      </c>
      <c r="AH505" s="667"/>
      <c r="AI505" s="668"/>
      <c r="AN505" s="547"/>
      <c r="AO505" s="829" t="str">
        <f t="shared" si="67"/>
        <v>Yes</v>
      </c>
      <c r="AP505" s="259" t="str">
        <f t="shared" si="68"/>
        <v>SEP 20</v>
      </c>
      <c r="AQ505" s="547" t="str">
        <f t="shared" si="69"/>
        <v>有定金+有預留客戶</v>
      </c>
      <c r="AR505" s="259" t="str">
        <f t="shared" si="70"/>
        <v>Shipped_Stock</v>
      </c>
      <c r="AS505" s="259" t="str">
        <f t="shared" si="71"/>
        <v/>
      </c>
      <c r="AT505" s="259" t="str">
        <f t="shared" si="72"/>
        <v>瑞福联</v>
      </c>
      <c r="AU505" s="259" t="str">
        <f t="shared" si="73"/>
        <v>C49SZX20200089JL-R2</v>
      </c>
      <c r="AV505" s="259" t="str">
        <f t="shared" si="74"/>
        <v>Sep-23</v>
      </c>
    </row>
    <row r="506" spans="1:48" ht="13.5" hidden="1" thickBot="1">
      <c r="A506" s="564">
        <v>712</v>
      </c>
      <c r="B506" s="568" t="s">
        <v>280</v>
      </c>
      <c r="C506" s="568" t="s">
        <v>15</v>
      </c>
      <c r="D506" s="699">
        <v>109980</v>
      </c>
      <c r="E506" s="704" t="s">
        <v>1089</v>
      </c>
      <c r="F506" s="693" t="s">
        <v>256</v>
      </c>
      <c r="G506" s="693" t="s">
        <v>24</v>
      </c>
      <c r="H506" s="693" t="s">
        <v>26</v>
      </c>
      <c r="I506" s="705" t="s">
        <v>1132</v>
      </c>
      <c r="J506" s="689">
        <v>1</v>
      </c>
      <c r="K506" s="652" t="s">
        <v>388</v>
      </c>
      <c r="L506" s="662">
        <v>44097</v>
      </c>
      <c r="M506" s="670" t="s">
        <v>906</v>
      </c>
      <c r="N506" s="652" t="s">
        <v>918</v>
      </c>
      <c r="O506" s="684">
        <v>2020.09</v>
      </c>
      <c r="P506" s="571" t="str">
        <f>VLOOKUP(A506,'[1]Raw data'!$B:$BB,23,FALSE)</f>
        <v>JPY</v>
      </c>
      <c r="Q506" s="568" t="str">
        <f>VLOOKUP(A506,'[1]Raw data'!$B:$Z,2,FALSE)</f>
        <v>C49SZX20200089JL-R2</v>
      </c>
      <c r="R506" s="568" t="str">
        <f>VLOOKUP(A506,'[1]Raw data'!$B:$Z,3,FALSE)</f>
        <v>瑞福联</v>
      </c>
      <c r="S506" s="568" t="str">
        <f>VLOOKUP(A506,'[1]Raw data'!$B:$Z,4,FALSE)</f>
        <v>YSM20R(SV)-2</v>
      </c>
      <c r="T506" s="568" t="str">
        <f>VLOOKUP(A506,'[1]Raw data'!$B:$Z,8,FALSE)</f>
        <v>L-&gt;R</v>
      </c>
      <c r="U506" s="568" t="str">
        <f>VLOOKUP(A506,'[1]Raw data'!$B:$Z,9,FALSE)</f>
        <v>No</v>
      </c>
      <c r="V506" s="572" t="str">
        <f t="shared" si="75"/>
        <v>OK</v>
      </c>
      <c r="W506" s="568" t="str">
        <f>VLOOKUP(A506,'[1]Raw data'!$B:$AG,32,FALSE)</f>
        <v>CIF HK</v>
      </c>
      <c r="X506" s="568">
        <f>VLOOKUP(A506,'[1]Raw data'!$B:$BA,31,FALSE)</f>
        <v>44027</v>
      </c>
      <c r="Y506" s="568" t="str">
        <f>VLOOKUP(A506,'[1]Raw data'!$B:$AS,39,FALSE)</f>
        <v>Yes</v>
      </c>
      <c r="Z506" s="664"/>
      <c r="AA506" s="665"/>
      <c r="AB506" s="666"/>
      <c r="AC506" s="652" t="s">
        <v>1115</v>
      </c>
      <c r="AD506" s="667">
        <v>301</v>
      </c>
      <c r="AE506" s="667">
        <v>10</v>
      </c>
      <c r="AF506" s="667">
        <v>302</v>
      </c>
      <c r="AG506" s="667">
        <v>10</v>
      </c>
      <c r="AH506" s="667"/>
      <c r="AI506" s="668"/>
      <c r="AN506" s="547"/>
      <c r="AO506" s="829" t="str">
        <f t="shared" si="67"/>
        <v>Yes</v>
      </c>
      <c r="AP506" s="259" t="str">
        <f t="shared" si="68"/>
        <v>SEP 20</v>
      </c>
      <c r="AQ506" s="547" t="str">
        <f t="shared" si="69"/>
        <v>有定金+有預留客戶</v>
      </c>
      <c r="AR506" s="259" t="str">
        <f t="shared" si="70"/>
        <v>Shipped_Stock</v>
      </c>
      <c r="AS506" s="259" t="str">
        <f t="shared" si="71"/>
        <v/>
      </c>
      <c r="AT506" s="259" t="str">
        <f t="shared" si="72"/>
        <v>瑞福联</v>
      </c>
      <c r="AU506" s="259" t="str">
        <f t="shared" si="73"/>
        <v>C49SZX20200089JL-R2</v>
      </c>
      <c r="AV506" s="259" t="str">
        <f t="shared" si="74"/>
        <v>Sep-23</v>
      </c>
    </row>
    <row r="507" spans="1:48" hidden="1">
      <c r="A507" s="564">
        <v>799</v>
      </c>
      <c r="B507" s="565" t="s">
        <v>280</v>
      </c>
      <c r="C507" s="568" t="s">
        <v>15</v>
      </c>
      <c r="D507" s="699">
        <v>109977</v>
      </c>
      <c r="E507" s="706" t="s">
        <v>886</v>
      </c>
      <c r="F507" s="687" t="s">
        <v>17</v>
      </c>
      <c r="G507" s="687" t="s">
        <v>18</v>
      </c>
      <c r="H507" s="687" t="s">
        <v>26</v>
      </c>
      <c r="I507" s="701" t="s">
        <v>1133</v>
      </c>
      <c r="J507" s="689">
        <v>1</v>
      </c>
      <c r="K507" s="652" t="s">
        <v>746</v>
      </c>
      <c r="L507" s="662">
        <v>44099</v>
      </c>
      <c r="M507" s="670">
        <v>6.5500000000000003E-2</v>
      </c>
      <c r="N507" s="652" t="s">
        <v>918</v>
      </c>
      <c r="O507" s="669">
        <v>2020.09</v>
      </c>
      <c r="P507" s="571" t="str">
        <f>VLOOKUP(A507,'[1]Raw data'!$B:$BB,23,FALSE)</f>
        <v>RMB</v>
      </c>
      <c r="Q507" s="568" t="str">
        <f>VLOOKUP(A507,'[1]Raw data'!$B:$Z,2,FALSE)</f>
        <v>C49SZX20200141SX</v>
      </c>
      <c r="R507" s="568" t="str">
        <f>VLOOKUP(A507,'[1]Raw data'!$B:$Z,3,FALSE)</f>
        <v>奕东</v>
      </c>
      <c r="S507" s="568" t="str">
        <f>VLOOKUP(A507,'[1]Raw data'!$B:$Z,4,FALSE)</f>
        <v>YSM10</v>
      </c>
      <c r="T507" s="568" t="str">
        <f>VLOOKUP(A507,'[1]Raw data'!$B:$Z,8,FALSE)</f>
        <v>L-&gt;R</v>
      </c>
      <c r="U507" s="568" t="str">
        <f>VLOOKUP(A507,'[1]Raw data'!$B:$Z,9,FALSE)</f>
        <v>MVC</v>
      </c>
      <c r="V507" s="572" t="str">
        <f t="shared" si="75"/>
        <v>WRONG</v>
      </c>
      <c r="W507" s="568" t="str">
        <f>VLOOKUP(A507,'[1]Raw data'!$B:$AG,32,FALSE)</f>
        <v>含税到厂</v>
      </c>
      <c r="X507" s="568">
        <f>VLOOKUP(A507,'[1]Raw data'!$B:$BA,31,FALSE)</f>
        <v>44074</v>
      </c>
      <c r="Y507" s="568" t="str">
        <f>VLOOKUP(A507,'[1]Raw data'!$B:$AS,39,FALSE)</f>
        <v>Yes</v>
      </c>
      <c r="Z507" s="664"/>
      <c r="AA507" s="665"/>
      <c r="AB507" s="666"/>
      <c r="AC507" s="652" t="s">
        <v>895</v>
      </c>
      <c r="AD507" s="667">
        <v>302</v>
      </c>
      <c r="AE507" s="667">
        <v>10</v>
      </c>
      <c r="AF507" s="667"/>
      <c r="AG507" s="667"/>
      <c r="AH507" s="667"/>
      <c r="AI507" s="668"/>
      <c r="AN507" s="547"/>
      <c r="AO507" s="829" t="str">
        <f t="shared" si="67"/>
        <v>Yes</v>
      </c>
      <c r="AP507" s="259" t="str">
        <f t="shared" si="68"/>
        <v>SEP 20</v>
      </c>
      <c r="AQ507" s="547" t="str">
        <f t="shared" si="69"/>
        <v>有定金+有預留客戶</v>
      </c>
      <c r="AR507" s="259" t="str">
        <f t="shared" si="70"/>
        <v>Shipped_Stock</v>
      </c>
      <c r="AS507" s="259" t="str">
        <f t="shared" si="71"/>
        <v/>
      </c>
      <c r="AT507" s="259" t="str">
        <f t="shared" si="72"/>
        <v>奕东</v>
      </c>
      <c r="AU507" s="259" t="str">
        <f t="shared" si="73"/>
        <v>C49SZX20200141SX</v>
      </c>
      <c r="AV507" s="259" t="str">
        <f t="shared" si="74"/>
        <v>Sep-25</v>
      </c>
    </row>
    <row r="508" spans="1:48" hidden="1">
      <c r="A508" s="564">
        <v>798</v>
      </c>
      <c r="B508" s="565" t="s">
        <v>280</v>
      </c>
      <c r="C508" s="568" t="s">
        <v>281</v>
      </c>
      <c r="D508" s="699">
        <v>109977</v>
      </c>
      <c r="E508" s="707" t="s">
        <v>886</v>
      </c>
      <c r="F508" s="652" t="s">
        <v>17</v>
      </c>
      <c r="G508" s="652" t="s">
        <v>18</v>
      </c>
      <c r="H508" s="652" t="s">
        <v>26</v>
      </c>
      <c r="I508" s="703" t="s">
        <v>1134</v>
      </c>
      <c r="J508" s="689">
        <v>1</v>
      </c>
      <c r="K508" s="652" t="s">
        <v>746</v>
      </c>
      <c r="L508" s="662">
        <v>44099</v>
      </c>
      <c r="M508" s="681">
        <v>6.5500000000000003E-2</v>
      </c>
      <c r="N508" s="652" t="s">
        <v>918</v>
      </c>
      <c r="O508" s="669">
        <v>2020.09</v>
      </c>
      <c r="P508" s="571" t="str">
        <f>VLOOKUP(A508,'[1]Raw data'!$B:$BB,23,FALSE)</f>
        <v>RMB</v>
      </c>
      <c r="Q508" s="568" t="str">
        <f>VLOOKUP(A508,'[1]Raw data'!$B:$Z,2,FALSE)</f>
        <v>C49SZX20200141SX</v>
      </c>
      <c r="R508" s="568" t="str">
        <f>VLOOKUP(A508,'[1]Raw data'!$B:$Z,3,FALSE)</f>
        <v>奕东</v>
      </c>
      <c r="S508" s="568" t="str">
        <f>VLOOKUP(A508,'[1]Raw data'!$B:$Z,4,FALSE)</f>
        <v>YSM10</v>
      </c>
      <c r="T508" s="568" t="str">
        <f>VLOOKUP(A508,'[1]Raw data'!$B:$Z,8,FALSE)</f>
        <v>L-&gt;R</v>
      </c>
      <c r="U508" s="568" t="str">
        <f>VLOOKUP(A508,'[1]Raw data'!$B:$Z,9,FALSE)</f>
        <v>MVC</v>
      </c>
      <c r="V508" s="572" t="str">
        <f t="shared" si="75"/>
        <v>WRONG</v>
      </c>
      <c r="W508" s="568" t="str">
        <f>VLOOKUP(A508,'[1]Raw data'!$B:$AG,32,FALSE)</f>
        <v>含税到厂</v>
      </c>
      <c r="X508" s="568">
        <f>VLOOKUP(A508,'[1]Raw data'!$B:$BA,31,FALSE)</f>
        <v>44074</v>
      </c>
      <c r="Y508" s="568" t="str">
        <f>VLOOKUP(A508,'[1]Raw data'!$B:$AS,39,FALSE)</f>
        <v>Yes</v>
      </c>
      <c r="Z508" s="674"/>
      <c r="AA508" s="675"/>
      <c r="AB508" s="676"/>
      <c r="AC508" s="652" t="s">
        <v>895</v>
      </c>
      <c r="AD508" s="667">
        <v>302</v>
      </c>
      <c r="AE508" s="667">
        <v>10</v>
      </c>
      <c r="AF508" s="667"/>
      <c r="AG508" s="667"/>
      <c r="AH508" s="667"/>
      <c r="AI508" s="668"/>
      <c r="AN508" s="547"/>
      <c r="AO508" s="829" t="str">
        <f t="shared" si="67"/>
        <v>Yes</v>
      </c>
      <c r="AP508" s="259" t="str">
        <f t="shared" si="68"/>
        <v>SEP 20</v>
      </c>
      <c r="AQ508" s="547" t="str">
        <f t="shared" si="69"/>
        <v>有定金+有預留客戶</v>
      </c>
      <c r="AR508" s="259" t="str">
        <f t="shared" si="70"/>
        <v>Shipped_Stock</v>
      </c>
      <c r="AS508" s="259" t="str">
        <f t="shared" si="71"/>
        <v/>
      </c>
      <c r="AT508" s="259" t="str">
        <f t="shared" si="72"/>
        <v>奕东</v>
      </c>
      <c r="AU508" s="259" t="str">
        <f t="shared" si="73"/>
        <v>C49SZX20200141SX</v>
      </c>
      <c r="AV508" s="259" t="str">
        <f t="shared" si="74"/>
        <v>Sep-25</v>
      </c>
    </row>
    <row r="509" spans="1:48" hidden="1">
      <c r="A509" s="564">
        <v>801</v>
      </c>
      <c r="B509" s="565" t="s">
        <v>280</v>
      </c>
      <c r="C509" s="568" t="s">
        <v>15</v>
      </c>
      <c r="D509" s="699">
        <v>109977</v>
      </c>
      <c r="E509" s="707" t="s">
        <v>886</v>
      </c>
      <c r="F509" s="652" t="s">
        <v>17</v>
      </c>
      <c r="G509" s="652" t="s">
        <v>18</v>
      </c>
      <c r="H509" s="652" t="s">
        <v>26</v>
      </c>
      <c r="I509" s="703" t="s">
        <v>1135</v>
      </c>
      <c r="J509" s="689">
        <v>1</v>
      </c>
      <c r="K509" s="652" t="s">
        <v>746</v>
      </c>
      <c r="L509" s="662">
        <v>44099</v>
      </c>
      <c r="M509" s="681">
        <v>6.5500000000000003E-2</v>
      </c>
      <c r="N509" s="652" t="s">
        <v>918</v>
      </c>
      <c r="O509" s="669">
        <v>2020.09</v>
      </c>
      <c r="P509" s="571" t="str">
        <f>VLOOKUP(A509,'[1]Raw data'!$B:$BB,23,FALSE)</f>
        <v>RMB</v>
      </c>
      <c r="Q509" s="568" t="str">
        <f>VLOOKUP(A509,'[1]Raw data'!$B:$Z,2,FALSE)</f>
        <v>C49SZX20200141SX</v>
      </c>
      <c r="R509" s="568" t="str">
        <f>VLOOKUP(A509,'[1]Raw data'!$B:$Z,3,FALSE)</f>
        <v>奕东</v>
      </c>
      <c r="S509" s="568" t="str">
        <f>VLOOKUP(A509,'[1]Raw data'!$B:$Z,4,FALSE)</f>
        <v>YSM10</v>
      </c>
      <c r="T509" s="568" t="str">
        <f>VLOOKUP(A509,'[1]Raw data'!$B:$Z,8,FALSE)</f>
        <v>R-&gt;L</v>
      </c>
      <c r="U509" s="568" t="str">
        <f>VLOOKUP(A509,'[1]Raw data'!$B:$Z,9,FALSE)</f>
        <v>MVC</v>
      </c>
      <c r="V509" s="572" t="str">
        <f t="shared" si="75"/>
        <v>WRONG</v>
      </c>
      <c r="W509" s="568" t="str">
        <f>VLOOKUP(A509,'[1]Raw data'!$B:$AG,32,FALSE)</f>
        <v>含税到厂</v>
      </c>
      <c r="X509" s="568">
        <f>VLOOKUP(A509,'[1]Raw data'!$B:$BA,31,FALSE)</f>
        <v>44074</v>
      </c>
      <c r="Y509" s="568" t="str">
        <f>VLOOKUP(A509,'[1]Raw data'!$B:$AS,39,FALSE)</f>
        <v>Yes</v>
      </c>
      <c r="Z509" s="664"/>
      <c r="AA509" s="665"/>
      <c r="AB509" s="666"/>
      <c r="AC509" s="652" t="s">
        <v>895</v>
      </c>
      <c r="AD509" s="667">
        <v>302</v>
      </c>
      <c r="AE509" s="667">
        <v>10</v>
      </c>
      <c r="AF509" s="667"/>
      <c r="AG509" s="667"/>
      <c r="AH509" s="667"/>
      <c r="AI509" s="668"/>
      <c r="AN509" s="547"/>
      <c r="AO509" s="829" t="str">
        <f t="shared" si="67"/>
        <v>Yes</v>
      </c>
      <c r="AP509" s="259" t="str">
        <f t="shared" si="68"/>
        <v>SEP 20</v>
      </c>
      <c r="AQ509" s="547" t="str">
        <f t="shared" si="69"/>
        <v>有定金+有預留客戶</v>
      </c>
      <c r="AR509" s="259" t="str">
        <f t="shared" si="70"/>
        <v>Shipped_Stock</v>
      </c>
      <c r="AS509" s="259" t="str">
        <f t="shared" si="71"/>
        <v/>
      </c>
      <c r="AT509" s="259" t="str">
        <f t="shared" si="72"/>
        <v>奕东</v>
      </c>
      <c r="AU509" s="259" t="str">
        <f t="shared" si="73"/>
        <v>C49SZX20200141SX</v>
      </c>
      <c r="AV509" s="259" t="str">
        <f t="shared" si="74"/>
        <v>Sep-25</v>
      </c>
    </row>
    <row r="510" spans="1:48" hidden="1">
      <c r="A510" s="564">
        <v>772</v>
      </c>
      <c r="B510" s="565" t="s">
        <v>280</v>
      </c>
      <c r="C510" s="568" t="s">
        <v>15</v>
      </c>
      <c r="D510" s="699">
        <v>109977</v>
      </c>
      <c r="E510" s="707" t="s">
        <v>886</v>
      </c>
      <c r="F510" s="652" t="s">
        <v>17</v>
      </c>
      <c r="G510" s="652" t="s">
        <v>18</v>
      </c>
      <c r="H510" s="652" t="s">
        <v>26</v>
      </c>
      <c r="I510" s="703" t="s">
        <v>1136</v>
      </c>
      <c r="J510" s="689">
        <v>1</v>
      </c>
      <c r="K510" s="652" t="s">
        <v>746</v>
      </c>
      <c r="L510" s="662">
        <v>44099</v>
      </c>
      <c r="M510" s="670">
        <v>6.5500000000000003E-2</v>
      </c>
      <c r="N510" s="652" t="s">
        <v>918</v>
      </c>
      <c r="O510" s="669">
        <v>2020.09</v>
      </c>
      <c r="P510" s="571" t="str">
        <f>VLOOKUP(A510,'[1]Raw data'!$B:$BB,23,FALSE)</f>
        <v>RMB</v>
      </c>
      <c r="Q510" s="568" t="str">
        <f>VLOOKUP(A510,'[1]Raw data'!$B:$Z,2,FALSE)</f>
        <v>C49SZX20200126JY</v>
      </c>
      <c r="R510" s="568" t="str">
        <f>VLOOKUP(A510,'[1]Raw data'!$B:$Z,3,FALSE)</f>
        <v>芯联鑫</v>
      </c>
      <c r="S510" s="568" t="str">
        <f>VLOOKUP(A510,'[1]Raw data'!$B:$Z,4,FALSE)</f>
        <v>YSM10</v>
      </c>
      <c r="T510" s="568" t="str">
        <f>VLOOKUP(A510,'[1]Raw data'!$B:$Z,8,FALSE)</f>
        <v>L-&gt;R</v>
      </c>
      <c r="U510" s="568" t="str">
        <f>VLOOKUP(A510,'[1]Raw data'!$B:$Z,9,FALSE)</f>
        <v>MVC</v>
      </c>
      <c r="V510" s="572" t="str">
        <f t="shared" si="75"/>
        <v>WRONG</v>
      </c>
      <c r="W510" s="568" t="str">
        <f>VLOOKUP(A510,'[1]Raw data'!$B:$AG,32,FALSE)</f>
        <v>含税到厂</v>
      </c>
      <c r="X510" s="568">
        <f>VLOOKUP(A510,'[1]Raw data'!$B:$BA,31,FALSE)</f>
        <v>44054</v>
      </c>
      <c r="Y510" s="568" t="str">
        <f>VLOOKUP(A510,'[1]Raw data'!$B:$AS,39,FALSE)</f>
        <v>Yes</v>
      </c>
      <c r="Z510" s="664"/>
      <c r="AA510" s="665"/>
      <c r="AB510" s="666"/>
      <c r="AC510" s="652" t="s">
        <v>1088</v>
      </c>
      <c r="AD510" s="667">
        <v>302</v>
      </c>
      <c r="AE510" s="667">
        <v>10</v>
      </c>
      <c r="AF510" s="667"/>
      <c r="AG510" s="667"/>
      <c r="AH510" s="667"/>
      <c r="AI510" s="668"/>
      <c r="AN510" s="547"/>
      <c r="AO510" s="829" t="str">
        <f t="shared" si="67"/>
        <v>Yes</v>
      </c>
      <c r="AP510" s="259" t="str">
        <f t="shared" si="68"/>
        <v>SEP 20</v>
      </c>
      <c r="AQ510" s="547" t="str">
        <f t="shared" si="69"/>
        <v>有定金+有預留客戶</v>
      </c>
      <c r="AR510" s="259" t="str">
        <f t="shared" si="70"/>
        <v>Shipped_Stock</v>
      </c>
      <c r="AS510" s="259" t="str">
        <f t="shared" si="71"/>
        <v/>
      </c>
      <c r="AT510" s="259" t="str">
        <f t="shared" si="72"/>
        <v>芯联鑫</v>
      </c>
      <c r="AU510" s="259" t="str">
        <f t="shared" si="73"/>
        <v>C49SZX20200126JY</v>
      </c>
      <c r="AV510" s="259" t="str">
        <f t="shared" si="74"/>
        <v>Sep-25</v>
      </c>
    </row>
    <row r="511" spans="1:48" ht="13.5" hidden="1" thickBot="1">
      <c r="A511" s="564">
        <v>800</v>
      </c>
      <c r="B511" s="565" t="s">
        <v>280</v>
      </c>
      <c r="C511" s="568" t="s">
        <v>15</v>
      </c>
      <c r="D511" s="699">
        <v>109977</v>
      </c>
      <c r="E511" s="704" t="s">
        <v>886</v>
      </c>
      <c r="F511" s="693" t="s">
        <v>17</v>
      </c>
      <c r="G511" s="693" t="s">
        <v>18</v>
      </c>
      <c r="H511" s="693" t="s">
        <v>26</v>
      </c>
      <c r="I511" s="705" t="s">
        <v>1137</v>
      </c>
      <c r="J511" s="689">
        <v>1</v>
      </c>
      <c r="K511" s="652" t="s">
        <v>746</v>
      </c>
      <c r="L511" s="662">
        <v>44099</v>
      </c>
      <c r="M511" s="670">
        <v>6.5500000000000003E-2</v>
      </c>
      <c r="N511" s="652" t="s">
        <v>918</v>
      </c>
      <c r="O511" s="669">
        <v>2020.09</v>
      </c>
      <c r="P511" s="571" t="str">
        <f>VLOOKUP(A511,'[1]Raw data'!$B:$BB,23,FALSE)</f>
        <v>RMB</v>
      </c>
      <c r="Q511" s="568" t="str">
        <f>VLOOKUP(A511,'[1]Raw data'!$B:$Z,2,FALSE)</f>
        <v>C49SZX20200141SX</v>
      </c>
      <c r="R511" s="568" t="str">
        <f>VLOOKUP(A511,'[1]Raw data'!$B:$Z,3,FALSE)</f>
        <v>奕东</v>
      </c>
      <c r="S511" s="568" t="str">
        <f>VLOOKUP(A511,'[1]Raw data'!$B:$Z,4,FALSE)</f>
        <v>YSM10</v>
      </c>
      <c r="T511" s="568" t="str">
        <f>VLOOKUP(A511,'[1]Raw data'!$B:$Z,8,FALSE)</f>
        <v>R-&gt;L</v>
      </c>
      <c r="U511" s="568" t="str">
        <f>VLOOKUP(A511,'[1]Raw data'!$B:$Z,9,FALSE)</f>
        <v>MVC</v>
      </c>
      <c r="V511" s="572" t="str">
        <f t="shared" si="75"/>
        <v>WRONG</v>
      </c>
      <c r="W511" s="568" t="str">
        <f>VLOOKUP(A511,'[1]Raw data'!$B:$AG,32,FALSE)</f>
        <v>含税到厂</v>
      </c>
      <c r="X511" s="568">
        <f>VLOOKUP(A511,'[1]Raw data'!$B:$BA,31,FALSE)</f>
        <v>44074</v>
      </c>
      <c r="Y511" s="568" t="str">
        <f>VLOOKUP(A511,'[1]Raw data'!$B:$AS,39,FALSE)</f>
        <v>Yes</v>
      </c>
      <c r="Z511" s="664"/>
      <c r="AA511" s="665"/>
      <c r="AB511" s="666"/>
      <c r="AC511" s="652" t="s">
        <v>895</v>
      </c>
      <c r="AD511" s="667">
        <v>311</v>
      </c>
      <c r="AE511" s="667">
        <v>10</v>
      </c>
      <c r="AF511" s="667"/>
      <c r="AG511" s="667"/>
      <c r="AH511" s="667"/>
      <c r="AI511" s="668"/>
      <c r="AN511" s="547"/>
      <c r="AO511" s="829" t="str">
        <f t="shared" si="67"/>
        <v>Yes</v>
      </c>
      <c r="AP511" s="259" t="str">
        <f t="shared" si="68"/>
        <v>SEP 20</v>
      </c>
      <c r="AQ511" s="547" t="str">
        <f t="shared" si="69"/>
        <v>有定金+有預留客戶</v>
      </c>
      <c r="AR511" s="259" t="str">
        <f t="shared" si="70"/>
        <v>Shipped_Stock</v>
      </c>
      <c r="AS511" s="259" t="str">
        <f t="shared" si="71"/>
        <v/>
      </c>
      <c r="AT511" s="259" t="str">
        <f t="shared" si="72"/>
        <v>奕东</v>
      </c>
      <c r="AU511" s="259" t="str">
        <f t="shared" si="73"/>
        <v>C49SZX20200141SX</v>
      </c>
      <c r="AV511" s="259" t="str">
        <f t="shared" si="74"/>
        <v>Sep-25</v>
      </c>
    </row>
    <row r="512" spans="1:48" hidden="1">
      <c r="A512" s="564">
        <v>769</v>
      </c>
      <c r="B512" s="565" t="s">
        <v>927</v>
      </c>
      <c r="C512" s="568" t="s">
        <v>15</v>
      </c>
      <c r="D512" s="650">
        <v>109977</v>
      </c>
      <c r="E512" s="654" t="s">
        <v>886</v>
      </c>
      <c r="F512" s="697" t="s">
        <v>17</v>
      </c>
      <c r="G512" s="697" t="s">
        <v>18</v>
      </c>
      <c r="H512" s="697" t="s">
        <v>26</v>
      </c>
      <c r="I512" s="698" t="s">
        <v>1138</v>
      </c>
      <c r="J512" s="580">
        <v>1</v>
      </c>
      <c r="K512" s="652" t="s">
        <v>311</v>
      </c>
      <c r="L512" s="662">
        <v>44099</v>
      </c>
      <c r="M512" s="670">
        <v>6.5500000000000003E-2</v>
      </c>
      <c r="N512" s="652" t="s">
        <v>918</v>
      </c>
      <c r="O512" s="669">
        <v>2020.09</v>
      </c>
      <c r="P512" s="571" t="str">
        <f>VLOOKUP(A512,'[1]Raw data'!$B:$BB,23,FALSE)</f>
        <v>JPY</v>
      </c>
      <c r="Q512" s="568" t="str">
        <f>VLOOKUP(A512,'[1]Raw data'!$B:$Z,2,FALSE)</f>
        <v>C49SZX20200078CY</v>
      </c>
      <c r="R512" s="568" t="str">
        <f>VLOOKUP(A512,'[1]Raw data'!$B:$Z,3,FALSE)</f>
        <v>博德越</v>
      </c>
      <c r="S512" s="568" t="str">
        <f>VLOOKUP(A512,'[1]Raw data'!$B:$Z,4,FALSE)</f>
        <v>YSM10</v>
      </c>
      <c r="T512" s="568" t="str">
        <f>VLOOKUP(A512,'[1]Raw data'!$B:$Z,8,FALSE)</f>
        <v>R-&gt;L</v>
      </c>
      <c r="U512" s="568" t="str">
        <f>VLOOKUP(A512,'[1]Raw data'!$B:$Z,9,FALSE)</f>
        <v>MVC</v>
      </c>
      <c r="V512" s="572" t="str">
        <f t="shared" si="75"/>
        <v>WRONG</v>
      </c>
      <c r="W512" s="568" t="str">
        <f>VLOOKUP(A512,'[1]Raw data'!$B:$AG,32,FALSE)</f>
        <v>DAP SZ</v>
      </c>
      <c r="X512" s="568">
        <f>VLOOKUP(A512,'[1]Raw data'!$B:$BA,31,FALSE)</f>
        <v>44053</v>
      </c>
      <c r="Y512" s="568" t="str">
        <f>VLOOKUP(A512,'[1]Raw data'!$B:$AS,39,FALSE)</f>
        <v>Yes</v>
      </c>
      <c r="Z512" s="664"/>
      <c r="AA512" s="665"/>
      <c r="AB512" s="666"/>
      <c r="AC512" s="652" t="s">
        <v>1062</v>
      </c>
      <c r="AD512" s="667">
        <v>302</v>
      </c>
      <c r="AE512" s="667">
        <v>10</v>
      </c>
      <c r="AF512" s="667"/>
      <c r="AG512" s="667"/>
      <c r="AH512" s="667"/>
      <c r="AI512" s="668"/>
      <c r="AN512" s="547"/>
      <c r="AO512" s="829" t="str">
        <f t="shared" si="67"/>
        <v>Yes</v>
      </c>
      <c r="AP512" s="259" t="str">
        <f t="shared" si="68"/>
        <v>SEP 20</v>
      </c>
      <c r="AQ512" s="547" t="str">
        <f t="shared" si="69"/>
        <v>有定金+有預留客戶</v>
      </c>
      <c r="AR512" s="259" t="str">
        <f t="shared" si="70"/>
        <v>Shipped_Stock</v>
      </c>
      <c r="AS512" s="259" t="str">
        <f t="shared" si="71"/>
        <v/>
      </c>
      <c r="AT512" s="259" t="str">
        <f t="shared" si="72"/>
        <v>博德越</v>
      </c>
      <c r="AU512" s="259" t="str">
        <f t="shared" si="73"/>
        <v>C49SZX20200078CY</v>
      </c>
      <c r="AV512" s="259" t="str">
        <f t="shared" si="74"/>
        <v>Sep-25</v>
      </c>
    </row>
    <row r="513" spans="1:48" hidden="1">
      <c r="A513" s="564">
        <v>702</v>
      </c>
      <c r="B513" s="565" t="s">
        <v>280</v>
      </c>
      <c r="C513" s="568" t="s">
        <v>15</v>
      </c>
      <c r="D513" s="650">
        <v>109977</v>
      </c>
      <c r="E513" s="568" t="s">
        <v>886</v>
      </c>
      <c r="F513" s="652" t="s">
        <v>17</v>
      </c>
      <c r="G513" s="652" t="s">
        <v>18</v>
      </c>
      <c r="H513" s="652" t="s">
        <v>26</v>
      </c>
      <c r="I513" s="580" t="s">
        <v>1139</v>
      </c>
      <c r="J513" s="580">
        <v>1</v>
      </c>
      <c r="K513" s="652" t="s">
        <v>311</v>
      </c>
      <c r="L513" s="662">
        <v>44099</v>
      </c>
      <c r="M513" s="670">
        <v>6.5500000000000003E-2</v>
      </c>
      <c r="N513" s="652" t="s">
        <v>918</v>
      </c>
      <c r="O513" s="669">
        <v>2020.09</v>
      </c>
      <c r="P513" s="571" t="str">
        <f>VLOOKUP(A513,'[1]Raw data'!$B:$BB,23,FALSE)</f>
        <v>JPY</v>
      </c>
      <c r="Q513" s="568" t="str">
        <f>VLOOKUP(A513,'[1]Raw data'!$B:$Z,2,FALSE)</f>
        <v>C49SZX20200095R1SS</v>
      </c>
      <c r="R513" s="568" t="str">
        <f>VLOOKUP(A513,'[1]Raw data'!$B:$Z,3,FALSE)</f>
        <v>前海福源</v>
      </c>
      <c r="S513" s="568" t="str">
        <f>VLOOKUP(A513,'[1]Raw data'!$B:$Z,4,FALSE)</f>
        <v>YSM10</v>
      </c>
      <c r="T513" s="568" t="str">
        <f>VLOOKUP(A513,'[1]Raw data'!$B:$Z,8,FALSE)</f>
        <v>L-&gt;R</v>
      </c>
      <c r="U513" s="568" t="str">
        <f>VLOOKUP(A513,'[1]Raw data'!$B:$Z,9,FALSE)</f>
        <v>No</v>
      </c>
      <c r="V513" s="572" t="str">
        <f t="shared" si="75"/>
        <v>WRONG</v>
      </c>
      <c r="W513" s="568" t="str">
        <f>VLOOKUP(A513,'[1]Raw data'!$B:$AG,32,FALSE)</f>
        <v>DAP SZ</v>
      </c>
      <c r="X513" s="568">
        <f>VLOOKUP(A513,'[1]Raw data'!$B:$BA,31,FALSE)</f>
        <v>44021</v>
      </c>
      <c r="Y513" s="568" t="str">
        <f>VLOOKUP(A513,'[1]Raw data'!$B:$AS,39,FALSE)</f>
        <v>Yes</v>
      </c>
      <c r="Z513" s="664"/>
      <c r="AA513" s="665"/>
      <c r="AB513" s="666"/>
      <c r="AC513" s="652" t="s">
        <v>686</v>
      </c>
      <c r="AD513" s="667">
        <v>302</v>
      </c>
      <c r="AE513" s="667">
        <v>10</v>
      </c>
      <c r="AF513" s="667"/>
      <c r="AG513" s="667"/>
      <c r="AH513" s="667"/>
      <c r="AI513" s="668"/>
      <c r="AN513" s="547"/>
      <c r="AO513" s="829" t="str">
        <f t="shared" si="67"/>
        <v>Yes</v>
      </c>
      <c r="AP513" s="259" t="str">
        <f t="shared" si="68"/>
        <v>SEP 20</v>
      </c>
      <c r="AQ513" s="547" t="str">
        <f t="shared" si="69"/>
        <v>有定金+有預留客戶</v>
      </c>
      <c r="AR513" s="259" t="str">
        <f t="shared" si="70"/>
        <v>Shipped_Stock</v>
      </c>
      <c r="AS513" s="259" t="str">
        <f t="shared" si="71"/>
        <v/>
      </c>
      <c r="AT513" s="259" t="str">
        <f t="shared" si="72"/>
        <v>前海福源</v>
      </c>
      <c r="AU513" s="259" t="str">
        <f t="shared" si="73"/>
        <v>C49SZX20200095R1SS</v>
      </c>
      <c r="AV513" s="259" t="str">
        <f t="shared" si="74"/>
        <v>Sep-25</v>
      </c>
    </row>
    <row r="514" spans="1:48" hidden="1">
      <c r="A514" s="564">
        <v>895</v>
      </c>
      <c r="B514" s="565" t="s">
        <v>280</v>
      </c>
      <c r="C514" s="568" t="s">
        <v>15</v>
      </c>
      <c r="D514" s="650">
        <v>110058</v>
      </c>
      <c r="E514" s="651" t="s">
        <v>1140</v>
      </c>
      <c r="F514" s="652" t="s">
        <v>149</v>
      </c>
      <c r="G514" s="652" t="s">
        <v>24</v>
      </c>
      <c r="H514" s="652" t="s">
        <v>26</v>
      </c>
      <c r="I514" s="580" t="s">
        <v>1141</v>
      </c>
      <c r="J514" s="580">
        <v>1</v>
      </c>
      <c r="K514" s="652" t="s">
        <v>437</v>
      </c>
      <c r="L514" s="662">
        <v>44106</v>
      </c>
      <c r="M514" s="681" t="s">
        <v>906</v>
      </c>
      <c r="N514" s="652" t="s">
        <v>1142</v>
      </c>
      <c r="O514" s="684">
        <v>2020.09</v>
      </c>
      <c r="P514" s="571" t="str">
        <f>VLOOKUP(A514,'[1]Raw data'!$B:$BB,23,FALSE)</f>
        <v>RMB</v>
      </c>
      <c r="Q514" s="568" t="str">
        <f>VLOOKUP(A514,'[1]Raw data'!$B:$Z,2,FALSE)</f>
        <v>C49SZX20200166DY</v>
      </c>
      <c r="R514" s="568" t="str">
        <f>VLOOKUP(A514,'[1]Raw data'!$B:$Z,3,FALSE)</f>
        <v>华彩鑫</v>
      </c>
      <c r="S514" s="568" t="str">
        <f>VLOOKUP(A514,'[1]Raw data'!$B:$Z,4,FALSE)</f>
        <v>YSM40R-4</v>
      </c>
      <c r="T514" s="568" t="str">
        <f>VLOOKUP(A514,'[1]Raw data'!$B:$Z,8,FALSE)</f>
        <v>L-&gt;R</v>
      </c>
      <c r="U514" s="568" t="str">
        <f>VLOOKUP(A514,'[1]Raw data'!$B:$Z,9,FALSE)</f>
        <v>No</v>
      </c>
      <c r="V514" s="572" t="str">
        <f t="shared" si="75"/>
        <v>OK</v>
      </c>
      <c r="W514" s="568" t="str">
        <f>VLOOKUP(A514,'[1]Raw data'!$B:$AG,32,FALSE)</f>
        <v>含税到厂</v>
      </c>
      <c r="X514" s="568">
        <f>VLOOKUP(A514,'[1]Raw data'!$B:$BA,31,FALSE)</f>
        <v>44127</v>
      </c>
      <c r="Y514" s="568" t="str">
        <f>VLOOKUP(A514,'[1]Raw data'!$B:$AS,39,FALSE)</f>
        <v>Yes</v>
      </c>
      <c r="Z514" s="664"/>
      <c r="AA514" s="665"/>
      <c r="AB514" s="666"/>
      <c r="AC514" s="652" t="s">
        <v>1143</v>
      </c>
      <c r="AD514" s="667"/>
      <c r="AE514" s="667"/>
      <c r="AF514" s="667"/>
      <c r="AG514" s="667"/>
      <c r="AH514" s="667"/>
      <c r="AI514" s="668"/>
      <c r="AN514" s="547"/>
      <c r="AO514" s="829" t="str">
        <f t="shared" si="67"/>
        <v>Yes</v>
      </c>
      <c r="AP514" s="259" t="str">
        <f t="shared" si="68"/>
        <v>NOV 20</v>
      </c>
      <c r="AQ514" s="547" t="str">
        <f t="shared" si="69"/>
        <v>有定金+有預留客戶</v>
      </c>
      <c r="AR514" s="259" t="str">
        <f t="shared" si="70"/>
        <v>Shipped_Stock</v>
      </c>
      <c r="AS514" s="259" t="str">
        <f t="shared" si="71"/>
        <v/>
      </c>
      <c r="AT514" s="259" t="str">
        <f t="shared" si="72"/>
        <v>华彩鑫</v>
      </c>
      <c r="AU514" s="259" t="str">
        <f t="shared" si="73"/>
        <v>C49SZX20200166DY</v>
      </c>
      <c r="AV514" s="259" t="str">
        <f t="shared" si="74"/>
        <v>Oct-02</v>
      </c>
    </row>
    <row r="515" spans="1:48" hidden="1">
      <c r="A515" s="564">
        <v>765</v>
      </c>
      <c r="B515" s="565" t="s">
        <v>280</v>
      </c>
      <c r="C515" s="565" t="s">
        <v>15</v>
      </c>
      <c r="D515" s="685">
        <v>109984</v>
      </c>
      <c r="E515" s="708" t="s">
        <v>886</v>
      </c>
      <c r="F515" s="651" t="s">
        <v>256</v>
      </c>
      <c r="G515" s="652" t="s">
        <v>18</v>
      </c>
      <c r="H515" s="652" t="s">
        <v>26</v>
      </c>
      <c r="I515" s="580" t="s">
        <v>1144</v>
      </c>
      <c r="J515" s="580">
        <v>1</v>
      </c>
      <c r="K515" s="652" t="s">
        <v>746</v>
      </c>
      <c r="L515" s="662">
        <v>44113</v>
      </c>
      <c r="M515" s="670" t="s">
        <v>906</v>
      </c>
      <c r="N515" s="652" t="s">
        <v>1032</v>
      </c>
      <c r="O515" s="684">
        <v>2020.09</v>
      </c>
      <c r="P515" s="571" t="str">
        <f>VLOOKUP(A515,'[1]Raw data'!$B:$BB,23,FALSE)</f>
        <v>JPY</v>
      </c>
      <c r="Q515" s="568" t="str">
        <f>VLOOKUP(A515,'[1]Raw data'!$B:$Z,2,FALSE)</f>
        <v>C49SZX20200078CY</v>
      </c>
      <c r="R515" s="568" t="str">
        <f>VLOOKUP(A515,'[1]Raw data'!$B:$Z,3,FALSE)</f>
        <v>博德越</v>
      </c>
      <c r="S515" s="568" t="str">
        <f>VLOOKUP(A515,'[1]Raw data'!$B:$Z,4,FALSE)</f>
        <v>YSM20R(SV)-2</v>
      </c>
      <c r="T515" s="568" t="str">
        <f>VLOOKUP(A515,'[1]Raw data'!$B:$Z,8,FALSE)</f>
        <v>R-&gt;L</v>
      </c>
      <c r="U515" s="568" t="str">
        <f>VLOOKUP(A515,'[1]Raw data'!$B:$Z,9,FALSE)</f>
        <v>No</v>
      </c>
      <c r="V515" s="572" t="str">
        <f t="shared" si="75"/>
        <v>OK</v>
      </c>
      <c r="W515" s="568" t="str">
        <f>VLOOKUP(A515,'[1]Raw data'!$B:$AG,32,FALSE)</f>
        <v>DAP SZ</v>
      </c>
      <c r="X515" s="568">
        <f>VLOOKUP(A515,'[1]Raw data'!$B:$BA,31,FALSE)</f>
        <v>44053</v>
      </c>
      <c r="Y515" s="568" t="str">
        <f>VLOOKUP(A515,'[1]Raw data'!$B:$AS,39,FALSE)</f>
        <v>Yes</v>
      </c>
      <c r="Z515" s="664"/>
      <c r="AA515" s="665"/>
      <c r="AB515" s="666"/>
      <c r="AC515" s="652" t="s">
        <v>1062</v>
      </c>
      <c r="AD515" s="580">
        <v>301</v>
      </c>
      <c r="AE515" s="580">
        <v>10</v>
      </c>
      <c r="AF515" s="667">
        <v>302</v>
      </c>
      <c r="AG515" s="667">
        <v>10</v>
      </c>
      <c r="AH515" s="667"/>
      <c r="AI515" s="668"/>
      <c r="AN515" s="547"/>
      <c r="AO515" s="829" t="str">
        <f t="shared" ref="AO515:AO578" si="76">IFERROR(IF(Y515&lt;&gt;"",Y515,"No"),"No")</f>
        <v>Yes</v>
      </c>
      <c r="AP515" s="259" t="str">
        <f t="shared" ref="AP515:AP578" si="77">IFERROR(IF(N515&lt;&gt;"",N515,"blank"),"NA")</f>
        <v>OCT 20</v>
      </c>
      <c r="AQ515" s="547" t="str">
        <f t="shared" ref="AQ515:AQ578" si="78">IFERROR(IF(AND(AO515="Yes", AP515&lt;&gt;"blank"), "有定金+有預留客戶", IF(AND(AO515="Yes", AP515="blank"), "有定金+无客戶送貨期", IF(AND(OR(AO515="No", ISBLANK(AO515), AO515="NA"), AP515&lt;&gt;"blank"), "无定金+有預留客戶", IF(AND(OR(AO515="No", ISBLANK(AO515), AO515="NA"), AP515="blank"), "无定金+无預留客戶", "")))), "")</f>
        <v>有定金+有預留客戶</v>
      </c>
      <c r="AR515" s="259" t="str">
        <f t="shared" ref="AR515:AR578" si="79">IFERROR(IF(B515="已经到货", "Instock", IF(B515="有交期", "Incoming_Stock_With_YAMAHA_Schedule", IF(B515="TBA.", "Incoming_Stock_No_YAMAHA_Schedule", IF(B515="已发货", "Shipped_Stock", "")))), "")</f>
        <v>Shipped_Stock</v>
      </c>
      <c r="AS515" s="259" t="str">
        <f t="shared" ref="AS515:AS578" si="80">IF(AND(B515="有交期", L515&lt;&gt;""), L515, "")</f>
        <v/>
      </c>
      <c r="AT515" s="259" t="str">
        <f t="shared" ref="AT515:AT578" si="81">IFERROR(IF(R515&lt;&gt;"",R515),"-")</f>
        <v>博德越</v>
      </c>
      <c r="AU515" s="259" t="str">
        <f t="shared" ref="AU515:AU578" si="82">IFERROR(IF(Q515&lt;&gt;"",Q515),"-")</f>
        <v>C49SZX20200078CY</v>
      </c>
      <c r="AV515" s="259" t="str">
        <f t="shared" ref="AV515:AV578" si="83">IF(L515="","-",TEXT(L515,"mmm-dd"))</f>
        <v>Oct-09</v>
      </c>
    </row>
    <row r="516" spans="1:48" ht="13.5" hidden="1" thickBot="1">
      <c r="A516" s="564">
        <v>766</v>
      </c>
      <c r="B516" s="565" t="s">
        <v>280</v>
      </c>
      <c r="C516" s="565" t="s">
        <v>15</v>
      </c>
      <c r="D516" s="692">
        <v>109984</v>
      </c>
      <c r="E516" s="694" t="s">
        <v>886</v>
      </c>
      <c r="F516" s="651" t="s">
        <v>256</v>
      </c>
      <c r="G516" s="652" t="s">
        <v>18</v>
      </c>
      <c r="H516" s="652" t="s">
        <v>26</v>
      </c>
      <c r="I516" s="580" t="s">
        <v>1145</v>
      </c>
      <c r="J516" s="580">
        <v>1</v>
      </c>
      <c r="K516" s="652" t="s">
        <v>746</v>
      </c>
      <c r="L516" s="662">
        <v>44113</v>
      </c>
      <c r="M516" s="670" t="s">
        <v>906</v>
      </c>
      <c r="N516" s="652" t="s">
        <v>1032</v>
      </c>
      <c r="O516" s="684">
        <v>2020.09</v>
      </c>
      <c r="P516" s="571" t="str">
        <f>VLOOKUP(A516,'[1]Raw data'!$B:$BB,23,FALSE)</f>
        <v>JPY</v>
      </c>
      <c r="Q516" s="568" t="str">
        <f>VLOOKUP(A516,'[1]Raw data'!$B:$Z,2,FALSE)</f>
        <v>C49SZX20200078CY</v>
      </c>
      <c r="R516" s="568" t="str">
        <f>VLOOKUP(A516,'[1]Raw data'!$B:$Z,3,FALSE)</f>
        <v>博德越</v>
      </c>
      <c r="S516" s="568" t="str">
        <f>VLOOKUP(A516,'[1]Raw data'!$B:$Z,4,FALSE)</f>
        <v>YSM20R(SV)-2</v>
      </c>
      <c r="T516" s="568" t="str">
        <f>VLOOKUP(A516,'[1]Raw data'!$B:$Z,8,FALSE)</f>
        <v>R-&gt;L</v>
      </c>
      <c r="U516" s="568" t="str">
        <f>VLOOKUP(A516,'[1]Raw data'!$B:$Z,9,FALSE)</f>
        <v>No</v>
      </c>
      <c r="V516" s="572" t="str">
        <f t="shared" si="75"/>
        <v>OK</v>
      </c>
      <c r="W516" s="568" t="str">
        <f>VLOOKUP(A516,'[1]Raw data'!$B:$AG,32,FALSE)</f>
        <v>DAP SZ</v>
      </c>
      <c r="X516" s="568">
        <f>VLOOKUP(A516,'[1]Raw data'!$B:$BA,31,FALSE)</f>
        <v>44053</v>
      </c>
      <c r="Y516" s="568" t="str">
        <f>VLOOKUP(A516,'[1]Raw data'!$B:$AS,39,FALSE)</f>
        <v>Yes</v>
      </c>
      <c r="Z516" s="664"/>
      <c r="AA516" s="665"/>
      <c r="AB516" s="666"/>
      <c r="AC516" s="652" t="s">
        <v>1062</v>
      </c>
      <c r="AD516" s="580">
        <v>301</v>
      </c>
      <c r="AE516" s="580">
        <v>10</v>
      </c>
      <c r="AF516" s="667">
        <v>302</v>
      </c>
      <c r="AG516" s="667">
        <v>10</v>
      </c>
      <c r="AH516" s="667"/>
      <c r="AI516" s="668"/>
      <c r="AN516" s="547"/>
      <c r="AO516" s="829" t="str">
        <f t="shared" si="76"/>
        <v>Yes</v>
      </c>
      <c r="AP516" s="259" t="str">
        <f t="shared" si="77"/>
        <v>OCT 20</v>
      </c>
      <c r="AQ516" s="547" t="str">
        <f t="shared" si="78"/>
        <v>有定金+有預留客戶</v>
      </c>
      <c r="AR516" s="259" t="str">
        <f t="shared" si="79"/>
        <v>Shipped_Stock</v>
      </c>
      <c r="AS516" s="259" t="str">
        <f t="shared" si="80"/>
        <v/>
      </c>
      <c r="AT516" s="259" t="str">
        <f t="shared" si="81"/>
        <v>博德越</v>
      </c>
      <c r="AU516" s="259" t="str">
        <f t="shared" si="82"/>
        <v>C49SZX20200078CY</v>
      </c>
      <c r="AV516" s="259" t="str">
        <f t="shared" si="83"/>
        <v>Oct-09</v>
      </c>
    </row>
    <row r="517" spans="1:48" hidden="1">
      <c r="A517" s="564">
        <v>699</v>
      </c>
      <c r="B517" s="565" t="s">
        <v>280</v>
      </c>
      <c r="C517" s="565" t="s">
        <v>15</v>
      </c>
      <c r="D517" s="685">
        <v>109984</v>
      </c>
      <c r="E517" s="708" t="s">
        <v>886</v>
      </c>
      <c r="F517" s="651" t="s">
        <v>256</v>
      </c>
      <c r="G517" s="652" t="s">
        <v>18</v>
      </c>
      <c r="H517" s="652" t="s">
        <v>26</v>
      </c>
      <c r="I517" s="580" t="s">
        <v>1146</v>
      </c>
      <c r="J517" s="580">
        <v>1</v>
      </c>
      <c r="K517" s="652" t="s">
        <v>311</v>
      </c>
      <c r="L517" s="662">
        <v>44113</v>
      </c>
      <c r="M517" s="670" t="s">
        <v>906</v>
      </c>
      <c r="N517" s="652" t="s">
        <v>1032</v>
      </c>
      <c r="O517" s="684">
        <v>2020.09</v>
      </c>
      <c r="P517" s="571" t="str">
        <f>VLOOKUP(A517,'[1]Raw data'!$B:$BB,23,FALSE)</f>
        <v>JPY</v>
      </c>
      <c r="Q517" s="568" t="str">
        <f>VLOOKUP(A517,'[1]Raw data'!$B:$Z,2,FALSE)</f>
        <v>C49SZX20200088SS</v>
      </c>
      <c r="R517" s="568" t="str">
        <f>VLOOKUP(A517,'[1]Raw data'!$B:$Z,3,FALSE)</f>
        <v>乐凡电子</v>
      </c>
      <c r="S517" s="568" t="str">
        <f>VLOOKUP(A517,'[1]Raw data'!$B:$Z,4,FALSE)</f>
        <v>YSM20R(SV)-2</v>
      </c>
      <c r="T517" s="568" t="str">
        <f>VLOOKUP(A517,'[1]Raw data'!$B:$Z,8,FALSE)</f>
        <v>R-&gt;L</v>
      </c>
      <c r="U517" s="568" t="str">
        <f>VLOOKUP(A517,'[1]Raw data'!$B:$Z,9,FALSE)</f>
        <v>No</v>
      </c>
      <c r="V517" s="572" t="str">
        <f t="shared" si="75"/>
        <v>OK</v>
      </c>
      <c r="W517" s="568" t="str">
        <f>VLOOKUP(A517,'[1]Raw data'!$B:$AG,32,FALSE)</f>
        <v>DAP SZ</v>
      </c>
      <c r="X517" s="568">
        <f>VLOOKUP(A517,'[1]Raw data'!$B:$BA,31,FALSE)</f>
        <v>44020</v>
      </c>
      <c r="Y517" s="568" t="str">
        <f>VLOOKUP(A517,'[1]Raw data'!$B:$AS,39,FALSE)</f>
        <v>Yes</v>
      </c>
      <c r="Z517" s="664"/>
      <c r="AA517" s="665"/>
      <c r="AB517" s="666"/>
      <c r="AC517" s="652" t="s">
        <v>970</v>
      </c>
      <c r="AD517" s="667">
        <v>301</v>
      </c>
      <c r="AE517" s="667">
        <v>10</v>
      </c>
      <c r="AF517" s="667">
        <v>302</v>
      </c>
      <c r="AG517" s="667">
        <v>10</v>
      </c>
      <c r="AH517" s="667"/>
      <c r="AI517" s="668"/>
      <c r="AN517" s="547"/>
      <c r="AO517" s="829" t="str">
        <f t="shared" si="76"/>
        <v>Yes</v>
      </c>
      <c r="AP517" s="259" t="str">
        <f t="shared" si="77"/>
        <v>OCT 20</v>
      </c>
      <c r="AQ517" s="547" t="str">
        <f t="shared" si="78"/>
        <v>有定金+有預留客戶</v>
      </c>
      <c r="AR517" s="259" t="str">
        <f t="shared" si="79"/>
        <v>Shipped_Stock</v>
      </c>
      <c r="AS517" s="259" t="str">
        <f t="shared" si="80"/>
        <v/>
      </c>
      <c r="AT517" s="259" t="str">
        <f t="shared" si="81"/>
        <v>乐凡电子</v>
      </c>
      <c r="AU517" s="259" t="str">
        <f t="shared" si="82"/>
        <v>C49SZX20200088SS</v>
      </c>
      <c r="AV517" s="259" t="str">
        <f t="shared" si="83"/>
        <v>Oct-09</v>
      </c>
    </row>
    <row r="518" spans="1:48" hidden="1">
      <c r="A518" s="564">
        <v>760</v>
      </c>
      <c r="B518" s="565" t="s">
        <v>280</v>
      </c>
      <c r="C518" s="565" t="s">
        <v>15</v>
      </c>
      <c r="D518" s="690">
        <v>109984</v>
      </c>
      <c r="E518" s="709" t="s">
        <v>886</v>
      </c>
      <c r="F518" s="651" t="s">
        <v>256</v>
      </c>
      <c r="G518" s="652" t="s">
        <v>24</v>
      </c>
      <c r="H518" s="652" t="s">
        <v>26</v>
      </c>
      <c r="I518" s="580" t="s">
        <v>1147</v>
      </c>
      <c r="J518" s="580">
        <v>1</v>
      </c>
      <c r="K518" s="652" t="s">
        <v>746</v>
      </c>
      <c r="L518" s="662">
        <v>44113</v>
      </c>
      <c r="M518" s="670" t="s">
        <v>906</v>
      </c>
      <c r="N518" s="652" t="s">
        <v>1032</v>
      </c>
      <c r="O518" s="684">
        <v>2020.09</v>
      </c>
      <c r="P518" s="571" t="str">
        <f>VLOOKUP(A518,'[1]Raw data'!$B:$BB,23,FALSE)</f>
        <v>JPY</v>
      </c>
      <c r="Q518" s="568" t="str">
        <f>VLOOKUP(A518,'[1]Raw data'!$B:$Z,2,FALSE)</f>
        <v>C49SZX20200130JZ</v>
      </c>
      <c r="R518" s="568" t="str">
        <f>VLOOKUP(A518,'[1]Raw data'!$B:$Z,3,FALSE)</f>
        <v>斯迈</v>
      </c>
      <c r="S518" s="568" t="str">
        <f>VLOOKUP(A518,'[1]Raw data'!$B:$Z,4,FALSE)</f>
        <v>YSM20R(SV)-2</v>
      </c>
      <c r="T518" s="568" t="str">
        <f>VLOOKUP(A518,'[1]Raw data'!$B:$Z,8,FALSE)</f>
        <v>L-&gt;R</v>
      </c>
      <c r="U518" s="568" t="str">
        <f>VLOOKUP(A518,'[1]Raw data'!$B:$Z,9,FALSE)</f>
        <v>No</v>
      </c>
      <c r="V518" s="572" t="str">
        <f t="shared" si="75"/>
        <v>OK</v>
      </c>
      <c r="W518" s="568" t="str">
        <f>VLOOKUP(A518,'[1]Raw data'!$B:$AG,32,FALSE)</f>
        <v>DAP GZ</v>
      </c>
      <c r="X518" s="568">
        <f>VLOOKUP(A518,'[1]Raw data'!$B:$BA,31,FALSE)</f>
        <v>44049</v>
      </c>
      <c r="Y518" s="568" t="str">
        <f>VLOOKUP(A518,'[1]Raw data'!$B:$AS,39,FALSE)</f>
        <v>Yes</v>
      </c>
      <c r="Z518" s="664"/>
      <c r="AA518" s="665"/>
      <c r="AB518" s="666"/>
      <c r="AC518" s="652" t="s">
        <v>1105</v>
      </c>
      <c r="AD518" s="667">
        <v>301</v>
      </c>
      <c r="AE518" s="667">
        <v>10</v>
      </c>
      <c r="AF518" s="667">
        <v>312</v>
      </c>
      <c r="AG518" s="667">
        <v>10</v>
      </c>
      <c r="AH518" s="667"/>
      <c r="AI518" s="668"/>
      <c r="AN518" s="547"/>
      <c r="AO518" s="829" t="str">
        <f t="shared" si="76"/>
        <v>Yes</v>
      </c>
      <c r="AP518" s="259" t="str">
        <f t="shared" si="77"/>
        <v>OCT 20</v>
      </c>
      <c r="AQ518" s="547" t="str">
        <f t="shared" si="78"/>
        <v>有定金+有預留客戶</v>
      </c>
      <c r="AR518" s="259" t="str">
        <f t="shared" si="79"/>
        <v>Shipped_Stock</v>
      </c>
      <c r="AS518" s="259" t="str">
        <f t="shared" si="80"/>
        <v/>
      </c>
      <c r="AT518" s="259" t="str">
        <f t="shared" si="81"/>
        <v>斯迈</v>
      </c>
      <c r="AU518" s="259" t="str">
        <f t="shared" si="82"/>
        <v>C49SZX20200130JZ</v>
      </c>
      <c r="AV518" s="259" t="str">
        <f t="shared" si="83"/>
        <v>Oct-09</v>
      </c>
    </row>
    <row r="519" spans="1:48" hidden="1">
      <c r="A519" s="564">
        <v>761</v>
      </c>
      <c r="B519" s="565" t="s">
        <v>280</v>
      </c>
      <c r="C519" s="565" t="s">
        <v>15</v>
      </c>
      <c r="D519" s="690">
        <v>109984</v>
      </c>
      <c r="E519" s="709" t="s">
        <v>886</v>
      </c>
      <c r="F519" s="651" t="s">
        <v>256</v>
      </c>
      <c r="G519" s="652" t="s">
        <v>24</v>
      </c>
      <c r="H519" s="652" t="s">
        <v>26</v>
      </c>
      <c r="I519" s="580" t="s">
        <v>1148</v>
      </c>
      <c r="J519" s="580">
        <v>1</v>
      </c>
      <c r="K519" s="652" t="s">
        <v>746</v>
      </c>
      <c r="L519" s="662">
        <v>44113</v>
      </c>
      <c r="M519" s="670" t="s">
        <v>906</v>
      </c>
      <c r="N519" s="652" t="s">
        <v>1032</v>
      </c>
      <c r="O519" s="684">
        <v>2020.09</v>
      </c>
      <c r="P519" s="571" t="str">
        <f>VLOOKUP(A519,'[1]Raw data'!$B:$BB,23,FALSE)</f>
        <v>JPY</v>
      </c>
      <c r="Q519" s="568" t="str">
        <f>VLOOKUP(A519,'[1]Raw data'!$B:$Z,2,FALSE)</f>
        <v>C49SZX20200130JZ</v>
      </c>
      <c r="R519" s="568" t="str">
        <f>VLOOKUP(A519,'[1]Raw data'!$B:$Z,3,FALSE)</f>
        <v>斯迈</v>
      </c>
      <c r="S519" s="568" t="str">
        <f>VLOOKUP(A519,'[1]Raw data'!$B:$Z,4,FALSE)</f>
        <v>YSM20R(SV)-2</v>
      </c>
      <c r="T519" s="568" t="str">
        <f>VLOOKUP(A519,'[1]Raw data'!$B:$Z,8,FALSE)</f>
        <v>L-&gt;R</v>
      </c>
      <c r="U519" s="568" t="str">
        <f>VLOOKUP(A519,'[1]Raw data'!$B:$Z,9,FALSE)</f>
        <v>No</v>
      </c>
      <c r="V519" s="572" t="str">
        <f t="shared" si="75"/>
        <v>OK</v>
      </c>
      <c r="W519" s="568" t="str">
        <f>VLOOKUP(A519,'[1]Raw data'!$B:$AG,32,FALSE)</f>
        <v>DAP GZ</v>
      </c>
      <c r="X519" s="568">
        <f>VLOOKUP(A519,'[1]Raw data'!$B:$BA,31,FALSE)</f>
        <v>44049</v>
      </c>
      <c r="Y519" s="568" t="str">
        <f>VLOOKUP(A519,'[1]Raw data'!$B:$AS,39,FALSE)</f>
        <v>Yes</v>
      </c>
      <c r="Z519" s="664"/>
      <c r="AA519" s="665"/>
      <c r="AB519" s="666"/>
      <c r="AC519" s="652" t="s">
        <v>1105</v>
      </c>
      <c r="AD519" s="667">
        <v>303</v>
      </c>
      <c r="AE519" s="667">
        <v>20</v>
      </c>
      <c r="AF519" s="667"/>
      <c r="AG519" s="667"/>
      <c r="AH519" s="667"/>
      <c r="AI519" s="668"/>
      <c r="AN519" s="547"/>
      <c r="AO519" s="829" t="str">
        <f t="shared" si="76"/>
        <v>Yes</v>
      </c>
      <c r="AP519" s="259" t="str">
        <f t="shared" si="77"/>
        <v>OCT 20</v>
      </c>
      <c r="AQ519" s="547" t="str">
        <f t="shared" si="78"/>
        <v>有定金+有預留客戶</v>
      </c>
      <c r="AR519" s="259" t="str">
        <f t="shared" si="79"/>
        <v>Shipped_Stock</v>
      </c>
      <c r="AS519" s="259" t="str">
        <f t="shared" si="80"/>
        <v/>
      </c>
      <c r="AT519" s="259" t="str">
        <f t="shared" si="81"/>
        <v>斯迈</v>
      </c>
      <c r="AU519" s="259" t="str">
        <f t="shared" si="82"/>
        <v>C49SZX20200130JZ</v>
      </c>
      <c r="AV519" s="259" t="str">
        <f t="shared" si="83"/>
        <v>Oct-09</v>
      </c>
    </row>
    <row r="520" spans="1:48" ht="13.5" hidden="1" thickBot="1">
      <c r="A520" s="564">
        <v>737</v>
      </c>
      <c r="B520" s="565" t="s">
        <v>280</v>
      </c>
      <c r="C520" s="565" t="s">
        <v>15</v>
      </c>
      <c r="D520" s="692">
        <v>109984</v>
      </c>
      <c r="E520" s="694" t="s">
        <v>886</v>
      </c>
      <c r="F520" s="651" t="s">
        <v>256</v>
      </c>
      <c r="G520" s="652" t="s">
        <v>24</v>
      </c>
      <c r="H520" s="652" t="s">
        <v>26</v>
      </c>
      <c r="I520" s="580" t="s">
        <v>1149</v>
      </c>
      <c r="J520" s="580">
        <v>1</v>
      </c>
      <c r="K520" s="652" t="s">
        <v>746</v>
      </c>
      <c r="L520" s="662">
        <v>44113</v>
      </c>
      <c r="M520" s="670" t="s">
        <v>906</v>
      </c>
      <c r="N520" s="652" t="s">
        <v>1032</v>
      </c>
      <c r="O520" s="684">
        <v>2020.09</v>
      </c>
      <c r="P520" s="571" t="str">
        <f>VLOOKUP(A520,'[1]Raw data'!$B:$BB,23,FALSE)</f>
        <v>JPY</v>
      </c>
      <c r="Q520" s="568" t="str">
        <f>VLOOKUP(A520,'[1]Raw data'!$B:$Z,2,FALSE)</f>
        <v>C49SZX20200109JL</v>
      </c>
      <c r="R520" s="568" t="str">
        <f>VLOOKUP(A520,'[1]Raw data'!$B:$Z,3,FALSE)</f>
        <v>捷舜诚</v>
      </c>
      <c r="S520" s="568" t="str">
        <f>VLOOKUP(A520,'[1]Raw data'!$B:$Z,4,FALSE)</f>
        <v>YSM20R(SV)-2</v>
      </c>
      <c r="T520" s="568" t="str">
        <f>VLOOKUP(A520,'[1]Raw data'!$B:$Z,8,FALSE)</f>
        <v>L-&gt;R</v>
      </c>
      <c r="U520" s="568" t="str">
        <f>VLOOKUP(A520,'[1]Raw data'!$B:$Z,9,FALSE)</f>
        <v>No</v>
      </c>
      <c r="V520" s="572" t="str">
        <f t="shared" si="75"/>
        <v>OK</v>
      </c>
      <c r="W520" s="568" t="str">
        <f>VLOOKUP(A520,'[1]Raw data'!$B:$AG,32,FALSE)</f>
        <v>DAP SZ</v>
      </c>
      <c r="X520" s="568">
        <f>VLOOKUP(A520,'[1]Raw data'!$B:$BA,31,FALSE)</f>
        <v>44033</v>
      </c>
      <c r="Y520" s="568" t="str">
        <f>VLOOKUP(A520,'[1]Raw data'!$B:$AS,39,FALSE)</f>
        <v>Yes</v>
      </c>
      <c r="Z520" s="664"/>
      <c r="AA520" s="665"/>
      <c r="AB520" s="666"/>
      <c r="AC520" s="652" t="s">
        <v>1150</v>
      </c>
      <c r="AD520" s="667">
        <v>303</v>
      </c>
      <c r="AE520" s="667">
        <v>10</v>
      </c>
      <c r="AF520" s="667">
        <v>302</v>
      </c>
      <c r="AG520" s="667">
        <v>10</v>
      </c>
      <c r="AH520" s="667"/>
      <c r="AI520" s="668"/>
      <c r="AN520" s="547"/>
      <c r="AO520" s="829" t="str">
        <f t="shared" si="76"/>
        <v>Yes</v>
      </c>
      <c r="AP520" s="259" t="str">
        <f t="shared" si="77"/>
        <v>OCT 20</v>
      </c>
      <c r="AQ520" s="547" t="str">
        <f t="shared" si="78"/>
        <v>有定金+有預留客戶</v>
      </c>
      <c r="AR520" s="259" t="str">
        <f t="shared" si="79"/>
        <v>Shipped_Stock</v>
      </c>
      <c r="AS520" s="259" t="str">
        <f t="shared" si="80"/>
        <v/>
      </c>
      <c r="AT520" s="259" t="str">
        <f t="shared" si="81"/>
        <v>捷舜诚</v>
      </c>
      <c r="AU520" s="259" t="str">
        <f t="shared" si="82"/>
        <v>C49SZX20200109JL</v>
      </c>
      <c r="AV520" s="259" t="str">
        <f t="shared" si="83"/>
        <v>Oct-09</v>
      </c>
    </row>
    <row r="521" spans="1:48" hidden="1">
      <c r="A521" s="564">
        <v>777</v>
      </c>
      <c r="B521" s="669" t="s">
        <v>280</v>
      </c>
      <c r="C521" s="568" t="s">
        <v>4056</v>
      </c>
      <c r="D521" s="695">
        <v>110038</v>
      </c>
      <c r="E521" s="696" t="s">
        <v>995</v>
      </c>
      <c r="F521" s="652" t="s">
        <v>551</v>
      </c>
      <c r="G521" s="652" t="s">
        <v>18</v>
      </c>
      <c r="H521" s="652" t="s">
        <v>26</v>
      </c>
      <c r="I521" s="580" t="s">
        <v>1151</v>
      </c>
      <c r="J521" s="580">
        <v>1</v>
      </c>
      <c r="K521" s="652" t="s">
        <v>746</v>
      </c>
      <c r="L521" s="710">
        <v>44123</v>
      </c>
      <c r="M521" s="670">
        <v>6.5000000000000002E-2</v>
      </c>
      <c r="N521" s="652" t="s">
        <v>1032</v>
      </c>
      <c r="O521" s="652">
        <v>2020.09</v>
      </c>
      <c r="P521" s="571" t="str">
        <f>VLOOKUP(A521,'[1]Raw data'!$B:$BB,23,FALSE)</f>
        <v>RMB</v>
      </c>
      <c r="Q521" s="568" t="str">
        <f>VLOOKUP(A521,'[1]Raw data'!$B:$Z,2,FALSE)</f>
        <v>C28SZX20200055KC</v>
      </c>
      <c r="R521" s="568" t="str">
        <f>VLOOKUP(A521,'[1]Raw data'!$B:$Z,3,FALSE)</f>
        <v>海星</v>
      </c>
      <c r="S521" s="568" t="str">
        <f>VLOOKUP(A521,'[1]Raw data'!$B:$Z,4,FALSE)</f>
        <v>YCP10</v>
      </c>
      <c r="T521" s="568" t="str">
        <f>VLOOKUP(A521,'[1]Raw data'!$B:$Z,8,FALSE)</f>
        <v>R-&gt;L</v>
      </c>
      <c r="U521" s="568" t="str">
        <f>VLOOKUP(A521,'[1]Raw data'!$B:$Z,9,FALSE)</f>
        <v>No</v>
      </c>
      <c r="V521" s="572" t="str">
        <f t="shared" si="75"/>
        <v>OK</v>
      </c>
      <c r="W521" s="568" t="str">
        <f>VLOOKUP(A521,'[1]Raw data'!$B:$AG,32,FALSE)</f>
        <v>含税到厂</v>
      </c>
      <c r="X521" s="568">
        <f>VLOOKUP(A521,'[1]Raw data'!$B:$BA,31,FALSE)</f>
        <v>44056</v>
      </c>
      <c r="Y521" s="568" t="str">
        <f>VLOOKUP(A521,'[1]Raw data'!$B:$AS,39,FALSE)</f>
        <v>Yes</v>
      </c>
      <c r="Z521" s="671"/>
      <c r="AA521" s="672"/>
      <c r="AB521" s="673"/>
      <c r="AC521" s="568" t="s">
        <v>678</v>
      </c>
      <c r="AD521" s="667"/>
      <c r="AE521" s="667"/>
      <c r="AF521" s="667"/>
      <c r="AG521" s="667"/>
      <c r="AH521" s="667"/>
      <c r="AI521" s="668"/>
      <c r="AN521" s="547"/>
      <c r="AO521" s="829" t="str">
        <f t="shared" si="76"/>
        <v>Yes</v>
      </c>
      <c r="AP521" s="259" t="str">
        <f t="shared" si="77"/>
        <v>OCT 20</v>
      </c>
      <c r="AQ521" s="547" t="str">
        <f t="shared" si="78"/>
        <v>有定金+有預留客戶</v>
      </c>
      <c r="AR521" s="259" t="str">
        <f t="shared" si="79"/>
        <v>Shipped_Stock</v>
      </c>
      <c r="AS521" s="259" t="str">
        <f t="shared" si="80"/>
        <v/>
      </c>
      <c r="AT521" s="259" t="str">
        <f t="shared" si="81"/>
        <v>海星</v>
      </c>
      <c r="AU521" s="259" t="str">
        <f t="shared" si="82"/>
        <v>C28SZX20200055KC</v>
      </c>
      <c r="AV521" s="259" t="str">
        <f t="shared" si="83"/>
        <v>Oct-19</v>
      </c>
    </row>
    <row r="522" spans="1:48" hidden="1">
      <c r="A522" s="564">
        <v>795</v>
      </c>
      <c r="B522" s="565" t="s">
        <v>280</v>
      </c>
      <c r="C522" s="565" t="s">
        <v>15</v>
      </c>
      <c r="D522" s="685" t="s">
        <v>1152</v>
      </c>
      <c r="E522" s="711" t="s">
        <v>508</v>
      </c>
      <c r="F522" s="651" t="s">
        <v>241</v>
      </c>
      <c r="G522" s="652" t="s">
        <v>24</v>
      </c>
      <c r="H522" s="652" t="s">
        <v>19</v>
      </c>
      <c r="I522" s="580" t="s">
        <v>1153</v>
      </c>
      <c r="J522" s="580">
        <v>1</v>
      </c>
      <c r="K522" s="652" t="s">
        <v>295</v>
      </c>
      <c r="L522" s="680">
        <v>44126</v>
      </c>
      <c r="M522" s="670">
        <v>6.4199999999999993E-2</v>
      </c>
      <c r="N522" s="652" t="s">
        <v>1127</v>
      </c>
      <c r="O522" s="580" t="s">
        <v>1154</v>
      </c>
      <c r="P522" s="571" t="str">
        <f>VLOOKUP(A522,'[1]Raw data'!$B:$BB,23,FALSE)</f>
        <v>RMB</v>
      </c>
      <c r="Q522" s="568" t="str">
        <f>VLOOKUP(A522,'[1]Raw data'!$B:$Z,2,FALSE)</f>
        <v>C49SZX20200140RSX</v>
      </c>
      <c r="R522" s="568" t="str">
        <f>VLOOKUP(A522,'[1]Raw data'!$B:$Z,3,FALSE)</f>
        <v>嘉普达</v>
      </c>
      <c r="S522" s="568" t="str">
        <f>VLOOKUP(A522,'[1]Raw data'!$B:$Z,4,FALSE)</f>
        <v>YSM10</v>
      </c>
      <c r="T522" s="568" t="str">
        <f>VLOOKUP(A522,'[1]Raw data'!$B:$Z,8,FALSE)</f>
        <v>R-&gt;L</v>
      </c>
      <c r="U522" s="568" t="str">
        <f>VLOOKUP(A522,'[1]Raw data'!$B:$Z,9,FALSE)</f>
        <v>MVC+ATS15</v>
      </c>
      <c r="V522" s="572" t="str">
        <f t="shared" si="75"/>
        <v>WRONG</v>
      </c>
      <c r="W522" s="568" t="str">
        <f>VLOOKUP(A522,'[1]Raw data'!$B:$AG,32,FALSE)</f>
        <v>含税到厂</v>
      </c>
      <c r="X522" s="568">
        <f>VLOOKUP(A522,'[1]Raw data'!$B:$BA,31,FALSE)</f>
        <v>44075</v>
      </c>
      <c r="Y522" s="568" t="str">
        <f>VLOOKUP(A522,'[1]Raw data'!$B:$AS,39,FALSE)</f>
        <v>Yes</v>
      </c>
      <c r="Z522" s="664"/>
      <c r="AA522" s="665"/>
      <c r="AB522" s="666"/>
      <c r="AC522" s="652" t="s">
        <v>1155</v>
      </c>
      <c r="AD522" s="667">
        <v>311</v>
      </c>
      <c r="AE522" s="667">
        <v>10</v>
      </c>
      <c r="AF522" s="667"/>
      <c r="AG522" s="667"/>
      <c r="AH522" s="667"/>
      <c r="AI522" s="668"/>
      <c r="AN522" s="547"/>
      <c r="AO522" s="829" t="str">
        <f t="shared" si="76"/>
        <v>Yes</v>
      </c>
      <c r="AP522" s="259" t="str">
        <f t="shared" si="77"/>
        <v>JAN 21</v>
      </c>
      <c r="AQ522" s="547" t="str">
        <f t="shared" si="78"/>
        <v>有定金+有預留客戶</v>
      </c>
      <c r="AR522" s="259" t="str">
        <f t="shared" si="79"/>
        <v>Shipped_Stock</v>
      </c>
      <c r="AS522" s="259" t="str">
        <f t="shared" si="80"/>
        <v/>
      </c>
      <c r="AT522" s="259" t="str">
        <f t="shared" si="81"/>
        <v>嘉普达</v>
      </c>
      <c r="AU522" s="259" t="str">
        <f t="shared" si="82"/>
        <v>C49SZX20200140RSX</v>
      </c>
      <c r="AV522" s="259" t="str">
        <f t="shared" si="83"/>
        <v>Oct-22</v>
      </c>
    </row>
    <row r="523" spans="1:48" ht="22.5" hidden="1">
      <c r="A523" s="564">
        <v>832</v>
      </c>
      <c r="B523" s="565" t="s">
        <v>280</v>
      </c>
      <c r="C523" s="565" t="s">
        <v>15</v>
      </c>
      <c r="D523" s="690">
        <v>109995</v>
      </c>
      <c r="E523" s="712" t="s">
        <v>508</v>
      </c>
      <c r="F523" s="651" t="s">
        <v>241</v>
      </c>
      <c r="G523" s="652" t="s">
        <v>24</v>
      </c>
      <c r="H523" s="652" t="s">
        <v>19</v>
      </c>
      <c r="I523" s="580" t="s">
        <v>1156</v>
      </c>
      <c r="J523" s="580">
        <v>1</v>
      </c>
      <c r="K523" s="652" t="s">
        <v>295</v>
      </c>
      <c r="L523" s="680">
        <v>44126</v>
      </c>
      <c r="M523" s="683" t="s">
        <v>1157</v>
      </c>
      <c r="N523" s="652" t="s">
        <v>1142</v>
      </c>
      <c r="O523" s="580" t="s">
        <v>1154</v>
      </c>
      <c r="P523" s="571" t="str">
        <f>VLOOKUP(A523,'[1]Raw data'!$B:$BB,23,FALSE)</f>
        <v>RMB</v>
      </c>
      <c r="Q523" s="568" t="str">
        <f>VLOOKUP(A523,'[1]Raw data'!$B:$Z,2,FALSE)</f>
        <v>C49SZX20200155JD</v>
      </c>
      <c r="R523" s="568" t="str">
        <f>VLOOKUP(A523,'[1]Raw data'!$B:$Z,3,FALSE)</f>
        <v>志华鑫</v>
      </c>
      <c r="S523" s="568" t="str">
        <f>VLOOKUP(A523,'[1]Raw data'!$B:$Z,4,FALSE)</f>
        <v>YSM10</v>
      </c>
      <c r="T523" s="568" t="str">
        <f>VLOOKUP(A523,'[1]Raw data'!$B:$Z,8,FALSE)</f>
        <v>L-&gt;R</v>
      </c>
      <c r="U523" s="568" t="str">
        <f>VLOOKUP(A523,'[1]Raw data'!$B:$Z,9,FALSE)</f>
        <v>cATS10+MVC</v>
      </c>
      <c r="V523" s="572" t="str">
        <f t="shared" si="75"/>
        <v>WRONG</v>
      </c>
      <c r="W523" s="568" t="str">
        <f>VLOOKUP(A523,'[1]Raw data'!$B:$AG,32,FALSE)</f>
        <v>含税到厂</v>
      </c>
      <c r="X523" s="568">
        <f>VLOOKUP(A523,'[1]Raw data'!$B:$BA,31,FALSE)</f>
        <v>44090</v>
      </c>
      <c r="Y523" s="568" t="str">
        <f>VLOOKUP(A523,'[1]Raw data'!$B:$AS,39,FALSE)</f>
        <v>Yes</v>
      </c>
      <c r="Z523" s="664"/>
      <c r="AA523" s="665"/>
      <c r="AB523" s="666"/>
      <c r="AC523" s="652" t="s">
        <v>1158</v>
      </c>
      <c r="AD523" s="667">
        <v>312</v>
      </c>
      <c r="AE523" s="667">
        <v>10</v>
      </c>
      <c r="AF523" s="667"/>
      <c r="AG523" s="667"/>
      <c r="AH523" s="667"/>
      <c r="AI523" s="668"/>
      <c r="AN523" s="547"/>
      <c r="AO523" s="829" t="str">
        <f t="shared" si="76"/>
        <v>Yes</v>
      </c>
      <c r="AP523" s="259" t="str">
        <f t="shared" si="77"/>
        <v>NOV 20</v>
      </c>
      <c r="AQ523" s="547" t="str">
        <f t="shared" si="78"/>
        <v>有定金+有預留客戶</v>
      </c>
      <c r="AR523" s="259" t="str">
        <f t="shared" si="79"/>
        <v>Shipped_Stock</v>
      </c>
      <c r="AS523" s="259" t="str">
        <f t="shared" si="80"/>
        <v/>
      </c>
      <c r="AT523" s="259" t="str">
        <f t="shared" si="81"/>
        <v>志华鑫</v>
      </c>
      <c r="AU523" s="259" t="str">
        <f t="shared" si="82"/>
        <v>C49SZX20200155JD</v>
      </c>
      <c r="AV523" s="259" t="str">
        <f t="shared" si="83"/>
        <v>Oct-22</v>
      </c>
    </row>
    <row r="524" spans="1:48" ht="13.5" hidden="1" thickBot="1">
      <c r="A524" s="564">
        <v>770</v>
      </c>
      <c r="B524" s="669" t="s">
        <v>927</v>
      </c>
      <c r="C524" s="565" t="s">
        <v>15</v>
      </c>
      <c r="D524" s="692">
        <v>109995</v>
      </c>
      <c r="E524" s="713" t="s">
        <v>508</v>
      </c>
      <c r="F524" s="651" t="s">
        <v>241</v>
      </c>
      <c r="G524" s="652" t="s">
        <v>24</v>
      </c>
      <c r="H524" s="652" t="s">
        <v>26</v>
      </c>
      <c r="I524" s="580" t="s">
        <v>1159</v>
      </c>
      <c r="J524" s="580">
        <v>1</v>
      </c>
      <c r="K524" s="652" t="s">
        <v>746</v>
      </c>
      <c r="L524" s="710">
        <v>44126</v>
      </c>
      <c r="M524" s="670" t="s">
        <v>906</v>
      </c>
      <c r="N524" s="652" t="s">
        <v>1032</v>
      </c>
      <c r="O524" s="652" t="s">
        <v>1154</v>
      </c>
      <c r="P524" s="571" t="str">
        <f>VLOOKUP(A524,'[1]Raw data'!$B:$BB,23,FALSE)</f>
        <v>JPY</v>
      </c>
      <c r="Q524" s="568" t="str">
        <f>VLOOKUP(A524,'[1]Raw data'!$B:$Z,2,FALSE)</f>
        <v>C49SZX20200078CY</v>
      </c>
      <c r="R524" s="568" t="str">
        <f>VLOOKUP(A524,'[1]Raw data'!$B:$Z,3,FALSE)</f>
        <v>博德越</v>
      </c>
      <c r="S524" s="568" t="str">
        <f>VLOOKUP(A524,'[1]Raw data'!$B:$Z,4,FALSE)</f>
        <v>YSM10</v>
      </c>
      <c r="T524" s="568" t="str">
        <f>VLOOKUP(A524,'[1]Raw data'!$B:$Z,8,FALSE)</f>
        <v>R-&gt;L</v>
      </c>
      <c r="U524" s="568" t="str">
        <f>VLOOKUP(A524,'[1]Raw data'!$B:$Z,9,FALSE)</f>
        <v>MVC</v>
      </c>
      <c r="V524" s="572" t="str">
        <f t="shared" si="75"/>
        <v>WRONG</v>
      </c>
      <c r="W524" s="568" t="str">
        <f>VLOOKUP(A524,'[1]Raw data'!$B:$AG,32,FALSE)</f>
        <v>DAP SZ</v>
      </c>
      <c r="X524" s="568">
        <f>VLOOKUP(A524,'[1]Raw data'!$B:$BA,31,FALSE)</f>
        <v>44053</v>
      </c>
      <c r="Y524" s="568" t="str">
        <f>VLOOKUP(A524,'[1]Raw data'!$B:$AS,39,FALSE)</f>
        <v>Yes</v>
      </c>
      <c r="Z524" s="671"/>
      <c r="AA524" s="672"/>
      <c r="AB524" s="673"/>
      <c r="AC524" s="652" t="s">
        <v>1062</v>
      </c>
      <c r="AD524" s="667">
        <v>301</v>
      </c>
      <c r="AE524" s="667">
        <v>10</v>
      </c>
      <c r="AF524" s="667"/>
      <c r="AG524" s="667"/>
      <c r="AH524" s="667"/>
      <c r="AI524" s="668"/>
      <c r="AN524" s="547"/>
      <c r="AO524" s="829" t="str">
        <f t="shared" si="76"/>
        <v>Yes</v>
      </c>
      <c r="AP524" s="259" t="str">
        <f t="shared" si="77"/>
        <v>OCT 20</v>
      </c>
      <c r="AQ524" s="547" t="str">
        <f t="shared" si="78"/>
        <v>有定金+有預留客戶</v>
      </c>
      <c r="AR524" s="259" t="str">
        <f t="shared" si="79"/>
        <v>Shipped_Stock</v>
      </c>
      <c r="AS524" s="259" t="str">
        <f t="shared" si="80"/>
        <v/>
      </c>
      <c r="AT524" s="259" t="str">
        <f t="shared" si="81"/>
        <v>博德越</v>
      </c>
      <c r="AU524" s="259" t="str">
        <f t="shared" si="82"/>
        <v>C49SZX20200078CY</v>
      </c>
      <c r="AV524" s="259" t="str">
        <f t="shared" si="83"/>
        <v>Oct-22</v>
      </c>
    </row>
    <row r="525" spans="1:48" ht="22.5" hidden="1">
      <c r="A525" s="564">
        <v>809</v>
      </c>
      <c r="B525" s="565" t="s">
        <v>280</v>
      </c>
      <c r="C525" s="565" t="s">
        <v>15</v>
      </c>
      <c r="D525" s="685">
        <v>110047</v>
      </c>
      <c r="E525" s="708" t="s">
        <v>1160</v>
      </c>
      <c r="F525" s="651" t="s">
        <v>58</v>
      </c>
      <c r="G525" s="652" t="s">
        <v>18</v>
      </c>
      <c r="H525" s="652" t="s">
        <v>307</v>
      </c>
      <c r="I525" s="580" t="s">
        <v>1161</v>
      </c>
      <c r="J525" s="580">
        <v>1</v>
      </c>
      <c r="K525" s="652" t="s">
        <v>295</v>
      </c>
      <c r="L525" s="680">
        <v>44126</v>
      </c>
      <c r="M525" s="683" t="s">
        <v>1162</v>
      </c>
      <c r="N525" s="652" t="s">
        <v>1124</v>
      </c>
      <c r="O525" s="580">
        <v>2020.09</v>
      </c>
      <c r="P525" s="571" t="str">
        <f>VLOOKUP(A525,'[1]Raw data'!$B:$BB,23,FALSE)</f>
        <v>JPY</v>
      </c>
      <c r="Q525" s="568" t="str">
        <f>VLOOKUP(A525,'[1]Raw data'!$B:$Z,2,FALSE)</f>
        <v>C49SZX20200153SS</v>
      </c>
      <c r="R525" s="568" t="str">
        <f>VLOOKUP(A525,'[1]Raw data'!$B:$Z,3,FALSE)</f>
        <v>正创</v>
      </c>
      <c r="S525" s="568" t="str">
        <f>VLOOKUP(A525,'[1]Raw data'!$B:$Z,4,FALSE)</f>
        <v>YSM20R-2</v>
      </c>
      <c r="T525" s="568" t="str">
        <f>VLOOKUP(A525,'[1]Raw data'!$B:$Z,8,FALSE)</f>
        <v>R-&gt;L</v>
      </c>
      <c r="U525" s="568" t="str">
        <f>VLOOKUP(A525,'[1]Raw data'!$B:$Z,9,FALSE)</f>
        <v>No</v>
      </c>
      <c r="V525" s="572" t="str">
        <f t="shared" si="75"/>
        <v>OK</v>
      </c>
      <c r="W525" s="568" t="str">
        <f>VLOOKUP(A525,'[1]Raw data'!$B:$AG,32,FALSE)</f>
        <v>DAP SZ</v>
      </c>
      <c r="X525" s="568">
        <f>VLOOKUP(A525,'[1]Raw data'!$B:$BA,31,FALSE)</f>
        <v>44081</v>
      </c>
      <c r="Y525" s="568" t="str">
        <f>VLOOKUP(A525,'[1]Raw data'!$B:$AS,39,FALSE)</f>
        <v>Yes</v>
      </c>
      <c r="Z525" s="664"/>
      <c r="AA525" s="665"/>
      <c r="AB525" s="666"/>
      <c r="AC525" s="568" t="s">
        <v>734</v>
      </c>
      <c r="AD525" s="667">
        <v>301</v>
      </c>
      <c r="AE525" s="667">
        <v>20</v>
      </c>
      <c r="AF525" s="667"/>
      <c r="AG525" s="667"/>
      <c r="AH525" s="667"/>
      <c r="AI525" s="668"/>
      <c r="AN525" s="547"/>
      <c r="AO525" s="829" t="str">
        <f t="shared" si="76"/>
        <v>Yes</v>
      </c>
      <c r="AP525" s="259" t="str">
        <f t="shared" si="77"/>
        <v>DEC 20</v>
      </c>
      <c r="AQ525" s="547" t="str">
        <f t="shared" si="78"/>
        <v>有定金+有預留客戶</v>
      </c>
      <c r="AR525" s="259" t="str">
        <f t="shared" si="79"/>
        <v>Shipped_Stock</v>
      </c>
      <c r="AS525" s="259" t="str">
        <f t="shared" si="80"/>
        <v/>
      </c>
      <c r="AT525" s="259" t="str">
        <f t="shared" si="81"/>
        <v>正创</v>
      </c>
      <c r="AU525" s="259" t="str">
        <f t="shared" si="82"/>
        <v>C49SZX20200153SS</v>
      </c>
      <c r="AV525" s="259" t="str">
        <f t="shared" si="83"/>
        <v>Oct-22</v>
      </c>
    </row>
    <row r="526" spans="1:48" hidden="1">
      <c r="A526" s="564">
        <v>802</v>
      </c>
      <c r="B526" s="669" t="s">
        <v>927</v>
      </c>
      <c r="C526" s="565" t="s">
        <v>15</v>
      </c>
      <c r="D526" s="690">
        <v>110047</v>
      </c>
      <c r="E526" s="709" t="s">
        <v>1160</v>
      </c>
      <c r="F526" s="651" t="s">
        <v>1163</v>
      </c>
      <c r="G526" s="652" t="s">
        <v>18</v>
      </c>
      <c r="H526" s="652" t="s">
        <v>307</v>
      </c>
      <c r="I526" s="580" t="s">
        <v>1164</v>
      </c>
      <c r="J526" s="580">
        <v>1</v>
      </c>
      <c r="K526" s="652" t="s">
        <v>311</v>
      </c>
      <c r="L526" s="710">
        <v>44126</v>
      </c>
      <c r="M526" s="670">
        <v>6.5000000000000002E-2</v>
      </c>
      <c r="N526" s="652" t="s">
        <v>1032</v>
      </c>
      <c r="O526" s="652">
        <v>2020.09</v>
      </c>
      <c r="P526" s="571" t="str">
        <f>VLOOKUP(A526,'[1]Raw data'!$B:$BB,23,FALSE)</f>
        <v>JPY</v>
      </c>
      <c r="Q526" s="568" t="str">
        <f>VLOOKUP(A526,'[1]Raw data'!$B:$Z,2,FALSE)</f>
        <v>C49SZX20200135DZ</v>
      </c>
      <c r="R526" s="568" t="str">
        <f>VLOOKUP(A526,'[1]Raw data'!$B:$Z,3,FALSE)</f>
        <v>方案集</v>
      </c>
      <c r="S526" s="568" t="str">
        <f>VLOOKUP(A526,'[1]Raw data'!$B:$Z,4,FALSE)</f>
        <v>YSM20R-2</v>
      </c>
      <c r="T526" s="568" t="str">
        <f>VLOOKUP(A526,'[1]Raw data'!$B:$Z,8,FALSE)</f>
        <v>R-&gt;L</v>
      </c>
      <c r="U526" s="568" t="str">
        <f>VLOOKUP(A526,'[1]Raw data'!$B:$Z,9,FALSE)</f>
        <v>No</v>
      </c>
      <c r="V526" s="572" t="str">
        <f t="shared" si="75"/>
        <v>OK</v>
      </c>
      <c r="W526" s="568" t="str">
        <f>VLOOKUP(A526,'[1]Raw data'!$B:$AG,32,FALSE)</f>
        <v>CIF HK</v>
      </c>
      <c r="X526" s="568">
        <f>VLOOKUP(A526,'[1]Raw data'!$B:$BA,31,FALSE)</f>
        <v>44075</v>
      </c>
      <c r="Y526" s="568" t="str">
        <f>VLOOKUP(A526,'[1]Raw data'!$B:$AS,39,FALSE)</f>
        <v>Yes</v>
      </c>
      <c r="Z526" s="671"/>
      <c r="AA526" s="672"/>
      <c r="AB526" s="673"/>
      <c r="AC526" s="652" t="s">
        <v>1165</v>
      </c>
      <c r="AD526" s="667">
        <v>301</v>
      </c>
      <c r="AE526" s="667">
        <v>20</v>
      </c>
      <c r="AF526" s="667"/>
      <c r="AG526" s="667"/>
      <c r="AH526" s="667"/>
      <c r="AI526" s="668"/>
      <c r="AN526" s="547"/>
      <c r="AO526" s="829" t="str">
        <f t="shared" si="76"/>
        <v>Yes</v>
      </c>
      <c r="AP526" s="259" t="str">
        <f t="shared" si="77"/>
        <v>OCT 20</v>
      </c>
      <c r="AQ526" s="547" t="str">
        <f t="shared" si="78"/>
        <v>有定金+有預留客戶</v>
      </c>
      <c r="AR526" s="259" t="str">
        <f t="shared" si="79"/>
        <v>Shipped_Stock</v>
      </c>
      <c r="AS526" s="259" t="str">
        <f t="shared" si="80"/>
        <v/>
      </c>
      <c r="AT526" s="259" t="str">
        <f t="shared" si="81"/>
        <v>方案集</v>
      </c>
      <c r="AU526" s="259" t="str">
        <f t="shared" si="82"/>
        <v>C49SZX20200135DZ</v>
      </c>
      <c r="AV526" s="259" t="str">
        <f t="shared" si="83"/>
        <v>Oct-22</v>
      </c>
    </row>
    <row r="527" spans="1:48" hidden="1">
      <c r="A527" s="564">
        <v>852</v>
      </c>
      <c r="B527" s="669" t="s">
        <v>927</v>
      </c>
      <c r="C527" s="565" t="s">
        <v>15</v>
      </c>
      <c r="D527" s="690">
        <v>110047</v>
      </c>
      <c r="E527" s="709" t="s">
        <v>1160</v>
      </c>
      <c r="F527" s="651" t="s">
        <v>58</v>
      </c>
      <c r="G527" s="652" t="s">
        <v>24</v>
      </c>
      <c r="H527" s="652" t="s">
        <v>307</v>
      </c>
      <c r="I527" s="580" t="s">
        <v>1166</v>
      </c>
      <c r="J527" s="580">
        <v>1</v>
      </c>
      <c r="K527" s="652" t="s">
        <v>746</v>
      </c>
      <c r="L527" s="710">
        <v>44126</v>
      </c>
      <c r="M527" s="670">
        <v>6.5000000000000002E-2</v>
      </c>
      <c r="N527" s="652" t="s">
        <v>1032</v>
      </c>
      <c r="O527" s="652">
        <v>2020.09</v>
      </c>
      <c r="P527" s="571" t="str">
        <f>VLOOKUP(A527,'[1]Raw data'!$B:$BB,23,FALSE)</f>
        <v>RMB</v>
      </c>
      <c r="Q527" s="568" t="str">
        <f>VLOOKUP(A527,'[1]Raw data'!$B:$Z,2,FALSE)</f>
        <v>C49SZX20200177DY</v>
      </c>
      <c r="R527" s="568" t="str">
        <f>VLOOKUP(A527,'[1]Raw data'!$B:$Z,3,FALSE)</f>
        <v>擎宇精工</v>
      </c>
      <c r="S527" s="568" t="str">
        <f>VLOOKUP(A527,'[1]Raw data'!$B:$Z,4,FALSE)</f>
        <v>YSM20R-2</v>
      </c>
      <c r="T527" s="568" t="str">
        <f>VLOOKUP(A527,'[1]Raw data'!$B:$Z,8,FALSE)</f>
        <v>L-&gt;R</v>
      </c>
      <c r="U527" s="568" t="str">
        <f>VLOOKUP(A527,'[1]Raw data'!$B:$Z,9,FALSE)</f>
        <v>No</v>
      </c>
      <c r="V527" s="572" t="str">
        <f t="shared" si="75"/>
        <v>OK</v>
      </c>
      <c r="W527" s="568" t="str">
        <f>VLOOKUP(A527,'[1]Raw data'!$B:$AG,32,FALSE)</f>
        <v>含税到厂</v>
      </c>
      <c r="X527" s="568">
        <f>VLOOKUP(A527,'[1]Raw data'!$B:$BA,31,FALSE)</f>
        <v>44098</v>
      </c>
      <c r="Y527" s="568" t="str">
        <f>VLOOKUP(A527,'[1]Raw data'!$B:$AS,39,FALSE)</f>
        <v>Yes</v>
      </c>
      <c r="Z527" s="671"/>
      <c r="AA527" s="672"/>
      <c r="AB527" s="673"/>
      <c r="AC527" s="652" t="s">
        <v>1167</v>
      </c>
      <c r="AD527" s="667">
        <v>301</v>
      </c>
      <c r="AE527" s="667">
        <v>20</v>
      </c>
      <c r="AF527" s="667"/>
      <c r="AG527" s="667"/>
      <c r="AH527" s="667"/>
      <c r="AI527" s="668"/>
      <c r="AN527" s="547"/>
      <c r="AO527" s="829" t="str">
        <f t="shared" si="76"/>
        <v>Yes</v>
      </c>
      <c r="AP527" s="259" t="str">
        <f t="shared" si="77"/>
        <v>OCT 20</v>
      </c>
      <c r="AQ527" s="547" t="str">
        <f t="shared" si="78"/>
        <v>有定金+有預留客戶</v>
      </c>
      <c r="AR527" s="259" t="str">
        <f t="shared" si="79"/>
        <v>Shipped_Stock</v>
      </c>
      <c r="AS527" s="259" t="str">
        <f t="shared" si="80"/>
        <v/>
      </c>
      <c r="AT527" s="259" t="str">
        <f t="shared" si="81"/>
        <v>擎宇精工</v>
      </c>
      <c r="AU527" s="259" t="str">
        <f t="shared" si="82"/>
        <v>C49SZX20200177DY</v>
      </c>
      <c r="AV527" s="259" t="str">
        <f t="shared" si="83"/>
        <v>Oct-22</v>
      </c>
    </row>
    <row r="528" spans="1:48" hidden="1">
      <c r="A528" s="564">
        <v>807</v>
      </c>
      <c r="B528" s="669" t="s">
        <v>927</v>
      </c>
      <c r="C528" s="565" t="s">
        <v>15</v>
      </c>
      <c r="D528" s="690">
        <v>110047</v>
      </c>
      <c r="E528" s="709" t="s">
        <v>1160</v>
      </c>
      <c r="F528" s="651" t="s">
        <v>58</v>
      </c>
      <c r="G528" s="652" t="s">
        <v>24</v>
      </c>
      <c r="H528" s="652" t="s">
        <v>307</v>
      </c>
      <c r="I528" s="580" t="s">
        <v>1168</v>
      </c>
      <c r="J528" s="580">
        <v>1</v>
      </c>
      <c r="K528" s="652" t="s">
        <v>746</v>
      </c>
      <c r="L528" s="710">
        <v>44126</v>
      </c>
      <c r="M528" s="670">
        <v>6.5000000000000002E-2</v>
      </c>
      <c r="N528" s="652" t="s">
        <v>1032</v>
      </c>
      <c r="O528" s="652" t="s">
        <v>1154</v>
      </c>
      <c r="P528" s="571" t="str">
        <f>VLOOKUP(A528,'[1]Raw data'!$B:$BB,23,FALSE)</f>
        <v>JPY</v>
      </c>
      <c r="Q528" s="568" t="str">
        <f>VLOOKUP(A528,'[1]Raw data'!$B:$Z,2,FALSE)</f>
        <v>C49SZX20200153SS</v>
      </c>
      <c r="R528" s="568" t="str">
        <f>VLOOKUP(A528,'[1]Raw data'!$B:$Z,3,FALSE)</f>
        <v>正创</v>
      </c>
      <c r="S528" s="568" t="str">
        <f>VLOOKUP(A528,'[1]Raw data'!$B:$Z,4,FALSE)</f>
        <v>YSM20R-2</v>
      </c>
      <c r="T528" s="568" t="str">
        <f>VLOOKUP(A528,'[1]Raw data'!$B:$Z,8,FALSE)</f>
        <v>L-&gt;R</v>
      </c>
      <c r="U528" s="568" t="str">
        <f>VLOOKUP(A528,'[1]Raw data'!$B:$Z,9,FALSE)</f>
        <v>MVC</v>
      </c>
      <c r="V528" s="572" t="str">
        <f t="shared" si="75"/>
        <v>WRONG</v>
      </c>
      <c r="W528" s="568" t="str">
        <f>VLOOKUP(A528,'[1]Raw data'!$B:$AG,32,FALSE)</f>
        <v>DAP SZ</v>
      </c>
      <c r="X528" s="568">
        <f>VLOOKUP(A528,'[1]Raw data'!$B:$BA,31,FALSE)</f>
        <v>44081</v>
      </c>
      <c r="Y528" s="568" t="str">
        <f>VLOOKUP(A528,'[1]Raw data'!$B:$AS,39,FALSE)</f>
        <v>Yes</v>
      </c>
      <c r="Z528" s="671"/>
      <c r="AA528" s="672"/>
      <c r="AB528" s="673"/>
      <c r="AC528" s="652" t="s">
        <v>734</v>
      </c>
      <c r="AD528" s="667">
        <v>302</v>
      </c>
      <c r="AE528" s="667">
        <v>20</v>
      </c>
      <c r="AF528" s="667"/>
      <c r="AG528" s="667"/>
      <c r="AH528" s="667"/>
      <c r="AI528" s="668"/>
      <c r="AN528" s="547"/>
      <c r="AO528" s="829" t="str">
        <f t="shared" si="76"/>
        <v>Yes</v>
      </c>
      <c r="AP528" s="259" t="str">
        <f t="shared" si="77"/>
        <v>OCT 20</v>
      </c>
      <c r="AQ528" s="547" t="str">
        <f t="shared" si="78"/>
        <v>有定金+有預留客戶</v>
      </c>
      <c r="AR528" s="259" t="str">
        <f t="shared" si="79"/>
        <v>Shipped_Stock</v>
      </c>
      <c r="AS528" s="259" t="str">
        <f t="shared" si="80"/>
        <v/>
      </c>
      <c r="AT528" s="259" t="str">
        <f t="shared" si="81"/>
        <v>正创</v>
      </c>
      <c r="AU528" s="259" t="str">
        <f t="shared" si="82"/>
        <v>C49SZX20200153SS</v>
      </c>
      <c r="AV528" s="259" t="str">
        <f t="shared" si="83"/>
        <v>Oct-22</v>
      </c>
    </row>
    <row r="529" spans="1:48" ht="13.5" hidden="1" thickBot="1">
      <c r="A529" s="564">
        <v>808</v>
      </c>
      <c r="B529" s="669" t="s">
        <v>927</v>
      </c>
      <c r="C529" s="565" t="s">
        <v>15</v>
      </c>
      <c r="D529" s="692">
        <v>110047</v>
      </c>
      <c r="E529" s="694" t="s">
        <v>1160</v>
      </c>
      <c r="F529" s="651" t="s">
        <v>58</v>
      </c>
      <c r="G529" s="652" t="s">
        <v>24</v>
      </c>
      <c r="H529" s="652" t="s">
        <v>307</v>
      </c>
      <c r="I529" s="580" t="s">
        <v>1169</v>
      </c>
      <c r="J529" s="580">
        <v>1</v>
      </c>
      <c r="K529" s="652" t="s">
        <v>746</v>
      </c>
      <c r="L529" s="710">
        <v>44126</v>
      </c>
      <c r="M529" s="670">
        <v>6.5000000000000002E-2</v>
      </c>
      <c r="N529" s="652" t="s">
        <v>1032</v>
      </c>
      <c r="O529" s="652" t="s">
        <v>1154</v>
      </c>
      <c r="P529" s="571" t="str">
        <f>VLOOKUP(A529,'[1]Raw data'!$B:$BB,23,FALSE)</f>
        <v>JPY</v>
      </c>
      <c r="Q529" s="568" t="str">
        <f>VLOOKUP(A529,'[1]Raw data'!$B:$Z,2,FALSE)</f>
        <v>C49SZX20200153SS</v>
      </c>
      <c r="R529" s="568" t="str">
        <f>VLOOKUP(A529,'[1]Raw data'!$B:$Z,3,FALSE)</f>
        <v>正创</v>
      </c>
      <c r="S529" s="568" t="str">
        <f>VLOOKUP(A529,'[1]Raw data'!$B:$Z,4,FALSE)</f>
        <v>YSM20R-2</v>
      </c>
      <c r="T529" s="568" t="str">
        <f>VLOOKUP(A529,'[1]Raw data'!$B:$Z,8,FALSE)</f>
        <v>L-&gt;R</v>
      </c>
      <c r="U529" s="568" t="str">
        <f>VLOOKUP(A529,'[1]Raw data'!$B:$Z,9,FALSE)</f>
        <v>No</v>
      </c>
      <c r="V529" s="572" t="str">
        <f t="shared" si="75"/>
        <v>OK</v>
      </c>
      <c r="W529" s="568" t="str">
        <f>VLOOKUP(A529,'[1]Raw data'!$B:$AG,32,FALSE)</f>
        <v>DAP SZ</v>
      </c>
      <c r="X529" s="568">
        <f>VLOOKUP(A529,'[1]Raw data'!$B:$BA,31,FALSE)</f>
        <v>44081</v>
      </c>
      <c r="Y529" s="568" t="str">
        <f>VLOOKUP(A529,'[1]Raw data'!$B:$AS,39,FALSE)</f>
        <v>Yes</v>
      </c>
      <c r="Z529" s="671"/>
      <c r="AA529" s="672"/>
      <c r="AB529" s="673"/>
      <c r="AC529" s="652" t="s">
        <v>734</v>
      </c>
      <c r="AD529" s="667">
        <v>302</v>
      </c>
      <c r="AE529" s="667">
        <v>20</v>
      </c>
      <c r="AF529" s="667"/>
      <c r="AG529" s="667"/>
      <c r="AH529" s="667"/>
      <c r="AI529" s="668"/>
      <c r="AN529" s="547"/>
      <c r="AO529" s="829" t="str">
        <f t="shared" si="76"/>
        <v>Yes</v>
      </c>
      <c r="AP529" s="259" t="str">
        <f t="shared" si="77"/>
        <v>OCT 20</v>
      </c>
      <c r="AQ529" s="547" t="str">
        <f t="shared" si="78"/>
        <v>有定金+有預留客戶</v>
      </c>
      <c r="AR529" s="259" t="str">
        <f t="shared" si="79"/>
        <v>Shipped_Stock</v>
      </c>
      <c r="AS529" s="259" t="str">
        <f t="shared" si="80"/>
        <v/>
      </c>
      <c r="AT529" s="259" t="str">
        <f t="shared" si="81"/>
        <v>正创</v>
      </c>
      <c r="AU529" s="259" t="str">
        <f t="shared" si="82"/>
        <v>C49SZX20200153SS</v>
      </c>
      <c r="AV529" s="259" t="str">
        <f t="shared" si="83"/>
        <v>Oct-22</v>
      </c>
    </row>
    <row r="530" spans="1:48" hidden="1">
      <c r="A530" s="564">
        <v>805</v>
      </c>
      <c r="B530" s="669" t="s">
        <v>280</v>
      </c>
      <c r="C530" s="565" t="s">
        <v>15</v>
      </c>
      <c r="D530" s="685">
        <v>110048</v>
      </c>
      <c r="E530" s="708" t="s">
        <v>1160</v>
      </c>
      <c r="F530" s="651" t="s">
        <v>58</v>
      </c>
      <c r="G530" s="652" t="s">
        <v>24</v>
      </c>
      <c r="H530" s="652" t="s">
        <v>307</v>
      </c>
      <c r="I530" s="580" t="s">
        <v>1170</v>
      </c>
      <c r="J530" s="580">
        <v>1</v>
      </c>
      <c r="K530" s="652" t="s">
        <v>311</v>
      </c>
      <c r="L530" s="662">
        <v>44126</v>
      </c>
      <c r="M530" s="670">
        <v>6.4100000000000004E-2</v>
      </c>
      <c r="N530" s="652" t="s">
        <v>1032</v>
      </c>
      <c r="O530" s="652" t="s">
        <v>1154</v>
      </c>
      <c r="P530" s="571" t="str">
        <f>VLOOKUP(A530,'[1]Raw data'!$B:$BB,23,FALSE)</f>
        <v>RMB</v>
      </c>
      <c r="Q530" s="568" t="str">
        <f>VLOOKUP(A530,'[1]Raw data'!$B:$Z,2,FALSE)</f>
        <v>C49SZX20200148JYR1</v>
      </c>
      <c r="R530" s="568" t="str">
        <f>VLOOKUP(A530,'[1]Raw data'!$B:$Z,3,FALSE)</f>
        <v>芯联鑫</v>
      </c>
      <c r="S530" s="568" t="str">
        <f>VLOOKUP(A530,'[1]Raw data'!$B:$Z,4,FALSE)</f>
        <v>YSM20R-2</v>
      </c>
      <c r="T530" s="568" t="str">
        <f>VLOOKUP(A530,'[1]Raw data'!$B:$Z,8,FALSE)</f>
        <v>L-&gt;R</v>
      </c>
      <c r="U530" s="568" t="str">
        <f>VLOOKUP(A530,'[1]Raw data'!$B:$Z,9,FALSE)</f>
        <v>No</v>
      </c>
      <c r="V530" s="572" t="str">
        <f t="shared" si="75"/>
        <v>OK</v>
      </c>
      <c r="W530" s="568" t="str">
        <f>VLOOKUP(A530,'[1]Raw data'!$B:$AG,32,FALSE)</f>
        <v>含税到厂</v>
      </c>
      <c r="X530" s="568">
        <f>VLOOKUP(A530,'[1]Raw data'!$B:$BA,31,FALSE)</f>
        <v>44076</v>
      </c>
      <c r="Y530" s="568" t="str">
        <f>VLOOKUP(A530,'[1]Raw data'!$B:$AS,39,FALSE)</f>
        <v>Yes</v>
      </c>
      <c r="Z530" s="664"/>
      <c r="AA530" s="665"/>
      <c r="AB530" s="666"/>
      <c r="AC530" s="652" t="s">
        <v>1088</v>
      </c>
      <c r="AD530" s="667">
        <v>303</v>
      </c>
      <c r="AE530" s="667">
        <v>20</v>
      </c>
      <c r="AF530" s="667"/>
      <c r="AG530" s="667"/>
      <c r="AH530" s="667"/>
      <c r="AI530" s="668"/>
      <c r="AN530" s="547"/>
      <c r="AO530" s="829" t="str">
        <f t="shared" si="76"/>
        <v>Yes</v>
      </c>
      <c r="AP530" s="259" t="str">
        <f t="shared" si="77"/>
        <v>OCT 20</v>
      </c>
      <c r="AQ530" s="547" t="str">
        <f t="shared" si="78"/>
        <v>有定金+有預留客戶</v>
      </c>
      <c r="AR530" s="259" t="str">
        <f t="shared" si="79"/>
        <v>Shipped_Stock</v>
      </c>
      <c r="AS530" s="259" t="str">
        <f t="shared" si="80"/>
        <v/>
      </c>
      <c r="AT530" s="259" t="str">
        <f t="shared" si="81"/>
        <v>芯联鑫</v>
      </c>
      <c r="AU530" s="259" t="str">
        <f t="shared" si="82"/>
        <v>C49SZX20200148JYR1</v>
      </c>
      <c r="AV530" s="259" t="str">
        <f t="shared" si="83"/>
        <v>Oct-22</v>
      </c>
    </row>
    <row r="531" spans="1:48" hidden="1">
      <c r="A531" s="564">
        <v>837</v>
      </c>
      <c r="B531" s="565" t="s">
        <v>280</v>
      </c>
      <c r="C531" s="565" t="s">
        <v>15</v>
      </c>
      <c r="D531" s="690">
        <v>110048</v>
      </c>
      <c r="E531" s="709" t="s">
        <v>1160</v>
      </c>
      <c r="F531" s="651" t="s">
        <v>58</v>
      </c>
      <c r="G531" s="652" t="s">
        <v>24</v>
      </c>
      <c r="H531" s="652" t="s">
        <v>307</v>
      </c>
      <c r="I531" s="580" t="s">
        <v>1171</v>
      </c>
      <c r="J531" s="580">
        <v>1</v>
      </c>
      <c r="K531" s="652" t="s">
        <v>437</v>
      </c>
      <c r="L531" s="680">
        <v>44126</v>
      </c>
      <c r="M531" s="670">
        <v>6.4100000000000004E-2</v>
      </c>
      <c r="N531" s="652" t="s">
        <v>1142</v>
      </c>
      <c r="O531" s="580" t="s">
        <v>1154</v>
      </c>
      <c r="P531" s="571" t="str">
        <f>VLOOKUP(A531,'[1]Raw data'!$B:$BB,23,FALSE)</f>
        <v>JPY</v>
      </c>
      <c r="Q531" s="568" t="str">
        <f>VLOOKUP(A531,'[1]Raw data'!$B:$Z,2,FALSE)</f>
        <v>C49SZX20200165SX</v>
      </c>
      <c r="R531" s="568" t="str">
        <f>VLOOKUP(A531,'[1]Raw data'!$B:$Z,3,FALSE)</f>
        <v>益田科技</v>
      </c>
      <c r="S531" s="568" t="str">
        <f>VLOOKUP(A531,'[1]Raw data'!$B:$Z,4,FALSE)</f>
        <v>YSM20R(SV)-2</v>
      </c>
      <c r="T531" s="568" t="str">
        <f>VLOOKUP(A531,'[1]Raw data'!$B:$Z,8,FALSE)</f>
        <v>L-&gt;R</v>
      </c>
      <c r="U531" s="568" t="str">
        <f>VLOOKUP(A531,'[1]Raw data'!$B:$Z,9,FALSE)</f>
        <v>No</v>
      </c>
      <c r="V531" s="572" t="str">
        <f t="shared" si="75"/>
        <v>OK</v>
      </c>
      <c r="W531" s="568" t="str">
        <f>VLOOKUP(A531,'[1]Raw data'!$B:$AG,32,FALSE)</f>
        <v>DAP SZ</v>
      </c>
      <c r="X531" s="568">
        <f>VLOOKUP(A531,'[1]Raw data'!$B:$BA,31,FALSE)</f>
        <v>44093</v>
      </c>
      <c r="Y531" s="568" t="str">
        <f>VLOOKUP(A531,'[1]Raw data'!$B:$AS,39,FALSE)</f>
        <v>Yes</v>
      </c>
      <c r="Z531" s="664"/>
      <c r="AA531" s="665"/>
      <c r="AB531" s="666"/>
      <c r="AC531" s="652" t="s">
        <v>1172</v>
      </c>
      <c r="AD531" s="667">
        <v>301</v>
      </c>
      <c r="AE531" s="667">
        <v>10</v>
      </c>
      <c r="AF531" s="667">
        <v>302</v>
      </c>
      <c r="AG531" s="667">
        <v>10</v>
      </c>
      <c r="AH531" s="667"/>
      <c r="AI531" s="668"/>
      <c r="AN531" s="547"/>
      <c r="AO531" s="829" t="str">
        <f t="shared" si="76"/>
        <v>Yes</v>
      </c>
      <c r="AP531" s="259" t="str">
        <f t="shared" si="77"/>
        <v>NOV 20</v>
      </c>
      <c r="AQ531" s="547" t="str">
        <f t="shared" si="78"/>
        <v>有定金+有預留客戶</v>
      </c>
      <c r="AR531" s="259" t="str">
        <f t="shared" si="79"/>
        <v>Shipped_Stock</v>
      </c>
      <c r="AS531" s="259" t="str">
        <f t="shared" si="80"/>
        <v/>
      </c>
      <c r="AT531" s="259" t="str">
        <f t="shared" si="81"/>
        <v>益田科技</v>
      </c>
      <c r="AU531" s="259" t="str">
        <f t="shared" si="82"/>
        <v>C49SZX20200165SX</v>
      </c>
      <c r="AV531" s="259" t="str">
        <f t="shared" si="83"/>
        <v>Oct-22</v>
      </c>
    </row>
    <row r="532" spans="1:48" hidden="1">
      <c r="A532" s="564">
        <v>838</v>
      </c>
      <c r="B532" s="565" t="s">
        <v>280</v>
      </c>
      <c r="C532" s="565" t="s">
        <v>15</v>
      </c>
      <c r="D532" s="690">
        <v>110048</v>
      </c>
      <c r="E532" s="709" t="s">
        <v>1160</v>
      </c>
      <c r="F532" s="651" t="s">
        <v>58</v>
      </c>
      <c r="G532" s="652" t="s">
        <v>24</v>
      </c>
      <c r="H532" s="652" t="s">
        <v>307</v>
      </c>
      <c r="I532" s="580" t="s">
        <v>1173</v>
      </c>
      <c r="J532" s="580">
        <v>1</v>
      </c>
      <c r="K532" s="652" t="s">
        <v>437</v>
      </c>
      <c r="L532" s="680">
        <v>44126</v>
      </c>
      <c r="M532" s="670">
        <v>6.4100000000000004E-2</v>
      </c>
      <c r="N532" s="652" t="s">
        <v>1142</v>
      </c>
      <c r="O532" s="580" t="s">
        <v>1154</v>
      </c>
      <c r="P532" s="571" t="str">
        <f>VLOOKUP(A532,'[1]Raw data'!$B:$BB,23,FALSE)</f>
        <v>JPY</v>
      </c>
      <c r="Q532" s="568" t="str">
        <f>VLOOKUP(A532,'[1]Raw data'!$B:$Z,2,FALSE)</f>
        <v>C49SZX20200165SX</v>
      </c>
      <c r="R532" s="568" t="str">
        <f>VLOOKUP(A532,'[1]Raw data'!$B:$Z,3,FALSE)</f>
        <v>益田科技</v>
      </c>
      <c r="S532" s="568" t="str">
        <f>VLOOKUP(A532,'[1]Raw data'!$B:$Z,4,FALSE)</f>
        <v>YSM20R(SV)-2</v>
      </c>
      <c r="T532" s="568" t="str">
        <f>VLOOKUP(A532,'[1]Raw data'!$B:$Z,8,FALSE)</f>
        <v>L-&gt;R</v>
      </c>
      <c r="U532" s="568" t="str">
        <f>VLOOKUP(A532,'[1]Raw data'!$B:$Z,9,FALSE)</f>
        <v>No</v>
      </c>
      <c r="V532" s="572" t="str">
        <f t="shared" si="75"/>
        <v>OK</v>
      </c>
      <c r="W532" s="568" t="str">
        <f>VLOOKUP(A532,'[1]Raw data'!$B:$AG,32,FALSE)</f>
        <v>DAP SZ</v>
      </c>
      <c r="X532" s="568">
        <f>VLOOKUP(A532,'[1]Raw data'!$B:$BA,31,FALSE)</f>
        <v>44093</v>
      </c>
      <c r="Y532" s="568" t="str">
        <f>VLOOKUP(A532,'[1]Raw data'!$B:$AS,39,FALSE)</f>
        <v>Yes</v>
      </c>
      <c r="Z532" s="664"/>
      <c r="AA532" s="665"/>
      <c r="AB532" s="666"/>
      <c r="AC532" s="652" t="s">
        <v>1172</v>
      </c>
      <c r="AD532" s="667">
        <v>301</v>
      </c>
      <c r="AE532" s="667">
        <v>10</v>
      </c>
      <c r="AF532" s="667">
        <v>302</v>
      </c>
      <c r="AG532" s="667">
        <v>10</v>
      </c>
      <c r="AH532" s="667"/>
      <c r="AI532" s="668"/>
      <c r="AN532" s="547"/>
      <c r="AO532" s="829" t="str">
        <f t="shared" si="76"/>
        <v>Yes</v>
      </c>
      <c r="AP532" s="259" t="str">
        <f t="shared" si="77"/>
        <v>NOV 20</v>
      </c>
      <c r="AQ532" s="547" t="str">
        <f t="shared" si="78"/>
        <v>有定金+有預留客戶</v>
      </c>
      <c r="AR532" s="259" t="str">
        <f t="shared" si="79"/>
        <v>Shipped_Stock</v>
      </c>
      <c r="AS532" s="259" t="str">
        <f t="shared" si="80"/>
        <v/>
      </c>
      <c r="AT532" s="259" t="str">
        <f t="shared" si="81"/>
        <v>益田科技</v>
      </c>
      <c r="AU532" s="259" t="str">
        <f t="shared" si="82"/>
        <v>C49SZX20200165SX</v>
      </c>
      <c r="AV532" s="259" t="str">
        <f t="shared" si="83"/>
        <v>Oct-22</v>
      </c>
    </row>
    <row r="533" spans="1:48" hidden="1">
      <c r="A533" s="564">
        <v>839</v>
      </c>
      <c r="B533" s="565" t="s">
        <v>280</v>
      </c>
      <c r="C533" s="565" t="s">
        <v>15</v>
      </c>
      <c r="D533" s="690">
        <v>110048</v>
      </c>
      <c r="E533" s="709" t="s">
        <v>1160</v>
      </c>
      <c r="F533" s="651" t="s">
        <v>58</v>
      </c>
      <c r="G533" s="652" t="s">
        <v>24</v>
      </c>
      <c r="H533" s="652" t="s">
        <v>307</v>
      </c>
      <c r="I533" s="580" t="s">
        <v>1174</v>
      </c>
      <c r="J533" s="580">
        <v>1</v>
      </c>
      <c r="K533" s="652" t="s">
        <v>437</v>
      </c>
      <c r="L533" s="680">
        <v>44126</v>
      </c>
      <c r="M533" s="670">
        <v>6.4100000000000004E-2</v>
      </c>
      <c r="N533" s="652" t="s">
        <v>1142</v>
      </c>
      <c r="O533" s="580" t="s">
        <v>1154</v>
      </c>
      <c r="P533" s="571" t="str">
        <f>VLOOKUP(A533,'[1]Raw data'!$B:$BB,23,FALSE)</f>
        <v>JPY</v>
      </c>
      <c r="Q533" s="568" t="str">
        <f>VLOOKUP(A533,'[1]Raw data'!$B:$Z,2,FALSE)</f>
        <v>C49SZX20200165SX</v>
      </c>
      <c r="R533" s="568" t="str">
        <f>VLOOKUP(A533,'[1]Raw data'!$B:$Z,3,FALSE)</f>
        <v>益田科技</v>
      </c>
      <c r="S533" s="568" t="str">
        <f>VLOOKUP(A533,'[1]Raw data'!$B:$Z,4,FALSE)</f>
        <v>YSM20R(SV)-2</v>
      </c>
      <c r="T533" s="568" t="str">
        <f>VLOOKUP(A533,'[1]Raw data'!$B:$Z,8,FALSE)</f>
        <v>L-&gt;R</v>
      </c>
      <c r="U533" s="568" t="str">
        <f>VLOOKUP(A533,'[1]Raw data'!$B:$Z,9,FALSE)</f>
        <v>No</v>
      </c>
      <c r="V533" s="572" t="str">
        <f t="shared" si="75"/>
        <v>OK</v>
      </c>
      <c r="W533" s="568" t="str">
        <f>VLOOKUP(A533,'[1]Raw data'!$B:$AG,32,FALSE)</f>
        <v>DAP SZ</v>
      </c>
      <c r="X533" s="568">
        <f>VLOOKUP(A533,'[1]Raw data'!$B:$BA,31,FALSE)</f>
        <v>44093</v>
      </c>
      <c r="Y533" s="568" t="str">
        <f>VLOOKUP(A533,'[1]Raw data'!$B:$AS,39,FALSE)</f>
        <v>Yes</v>
      </c>
      <c r="Z533" s="664"/>
      <c r="AA533" s="665"/>
      <c r="AB533" s="666"/>
      <c r="AC533" s="652" t="s">
        <v>1172</v>
      </c>
      <c r="AD533" s="667">
        <v>301</v>
      </c>
      <c r="AE533" s="667">
        <v>10</v>
      </c>
      <c r="AF533" s="667">
        <v>302</v>
      </c>
      <c r="AG533" s="667">
        <v>10</v>
      </c>
      <c r="AH533" s="667"/>
      <c r="AI533" s="668"/>
      <c r="AN533" s="547"/>
      <c r="AO533" s="829" t="str">
        <f t="shared" si="76"/>
        <v>Yes</v>
      </c>
      <c r="AP533" s="259" t="str">
        <f t="shared" si="77"/>
        <v>NOV 20</v>
      </c>
      <c r="AQ533" s="547" t="str">
        <f t="shared" si="78"/>
        <v>有定金+有預留客戶</v>
      </c>
      <c r="AR533" s="259" t="str">
        <f t="shared" si="79"/>
        <v>Shipped_Stock</v>
      </c>
      <c r="AS533" s="259" t="str">
        <f t="shared" si="80"/>
        <v/>
      </c>
      <c r="AT533" s="259" t="str">
        <f t="shared" si="81"/>
        <v>益田科技</v>
      </c>
      <c r="AU533" s="259" t="str">
        <f t="shared" si="82"/>
        <v>C49SZX20200165SX</v>
      </c>
      <c r="AV533" s="259" t="str">
        <f t="shared" si="83"/>
        <v>Oct-22</v>
      </c>
    </row>
    <row r="534" spans="1:48" ht="13.5" hidden="1" thickBot="1">
      <c r="A534" s="564">
        <v>840</v>
      </c>
      <c r="B534" s="565" t="s">
        <v>280</v>
      </c>
      <c r="C534" s="565" t="s">
        <v>15</v>
      </c>
      <c r="D534" s="692">
        <v>110048</v>
      </c>
      <c r="E534" s="694" t="s">
        <v>1160</v>
      </c>
      <c r="F534" s="651" t="s">
        <v>58</v>
      </c>
      <c r="G534" s="652" t="s">
        <v>24</v>
      </c>
      <c r="H534" s="652" t="s">
        <v>307</v>
      </c>
      <c r="I534" s="580" t="s">
        <v>1175</v>
      </c>
      <c r="J534" s="580">
        <v>1</v>
      </c>
      <c r="K534" s="652" t="s">
        <v>437</v>
      </c>
      <c r="L534" s="680">
        <v>44126</v>
      </c>
      <c r="M534" s="670">
        <v>6.4100000000000004E-2</v>
      </c>
      <c r="N534" s="652" t="s">
        <v>1142</v>
      </c>
      <c r="O534" s="580" t="s">
        <v>1154</v>
      </c>
      <c r="P534" s="571" t="str">
        <f>VLOOKUP(A534,'[1]Raw data'!$B:$BB,23,FALSE)</f>
        <v>JPY</v>
      </c>
      <c r="Q534" s="568" t="str">
        <f>VLOOKUP(A534,'[1]Raw data'!$B:$Z,2,FALSE)</f>
        <v>C49SZX20200165SX</v>
      </c>
      <c r="R534" s="568" t="str">
        <f>VLOOKUP(A534,'[1]Raw data'!$B:$Z,3,FALSE)</f>
        <v>益田科技</v>
      </c>
      <c r="S534" s="568" t="str">
        <f>VLOOKUP(A534,'[1]Raw data'!$B:$Z,4,FALSE)</f>
        <v>YSM20R(SV)-2</v>
      </c>
      <c r="T534" s="568" t="str">
        <f>VLOOKUP(A534,'[1]Raw data'!$B:$Z,8,FALSE)</f>
        <v>L-&gt;R</v>
      </c>
      <c r="U534" s="568" t="str">
        <f>VLOOKUP(A534,'[1]Raw data'!$B:$Z,9,FALSE)</f>
        <v>No</v>
      </c>
      <c r="V534" s="572" t="str">
        <f t="shared" ref="V534:V597" si="84">IF(G534&amp;H534=T534&amp;U534,"OK","WRONG")</f>
        <v>OK</v>
      </c>
      <c r="W534" s="568" t="str">
        <f>VLOOKUP(A534,'[1]Raw data'!$B:$AG,32,FALSE)</f>
        <v>DAP SZ</v>
      </c>
      <c r="X534" s="568">
        <f>VLOOKUP(A534,'[1]Raw data'!$B:$BA,31,FALSE)</f>
        <v>44093</v>
      </c>
      <c r="Y534" s="568" t="str">
        <f>VLOOKUP(A534,'[1]Raw data'!$B:$AS,39,FALSE)</f>
        <v>Yes</v>
      </c>
      <c r="Z534" s="664"/>
      <c r="AA534" s="665"/>
      <c r="AB534" s="666"/>
      <c r="AC534" s="652" t="s">
        <v>1172</v>
      </c>
      <c r="AD534" s="667">
        <v>301</v>
      </c>
      <c r="AE534" s="667">
        <v>10</v>
      </c>
      <c r="AF534" s="667">
        <v>302</v>
      </c>
      <c r="AG534" s="667">
        <v>10</v>
      </c>
      <c r="AH534" s="667"/>
      <c r="AI534" s="668"/>
      <c r="AN534" s="547"/>
      <c r="AO534" s="829" t="str">
        <f t="shared" si="76"/>
        <v>Yes</v>
      </c>
      <c r="AP534" s="259" t="str">
        <f t="shared" si="77"/>
        <v>NOV 20</v>
      </c>
      <c r="AQ534" s="547" t="str">
        <f t="shared" si="78"/>
        <v>有定金+有預留客戶</v>
      </c>
      <c r="AR534" s="259" t="str">
        <f t="shared" si="79"/>
        <v>Shipped_Stock</v>
      </c>
      <c r="AS534" s="259" t="str">
        <f t="shared" si="80"/>
        <v/>
      </c>
      <c r="AT534" s="259" t="str">
        <f t="shared" si="81"/>
        <v>益田科技</v>
      </c>
      <c r="AU534" s="259" t="str">
        <f t="shared" si="82"/>
        <v>C49SZX20200165SX</v>
      </c>
      <c r="AV534" s="259" t="str">
        <f t="shared" si="83"/>
        <v>Oct-22</v>
      </c>
    </row>
    <row r="535" spans="1:48" hidden="1">
      <c r="A535" s="564">
        <v>750</v>
      </c>
      <c r="B535" s="669" t="s">
        <v>280</v>
      </c>
      <c r="C535" s="568" t="s">
        <v>15</v>
      </c>
      <c r="D535" s="695">
        <v>109996</v>
      </c>
      <c r="E535" s="696" t="s">
        <v>508</v>
      </c>
      <c r="F535" s="652" t="s">
        <v>256</v>
      </c>
      <c r="G535" s="652" t="s">
        <v>24</v>
      </c>
      <c r="H535" s="652" t="s">
        <v>26</v>
      </c>
      <c r="I535" s="580" t="s">
        <v>1176</v>
      </c>
      <c r="J535" s="580">
        <v>1</v>
      </c>
      <c r="K535" s="652" t="s">
        <v>746</v>
      </c>
      <c r="L535" s="662">
        <v>44128</v>
      </c>
      <c r="M535" s="670">
        <v>6.4799999999999996E-2</v>
      </c>
      <c r="N535" s="652" t="s">
        <v>1032</v>
      </c>
      <c r="O535" s="580" t="s">
        <v>1154</v>
      </c>
      <c r="P535" s="571" t="str">
        <f>VLOOKUP(A535,'[1]Raw data'!$B:$BB,23,FALSE)</f>
        <v>JPY</v>
      </c>
      <c r="Q535" s="568" t="str">
        <f>VLOOKUP(A535,'[1]Raw data'!$B:$Z,2,FALSE)</f>
        <v>C49SZX20200118SS</v>
      </c>
      <c r="R535" s="568" t="str">
        <f>VLOOKUP(A535,'[1]Raw data'!$B:$Z,3,FALSE)</f>
        <v>正创</v>
      </c>
      <c r="S535" s="568" t="str">
        <f>VLOOKUP(A535,'[1]Raw data'!$B:$Z,4,FALSE)</f>
        <v>YSM20R(SV)-2</v>
      </c>
      <c r="T535" s="568" t="str">
        <f>VLOOKUP(A535,'[1]Raw data'!$B:$Z,8,FALSE)</f>
        <v>L-&gt;R</v>
      </c>
      <c r="U535" s="568" t="str">
        <f>VLOOKUP(A535,'[1]Raw data'!$B:$Z,9,FALSE)</f>
        <v>No</v>
      </c>
      <c r="V535" s="572" t="str">
        <f t="shared" si="84"/>
        <v>OK</v>
      </c>
      <c r="W535" s="568" t="str">
        <f>VLOOKUP(A535,'[1]Raw data'!$B:$AG,32,FALSE)</f>
        <v>DAP SZ</v>
      </c>
      <c r="X535" s="568">
        <f>VLOOKUP(A535,'[1]Raw data'!$B:$BA,31,FALSE)</f>
        <v>44040</v>
      </c>
      <c r="Y535" s="568" t="str">
        <f>VLOOKUP(A535,'[1]Raw data'!$B:$AS,39,FALSE)</f>
        <v>Yes</v>
      </c>
      <c r="Z535" s="664"/>
      <c r="AA535" s="665"/>
      <c r="AB535" s="666"/>
      <c r="AC535" s="652" t="s">
        <v>734</v>
      </c>
      <c r="AD535" s="667">
        <v>301</v>
      </c>
      <c r="AE535" s="667">
        <v>20</v>
      </c>
      <c r="AF535" s="667"/>
      <c r="AG535" s="667"/>
      <c r="AH535" s="667"/>
      <c r="AI535" s="668"/>
      <c r="AN535" s="547"/>
      <c r="AO535" s="829" t="str">
        <f t="shared" si="76"/>
        <v>Yes</v>
      </c>
      <c r="AP535" s="259" t="str">
        <f t="shared" si="77"/>
        <v>OCT 20</v>
      </c>
      <c r="AQ535" s="547" t="str">
        <f t="shared" si="78"/>
        <v>有定金+有預留客戶</v>
      </c>
      <c r="AR535" s="259" t="str">
        <f t="shared" si="79"/>
        <v>Shipped_Stock</v>
      </c>
      <c r="AS535" s="259" t="str">
        <f t="shared" si="80"/>
        <v/>
      </c>
      <c r="AT535" s="259" t="str">
        <f t="shared" si="81"/>
        <v>正创</v>
      </c>
      <c r="AU535" s="259" t="str">
        <f t="shared" si="82"/>
        <v>C49SZX20200118SS</v>
      </c>
      <c r="AV535" s="259" t="str">
        <f t="shared" si="83"/>
        <v>Oct-24</v>
      </c>
    </row>
    <row r="536" spans="1:48" hidden="1">
      <c r="A536" s="564">
        <v>553</v>
      </c>
      <c r="B536" s="669" t="s">
        <v>280</v>
      </c>
      <c r="C536" s="568" t="s">
        <v>15</v>
      </c>
      <c r="D536" s="650">
        <v>109996</v>
      </c>
      <c r="E536" s="651" t="s">
        <v>508</v>
      </c>
      <c r="F536" s="652" t="s">
        <v>243</v>
      </c>
      <c r="G536" s="652" t="s">
        <v>24</v>
      </c>
      <c r="H536" s="652" t="s">
        <v>26</v>
      </c>
      <c r="I536" s="580" t="s">
        <v>1177</v>
      </c>
      <c r="J536" s="580">
        <v>1</v>
      </c>
      <c r="K536" s="652" t="s">
        <v>746</v>
      </c>
      <c r="L536" s="662">
        <v>44128</v>
      </c>
      <c r="M536" s="670">
        <v>6.4799999999999996E-2</v>
      </c>
      <c r="N536" s="652" t="s">
        <v>1032</v>
      </c>
      <c r="O536" s="580" t="s">
        <v>1154</v>
      </c>
      <c r="P536" s="571" t="str">
        <f>VLOOKUP(A536,'[1]Raw data'!$B:$BB,23,FALSE)</f>
        <v>JPY</v>
      </c>
      <c r="Q536" s="568" t="str">
        <f>VLOOKUP(A536,'[1]Raw data'!$B:$Z,2,FALSE)</f>
        <v>C49SZX20190187JY</v>
      </c>
      <c r="R536" s="568" t="str">
        <f>VLOOKUP(A536,'[1]Raw data'!$B:$Z,3,FALSE)</f>
        <v>宏润通</v>
      </c>
      <c r="S536" s="568" t="str">
        <f>VLOOKUP(A536,'[1]Raw data'!$B:$Z,4,FALSE)</f>
        <v>YSM20R(SV)-2</v>
      </c>
      <c r="T536" s="568" t="str">
        <f>VLOOKUP(A536,'[1]Raw data'!$B:$Z,8,FALSE)</f>
        <v>L-&gt;R</v>
      </c>
      <c r="U536" s="568" t="str">
        <f>VLOOKUP(A536,'[1]Raw data'!$B:$Z,9,FALSE)</f>
        <v>MVC</v>
      </c>
      <c r="V536" s="714" t="str">
        <f t="shared" si="84"/>
        <v>WRONG</v>
      </c>
      <c r="W536" s="568" t="str">
        <f>VLOOKUP(A536,'[1]Raw data'!$B:$AG,32,FALSE)</f>
        <v>DAP SZ</v>
      </c>
      <c r="X536" s="568">
        <f>VLOOKUP(A536,'[1]Raw data'!$B:$BA,31,FALSE)</f>
        <v>43819</v>
      </c>
      <c r="Y536" s="568" t="str">
        <f>VLOOKUP(A536,'[1]Raw data'!$B:$AS,39,FALSE)</f>
        <v>Yes</v>
      </c>
      <c r="Z536" s="664"/>
      <c r="AA536" s="665"/>
      <c r="AB536" s="666"/>
      <c r="AC536" s="715" t="s">
        <v>1178</v>
      </c>
      <c r="AD536" s="667">
        <v>301</v>
      </c>
      <c r="AE536" s="667">
        <v>10</v>
      </c>
      <c r="AF536" s="667">
        <v>302</v>
      </c>
      <c r="AG536" s="667">
        <v>10</v>
      </c>
      <c r="AH536" s="667"/>
      <c r="AI536" s="668"/>
      <c r="AN536" s="547"/>
      <c r="AO536" s="829" t="str">
        <f t="shared" si="76"/>
        <v>Yes</v>
      </c>
      <c r="AP536" s="259" t="str">
        <f t="shared" si="77"/>
        <v>OCT 20</v>
      </c>
      <c r="AQ536" s="547" t="str">
        <f t="shared" si="78"/>
        <v>有定金+有預留客戶</v>
      </c>
      <c r="AR536" s="259" t="str">
        <f t="shared" si="79"/>
        <v>Shipped_Stock</v>
      </c>
      <c r="AS536" s="259" t="str">
        <f t="shared" si="80"/>
        <v/>
      </c>
      <c r="AT536" s="259" t="str">
        <f t="shared" si="81"/>
        <v>宏润通</v>
      </c>
      <c r="AU536" s="259" t="str">
        <f t="shared" si="82"/>
        <v>C49SZX20190187JY</v>
      </c>
      <c r="AV536" s="259" t="str">
        <f t="shared" si="83"/>
        <v>Oct-24</v>
      </c>
    </row>
    <row r="537" spans="1:48" hidden="1">
      <c r="A537" s="564">
        <v>835</v>
      </c>
      <c r="B537" s="565" t="s">
        <v>280</v>
      </c>
      <c r="C537" s="568" t="s">
        <v>15</v>
      </c>
      <c r="D537" s="650">
        <v>109996</v>
      </c>
      <c r="E537" s="651" t="s">
        <v>508</v>
      </c>
      <c r="F537" s="652" t="s">
        <v>256</v>
      </c>
      <c r="G537" s="652" t="s">
        <v>24</v>
      </c>
      <c r="H537" s="652" t="s">
        <v>26</v>
      </c>
      <c r="I537" s="580" t="s">
        <v>1179</v>
      </c>
      <c r="J537" s="580">
        <v>1</v>
      </c>
      <c r="K537" s="652" t="s">
        <v>311</v>
      </c>
      <c r="L537" s="680">
        <v>44128</v>
      </c>
      <c r="M537" s="670">
        <v>6.4799999999999996E-2</v>
      </c>
      <c r="N537" s="652" t="s">
        <v>1142</v>
      </c>
      <c r="O537" s="580" t="s">
        <v>1154</v>
      </c>
      <c r="P537" s="571" t="str">
        <f>VLOOKUP(A537,'[1]Raw data'!$B:$BB,23,FALSE)</f>
        <v>JPY</v>
      </c>
      <c r="Q537" s="568" t="str">
        <f>VLOOKUP(A537,'[1]Raw data'!$B:$Z,2,FALSE)</f>
        <v>C49SZX20200159EC</v>
      </c>
      <c r="R537" s="568" t="str">
        <f>VLOOKUP(A537,'[1]Raw data'!$B:$Z,3,FALSE)</f>
        <v>伟志半导体</v>
      </c>
      <c r="S537" s="568" t="str">
        <f>VLOOKUP(A537,'[1]Raw data'!$B:$Z,4,FALSE)</f>
        <v>YSM20R(SV)-2</v>
      </c>
      <c r="T537" s="568" t="str">
        <f>VLOOKUP(A537,'[1]Raw data'!$B:$Z,8,FALSE)</f>
        <v>L-&gt;R</v>
      </c>
      <c r="U537" s="568" t="str">
        <f>VLOOKUP(A537,'[1]Raw data'!$B:$Z,9,FALSE)</f>
        <v>No</v>
      </c>
      <c r="V537" s="572" t="str">
        <f t="shared" si="84"/>
        <v>OK</v>
      </c>
      <c r="W537" s="568" t="str">
        <f>VLOOKUP(A537,'[1]Raw data'!$B:$AG,32,FALSE)</f>
        <v>DAP HZ</v>
      </c>
      <c r="X537" s="568">
        <f>VLOOKUP(A537,'[1]Raw data'!$B:$BA,31,FALSE)</f>
        <v>44091</v>
      </c>
      <c r="Y537" s="568" t="str">
        <f>VLOOKUP(A537,'[1]Raw data'!$B:$AS,39,FALSE)</f>
        <v>Yes</v>
      </c>
      <c r="Z537" s="664"/>
      <c r="AA537" s="665"/>
      <c r="AB537" s="666"/>
      <c r="AC537" s="652" t="s">
        <v>1180</v>
      </c>
      <c r="AD537" s="667">
        <v>301</v>
      </c>
      <c r="AE537" s="667">
        <v>10</v>
      </c>
      <c r="AF537" s="667">
        <v>302</v>
      </c>
      <c r="AG537" s="667">
        <v>10</v>
      </c>
      <c r="AH537" s="667"/>
      <c r="AI537" s="668"/>
      <c r="AN537" s="547"/>
      <c r="AO537" s="829" t="str">
        <f t="shared" si="76"/>
        <v>Yes</v>
      </c>
      <c r="AP537" s="259" t="str">
        <f t="shared" si="77"/>
        <v>NOV 20</v>
      </c>
      <c r="AQ537" s="547" t="str">
        <f t="shared" si="78"/>
        <v>有定金+有預留客戶</v>
      </c>
      <c r="AR537" s="259" t="str">
        <f t="shared" si="79"/>
        <v>Shipped_Stock</v>
      </c>
      <c r="AS537" s="259" t="str">
        <f t="shared" si="80"/>
        <v/>
      </c>
      <c r="AT537" s="259" t="str">
        <f t="shared" si="81"/>
        <v>伟志半导体</v>
      </c>
      <c r="AU537" s="259" t="str">
        <f t="shared" si="82"/>
        <v>C49SZX20200159EC</v>
      </c>
      <c r="AV537" s="259" t="str">
        <f t="shared" si="83"/>
        <v>Oct-24</v>
      </c>
    </row>
    <row r="538" spans="1:48" hidden="1">
      <c r="A538" s="564">
        <v>756</v>
      </c>
      <c r="B538" s="565" t="s">
        <v>927</v>
      </c>
      <c r="C538" s="568" t="s">
        <v>15</v>
      </c>
      <c r="D538" s="650">
        <v>109996</v>
      </c>
      <c r="E538" s="651" t="s">
        <v>508</v>
      </c>
      <c r="F538" s="652" t="s">
        <v>256</v>
      </c>
      <c r="G538" s="652" t="s">
        <v>24</v>
      </c>
      <c r="H538" s="652" t="s">
        <v>26</v>
      </c>
      <c r="I538" s="580" t="s">
        <v>1181</v>
      </c>
      <c r="J538" s="580">
        <v>1</v>
      </c>
      <c r="K538" s="652" t="s">
        <v>496</v>
      </c>
      <c r="L538" s="662">
        <v>44128</v>
      </c>
      <c r="M538" s="670">
        <v>6.4799999999999996E-2</v>
      </c>
      <c r="N538" s="652" t="s">
        <v>1142</v>
      </c>
      <c r="O538" s="580" t="s">
        <v>1154</v>
      </c>
      <c r="P538" s="571" t="str">
        <f>VLOOKUP(A538,'[1]Raw data'!$B:$BB,23,FALSE)</f>
        <v>JPY</v>
      </c>
      <c r="Q538" s="568" t="str">
        <f>VLOOKUP(A538,'[1]Raw data'!$B:$Z,2,FALSE)</f>
        <v>C49SZX20200099R1SS</v>
      </c>
      <c r="R538" s="568" t="str">
        <f>VLOOKUP(A538,'[1]Raw data'!$B:$Z,3,FALSE)</f>
        <v>金晟晖</v>
      </c>
      <c r="S538" s="568" t="str">
        <f>VLOOKUP(A538,'[1]Raw data'!$B:$Z,4,FALSE)</f>
        <v>YSM20R(SV)-2</v>
      </c>
      <c r="T538" s="568" t="str">
        <f>VLOOKUP(A538,'[1]Raw data'!$B:$Z,8,FALSE)</f>
        <v>L-&gt;R</v>
      </c>
      <c r="U538" s="568" t="str">
        <f>VLOOKUP(A538,'[1]Raw data'!$B:$Z,9,FALSE)</f>
        <v>MVC</v>
      </c>
      <c r="V538" s="572" t="str">
        <f t="shared" si="84"/>
        <v>WRONG</v>
      </c>
      <c r="W538" s="568" t="str">
        <f>VLOOKUP(A538,'[1]Raw data'!$B:$AG,32,FALSE)</f>
        <v>DAP SZ</v>
      </c>
      <c r="X538" s="568">
        <f>VLOOKUP(A538,'[1]Raw data'!$B:$BA,31,FALSE)</f>
        <v>44043</v>
      </c>
      <c r="Y538" s="568" t="str">
        <f>VLOOKUP(A538,'[1]Raw data'!$B:$AS,39,FALSE)</f>
        <v>Yes</v>
      </c>
      <c r="Z538" s="664"/>
      <c r="AA538" s="665"/>
      <c r="AB538" s="666"/>
      <c r="AC538" s="652" t="s">
        <v>1182</v>
      </c>
      <c r="AD538" s="667">
        <v>301</v>
      </c>
      <c r="AE538" s="667">
        <v>10</v>
      </c>
      <c r="AF538" s="667">
        <v>303</v>
      </c>
      <c r="AG538" s="667">
        <v>10</v>
      </c>
      <c r="AH538" s="667"/>
      <c r="AI538" s="668"/>
      <c r="AN538" s="547"/>
      <c r="AO538" s="829" t="str">
        <f t="shared" si="76"/>
        <v>Yes</v>
      </c>
      <c r="AP538" s="259" t="str">
        <f t="shared" si="77"/>
        <v>NOV 20</v>
      </c>
      <c r="AQ538" s="547" t="str">
        <f t="shared" si="78"/>
        <v>有定金+有預留客戶</v>
      </c>
      <c r="AR538" s="259" t="str">
        <f t="shared" si="79"/>
        <v>Shipped_Stock</v>
      </c>
      <c r="AS538" s="259" t="str">
        <f t="shared" si="80"/>
        <v/>
      </c>
      <c r="AT538" s="259" t="str">
        <f t="shared" si="81"/>
        <v>金晟晖</v>
      </c>
      <c r="AU538" s="259" t="str">
        <f t="shared" si="82"/>
        <v>C49SZX20200099R1SS</v>
      </c>
      <c r="AV538" s="259" t="str">
        <f t="shared" si="83"/>
        <v>Oct-24</v>
      </c>
    </row>
    <row r="539" spans="1:48" hidden="1">
      <c r="A539" s="564">
        <v>762</v>
      </c>
      <c r="B539" s="565" t="s">
        <v>280</v>
      </c>
      <c r="C539" s="568" t="s">
        <v>15</v>
      </c>
      <c r="D539" s="650" t="s">
        <v>1183</v>
      </c>
      <c r="E539" s="651" t="s">
        <v>508</v>
      </c>
      <c r="F539" s="652" t="s">
        <v>256</v>
      </c>
      <c r="G539" s="652" t="s">
        <v>24</v>
      </c>
      <c r="H539" s="652" t="s">
        <v>26</v>
      </c>
      <c r="I539" s="580" t="s">
        <v>1184</v>
      </c>
      <c r="J539" s="580">
        <v>1</v>
      </c>
      <c r="K539" s="652" t="s">
        <v>295</v>
      </c>
      <c r="L539" s="680">
        <v>44128</v>
      </c>
      <c r="M539" s="670">
        <v>6.4899999999999999E-2</v>
      </c>
      <c r="N539" s="652" t="s">
        <v>1142</v>
      </c>
      <c r="O539" s="580" t="s">
        <v>1154</v>
      </c>
      <c r="P539" s="571" t="str">
        <f>VLOOKUP(A539,'[1]Raw data'!$B:$BB,23,FALSE)</f>
        <v>RMB</v>
      </c>
      <c r="Q539" s="568" t="str">
        <f>VLOOKUP(A539,'[1]Raw data'!$B:$Z,2,FALSE)</f>
        <v>C49SZX20200121JL</v>
      </c>
      <c r="R539" s="568" t="str">
        <f>VLOOKUP(A539,'[1]Raw data'!$B:$Z,3,FALSE)</f>
        <v>刻锐</v>
      </c>
      <c r="S539" s="568" t="str">
        <f>VLOOKUP(A539,'[1]Raw data'!$B:$Z,4,FALSE)</f>
        <v>YSM20R(SV)-2</v>
      </c>
      <c r="T539" s="568" t="str">
        <f>VLOOKUP(A539,'[1]Raw data'!$B:$Z,8,FALSE)</f>
        <v>L-&gt;R</v>
      </c>
      <c r="U539" s="568" t="str">
        <f>VLOOKUP(A539,'[1]Raw data'!$B:$Z,9,FALSE)</f>
        <v>MVC</v>
      </c>
      <c r="V539" s="572" t="str">
        <f t="shared" si="84"/>
        <v>WRONG</v>
      </c>
      <c r="W539" s="568" t="str">
        <f>VLOOKUP(A539,'[1]Raw data'!$B:$AG,32,FALSE)</f>
        <v>含税到厂</v>
      </c>
      <c r="X539" s="568">
        <f>VLOOKUP(A539,'[1]Raw data'!$B:$BA,31,FALSE)</f>
        <v>44068</v>
      </c>
      <c r="Y539" s="568" t="str">
        <f>VLOOKUP(A539,'[1]Raw data'!$B:$AS,39,FALSE)</f>
        <v>Yes</v>
      </c>
      <c r="Z539" s="664"/>
      <c r="AA539" s="665"/>
      <c r="AB539" s="666"/>
      <c r="AC539" s="652" t="s">
        <v>1185</v>
      </c>
      <c r="AD539" s="667">
        <v>301</v>
      </c>
      <c r="AE539" s="667">
        <v>10</v>
      </c>
      <c r="AF539" s="667">
        <v>303</v>
      </c>
      <c r="AG539" s="667">
        <v>10</v>
      </c>
      <c r="AH539" s="667"/>
      <c r="AI539" s="668"/>
      <c r="AN539" s="547"/>
      <c r="AO539" s="829" t="str">
        <f t="shared" si="76"/>
        <v>Yes</v>
      </c>
      <c r="AP539" s="259" t="str">
        <f t="shared" si="77"/>
        <v>NOV 20</v>
      </c>
      <c r="AQ539" s="547" t="str">
        <f t="shared" si="78"/>
        <v>有定金+有預留客戶</v>
      </c>
      <c r="AR539" s="259" t="str">
        <f t="shared" si="79"/>
        <v>Shipped_Stock</v>
      </c>
      <c r="AS539" s="259" t="str">
        <f t="shared" si="80"/>
        <v/>
      </c>
      <c r="AT539" s="259" t="str">
        <f t="shared" si="81"/>
        <v>刻锐</v>
      </c>
      <c r="AU539" s="259" t="str">
        <f t="shared" si="82"/>
        <v>C49SZX20200121JL</v>
      </c>
      <c r="AV539" s="259" t="str">
        <f t="shared" si="83"/>
        <v>Oct-24</v>
      </c>
    </row>
    <row r="540" spans="1:48" hidden="1">
      <c r="A540" s="564">
        <v>791</v>
      </c>
      <c r="B540" s="669" t="s">
        <v>280</v>
      </c>
      <c r="C540" s="568" t="s">
        <v>15</v>
      </c>
      <c r="D540" s="650" t="s">
        <v>1183</v>
      </c>
      <c r="E540" s="651" t="s">
        <v>508</v>
      </c>
      <c r="F540" s="652" t="s">
        <v>256</v>
      </c>
      <c r="G540" s="652" t="s">
        <v>24</v>
      </c>
      <c r="H540" s="652" t="s">
        <v>26</v>
      </c>
      <c r="I540" s="580" t="s">
        <v>1186</v>
      </c>
      <c r="J540" s="580">
        <v>1</v>
      </c>
      <c r="K540" s="652" t="s">
        <v>746</v>
      </c>
      <c r="L540" s="662">
        <v>44128</v>
      </c>
      <c r="M540" s="670">
        <v>6.4899999999999999E-2</v>
      </c>
      <c r="N540" s="652" t="s">
        <v>1032</v>
      </c>
      <c r="O540" s="580" t="s">
        <v>1154</v>
      </c>
      <c r="P540" s="571" t="str">
        <f>VLOOKUP(A540,'[1]Raw data'!$B:$BB,23,FALSE)</f>
        <v>RMB</v>
      </c>
      <c r="Q540" s="568" t="str">
        <f>VLOOKUP(A540,'[1]Raw data'!$B:$Z,2,FALSE)</f>
        <v>C49SZX20200143MZ</v>
      </c>
      <c r="R540" s="568" t="str">
        <f>VLOOKUP(A540,'[1]Raw data'!$B:$Z,3,FALSE)</f>
        <v>斯路迅</v>
      </c>
      <c r="S540" s="568" t="str">
        <f>VLOOKUP(A540,'[1]Raw data'!$B:$Z,4,FALSE)</f>
        <v>YSM20R(SV)-2</v>
      </c>
      <c r="T540" s="568" t="str">
        <f>VLOOKUP(A540,'[1]Raw data'!$B:$Z,8,FALSE)</f>
        <v>L-&gt;R</v>
      </c>
      <c r="U540" s="568" t="str">
        <f>VLOOKUP(A540,'[1]Raw data'!$B:$Z,9,FALSE)</f>
        <v>MVC</v>
      </c>
      <c r="V540" s="572" t="str">
        <f t="shared" si="84"/>
        <v>WRONG</v>
      </c>
      <c r="W540" s="568" t="str">
        <f>VLOOKUP(A540,'[1]Raw data'!$B:$AG,32,FALSE)</f>
        <v>含税到厂</v>
      </c>
      <c r="X540" s="568">
        <f>VLOOKUP(A540,'[1]Raw data'!$B:$BA,31,FALSE)</f>
        <v>44065</v>
      </c>
      <c r="Y540" s="568" t="str">
        <f>VLOOKUP(A540,'[1]Raw data'!$B:$AS,39,FALSE)</f>
        <v>Yes</v>
      </c>
      <c r="Z540" s="664"/>
      <c r="AA540" s="665"/>
      <c r="AB540" s="666"/>
      <c r="AC540" s="652" t="s">
        <v>1187</v>
      </c>
      <c r="AD540" s="667">
        <v>301</v>
      </c>
      <c r="AE540" s="667">
        <v>10</v>
      </c>
      <c r="AF540" s="667">
        <v>312</v>
      </c>
      <c r="AG540" s="667">
        <v>10</v>
      </c>
      <c r="AH540" s="667"/>
      <c r="AI540" s="668"/>
      <c r="AN540" s="547"/>
      <c r="AO540" s="829" t="str">
        <f t="shared" si="76"/>
        <v>Yes</v>
      </c>
      <c r="AP540" s="259" t="str">
        <f t="shared" si="77"/>
        <v>OCT 20</v>
      </c>
      <c r="AQ540" s="547" t="str">
        <f t="shared" si="78"/>
        <v>有定金+有預留客戶</v>
      </c>
      <c r="AR540" s="259" t="str">
        <f t="shared" si="79"/>
        <v>Shipped_Stock</v>
      </c>
      <c r="AS540" s="259" t="str">
        <f t="shared" si="80"/>
        <v/>
      </c>
      <c r="AT540" s="259" t="str">
        <f t="shared" si="81"/>
        <v>斯路迅</v>
      </c>
      <c r="AU540" s="259" t="str">
        <f t="shared" si="82"/>
        <v>C49SZX20200143MZ</v>
      </c>
      <c r="AV540" s="259" t="str">
        <f t="shared" si="83"/>
        <v>Oct-24</v>
      </c>
    </row>
    <row r="541" spans="1:48" hidden="1">
      <c r="A541" s="564">
        <v>554</v>
      </c>
      <c r="B541" s="669" t="s">
        <v>280</v>
      </c>
      <c r="C541" s="568" t="s">
        <v>15</v>
      </c>
      <c r="D541" s="650">
        <v>109991</v>
      </c>
      <c r="E541" s="568" t="s">
        <v>886</v>
      </c>
      <c r="F541" s="652" t="s">
        <v>241</v>
      </c>
      <c r="G541" s="652" t="s">
        <v>18</v>
      </c>
      <c r="H541" s="652" t="s">
        <v>19</v>
      </c>
      <c r="I541" s="580" t="s">
        <v>1188</v>
      </c>
      <c r="J541" s="580">
        <v>1</v>
      </c>
      <c r="K541" s="652" t="s">
        <v>311</v>
      </c>
      <c r="L541" s="662">
        <v>44128</v>
      </c>
      <c r="M541" s="670" t="s">
        <v>906</v>
      </c>
      <c r="N541" s="652" t="s">
        <v>1032</v>
      </c>
      <c r="O541" s="652" t="s">
        <v>1154</v>
      </c>
      <c r="P541" s="571" t="str">
        <f>VLOOKUP(A541,'[1]Raw data'!$B:$BB,23,FALSE)</f>
        <v>JPY</v>
      </c>
      <c r="Q541" s="568" t="str">
        <f>VLOOKUP(A541,'[1]Raw data'!$B:$Z,2,FALSE)</f>
        <v>C49SZX20190187JY</v>
      </c>
      <c r="R541" s="568" t="str">
        <f>VLOOKUP(A541,'[1]Raw data'!$B:$Z,3,FALSE)</f>
        <v>宏润通</v>
      </c>
      <c r="S541" s="568" t="str">
        <f>VLOOKUP(A541,'[1]Raw data'!$B:$Z,4,FALSE)</f>
        <v>YSM10</v>
      </c>
      <c r="T541" s="568" t="str">
        <f>VLOOKUP(A541,'[1]Raw data'!$B:$Z,8,FALSE)</f>
        <v>L-&gt;R</v>
      </c>
      <c r="U541" s="568" t="str">
        <f>VLOOKUP(A541,'[1]Raw data'!$B:$Z,9,FALSE)</f>
        <v>MVC+ATS15</v>
      </c>
      <c r="V541" s="714" t="str">
        <f t="shared" si="84"/>
        <v>WRONG</v>
      </c>
      <c r="W541" s="568" t="str">
        <f>VLOOKUP(A541,'[1]Raw data'!$B:$AG,32,FALSE)</f>
        <v>DAP SZ</v>
      </c>
      <c r="X541" s="568">
        <f>VLOOKUP(A541,'[1]Raw data'!$B:$BA,31,FALSE)</f>
        <v>43819</v>
      </c>
      <c r="Y541" s="568" t="str">
        <f>VLOOKUP(A541,'[1]Raw data'!$B:$AS,39,FALSE)</f>
        <v>Yes</v>
      </c>
      <c r="Z541" s="664"/>
      <c r="AA541" s="665"/>
      <c r="AB541" s="666"/>
      <c r="AC541" s="715" t="s">
        <v>1178</v>
      </c>
      <c r="AD541" s="667">
        <v>301</v>
      </c>
      <c r="AE541" s="667">
        <v>10</v>
      </c>
      <c r="AF541" s="667"/>
      <c r="AG541" s="667"/>
      <c r="AH541" s="667"/>
      <c r="AI541" s="668"/>
      <c r="AN541" s="547"/>
      <c r="AO541" s="829" t="str">
        <f t="shared" si="76"/>
        <v>Yes</v>
      </c>
      <c r="AP541" s="259" t="str">
        <f t="shared" si="77"/>
        <v>OCT 20</v>
      </c>
      <c r="AQ541" s="547" t="str">
        <f t="shared" si="78"/>
        <v>有定金+有預留客戶</v>
      </c>
      <c r="AR541" s="259" t="str">
        <f t="shared" si="79"/>
        <v>Shipped_Stock</v>
      </c>
      <c r="AS541" s="259" t="str">
        <f t="shared" si="80"/>
        <v/>
      </c>
      <c r="AT541" s="259" t="str">
        <f t="shared" si="81"/>
        <v>宏润通</v>
      </c>
      <c r="AU541" s="259" t="str">
        <f t="shared" si="82"/>
        <v>C49SZX20190187JY</v>
      </c>
      <c r="AV541" s="259" t="str">
        <f t="shared" si="83"/>
        <v>Oct-24</v>
      </c>
    </row>
    <row r="542" spans="1:48" ht="22.5" hidden="1">
      <c r="A542" s="564">
        <v>986</v>
      </c>
      <c r="B542" s="565" t="s">
        <v>280</v>
      </c>
      <c r="C542" s="568" t="s">
        <v>15</v>
      </c>
      <c r="D542" s="650" t="s">
        <v>1189</v>
      </c>
      <c r="E542" s="568" t="s">
        <v>886</v>
      </c>
      <c r="F542" s="652" t="s">
        <v>241</v>
      </c>
      <c r="G542" s="652" t="s">
        <v>18</v>
      </c>
      <c r="H542" s="652" t="s">
        <v>19</v>
      </c>
      <c r="I542" s="580" t="s">
        <v>1190</v>
      </c>
      <c r="J542" s="580">
        <v>1</v>
      </c>
      <c r="K542" s="652" t="s">
        <v>437</v>
      </c>
      <c r="L542" s="680">
        <v>44128</v>
      </c>
      <c r="M542" s="683" t="s">
        <v>1191</v>
      </c>
      <c r="N542" s="652" t="s">
        <v>1124</v>
      </c>
      <c r="O542" s="580" t="s">
        <v>1154</v>
      </c>
      <c r="P542" s="571" t="str">
        <f>VLOOKUP(A542,'[1]Raw data'!$B:$BB,23,FALSE)</f>
        <v>JPY</v>
      </c>
      <c r="Q542" s="568" t="str">
        <f>VLOOKUP(A542,'[1]Raw data'!$B:$Z,2,FALSE)</f>
        <v>C49SZX20200232SX</v>
      </c>
      <c r="R542" s="568" t="str">
        <f>VLOOKUP(A542,'[1]Raw data'!$B:$Z,3,FALSE)</f>
        <v>永顺创</v>
      </c>
      <c r="S542" s="568" t="str">
        <f>VLOOKUP(A542,'[1]Raw data'!$B:$Z,4,FALSE)</f>
        <v>YSM10</v>
      </c>
      <c r="T542" s="568" t="str">
        <f>VLOOKUP(A542,'[1]Raw data'!$B:$Z,8,FALSE)</f>
        <v>L-&gt;R</v>
      </c>
      <c r="U542" s="568" t="str">
        <f>VLOOKUP(A542,'[1]Raw data'!$B:$Z,9,FALSE)</f>
        <v>MVC+ATS15</v>
      </c>
      <c r="V542" s="572" t="str">
        <f t="shared" si="84"/>
        <v>WRONG</v>
      </c>
      <c r="W542" s="568" t="str">
        <f>VLOOKUP(A542,'[1]Raw data'!$B:$AG,32,FALSE)</f>
        <v>DAP SZ</v>
      </c>
      <c r="X542" s="568">
        <f>VLOOKUP(A542,'[1]Raw data'!$B:$BA,31,FALSE)</f>
        <v>44166</v>
      </c>
      <c r="Y542" s="568" t="str">
        <f>VLOOKUP(A542,'[1]Raw data'!$B:$AS,39,FALSE)</f>
        <v>Yes</v>
      </c>
      <c r="Z542" s="664"/>
      <c r="AA542" s="665"/>
      <c r="AB542" s="666"/>
      <c r="AC542" s="568" t="s">
        <v>561</v>
      </c>
      <c r="AD542" s="667">
        <v>301</v>
      </c>
      <c r="AE542" s="667">
        <v>10</v>
      </c>
      <c r="AF542" s="667"/>
      <c r="AG542" s="667"/>
      <c r="AH542" s="667"/>
      <c r="AI542" s="668"/>
      <c r="AN542" s="547"/>
      <c r="AO542" s="829" t="str">
        <f t="shared" si="76"/>
        <v>Yes</v>
      </c>
      <c r="AP542" s="259" t="str">
        <f t="shared" si="77"/>
        <v>DEC 20</v>
      </c>
      <c r="AQ542" s="547" t="str">
        <f t="shared" si="78"/>
        <v>有定金+有預留客戶</v>
      </c>
      <c r="AR542" s="259" t="str">
        <f t="shared" si="79"/>
        <v>Shipped_Stock</v>
      </c>
      <c r="AS542" s="259" t="str">
        <f t="shared" si="80"/>
        <v/>
      </c>
      <c r="AT542" s="259" t="str">
        <f t="shared" si="81"/>
        <v>永顺创</v>
      </c>
      <c r="AU542" s="259" t="str">
        <f t="shared" si="82"/>
        <v>C49SZX20200232SX</v>
      </c>
      <c r="AV542" s="259" t="str">
        <f t="shared" si="83"/>
        <v>Oct-24</v>
      </c>
    </row>
    <row r="543" spans="1:48" hidden="1">
      <c r="A543" s="564">
        <v>927</v>
      </c>
      <c r="B543" s="565" t="s">
        <v>1125</v>
      </c>
      <c r="C543" s="568" t="s">
        <v>15</v>
      </c>
      <c r="D543" s="650" t="s">
        <v>1192</v>
      </c>
      <c r="E543" s="568" t="s">
        <v>886</v>
      </c>
      <c r="F543" s="652" t="s">
        <v>241</v>
      </c>
      <c r="G543" s="652" t="s">
        <v>18</v>
      </c>
      <c r="H543" s="652" t="s">
        <v>19</v>
      </c>
      <c r="I543" s="580" t="s">
        <v>1193</v>
      </c>
      <c r="J543" s="580">
        <v>1</v>
      </c>
      <c r="K543" s="652" t="s">
        <v>437</v>
      </c>
      <c r="L543" s="680">
        <v>44128</v>
      </c>
      <c r="M543" s="670">
        <v>6.4399999999999999E-2</v>
      </c>
      <c r="N543" s="652" t="s">
        <v>1127</v>
      </c>
      <c r="O543" s="580" t="s">
        <v>1154</v>
      </c>
      <c r="P543" s="571" t="str">
        <f>VLOOKUP(A543,'[1]Raw data'!$B:$BB,23,FALSE)</f>
        <v>JPY</v>
      </c>
      <c r="Q543" s="568" t="str">
        <f>VLOOKUP(A543,'[1]Raw data'!$B:$Z,2,FALSE)</f>
        <v>C49SZX20200210RSX</v>
      </c>
      <c r="R543" s="568" t="str">
        <f>VLOOKUP(A543,'[1]Raw data'!$B:$Z,3,FALSE)</f>
        <v>众鑫科</v>
      </c>
      <c r="S543" s="568" t="str">
        <f>VLOOKUP(A543,'[1]Raw data'!$B:$Z,4,FALSE)</f>
        <v>YSM10</v>
      </c>
      <c r="T543" s="568" t="str">
        <f>VLOOKUP(A543,'[1]Raw data'!$B:$Z,8,FALSE)</f>
        <v>R-&gt;L</v>
      </c>
      <c r="U543" s="568" t="str">
        <f>VLOOKUP(A543,'[1]Raw data'!$B:$Z,9,FALSE)</f>
        <v>MVC+ATS15</v>
      </c>
      <c r="V543" s="572" t="str">
        <f t="shared" si="84"/>
        <v>WRONG</v>
      </c>
      <c r="W543" s="568" t="str">
        <f>VLOOKUP(A543,'[1]Raw data'!$B:$AG,32,FALSE)</f>
        <v>DAP HZ</v>
      </c>
      <c r="X543" s="568">
        <f>VLOOKUP(A543,'[1]Raw data'!$B:$BA,31,FALSE)</f>
        <v>44147</v>
      </c>
      <c r="Y543" s="568" t="str">
        <f>VLOOKUP(A543,'[1]Raw data'!$B:$AS,39,FALSE)</f>
        <v>Yes</v>
      </c>
      <c r="Z543" s="664"/>
      <c r="AA543" s="665"/>
      <c r="AB543" s="666"/>
      <c r="AC543" s="652" t="s">
        <v>1194</v>
      </c>
      <c r="AD543" s="667">
        <v>301</v>
      </c>
      <c r="AE543" s="667">
        <v>10</v>
      </c>
      <c r="AF543" s="667"/>
      <c r="AG543" s="667"/>
      <c r="AH543" s="667"/>
      <c r="AI543" s="668"/>
      <c r="AN543" s="547"/>
      <c r="AO543" s="829" t="str">
        <f t="shared" si="76"/>
        <v>Yes</v>
      </c>
      <c r="AP543" s="259" t="str">
        <f t="shared" si="77"/>
        <v>JAN 21</v>
      </c>
      <c r="AQ543" s="547" t="str">
        <f t="shared" si="78"/>
        <v>有定金+有預留客戶</v>
      </c>
      <c r="AR543" s="259" t="str">
        <f t="shared" si="79"/>
        <v>Shipped_Stock</v>
      </c>
      <c r="AS543" s="259" t="str">
        <f t="shared" si="80"/>
        <v/>
      </c>
      <c r="AT543" s="259" t="str">
        <f t="shared" si="81"/>
        <v>众鑫科</v>
      </c>
      <c r="AU543" s="259" t="str">
        <f t="shared" si="82"/>
        <v>C49SZX20200210RSX</v>
      </c>
      <c r="AV543" s="259" t="str">
        <f t="shared" si="83"/>
        <v>Oct-24</v>
      </c>
    </row>
    <row r="544" spans="1:48" hidden="1">
      <c r="A544" s="564">
        <v>783</v>
      </c>
      <c r="B544" s="669" t="s">
        <v>927</v>
      </c>
      <c r="C544" s="568" t="s">
        <v>15</v>
      </c>
      <c r="D544" s="650">
        <v>109991</v>
      </c>
      <c r="E544" s="568" t="s">
        <v>886</v>
      </c>
      <c r="F544" s="652" t="s">
        <v>241</v>
      </c>
      <c r="G544" s="652" t="s">
        <v>18</v>
      </c>
      <c r="H544" s="652" t="s">
        <v>26</v>
      </c>
      <c r="I544" s="580" t="s">
        <v>1195</v>
      </c>
      <c r="J544" s="580">
        <v>1</v>
      </c>
      <c r="K544" s="652" t="s">
        <v>437</v>
      </c>
      <c r="L544" s="662">
        <v>44128</v>
      </c>
      <c r="M544" s="670" t="s">
        <v>906</v>
      </c>
      <c r="N544" s="652" t="s">
        <v>1032</v>
      </c>
      <c r="O544" s="652" t="s">
        <v>1154</v>
      </c>
      <c r="P544" s="571" t="str">
        <f>VLOOKUP(A544,'[1]Raw data'!$B:$BB,23,FALSE)</f>
        <v>JPY</v>
      </c>
      <c r="Q544" s="568" t="str">
        <f>VLOOKUP(A544,'[1]Raw data'!$B:$Z,2,FALSE)</f>
        <v>C49SZX20200138JZ</v>
      </c>
      <c r="R544" s="568" t="str">
        <f>VLOOKUP(A544,'[1]Raw data'!$B:$Z,3,FALSE)</f>
        <v>斯迈</v>
      </c>
      <c r="S544" s="568" t="str">
        <f>VLOOKUP(A544,'[1]Raw data'!$B:$Z,4,FALSE)</f>
        <v>YSM10</v>
      </c>
      <c r="T544" s="568" t="str">
        <f>VLOOKUP(A544,'[1]Raw data'!$B:$Z,8,FALSE)</f>
        <v>L-&gt;R</v>
      </c>
      <c r="U544" s="568" t="str">
        <f>VLOOKUP(A544,'[1]Raw data'!$B:$Z,9,FALSE)</f>
        <v>MVC</v>
      </c>
      <c r="V544" s="572" t="str">
        <f t="shared" si="84"/>
        <v>WRONG</v>
      </c>
      <c r="W544" s="568" t="str">
        <f>VLOOKUP(A544,'[1]Raw data'!$B:$AG,32,FALSE)</f>
        <v>DAP GZ</v>
      </c>
      <c r="X544" s="568">
        <f>VLOOKUP(A544,'[1]Raw data'!$B:$BA,31,FALSE)</f>
        <v>44061</v>
      </c>
      <c r="Y544" s="568" t="str">
        <f>VLOOKUP(A544,'[1]Raw data'!$B:$AS,39,FALSE)</f>
        <v>Yes</v>
      </c>
      <c r="Z544" s="664"/>
      <c r="AA544" s="665"/>
      <c r="AB544" s="666"/>
      <c r="AC544" s="652" t="s">
        <v>1105</v>
      </c>
      <c r="AD544" s="667">
        <v>301</v>
      </c>
      <c r="AE544" s="667">
        <v>10</v>
      </c>
      <c r="AF544" s="667"/>
      <c r="AG544" s="667"/>
      <c r="AH544" s="667"/>
      <c r="AI544" s="668"/>
      <c r="AN544" s="547"/>
      <c r="AO544" s="829" t="str">
        <f t="shared" si="76"/>
        <v>Yes</v>
      </c>
      <c r="AP544" s="259" t="str">
        <f t="shared" si="77"/>
        <v>OCT 20</v>
      </c>
      <c r="AQ544" s="547" t="str">
        <f t="shared" si="78"/>
        <v>有定金+有預留客戶</v>
      </c>
      <c r="AR544" s="259" t="str">
        <f t="shared" si="79"/>
        <v>Shipped_Stock</v>
      </c>
      <c r="AS544" s="259" t="str">
        <f t="shared" si="80"/>
        <v/>
      </c>
      <c r="AT544" s="259" t="str">
        <f t="shared" si="81"/>
        <v>斯迈</v>
      </c>
      <c r="AU544" s="259" t="str">
        <f t="shared" si="82"/>
        <v>C49SZX20200138JZ</v>
      </c>
      <c r="AV544" s="259" t="str">
        <f t="shared" si="83"/>
        <v>Oct-24</v>
      </c>
    </row>
    <row r="545" spans="1:48" hidden="1">
      <c r="A545" s="564">
        <v>784</v>
      </c>
      <c r="B545" s="669" t="s">
        <v>927</v>
      </c>
      <c r="C545" s="568" t="s">
        <v>15</v>
      </c>
      <c r="D545" s="650">
        <v>109991</v>
      </c>
      <c r="E545" s="568" t="s">
        <v>886</v>
      </c>
      <c r="F545" s="652" t="s">
        <v>241</v>
      </c>
      <c r="G545" s="652" t="s">
        <v>18</v>
      </c>
      <c r="H545" s="652" t="s">
        <v>26</v>
      </c>
      <c r="I545" s="580" t="s">
        <v>1196</v>
      </c>
      <c r="J545" s="580">
        <v>1</v>
      </c>
      <c r="K545" s="652" t="s">
        <v>437</v>
      </c>
      <c r="L545" s="662">
        <v>44128</v>
      </c>
      <c r="M545" s="670" t="s">
        <v>906</v>
      </c>
      <c r="N545" s="652" t="s">
        <v>1032</v>
      </c>
      <c r="O545" s="652" t="s">
        <v>1154</v>
      </c>
      <c r="P545" s="571" t="str">
        <f>VLOOKUP(A545,'[1]Raw data'!$B:$BB,23,FALSE)</f>
        <v>JPY</v>
      </c>
      <c r="Q545" s="568" t="str">
        <f>VLOOKUP(A545,'[1]Raw data'!$B:$Z,2,FALSE)</f>
        <v>C49SZX20200138JZ</v>
      </c>
      <c r="R545" s="568" t="str">
        <f>VLOOKUP(A545,'[1]Raw data'!$B:$Z,3,FALSE)</f>
        <v>斯迈</v>
      </c>
      <c r="S545" s="568" t="str">
        <f>VLOOKUP(A545,'[1]Raw data'!$B:$Z,4,FALSE)</f>
        <v>YSM10</v>
      </c>
      <c r="T545" s="568" t="str">
        <f>VLOOKUP(A545,'[1]Raw data'!$B:$Z,8,FALSE)</f>
        <v>L-&gt;R</v>
      </c>
      <c r="U545" s="568" t="str">
        <f>VLOOKUP(A545,'[1]Raw data'!$B:$Z,9,FALSE)</f>
        <v>MVC</v>
      </c>
      <c r="V545" s="572" t="str">
        <f t="shared" si="84"/>
        <v>WRONG</v>
      </c>
      <c r="W545" s="568" t="str">
        <f>VLOOKUP(A545,'[1]Raw data'!$B:$AG,32,FALSE)</f>
        <v>DAP GZ</v>
      </c>
      <c r="X545" s="568">
        <f>VLOOKUP(A545,'[1]Raw data'!$B:$BA,31,FALSE)</f>
        <v>44061</v>
      </c>
      <c r="Y545" s="568" t="str">
        <f>VLOOKUP(A545,'[1]Raw data'!$B:$AS,39,FALSE)</f>
        <v>Yes</v>
      </c>
      <c r="Z545" s="664"/>
      <c r="AA545" s="665"/>
      <c r="AB545" s="666"/>
      <c r="AC545" s="652" t="s">
        <v>1105</v>
      </c>
      <c r="AD545" s="667">
        <v>301</v>
      </c>
      <c r="AE545" s="667">
        <v>10</v>
      </c>
      <c r="AF545" s="667"/>
      <c r="AG545" s="667"/>
      <c r="AH545" s="667"/>
      <c r="AI545" s="668"/>
      <c r="AN545" s="547"/>
      <c r="AO545" s="829" t="str">
        <f t="shared" si="76"/>
        <v>Yes</v>
      </c>
      <c r="AP545" s="259" t="str">
        <f t="shared" si="77"/>
        <v>OCT 20</v>
      </c>
      <c r="AQ545" s="547" t="str">
        <f t="shared" si="78"/>
        <v>有定金+有預留客戶</v>
      </c>
      <c r="AR545" s="259" t="str">
        <f t="shared" si="79"/>
        <v>Shipped_Stock</v>
      </c>
      <c r="AS545" s="259" t="str">
        <f t="shared" si="80"/>
        <v/>
      </c>
      <c r="AT545" s="259" t="str">
        <f t="shared" si="81"/>
        <v>斯迈</v>
      </c>
      <c r="AU545" s="259" t="str">
        <f t="shared" si="82"/>
        <v>C49SZX20200138JZ</v>
      </c>
      <c r="AV545" s="259" t="str">
        <f t="shared" si="83"/>
        <v>Oct-24</v>
      </c>
    </row>
    <row r="546" spans="1:48" hidden="1">
      <c r="A546" s="564">
        <v>790</v>
      </c>
      <c r="B546" s="669" t="s">
        <v>927</v>
      </c>
      <c r="C546" s="568" t="s">
        <v>15</v>
      </c>
      <c r="D546" s="650">
        <v>110046</v>
      </c>
      <c r="E546" s="651" t="s">
        <v>1197</v>
      </c>
      <c r="F546" s="652" t="s">
        <v>58</v>
      </c>
      <c r="G546" s="652" t="s">
        <v>18</v>
      </c>
      <c r="H546" s="652" t="s">
        <v>307</v>
      </c>
      <c r="I546" s="580" t="s">
        <v>1198</v>
      </c>
      <c r="J546" s="580">
        <v>1</v>
      </c>
      <c r="K546" s="652" t="s">
        <v>746</v>
      </c>
      <c r="L546" s="662">
        <v>44128</v>
      </c>
      <c r="M546" s="670">
        <v>6.5000000000000002E-2</v>
      </c>
      <c r="N546" s="652" t="s">
        <v>1032</v>
      </c>
      <c r="O546" s="652" t="s">
        <v>1154</v>
      </c>
      <c r="P546" s="571" t="str">
        <f>VLOOKUP(A546,'[1]Raw data'!$B:$BB,23,FALSE)</f>
        <v>RMB</v>
      </c>
      <c r="Q546" s="568" t="str">
        <f>VLOOKUP(A546,'[1]Raw data'!$B:$Z,2,FALSE)</f>
        <v>C49SZX20200132SX</v>
      </c>
      <c r="R546" s="568" t="str">
        <f>VLOOKUP(A546,'[1]Raw data'!$B:$Z,3,FALSE)</f>
        <v>鹏鑫达（end user：阿克西姆）</v>
      </c>
      <c r="S546" s="568" t="str">
        <f>VLOOKUP(A546,'[1]Raw data'!$B:$Z,4,FALSE)</f>
        <v>YSM20R-2</v>
      </c>
      <c r="T546" s="568" t="str">
        <f>VLOOKUP(A546,'[1]Raw data'!$B:$Z,8,FALSE)</f>
        <v>R-&gt;L</v>
      </c>
      <c r="U546" s="568" t="str">
        <f>VLOOKUP(A546,'[1]Raw data'!$B:$Z,9,FALSE)</f>
        <v>MVC</v>
      </c>
      <c r="V546" s="572" t="str">
        <f t="shared" si="84"/>
        <v>WRONG</v>
      </c>
      <c r="W546" s="568" t="str">
        <f>VLOOKUP(A546,'[1]Raw data'!$B:$AG,32,FALSE)</f>
        <v>含税到厂</v>
      </c>
      <c r="X546" s="568">
        <f>VLOOKUP(A546,'[1]Raw data'!$B:$BA,31,FALSE)</f>
        <v>44060</v>
      </c>
      <c r="Y546" s="568" t="str">
        <f>VLOOKUP(A546,'[1]Raw data'!$B:$AS,39,FALSE)</f>
        <v>Yes</v>
      </c>
      <c r="Z546" s="671"/>
      <c r="AA546" s="672"/>
      <c r="AB546" s="673"/>
      <c r="AC546" s="568" t="s">
        <v>678</v>
      </c>
      <c r="AD546" s="667">
        <v>301</v>
      </c>
      <c r="AE546" s="667">
        <v>20</v>
      </c>
      <c r="AF546" s="667"/>
      <c r="AG546" s="667"/>
      <c r="AH546" s="667"/>
      <c r="AI546" s="668"/>
      <c r="AN546" s="547"/>
      <c r="AO546" s="829" t="str">
        <f t="shared" si="76"/>
        <v>Yes</v>
      </c>
      <c r="AP546" s="259" t="str">
        <f t="shared" si="77"/>
        <v>OCT 20</v>
      </c>
      <c r="AQ546" s="547" t="str">
        <f t="shared" si="78"/>
        <v>有定金+有預留客戶</v>
      </c>
      <c r="AR546" s="259" t="str">
        <f t="shared" si="79"/>
        <v>Shipped_Stock</v>
      </c>
      <c r="AS546" s="259" t="str">
        <f t="shared" si="80"/>
        <v/>
      </c>
      <c r="AT546" s="259" t="str">
        <f t="shared" si="81"/>
        <v>鹏鑫达（end user：阿克西姆）</v>
      </c>
      <c r="AU546" s="259" t="str">
        <f t="shared" si="82"/>
        <v>C49SZX20200132SX</v>
      </c>
      <c r="AV546" s="259" t="str">
        <f t="shared" si="83"/>
        <v>Oct-24</v>
      </c>
    </row>
    <row r="547" spans="1:48" hidden="1">
      <c r="A547" s="564">
        <v>751</v>
      </c>
      <c r="B547" s="669" t="s">
        <v>927</v>
      </c>
      <c r="C547" s="568" t="s">
        <v>15</v>
      </c>
      <c r="D547" s="650">
        <v>110033</v>
      </c>
      <c r="E547" s="651" t="s">
        <v>1199</v>
      </c>
      <c r="F547" s="652" t="s">
        <v>154</v>
      </c>
      <c r="G547" s="652" t="s">
        <v>24</v>
      </c>
      <c r="H547" s="652" t="s">
        <v>1200</v>
      </c>
      <c r="I547" s="580" t="s">
        <v>1201</v>
      </c>
      <c r="J547" s="580">
        <v>1</v>
      </c>
      <c r="K547" s="652" t="s">
        <v>746</v>
      </c>
      <c r="L547" s="662">
        <v>44128</v>
      </c>
      <c r="M547" s="670">
        <v>6.5000000000000002E-2</v>
      </c>
      <c r="N547" s="652" t="s">
        <v>1032</v>
      </c>
      <c r="O547" s="652" t="s">
        <v>1154</v>
      </c>
      <c r="P547" s="571" t="str">
        <f>VLOOKUP(A547,'[1]Raw data'!$B:$BB,23,FALSE)</f>
        <v>RMB</v>
      </c>
      <c r="Q547" s="568" t="str">
        <f>VLOOKUP(A547,'[1]Raw data'!$B:$Z,2,FALSE)</f>
        <v>BS-SZGZ20071306-ZB</v>
      </c>
      <c r="R547" s="568" t="str">
        <f>VLOOKUP(A547,'[1]Raw data'!$B:$Z,3,FALSE)</f>
        <v>银宝山新</v>
      </c>
      <c r="S547" s="568" t="str">
        <f>VLOOKUP(A547,'[1]Raw data'!$B:$Z,4,FALSE)</f>
        <v>YSM20WR-2</v>
      </c>
      <c r="T547" s="568" t="str">
        <f>VLOOKUP(A547,'[1]Raw data'!$B:$Z,8,FALSE)</f>
        <v>L-&gt;R</v>
      </c>
      <c r="U547" s="568" t="str">
        <f>VLOOKUP(A547,'[1]Raw data'!$B:$Z,9,FALSE)</f>
        <v>cATS10+MVC</v>
      </c>
      <c r="V547" s="572" t="str">
        <f t="shared" si="84"/>
        <v>WRONG</v>
      </c>
      <c r="W547" s="568" t="str">
        <f>VLOOKUP(A547,'[1]Raw data'!$B:$AG,32,FALSE)</f>
        <v>DDP SZ</v>
      </c>
      <c r="X547" s="568">
        <f>VLOOKUP(A547,'[1]Raw data'!$B:$BA,31,FALSE)</f>
        <v>44041</v>
      </c>
      <c r="Y547" s="568" t="str">
        <f>VLOOKUP(A547,'[1]Raw data'!$B:$AS,39,FALSE)</f>
        <v>Yes</v>
      </c>
      <c r="Z547" s="671"/>
      <c r="AA547" s="672"/>
      <c r="AB547" s="673"/>
      <c r="AC547" s="568" t="s">
        <v>678</v>
      </c>
      <c r="AD547" s="667"/>
      <c r="AE547" s="667"/>
      <c r="AF547" s="667"/>
      <c r="AG547" s="667"/>
      <c r="AH547" s="667"/>
      <c r="AI547" s="668"/>
      <c r="AN547" s="547"/>
      <c r="AO547" s="829" t="str">
        <f t="shared" si="76"/>
        <v>Yes</v>
      </c>
      <c r="AP547" s="259" t="str">
        <f t="shared" si="77"/>
        <v>OCT 20</v>
      </c>
      <c r="AQ547" s="547" t="str">
        <f t="shared" si="78"/>
        <v>有定金+有預留客戶</v>
      </c>
      <c r="AR547" s="259" t="str">
        <f t="shared" si="79"/>
        <v>Shipped_Stock</v>
      </c>
      <c r="AS547" s="259" t="str">
        <f t="shared" si="80"/>
        <v/>
      </c>
      <c r="AT547" s="259" t="str">
        <f t="shared" si="81"/>
        <v>银宝山新</v>
      </c>
      <c r="AU547" s="259" t="str">
        <f t="shared" si="82"/>
        <v>BS-SZGZ20071306-ZB</v>
      </c>
      <c r="AV547" s="259" t="str">
        <f t="shared" si="83"/>
        <v>Oct-24</v>
      </c>
    </row>
    <row r="548" spans="1:48" hidden="1">
      <c r="A548" s="564">
        <v>785</v>
      </c>
      <c r="B548" s="669" t="s">
        <v>927</v>
      </c>
      <c r="C548" s="568" t="s">
        <v>15</v>
      </c>
      <c r="D548" s="650">
        <v>109992</v>
      </c>
      <c r="E548" s="568" t="s">
        <v>886</v>
      </c>
      <c r="F548" s="652" t="s">
        <v>241</v>
      </c>
      <c r="G548" s="652" t="s">
        <v>18</v>
      </c>
      <c r="H548" s="652" t="s">
        <v>26</v>
      </c>
      <c r="I548" s="580" t="s">
        <v>1202</v>
      </c>
      <c r="J548" s="580">
        <v>1</v>
      </c>
      <c r="K548" s="652" t="s">
        <v>746</v>
      </c>
      <c r="L548" s="710">
        <v>44137</v>
      </c>
      <c r="M548" s="670">
        <v>6.4799999999999996E-2</v>
      </c>
      <c r="N548" s="652" t="s">
        <v>1142</v>
      </c>
      <c r="O548" s="652" t="s">
        <v>1154</v>
      </c>
      <c r="P548" s="571" t="str">
        <f>VLOOKUP(A548,'[1]Raw data'!$B:$BB,23,FALSE)</f>
        <v>JPY</v>
      </c>
      <c r="Q548" s="568" t="str">
        <f>VLOOKUP(A548,'[1]Raw data'!$B:$Z,2,FALSE)</f>
        <v>C49SZX20200138JZ</v>
      </c>
      <c r="R548" s="568" t="str">
        <f>VLOOKUP(A548,'[1]Raw data'!$B:$Z,3,FALSE)</f>
        <v>斯迈</v>
      </c>
      <c r="S548" s="568" t="str">
        <f>VLOOKUP(A548,'[1]Raw data'!$B:$Z,4,FALSE)</f>
        <v>YSM10</v>
      </c>
      <c r="T548" s="568" t="str">
        <f>VLOOKUP(A548,'[1]Raw data'!$B:$Z,8,FALSE)</f>
        <v>L-&gt;R</v>
      </c>
      <c r="U548" s="568" t="str">
        <f>VLOOKUP(A548,'[1]Raw data'!$B:$Z,9,FALSE)</f>
        <v>MVC</v>
      </c>
      <c r="V548" s="572" t="str">
        <f t="shared" si="84"/>
        <v>WRONG</v>
      </c>
      <c r="W548" s="568" t="str">
        <f>VLOOKUP(A548,'[1]Raw data'!$B:$AG,32,FALSE)</f>
        <v>DAP GZ</v>
      </c>
      <c r="X548" s="568">
        <f>VLOOKUP(A548,'[1]Raw data'!$B:$BA,31,FALSE)</f>
        <v>44061</v>
      </c>
      <c r="Y548" s="568" t="str">
        <f>VLOOKUP(A548,'[1]Raw data'!$B:$AS,39,FALSE)</f>
        <v>Yes</v>
      </c>
      <c r="Z548" s="664"/>
      <c r="AA548" s="665"/>
      <c r="AB548" s="666"/>
      <c r="AC548" s="652" t="s">
        <v>1105</v>
      </c>
      <c r="AD548" s="667">
        <v>301</v>
      </c>
      <c r="AE548" s="667">
        <v>10</v>
      </c>
      <c r="AF548" s="667"/>
      <c r="AG548" s="667"/>
      <c r="AH548" s="667"/>
      <c r="AI548" s="668"/>
      <c r="AN548" s="547"/>
      <c r="AO548" s="829" t="str">
        <f t="shared" si="76"/>
        <v>Yes</v>
      </c>
      <c r="AP548" s="259" t="str">
        <f t="shared" si="77"/>
        <v>NOV 20</v>
      </c>
      <c r="AQ548" s="547" t="str">
        <f t="shared" si="78"/>
        <v>有定金+有預留客戶</v>
      </c>
      <c r="AR548" s="259" t="str">
        <f t="shared" si="79"/>
        <v>Shipped_Stock</v>
      </c>
      <c r="AS548" s="259" t="str">
        <f t="shared" si="80"/>
        <v/>
      </c>
      <c r="AT548" s="259" t="str">
        <f t="shared" si="81"/>
        <v>斯迈</v>
      </c>
      <c r="AU548" s="259" t="str">
        <f t="shared" si="82"/>
        <v>C49SZX20200138JZ</v>
      </c>
      <c r="AV548" s="259" t="str">
        <f t="shared" si="83"/>
        <v>Nov-02</v>
      </c>
    </row>
    <row r="549" spans="1:48" hidden="1">
      <c r="A549" s="564">
        <v>749</v>
      </c>
      <c r="B549" s="669" t="s">
        <v>927</v>
      </c>
      <c r="C549" s="568" t="s">
        <v>15</v>
      </c>
      <c r="D549" s="650">
        <v>109992</v>
      </c>
      <c r="E549" s="568" t="s">
        <v>886</v>
      </c>
      <c r="F549" s="652" t="s">
        <v>241</v>
      </c>
      <c r="G549" s="652" t="s">
        <v>18</v>
      </c>
      <c r="H549" s="652" t="s">
        <v>26</v>
      </c>
      <c r="I549" s="580" t="s">
        <v>1203</v>
      </c>
      <c r="J549" s="580">
        <v>1</v>
      </c>
      <c r="K549" s="652" t="s">
        <v>746</v>
      </c>
      <c r="L549" s="710">
        <v>44137</v>
      </c>
      <c r="M549" s="670">
        <v>6.4799999999999996E-2</v>
      </c>
      <c r="N549" s="652" t="s">
        <v>1142</v>
      </c>
      <c r="O549" s="652" t="s">
        <v>1154</v>
      </c>
      <c r="P549" s="571" t="str">
        <f>VLOOKUP(A549,'[1]Raw data'!$B:$BB,23,FALSE)</f>
        <v>JPY</v>
      </c>
      <c r="Q549" s="568" t="str">
        <f>VLOOKUP(A549,'[1]Raw data'!$B:$Z,2,FALSE)</f>
        <v>C49SZX20200120SX</v>
      </c>
      <c r="R549" s="568" t="str">
        <f>VLOOKUP(A549,'[1]Raw data'!$B:$Z,3,FALSE)</f>
        <v>凌鑫</v>
      </c>
      <c r="S549" s="568" t="str">
        <f>VLOOKUP(A549,'[1]Raw data'!$B:$Z,4,FALSE)</f>
        <v>YSM10</v>
      </c>
      <c r="T549" s="568" t="str">
        <f>VLOOKUP(A549,'[1]Raw data'!$B:$Z,8,FALSE)</f>
        <v>L-&gt;R</v>
      </c>
      <c r="U549" s="568" t="str">
        <f>VLOOKUP(A549,'[1]Raw data'!$B:$Z,9,FALSE)</f>
        <v>MVC</v>
      </c>
      <c r="V549" s="572" t="str">
        <f t="shared" si="84"/>
        <v>WRONG</v>
      </c>
      <c r="W549" s="568" t="str">
        <f>VLOOKUP(A549,'[1]Raw data'!$B:$AG,32,FALSE)</f>
        <v>DAP SZ</v>
      </c>
      <c r="X549" s="568">
        <f>VLOOKUP(A549,'[1]Raw data'!$B:$BA,31,FALSE)</f>
        <v>44041</v>
      </c>
      <c r="Y549" s="568" t="str">
        <f>VLOOKUP(A549,'[1]Raw data'!$B:$AS,39,FALSE)</f>
        <v>Yes</v>
      </c>
      <c r="Z549" s="664"/>
      <c r="AA549" s="665"/>
      <c r="AB549" s="666"/>
      <c r="AC549" s="652" t="s">
        <v>1204</v>
      </c>
      <c r="AD549" s="667">
        <v>301</v>
      </c>
      <c r="AE549" s="667">
        <v>10</v>
      </c>
      <c r="AF549" s="667"/>
      <c r="AG549" s="667"/>
      <c r="AH549" s="667"/>
      <c r="AI549" s="668"/>
      <c r="AN549" s="547"/>
      <c r="AO549" s="829" t="str">
        <f t="shared" si="76"/>
        <v>Yes</v>
      </c>
      <c r="AP549" s="259" t="str">
        <f t="shared" si="77"/>
        <v>NOV 20</v>
      </c>
      <c r="AQ549" s="547" t="str">
        <f t="shared" si="78"/>
        <v>有定金+有預留客戶</v>
      </c>
      <c r="AR549" s="259" t="str">
        <f t="shared" si="79"/>
        <v>Shipped_Stock</v>
      </c>
      <c r="AS549" s="259" t="str">
        <f t="shared" si="80"/>
        <v/>
      </c>
      <c r="AT549" s="259" t="str">
        <f t="shared" si="81"/>
        <v>凌鑫</v>
      </c>
      <c r="AU549" s="259" t="str">
        <f t="shared" si="82"/>
        <v>C49SZX20200120SX</v>
      </c>
      <c r="AV549" s="259" t="str">
        <f t="shared" si="83"/>
        <v>Nov-02</v>
      </c>
    </row>
    <row r="550" spans="1:48" hidden="1">
      <c r="A550" s="564">
        <v>786</v>
      </c>
      <c r="B550" s="669" t="s">
        <v>927</v>
      </c>
      <c r="C550" s="568" t="s">
        <v>15</v>
      </c>
      <c r="D550" s="650">
        <v>109992</v>
      </c>
      <c r="E550" s="568" t="s">
        <v>886</v>
      </c>
      <c r="F550" s="652" t="s">
        <v>241</v>
      </c>
      <c r="G550" s="652" t="s">
        <v>18</v>
      </c>
      <c r="H550" s="652" t="s">
        <v>26</v>
      </c>
      <c r="I550" s="580" t="s">
        <v>1205</v>
      </c>
      <c r="J550" s="580">
        <v>1</v>
      </c>
      <c r="K550" s="652" t="s">
        <v>746</v>
      </c>
      <c r="L550" s="710">
        <v>44137</v>
      </c>
      <c r="M550" s="670">
        <v>6.4799999999999996E-2</v>
      </c>
      <c r="N550" s="652" t="s">
        <v>1142</v>
      </c>
      <c r="O550" s="652" t="s">
        <v>1154</v>
      </c>
      <c r="P550" s="571" t="str">
        <f>VLOOKUP(A550,'[1]Raw data'!$B:$BB,23,FALSE)</f>
        <v>JPY</v>
      </c>
      <c r="Q550" s="568" t="str">
        <f>VLOOKUP(A550,'[1]Raw data'!$B:$Z,2,FALSE)</f>
        <v>C49SZX20200138JZ</v>
      </c>
      <c r="R550" s="568" t="str">
        <f>VLOOKUP(A550,'[1]Raw data'!$B:$Z,3,FALSE)</f>
        <v>斯迈</v>
      </c>
      <c r="S550" s="568" t="str">
        <f>VLOOKUP(A550,'[1]Raw data'!$B:$Z,4,FALSE)</f>
        <v>YSM10</v>
      </c>
      <c r="T550" s="568" t="str">
        <f>VLOOKUP(A550,'[1]Raw data'!$B:$Z,8,FALSE)</f>
        <v>L-&gt;R</v>
      </c>
      <c r="U550" s="568" t="str">
        <f>VLOOKUP(A550,'[1]Raw data'!$B:$Z,9,FALSE)</f>
        <v>MVC</v>
      </c>
      <c r="V550" s="572" t="str">
        <f t="shared" si="84"/>
        <v>WRONG</v>
      </c>
      <c r="W550" s="568" t="str">
        <f>VLOOKUP(A550,'[1]Raw data'!$B:$AG,32,FALSE)</f>
        <v>DAP GZ</v>
      </c>
      <c r="X550" s="568">
        <f>VLOOKUP(A550,'[1]Raw data'!$B:$BA,31,FALSE)</f>
        <v>44061</v>
      </c>
      <c r="Y550" s="568" t="str">
        <f>VLOOKUP(A550,'[1]Raw data'!$B:$AS,39,FALSE)</f>
        <v>Yes</v>
      </c>
      <c r="Z550" s="664"/>
      <c r="AA550" s="665"/>
      <c r="AB550" s="666"/>
      <c r="AC550" s="652" t="s">
        <v>1105</v>
      </c>
      <c r="AD550" s="667">
        <v>301</v>
      </c>
      <c r="AE550" s="667">
        <v>10</v>
      </c>
      <c r="AF550" s="667"/>
      <c r="AG550" s="667"/>
      <c r="AH550" s="667"/>
      <c r="AI550" s="668"/>
      <c r="AN550" s="547"/>
      <c r="AO550" s="829" t="str">
        <f t="shared" si="76"/>
        <v>Yes</v>
      </c>
      <c r="AP550" s="259" t="str">
        <f t="shared" si="77"/>
        <v>NOV 20</v>
      </c>
      <c r="AQ550" s="547" t="str">
        <f t="shared" si="78"/>
        <v>有定金+有預留客戶</v>
      </c>
      <c r="AR550" s="259" t="str">
        <f t="shared" si="79"/>
        <v>Shipped_Stock</v>
      </c>
      <c r="AS550" s="259" t="str">
        <f t="shared" si="80"/>
        <v/>
      </c>
      <c r="AT550" s="259" t="str">
        <f t="shared" si="81"/>
        <v>斯迈</v>
      </c>
      <c r="AU550" s="259" t="str">
        <f t="shared" si="82"/>
        <v>C49SZX20200138JZ</v>
      </c>
      <c r="AV550" s="259" t="str">
        <f t="shared" si="83"/>
        <v>Nov-02</v>
      </c>
    </row>
    <row r="551" spans="1:48" hidden="1">
      <c r="A551" s="564">
        <v>787</v>
      </c>
      <c r="B551" s="669" t="s">
        <v>927</v>
      </c>
      <c r="C551" s="568" t="s">
        <v>15</v>
      </c>
      <c r="D551" s="650">
        <v>109992</v>
      </c>
      <c r="E551" s="568" t="s">
        <v>886</v>
      </c>
      <c r="F551" s="652" t="s">
        <v>241</v>
      </c>
      <c r="G551" s="652" t="s">
        <v>18</v>
      </c>
      <c r="H551" s="652" t="s">
        <v>26</v>
      </c>
      <c r="I551" s="580" t="s">
        <v>1206</v>
      </c>
      <c r="J551" s="580">
        <v>1</v>
      </c>
      <c r="K551" s="652" t="s">
        <v>746</v>
      </c>
      <c r="L551" s="710">
        <v>44137</v>
      </c>
      <c r="M551" s="670">
        <v>6.4799999999999996E-2</v>
      </c>
      <c r="N551" s="652" t="s">
        <v>1142</v>
      </c>
      <c r="O551" s="652" t="s">
        <v>1154</v>
      </c>
      <c r="P551" s="571" t="str">
        <f>VLOOKUP(A551,'[1]Raw data'!$B:$BB,23,FALSE)</f>
        <v>JPY</v>
      </c>
      <c r="Q551" s="568" t="str">
        <f>VLOOKUP(A551,'[1]Raw data'!$B:$Z,2,FALSE)</f>
        <v>C49SZX20200138JZ</v>
      </c>
      <c r="R551" s="568" t="str">
        <f>VLOOKUP(A551,'[1]Raw data'!$B:$Z,3,FALSE)</f>
        <v>斯迈</v>
      </c>
      <c r="S551" s="568" t="str">
        <f>VLOOKUP(A551,'[1]Raw data'!$B:$Z,4,FALSE)</f>
        <v>YSM10</v>
      </c>
      <c r="T551" s="568" t="str">
        <f>VLOOKUP(A551,'[1]Raw data'!$B:$Z,8,FALSE)</f>
        <v>L-&gt;R</v>
      </c>
      <c r="U551" s="568" t="str">
        <f>VLOOKUP(A551,'[1]Raw data'!$B:$Z,9,FALSE)</f>
        <v>MVC</v>
      </c>
      <c r="V551" s="572" t="str">
        <f t="shared" si="84"/>
        <v>WRONG</v>
      </c>
      <c r="W551" s="568" t="str">
        <f>VLOOKUP(A551,'[1]Raw data'!$B:$AG,32,FALSE)</f>
        <v>DAP GZ</v>
      </c>
      <c r="X551" s="568">
        <f>VLOOKUP(A551,'[1]Raw data'!$B:$BA,31,FALSE)</f>
        <v>44061</v>
      </c>
      <c r="Y551" s="568" t="str">
        <f>VLOOKUP(A551,'[1]Raw data'!$B:$AS,39,FALSE)</f>
        <v>Yes</v>
      </c>
      <c r="Z551" s="664"/>
      <c r="AA551" s="665"/>
      <c r="AB551" s="666"/>
      <c r="AC551" s="652" t="s">
        <v>1105</v>
      </c>
      <c r="AD551" s="667">
        <v>301</v>
      </c>
      <c r="AE551" s="667">
        <v>10</v>
      </c>
      <c r="AF551" s="667"/>
      <c r="AG551" s="667"/>
      <c r="AH551" s="667"/>
      <c r="AI551" s="668"/>
      <c r="AN551" s="547"/>
      <c r="AO551" s="829" t="str">
        <f t="shared" si="76"/>
        <v>Yes</v>
      </c>
      <c r="AP551" s="259" t="str">
        <f t="shared" si="77"/>
        <v>NOV 20</v>
      </c>
      <c r="AQ551" s="547" t="str">
        <f t="shared" si="78"/>
        <v>有定金+有預留客戶</v>
      </c>
      <c r="AR551" s="259" t="str">
        <f t="shared" si="79"/>
        <v>Shipped_Stock</v>
      </c>
      <c r="AS551" s="259" t="str">
        <f t="shared" si="80"/>
        <v/>
      </c>
      <c r="AT551" s="259" t="str">
        <f t="shared" si="81"/>
        <v>斯迈</v>
      </c>
      <c r="AU551" s="259" t="str">
        <f t="shared" si="82"/>
        <v>C49SZX20200138JZ</v>
      </c>
      <c r="AV551" s="259" t="str">
        <f t="shared" si="83"/>
        <v>Nov-02</v>
      </c>
    </row>
    <row r="552" spans="1:48" hidden="1">
      <c r="A552" s="564">
        <v>735</v>
      </c>
      <c r="B552" s="669" t="s">
        <v>927</v>
      </c>
      <c r="C552" s="568" t="s">
        <v>15</v>
      </c>
      <c r="D552" s="650" t="s">
        <v>1207</v>
      </c>
      <c r="E552" s="568" t="s">
        <v>1208</v>
      </c>
      <c r="F552" s="652" t="s">
        <v>241</v>
      </c>
      <c r="G552" s="652" t="s">
        <v>18</v>
      </c>
      <c r="H552" s="652" t="s">
        <v>26</v>
      </c>
      <c r="I552" s="580" t="s">
        <v>1209</v>
      </c>
      <c r="J552" s="580">
        <v>1</v>
      </c>
      <c r="K552" s="652" t="s">
        <v>1210</v>
      </c>
      <c r="L552" s="680">
        <v>44137</v>
      </c>
      <c r="M552" s="670">
        <v>6.5000000000000002E-2</v>
      </c>
      <c r="N552" s="652" t="s">
        <v>1142</v>
      </c>
      <c r="O552" s="652" t="s">
        <v>1154</v>
      </c>
      <c r="P552" s="571" t="str">
        <f>VLOOKUP(A552,'[1]Raw data'!$B:$BB,23,FALSE)</f>
        <v>JPY</v>
      </c>
      <c r="Q552" s="568" t="str">
        <f>VLOOKUP(A552,'[1]Raw data'!$B:$Z,2,FALSE)</f>
        <v>C49SZX20200188JY</v>
      </c>
      <c r="R552" s="568" t="str">
        <f>VLOOKUP(A552,'[1]Raw data'!$B:$Z,3,FALSE)</f>
        <v>光瑞新（end user：海纳科）</v>
      </c>
      <c r="S552" s="568" t="str">
        <f>VLOOKUP(A552,'[1]Raw data'!$B:$Z,4,FALSE)</f>
        <v>YSM10</v>
      </c>
      <c r="T552" s="568" t="str">
        <f>VLOOKUP(A552,'[1]Raw data'!$B:$Z,8,FALSE)</f>
        <v>R-&gt;L</v>
      </c>
      <c r="U552" s="568" t="str">
        <f>VLOOKUP(A552,'[1]Raw data'!$B:$Z,9,FALSE)</f>
        <v>MVC</v>
      </c>
      <c r="V552" s="572" t="str">
        <f t="shared" si="84"/>
        <v>WRONG</v>
      </c>
      <c r="W552" s="568" t="str">
        <f>VLOOKUP(A552,'[1]Raw data'!$B:$AG,32,FALSE)</f>
        <v>DAP SZ</v>
      </c>
      <c r="X552" s="568">
        <f>VLOOKUP(A552,'[1]Raw data'!$B:$BA,31,FALSE)</f>
        <v>44032</v>
      </c>
      <c r="Y552" s="568" t="str">
        <f>VLOOKUP(A552,'[1]Raw data'!$B:$AS,39,FALSE)</f>
        <v>Yes</v>
      </c>
      <c r="Z552" s="716"/>
      <c r="AA552" s="717"/>
      <c r="AB552" s="718"/>
      <c r="AC552" s="652" t="s">
        <v>1082</v>
      </c>
      <c r="AD552" s="719">
        <v>301</v>
      </c>
      <c r="AE552" s="719">
        <v>10</v>
      </c>
      <c r="AF552" s="719"/>
      <c r="AG552" s="719"/>
      <c r="AH552" s="719"/>
      <c r="AI552" s="720"/>
      <c r="AJ552" s="611"/>
      <c r="AK552" s="611"/>
      <c r="AL552" s="611"/>
      <c r="AM552" s="611"/>
      <c r="AN552" s="599"/>
      <c r="AO552" s="829" t="str">
        <f t="shared" si="76"/>
        <v>Yes</v>
      </c>
      <c r="AP552" s="259" t="str">
        <f t="shared" si="77"/>
        <v>NOV 20</v>
      </c>
      <c r="AQ552" s="547" t="str">
        <f t="shared" si="78"/>
        <v>有定金+有預留客戶</v>
      </c>
      <c r="AR552" s="259" t="str">
        <f t="shared" si="79"/>
        <v>Shipped_Stock</v>
      </c>
      <c r="AS552" s="259" t="str">
        <f t="shared" si="80"/>
        <v/>
      </c>
      <c r="AT552" s="259" t="str">
        <f t="shared" si="81"/>
        <v>光瑞新（end user：海纳科）</v>
      </c>
      <c r="AU552" s="259" t="str">
        <f t="shared" si="82"/>
        <v>C49SZX20200188JY</v>
      </c>
      <c r="AV552" s="259" t="str">
        <f t="shared" si="83"/>
        <v>Nov-02</v>
      </c>
    </row>
    <row r="553" spans="1:48" hidden="1">
      <c r="A553" s="564">
        <v>763</v>
      </c>
      <c r="B553" s="669" t="s">
        <v>280</v>
      </c>
      <c r="C553" s="568" t="s">
        <v>15</v>
      </c>
      <c r="D553" s="650" t="s">
        <v>1207</v>
      </c>
      <c r="E553" s="568" t="s">
        <v>886</v>
      </c>
      <c r="F553" s="652" t="s">
        <v>241</v>
      </c>
      <c r="G553" s="652" t="s">
        <v>18</v>
      </c>
      <c r="H553" s="652" t="s">
        <v>26</v>
      </c>
      <c r="I553" s="580" t="s">
        <v>1211</v>
      </c>
      <c r="J553" s="580">
        <v>1</v>
      </c>
      <c r="K553" s="652" t="s">
        <v>295</v>
      </c>
      <c r="L553" s="680">
        <v>44137</v>
      </c>
      <c r="M553" s="670">
        <v>6.5000000000000002E-2</v>
      </c>
      <c r="N553" s="652" t="s">
        <v>1142</v>
      </c>
      <c r="O553" s="580" t="s">
        <v>1154</v>
      </c>
      <c r="P553" s="571" t="str">
        <f>VLOOKUP(A553,'[1]Raw data'!$B:$BB,23,FALSE)</f>
        <v>RMB</v>
      </c>
      <c r="Q553" s="568" t="str">
        <f>VLOOKUP(A553,'[1]Raw data'!$B:$Z,2,FALSE)</f>
        <v>C49SZX20200121JL</v>
      </c>
      <c r="R553" s="568" t="str">
        <f>VLOOKUP(A553,'[1]Raw data'!$B:$Z,3,FALSE)</f>
        <v>刻锐</v>
      </c>
      <c r="S553" s="568" t="str">
        <f>VLOOKUP(A553,'[1]Raw data'!$B:$Z,4,FALSE)</f>
        <v>YSM10</v>
      </c>
      <c r="T553" s="568" t="str">
        <f>VLOOKUP(A553,'[1]Raw data'!$B:$Z,8,FALSE)</f>
        <v>L-&gt;R</v>
      </c>
      <c r="U553" s="568" t="str">
        <f>VLOOKUP(A553,'[1]Raw data'!$B:$Z,9,FALSE)</f>
        <v>MVC</v>
      </c>
      <c r="V553" s="572" t="str">
        <f t="shared" si="84"/>
        <v>WRONG</v>
      </c>
      <c r="W553" s="568" t="str">
        <f>VLOOKUP(A553,'[1]Raw data'!$B:$AG,32,FALSE)</f>
        <v>含税到厂</v>
      </c>
      <c r="X553" s="568">
        <f>VLOOKUP(A553,'[1]Raw data'!$B:$BA,31,FALSE)</f>
        <v>44068</v>
      </c>
      <c r="Y553" s="568" t="str">
        <f>VLOOKUP(A553,'[1]Raw data'!$B:$AS,39,FALSE)</f>
        <v>Yes</v>
      </c>
      <c r="Z553" s="664"/>
      <c r="AA553" s="665"/>
      <c r="AB553" s="666"/>
      <c r="AC553" s="652" t="s">
        <v>1185</v>
      </c>
      <c r="AD553" s="667">
        <v>301</v>
      </c>
      <c r="AE553" s="667">
        <v>10</v>
      </c>
      <c r="AF553" s="667"/>
      <c r="AG553" s="667"/>
      <c r="AH553" s="667"/>
      <c r="AI553" s="668"/>
      <c r="AN553" s="547"/>
      <c r="AO553" s="829" t="str">
        <f t="shared" si="76"/>
        <v>Yes</v>
      </c>
      <c r="AP553" s="259" t="str">
        <f t="shared" si="77"/>
        <v>NOV 20</v>
      </c>
      <c r="AQ553" s="547" t="str">
        <f t="shared" si="78"/>
        <v>有定金+有預留客戶</v>
      </c>
      <c r="AR553" s="259" t="str">
        <f t="shared" si="79"/>
        <v>Shipped_Stock</v>
      </c>
      <c r="AS553" s="259" t="str">
        <f t="shared" si="80"/>
        <v/>
      </c>
      <c r="AT553" s="259" t="str">
        <f t="shared" si="81"/>
        <v>刻锐</v>
      </c>
      <c r="AU553" s="259" t="str">
        <f t="shared" si="82"/>
        <v>C49SZX20200121JL</v>
      </c>
      <c r="AV553" s="259" t="str">
        <f t="shared" si="83"/>
        <v>Nov-02</v>
      </c>
    </row>
    <row r="554" spans="1:48" hidden="1">
      <c r="A554" s="564">
        <v>789</v>
      </c>
      <c r="B554" s="669" t="s">
        <v>927</v>
      </c>
      <c r="C554" s="568" t="s">
        <v>15</v>
      </c>
      <c r="D554" s="650" t="s">
        <v>1207</v>
      </c>
      <c r="E554" s="568" t="s">
        <v>886</v>
      </c>
      <c r="F554" s="652" t="s">
        <v>241</v>
      </c>
      <c r="G554" s="652" t="s">
        <v>18</v>
      </c>
      <c r="H554" s="652" t="s">
        <v>26</v>
      </c>
      <c r="I554" s="580" t="s">
        <v>1212</v>
      </c>
      <c r="J554" s="580">
        <v>1</v>
      </c>
      <c r="K554" s="652" t="s">
        <v>746</v>
      </c>
      <c r="L554" s="680">
        <v>44137</v>
      </c>
      <c r="M554" s="670">
        <v>6.5000000000000002E-2</v>
      </c>
      <c r="N554" s="652" t="s">
        <v>1142</v>
      </c>
      <c r="O554" s="580" t="s">
        <v>1154</v>
      </c>
      <c r="P554" s="571" t="str">
        <f>VLOOKUP(A554,'[1]Raw data'!$B:$BB,23,FALSE)</f>
        <v>RMB</v>
      </c>
      <c r="Q554" s="568" t="str">
        <f>VLOOKUP(A554,'[1]Raw data'!$B:$Z,2,FALSE)</f>
        <v>C49SZX20200133JL</v>
      </c>
      <c r="R554" s="568" t="str">
        <f>VLOOKUP(A554,'[1]Raw data'!$B:$Z,3,FALSE)</f>
        <v>通通旺</v>
      </c>
      <c r="S554" s="568" t="str">
        <f>VLOOKUP(A554,'[1]Raw data'!$B:$Z,4,FALSE)</f>
        <v>YSM10</v>
      </c>
      <c r="T554" s="568" t="str">
        <f>VLOOKUP(A554,'[1]Raw data'!$B:$Z,8,FALSE)</f>
        <v>L-&gt;R</v>
      </c>
      <c r="U554" s="568" t="str">
        <f>VLOOKUP(A554,'[1]Raw data'!$B:$Z,9,FALSE)</f>
        <v>MVC</v>
      </c>
      <c r="V554" s="572" t="str">
        <f t="shared" si="84"/>
        <v>WRONG</v>
      </c>
      <c r="W554" s="568" t="str">
        <f>VLOOKUP(A554,'[1]Raw data'!$B:$AG,32,FALSE)</f>
        <v>含税到厂</v>
      </c>
      <c r="X554" s="568">
        <f>VLOOKUP(A554,'[1]Raw data'!$B:$BA,31,FALSE)</f>
        <v>44061</v>
      </c>
      <c r="Y554" s="568" t="str">
        <f>VLOOKUP(A554,'[1]Raw data'!$B:$AS,39,FALSE)</f>
        <v>Yes</v>
      </c>
      <c r="Z554" s="664"/>
      <c r="AA554" s="665"/>
      <c r="AB554" s="666"/>
      <c r="AC554" s="652" t="s">
        <v>1213</v>
      </c>
      <c r="AD554" s="667">
        <v>301</v>
      </c>
      <c r="AE554" s="667">
        <v>10</v>
      </c>
      <c r="AF554" s="667"/>
      <c r="AG554" s="667"/>
      <c r="AH554" s="667"/>
      <c r="AI554" s="668"/>
      <c r="AN554" s="547"/>
      <c r="AO554" s="829" t="str">
        <f t="shared" si="76"/>
        <v>Yes</v>
      </c>
      <c r="AP554" s="259" t="str">
        <f t="shared" si="77"/>
        <v>NOV 20</v>
      </c>
      <c r="AQ554" s="547" t="str">
        <f t="shared" si="78"/>
        <v>有定金+有預留客戶</v>
      </c>
      <c r="AR554" s="259" t="str">
        <f t="shared" si="79"/>
        <v>Shipped_Stock</v>
      </c>
      <c r="AS554" s="259" t="str">
        <f t="shared" si="80"/>
        <v/>
      </c>
      <c r="AT554" s="259" t="str">
        <f t="shared" si="81"/>
        <v>通通旺</v>
      </c>
      <c r="AU554" s="259" t="str">
        <f t="shared" si="82"/>
        <v>C49SZX20200133JL</v>
      </c>
      <c r="AV554" s="259" t="str">
        <f t="shared" si="83"/>
        <v>Nov-02</v>
      </c>
    </row>
    <row r="555" spans="1:48" hidden="1">
      <c r="A555" s="564">
        <v>740</v>
      </c>
      <c r="B555" s="565" t="s">
        <v>1125</v>
      </c>
      <c r="C555" s="568" t="s">
        <v>15</v>
      </c>
      <c r="D555" s="650">
        <v>110034</v>
      </c>
      <c r="E555" s="651" t="s">
        <v>1214</v>
      </c>
      <c r="F555" s="652" t="s">
        <v>154</v>
      </c>
      <c r="G555" s="652" t="s">
        <v>24</v>
      </c>
      <c r="H555" s="652" t="s">
        <v>27</v>
      </c>
      <c r="I555" s="580" t="s">
        <v>1215</v>
      </c>
      <c r="J555" s="580">
        <v>1</v>
      </c>
      <c r="K555" s="652" t="s">
        <v>437</v>
      </c>
      <c r="L555" s="680">
        <v>44137</v>
      </c>
      <c r="M555" s="670" t="s">
        <v>906</v>
      </c>
      <c r="N555" s="652" t="s">
        <v>90</v>
      </c>
      <c r="O555" s="580" t="s">
        <v>1154</v>
      </c>
      <c r="P555" s="670" t="str">
        <f>VLOOKUP(A555,'[1]Raw data'!$B:$BA,23,FALSE)</f>
        <v>JPY</v>
      </c>
      <c r="Q555" s="652" t="str">
        <f>VLOOKUP(A555,'[1]Raw data'!$B:$Z,2,FALSE)</f>
        <v>C49SZX20210028DZ</v>
      </c>
      <c r="R555" s="652" t="str">
        <f>VLOOKUP(A555,'[1]Raw data'!$B:$Z,3,FALSE)</f>
        <v>平方兆赫</v>
      </c>
      <c r="S555" s="652" t="str">
        <f>VLOOKUP(A555,'[1]Raw data'!$B:$Z,4,FALSE)</f>
        <v>YSM20WR-2</v>
      </c>
      <c r="T555" s="652" t="str">
        <f>VLOOKUP(A555,'[1]Raw data'!$B:$Z,8,FALSE)</f>
        <v>L-&gt;R</v>
      </c>
      <c r="U555" s="652" t="str">
        <f>VLOOKUP(A555,'[1]Raw data'!$B:$Z,9,FALSE)</f>
        <v>MVC</v>
      </c>
      <c r="V555" s="572" t="str">
        <f t="shared" si="84"/>
        <v>OK</v>
      </c>
      <c r="W555" s="568" t="str">
        <f>VLOOKUP(A555,'[1]Raw data'!$B:$AG,32,FALSE)</f>
        <v>CIF HK</v>
      </c>
      <c r="X555" s="652">
        <f>VLOOKUP(A555,'[1]Raw data'!$B:$BA,31,FALSE)</f>
        <v>44265</v>
      </c>
      <c r="Y555" s="652" t="str">
        <f>VLOOKUP(A555,'[1]Raw data'!$B:$AS,39,FALSE)</f>
        <v>Yes</v>
      </c>
      <c r="Z555" s="664"/>
      <c r="AA555" s="665"/>
      <c r="AB555" s="666"/>
      <c r="AC555" s="652" t="s">
        <v>1216</v>
      </c>
      <c r="AD555" s="667"/>
      <c r="AE555" s="667"/>
      <c r="AF555" s="667"/>
      <c r="AG555" s="667"/>
      <c r="AH555" s="667"/>
      <c r="AI555" s="668"/>
      <c r="AN555" s="547"/>
      <c r="AO555" s="829" t="str">
        <f t="shared" si="76"/>
        <v>Yes</v>
      </c>
      <c r="AP555" s="259" t="str">
        <f t="shared" si="77"/>
        <v>APR 21</v>
      </c>
      <c r="AQ555" s="547" t="str">
        <f t="shared" si="78"/>
        <v>有定金+有預留客戶</v>
      </c>
      <c r="AR555" s="259" t="str">
        <f t="shared" si="79"/>
        <v>Shipped_Stock</v>
      </c>
      <c r="AS555" s="259" t="str">
        <f t="shared" si="80"/>
        <v/>
      </c>
      <c r="AT555" s="259" t="str">
        <f t="shared" si="81"/>
        <v>平方兆赫</v>
      </c>
      <c r="AU555" s="259" t="str">
        <f t="shared" si="82"/>
        <v>C49SZX20210028DZ</v>
      </c>
      <c r="AV555" s="259" t="str">
        <f t="shared" si="83"/>
        <v>Nov-02</v>
      </c>
    </row>
    <row r="556" spans="1:48" hidden="1">
      <c r="A556" s="564">
        <v>794</v>
      </c>
      <c r="B556" s="565" t="s">
        <v>280</v>
      </c>
      <c r="C556" s="568" t="s">
        <v>15</v>
      </c>
      <c r="D556" s="650">
        <v>110055</v>
      </c>
      <c r="E556" s="568" t="s">
        <v>886</v>
      </c>
      <c r="F556" s="652" t="s">
        <v>241</v>
      </c>
      <c r="G556" s="652" t="s">
        <v>24</v>
      </c>
      <c r="H556" s="652" t="s">
        <v>1217</v>
      </c>
      <c r="I556" s="580" t="s">
        <v>1218</v>
      </c>
      <c r="J556" s="580">
        <v>1</v>
      </c>
      <c r="K556" s="652" t="s">
        <v>311</v>
      </c>
      <c r="L556" s="680">
        <v>44142</v>
      </c>
      <c r="M556" s="670" t="s">
        <v>906</v>
      </c>
      <c r="N556" s="652" t="s">
        <v>1142</v>
      </c>
      <c r="O556" s="580" t="s">
        <v>1154</v>
      </c>
      <c r="P556" s="571" t="str">
        <f>VLOOKUP(A556,'[1]Raw data'!$B:$BB,23,FALSE)</f>
        <v>USD</v>
      </c>
      <c r="Q556" s="568" t="str">
        <f>VLOOKUP(A556,'[1]Raw data'!$B:$Z,2,FALSE)</f>
        <v>C49SZX20200146RW</v>
      </c>
      <c r="R556" s="568" t="str">
        <f>VLOOKUP(A556,'[1]Raw data'!$B:$Z,3,FALSE)</f>
        <v>高伟</v>
      </c>
      <c r="S556" s="568" t="str">
        <f>VLOOKUP(A556,'[1]Raw data'!$B:$Z,4,FALSE)</f>
        <v>YSM10-HM5</v>
      </c>
      <c r="T556" s="568" t="str">
        <f>VLOOKUP(A556,'[1]Raw data'!$B:$Z,8,FALSE)</f>
        <v>L-&gt;R</v>
      </c>
      <c r="U556" s="568" t="str">
        <f>VLOOKUP(A556,'[1]Raw data'!$B:$Z,9,FALSE)</f>
        <v>MVC+ATS15</v>
      </c>
      <c r="V556" s="572" t="str">
        <f t="shared" si="84"/>
        <v>WRONG</v>
      </c>
      <c r="W556" s="568" t="str">
        <f>VLOOKUP(A556,'[1]Raw data'!$B:$AG,32,FALSE)</f>
        <v>CIF HK</v>
      </c>
      <c r="X556" s="568">
        <f>VLOOKUP(A556,'[1]Raw data'!$B:$BA,31,FALSE)</f>
        <v>44070</v>
      </c>
      <c r="Y556" s="568" t="str">
        <f>VLOOKUP(A556,'[1]Raw data'!$B:$AS,39,FALSE)</f>
        <v>Yes</v>
      </c>
      <c r="Z556" s="664"/>
      <c r="AA556" s="665"/>
      <c r="AB556" s="666"/>
      <c r="AC556" s="652" t="s">
        <v>1219</v>
      </c>
      <c r="AD556" s="667">
        <v>302</v>
      </c>
      <c r="AE556" s="667">
        <v>10</v>
      </c>
      <c r="AF556" s="667"/>
      <c r="AG556" s="667"/>
      <c r="AH556" s="667"/>
      <c r="AI556" s="668"/>
      <c r="AN556" s="547"/>
      <c r="AO556" s="829" t="str">
        <f t="shared" si="76"/>
        <v>Yes</v>
      </c>
      <c r="AP556" s="259" t="str">
        <f t="shared" si="77"/>
        <v>NOV 20</v>
      </c>
      <c r="AQ556" s="547" t="str">
        <f t="shared" si="78"/>
        <v>有定金+有預留客戶</v>
      </c>
      <c r="AR556" s="259" t="str">
        <f t="shared" si="79"/>
        <v>Shipped_Stock</v>
      </c>
      <c r="AS556" s="259" t="str">
        <f t="shared" si="80"/>
        <v/>
      </c>
      <c r="AT556" s="259" t="str">
        <f t="shared" si="81"/>
        <v>高伟</v>
      </c>
      <c r="AU556" s="259" t="str">
        <f t="shared" si="82"/>
        <v>C49SZX20200146RW</v>
      </c>
      <c r="AV556" s="259" t="str">
        <f t="shared" si="83"/>
        <v>Nov-07</v>
      </c>
    </row>
    <row r="557" spans="1:48" hidden="1">
      <c r="A557" s="564">
        <v>904</v>
      </c>
      <c r="B557" s="565" t="s">
        <v>280</v>
      </c>
      <c r="C557" s="568" t="s">
        <v>15</v>
      </c>
      <c r="D557" s="650">
        <v>110049</v>
      </c>
      <c r="E557" s="651" t="s">
        <v>878</v>
      </c>
      <c r="F557" s="652" t="s">
        <v>241</v>
      </c>
      <c r="G557" s="652" t="s">
        <v>18</v>
      </c>
      <c r="H557" s="652" t="s">
        <v>34</v>
      </c>
      <c r="I557" s="580" t="s">
        <v>1220</v>
      </c>
      <c r="J557" s="580">
        <v>1</v>
      </c>
      <c r="K557" s="652" t="s">
        <v>437</v>
      </c>
      <c r="L557" s="680">
        <v>44142</v>
      </c>
      <c r="M557" s="670">
        <v>6.4199999999999993E-2</v>
      </c>
      <c r="N557" s="652" t="s">
        <v>1142</v>
      </c>
      <c r="O557" s="580"/>
      <c r="P557" s="571" t="str">
        <f>VLOOKUP(A557,'[1]Raw data'!$B:$BB,23,FALSE)</f>
        <v>JPY</v>
      </c>
      <c r="Q557" s="568" t="str">
        <f>VLOOKUP(A557,'[1]Raw data'!$B:$Z,2,FALSE)</f>
        <v>C49SZX20200200SS</v>
      </c>
      <c r="R557" s="568" t="str">
        <f>VLOOKUP(A557,'[1]Raw data'!$B:$Z,3,FALSE)</f>
        <v>君博信</v>
      </c>
      <c r="S557" s="568" t="str">
        <f>VLOOKUP(A557,'[1]Raw data'!$B:$Z,4,FALSE)</f>
        <v>YSM10</v>
      </c>
      <c r="T557" s="568" t="str">
        <f>VLOOKUP(A557,'[1]Raw data'!$B:$Z,8,FALSE)</f>
        <v>L-&gt;R</v>
      </c>
      <c r="U557" s="568" t="str">
        <f>VLOOKUP(A557,'[1]Raw data'!$B:$Z,9,FALSE)</f>
        <v>MVC+ATS15</v>
      </c>
      <c r="V557" s="572" t="str">
        <f t="shared" si="84"/>
        <v>WRONG</v>
      </c>
      <c r="W557" s="568" t="str">
        <f>VLOOKUP(A557,'[1]Raw data'!$B:$AG,32,FALSE)</f>
        <v>DAP SZ</v>
      </c>
      <c r="X557" s="568">
        <f>VLOOKUP(A557,'[1]Raw data'!$B:$BA,31,FALSE)</f>
        <v>44135</v>
      </c>
      <c r="Y557" s="568" t="str">
        <f>VLOOKUP(A557,'[1]Raw data'!$B:$AS,39,FALSE)</f>
        <v>Yes</v>
      </c>
      <c r="Z557" s="664"/>
      <c r="AA557" s="665"/>
      <c r="AB557" s="666"/>
      <c r="AC557" s="568" t="s">
        <v>766</v>
      </c>
      <c r="AD557" s="667">
        <v>301</v>
      </c>
      <c r="AE557" s="667">
        <v>10</v>
      </c>
      <c r="AF557" s="667"/>
      <c r="AG557" s="667"/>
      <c r="AH557" s="667"/>
      <c r="AI557" s="668"/>
      <c r="AN557" s="547"/>
      <c r="AO557" s="829" t="str">
        <f t="shared" si="76"/>
        <v>Yes</v>
      </c>
      <c r="AP557" s="259" t="str">
        <f t="shared" si="77"/>
        <v>NOV 20</v>
      </c>
      <c r="AQ557" s="547" t="str">
        <f t="shared" si="78"/>
        <v>有定金+有預留客戶</v>
      </c>
      <c r="AR557" s="259" t="str">
        <f t="shared" si="79"/>
        <v>Shipped_Stock</v>
      </c>
      <c r="AS557" s="259" t="str">
        <f t="shared" si="80"/>
        <v/>
      </c>
      <c r="AT557" s="259" t="str">
        <f t="shared" si="81"/>
        <v>君博信</v>
      </c>
      <c r="AU557" s="259" t="str">
        <f t="shared" si="82"/>
        <v>C49SZX20200200SS</v>
      </c>
      <c r="AV557" s="259" t="str">
        <f t="shared" si="83"/>
        <v>Nov-07</v>
      </c>
    </row>
    <row r="558" spans="1:48" hidden="1">
      <c r="A558" s="564">
        <v>1026</v>
      </c>
      <c r="B558" s="565" t="s">
        <v>1125</v>
      </c>
      <c r="C558" s="568" t="s">
        <v>15</v>
      </c>
      <c r="D558" s="650">
        <v>110049</v>
      </c>
      <c r="E558" s="651" t="s">
        <v>878</v>
      </c>
      <c r="F558" s="652" t="s">
        <v>241</v>
      </c>
      <c r="G558" s="652" t="s">
        <v>18</v>
      </c>
      <c r="H558" s="652" t="s">
        <v>34</v>
      </c>
      <c r="I558" s="580" t="s">
        <v>1221</v>
      </c>
      <c r="J558" s="580">
        <v>1</v>
      </c>
      <c r="K558" s="652" t="s">
        <v>437</v>
      </c>
      <c r="L558" s="680">
        <v>44142</v>
      </c>
      <c r="M558" s="670">
        <v>6.4199999999999993E-2</v>
      </c>
      <c r="N558" s="652" t="s">
        <v>1127</v>
      </c>
      <c r="O558" s="580"/>
      <c r="P558" s="571" t="str">
        <f>VLOOKUP(A558,'[1]Raw data'!$B:$BB,23,FALSE)</f>
        <v>JPY</v>
      </c>
      <c r="Q558" s="568" t="str">
        <f>VLOOKUP(A558,'[1]Raw data'!$B:$Z,2,FALSE)</f>
        <v>C49SZX20200242DZ</v>
      </c>
      <c r="R558" s="568" t="str">
        <f>VLOOKUP(A558,'[1]Raw data'!$B:$Z,3,FALSE)</f>
        <v>朗特</v>
      </c>
      <c r="S558" s="568" t="str">
        <f>VLOOKUP(A558,'[1]Raw data'!$B:$Z,4,FALSE)</f>
        <v>YSM10</v>
      </c>
      <c r="T558" s="568" t="str">
        <f>VLOOKUP(A558,'[1]Raw data'!$B:$Z,8,FALSE)</f>
        <v>R-&gt;L</v>
      </c>
      <c r="U558" s="568" t="str">
        <f>VLOOKUP(A558,'[1]Raw data'!$B:$Z,9,FALSE)</f>
        <v>MVC+ATS15</v>
      </c>
      <c r="V558" s="572" t="str">
        <f t="shared" si="84"/>
        <v>OK</v>
      </c>
      <c r="W558" s="568" t="str">
        <f>VLOOKUP(A558,'[1]Raw data'!$B:$AG,32,FALSE)</f>
        <v>CIF HK</v>
      </c>
      <c r="X558" s="568">
        <f>VLOOKUP(A558,'[1]Raw data'!$B:$BA,31,FALSE)</f>
        <v>44182</v>
      </c>
      <c r="Y558" s="568" t="str">
        <f>VLOOKUP(A558,'[1]Raw data'!$B:$AS,39,FALSE)</f>
        <v>Yes</v>
      </c>
      <c r="Z558" s="664"/>
      <c r="AA558" s="665"/>
      <c r="AB558" s="666"/>
      <c r="AC558" s="652" t="s">
        <v>933</v>
      </c>
      <c r="AD558" s="667">
        <v>301</v>
      </c>
      <c r="AE558" s="667">
        <v>10</v>
      </c>
      <c r="AF558" s="667"/>
      <c r="AG558" s="667"/>
      <c r="AH558" s="667"/>
      <c r="AI558" s="668"/>
      <c r="AN558" s="547"/>
      <c r="AO558" s="829" t="str">
        <f t="shared" si="76"/>
        <v>Yes</v>
      </c>
      <c r="AP558" s="259" t="str">
        <f t="shared" si="77"/>
        <v>JAN 21</v>
      </c>
      <c r="AQ558" s="547" t="str">
        <f t="shared" si="78"/>
        <v>有定金+有預留客戶</v>
      </c>
      <c r="AR558" s="259" t="str">
        <f t="shared" si="79"/>
        <v>Shipped_Stock</v>
      </c>
      <c r="AS558" s="259" t="str">
        <f t="shared" si="80"/>
        <v/>
      </c>
      <c r="AT558" s="259" t="str">
        <f t="shared" si="81"/>
        <v>朗特</v>
      </c>
      <c r="AU558" s="259" t="str">
        <f t="shared" si="82"/>
        <v>C49SZX20200242DZ</v>
      </c>
      <c r="AV558" s="259" t="str">
        <f t="shared" si="83"/>
        <v>Nov-07</v>
      </c>
    </row>
    <row r="559" spans="1:48" hidden="1">
      <c r="A559" s="564">
        <v>744</v>
      </c>
      <c r="B559" s="565" t="s">
        <v>927</v>
      </c>
      <c r="C559" s="568" t="s">
        <v>15</v>
      </c>
      <c r="D559" s="650">
        <v>110049</v>
      </c>
      <c r="E559" s="651" t="s">
        <v>878</v>
      </c>
      <c r="F559" s="652" t="s">
        <v>241</v>
      </c>
      <c r="G559" s="652" t="s">
        <v>18</v>
      </c>
      <c r="H559" s="652" t="s">
        <v>26</v>
      </c>
      <c r="I559" s="580" t="s">
        <v>1222</v>
      </c>
      <c r="J559" s="580">
        <v>1</v>
      </c>
      <c r="K559" s="652" t="s">
        <v>437</v>
      </c>
      <c r="L559" s="680">
        <v>44142</v>
      </c>
      <c r="M559" s="670">
        <v>6.4199999999999993E-2</v>
      </c>
      <c r="N559" s="652" t="s">
        <v>1124</v>
      </c>
      <c r="O559" s="580"/>
      <c r="P559" s="571" t="str">
        <f>VLOOKUP(A559,'[1]Raw data'!$B:$BB,23,FALSE)</f>
        <v>JPY</v>
      </c>
      <c r="Q559" s="568" t="str">
        <f>VLOOKUP(A559,'[1]Raw data'!$B:$Z,2,FALSE)</f>
        <v>C49SZX20200115SX</v>
      </c>
      <c r="R559" s="568" t="str">
        <f>VLOOKUP(A559,'[1]Raw data'!$B:$Z,3,FALSE)</f>
        <v>优控电子</v>
      </c>
      <c r="S559" s="568" t="str">
        <f>VLOOKUP(A559,'[1]Raw data'!$B:$Z,4,FALSE)</f>
        <v>YSM10</v>
      </c>
      <c r="T559" s="568" t="str">
        <f>VLOOKUP(A559,'[1]Raw data'!$B:$Z,8,FALSE)</f>
        <v>L-&gt;R</v>
      </c>
      <c r="U559" s="568" t="str">
        <f>VLOOKUP(A559,'[1]Raw data'!$B:$Z,9,FALSE)</f>
        <v>No</v>
      </c>
      <c r="V559" s="572" t="str">
        <f t="shared" si="84"/>
        <v>WRONG</v>
      </c>
      <c r="W559" s="568" t="str">
        <f>VLOOKUP(A559,'[1]Raw data'!$B:$AG,32,FALSE)</f>
        <v>DAP JX</v>
      </c>
      <c r="X559" s="568">
        <f>VLOOKUP(A559,'[1]Raw data'!$B:$BA,31,FALSE)</f>
        <v>44040</v>
      </c>
      <c r="Y559" s="568" t="str">
        <f>VLOOKUP(A559,'[1]Raw data'!$B:$AS,39,FALSE)</f>
        <v>Yes</v>
      </c>
      <c r="Z559" s="664"/>
      <c r="AA559" s="665"/>
      <c r="AB559" s="666"/>
      <c r="AC559" s="652" t="s">
        <v>1223</v>
      </c>
      <c r="AD559" s="667">
        <v>302</v>
      </c>
      <c r="AE559" s="667">
        <v>10</v>
      </c>
      <c r="AF559" s="667"/>
      <c r="AG559" s="667"/>
      <c r="AH559" s="667"/>
      <c r="AI559" s="668"/>
      <c r="AN559" s="547"/>
      <c r="AO559" s="829" t="str">
        <f t="shared" si="76"/>
        <v>Yes</v>
      </c>
      <c r="AP559" s="259" t="str">
        <f t="shared" si="77"/>
        <v>DEC 20</v>
      </c>
      <c r="AQ559" s="547" t="str">
        <f t="shared" si="78"/>
        <v>有定金+有預留客戶</v>
      </c>
      <c r="AR559" s="259" t="str">
        <f t="shared" si="79"/>
        <v>Shipped_Stock</v>
      </c>
      <c r="AS559" s="259" t="str">
        <f t="shared" si="80"/>
        <v/>
      </c>
      <c r="AT559" s="259" t="str">
        <f t="shared" si="81"/>
        <v>优控电子</v>
      </c>
      <c r="AU559" s="259" t="str">
        <f t="shared" si="82"/>
        <v>C49SZX20200115SX</v>
      </c>
      <c r="AV559" s="259" t="str">
        <f t="shared" si="83"/>
        <v>Nov-07</v>
      </c>
    </row>
    <row r="560" spans="1:48" hidden="1">
      <c r="A560" s="564">
        <v>830</v>
      </c>
      <c r="B560" s="565" t="s">
        <v>280</v>
      </c>
      <c r="C560" s="568" t="s">
        <v>15</v>
      </c>
      <c r="D560" s="650">
        <v>110049</v>
      </c>
      <c r="E560" s="651" t="s">
        <v>878</v>
      </c>
      <c r="F560" s="652" t="s">
        <v>58</v>
      </c>
      <c r="G560" s="652" t="s">
        <v>24</v>
      </c>
      <c r="H560" s="652" t="s">
        <v>26</v>
      </c>
      <c r="I560" s="580" t="s">
        <v>1224</v>
      </c>
      <c r="J560" s="580">
        <v>1</v>
      </c>
      <c r="K560" s="652" t="s">
        <v>437</v>
      </c>
      <c r="L560" s="680">
        <v>44142</v>
      </c>
      <c r="M560" s="670">
        <v>6.4199999999999993E-2</v>
      </c>
      <c r="N560" s="652" t="s">
        <v>1142</v>
      </c>
      <c r="O560" s="580"/>
      <c r="P560" s="571" t="str">
        <f>VLOOKUP(A560,'[1]Raw data'!$B:$BB,23,FALSE)</f>
        <v>RMB</v>
      </c>
      <c r="Q560" s="568" t="str">
        <f>VLOOKUP(A560,'[1]Raw data'!$B:$Z,2,FALSE)</f>
        <v>C49SZX20200155JD</v>
      </c>
      <c r="R560" s="568" t="str">
        <f>VLOOKUP(A560,'[1]Raw data'!$B:$Z,3,FALSE)</f>
        <v>志华鑫</v>
      </c>
      <c r="S560" s="568" t="str">
        <f>VLOOKUP(A560,'[1]Raw data'!$B:$Z,4,FALSE)</f>
        <v>YSM20R-2</v>
      </c>
      <c r="T560" s="568" t="str">
        <f>VLOOKUP(A560,'[1]Raw data'!$B:$Z,8,FALSE)</f>
        <v>L-&gt;R</v>
      </c>
      <c r="U560" s="568" t="str">
        <f>VLOOKUP(A560,'[1]Raw data'!$B:$Z,9,FALSE)</f>
        <v>No</v>
      </c>
      <c r="V560" s="572" t="str">
        <f t="shared" si="84"/>
        <v>OK</v>
      </c>
      <c r="W560" s="568" t="str">
        <f>VLOOKUP(A560,'[1]Raw data'!$B:$AG,32,FALSE)</f>
        <v>含税到厂</v>
      </c>
      <c r="X560" s="568">
        <f>VLOOKUP(A560,'[1]Raw data'!$B:$BA,31,FALSE)</f>
        <v>44090</v>
      </c>
      <c r="Y560" s="568" t="str">
        <f>VLOOKUP(A560,'[1]Raw data'!$B:$AS,39,FALSE)</f>
        <v>Yes</v>
      </c>
      <c r="Z560" s="664"/>
      <c r="AA560" s="665"/>
      <c r="AB560" s="666"/>
      <c r="AC560" s="652" t="s">
        <v>1158</v>
      </c>
      <c r="AD560" s="667">
        <v>311</v>
      </c>
      <c r="AE560" s="667">
        <v>20</v>
      </c>
      <c r="AF560" s="667"/>
      <c r="AG560" s="667"/>
      <c r="AH560" s="667"/>
      <c r="AI560" s="668"/>
      <c r="AN560" s="547"/>
      <c r="AO560" s="829" t="str">
        <f t="shared" si="76"/>
        <v>Yes</v>
      </c>
      <c r="AP560" s="259" t="str">
        <f t="shared" si="77"/>
        <v>NOV 20</v>
      </c>
      <c r="AQ560" s="547" t="str">
        <f t="shared" si="78"/>
        <v>有定金+有預留客戶</v>
      </c>
      <c r="AR560" s="259" t="str">
        <f t="shared" si="79"/>
        <v>Shipped_Stock</v>
      </c>
      <c r="AS560" s="259" t="str">
        <f t="shared" si="80"/>
        <v/>
      </c>
      <c r="AT560" s="259" t="str">
        <f t="shared" si="81"/>
        <v>志华鑫</v>
      </c>
      <c r="AU560" s="259" t="str">
        <f t="shared" si="82"/>
        <v>C49SZX20200155JD</v>
      </c>
      <c r="AV560" s="259" t="str">
        <f t="shared" si="83"/>
        <v>Nov-07</v>
      </c>
    </row>
    <row r="561" spans="1:48" hidden="1">
      <c r="A561" s="564">
        <v>831</v>
      </c>
      <c r="B561" s="565" t="s">
        <v>280</v>
      </c>
      <c r="C561" s="568" t="s">
        <v>15</v>
      </c>
      <c r="D561" s="650">
        <v>110049</v>
      </c>
      <c r="E561" s="651" t="s">
        <v>878</v>
      </c>
      <c r="F561" s="652" t="s">
        <v>58</v>
      </c>
      <c r="G561" s="652" t="s">
        <v>24</v>
      </c>
      <c r="H561" s="652" t="s">
        <v>26</v>
      </c>
      <c r="I561" s="580" t="s">
        <v>1225</v>
      </c>
      <c r="J561" s="580">
        <v>1</v>
      </c>
      <c r="K561" s="652" t="s">
        <v>437</v>
      </c>
      <c r="L561" s="680">
        <v>44142</v>
      </c>
      <c r="M561" s="670">
        <v>6.4199999999999993E-2</v>
      </c>
      <c r="N561" s="652" t="s">
        <v>1142</v>
      </c>
      <c r="O561" s="580"/>
      <c r="P561" s="571" t="str">
        <f>VLOOKUP(A561,'[1]Raw data'!$B:$BB,23,FALSE)</f>
        <v>RMB</v>
      </c>
      <c r="Q561" s="568" t="str">
        <f>VLOOKUP(A561,'[1]Raw data'!$B:$Z,2,FALSE)</f>
        <v>C49SZX20200155JD</v>
      </c>
      <c r="R561" s="568" t="str">
        <f>VLOOKUP(A561,'[1]Raw data'!$B:$Z,3,FALSE)</f>
        <v>志华鑫</v>
      </c>
      <c r="S561" s="568" t="str">
        <f>VLOOKUP(A561,'[1]Raw data'!$B:$Z,4,FALSE)</f>
        <v>YSM20R-2</v>
      </c>
      <c r="T561" s="568" t="str">
        <f>VLOOKUP(A561,'[1]Raw data'!$B:$Z,8,FALSE)</f>
        <v>L-&gt;R</v>
      </c>
      <c r="U561" s="568" t="str">
        <f>VLOOKUP(A561,'[1]Raw data'!$B:$Z,9,FALSE)</f>
        <v>No</v>
      </c>
      <c r="V561" s="572" t="str">
        <f t="shared" si="84"/>
        <v>OK</v>
      </c>
      <c r="W561" s="568" t="str">
        <f>VLOOKUP(A561,'[1]Raw data'!$B:$AG,32,FALSE)</f>
        <v>含税到厂</v>
      </c>
      <c r="X561" s="568">
        <f>VLOOKUP(A561,'[1]Raw data'!$B:$BA,31,FALSE)</f>
        <v>44090</v>
      </c>
      <c r="Y561" s="568" t="str">
        <f>VLOOKUP(A561,'[1]Raw data'!$B:$AS,39,FALSE)</f>
        <v>Yes</v>
      </c>
      <c r="Z561" s="664"/>
      <c r="AA561" s="665"/>
      <c r="AB561" s="666"/>
      <c r="AC561" s="652" t="s">
        <v>1158</v>
      </c>
      <c r="AD561" s="667">
        <v>302</v>
      </c>
      <c r="AE561" s="667">
        <v>10</v>
      </c>
      <c r="AF561" s="667">
        <v>313</v>
      </c>
      <c r="AG561" s="667">
        <v>10</v>
      </c>
      <c r="AH561" s="667"/>
      <c r="AI561" s="668"/>
      <c r="AN561" s="547"/>
      <c r="AO561" s="829" t="str">
        <f t="shared" si="76"/>
        <v>Yes</v>
      </c>
      <c r="AP561" s="259" t="str">
        <f t="shared" si="77"/>
        <v>NOV 20</v>
      </c>
      <c r="AQ561" s="547" t="str">
        <f t="shared" si="78"/>
        <v>有定金+有預留客戶</v>
      </c>
      <c r="AR561" s="259" t="str">
        <f t="shared" si="79"/>
        <v>Shipped_Stock</v>
      </c>
      <c r="AS561" s="259" t="str">
        <f t="shared" si="80"/>
        <v/>
      </c>
      <c r="AT561" s="259" t="str">
        <f t="shared" si="81"/>
        <v>志华鑫</v>
      </c>
      <c r="AU561" s="259" t="str">
        <f t="shared" si="82"/>
        <v>C49SZX20200155JD</v>
      </c>
      <c r="AV561" s="259" t="str">
        <f t="shared" si="83"/>
        <v>Nov-07</v>
      </c>
    </row>
    <row r="562" spans="1:48" hidden="1">
      <c r="A562" s="564">
        <v>792</v>
      </c>
      <c r="B562" s="669" t="s">
        <v>927</v>
      </c>
      <c r="C562" s="568" t="s">
        <v>15</v>
      </c>
      <c r="D562" s="650">
        <v>110025</v>
      </c>
      <c r="E562" s="568" t="s">
        <v>886</v>
      </c>
      <c r="F562" s="652" t="s">
        <v>241</v>
      </c>
      <c r="G562" s="652" t="s">
        <v>18</v>
      </c>
      <c r="H562" s="652" t="s">
        <v>26</v>
      </c>
      <c r="I562" s="580" t="s">
        <v>1226</v>
      </c>
      <c r="J562" s="580">
        <v>1</v>
      </c>
      <c r="K562" s="652" t="s">
        <v>437</v>
      </c>
      <c r="L562" s="680">
        <v>44142</v>
      </c>
      <c r="M562" s="670">
        <v>6.4199999999999993E-2</v>
      </c>
      <c r="N562" s="652" t="s">
        <v>1142</v>
      </c>
      <c r="O562" s="580"/>
      <c r="P562" s="571" t="str">
        <f>VLOOKUP(A562,'[1]Raw data'!$B:$BB,23,FALSE)</f>
        <v>JPY</v>
      </c>
      <c r="Q562" s="568" t="str">
        <f>VLOOKUP(A562,'[1]Raw data'!$B:$Z,2,FALSE)</f>
        <v>C49SZX20200137SS</v>
      </c>
      <c r="R562" s="568" t="str">
        <f>VLOOKUP(A562,'[1]Raw data'!$B:$Z,3,FALSE)</f>
        <v>炑炑明</v>
      </c>
      <c r="S562" s="568" t="str">
        <f>VLOOKUP(A562,'[1]Raw data'!$B:$Z,4,FALSE)</f>
        <v>YSM10</v>
      </c>
      <c r="T562" s="568" t="str">
        <f>VLOOKUP(A562,'[1]Raw data'!$B:$Z,8,FALSE)</f>
        <v>L-&gt;R</v>
      </c>
      <c r="U562" s="568" t="str">
        <f>VLOOKUP(A562,'[1]Raw data'!$B:$Z,9,FALSE)</f>
        <v>MVC</v>
      </c>
      <c r="V562" s="572" t="str">
        <f t="shared" si="84"/>
        <v>WRONG</v>
      </c>
      <c r="W562" s="568" t="str">
        <f>VLOOKUP(A562,'[1]Raw data'!$B:$AG,32,FALSE)</f>
        <v>DAP SZ</v>
      </c>
      <c r="X562" s="568">
        <f>VLOOKUP(A562,'[1]Raw data'!$B:$BA,31,FALSE)</f>
        <v>44067</v>
      </c>
      <c r="Y562" s="568" t="str">
        <f>VLOOKUP(A562,'[1]Raw data'!$B:$AS,39,FALSE)</f>
        <v>Yes</v>
      </c>
      <c r="Z562" s="664"/>
      <c r="AA562" s="665"/>
      <c r="AB562" s="666"/>
      <c r="AC562" s="652" t="s">
        <v>1227</v>
      </c>
      <c r="AD562" s="667">
        <v>301</v>
      </c>
      <c r="AE562" s="667">
        <v>10</v>
      </c>
      <c r="AF562" s="667"/>
      <c r="AG562" s="667"/>
      <c r="AH562" s="667"/>
      <c r="AI562" s="668"/>
      <c r="AN562" s="547"/>
      <c r="AO562" s="829" t="str">
        <f t="shared" si="76"/>
        <v>Yes</v>
      </c>
      <c r="AP562" s="259" t="str">
        <f t="shared" si="77"/>
        <v>NOV 20</v>
      </c>
      <c r="AQ562" s="547" t="str">
        <f t="shared" si="78"/>
        <v>有定金+有預留客戶</v>
      </c>
      <c r="AR562" s="259" t="str">
        <f t="shared" si="79"/>
        <v>Shipped_Stock</v>
      </c>
      <c r="AS562" s="259" t="str">
        <f t="shared" si="80"/>
        <v/>
      </c>
      <c r="AT562" s="259" t="str">
        <f t="shared" si="81"/>
        <v>炑炑明</v>
      </c>
      <c r="AU562" s="259" t="str">
        <f t="shared" si="82"/>
        <v>C49SZX20200137SS</v>
      </c>
      <c r="AV562" s="259" t="str">
        <f t="shared" si="83"/>
        <v>Nov-07</v>
      </c>
    </row>
    <row r="563" spans="1:48" hidden="1">
      <c r="A563" s="564">
        <v>803</v>
      </c>
      <c r="B563" s="669" t="s">
        <v>927</v>
      </c>
      <c r="C563" s="568" t="s">
        <v>15</v>
      </c>
      <c r="D563" s="650">
        <v>110025</v>
      </c>
      <c r="E563" s="568" t="s">
        <v>886</v>
      </c>
      <c r="F563" s="652" t="s">
        <v>241</v>
      </c>
      <c r="G563" s="652" t="s">
        <v>18</v>
      </c>
      <c r="H563" s="652" t="s">
        <v>26</v>
      </c>
      <c r="I563" s="580" t="s">
        <v>1228</v>
      </c>
      <c r="J563" s="580">
        <v>1</v>
      </c>
      <c r="K563" s="652"/>
      <c r="L563" s="680">
        <v>44142</v>
      </c>
      <c r="M563" s="670">
        <v>6.4199999999999993E-2</v>
      </c>
      <c r="N563" s="652" t="s">
        <v>1142</v>
      </c>
      <c r="O563" s="580"/>
      <c r="P563" s="571" t="str">
        <f>VLOOKUP(A563,'[1]Raw data'!$B:$BB,23,FALSE)</f>
        <v>JPY</v>
      </c>
      <c r="Q563" s="568" t="str">
        <f>VLOOKUP(A563,'[1]Raw data'!$B:$Z,2,FALSE)</f>
        <v>C49SZX20200150SS</v>
      </c>
      <c r="R563" s="568" t="str">
        <f>VLOOKUP(A563,'[1]Raw data'!$B:$Z,3,FALSE)</f>
        <v>博睿通（end user：锂动力）</v>
      </c>
      <c r="S563" s="568" t="str">
        <f>VLOOKUP(A563,'[1]Raw data'!$B:$Z,4,FALSE)</f>
        <v>YSM10</v>
      </c>
      <c r="T563" s="568" t="str">
        <f>VLOOKUP(A563,'[1]Raw data'!$B:$Z,8,FALSE)</f>
        <v>R-&gt;L</v>
      </c>
      <c r="U563" s="568" t="str">
        <f>VLOOKUP(A563,'[1]Raw data'!$B:$Z,9,FALSE)</f>
        <v>No</v>
      </c>
      <c r="V563" s="572" t="str">
        <f t="shared" si="84"/>
        <v>OK</v>
      </c>
      <c r="W563" s="568" t="str">
        <f>VLOOKUP(A563,'[1]Raw data'!$B:$AG,32,FALSE)</f>
        <v>DAP FS</v>
      </c>
      <c r="X563" s="568">
        <f>VLOOKUP(A563,'[1]Raw data'!$B:$BA,31,FALSE)</f>
        <v>44076</v>
      </c>
      <c r="Y563" s="568" t="str">
        <f>VLOOKUP(A563,'[1]Raw data'!$B:$AS,39,FALSE)</f>
        <v>Yes</v>
      </c>
      <c r="Z563" s="664"/>
      <c r="AA563" s="665"/>
      <c r="AB563" s="666"/>
      <c r="AC563" s="652" t="s">
        <v>1229</v>
      </c>
      <c r="AD563" s="667">
        <v>301</v>
      </c>
      <c r="AE563" s="667">
        <v>10</v>
      </c>
      <c r="AF563" s="667"/>
      <c r="AG563" s="667"/>
      <c r="AH563" s="667"/>
      <c r="AI563" s="668"/>
      <c r="AN563" s="547"/>
      <c r="AO563" s="829" t="str">
        <f t="shared" si="76"/>
        <v>Yes</v>
      </c>
      <c r="AP563" s="259" t="str">
        <f t="shared" si="77"/>
        <v>NOV 20</v>
      </c>
      <c r="AQ563" s="547" t="str">
        <f t="shared" si="78"/>
        <v>有定金+有預留客戶</v>
      </c>
      <c r="AR563" s="259" t="str">
        <f t="shared" si="79"/>
        <v>Shipped_Stock</v>
      </c>
      <c r="AS563" s="259" t="str">
        <f t="shared" si="80"/>
        <v/>
      </c>
      <c r="AT563" s="259" t="str">
        <f t="shared" si="81"/>
        <v>博睿通（end user：锂动力）</v>
      </c>
      <c r="AU563" s="259" t="str">
        <f t="shared" si="82"/>
        <v>C49SZX20200150SS</v>
      </c>
      <c r="AV563" s="259" t="str">
        <f t="shared" si="83"/>
        <v>Nov-07</v>
      </c>
    </row>
    <row r="564" spans="1:48" hidden="1">
      <c r="A564" s="564">
        <v>804</v>
      </c>
      <c r="B564" s="669" t="s">
        <v>927</v>
      </c>
      <c r="C564" s="568" t="s">
        <v>15</v>
      </c>
      <c r="D564" s="650">
        <v>110025</v>
      </c>
      <c r="E564" s="568" t="s">
        <v>886</v>
      </c>
      <c r="F564" s="652" t="s">
        <v>241</v>
      </c>
      <c r="G564" s="652" t="s">
        <v>18</v>
      </c>
      <c r="H564" s="652" t="s">
        <v>26</v>
      </c>
      <c r="I564" s="580" t="s">
        <v>1230</v>
      </c>
      <c r="J564" s="580">
        <v>1</v>
      </c>
      <c r="K564" s="652"/>
      <c r="L564" s="680">
        <v>44142</v>
      </c>
      <c r="M564" s="670">
        <v>6.4199999999999993E-2</v>
      </c>
      <c r="N564" s="652" t="s">
        <v>1142</v>
      </c>
      <c r="O564" s="580"/>
      <c r="P564" s="571" t="str">
        <f>VLOOKUP(A564,'[1]Raw data'!$B:$BB,23,FALSE)</f>
        <v>JPY</v>
      </c>
      <c r="Q564" s="568" t="str">
        <f>VLOOKUP(A564,'[1]Raw data'!$B:$Z,2,FALSE)</f>
        <v>C49SZX20200150SS</v>
      </c>
      <c r="R564" s="568" t="str">
        <f>VLOOKUP(A564,'[1]Raw data'!$B:$Z,3,FALSE)</f>
        <v>博睿通（end user：锂动力）</v>
      </c>
      <c r="S564" s="568" t="str">
        <f>VLOOKUP(A564,'[1]Raw data'!$B:$Z,4,FALSE)</f>
        <v>YSM10</v>
      </c>
      <c r="T564" s="568" t="str">
        <f>VLOOKUP(A564,'[1]Raw data'!$B:$Z,8,FALSE)</f>
        <v>R-&gt;L</v>
      </c>
      <c r="U564" s="568" t="str">
        <f>VLOOKUP(A564,'[1]Raw data'!$B:$Z,9,FALSE)</f>
        <v>No</v>
      </c>
      <c r="V564" s="572" t="str">
        <f t="shared" si="84"/>
        <v>OK</v>
      </c>
      <c r="W564" s="568" t="str">
        <f>VLOOKUP(A564,'[1]Raw data'!$B:$AG,32,FALSE)</f>
        <v>DAP FS</v>
      </c>
      <c r="X564" s="568">
        <f>VLOOKUP(A564,'[1]Raw data'!$B:$BA,31,FALSE)</f>
        <v>44076</v>
      </c>
      <c r="Y564" s="568" t="str">
        <f>VLOOKUP(A564,'[1]Raw data'!$B:$AS,39,FALSE)</f>
        <v>Yes</v>
      </c>
      <c r="Z564" s="664"/>
      <c r="AA564" s="665"/>
      <c r="AB564" s="666"/>
      <c r="AC564" s="652" t="s">
        <v>1229</v>
      </c>
      <c r="AD564" s="667">
        <v>301</v>
      </c>
      <c r="AE564" s="667">
        <v>10</v>
      </c>
      <c r="AF564" s="667"/>
      <c r="AG564" s="667"/>
      <c r="AH564" s="667"/>
      <c r="AI564" s="668"/>
      <c r="AN564" s="547"/>
      <c r="AO564" s="829" t="str">
        <f t="shared" si="76"/>
        <v>Yes</v>
      </c>
      <c r="AP564" s="259" t="str">
        <f t="shared" si="77"/>
        <v>NOV 20</v>
      </c>
      <c r="AQ564" s="547" t="str">
        <f t="shared" si="78"/>
        <v>有定金+有預留客戶</v>
      </c>
      <c r="AR564" s="259" t="str">
        <f t="shared" si="79"/>
        <v>Shipped_Stock</v>
      </c>
      <c r="AS564" s="259" t="str">
        <f t="shared" si="80"/>
        <v/>
      </c>
      <c r="AT564" s="259" t="str">
        <f t="shared" si="81"/>
        <v>博睿通（end user：锂动力）</v>
      </c>
      <c r="AU564" s="259" t="str">
        <f t="shared" si="82"/>
        <v>C49SZX20200150SS</v>
      </c>
      <c r="AV564" s="259" t="str">
        <f t="shared" si="83"/>
        <v>Nov-07</v>
      </c>
    </row>
    <row r="565" spans="1:48" hidden="1">
      <c r="A565" s="564">
        <v>745</v>
      </c>
      <c r="B565" s="565" t="s">
        <v>927</v>
      </c>
      <c r="C565" s="568" t="s">
        <v>15</v>
      </c>
      <c r="D565" s="650" t="s">
        <v>1231</v>
      </c>
      <c r="E565" s="568" t="s">
        <v>886</v>
      </c>
      <c r="F565" s="652" t="s">
        <v>241</v>
      </c>
      <c r="G565" s="652" t="s">
        <v>18</v>
      </c>
      <c r="H565" s="652" t="s">
        <v>26</v>
      </c>
      <c r="I565" s="580" t="s">
        <v>1232</v>
      </c>
      <c r="J565" s="580">
        <v>1</v>
      </c>
      <c r="K565" s="652" t="s">
        <v>437</v>
      </c>
      <c r="L565" s="680">
        <v>44142</v>
      </c>
      <c r="M565" s="683" t="s">
        <v>1233</v>
      </c>
      <c r="N565" s="652" t="s">
        <v>1124</v>
      </c>
      <c r="O565" s="580"/>
      <c r="P565" s="571" t="str">
        <f>VLOOKUP(A565,'[1]Raw data'!$B:$BB,23,FALSE)</f>
        <v>JPY</v>
      </c>
      <c r="Q565" s="568" t="str">
        <f>VLOOKUP(A565,'[1]Raw data'!$B:$Z,2,FALSE)</f>
        <v>C49SZX20200115SX</v>
      </c>
      <c r="R565" s="568" t="str">
        <f>VLOOKUP(A565,'[1]Raw data'!$B:$Z,3,FALSE)</f>
        <v>优控电子</v>
      </c>
      <c r="S565" s="568" t="str">
        <f>VLOOKUP(A565,'[1]Raw data'!$B:$Z,4,FALSE)</f>
        <v>YSM10</v>
      </c>
      <c r="T565" s="568" t="str">
        <f>VLOOKUP(A565,'[1]Raw data'!$B:$Z,8,FALSE)</f>
        <v>L-&gt;R</v>
      </c>
      <c r="U565" s="568" t="str">
        <f>VLOOKUP(A565,'[1]Raw data'!$B:$Z,9,FALSE)</f>
        <v>No</v>
      </c>
      <c r="V565" s="572" t="str">
        <f t="shared" si="84"/>
        <v>WRONG</v>
      </c>
      <c r="W565" s="568" t="str">
        <f>VLOOKUP(A565,'[1]Raw data'!$B:$AG,32,FALSE)</f>
        <v>DAP JX</v>
      </c>
      <c r="X565" s="568">
        <f>VLOOKUP(A565,'[1]Raw data'!$B:$BA,31,FALSE)</f>
        <v>44040</v>
      </c>
      <c r="Y565" s="568" t="str">
        <f>VLOOKUP(A565,'[1]Raw data'!$B:$AS,39,FALSE)</f>
        <v>Yes</v>
      </c>
      <c r="Z565" s="664"/>
      <c r="AA565" s="665"/>
      <c r="AB565" s="666"/>
      <c r="AC565" s="652" t="s">
        <v>1223</v>
      </c>
      <c r="AD565" s="667">
        <v>301</v>
      </c>
      <c r="AE565" s="667">
        <v>10</v>
      </c>
      <c r="AF565" s="667"/>
      <c r="AG565" s="667"/>
      <c r="AH565" s="667"/>
      <c r="AI565" s="668"/>
      <c r="AN565" s="547"/>
      <c r="AO565" s="829" t="str">
        <f t="shared" si="76"/>
        <v>Yes</v>
      </c>
      <c r="AP565" s="259" t="str">
        <f t="shared" si="77"/>
        <v>DEC 20</v>
      </c>
      <c r="AQ565" s="547" t="str">
        <f t="shared" si="78"/>
        <v>有定金+有預留客戶</v>
      </c>
      <c r="AR565" s="259" t="str">
        <f t="shared" si="79"/>
        <v>Shipped_Stock</v>
      </c>
      <c r="AS565" s="259" t="str">
        <f t="shared" si="80"/>
        <v/>
      </c>
      <c r="AT565" s="259" t="str">
        <f t="shared" si="81"/>
        <v>优控电子</v>
      </c>
      <c r="AU565" s="259" t="str">
        <f t="shared" si="82"/>
        <v>C49SZX20200115SX</v>
      </c>
      <c r="AV565" s="259" t="str">
        <f t="shared" si="83"/>
        <v>Nov-07</v>
      </c>
    </row>
    <row r="566" spans="1:48" hidden="1">
      <c r="A566" s="564">
        <v>847</v>
      </c>
      <c r="B566" s="669" t="s">
        <v>927</v>
      </c>
      <c r="C566" s="568" t="s">
        <v>15</v>
      </c>
      <c r="D566" s="650" t="s">
        <v>1231</v>
      </c>
      <c r="E566" s="568" t="s">
        <v>886</v>
      </c>
      <c r="F566" s="652" t="s">
        <v>241</v>
      </c>
      <c r="G566" s="652" t="s">
        <v>18</v>
      </c>
      <c r="H566" s="652" t="s">
        <v>26</v>
      </c>
      <c r="I566" s="580" t="s">
        <v>1234</v>
      </c>
      <c r="J566" s="580">
        <v>1</v>
      </c>
      <c r="K566" s="652"/>
      <c r="L566" s="680">
        <v>44142</v>
      </c>
      <c r="M566" s="681">
        <v>6.3799999999999996E-2</v>
      </c>
      <c r="N566" s="652" t="s">
        <v>1142</v>
      </c>
      <c r="O566" s="580"/>
      <c r="P566" s="571" t="str">
        <f>VLOOKUP(A566,'[1]Raw data'!$B:$BB,23,FALSE)</f>
        <v>RMB</v>
      </c>
      <c r="Q566" s="568" t="str">
        <f>VLOOKUP(A566,'[1]Raw data'!$B:$Z,2,FALSE)</f>
        <v>C49SZX20200168SX</v>
      </c>
      <c r="R566" s="568" t="str">
        <f>VLOOKUP(A566,'[1]Raw data'!$B:$Z,3,FALSE)</f>
        <v>利速达</v>
      </c>
      <c r="S566" s="568" t="str">
        <f>VLOOKUP(A566,'[1]Raw data'!$B:$Z,4,FALSE)</f>
        <v>YSM10</v>
      </c>
      <c r="T566" s="568" t="str">
        <f>VLOOKUP(A566,'[1]Raw data'!$B:$Z,8,FALSE)</f>
        <v>L-&gt;R</v>
      </c>
      <c r="U566" s="568" t="str">
        <f>VLOOKUP(A566,'[1]Raw data'!$B:$Z,9,FALSE)</f>
        <v>MVC</v>
      </c>
      <c r="V566" s="572" t="str">
        <f t="shared" si="84"/>
        <v>WRONG</v>
      </c>
      <c r="W566" s="568" t="str">
        <f>VLOOKUP(A566,'[1]Raw data'!$B:$AG,32,FALSE)</f>
        <v>含税到厂</v>
      </c>
      <c r="X566" s="568">
        <f>VLOOKUP(A566,'[1]Raw data'!$B:$BA,31,FALSE)</f>
        <v>44096</v>
      </c>
      <c r="Y566" s="568" t="str">
        <f>VLOOKUP(A566,'[1]Raw data'!$B:$AS,39,FALSE)</f>
        <v>Yes</v>
      </c>
      <c r="Z566" s="664"/>
      <c r="AA566" s="665"/>
      <c r="AB566" s="666"/>
      <c r="AC566" s="568" t="s">
        <v>720</v>
      </c>
      <c r="AD566" s="667">
        <v>301</v>
      </c>
      <c r="AE566" s="667">
        <v>10</v>
      </c>
      <c r="AF566" s="667"/>
      <c r="AG566" s="667"/>
      <c r="AH566" s="667"/>
      <c r="AI566" s="668"/>
      <c r="AN566" s="547"/>
      <c r="AO566" s="829" t="str">
        <f t="shared" si="76"/>
        <v>Yes</v>
      </c>
      <c r="AP566" s="259" t="str">
        <f t="shared" si="77"/>
        <v>NOV 20</v>
      </c>
      <c r="AQ566" s="547" t="str">
        <f t="shared" si="78"/>
        <v>有定金+有預留客戶</v>
      </c>
      <c r="AR566" s="259" t="str">
        <f t="shared" si="79"/>
        <v>Shipped_Stock</v>
      </c>
      <c r="AS566" s="259" t="str">
        <f t="shared" si="80"/>
        <v/>
      </c>
      <c r="AT566" s="259" t="str">
        <f t="shared" si="81"/>
        <v>利速达</v>
      </c>
      <c r="AU566" s="259" t="str">
        <f t="shared" si="82"/>
        <v>C49SZX20200168SX</v>
      </c>
      <c r="AV566" s="259" t="str">
        <f t="shared" si="83"/>
        <v>Nov-07</v>
      </c>
    </row>
    <row r="567" spans="1:48" hidden="1">
      <c r="A567" s="564">
        <v>866</v>
      </c>
      <c r="B567" s="669" t="s">
        <v>280</v>
      </c>
      <c r="C567" s="669" t="s">
        <v>15</v>
      </c>
      <c r="D567" s="650" t="s">
        <v>1235</v>
      </c>
      <c r="E567" s="651" t="s">
        <v>1236</v>
      </c>
      <c r="F567" s="652" t="s">
        <v>149</v>
      </c>
      <c r="G567" s="652" t="s">
        <v>18</v>
      </c>
      <c r="H567" s="652" t="s">
        <v>26</v>
      </c>
      <c r="I567" s="580" t="s">
        <v>1237</v>
      </c>
      <c r="J567" s="580">
        <v>1</v>
      </c>
      <c r="K567" s="652" t="s">
        <v>1238</v>
      </c>
      <c r="L567" s="662">
        <v>44139</v>
      </c>
      <c r="M567" s="670" t="s">
        <v>906</v>
      </c>
      <c r="N567" s="652" t="s">
        <v>1142</v>
      </c>
      <c r="O567" s="580"/>
      <c r="P567" s="571" t="str">
        <f>VLOOKUP(A567,'[1]Raw data'!$B:$BB,23,FALSE)</f>
        <v>RMB</v>
      </c>
      <c r="Q567" s="568" t="str">
        <f>VLOOKUP(A567,'[1]Raw data'!$B:$Z,2,FALSE)</f>
        <v>C49SZX20200171DZ</v>
      </c>
      <c r="R567" s="568" t="str">
        <f>VLOOKUP(A567,'[1]Raw data'!$B:$Z,3,FALSE)</f>
        <v>皇家显示</v>
      </c>
      <c r="S567" s="568" t="str">
        <f>VLOOKUP(A567,'[1]Raw data'!$B:$Z,4,FALSE)</f>
        <v>YSM40R-4</v>
      </c>
      <c r="T567" s="568" t="str">
        <f>VLOOKUP(A567,'[1]Raw data'!$B:$Z,8,FALSE)</f>
        <v>L-&gt;R</v>
      </c>
      <c r="U567" s="568" t="str">
        <f>VLOOKUP(A567,'[1]Raw data'!$B:$Z,9,FALSE)</f>
        <v>No</v>
      </c>
      <c r="V567" s="572" t="str">
        <f t="shared" si="84"/>
        <v>WRONG</v>
      </c>
      <c r="W567" s="568" t="str">
        <f>VLOOKUP(A567,'[1]Raw data'!$B:$AG,32,FALSE)</f>
        <v>含税到厂</v>
      </c>
      <c r="X567" s="568">
        <f>VLOOKUP(A567,'[1]Raw data'!$B:$BA,31,FALSE)</f>
        <v>44102</v>
      </c>
      <c r="Y567" s="568" t="str">
        <f>VLOOKUP(A567,'[1]Raw data'!$B:$AS,39,FALSE)</f>
        <v>Yes</v>
      </c>
      <c r="Z567" s="664"/>
      <c r="AA567" s="665"/>
      <c r="AB567" s="666"/>
      <c r="AC567" s="652" t="s">
        <v>678</v>
      </c>
      <c r="AD567" s="667"/>
      <c r="AE567" s="667"/>
      <c r="AF567" s="667"/>
      <c r="AG567" s="667"/>
      <c r="AH567" s="667"/>
      <c r="AI567" s="668"/>
      <c r="AN567" s="547"/>
      <c r="AO567" s="829" t="str">
        <f t="shared" si="76"/>
        <v>Yes</v>
      </c>
      <c r="AP567" s="259" t="str">
        <f t="shared" si="77"/>
        <v>NOV 20</v>
      </c>
      <c r="AQ567" s="547" t="str">
        <f t="shared" si="78"/>
        <v>有定金+有預留客戶</v>
      </c>
      <c r="AR567" s="259" t="str">
        <f t="shared" si="79"/>
        <v>Shipped_Stock</v>
      </c>
      <c r="AS567" s="259" t="str">
        <f t="shared" si="80"/>
        <v/>
      </c>
      <c r="AT567" s="259" t="str">
        <f t="shared" si="81"/>
        <v>皇家显示</v>
      </c>
      <c r="AU567" s="259" t="str">
        <f t="shared" si="82"/>
        <v>C49SZX20200171DZ</v>
      </c>
      <c r="AV567" s="259" t="str">
        <f t="shared" si="83"/>
        <v>Nov-04</v>
      </c>
    </row>
    <row r="568" spans="1:48" hidden="1">
      <c r="A568" s="564">
        <v>865</v>
      </c>
      <c r="B568" s="669" t="s">
        <v>280</v>
      </c>
      <c r="C568" s="669" t="s">
        <v>15</v>
      </c>
      <c r="D568" s="650" t="s">
        <v>1235</v>
      </c>
      <c r="E568" s="651" t="s">
        <v>1236</v>
      </c>
      <c r="F568" s="652" t="s">
        <v>149</v>
      </c>
      <c r="G568" s="652" t="s">
        <v>18</v>
      </c>
      <c r="H568" s="652" t="s">
        <v>26</v>
      </c>
      <c r="I568" s="580" t="s">
        <v>1239</v>
      </c>
      <c r="J568" s="580">
        <v>1</v>
      </c>
      <c r="K568" s="652" t="s">
        <v>1238</v>
      </c>
      <c r="L568" s="662">
        <v>44139</v>
      </c>
      <c r="M568" s="670" t="s">
        <v>906</v>
      </c>
      <c r="N568" s="652" t="s">
        <v>1142</v>
      </c>
      <c r="O568" s="652"/>
      <c r="P568" s="571" t="str">
        <f>VLOOKUP(A568,'[1]Raw data'!$B:$BB,23,FALSE)</f>
        <v>RMB</v>
      </c>
      <c r="Q568" s="568" t="str">
        <f>VLOOKUP(A568,'[1]Raw data'!$B:$Z,2,FALSE)</f>
        <v>C49SZX20200171DZ</v>
      </c>
      <c r="R568" s="568" t="str">
        <f>VLOOKUP(A568,'[1]Raw data'!$B:$Z,3,FALSE)</f>
        <v>皇家显示</v>
      </c>
      <c r="S568" s="568" t="str">
        <f>VLOOKUP(A568,'[1]Raw data'!$B:$Z,4,FALSE)</f>
        <v>YSM40R-4</v>
      </c>
      <c r="T568" s="568" t="str">
        <f>VLOOKUP(A568,'[1]Raw data'!$B:$Z,8,FALSE)</f>
        <v>L-&gt;R</v>
      </c>
      <c r="U568" s="568" t="str">
        <f>VLOOKUP(A568,'[1]Raw data'!$B:$Z,9,FALSE)</f>
        <v>No</v>
      </c>
      <c r="V568" s="572" t="str">
        <f t="shared" si="84"/>
        <v>WRONG</v>
      </c>
      <c r="W568" s="568" t="str">
        <f>VLOOKUP(A568,'[1]Raw data'!$B:$AG,32,FALSE)</f>
        <v>含税到厂</v>
      </c>
      <c r="X568" s="568">
        <f>VLOOKUP(A568,'[1]Raw data'!$B:$BA,31,FALSE)</f>
        <v>44102</v>
      </c>
      <c r="Y568" s="568" t="str">
        <f>VLOOKUP(A568,'[1]Raw data'!$B:$AS,39,FALSE)</f>
        <v>Yes</v>
      </c>
      <c r="Z568" s="664"/>
      <c r="AA568" s="665"/>
      <c r="AB568" s="666"/>
      <c r="AC568" s="568" t="s">
        <v>678</v>
      </c>
      <c r="AD568" s="667"/>
      <c r="AE568" s="667"/>
      <c r="AF568" s="667"/>
      <c r="AG568" s="667"/>
      <c r="AH568" s="667"/>
      <c r="AI568" s="668"/>
      <c r="AN568" s="547"/>
      <c r="AO568" s="829" t="str">
        <f t="shared" si="76"/>
        <v>Yes</v>
      </c>
      <c r="AP568" s="259" t="str">
        <f t="shared" si="77"/>
        <v>NOV 20</v>
      </c>
      <c r="AQ568" s="547" t="str">
        <f t="shared" si="78"/>
        <v>有定金+有預留客戶</v>
      </c>
      <c r="AR568" s="259" t="str">
        <f t="shared" si="79"/>
        <v>Shipped_Stock</v>
      </c>
      <c r="AS568" s="259" t="str">
        <f t="shared" si="80"/>
        <v/>
      </c>
      <c r="AT568" s="259" t="str">
        <f t="shared" si="81"/>
        <v>皇家显示</v>
      </c>
      <c r="AU568" s="259" t="str">
        <f t="shared" si="82"/>
        <v>C49SZX20200171DZ</v>
      </c>
      <c r="AV568" s="259" t="str">
        <f t="shared" si="83"/>
        <v>Nov-04</v>
      </c>
    </row>
    <row r="569" spans="1:48" hidden="1">
      <c r="A569" s="564">
        <v>870</v>
      </c>
      <c r="B569" s="565" t="s">
        <v>280</v>
      </c>
      <c r="C569" s="568" t="s">
        <v>4056</v>
      </c>
      <c r="D569" s="650">
        <v>110045</v>
      </c>
      <c r="E569" s="568" t="s">
        <v>886</v>
      </c>
      <c r="F569" s="652" t="s">
        <v>551</v>
      </c>
      <c r="G569" s="652" t="s">
        <v>18</v>
      </c>
      <c r="H569" s="652" t="s">
        <v>26</v>
      </c>
      <c r="I569" s="580" t="s">
        <v>1240</v>
      </c>
      <c r="J569" s="580">
        <v>1</v>
      </c>
      <c r="K569" s="652" t="s">
        <v>437</v>
      </c>
      <c r="L569" s="680">
        <v>44142</v>
      </c>
      <c r="M569" s="670" t="s">
        <v>906</v>
      </c>
      <c r="N569" s="652" t="s">
        <v>1124</v>
      </c>
      <c r="O569" s="580" t="s">
        <v>1154</v>
      </c>
      <c r="P569" s="571" t="str">
        <f>VLOOKUP(A569,'[1]Raw data'!$B:$BB,23,FALSE)</f>
        <v>JPY</v>
      </c>
      <c r="Q569" s="568" t="str">
        <f>VLOOKUP(A569,'[1]Raw data'!$B:$Z,2,FALSE)</f>
        <v>C28SZX20200087KC</v>
      </c>
      <c r="R569" s="568" t="str">
        <f>VLOOKUP(A569,'[1]Raw data'!$B:$Z,3,FALSE)</f>
        <v>嘉裕</v>
      </c>
      <c r="S569" s="568" t="str">
        <f>VLOOKUP(A569,'[1]Raw data'!$B:$Z,4,FALSE)</f>
        <v>YCP10</v>
      </c>
      <c r="T569" s="568" t="str">
        <f>VLOOKUP(A569,'[1]Raw data'!$B:$Z,8,FALSE)</f>
        <v>L-&gt;R</v>
      </c>
      <c r="U569" s="568" t="str">
        <f>VLOOKUP(A569,'[1]Raw data'!$B:$Z,9,FALSE)</f>
        <v>No</v>
      </c>
      <c r="V569" s="572" t="str">
        <f t="shared" si="84"/>
        <v>WRONG</v>
      </c>
      <c r="W569" s="568" t="str">
        <f>VLOOKUP(A569,'[1]Raw data'!$B:$AG,32,FALSE)</f>
        <v>CIF HK</v>
      </c>
      <c r="X569" s="568">
        <f>VLOOKUP(A569,'[1]Raw data'!$B:$BA,31,FALSE)</f>
        <v>44102</v>
      </c>
      <c r="Y569" s="568" t="str">
        <f>VLOOKUP(A569,'[1]Raw data'!$B:$AS,39,FALSE)</f>
        <v>Yes</v>
      </c>
      <c r="Z569" s="664"/>
      <c r="AA569" s="665"/>
      <c r="AB569" s="666"/>
      <c r="AC569" s="568" t="s">
        <v>555</v>
      </c>
      <c r="AD569" s="667"/>
      <c r="AE569" s="667"/>
      <c r="AF569" s="667"/>
      <c r="AG569" s="667"/>
      <c r="AH569" s="667"/>
      <c r="AI569" s="668"/>
      <c r="AN569" s="547"/>
      <c r="AO569" s="829" t="str">
        <f t="shared" si="76"/>
        <v>Yes</v>
      </c>
      <c r="AP569" s="259" t="str">
        <f t="shared" si="77"/>
        <v>DEC 20</v>
      </c>
      <c r="AQ569" s="547" t="str">
        <f t="shared" si="78"/>
        <v>有定金+有預留客戶</v>
      </c>
      <c r="AR569" s="259" t="str">
        <f t="shared" si="79"/>
        <v>Shipped_Stock</v>
      </c>
      <c r="AS569" s="259" t="str">
        <f t="shared" si="80"/>
        <v/>
      </c>
      <c r="AT569" s="259" t="str">
        <f t="shared" si="81"/>
        <v>嘉裕</v>
      </c>
      <c r="AU569" s="259" t="str">
        <f t="shared" si="82"/>
        <v>C28SZX20200087KC</v>
      </c>
      <c r="AV569" s="259" t="str">
        <f t="shared" si="83"/>
        <v>Nov-07</v>
      </c>
    </row>
    <row r="570" spans="1:48" hidden="1">
      <c r="A570" s="564">
        <v>846</v>
      </c>
      <c r="B570" s="565" t="s">
        <v>280</v>
      </c>
      <c r="C570" s="568" t="s">
        <v>4056</v>
      </c>
      <c r="D570" s="650">
        <v>110081</v>
      </c>
      <c r="E570" s="651" t="s">
        <v>886</v>
      </c>
      <c r="F570" s="652" t="s">
        <v>201</v>
      </c>
      <c r="G570" s="652" t="s">
        <v>18</v>
      </c>
      <c r="H570" s="652" t="s">
        <v>26</v>
      </c>
      <c r="I570" s="580" t="s">
        <v>1242</v>
      </c>
      <c r="J570" s="580">
        <v>1</v>
      </c>
      <c r="K570" s="652" t="s">
        <v>437</v>
      </c>
      <c r="L570" s="680">
        <v>44148</v>
      </c>
      <c r="M570" s="670">
        <v>6.4000000000000001E-2</v>
      </c>
      <c r="N570" s="652" t="s">
        <v>1124</v>
      </c>
      <c r="O570" s="580" t="s">
        <v>1154</v>
      </c>
      <c r="P570" s="571" t="str">
        <f>VLOOKUP(A570,'[1]Raw data'!$B:$BB,23,FALSE)</f>
        <v>RMB</v>
      </c>
      <c r="Q570" s="568" t="str">
        <f>VLOOKUP(A570,'[1]Raw data'!$B:$Z,2,FALSE)</f>
        <v>C28SZX20200084KC</v>
      </c>
      <c r="R570" s="568" t="str">
        <f>VLOOKUP(A570,'[1]Raw data'!$B:$Z,3,FALSE)</f>
        <v>鑫联科</v>
      </c>
      <c r="S570" s="568" t="str">
        <f>VLOOKUP(A570,'[1]Raw data'!$B:$Z,4,FALSE)</f>
        <v>YSi-V</v>
      </c>
      <c r="T570" s="568" t="str">
        <f>VLOOKUP(A570,'[1]Raw data'!$B:$Z,8,FALSE)</f>
        <v>R-&gt;L</v>
      </c>
      <c r="U570" s="568" t="str">
        <f>VLOOKUP(A570,'[1]Raw data'!$B:$Z,9,FALSE)</f>
        <v>No</v>
      </c>
      <c r="V570" s="572" t="str">
        <f t="shared" si="84"/>
        <v>OK</v>
      </c>
      <c r="W570" s="568" t="str">
        <f>VLOOKUP(A570,'[1]Raw data'!$B:$AG,32,FALSE)</f>
        <v>含税到厂</v>
      </c>
      <c r="X570" s="568">
        <f>VLOOKUP(A570,'[1]Raw data'!$B:$BA,31,FALSE)</f>
        <v>44091</v>
      </c>
      <c r="Y570" s="568" t="str">
        <f>VLOOKUP(A570,'[1]Raw data'!$B:$AS,39,FALSE)</f>
        <v>No</v>
      </c>
      <c r="Z570" s="664"/>
      <c r="AA570" s="665"/>
      <c r="AB570" s="666"/>
      <c r="AC570" s="652" t="s">
        <v>1243</v>
      </c>
      <c r="AD570" s="667"/>
      <c r="AE570" s="667"/>
      <c r="AF570" s="667"/>
      <c r="AG570" s="667"/>
      <c r="AH570" s="667"/>
      <c r="AI570" s="668"/>
      <c r="AN570" s="547"/>
      <c r="AO570" s="829" t="str">
        <f t="shared" si="76"/>
        <v>No</v>
      </c>
      <c r="AP570" s="259" t="str">
        <f t="shared" si="77"/>
        <v>DEC 20</v>
      </c>
      <c r="AQ570" s="547" t="str">
        <f t="shared" si="78"/>
        <v>无定金+有預留客戶</v>
      </c>
      <c r="AR570" s="259" t="str">
        <f t="shared" si="79"/>
        <v>Shipped_Stock</v>
      </c>
      <c r="AS570" s="259" t="str">
        <f t="shared" si="80"/>
        <v/>
      </c>
      <c r="AT570" s="259" t="str">
        <f t="shared" si="81"/>
        <v>鑫联科</v>
      </c>
      <c r="AU570" s="259" t="str">
        <f t="shared" si="82"/>
        <v>C28SZX20200084KC</v>
      </c>
      <c r="AV570" s="259" t="str">
        <f t="shared" si="83"/>
        <v>Nov-13</v>
      </c>
    </row>
    <row r="571" spans="1:48" hidden="1">
      <c r="A571" s="721" t="s">
        <v>1244</v>
      </c>
      <c r="B571" s="565" t="s">
        <v>1125</v>
      </c>
      <c r="C571" s="568" t="s">
        <v>4056</v>
      </c>
      <c r="D571" s="650">
        <v>110081</v>
      </c>
      <c r="E571" s="651" t="s">
        <v>886</v>
      </c>
      <c r="F571" s="652" t="s">
        <v>201</v>
      </c>
      <c r="G571" s="652" t="s">
        <v>18</v>
      </c>
      <c r="H571" s="652" t="s">
        <v>26</v>
      </c>
      <c r="I571" s="580" t="s">
        <v>1245</v>
      </c>
      <c r="J571" s="580">
        <v>1</v>
      </c>
      <c r="K571" s="652" t="s">
        <v>82</v>
      </c>
      <c r="L571" s="680">
        <v>44148</v>
      </c>
      <c r="M571" s="670">
        <v>6.4000000000000001E-2</v>
      </c>
      <c r="N571" s="652" t="s">
        <v>14</v>
      </c>
      <c r="O571" s="580" t="s">
        <v>1154</v>
      </c>
      <c r="P571" s="722" t="s">
        <v>1246</v>
      </c>
      <c r="Q571" s="715" t="s">
        <v>1247</v>
      </c>
      <c r="R571" s="723" t="s">
        <v>1248</v>
      </c>
      <c r="S571" s="715" t="s">
        <v>201</v>
      </c>
      <c r="T571" s="715" t="s">
        <v>18</v>
      </c>
      <c r="U571" s="715" t="s">
        <v>26</v>
      </c>
      <c r="V571" s="572" t="str">
        <f t="shared" si="84"/>
        <v>OK</v>
      </c>
      <c r="W571" s="568" t="e">
        <f>VLOOKUP(A571,'[1]Raw data'!$B:$AG,32,FALSE)</f>
        <v>#N/A</v>
      </c>
      <c r="X571" s="568" t="e">
        <f>VLOOKUP(A571,'[1]Raw data'!$B:$BA,31,FALSE)</f>
        <v>#N/A</v>
      </c>
      <c r="Y571" s="568" t="e">
        <f>VLOOKUP(A571,'[1]Raw data'!$B:$AS,39,FALSE)</f>
        <v>#N/A</v>
      </c>
      <c r="Z571" s="664"/>
      <c r="AA571" s="665"/>
      <c r="AB571" s="666"/>
      <c r="AC571" s="652" t="s">
        <v>1249</v>
      </c>
      <c r="AD571" s="667"/>
      <c r="AE571" s="667"/>
      <c r="AF571" s="667"/>
      <c r="AG571" s="667"/>
      <c r="AH571" s="667"/>
      <c r="AI571" s="668"/>
      <c r="AN571" s="547"/>
      <c r="AO571" s="829" t="str">
        <f t="shared" si="76"/>
        <v>No</v>
      </c>
      <c r="AP571" s="259" t="str">
        <f t="shared" si="77"/>
        <v>FEB 21</v>
      </c>
      <c r="AQ571" s="547" t="str">
        <f t="shared" si="78"/>
        <v>无定金+有預留客戶</v>
      </c>
      <c r="AR571" s="259" t="str">
        <f t="shared" si="79"/>
        <v>Shipped_Stock</v>
      </c>
      <c r="AS571" s="259" t="str">
        <f t="shared" si="80"/>
        <v/>
      </c>
      <c r="AT571" s="259" t="str">
        <f t="shared" si="81"/>
        <v>中科朗恩</v>
      </c>
      <c r="AU571" s="259" t="str">
        <f t="shared" si="82"/>
        <v>C49SHA20210115/LYJ</v>
      </c>
      <c r="AV571" s="259" t="str">
        <f t="shared" si="83"/>
        <v>Nov-13</v>
      </c>
    </row>
    <row r="572" spans="1:48" hidden="1">
      <c r="A572" s="564">
        <v>828</v>
      </c>
      <c r="B572" s="568" t="s">
        <v>280</v>
      </c>
      <c r="C572" s="565" t="s">
        <v>281</v>
      </c>
      <c r="D572" s="569">
        <v>110050</v>
      </c>
      <c r="E572" s="568" t="s">
        <v>878</v>
      </c>
      <c r="F572" s="568" t="s">
        <v>241</v>
      </c>
      <c r="G572" s="568" t="s">
        <v>18</v>
      </c>
      <c r="H572" s="568" t="s">
        <v>34</v>
      </c>
      <c r="I572" s="569" t="s">
        <v>1250</v>
      </c>
      <c r="J572" s="569">
        <v>1</v>
      </c>
      <c r="K572" s="568" t="s">
        <v>437</v>
      </c>
      <c r="L572" s="570">
        <v>44149</v>
      </c>
      <c r="M572" s="571" t="s">
        <v>906</v>
      </c>
      <c r="N572" s="568" t="s">
        <v>1142</v>
      </c>
      <c r="O572" s="568" t="s">
        <v>1154</v>
      </c>
      <c r="P572" s="571" t="str">
        <f>VLOOKUP(A572,'[1]Raw data'!$B:$BB,23,FALSE)</f>
        <v>JPY</v>
      </c>
      <c r="Q572" s="568" t="str">
        <f>VLOOKUP(A572,'[1]Raw data'!$B:$Z,2,FALSE)</f>
        <v>C49SZX20200160JL</v>
      </c>
      <c r="R572" s="568" t="str">
        <f>VLOOKUP(A572,'[1]Raw data'!$B:$Z,3,FALSE)</f>
        <v>力通威</v>
      </c>
      <c r="S572" s="568" t="str">
        <f>VLOOKUP(A572,'[1]Raw data'!$B:$Z,4,FALSE)</f>
        <v>YSM10</v>
      </c>
      <c r="T572" s="568" t="str">
        <f>VLOOKUP(A572,'[1]Raw data'!$B:$Z,8,FALSE)</f>
        <v>R-&gt;L</v>
      </c>
      <c r="U572" s="568" t="str">
        <f>VLOOKUP(A572,'[1]Raw data'!$B:$Z,9,FALSE)</f>
        <v>MVC+ATS15</v>
      </c>
      <c r="V572" s="572" t="str">
        <f t="shared" si="84"/>
        <v>OK</v>
      </c>
      <c r="W572" s="568" t="str">
        <f>VLOOKUP(A572,'[1]Raw data'!$B:$AG,32,FALSE)</f>
        <v>CIF HK</v>
      </c>
      <c r="X572" s="568">
        <f>VLOOKUP(A572,'[1]Raw data'!$B:$BA,31,FALSE)</f>
        <v>44084</v>
      </c>
      <c r="Y572" s="568" t="str">
        <f>VLOOKUP(A572,'[1]Raw data'!$B:$AS,39,FALSE)</f>
        <v>Yes</v>
      </c>
      <c r="Z572" s="568"/>
      <c r="AA572" s="576"/>
      <c r="AB572" s="576"/>
      <c r="AC572" s="568" t="s">
        <v>565</v>
      </c>
      <c r="AD572" s="576">
        <v>302</v>
      </c>
      <c r="AE572" s="576">
        <v>10</v>
      </c>
      <c r="AG572" s="547"/>
      <c r="AH572" s="547"/>
      <c r="AI572" s="547"/>
      <c r="AJ572" s="586"/>
      <c r="AK572" s="586"/>
      <c r="AL572" s="586"/>
      <c r="AM572" s="586"/>
      <c r="AN572" s="547"/>
      <c r="AO572" s="829" t="str">
        <f t="shared" si="76"/>
        <v>Yes</v>
      </c>
      <c r="AP572" s="259" t="str">
        <f t="shared" si="77"/>
        <v>NOV 20</v>
      </c>
      <c r="AQ572" s="547" t="str">
        <f t="shared" si="78"/>
        <v>有定金+有預留客戶</v>
      </c>
      <c r="AR572" s="259" t="str">
        <f t="shared" si="79"/>
        <v>Shipped_Stock</v>
      </c>
      <c r="AS572" s="259" t="str">
        <f t="shared" si="80"/>
        <v/>
      </c>
      <c r="AT572" s="259" t="str">
        <f t="shared" si="81"/>
        <v>力通威</v>
      </c>
      <c r="AU572" s="259" t="str">
        <f t="shared" si="82"/>
        <v>C49SZX20200160JL</v>
      </c>
      <c r="AV572" s="259" t="str">
        <f t="shared" si="83"/>
        <v>Nov-14</v>
      </c>
    </row>
    <row r="573" spans="1:48" hidden="1">
      <c r="A573" s="564">
        <v>849</v>
      </c>
      <c r="B573" s="565" t="s">
        <v>280</v>
      </c>
      <c r="C573" s="568" t="s">
        <v>15</v>
      </c>
      <c r="D573" s="650">
        <v>110050</v>
      </c>
      <c r="E573" s="651" t="s">
        <v>878</v>
      </c>
      <c r="F573" s="652" t="s">
        <v>241</v>
      </c>
      <c r="G573" s="652" t="s">
        <v>18</v>
      </c>
      <c r="H573" s="652" t="s">
        <v>34</v>
      </c>
      <c r="I573" s="580" t="s">
        <v>1251</v>
      </c>
      <c r="J573" s="580">
        <v>1</v>
      </c>
      <c r="K573" s="652" t="s">
        <v>437</v>
      </c>
      <c r="L573" s="662">
        <v>44149</v>
      </c>
      <c r="M573" s="670" t="s">
        <v>906</v>
      </c>
      <c r="N573" s="652" t="s">
        <v>1124</v>
      </c>
      <c r="O573" s="580" t="s">
        <v>1154</v>
      </c>
      <c r="P573" s="571" t="str">
        <f>VLOOKUP(A573,'[1]Raw data'!$B:$BB,23,FALSE)</f>
        <v>JPY</v>
      </c>
      <c r="Q573" s="568" t="str">
        <f>VLOOKUP(A573,'[1]Raw data'!$B:$Z,2,FALSE)</f>
        <v>C49SZX20200167EC</v>
      </c>
      <c r="R573" s="568" t="str">
        <f>VLOOKUP(A573,'[1]Raw data'!$B:$Z,3,FALSE)</f>
        <v>海红天远</v>
      </c>
      <c r="S573" s="568" t="str">
        <f>VLOOKUP(A573,'[1]Raw data'!$B:$Z,4,FALSE)</f>
        <v>YSM10</v>
      </c>
      <c r="T573" s="568" t="str">
        <f>VLOOKUP(A573,'[1]Raw data'!$B:$Z,8,FALSE)</f>
        <v>L-&gt;R</v>
      </c>
      <c r="U573" s="568" t="str">
        <f>VLOOKUP(A573,'[1]Raw data'!$B:$Z,9,FALSE)</f>
        <v>MVC+ATS15</v>
      </c>
      <c r="V573" s="572" t="str">
        <f t="shared" si="84"/>
        <v>WRONG</v>
      </c>
      <c r="W573" s="568" t="str">
        <f>VLOOKUP(A573,'[1]Raw data'!$B:$AG,32,FALSE)</f>
        <v>CIF HK</v>
      </c>
      <c r="X573" s="568">
        <f>VLOOKUP(A573,'[1]Raw data'!$B:$BA,31,FALSE)</f>
        <v>44092</v>
      </c>
      <c r="Y573" s="568" t="str">
        <f>VLOOKUP(A573,'[1]Raw data'!$B:$AS,39,FALSE)</f>
        <v>Yes</v>
      </c>
      <c r="Z573" s="664"/>
      <c r="AA573" s="665"/>
      <c r="AB573" s="666"/>
      <c r="AC573" s="652" t="s">
        <v>1079</v>
      </c>
      <c r="AD573" s="667">
        <v>302</v>
      </c>
      <c r="AE573" s="667">
        <v>10</v>
      </c>
      <c r="AF573" s="667"/>
      <c r="AG573" s="667"/>
      <c r="AH573" s="667"/>
      <c r="AI573" s="668"/>
      <c r="AN573" s="547"/>
      <c r="AO573" s="829" t="str">
        <f t="shared" si="76"/>
        <v>Yes</v>
      </c>
      <c r="AP573" s="259" t="str">
        <f t="shared" si="77"/>
        <v>DEC 20</v>
      </c>
      <c r="AQ573" s="547" t="str">
        <f t="shared" si="78"/>
        <v>有定金+有預留客戶</v>
      </c>
      <c r="AR573" s="259" t="str">
        <f t="shared" si="79"/>
        <v>Shipped_Stock</v>
      </c>
      <c r="AS573" s="259" t="str">
        <f t="shared" si="80"/>
        <v/>
      </c>
      <c r="AT573" s="259" t="str">
        <f t="shared" si="81"/>
        <v>海红天远</v>
      </c>
      <c r="AU573" s="259" t="str">
        <f t="shared" si="82"/>
        <v>C49SZX20200167EC</v>
      </c>
      <c r="AV573" s="259" t="str">
        <f t="shared" si="83"/>
        <v>Nov-14</v>
      </c>
    </row>
    <row r="574" spans="1:48" hidden="1">
      <c r="A574" s="564">
        <v>833</v>
      </c>
      <c r="B574" s="565" t="s">
        <v>280</v>
      </c>
      <c r="C574" s="568" t="s">
        <v>15</v>
      </c>
      <c r="D574" s="650" t="s">
        <v>1252</v>
      </c>
      <c r="E574" s="651" t="s">
        <v>878</v>
      </c>
      <c r="F574" s="652" t="s">
        <v>241</v>
      </c>
      <c r="G574" s="652" t="s">
        <v>18</v>
      </c>
      <c r="H574" s="652" t="s">
        <v>26</v>
      </c>
      <c r="I574" s="580" t="s">
        <v>1253</v>
      </c>
      <c r="J574" s="580">
        <v>1</v>
      </c>
      <c r="K574" s="652" t="s">
        <v>437</v>
      </c>
      <c r="L574" s="662">
        <v>44149</v>
      </c>
      <c r="M574" s="670">
        <v>6.4000000000000001E-2</v>
      </c>
      <c r="N574" s="652" t="s">
        <v>1142</v>
      </c>
      <c r="O574" s="580" t="s">
        <v>1154</v>
      </c>
      <c r="P574" s="571" t="str">
        <f>VLOOKUP(A574,'[1]Raw data'!$B:$BB,23,FALSE)</f>
        <v>RMB</v>
      </c>
      <c r="Q574" s="568" t="str">
        <f>VLOOKUP(A574,'[1]Raw data'!$B:$Z,2,FALSE)</f>
        <v>C49SZX20200155JD</v>
      </c>
      <c r="R574" s="568" t="str">
        <f>VLOOKUP(A574,'[1]Raw data'!$B:$Z,3,FALSE)</f>
        <v>志华鑫</v>
      </c>
      <c r="S574" s="568" t="str">
        <f>VLOOKUP(A574,'[1]Raw data'!$B:$Z,4,FALSE)</f>
        <v>YSM10</v>
      </c>
      <c r="T574" s="568" t="str">
        <f>VLOOKUP(A574,'[1]Raw data'!$B:$Z,8,FALSE)</f>
        <v>L-&gt;R</v>
      </c>
      <c r="U574" s="568" t="str">
        <f>VLOOKUP(A574,'[1]Raw data'!$B:$Z,9,FALSE)</f>
        <v>MVC</v>
      </c>
      <c r="V574" s="572" t="str">
        <f t="shared" si="84"/>
        <v>WRONG</v>
      </c>
      <c r="W574" s="568" t="str">
        <f>VLOOKUP(A574,'[1]Raw data'!$B:$AG,32,FALSE)</f>
        <v>含税到厂</v>
      </c>
      <c r="X574" s="568">
        <f>VLOOKUP(A574,'[1]Raw data'!$B:$BA,31,FALSE)</f>
        <v>44090</v>
      </c>
      <c r="Y574" s="568" t="str">
        <f>VLOOKUP(A574,'[1]Raw data'!$B:$AS,39,FALSE)</f>
        <v>Yes</v>
      </c>
      <c r="Z574" s="664"/>
      <c r="AA574" s="665"/>
      <c r="AB574" s="666"/>
      <c r="AC574" s="652" t="s">
        <v>1158</v>
      </c>
      <c r="AD574" s="667">
        <v>302</v>
      </c>
      <c r="AE574" s="667">
        <v>10</v>
      </c>
      <c r="AF574" s="667"/>
      <c r="AG574" s="667"/>
      <c r="AH574" s="667"/>
      <c r="AI574" s="668"/>
      <c r="AN574" s="547"/>
      <c r="AO574" s="829" t="str">
        <f t="shared" si="76"/>
        <v>Yes</v>
      </c>
      <c r="AP574" s="259" t="str">
        <f t="shared" si="77"/>
        <v>NOV 20</v>
      </c>
      <c r="AQ574" s="547" t="str">
        <f t="shared" si="78"/>
        <v>有定金+有預留客戶</v>
      </c>
      <c r="AR574" s="259" t="str">
        <f t="shared" si="79"/>
        <v>Shipped_Stock</v>
      </c>
      <c r="AS574" s="259" t="str">
        <f t="shared" si="80"/>
        <v/>
      </c>
      <c r="AT574" s="259" t="str">
        <f t="shared" si="81"/>
        <v>志华鑫</v>
      </c>
      <c r="AU574" s="259" t="str">
        <f t="shared" si="82"/>
        <v>C49SZX20200155JD</v>
      </c>
      <c r="AV574" s="259" t="str">
        <f t="shared" si="83"/>
        <v>Nov-14</v>
      </c>
    </row>
    <row r="575" spans="1:48" hidden="1">
      <c r="A575" s="564">
        <v>845</v>
      </c>
      <c r="B575" s="669" t="s">
        <v>280</v>
      </c>
      <c r="C575" s="568" t="s">
        <v>15</v>
      </c>
      <c r="D575" s="650">
        <v>110043</v>
      </c>
      <c r="E575" s="568" t="s">
        <v>886</v>
      </c>
      <c r="F575" s="652" t="s">
        <v>241</v>
      </c>
      <c r="G575" s="652" t="s">
        <v>18</v>
      </c>
      <c r="H575" s="652" t="s">
        <v>26</v>
      </c>
      <c r="I575" s="580" t="s">
        <v>1254</v>
      </c>
      <c r="J575" s="580">
        <v>1</v>
      </c>
      <c r="K575" s="652" t="s">
        <v>311</v>
      </c>
      <c r="L575" s="680">
        <v>44156</v>
      </c>
      <c r="M575" s="670" t="s">
        <v>906</v>
      </c>
      <c r="N575" s="652" t="s">
        <v>1142</v>
      </c>
      <c r="O575" s="580"/>
      <c r="P575" s="571" t="str">
        <f>VLOOKUP(A575,'[1]Raw data'!$B:$BB,23,FALSE)</f>
        <v>JPY</v>
      </c>
      <c r="Q575" s="568" t="str">
        <f>VLOOKUP(A575,'[1]Raw data'!$B:$Z,2,FALSE)</f>
        <v>C49SZX20200159JY</v>
      </c>
      <c r="R575" s="568" t="str">
        <f>VLOOKUP(A575,'[1]Raw data'!$B:$Z,3,FALSE)</f>
        <v>昊亮迪</v>
      </c>
      <c r="S575" s="568" t="str">
        <f>VLOOKUP(A575,'[1]Raw data'!$B:$Z,4,FALSE)</f>
        <v>YSM10</v>
      </c>
      <c r="T575" s="568" t="str">
        <f>VLOOKUP(A575,'[1]Raw data'!$B:$Z,8,FALSE)</f>
        <v>L-&gt;R</v>
      </c>
      <c r="U575" s="568" t="str">
        <f>VLOOKUP(A575,'[1]Raw data'!$B:$Z,9,FALSE)</f>
        <v>No</v>
      </c>
      <c r="V575" s="572" t="str">
        <f t="shared" si="84"/>
        <v>WRONG</v>
      </c>
      <c r="W575" s="568" t="str">
        <f>VLOOKUP(A575,'[1]Raw data'!$B:$AG,32,FALSE)</f>
        <v>DAP SZ</v>
      </c>
      <c r="X575" s="568">
        <f>VLOOKUP(A575,'[1]Raw data'!$B:$BA,31,FALSE)</f>
        <v>44085</v>
      </c>
      <c r="Y575" s="568" t="str">
        <f>VLOOKUP(A575,'[1]Raw data'!$B:$AS,39,FALSE)</f>
        <v>Yes</v>
      </c>
      <c r="Z575" s="664"/>
      <c r="AA575" s="665"/>
      <c r="AB575" s="666"/>
      <c r="AC575" s="652" t="s">
        <v>1082</v>
      </c>
      <c r="AD575" s="667">
        <v>301</v>
      </c>
      <c r="AE575" s="667">
        <v>10</v>
      </c>
      <c r="AF575" s="667"/>
      <c r="AG575" s="667"/>
      <c r="AH575" s="667"/>
      <c r="AI575" s="668"/>
      <c r="AN575" s="547"/>
      <c r="AO575" s="829" t="str">
        <f t="shared" si="76"/>
        <v>Yes</v>
      </c>
      <c r="AP575" s="259" t="str">
        <f t="shared" si="77"/>
        <v>NOV 20</v>
      </c>
      <c r="AQ575" s="547" t="str">
        <f t="shared" si="78"/>
        <v>有定金+有預留客戶</v>
      </c>
      <c r="AR575" s="259" t="str">
        <f t="shared" si="79"/>
        <v>Shipped_Stock</v>
      </c>
      <c r="AS575" s="259" t="str">
        <f t="shared" si="80"/>
        <v/>
      </c>
      <c r="AT575" s="259" t="str">
        <f t="shared" si="81"/>
        <v>昊亮迪</v>
      </c>
      <c r="AU575" s="259" t="str">
        <f t="shared" si="82"/>
        <v>C49SZX20200159JY</v>
      </c>
      <c r="AV575" s="259" t="str">
        <f t="shared" si="83"/>
        <v>Nov-21</v>
      </c>
    </row>
    <row r="576" spans="1:48" ht="22.5" hidden="1">
      <c r="A576" s="564">
        <v>810</v>
      </c>
      <c r="B576" s="669" t="s">
        <v>280</v>
      </c>
      <c r="C576" s="568" t="s">
        <v>15</v>
      </c>
      <c r="D576" s="650">
        <v>110043</v>
      </c>
      <c r="E576" s="568" t="s">
        <v>886</v>
      </c>
      <c r="F576" s="652" t="s">
        <v>241</v>
      </c>
      <c r="G576" s="652" t="s">
        <v>18</v>
      </c>
      <c r="H576" s="652" t="s">
        <v>26</v>
      </c>
      <c r="I576" s="580" t="s">
        <v>1255</v>
      </c>
      <c r="J576" s="580">
        <v>1</v>
      </c>
      <c r="K576" s="652" t="s">
        <v>311</v>
      </c>
      <c r="L576" s="680">
        <v>44156</v>
      </c>
      <c r="M576" s="683" t="s">
        <v>1256</v>
      </c>
      <c r="N576" s="652" t="s">
        <v>1142</v>
      </c>
      <c r="O576" s="580"/>
      <c r="P576" s="571" t="str">
        <f>VLOOKUP(A576,'[1]Raw data'!$B:$BB,23,FALSE)</f>
        <v>RMB</v>
      </c>
      <c r="Q576" s="568" t="str">
        <f>VLOOKUP(A576,'[1]Raw data'!$B:$Z,2,FALSE)</f>
        <v>C49SZX20200157SX</v>
      </c>
      <c r="R576" s="568" t="str">
        <f>VLOOKUP(A576,'[1]Raw data'!$B:$Z,3,FALSE)</f>
        <v>成景</v>
      </c>
      <c r="S576" s="568" t="str">
        <f>VLOOKUP(A576,'[1]Raw data'!$B:$Z,4,FALSE)</f>
        <v>YSM10</v>
      </c>
      <c r="T576" s="568" t="str">
        <f>VLOOKUP(A576,'[1]Raw data'!$B:$Z,8,FALSE)</f>
        <v>L-&gt;R</v>
      </c>
      <c r="U576" s="568" t="str">
        <f>VLOOKUP(A576,'[1]Raw data'!$B:$Z,9,FALSE)</f>
        <v>MVC</v>
      </c>
      <c r="V576" s="572" t="str">
        <f t="shared" si="84"/>
        <v>WRONG</v>
      </c>
      <c r="W576" s="568" t="str">
        <f>VLOOKUP(A576,'[1]Raw data'!$B:$AG,32,FALSE)</f>
        <v>含税到厂</v>
      </c>
      <c r="X576" s="568">
        <f>VLOOKUP(A576,'[1]Raw data'!$B:$BA,31,FALSE)</f>
        <v>44082</v>
      </c>
      <c r="Y576" s="568" t="str">
        <f>VLOOKUP(A576,'[1]Raw data'!$B:$AS,39,FALSE)</f>
        <v>Yes</v>
      </c>
      <c r="Z576" s="664"/>
      <c r="AA576" s="665"/>
      <c r="AB576" s="666"/>
      <c r="AC576" s="652" t="s">
        <v>1257</v>
      </c>
      <c r="AD576" s="667">
        <v>301</v>
      </c>
      <c r="AE576" s="667">
        <v>10</v>
      </c>
      <c r="AF576" s="667"/>
      <c r="AG576" s="667"/>
      <c r="AH576" s="667"/>
      <c r="AI576" s="668"/>
      <c r="AN576" s="547"/>
      <c r="AO576" s="829" t="str">
        <f t="shared" si="76"/>
        <v>Yes</v>
      </c>
      <c r="AP576" s="259" t="str">
        <f t="shared" si="77"/>
        <v>NOV 20</v>
      </c>
      <c r="AQ576" s="547" t="str">
        <f t="shared" si="78"/>
        <v>有定金+有預留客戶</v>
      </c>
      <c r="AR576" s="259" t="str">
        <f t="shared" si="79"/>
        <v>Shipped_Stock</v>
      </c>
      <c r="AS576" s="259" t="str">
        <f t="shared" si="80"/>
        <v/>
      </c>
      <c r="AT576" s="259" t="str">
        <f t="shared" si="81"/>
        <v>成景</v>
      </c>
      <c r="AU576" s="259" t="str">
        <f t="shared" si="82"/>
        <v>C49SZX20200157SX</v>
      </c>
      <c r="AV576" s="259" t="str">
        <f t="shared" si="83"/>
        <v>Nov-21</v>
      </c>
    </row>
    <row r="577" spans="1:48" hidden="1">
      <c r="A577" s="564">
        <v>811</v>
      </c>
      <c r="B577" s="568" t="s">
        <v>280</v>
      </c>
      <c r="C577" s="565" t="s">
        <v>281</v>
      </c>
      <c r="D577" s="569">
        <v>110043</v>
      </c>
      <c r="E577" s="568" t="s">
        <v>886</v>
      </c>
      <c r="F577" s="568" t="s">
        <v>241</v>
      </c>
      <c r="G577" s="568" t="s">
        <v>18</v>
      </c>
      <c r="H577" s="568" t="s">
        <v>26</v>
      </c>
      <c r="I577" s="569" t="s">
        <v>1258</v>
      </c>
      <c r="J577" s="569">
        <v>1</v>
      </c>
      <c r="K577" s="568" t="s">
        <v>311</v>
      </c>
      <c r="L577" s="570">
        <v>44156</v>
      </c>
      <c r="M577" s="571" t="s">
        <v>906</v>
      </c>
      <c r="N577" s="568" t="s">
        <v>1142</v>
      </c>
      <c r="O577" s="568"/>
      <c r="P577" s="571" t="str">
        <f>VLOOKUP(A577,'[1]Raw data'!$B:$BB,23,FALSE)</f>
        <v>JPY</v>
      </c>
      <c r="Q577" s="568" t="str">
        <f>VLOOKUP(A577,'[1]Raw data'!$B:$Z,2,FALSE)</f>
        <v>C49SZX20200129JL</v>
      </c>
      <c r="R577" s="568" t="str">
        <f>VLOOKUP(A577,'[1]Raw data'!$B:$Z,3,FALSE)</f>
        <v>力通威</v>
      </c>
      <c r="S577" s="568" t="str">
        <f>VLOOKUP(A577,'[1]Raw data'!$B:$Z,4,FALSE)</f>
        <v>YSM10</v>
      </c>
      <c r="T577" s="568" t="str">
        <f>VLOOKUP(A577,'[1]Raw data'!$B:$Z,8,FALSE)</f>
        <v>R-&gt;L</v>
      </c>
      <c r="U577" s="568" t="str">
        <f>VLOOKUP(A577,'[1]Raw data'!$B:$Z,9,FALSE)</f>
        <v>MVC</v>
      </c>
      <c r="V577" s="572" t="str">
        <f t="shared" si="84"/>
        <v>WRONG</v>
      </c>
      <c r="W577" s="568" t="str">
        <f>VLOOKUP(A577,'[1]Raw data'!$B:$AG,32,FALSE)</f>
        <v>CIF HK</v>
      </c>
      <c r="X577" s="568">
        <f>VLOOKUP(A577,'[1]Raw data'!$B:$BA,31,FALSE)</f>
        <v>44081</v>
      </c>
      <c r="Y577" s="568" t="str">
        <f>VLOOKUP(A577,'[1]Raw data'!$B:$AS,39,FALSE)</f>
        <v>Yes</v>
      </c>
      <c r="Z577" s="576"/>
      <c r="AA577" s="576"/>
      <c r="AB577" s="576"/>
      <c r="AC577" s="568" t="s">
        <v>1259</v>
      </c>
      <c r="AD577" s="547">
        <v>301</v>
      </c>
      <c r="AE577" s="547">
        <v>10</v>
      </c>
      <c r="AF577" s="547"/>
      <c r="AG577" s="547"/>
      <c r="AH577" s="547"/>
      <c r="AI577" s="547"/>
      <c r="AJ577" s="586"/>
      <c r="AK577" s="586"/>
      <c r="AL577" s="586"/>
      <c r="AM577" s="586"/>
      <c r="AN577" s="547"/>
      <c r="AO577" s="829" t="str">
        <f t="shared" si="76"/>
        <v>Yes</v>
      </c>
      <c r="AP577" s="259" t="str">
        <f t="shared" si="77"/>
        <v>NOV 20</v>
      </c>
      <c r="AQ577" s="547" t="str">
        <f t="shared" si="78"/>
        <v>有定金+有預留客戶</v>
      </c>
      <c r="AR577" s="259" t="str">
        <f t="shared" si="79"/>
        <v>Shipped_Stock</v>
      </c>
      <c r="AS577" s="259" t="str">
        <f t="shared" si="80"/>
        <v/>
      </c>
      <c r="AT577" s="259" t="str">
        <f t="shared" si="81"/>
        <v>力通威</v>
      </c>
      <c r="AU577" s="259" t="str">
        <f t="shared" si="82"/>
        <v>C49SZX20200129JL</v>
      </c>
      <c r="AV577" s="259" t="str">
        <f t="shared" si="83"/>
        <v>Nov-21</v>
      </c>
    </row>
    <row r="578" spans="1:48" hidden="1">
      <c r="A578" s="564">
        <v>812</v>
      </c>
      <c r="B578" s="568" t="s">
        <v>280</v>
      </c>
      <c r="C578" s="565" t="s">
        <v>281</v>
      </c>
      <c r="D578" s="569" t="s">
        <v>1260</v>
      </c>
      <c r="E578" s="568" t="s">
        <v>886</v>
      </c>
      <c r="F578" s="568" t="s">
        <v>241</v>
      </c>
      <c r="G578" s="568" t="s">
        <v>18</v>
      </c>
      <c r="H578" s="568" t="s">
        <v>26</v>
      </c>
      <c r="I578" s="569" t="s">
        <v>1261</v>
      </c>
      <c r="J578" s="569">
        <v>1</v>
      </c>
      <c r="K578" s="568" t="s">
        <v>311</v>
      </c>
      <c r="L578" s="570">
        <v>44156</v>
      </c>
      <c r="M578" s="571">
        <v>6.4000000000000001E-2</v>
      </c>
      <c r="N578" s="568" t="s">
        <v>1142</v>
      </c>
      <c r="O578" s="568"/>
      <c r="P578" s="571" t="str">
        <f>VLOOKUP(A578,'[1]Raw data'!$B:$BB,23,FALSE)</f>
        <v>JPY</v>
      </c>
      <c r="Q578" s="568" t="str">
        <f>VLOOKUP(A578,'[1]Raw data'!$B:$Z,2,FALSE)</f>
        <v>C49SZX20200129JL</v>
      </c>
      <c r="R578" s="568" t="str">
        <f>VLOOKUP(A578,'[1]Raw data'!$B:$Z,3,FALSE)</f>
        <v>力通威</v>
      </c>
      <c r="S578" s="568" t="str">
        <f>VLOOKUP(A578,'[1]Raw data'!$B:$Z,4,FALSE)</f>
        <v>YSM10</v>
      </c>
      <c r="T578" s="568" t="str">
        <f>VLOOKUP(A578,'[1]Raw data'!$B:$Z,8,FALSE)</f>
        <v>R-&gt;L</v>
      </c>
      <c r="U578" s="568" t="str">
        <f>VLOOKUP(A578,'[1]Raw data'!$B:$Z,9,FALSE)</f>
        <v>MVC</v>
      </c>
      <c r="V578" s="572" t="str">
        <f t="shared" si="84"/>
        <v>WRONG</v>
      </c>
      <c r="W578" s="568" t="str">
        <f>VLOOKUP(A578,'[1]Raw data'!$B:$AG,32,FALSE)</f>
        <v>CIF HK</v>
      </c>
      <c r="X578" s="568">
        <f>VLOOKUP(A578,'[1]Raw data'!$B:$BA,31,FALSE)</f>
        <v>44081</v>
      </c>
      <c r="Y578" s="568" t="str">
        <f>VLOOKUP(A578,'[1]Raw data'!$B:$AS,39,FALSE)</f>
        <v>Yes</v>
      </c>
      <c r="Z578" s="576"/>
      <c r="AA578" s="547"/>
      <c r="AB578" s="547"/>
      <c r="AC578" s="568" t="s">
        <v>1259</v>
      </c>
      <c r="AD578" s="547">
        <v>301</v>
      </c>
      <c r="AE578" s="547">
        <v>10</v>
      </c>
      <c r="AF578" s="547"/>
      <c r="AG578" s="547"/>
      <c r="AH578" s="547"/>
      <c r="AI578" s="547"/>
      <c r="AJ578" s="586"/>
      <c r="AK578" s="586"/>
      <c r="AL578" s="586"/>
      <c r="AM578" s="586"/>
      <c r="AN578" s="547"/>
      <c r="AO578" s="829" t="str">
        <f t="shared" si="76"/>
        <v>Yes</v>
      </c>
      <c r="AP578" s="259" t="str">
        <f t="shared" si="77"/>
        <v>NOV 20</v>
      </c>
      <c r="AQ578" s="547" t="str">
        <f t="shared" si="78"/>
        <v>有定金+有預留客戶</v>
      </c>
      <c r="AR578" s="259" t="str">
        <f t="shared" si="79"/>
        <v>Shipped_Stock</v>
      </c>
      <c r="AS578" s="259" t="str">
        <f t="shared" si="80"/>
        <v/>
      </c>
      <c r="AT578" s="259" t="str">
        <f t="shared" si="81"/>
        <v>力通威</v>
      </c>
      <c r="AU578" s="259" t="str">
        <f t="shared" si="82"/>
        <v>C49SZX20200129JL</v>
      </c>
      <c r="AV578" s="259" t="str">
        <f t="shared" si="83"/>
        <v>Nov-21</v>
      </c>
    </row>
    <row r="579" spans="1:48" hidden="1">
      <c r="A579" s="564">
        <v>813</v>
      </c>
      <c r="B579" s="568" t="s">
        <v>280</v>
      </c>
      <c r="C579" s="565" t="s">
        <v>281</v>
      </c>
      <c r="D579" s="569" t="s">
        <v>1260</v>
      </c>
      <c r="E579" s="568" t="s">
        <v>886</v>
      </c>
      <c r="F579" s="568" t="s">
        <v>241</v>
      </c>
      <c r="G579" s="568" t="s">
        <v>18</v>
      </c>
      <c r="H579" s="568" t="s">
        <v>26</v>
      </c>
      <c r="I579" s="569" t="s">
        <v>1262</v>
      </c>
      <c r="J579" s="569">
        <v>1</v>
      </c>
      <c r="K579" s="568" t="s">
        <v>311</v>
      </c>
      <c r="L579" s="570">
        <v>44156</v>
      </c>
      <c r="M579" s="571">
        <v>6.4000000000000001E-2</v>
      </c>
      <c r="N579" s="568" t="s">
        <v>1142</v>
      </c>
      <c r="O579" s="568"/>
      <c r="P579" s="571" t="str">
        <f>VLOOKUP(A579,'[1]Raw data'!$B:$BB,23,FALSE)</f>
        <v>JPY</v>
      </c>
      <c r="Q579" s="568" t="str">
        <f>VLOOKUP(A579,'[1]Raw data'!$B:$Z,2,FALSE)</f>
        <v>C49SZX20200129JL</v>
      </c>
      <c r="R579" s="568" t="str">
        <f>VLOOKUP(A579,'[1]Raw data'!$B:$Z,3,FALSE)</f>
        <v>力通威</v>
      </c>
      <c r="S579" s="568" t="str">
        <f>VLOOKUP(A579,'[1]Raw data'!$B:$Z,4,FALSE)</f>
        <v>YSM10</v>
      </c>
      <c r="T579" s="568" t="str">
        <f>VLOOKUP(A579,'[1]Raw data'!$B:$Z,8,FALSE)</f>
        <v>R-&gt;L</v>
      </c>
      <c r="U579" s="568" t="str">
        <f>VLOOKUP(A579,'[1]Raw data'!$B:$Z,9,FALSE)</f>
        <v>MVC</v>
      </c>
      <c r="V579" s="572" t="str">
        <f t="shared" si="84"/>
        <v>WRONG</v>
      </c>
      <c r="W579" s="568" t="str">
        <f>VLOOKUP(A579,'[1]Raw data'!$B:$AG,32,FALSE)</f>
        <v>CIF HK</v>
      </c>
      <c r="X579" s="568">
        <f>VLOOKUP(A579,'[1]Raw data'!$B:$BA,31,FALSE)</f>
        <v>44081</v>
      </c>
      <c r="Y579" s="568" t="str">
        <f>VLOOKUP(A579,'[1]Raw data'!$B:$AS,39,FALSE)</f>
        <v>Yes</v>
      </c>
      <c r="Z579" s="547"/>
      <c r="AA579" s="547"/>
      <c r="AB579" s="547"/>
      <c r="AC579" s="568" t="s">
        <v>1259</v>
      </c>
      <c r="AD579" s="547">
        <v>301</v>
      </c>
      <c r="AE579" s="547">
        <v>10</v>
      </c>
      <c r="AF579" s="547"/>
      <c r="AG579" s="547"/>
      <c r="AH579" s="547"/>
      <c r="AI579" s="547"/>
      <c r="AJ579" s="586"/>
      <c r="AK579" s="586"/>
      <c r="AL579" s="586"/>
      <c r="AM579" s="586"/>
      <c r="AN579" s="547"/>
      <c r="AO579" s="829" t="str">
        <f t="shared" ref="AO579:AO642" si="85">IFERROR(IF(Y579&lt;&gt;"",Y579,"No"),"No")</f>
        <v>Yes</v>
      </c>
      <c r="AP579" s="259" t="str">
        <f t="shared" ref="AP579:AP642" si="86">IFERROR(IF(N579&lt;&gt;"",N579,"blank"),"NA")</f>
        <v>NOV 20</v>
      </c>
      <c r="AQ579" s="547" t="str">
        <f t="shared" ref="AQ579:AQ642" si="87">IFERROR(IF(AND(AO579="Yes", AP579&lt;&gt;"blank"), "有定金+有預留客戶", IF(AND(AO579="Yes", AP579="blank"), "有定金+无客戶送貨期", IF(AND(OR(AO579="No", ISBLANK(AO579), AO579="NA"), AP579&lt;&gt;"blank"), "无定金+有預留客戶", IF(AND(OR(AO579="No", ISBLANK(AO579), AO579="NA"), AP579="blank"), "无定金+无預留客戶", "")))), "")</f>
        <v>有定金+有預留客戶</v>
      </c>
      <c r="AR579" s="259" t="str">
        <f t="shared" ref="AR579:AR642" si="88">IFERROR(IF(B579="已经到货", "Instock", IF(B579="有交期", "Incoming_Stock_With_YAMAHA_Schedule", IF(B579="TBA.", "Incoming_Stock_No_YAMAHA_Schedule", IF(B579="已发货", "Shipped_Stock", "")))), "")</f>
        <v>Shipped_Stock</v>
      </c>
      <c r="AS579" s="259" t="str">
        <f t="shared" ref="AS579:AS642" si="89">IF(AND(B579="有交期", L579&lt;&gt;""), L579, "")</f>
        <v/>
      </c>
      <c r="AT579" s="259" t="str">
        <f t="shared" ref="AT579:AT642" si="90">IFERROR(IF(R579&lt;&gt;"",R579),"-")</f>
        <v>力通威</v>
      </c>
      <c r="AU579" s="259" t="str">
        <f t="shared" ref="AU579:AU642" si="91">IFERROR(IF(Q579&lt;&gt;"",Q579),"-")</f>
        <v>C49SZX20200129JL</v>
      </c>
      <c r="AV579" s="259" t="str">
        <f t="shared" ref="AV579:AV642" si="92">IF(L579="","-",TEXT(L579,"mmm-dd"))</f>
        <v>Nov-21</v>
      </c>
    </row>
    <row r="580" spans="1:48" hidden="1">
      <c r="A580" s="564">
        <v>862</v>
      </c>
      <c r="B580" s="669" t="s">
        <v>280</v>
      </c>
      <c r="C580" s="568" t="s">
        <v>15</v>
      </c>
      <c r="D580" s="650">
        <v>110137</v>
      </c>
      <c r="E580" s="568" t="s">
        <v>886</v>
      </c>
      <c r="F580" s="652" t="s">
        <v>58</v>
      </c>
      <c r="G580" s="652" t="s">
        <v>24</v>
      </c>
      <c r="H580" s="652" t="s">
        <v>26</v>
      </c>
      <c r="I580" s="580" t="s">
        <v>1263</v>
      </c>
      <c r="J580" s="580">
        <v>1</v>
      </c>
      <c r="K580" s="652" t="s">
        <v>311</v>
      </c>
      <c r="L580" s="680">
        <v>44156</v>
      </c>
      <c r="M580" s="670">
        <v>6.4000000000000001E-2</v>
      </c>
      <c r="N580" s="652" t="s">
        <v>1142</v>
      </c>
      <c r="O580" s="580">
        <v>2020.11</v>
      </c>
      <c r="P580" s="571" t="str">
        <f>VLOOKUP(A580,'[1]Raw data'!$B:$BB,23,FALSE)</f>
        <v>JPY</v>
      </c>
      <c r="Q580" s="568" t="str">
        <f>VLOOKUP(A580,'[1]Raw data'!$B:$Z,2,FALSE)</f>
        <v>C49SZX20200175JY</v>
      </c>
      <c r="R580" s="568" t="str">
        <f>VLOOKUP(A580,'[1]Raw data'!$B:$Z,3,FALSE)</f>
        <v>百纳海</v>
      </c>
      <c r="S580" s="568" t="str">
        <f>VLOOKUP(A580,'[1]Raw data'!$B:$Z,4,FALSE)</f>
        <v>YSM20R-2</v>
      </c>
      <c r="T580" s="568" t="str">
        <f>VLOOKUP(A580,'[1]Raw data'!$B:$Z,8,FALSE)</f>
        <v>L-&gt;R</v>
      </c>
      <c r="U580" s="568" t="str">
        <f>VLOOKUP(A580,'[1]Raw data'!$B:$Z,9,FALSE)</f>
        <v>No</v>
      </c>
      <c r="V580" s="572" t="str">
        <f t="shared" si="84"/>
        <v>OK</v>
      </c>
      <c r="W580" s="568" t="str">
        <f>VLOOKUP(A580,'[1]Raw data'!$B:$AG,32,FALSE)</f>
        <v>DAP SZ</v>
      </c>
      <c r="X580" s="568">
        <f>VLOOKUP(A580,'[1]Raw data'!$B:$BA,31,FALSE)</f>
        <v>44099</v>
      </c>
      <c r="Y580" s="568" t="str">
        <f>VLOOKUP(A580,'[1]Raw data'!$B:$AS,39,FALSE)</f>
        <v>Yes</v>
      </c>
      <c r="Z580" s="664"/>
      <c r="AA580" s="665"/>
      <c r="AB580" s="666"/>
      <c r="AC580" s="652" t="s">
        <v>1264</v>
      </c>
      <c r="AD580" s="667">
        <v>303</v>
      </c>
      <c r="AE580" s="667">
        <v>20</v>
      </c>
      <c r="AF580" s="667"/>
      <c r="AG580" s="667"/>
      <c r="AH580" s="667"/>
      <c r="AI580" s="668"/>
      <c r="AN580" s="547"/>
      <c r="AO580" s="829" t="str">
        <f t="shared" si="85"/>
        <v>Yes</v>
      </c>
      <c r="AP580" s="259" t="str">
        <f t="shared" si="86"/>
        <v>NOV 20</v>
      </c>
      <c r="AQ580" s="547" t="str">
        <f t="shared" si="87"/>
        <v>有定金+有預留客戶</v>
      </c>
      <c r="AR580" s="259" t="str">
        <f t="shared" si="88"/>
        <v>Shipped_Stock</v>
      </c>
      <c r="AS580" s="259" t="str">
        <f t="shared" si="89"/>
        <v/>
      </c>
      <c r="AT580" s="259" t="str">
        <f t="shared" si="90"/>
        <v>百纳海</v>
      </c>
      <c r="AU580" s="259" t="str">
        <f t="shared" si="91"/>
        <v>C49SZX20200175JY</v>
      </c>
      <c r="AV580" s="259" t="str">
        <f t="shared" si="92"/>
        <v>Nov-21</v>
      </c>
    </row>
    <row r="581" spans="1:48" hidden="1">
      <c r="A581" s="564">
        <v>829</v>
      </c>
      <c r="B581" s="568" t="s">
        <v>280</v>
      </c>
      <c r="C581" s="565" t="s">
        <v>281</v>
      </c>
      <c r="D581" s="569">
        <v>110137</v>
      </c>
      <c r="E581" s="568" t="s">
        <v>886</v>
      </c>
      <c r="F581" s="568" t="s">
        <v>1163</v>
      </c>
      <c r="G581" s="568" t="s">
        <v>24</v>
      </c>
      <c r="H581" s="568" t="s">
        <v>26</v>
      </c>
      <c r="I581" s="569" t="s">
        <v>1265</v>
      </c>
      <c r="J581" s="569">
        <v>1</v>
      </c>
      <c r="K581" s="568" t="s">
        <v>311</v>
      </c>
      <c r="L581" s="570">
        <v>44156</v>
      </c>
      <c r="M581" s="571">
        <v>6.4000000000000001E-2</v>
      </c>
      <c r="N581" s="568" t="s">
        <v>1142</v>
      </c>
      <c r="O581" s="568">
        <v>2020.11</v>
      </c>
      <c r="P581" s="571" t="str">
        <f>VLOOKUP(A581,'[1]Raw data'!$B:$BB,23,FALSE)</f>
        <v>JPY</v>
      </c>
      <c r="Q581" s="568" t="str">
        <f>VLOOKUP(A581,'[1]Raw data'!$B:$Z,2,FALSE)</f>
        <v>C49SZX20200160JL</v>
      </c>
      <c r="R581" s="568" t="str">
        <f>VLOOKUP(A581,'[1]Raw data'!$B:$Z,3,FALSE)</f>
        <v>力通威</v>
      </c>
      <c r="S581" s="568" t="str">
        <f>VLOOKUP(A581,'[1]Raw data'!$B:$Z,4,FALSE)</f>
        <v>YSM20R-2</v>
      </c>
      <c r="T581" s="568" t="str">
        <f>VLOOKUP(A581,'[1]Raw data'!$B:$Z,8,FALSE)</f>
        <v>L-&gt;R</v>
      </c>
      <c r="U581" s="568" t="str">
        <f>VLOOKUP(A581,'[1]Raw data'!$B:$Z,9,FALSE)</f>
        <v>No</v>
      </c>
      <c r="V581" s="572" t="str">
        <f t="shared" si="84"/>
        <v>OK</v>
      </c>
      <c r="W581" s="568" t="str">
        <f>VLOOKUP(A581,'[1]Raw data'!$B:$AG,32,FALSE)</f>
        <v>CIF HK</v>
      </c>
      <c r="X581" s="568">
        <f>VLOOKUP(A581,'[1]Raw data'!$B:$BA,31,FALSE)</f>
        <v>44084</v>
      </c>
      <c r="Y581" s="568" t="str">
        <f>VLOOKUP(A581,'[1]Raw data'!$B:$AS,39,FALSE)</f>
        <v>Yes</v>
      </c>
      <c r="Z581" s="576"/>
      <c r="AA581" s="576"/>
      <c r="AB581" s="576"/>
      <c r="AC581" s="568" t="s">
        <v>565</v>
      </c>
      <c r="AD581" s="547">
        <v>303</v>
      </c>
      <c r="AE581" s="547">
        <v>20</v>
      </c>
      <c r="AF581" s="547"/>
      <c r="AG581" s="547"/>
      <c r="AH581" s="547"/>
      <c r="AI581" s="547"/>
      <c r="AJ581" s="586"/>
      <c r="AK581" s="586"/>
      <c r="AL581" s="586"/>
      <c r="AM581" s="586"/>
      <c r="AN581" s="547"/>
      <c r="AO581" s="829" t="str">
        <f t="shared" si="85"/>
        <v>Yes</v>
      </c>
      <c r="AP581" s="259" t="str">
        <f t="shared" si="86"/>
        <v>NOV 20</v>
      </c>
      <c r="AQ581" s="547" t="str">
        <f t="shared" si="87"/>
        <v>有定金+有預留客戶</v>
      </c>
      <c r="AR581" s="259" t="str">
        <f t="shared" si="88"/>
        <v>Shipped_Stock</v>
      </c>
      <c r="AS581" s="259" t="str">
        <f t="shared" si="89"/>
        <v/>
      </c>
      <c r="AT581" s="259" t="str">
        <f t="shared" si="90"/>
        <v>力通威</v>
      </c>
      <c r="AU581" s="259" t="str">
        <f t="shared" si="91"/>
        <v>C49SZX20200160JL</v>
      </c>
      <c r="AV581" s="259" t="str">
        <f t="shared" si="92"/>
        <v>Nov-21</v>
      </c>
    </row>
    <row r="582" spans="1:48" hidden="1">
      <c r="A582" s="564">
        <v>827</v>
      </c>
      <c r="B582" s="669" t="s">
        <v>280</v>
      </c>
      <c r="C582" s="669" t="s">
        <v>15</v>
      </c>
      <c r="D582" s="650">
        <v>110089</v>
      </c>
      <c r="E582" s="651" t="s">
        <v>1266</v>
      </c>
      <c r="F582" s="652" t="s">
        <v>58</v>
      </c>
      <c r="G582" s="652" t="s">
        <v>24</v>
      </c>
      <c r="H582" s="652" t="s">
        <v>26</v>
      </c>
      <c r="I582" s="580" t="s">
        <v>1267</v>
      </c>
      <c r="J582" s="580">
        <v>1</v>
      </c>
      <c r="K582" s="652" t="s">
        <v>388</v>
      </c>
      <c r="L582" s="662">
        <v>44157</v>
      </c>
      <c r="M582" s="670" t="s">
        <v>906</v>
      </c>
      <c r="N582" s="652" t="s">
        <v>1142</v>
      </c>
      <c r="O582" s="580">
        <v>2020.11</v>
      </c>
      <c r="P582" s="571" t="str">
        <f>VLOOKUP(A582,'[1]Raw data'!$B:$BB,23,FALSE)</f>
        <v>JPY</v>
      </c>
      <c r="Q582" s="568" t="str">
        <f>VLOOKUP(A582,'[1]Raw data'!$B:$Z,2,FALSE)</f>
        <v>C49SZX20200152SX</v>
      </c>
      <c r="R582" s="568" t="str">
        <f>VLOOKUP(A582,'[1]Raw data'!$B:$Z,3,FALSE)</f>
        <v>旭晟</v>
      </c>
      <c r="S582" s="568" t="str">
        <f>VLOOKUP(A582,'[1]Raw data'!$B:$Z,4,FALSE)</f>
        <v>YSM20R-2</v>
      </c>
      <c r="T582" s="568" t="str">
        <f>VLOOKUP(A582,'[1]Raw data'!$B:$Z,8,FALSE)</f>
        <v>L-&gt;R</v>
      </c>
      <c r="U582" s="568" t="str">
        <f>VLOOKUP(A582,'[1]Raw data'!$B:$Z,9,FALSE)</f>
        <v>No</v>
      </c>
      <c r="V582" s="572" t="str">
        <f t="shared" si="84"/>
        <v>OK</v>
      </c>
      <c r="W582" s="568" t="str">
        <f>VLOOKUP(A582,'[1]Raw data'!$B:$AG,32,FALSE)</f>
        <v>DAP SZ</v>
      </c>
      <c r="X582" s="568">
        <f>VLOOKUP(A582,'[1]Raw data'!$B:$BA,31,FALSE)</f>
        <v>44088</v>
      </c>
      <c r="Y582" s="568" t="str">
        <f>VLOOKUP(A582,'[1]Raw data'!$B:$AS,39,FALSE)</f>
        <v>Yes</v>
      </c>
      <c r="Z582" s="671"/>
      <c r="AA582" s="672"/>
      <c r="AB582" s="673"/>
      <c r="AC582" s="650" t="s">
        <v>467</v>
      </c>
      <c r="AD582" s="667"/>
      <c r="AE582" s="667"/>
      <c r="AF582" s="667"/>
      <c r="AG582" s="667"/>
      <c r="AH582" s="667"/>
      <c r="AI582" s="668"/>
      <c r="AN582" s="547"/>
      <c r="AO582" s="829" t="str">
        <f t="shared" si="85"/>
        <v>Yes</v>
      </c>
      <c r="AP582" s="259" t="str">
        <f t="shared" si="86"/>
        <v>NOV 20</v>
      </c>
      <c r="AQ582" s="547" t="str">
        <f t="shared" si="87"/>
        <v>有定金+有預留客戶</v>
      </c>
      <c r="AR582" s="259" t="str">
        <f t="shared" si="88"/>
        <v>Shipped_Stock</v>
      </c>
      <c r="AS582" s="259" t="str">
        <f t="shared" si="89"/>
        <v/>
      </c>
      <c r="AT582" s="259" t="str">
        <f t="shared" si="90"/>
        <v>旭晟</v>
      </c>
      <c r="AU582" s="259" t="str">
        <f t="shared" si="91"/>
        <v>C49SZX20200152SX</v>
      </c>
      <c r="AV582" s="259" t="str">
        <f t="shared" si="92"/>
        <v>Nov-22</v>
      </c>
    </row>
    <row r="583" spans="1:48" hidden="1">
      <c r="A583" s="564">
        <v>935</v>
      </c>
      <c r="B583" s="669" t="s">
        <v>280</v>
      </c>
      <c r="C583" s="568" t="s">
        <v>15</v>
      </c>
      <c r="D583" s="650" t="s">
        <v>1268</v>
      </c>
      <c r="E583" s="568" t="s">
        <v>886</v>
      </c>
      <c r="F583" s="652" t="s">
        <v>241</v>
      </c>
      <c r="G583" s="652" t="s">
        <v>18</v>
      </c>
      <c r="H583" s="652" t="s">
        <v>26</v>
      </c>
      <c r="I583" s="580" t="s">
        <v>1269</v>
      </c>
      <c r="J583" s="580">
        <v>1</v>
      </c>
      <c r="K583" s="652" t="s">
        <v>295</v>
      </c>
      <c r="L583" s="662">
        <v>44161</v>
      </c>
      <c r="M583" s="670">
        <v>6.4000000000000001E-2</v>
      </c>
      <c r="N583" s="652" t="s">
        <v>1124</v>
      </c>
      <c r="O583" s="580"/>
      <c r="P583" s="571" t="str">
        <f>VLOOKUP(A583,'[1]Raw data'!$B:$BB,23,FALSE)</f>
        <v>RMB</v>
      </c>
      <c r="Q583" s="568" t="str">
        <f>VLOOKUP(A583,'[1]Raw data'!$B:$Z,2,FALSE)</f>
        <v>C49SZX20200215JL</v>
      </c>
      <c r="R583" s="568" t="str">
        <f>VLOOKUP(A583,'[1]Raw data'!$B:$Z,3,FALSE)</f>
        <v>江恒</v>
      </c>
      <c r="S583" s="568" t="str">
        <f>VLOOKUP(A583,'[1]Raw data'!$B:$Z,4,FALSE)</f>
        <v>YSM10</v>
      </c>
      <c r="T583" s="568" t="str">
        <f>VLOOKUP(A583,'[1]Raw data'!$B:$Z,8,FALSE)</f>
        <v>R-&gt;L</v>
      </c>
      <c r="U583" s="568" t="str">
        <f>VLOOKUP(A583,'[1]Raw data'!$B:$Z,9,FALSE)</f>
        <v>MVC</v>
      </c>
      <c r="V583" s="572" t="str">
        <f t="shared" si="84"/>
        <v>WRONG</v>
      </c>
      <c r="W583" s="568" t="str">
        <f>VLOOKUP(A583,'[1]Raw data'!$B:$AG,32,FALSE)</f>
        <v>含税到厂</v>
      </c>
      <c r="X583" s="568">
        <f>VLOOKUP(A583,'[1]Raw data'!$B:$BA,31,FALSE)</f>
        <v>44147</v>
      </c>
      <c r="Y583" s="568" t="str">
        <f>VLOOKUP(A583,'[1]Raw data'!$B:$AS,39,FALSE)</f>
        <v>Yes</v>
      </c>
      <c r="Z583" s="664"/>
      <c r="AA583" s="665"/>
      <c r="AB583" s="666"/>
      <c r="AC583" s="652" t="s">
        <v>1053</v>
      </c>
      <c r="AD583" s="667">
        <v>302</v>
      </c>
      <c r="AE583" s="667">
        <v>10</v>
      </c>
      <c r="AF583" s="667"/>
      <c r="AG583" s="667"/>
      <c r="AH583" s="667"/>
      <c r="AI583" s="668"/>
      <c r="AN583" s="547"/>
      <c r="AO583" s="829" t="str">
        <f t="shared" si="85"/>
        <v>Yes</v>
      </c>
      <c r="AP583" s="259" t="str">
        <f t="shared" si="86"/>
        <v>DEC 20</v>
      </c>
      <c r="AQ583" s="547" t="str">
        <f t="shared" si="87"/>
        <v>有定金+有預留客戶</v>
      </c>
      <c r="AR583" s="259" t="str">
        <f t="shared" si="88"/>
        <v>Shipped_Stock</v>
      </c>
      <c r="AS583" s="259" t="str">
        <f t="shared" si="89"/>
        <v/>
      </c>
      <c r="AT583" s="259" t="str">
        <f t="shared" si="90"/>
        <v>江恒</v>
      </c>
      <c r="AU583" s="259" t="str">
        <f t="shared" si="91"/>
        <v>C49SZX20200215JL</v>
      </c>
      <c r="AV583" s="259" t="str">
        <f t="shared" si="92"/>
        <v>Nov-26</v>
      </c>
    </row>
    <row r="584" spans="1:48" hidden="1">
      <c r="A584" s="564">
        <v>806</v>
      </c>
      <c r="B584" s="669" t="s">
        <v>280</v>
      </c>
      <c r="C584" s="568" t="s">
        <v>15</v>
      </c>
      <c r="D584" s="650" t="s">
        <v>1268</v>
      </c>
      <c r="E584" s="568" t="s">
        <v>886</v>
      </c>
      <c r="F584" s="652" t="s">
        <v>241</v>
      </c>
      <c r="G584" s="652" t="s">
        <v>18</v>
      </c>
      <c r="H584" s="652" t="s">
        <v>26</v>
      </c>
      <c r="I584" s="580" t="s">
        <v>1270</v>
      </c>
      <c r="J584" s="580">
        <v>1</v>
      </c>
      <c r="K584" s="652" t="s">
        <v>295</v>
      </c>
      <c r="L584" s="662">
        <v>44161</v>
      </c>
      <c r="M584" s="670">
        <v>6.4000000000000001E-2</v>
      </c>
      <c r="N584" s="652" t="s">
        <v>1124</v>
      </c>
      <c r="O584" s="580"/>
      <c r="P584" s="571" t="str">
        <f>VLOOKUP(A584,'[1]Raw data'!$B:$BB,23,FALSE)</f>
        <v>RMB</v>
      </c>
      <c r="Q584" s="568" t="str">
        <f>VLOOKUP(A584,'[1]Raw data'!$B:$Z,2,FALSE)</f>
        <v>C49SZX20200149JL</v>
      </c>
      <c r="R584" s="568" t="str">
        <f>VLOOKUP(A584,'[1]Raw data'!$B:$Z,3,FALSE)</f>
        <v>博新</v>
      </c>
      <c r="S584" s="568" t="str">
        <f>VLOOKUP(A584,'[1]Raw data'!$B:$Z,4,FALSE)</f>
        <v>YSM10</v>
      </c>
      <c r="T584" s="568" t="str">
        <f>VLOOKUP(A584,'[1]Raw data'!$B:$Z,8,FALSE)</f>
        <v>R-&gt;L</v>
      </c>
      <c r="U584" s="568" t="str">
        <f>VLOOKUP(A584,'[1]Raw data'!$B:$Z,9,FALSE)</f>
        <v>MVC</v>
      </c>
      <c r="V584" s="572" t="str">
        <f t="shared" si="84"/>
        <v>WRONG</v>
      </c>
      <c r="W584" s="568" t="str">
        <f>VLOOKUP(A584,'[1]Raw data'!$B:$AG,32,FALSE)</f>
        <v>含税到厂</v>
      </c>
      <c r="X584" s="568">
        <f>VLOOKUP(A584,'[1]Raw data'!$B:$BA,31,FALSE)</f>
        <v>44077</v>
      </c>
      <c r="Y584" s="568" t="str">
        <f>VLOOKUP(A584,'[1]Raw data'!$B:$AS,39,FALSE)</f>
        <v>Yes</v>
      </c>
      <c r="Z584" s="664"/>
      <c r="AA584" s="665"/>
      <c r="AB584" s="666"/>
      <c r="AC584" s="652" t="s">
        <v>1271</v>
      </c>
      <c r="AD584" s="667">
        <v>302</v>
      </c>
      <c r="AE584" s="667">
        <v>10</v>
      </c>
      <c r="AF584" s="667"/>
      <c r="AG584" s="667"/>
      <c r="AH584" s="667"/>
      <c r="AI584" s="668"/>
      <c r="AN584" s="547"/>
      <c r="AO584" s="829" t="str">
        <f t="shared" si="85"/>
        <v>Yes</v>
      </c>
      <c r="AP584" s="259" t="str">
        <f t="shared" si="86"/>
        <v>DEC 20</v>
      </c>
      <c r="AQ584" s="547" t="str">
        <f t="shared" si="87"/>
        <v>有定金+有預留客戶</v>
      </c>
      <c r="AR584" s="259" t="str">
        <f t="shared" si="88"/>
        <v>Shipped_Stock</v>
      </c>
      <c r="AS584" s="259" t="str">
        <f t="shared" si="89"/>
        <v/>
      </c>
      <c r="AT584" s="259" t="str">
        <f t="shared" si="90"/>
        <v>博新</v>
      </c>
      <c r="AU584" s="259" t="str">
        <f t="shared" si="91"/>
        <v>C49SZX20200149JL</v>
      </c>
      <c r="AV584" s="259" t="str">
        <f t="shared" si="92"/>
        <v>Nov-26</v>
      </c>
    </row>
    <row r="585" spans="1:48" hidden="1">
      <c r="A585" s="564">
        <v>876</v>
      </c>
      <c r="B585" s="669" t="s">
        <v>280</v>
      </c>
      <c r="C585" s="568" t="s">
        <v>15</v>
      </c>
      <c r="D585" s="650" t="s">
        <v>1272</v>
      </c>
      <c r="E585" s="568" t="s">
        <v>886</v>
      </c>
      <c r="F585" s="652" t="s">
        <v>241</v>
      </c>
      <c r="G585" s="652" t="s">
        <v>18</v>
      </c>
      <c r="H585" s="652" t="s">
        <v>26</v>
      </c>
      <c r="I585" s="580" t="s">
        <v>1273</v>
      </c>
      <c r="J585" s="580">
        <v>1</v>
      </c>
      <c r="K585" s="652" t="s">
        <v>295</v>
      </c>
      <c r="L585" s="662">
        <v>44161</v>
      </c>
      <c r="M585" s="670">
        <v>6.3399999999999998E-2</v>
      </c>
      <c r="N585" s="652" t="s">
        <v>1124</v>
      </c>
      <c r="O585" s="580"/>
      <c r="P585" s="571" t="str">
        <f>VLOOKUP(A585,'[1]Raw data'!$B:$BB,23,FALSE)</f>
        <v>RMB</v>
      </c>
      <c r="Q585" s="568" t="str">
        <f>VLOOKUP(A585,'[1]Raw data'!$B:$Z,2,FALSE)</f>
        <v>C49SZX20200173MX</v>
      </c>
      <c r="R585" s="568" t="str">
        <f>VLOOKUP(A585,'[1]Raw data'!$B:$Z,3,FALSE)</f>
        <v>日东（end user：远爱）</v>
      </c>
      <c r="S585" s="568" t="str">
        <f>VLOOKUP(A585,'[1]Raw data'!$B:$Z,4,FALSE)</f>
        <v>YSM10</v>
      </c>
      <c r="T585" s="568" t="str">
        <f>VLOOKUP(A585,'[1]Raw data'!$B:$Z,8,FALSE)</f>
        <v>L-&gt;R</v>
      </c>
      <c r="U585" s="568" t="str">
        <f>VLOOKUP(A585,'[1]Raw data'!$B:$Z,9,FALSE)</f>
        <v>No</v>
      </c>
      <c r="V585" s="572" t="str">
        <f t="shared" si="84"/>
        <v>WRONG</v>
      </c>
      <c r="W585" s="568" t="str">
        <f>VLOOKUP(A585,'[1]Raw data'!$B:$AG,32,FALSE)</f>
        <v>含税到厂</v>
      </c>
      <c r="X585" s="568">
        <f>VLOOKUP(A585,'[1]Raw data'!$B:$BA,31,FALSE)</f>
        <v>44103</v>
      </c>
      <c r="Y585" s="568" t="str">
        <f>VLOOKUP(A585,'[1]Raw data'!$B:$AS,39,FALSE)</f>
        <v>Yes</v>
      </c>
      <c r="Z585" s="664"/>
      <c r="AA585" s="665"/>
      <c r="AB585" s="666"/>
      <c r="AC585" s="652" t="s">
        <v>1274</v>
      </c>
      <c r="AD585" s="667">
        <v>302</v>
      </c>
      <c r="AE585" s="667">
        <v>10</v>
      </c>
      <c r="AF585" s="667"/>
      <c r="AG585" s="667"/>
      <c r="AH585" s="667"/>
      <c r="AI585" s="668"/>
      <c r="AN585" s="547"/>
      <c r="AO585" s="829" t="str">
        <f t="shared" si="85"/>
        <v>Yes</v>
      </c>
      <c r="AP585" s="259" t="str">
        <f t="shared" si="86"/>
        <v>DEC 20</v>
      </c>
      <c r="AQ585" s="547" t="str">
        <f t="shared" si="87"/>
        <v>有定金+有預留客戶</v>
      </c>
      <c r="AR585" s="259" t="str">
        <f t="shared" si="88"/>
        <v>Shipped_Stock</v>
      </c>
      <c r="AS585" s="259" t="str">
        <f t="shared" si="89"/>
        <v/>
      </c>
      <c r="AT585" s="259" t="str">
        <f t="shared" si="90"/>
        <v>日东（end user：远爱）</v>
      </c>
      <c r="AU585" s="259" t="str">
        <f t="shared" si="91"/>
        <v>C49SZX20200173MX</v>
      </c>
      <c r="AV585" s="259" t="str">
        <f t="shared" si="92"/>
        <v>Nov-26</v>
      </c>
    </row>
    <row r="586" spans="1:48" hidden="1">
      <c r="A586" s="564">
        <v>877</v>
      </c>
      <c r="B586" s="669" t="s">
        <v>280</v>
      </c>
      <c r="C586" s="568" t="s">
        <v>15</v>
      </c>
      <c r="D586" s="650" t="s">
        <v>1272</v>
      </c>
      <c r="E586" s="568" t="s">
        <v>886</v>
      </c>
      <c r="F586" s="652" t="s">
        <v>241</v>
      </c>
      <c r="G586" s="652" t="s">
        <v>18</v>
      </c>
      <c r="H586" s="652" t="s">
        <v>26</v>
      </c>
      <c r="I586" s="580" t="s">
        <v>1275</v>
      </c>
      <c r="J586" s="580">
        <v>1</v>
      </c>
      <c r="K586" s="652" t="s">
        <v>295</v>
      </c>
      <c r="L586" s="662">
        <v>44161</v>
      </c>
      <c r="M586" s="670">
        <v>6.3399999999999998E-2</v>
      </c>
      <c r="N586" s="652" t="s">
        <v>1124</v>
      </c>
      <c r="O586" s="580"/>
      <c r="P586" s="571" t="str">
        <f>VLOOKUP(A586,'[1]Raw data'!$B:$BB,23,FALSE)</f>
        <v>RMB</v>
      </c>
      <c r="Q586" s="568" t="str">
        <f>VLOOKUP(A586,'[1]Raw data'!$B:$Z,2,FALSE)</f>
        <v>C49SZX20200173MX</v>
      </c>
      <c r="R586" s="568" t="str">
        <f>VLOOKUP(A586,'[1]Raw data'!$B:$Z,3,FALSE)</f>
        <v>日东（end user：远爱）</v>
      </c>
      <c r="S586" s="568" t="str">
        <f>VLOOKUP(A586,'[1]Raw data'!$B:$Z,4,FALSE)</f>
        <v>YSM10</v>
      </c>
      <c r="T586" s="568" t="str">
        <f>VLOOKUP(A586,'[1]Raw data'!$B:$Z,8,FALSE)</f>
        <v>L-&gt;R</v>
      </c>
      <c r="U586" s="568" t="str">
        <f>VLOOKUP(A586,'[1]Raw data'!$B:$Z,9,FALSE)</f>
        <v>No</v>
      </c>
      <c r="V586" s="572" t="str">
        <f t="shared" si="84"/>
        <v>WRONG</v>
      </c>
      <c r="W586" s="568" t="str">
        <f>VLOOKUP(A586,'[1]Raw data'!$B:$AG,32,FALSE)</f>
        <v>含税到厂</v>
      </c>
      <c r="X586" s="568">
        <f>VLOOKUP(A586,'[1]Raw data'!$B:$BA,31,FALSE)</f>
        <v>44103</v>
      </c>
      <c r="Y586" s="568" t="str">
        <f>VLOOKUP(A586,'[1]Raw data'!$B:$AS,39,FALSE)</f>
        <v>Yes</v>
      </c>
      <c r="Z586" s="664"/>
      <c r="AA586" s="665"/>
      <c r="AB586" s="666"/>
      <c r="AC586" s="652" t="s">
        <v>1274</v>
      </c>
      <c r="AD586" s="667">
        <v>302</v>
      </c>
      <c r="AE586" s="667">
        <v>10</v>
      </c>
      <c r="AF586" s="667"/>
      <c r="AG586" s="667"/>
      <c r="AH586" s="667"/>
      <c r="AI586" s="668"/>
      <c r="AN586" s="547"/>
      <c r="AO586" s="829" t="str">
        <f t="shared" si="85"/>
        <v>Yes</v>
      </c>
      <c r="AP586" s="259" t="str">
        <f t="shared" si="86"/>
        <v>DEC 20</v>
      </c>
      <c r="AQ586" s="547" t="str">
        <f t="shared" si="87"/>
        <v>有定金+有預留客戶</v>
      </c>
      <c r="AR586" s="259" t="str">
        <f t="shared" si="88"/>
        <v>Shipped_Stock</v>
      </c>
      <c r="AS586" s="259" t="str">
        <f t="shared" si="89"/>
        <v/>
      </c>
      <c r="AT586" s="259" t="str">
        <f t="shared" si="90"/>
        <v>日东（end user：远爱）</v>
      </c>
      <c r="AU586" s="259" t="str">
        <f t="shared" si="91"/>
        <v>C49SZX20200173MX</v>
      </c>
      <c r="AV586" s="259" t="str">
        <f t="shared" si="92"/>
        <v>Nov-26</v>
      </c>
    </row>
    <row r="587" spans="1:48" hidden="1">
      <c r="A587" s="564">
        <v>922</v>
      </c>
      <c r="B587" s="669" t="s">
        <v>280</v>
      </c>
      <c r="C587" s="568" t="s">
        <v>15</v>
      </c>
      <c r="D587" s="650" t="s">
        <v>1268</v>
      </c>
      <c r="E587" s="568" t="s">
        <v>886</v>
      </c>
      <c r="F587" s="652" t="s">
        <v>241</v>
      </c>
      <c r="G587" s="652" t="s">
        <v>18</v>
      </c>
      <c r="H587" s="652" t="s">
        <v>26</v>
      </c>
      <c r="I587" s="580" t="s">
        <v>1276</v>
      </c>
      <c r="J587" s="580">
        <v>1</v>
      </c>
      <c r="K587" s="652" t="s">
        <v>295</v>
      </c>
      <c r="L587" s="662">
        <v>44161</v>
      </c>
      <c r="M587" s="670">
        <v>6.4000000000000001E-2</v>
      </c>
      <c r="N587" s="652" t="s">
        <v>1124</v>
      </c>
      <c r="O587" s="580"/>
      <c r="P587" s="571" t="str">
        <f>VLOOKUP(A587,'[1]Raw data'!$B:$BB,23,FALSE)</f>
        <v>RMB</v>
      </c>
      <c r="Q587" s="568" t="str">
        <f>VLOOKUP(A587,'[1]Raw data'!$B:$Z,2,FALSE)</f>
        <v>C49SZX20200209SX</v>
      </c>
      <c r="R587" s="568" t="str">
        <f>VLOOKUP(A587,'[1]Raw data'!$B:$Z,3,FALSE)</f>
        <v>韵律光电</v>
      </c>
      <c r="S587" s="568" t="str">
        <f>VLOOKUP(A587,'[1]Raw data'!$B:$Z,4,FALSE)</f>
        <v>YSM10</v>
      </c>
      <c r="T587" s="568" t="str">
        <f>VLOOKUP(A587,'[1]Raw data'!$B:$Z,8,FALSE)</f>
        <v>R-&gt;L</v>
      </c>
      <c r="U587" s="568" t="str">
        <f>VLOOKUP(A587,'[1]Raw data'!$B:$Z,9,FALSE)</f>
        <v>MVC</v>
      </c>
      <c r="V587" s="572" t="str">
        <f t="shared" si="84"/>
        <v>WRONG</v>
      </c>
      <c r="W587" s="568" t="str">
        <f>VLOOKUP(A587,'[1]Raw data'!$B:$AG,32,FALSE)</f>
        <v>含税到厂</v>
      </c>
      <c r="X587" s="568">
        <f>VLOOKUP(A587,'[1]Raw data'!$B:$BA,31,FALSE)</f>
        <v>44146</v>
      </c>
      <c r="Y587" s="568" t="str">
        <f>VLOOKUP(A587,'[1]Raw data'!$B:$AS,39,FALSE)</f>
        <v>Yes</v>
      </c>
      <c r="Z587" s="664"/>
      <c r="AA587" s="665"/>
      <c r="AB587" s="666"/>
      <c r="AC587" s="652" t="s">
        <v>1277</v>
      </c>
      <c r="AD587" s="667">
        <v>302</v>
      </c>
      <c r="AE587" s="667">
        <v>10</v>
      </c>
      <c r="AF587" s="667"/>
      <c r="AG587" s="667"/>
      <c r="AH587" s="667"/>
      <c r="AI587" s="668"/>
      <c r="AN587" s="547"/>
      <c r="AO587" s="829" t="str">
        <f t="shared" si="85"/>
        <v>Yes</v>
      </c>
      <c r="AP587" s="259" t="str">
        <f t="shared" si="86"/>
        <v>DEC 20</v>
      </c>
      <c r="AQ587" s="547" t="str">
        <f t="shared" si="87"/>
        <v>有定金+有預留客戶</v>
      </c>
      <c r="AR587" s="259" t="str">
        <f t="shared" si="88"/>
        <v>Shipped_Stock</v>
      </c>
      <c r="AS587" s="259" t="str">
        <f t="shared" si="89"/>
        <v/>
      </c>
      <c r="AT587" s="259" t="str">
        <f t="shared" si="90"/>
        <v>韵律光电</v>
      </c>
      <c r="AU587" s="259" t="str">
        <f t="shared" si="91"/>
        <v>C49SZX20200209SX</v>
      </c>
      <c r="AV587" s="259" t="str">
        <f t="shared" si="92"/>
        <v>Nov-26</v>
      </c>
    </row>
    <row r="588" spans="1:48" ht="16.5" hidden="1" customHeight="1">
      <c r="A588" s="564">
        <v>863</v>
      </c>
      <c r="B588" s="669" t="s">
        <v>280</v>
      </c>
      <c r="C588" s="568" t="s">
        <v>15</v>
      </c>
      <c r="D588" s="650">
        <v>110026</v>
      </c>
      <c r="E588" s="568" t="s">
        <v>886</v>
      </c>
      <c r="F588" s="652" t="s">
        <v>241</v>
      </c>
      <c r="G588" s="652" t="s">
        <v>18</v>
      </c>
      <c r="H588" s="652" t="s">
        <v>26</v>
      </c>
      <c r="I588" s="580" t="s">
        <v>1278</v>
      </c>
      <c r="J588" s="580">
        <v>1</v>
      </c>
      <c r="K588" s="652" t="s">
        <v>437</v>
      </c>
      <c r="L588" s="662">
        <v>44161</v>
      </c>
      <c r="M588" s="670" t="s">
        <v>906</v>
      </c>
      <c r="N588" s="652" t="s">
        <v>1124</v>
      </c>
      <c r="O588" s="580"/>
      <c r="P588" s="571" t="str">
        <f>VLOOKUP(A588,'[1]Raw data'!$B:$BB,23,FALSE)</f>
        <v>JPY</v>
      </c>
      <c r="Q588" s="568" t="str">
        <f>VLOOKUP(A588,'[1]Raw data'!$B:$Z,2,FALSE)</f>
        <v>C49SZX20200179MZ</v>
      </c>
      <c r="R588" s="568" t="str">
        <f>VLOOKUP(A588,'[1]Raw data'!$B:$Z,3,FALSE)</f>
        <v>鸿南</v>
      </c>
      <c r="S588" s="568" t="str">
        <f>VLOOKUP(A588,'[1]Raw data'!$B:$Z,4,FALSE)</f>
        <v>YSM10</v>
      </c>
      <c r="T588" s="568" t="str">
        <f>VLOOKUP(A588,'[1]Raw data'!$B:$Z,8,FALSE)</f>
        <v>R-&gt;L</v>
      </c>
      <c r="U588" s="568" t="str">
        <f>VLOOKUP(A588,'[1]Raw data'!$B:$Z,9,FALSE)</f>
        <v>MVC</v>
      </c>
      <c r="V588" s="572" t="str">
        <f t="shared" si="84"/>
        <v>WRONG</v>
      </c>
      <c r="W588" s="568" t="str">
        <f>VLOOKUP(A588,'[1]Raw data'!$B:$AG,32,FALSE)</f>
        <v>CIF HK</v>
      </c>
      <c r="X588" s="568">
        <f>VLOOKUP(A588,'[1]Raw data'!$B:$BA,31,FALSE)</f>
        <v>44102</v>
      </c>
      <c r="Y588" s="568" t="str">
        <f>VLOOKUP(A588,'[1]Raw data'!$B:$AS,39,FALSE)</f>
        <v>Yes</v>
      </c>
      <c r="Z588" s="664"/>
      <c r="AA588" s="665"/>
      <c r="AB588" s="666"/>
      <c r="AC588" s="652" t="s">
        <v>400</v>
      </c>
      <c r="AD588" s="667">
        <v>312</v>
      </c>
      <c r="AE588" s="667">
        <v>10</v>
      </c>
      <c r="AF588" s="667"/>
      <c r="AG588" s="667"/>
      <c r="AH588" s="667"/>
      <c r="AI588" s="668"/>
      <c r="AN588" s="547"/>
      <c r="AO588" s="829" t="str">
        <f t="shared" si="85"/>
        <v>Yes</v>
      </c>
      <c r="AP588" s="259" t="str">
        <f t="shared" si="86"/>
        <v>DEC 20</v>
      </c>
      <c r="AQ588" s="547" t="str">
        <f t="shared" si="87"/>
        <v>有定金+有預留客戶</v>
      </c>
      <c r="AR588" s="259" t="str">
        <f t="shared" si="88"/>
        <v>Shipped_Stock</v>
      </c>
      <c r="AS588" s="259" t="str">
        <f t="shared" si="89"/>
        <v/>
      </c>
      <c r="AT588" s="259" t="str">
        <f t="shared" si="90"/>
        <v>鸿南</v>
      </c>
      <c r="AU588" s="259" t="str">
        <f t="shared" si="91"/>
        <v>C49SZX20200179MZ</v>
      </c>
      <c r="AV588" s="259" t="str">
        <f t="shared" si="92"/>
        <v>Nov-26</v>
      </c>
    </row>
    <row r="589" spans="1:48" hidden="1">
      <c r="A589" s="564">
        <v>850</v>
      </c>
      <c r="B589" s="565" t="s">
        <v>280</v>
      </c>
      <c r="C589" s="568" t="s">
        <v>15</v>
      </c>
      <c r="D589" s="650">
        <v>110026</v>
      </c>
      <c r="E589" s="568" t="s">
        <v>886</v>
      </c>
      <c r="F589" s="652" t="s">
        <v>241</v>
      </c>
      <c r="G589" s="652" t="s">
        <v>18</v>
      </c>
      <c r="H589" s="652" t="s">
        <v>26</v>
      </c>
      <c r="I589" s="580" t="s">
        <v>1279</v>
      </c>
      <c r="J589" s="580">
        <v>1</v>
      </c>
      <c r="K589" s="652" t="s">
        <v>437</v>
      </c>
      <c r="L589" s="662">
        <v>44161</v>
      </c>
      <c r="M589" s="670" t="s">
        <v>906</v>
      </c>
      <c r="N589" s="652" t="s">
        <v>1124</v>
      </c>
      <c r="O589" s="580"/>
      <c r="P589" s="571" t="str">
        <f>VLOOKUP(A589,'[1]Raw data'!$B:$BB,23,FALSE)</f>
        <v>JPY</v>
      </c>
      <c r="Q589" s="568" t="str">
        <f>VLOOKUP(A589,'[1]Raw data'!$B:$Z,2,FALSE)</f>
        <v>C49SZX20200167EC</v>
      </c>
      <c r="R589" s="568" t="str">
        <f>VLOOKUP(A589,'[1]Raw data'!$B:$Z,3,FALSE)</f>
        <v>海红天远</v>
      </c>
      <c r="S589" s="568" t="str">
        <f>VLOOKUP(A589,'[1]Raw data'!$B:$Z,4,FALSE)</f>
        <v>YSM10</v>
      </c>
      <c r="T589" s="568" t="str">
        <f>VLOOKUP(A589,'[1]Raw data'!$B:$Z,8,FALSE)</f>
        <v>L-&gt;R</v>
      </c>
      <c r="U589" s="568" t="str">
        <f>VLOOKUP(A589,'[1]Raw data'!$B:$Z,9,FALSE)</f>
        <v>No</v>
      </c>
      <c r="V589" s="572" t="str">
        <f t="shared" si="84"/>
        <v>WRONG</v>
      </c>
      <c r="W589" s="568" t="str">
        <f>VLOOKUP(A589,'[1]Raw data'!$B:$AG,32,FALSE)</f>
        <v>CIF HK</v>
      </c>
      <c r="X589" s="568">
        <f>VLOOKUP(A589,'[1]Raw data'!$B:$BA,31,FALSE)</f>
        <v>44092</v>
      </c>
      <c r="Y589" s="568" t="str">
        <f>VLOOKUP(A589,'[1]Raw data'!$B:$AS,39,FALSE)</f>
        <v>Yes</v>
      </c>
      <c r="Z589" s="664"/>
      <c r="AA589" s="665"/>
      <c r="AB589" s="666"/>
      <c r="AC589" s="652" t="s">
        <v>1079</v>
      </c>
      <c r="AD589" s="667">
        <v>312</v>
      </c>
      <c r="AE589" s="667">
        <v>10</v>
      </c>
      <c r="AF589" s="667"/>
      <c r="AG589" s="667"/>
      <c r="AH589" s="667"/>
      <c r="AI589" s="668"/>
      <c r="AN589" s="547"/>
      <c r="AO589" s="829" t="str">
        <f t="shared" si="85"/>
        <v>Yes</v>
      </c>
      <c r="AP589" s="259" t="str">
        <f t="shared" si="86"/>
        <v>DEC 20</v>
      </c>
      <c r="AQ589" s="547" t="str">
        <f t="shared" si="87"/>
        <v>有定金+有預留客戶</v>
      </c>
      <c r="AR589" s="259" t="str">
        <f t="shared" si="88"/>
        <v>Shipped_Stock</v>
      </c>
      <c r="AS589" s="259" t="str">
        <f t="shared" si="89"/>
        <v/>
      </c>
      <c r="AT589" s="259" t="str">
        <f t="shared" si="90"/>
        <v>海红天远</v>
      </c>
      <c r="AU589" s="259" t="str">
        <f t="shared" si="91"/>
        <v>C49SZX20200167EC</v>
      </c>
      <c r="AV589" s="259" t="str">
        <f t="shared" si="92"/>
        <v>Nov-26</v>
      </c>
    </row>
    <row r="590" spans="1:48" hidden="1">
      <c r="A590" s="564">
        <v>880</v>
      </c>
      <c r="B590" s="669" t="s">
        <v>280</v>
      </c>
      <c r="C590" s="568" t="s">
        <v>15</v>
      </c>
      <c r="D590" s="650" t="s">
        <v>1280</v>
      </c>
      <c r="E590" s="568" t="s">
        <v>886</v>
      </c>
      <c r="F590" s="652" t="s">
        <v>241</v>
      </c>
      <c r="G590" s="652" t="s">
        <v>18</v>
      </c>
      <c r="H590" s="652" t="s">
        <v>26</v>
      </c>
      <c r="I590" s="580" t="s">
        <v>1281</v>
      </c>
      <c r="J590" s="580">
        <v>1</v>
      </c>
      <c r="K590" s="652" t="s">
        <v>437</v>
      </c>
      <c r="L590" s="662">
        <v>44161</v>
      </c>
      <c r="M590" s="670">
        <v>6.3799999999999996E-2</v>
      </c>
      <c r="N590" s="652" t="s">
        <v>1124</v>
      </c>
      <c r="O590" s="580"/>
      <c r="P590" s="571" t="str">
        <f>VLOOKUP(A590,'[1]Raw data'!$B:$BB,23,FALSE)</f>
        <v>RMB</v>
      </c>
      <c r="Q590" s="568" t="str">
        <f>VLOOKUP(A590,'[1]Raw data'!$B:$Z,2,FALSE)</f>
        <v>C49SZX20200187SX</v>
      </c>
      <c r="R590" s="568" t="str">
        <f>VLOOKUP(A590,'[1]Raw data'!$B:$Z,3,FALSE)</f>
        <v>亿莱</v>
      </c>
      <c r="S590" s="568" t="str">
        <f>VLOOKUP(A590,'[1]Raw data'!$B:$Z,4,FALSE)</f>
        <v>YSM10</v>
      </c>
      <c r="T590" s="568" t="str">
        <f>VLOOKUP(A590,'[1]Raw data'!$B:$Z,8,FALSE)</f>
        <v>L-&gt;R</v>
      </c>
      <c r="U590" s="568" t="str">
        <f>VLOOKUP(A590,'[1]Raw data'!$B:$Z,9,FALSE)</f>
        <v>MVC</v>
      </c>
      <c r="V590" s="572" t="str">
        <f t="shared" si="84"/>
        <v>WRONG</v>
      </c>
      <c r="W590" s="568" t="str">
        <f>VLOOKUP(A590,'[1]Raw data'!$B:$AG,32,FALSE)</f>
        <v>含税到厂</v>
      </c>
      <c r="X590" s="568">
        <f>VLOOKUP(A590,'[1]Raw data'!$B:$BA,31,FALSE)</f>
        <v>44116</v>
      </c>
      <c r="Y590" s="568" t="str">
        <f>VLOOKUP(A590,'[1]Raw data'!$B:$AS,39,FALSE)</f>
        <v>Yes</v>
      </c>
      <c r="Z590" s="664"/>
      <c r="AA590" s="665"/>
      <c r="AB590" s="666"/>
      <c r="AC590" s="724" t="s">
        <v>1282</v>
      </c>
      <c r="AD590" s="667">
        <v>301</v>
      </c>
      <c r="AE590" s="667">
        <v>10</v>
      </c>
      <c r="AF590" s="667"/>
      <c r="AG590" s="667"/>
      <c r="AH590" s="667"/>
      <c r="AI590" s="668"/>
      <c r="AN590" s="547"/>
      <c r="AO590" s="829" t="str">
        <f t="shared" si="85"/>
        <v>Yes</v>
      </c>
      <c r="AP590" s="259" t="str">
        <f t="shared" si="86"/>
        <v>DEC 20</v>
      </c>
      <c r="AQ590" s="547" t="str">
        <f t="shared" si="87"/>
        <v>有定金+有預留客戶</v>
      </c>
      <c r="AR590" s="259" t="str">
        <f t="shared" si="88"/>
        <v>Shipped_Stock</v>
      </c>
      <c r="AS590" s="259" t="str">
        <f t="shared" si="89"/>
        <v/>
      </c>
      <c r="AT590" s="259" t="str">
        <f t="shared" si="90"/>
        <v>亿莱</v>
      </c>
      <c r="AU590" s="259" t="str">
        <f t="shared" si="91"/>
        <v>C49SZX20200187SX</v>
      </c>
      <c r="AV590" s="259" t="str">
        <f t="shared" si="92"/>
        <v>Nov-26</v>
      </c>
    </row>
    <row r="591" spans="1:48" hidden="1">
      <c r="A591" s="564">
        <v>879</v>
      </c>
      <c r="B591" s="669" t="s">
        <v>280</v>
      </c>
      <c r="C591" s="568" t="s">
        <v>15</v>
      </c>
      <c r="D591" s="650" t="s">
        <v>1280</v>
      </c>
      <c r="E591" s="568" t="s">
        <v>886</v>
      </c>
      <c r="F591" s="652" t="s">
        <v>241</v>
      </c>
      <c r="G591" s="652" t="s">
        <v>18</v>
      </c>
      <c r="H591" s="652" t="s">
        <v>26</v>
      </c>
      <c r="I591" s="580" t="s">
        <v>1283</v>
      </c>
      <c r="J591" s="580">
        <v>1</v>
      </c>
      <c r="K591" s="652" t="s">
        <v>437</v>
      </c>
      <c r="L591" s="662">
        <v>44161</v>
      </c>
      <c r="M591" s="670">
        <v>6.3799999999999996E-2</v>
      </c>
      <c r="N591" s="652" t="s">
        <v>1124</v>
      </c>
      <c r="O591" s="580"/>
      <c r="P591" s="571" t="str">
        <f>VLOOKUP(A591,'[1]Raw data'!$B:$BB,23,FALSE)</f>
        <v>RMB</v>
      </c>
      <c r="Q591" s="568" t="str">
        <f>VLOOKUP(A591,'[1]Raw data'!$B:$Z,2,FALSE)</f>
        <v>C49SZX20200187SX</v>
      </c>
      <c r="R591" s="568" t="str">
        <f>VLOOKUP(A591,'[1]Raw data'!$B:$Z,3,FALSE)</f>
        <v>亿莱</v>
      </c>
      <c r="S591" s="568" t="str">
        <f>VLOOKUP(A591,'[1]Raw data'!$B:$Z,4,FALSE)</f>
        <v>YSM10</v>
      </c>
      <c r="T591" s="568" t="str">
        <f>VLOOKUP(A591,'[1]Raw data'!$B:$Z,8,FALSE)</f>
        <v>L-&gt;R</v>
      </c>
      <c r="U591" s="568" t="str">
        <f>VLOOKUP(A591,'[1]Raw data'!$B:$Z,9,FALSE)</f>
        <v>MVC</v>
      </c>
      <c r="V591" s="572" t="str">
        <f t="shared" si="84"/>
        <v>WRONG</v>
      </c>
      <c r="W591" s="568" t="str">
        <f>VLOOKUP(A591,'[1]Raw data'!$B:$AG,32,FALSE)</f>
        <v>含税到厂</v>
      </c>
      <c r="X591" s="568">
        <f>VLOOKUP(A591,'[1]Raw data'!$B:$BA,31,FALSE)</f>
        <v>44116</v>
      </c>
      <c r="Y591" s="568" t="str">
        <f>VLOOKUP(A591,'[1]Raw data'!$B:$AS,39,FALSE)</f>
        <v>Yes</v>
      </c>
      <c r="Z591" s="664"/>
      <c r="AA591" s="665"/>
      <c r="AB591" s="666"/>
      <c r="AC591" s="724" t="s">
        <v>1282</v>
      </c>
      <c r="AD591" s="667">
        <v>301</v>
      </c>
      <c r="AE591" s="667">
        <v>10</v>
      </c>
      <c r="AF591" s="667"/>
      <c r="AG591" s="667"/>
      <c r="AH591" s="667"/>
      <c r="AI591" s="668"/>
      <c r="AN591" s="547"/>
      <c r="AO591" s="829" t="str">
        <f t="shared" si="85"/>
        <v>Yes</v>
      </c>
      <c r="AP591" s="259" t="str">
        <f t="shared" si="86"/>
        <v>DEC 20</v>
      </c>
      <c r="AQ591" s="547" t="str">
        <f t="shared" si="87"/>
        <v>有定金+有預留客戶</v>
      </c>
      <c r="AR591" s="259" t="str">
        <f t="shared" si="88"/>
        <v>Shipped_Stock</v>
      </c>
      <c r="AS591" s="259" t="str">
        <f t="shared" si="89"/>
        <v/>
      </c>
      <c r="AT591" s="259" t="str">
        <f t="shared" si="90"/>
        <v>亿莱</v>
      </c>
      <c r="AU591" s="259" t="str">
        <f t="shared" si="91"/>
        <v>C49SZX20200187SX</v>
      </c>
      <c r="AV591" s="259" t="str">
        <f t="shared" si="92"/>
        <v>Nov-26</v>
      </c>
    </row>
    <row r="592" spans="1:48" hidden="1">
      <c r="A592" s="564">
        <v>861</v>
      </c>
      <c r="B592" s="669" t="s">
        <v>280</v>
      </c>
      <c r="C592" s="568" t="s">
        <v>15</v>
      </c>
      <c r="D592" s="650">
        <v>110044</v>
      </c>
      <c r="E592" s="568" t="s">
        <v>886</v>
      </c>
      <c r="F592" s="652" t="s">
        <v>241</v>
      </c>
      <c r="G592" s="652" t="s">
        <v>18</v>
      </c>
      <c r="H592" s="652" t="s">
        <v>26</v>
      </c>
      <c r="I592" s="580" t="s">
        <v>1284</v>
      </c>
      <c r="J592" s="580">
        <v>1</v>
      </c>
      <c r="K592" s="652" t="s">
        <v>437</v>
      </c>
      <c r="L592" s="662">
        <v>44161</v>
      </c>
      <c r="M592" s="670" t="s">
        <v>258</v>
      </c>
      <c r="N592" s="652" t="s">
        <v>1124</v>
      </c>
      <c r="O592" s="580"/>
      <c r="P592" s="571" t="str">
        <f>VLOOKUP(A592,'[1]Raw data'!$B:$BB,23,FALSE)</f>
        <v>JPY</v>
      </c>
      <c r="Q592" s="568" t="str">
        <f>VLOOKUP(A592,'[1]Raw data'!$B:$Z,2,FALSE)</f>
        <v>C49SZX20200169DZ</v>
      </c>
      <c r="R592" s="568" t="str">
        <f>VLOOKUP(A592,'[1]Raw data'!$B:$Z,3,FALSE)</f>
        <v>兆晖</v>
      </c>
      <c r="S592" s="568" t="str">
        <f>VLOOKUP(A592,'[1]Raw data'!$B:$Z,4,FALSE)</f>
        <v>YSM10</v>
      </c>
      <c r="T592" s="568" t="str">
        <f>VLOOKUP(A592,'[1]Raw data'!$B:$Z,8,FALSE)</f>
        <v>L-&gt;R</v>
      </c>
      <c r="U592" s="568" t="str">
        <f>VLOOKUP(A592,'[1]Raw data'!$B:$Z,9,FALSE)</f>
        <v>MVC</v>
      </c>
      <c r="V592" s="572" t="str">
        <f t="shared" si="84"/>
        <v>WRONG</v>
      </c>
      <c r="W592" s="568" t="str">
        <f>VLOOKUP(A592,'[1]Raw data'!$B:$AG,32,FALSE)</f>
        <v>CIF HK</v>
      </c>
      <c r="X592" s="568">
        <f>VLOOKUP(A592,'[1]Raw data'!$B:$BA,31,FALSE)</f>
        <v>44101</v>
      </c>
      <c r="Y592" s="568" t="str">
        <f>VLOOKUP(A592,'[1]Raw data'!$B:$AS,39,FALSE)</f>
        <v>Yes</v>
      </c>
      <c r="Z592" s="664"/>
      <c r="AA592" s="665"/>
      <c r="AB592" s="666"/>
      <c r="AC592" s="652" t="s">
        <v>1023</v>
      </c>
      <c r="AD592" s="667">
        <v>301</v>
      </c>
      <c r="AE592" s="667">
        <v>10</v>
      </c>
      <c r="AF592" s="667"/>
      <c r="AG592" s="667"/>
      <c r="AH592" s="667"/>
      <c r="AI592" s="668"/>
      <c r="AN592" s="547"/>
      <c r="AO592" s="829" t="str">
        <f t="shared" si="85"/>
        <v>Yes</v>
      </c>
      <c r="AP592" s="259" t="str">
        <f t="shared" si="86"/>
        <v>DEC 20</v>
      </c>
      <c r="AQ592" s="547" t="str">
        <f t="shared" si="87"/>
        <v>有定金+有預留客戶</v>
      </c>
      <c r="AR592" s="259" t="str">
        <f t="shared" si="88"/>
        <v>Shipped_Stock</v>
      </c>
      <c r="AS592" s="259" t="str">
        <f t="shared" si="89"/>
        <v/>
      </c>
      <c r="AT592" s="259" t="str">
        <f t="shared" si="90"/>
        <v>兆晖</v>
      </c>
      <c r="AU592" s="259" t="str">
        <f t="shared" si="91"/>
        <v>C49SZX20200169DZ</v>
      </c>
      <c r="AV592" s="259" t="str">
        <f t="shared" si="92"/>
        <v>Nov-26</v>
      </c>
    </row>
    <row r="593" spans="1:48" hidden="1">
      <c r="A593" s="564">
        <v>860</v>
      </c>
      <c r="B593" s="669" t="s">
        <v>280</v>
      </c>
      <c r="C593" s="568" t="s">
        <v>15</v>
      </c>
      <c r="D593" s="650">
        <v>110044</v>
      </c>
      <c r="E593" s="568" t="s">
        <v>886</v>
      </c>
      <c r="F593" s="652" t="s">
        <v>241</v>
      </c>
      <c r="G593" s="652" t="s">
        <v>18</v>
      </c>
      <c r="H593" s="652" t="s">
        <v>26</v>
      </c>
      <c r="I593" s="580" t="s">
        <v>1285</v>
      </c>
      <c r="J593" s="580">
        <v>1</v>
      </c>
      <c r="K593" s="652" t="s">
        <v>437</v>
      </c>
      <c r="L593" s="662">
        <v>44161</v>
      </c>
      <c r="M593" s="670" t="s">
        <v>258</v>
      </c>
      <c r="N593" s="652" t="s">
        <v>1124</v>
      </c>
      <c r="O593" s="580"/>
      <c r="P593" s="571" t="str">
        <f>VLOOKUP(A593,'[1]Raw data'!$B:$BB,23,FALSE)</f>
        <v>JPY</v>
      </c>
      <c r="Q593" s="568" t="str">
        <f>VLOOKUP(A593,'[1]Raw data'!$B:$Z,2,FALSE)</f>
        <v>C49SZX20200169DZ</v>
      </c>
      <c r="R593" s="568" t="str">
        <f>VLOOKUP(A593,'[1]Raw data'!$B:$Z,3,FALSE)</f>
        <v>兆晖</v>
      </c>
      <c r="S593" s="568" t="str">
        <f>VLOOKUP(A593,'[1]Raw data'!$B:$Z,4,FALSE)</f>
        <v>YSM10</v>
      </c>
      <c r="T593" s="568" t="str">
        <f>VLOOKUP(A593,'[1]Raw data'!$B:$Z,8,FALSE)</f>
        <v>L-&gt;R</v>
      </c>
      <c r="U593" s="568" t="str">
        <f>VLOOKUP(A593,'[1]Raw data'!$B:$Z,9,FALSE)</f>
        <v>MVC</v>
      </c>
      <c r="V593" s="572" t="str">
        <f t="shared" si="84"/>
        <v>WRONG</v>
      </c>
      <c r="W593" s="568" t="str">
        <f>VLOOKUP(A593,'[1]Raw data'!$B:$AG,32,FALSE)</f>
        <v>CIF HK</v>
      </c>
      <c r="X593" s="568">
        <f>VLOOKUP(A593,'[1]Raw data'!$B:$BA,31,FALSE)</f>
        <v>44101</v>
      </c>
      <c r="Y593" s="568" t="str">
        <f>VLOOKUP(A593,'[1]Raw data'!$B:$AS,39,FALSE)</f>
        <v>Yes</v>
      </c>
      <c r="Z593" s="664"/>
      <c r="AA593" s="665"/>
      <c r="AB593" s="666"/>
      <c r="AC593" s="652" t="s">
        <v>1023</v>
      </c>
      <c r="AD593" s="667">
        <v>301</v>
      </c>
      <c r="AE593" s="667">
        <v>10</v>
      </c>
      <c r="AF593" s="667"/>
      <c r="AG593" s="667"/>
      <c r="AH593" s="667"/>
      <c r="AI593" s="668"/>
      <c r="AN593" s="547"/>
      <c r="AO593" s="829" t="str">
        <f t="shared" si="85"/>
        <v>Yes</v>
      </c>
      <c r="AP593" s="259" t="str">
        <f t="shared" si="86"/>
        <v>DEC 20</v>
      </c>
      <c r="AQ593" s="547" t="str">
        <f t="shared" si="87"/>
        <v>有定金+有預留客戶</v>
      </c>
      <c r="AR593" s="259" t="str">
        <f t="shared" si="88"/>
        <v>Shipped_Stock</v>
      </c>
      <c r="AS593" s="259" t="str">
        <f t="shared" si="89"/>
        <v/>
      </c>
      <c r="AT593" s="259" t="str">
        <f t="shared" si="90"/>
        <v>兆晖</v>
      </c>
      <c r="AU593" s="259" t="str">
        <f t="shared" si="91"/>
        <v>C49SZX20200169DZ</v>
      </c>
      <c r="AV593" s="259" t="str">
        <f t="shared" si="92"/>
        <v>Nov-26</v>
      </c>
    </row>
    <row r="594" spans="1:48" hidden="1">
      <c r="A594" s="564">
        <v>858</v>
      </c>
      <c r="B594" s="669" t="s">
        <v>280</v>
      </c>
      <c r="C594" s="568" t="s">
        <v>15</v>
      </c>
      <c r="D594" s="650">
        <v>110044</v>
      </c>
      <c r="E594" s="651" t="s">
        <v>886</v>
      </c>
      <c r="F594" s="652" t="s">
        <v>241</v>
      </c>
      <c r="G594" s="652" t="s">
        <v>18</v>
      </c>
      <c r="H594" s="652" t="s">
        <v>26</v>
      </c>
      <c r="I594" s="580" t="s">
        <v>1286</v>
      </c>
      <c r="J594" s="580">
        <v>1</v>
      </c>
      <c r="K594" s="652" t="s">
        <v>437</v>
      </c>
      <c r="L594" s="662">
        <v>44161</v>
      </c>
      <c r="M594" s="670" t="s">
        <v>258</v>
      </c>
      <c r="N594" s="652" t="s">
        <v>1124</v>
      </c>
      <c r="O594" s="580"/>
      <c r="P594" s="571" t="str">
        <f>VLOOKUP(A594,'[1]Raw data'!$B:$BB,23,FALSE)</f>
        <v>JPY</v>
      </c>
      <c r="Q594" s="568" t="str">
        <f>VLOOKUP(A594,'[1]Raw data'!$B:$Z,2,FALSE)</f>
        <v>C49SZX20200169DZ</v>
      </c>
      <c r="R594" s="568" t="str">
        <f>VLOOKUP(A594,'[1]Raw data'!$B:$Z,3,FALSE)</f>
        <v>兆晖</v>
      </c>
      <c r="S594" s="568" t="str">
        <f>VLOOKUP(A594,'[1]Raw data'!$B:$Z,4,FALSE)</f>
        <v>YSM10</v>
      </c>
      <c r="T594" s="568" t="str">
        <f>VLOOKUP(A594,'[1]Raw data'!$B:$Z,8,FALSE)</f>
        <v>L-&gt;R</v>
      </c>
      <c r="U594" s="568" t="str">
        <f>VLOOKUP(A594,'[1]Raw data'!$B:$Z,9,FALSE)</f>
        <v>MVC</v>
      </c>
      <c r="V594" s="572" t="str">
        <f t="shared" si="84"/>
        <v>WRONG</v>
      </c>
      <c r="W594" s="568" t="str">
        <f>VLOOKUP(A594,'[1]Raw data'!$B:$AG,32,FALSE)</f>
        <v>CIF HK</v>
      </c>
      <c r="X594" s="568">
        <f>VLOOKUP(A594,'[1]Raw data'!$B:$BA,31,FALSE)</f>
        <v>44101</v>
      </c>
      <c r="Y594" s="568" t="str">
        <f>VLOOKUP(A594,'[1]Raw data'!$B:$AS,39,FALSE)</f>
        <v>Yes</v>
      </c>
      <c r="Z594" s="664"/>
      <c r="AA594" s="665"/>
      <c r="AB594" s="666"/>
      <c r="AC594" s="652" t="s">
        <v>1023</v>
      </c>
      <c r="AD594" s="667">
        <v>301</v>
      </c>
      <c r="AE594" s="667">
        <v>10</v>
      </c>
      <c r="AF594" s="667"/>
      <c r="AG594" s="667"/>
      <c r="AH594" s="667"/>
      <c r="AI594" s="668"/>
      <c r="AN594" s="547"/>
      <c r="AO594" s="829" t="str">
        <f t="shared" si="85"/>
        <v>Yes</v>
      </c>
      <c r="AP594" s="259" t="str">
        <f t="shared" si="86"/>
        <v>DEC 20</v>
      </c>
      <c r="AQ594" s="547" t="str">
        <f t="shared" si="87"/>
        <v>有定金+有預留客戶</v>
      </c>
      <c r="AR594" s="259" t="str">
        <f t="shared" si="88"/>
        <v>Shipped_Stock</v>
      </c>
      <c r="AS594" s="259" t="str">
        <f t="shared" si="89"/>
        <v/>
      </c>
      <c r="AT594" s="259" t="str">
        <f t="shared" si="90"/>
        <v>兆晖</v>
      </c>
      <c r="AU594" s="259" t="str">
        <f t="shared" si="91"/>
        <v>C49SZX20200169DZ</v>
      </c>
      <c r="AV594" s="259" t="str">
        <f t="shared" si="92"/>
        <v>Nov-26</v>
      </c>
    </row>
    <row r="595" spans="1:48" hidden="1">
      <c r="A595" s="564">
        <v>859</v>
      </c>
      <c r="B595" s="669" t="s">
        <v>280</v>
      </c>
      <c r="C595" s="568" t="s">
        <v>15</v>
      </c>
      <c r="D595" s="650">
        <v>110044</v>
      </c>
      <c r="E595" s="568" t="s">
        <v>886</v>
      </c>
      <c r="F595" s="652" t="s">
        <v>241</v>
      </c>
      <c r="G595" s="652" t="s">
        <v>18</v>
      </c>
      <c r="H595" s="652" t="s">
        <v>26</v>
      </c>
      <c r="I595" s="580" t="s">
        <v>1287</v>
      </c>
      <c r="J595" s="580">
        <v>1</v>
      </c>
      <c r="K595" s="652" t="s">
        <v>437</v>
      </c>
      <c r="L595" s="662">
        <v>44161</v>
      </c>
      <c r="M595" s="670" t="s">
        <v>258</v>
      </c>
      <c r="N595" s="652" t="s">
        <v>1124</v>
      </c>
      <c r="O595" s="580"/>
      <c r="P595" s="571" t="str">
        <f>VLOOKUP(A595,'[1]Raw data'!$B:$BB,23,FALSE)</f>
        <v>JPY</v>
      </c>
      <c r="Q595" s="568" t="str">
        <f>VLOOKUP(A595,'[1]Raw data'!$B:$Z,2,FALSE)</f>
        <v>C49SZX20200169DZ</v>
      </c>
      <c r="R595" s="568" t="str">
        <f>VLOOKUP(A595,'[1]Raw data'!$B:$Z,3,FALSE)</f>
        <v>兆晖</v>
      </c>
      <c r="S595" s="568" t="str">
        <f>VLOOKUP(A595,'[1]Raw data'!$B:$Z,4,FALSE)</f>
        <v>YSM10</v>
      </c>
      <c r="T595" s="568" t="str">
        <f>VLOOKUP(A595,'[1]Raw data'!$B:$Z,8,FALSE)</f>
        <v>L-&gt;R</v>
      </c>
      <c r="U595" s="568" t="str">
        <f>VLOOKUP(A595,'[1]Raw data'!$B:$Z,9,FALSE)</f>
        <v>MVC</v>
      </c>
      <c r="V595" s="572" t="str">
        <f t="shared" si="84"/>
        <v>WRONG</v>
      </c>
      <c r="W595" s="568" t="str">
        <f>VLOOKUP(A595,'[1]Raw data'!$B:$AG,32,FALSE)</f>
        <v>CIF HK</v>
      </c>
      <c r="X595" s="568">
        <f>VLOOKUP(A595,'[1]Raw data'!$B:$BA,31,FALSE)</f>
        <v>44101</v>
      </c>
      <c r="Y595" s="568" t="str">
        <f>VLOOKUP(A595,'[1]Raw data'!$B:$AS,39,FALSE)</f>
        <v>Yes</v>
      </c>
      <c r="Z595" s="664"/>
      <c r="AA595" s="665"/>
      <c r="AB595" s="666"/>
      <c r="AC595" s="652" t="s">
        <v>1023</v>
      </c>
      <c r="AD595" s="667">
        <v>301</v>
      </c>
      <c r="AE595" s="667">
        <v>10</v>
      </c>
      <c r="AF595" s="667"/>
      <c r="AG595" s="667"/>
      <c r="AH595" s="667"/>
      <c r="AI595" s="668"/>
      <c r="AN595" s="547"/>
      <c r="AO595" s="829" t="str">
        <f t="shared" si="85"/>
        <v>Yes</v>
      </c>
      <c r="AP595" s="259" t="str">
        <f t="shared" si="86"/>
        <v>DEC 20</v>
      </c>
      <c r="AQ595" s="547" t="str">
        <f t="shared" si="87"/>
        <v>有定金+有預留客戶</v>
      </c>
      <c r="AR595" s="259" t="str">
        <f t="shared" si="88"/>
        <v>Shipped_Stock</v>
      </c>
      <c r="AS595" s="259" t="str">
        <f t="shared" si="89"/>
        <v/>
      </c>
      <c r="AT595" s="259" t="str">
        <f t="shared" si="90"/>
        <v>兆晖</v>
      </c>
      <c r="AU595" s="259" t="str">
        <f t="shared" si="91"/>
        <v>C49SZX20200169DZ</v>
      </c>
      <c r="AV595" s="259" t="str">
        <f t="shared" si="92"/>
        <v>Nov-26</v>
      </c>
    </row>
    <row r="596" spans="1:48" hidden="1">
      <c r="A596" s="564">
        <v>851</v>
      </c>
      <c r="B596" s="565" t="s">
        <v>280</v>
      </c>
      <c r="C596" s="568" t="s">
        <v>15</v>
      </c>
      <c r="D596" s="650">
        <v>110069</v>
      </c>
      <c r="E596" s="568" t="s">
        <v>886</v>
      </c>
      <c r="F596" s="652" t="s">
        <v>58</v>
      </c>
      <c r="G596" s="652" t="s">
        <v>24</v>
      </c>
      <c r="H596" s="652" t="s">
        <v>26</v>
      </c>
      <c r="I596" s="580" t="s">
        <v>1288</v>
      </c>
      <c r="J596" s="580">
        <v>1</v>
      </c>
      <c r="K596" s="652" t="s">
        <v>311</v>
      </c>
      <c r="L596" s="680">
        <v>44175</v>
      </c>
      <c r="M596" s="681" t="s">
        <v>906</v>
      </c>
      <c r="N596" s="652" t="s">
        <v>1124</v>
      </c>
      <c r="O596" s="580"/>
      <c r="P596" s="571" t="str">
        <f>VLOOKUP(A596,'[1]Raw data'!$B:$BB,23,FALSE)</f>
        <v>JPY</v>
      </c>
      <c r="Q596" s="568" t="str">
        <f>VLOOKUP(A596,'[1]Raw data'!$B:$Z,2,FALSE)</f>
        <v>C49SZX20200167EC</v>
      </c>
      <c r="R596" s="568" t="str">
        <f>VLOOKUP(A596,'[1]Raw data'!$B:$Z,3,FALSE)</f>
        <v>海红天远</v>
      </c>
      <c r="S596" s="568" t="str">
        <f>VLOOKUP(A596,'[1]Raw data'!$B:$Z,4,FALSE)</f>
        <v>YSM20R(SV)-2</v>
      </c>
      <c r="T596" s="568" t="str">
        <f>VLOOKUP(A596,'[1]Raw data'!$B:$Z,8,FALSE)</f>
        <v>L-&gt;R</v>
      </c>
      <c r="U596" s="568" t="str">
        <f>VLOOKUP(A596,'[1]Raw data'!$B:$Z,9,FALSE)</f>
        <v>No</v>
      </c>
      <c r="V596" s="572" t="str">
        <f t="shared" si="84"/>
        <v>OK</v>
      </c>
      <c r="W596" s="568" t="str">
        <f>VLOOKUP(A596,'[1]Raw data'!$B:$AG,32,FALSE)</f>
        <v>CIF HK</v>
      </c>
      <c r="X596" s="568">
        <f>VLOOKUP(A596,'[1]Raw data'!$B:$BA,31,FALSE)</f>
        <v>44092</v>
      </c>
      <c r="Y596" s="568" t="str">
        <f>VLOOKUP(A596,'[1]Raw data'!$B:$AS,39,FALSE)</f>
        <v>Yes</v>
      </c>
      <c r="Z596" s="664"/>
      <c r="AA596" s="665"/>
      <c r="AB596" s="666"/>
      <c r="AC596" s="652" t="s">
        <v>1079</v>
      </c>
      <c r="AD596" s="667">
        <v>301</v>
      </c>
      <c r="AE596" s="667">
        <v>20</v>
      </c>
      <c r="AF596" s="667"/>
      <c r="AG596" s="667"/>
      <c r="AH596" s="667"/>
      <c r="AI596" s="668"/>
      <c r="AN596" s="547"/>
      <c r="AO596" s="829" t="str">
        <f t="shared" si="85"/>
        <v>Yes</v>
      </c>
      <c r="AP596" s="259" t="str">
        <f t="shared" si="86"/>
        <v>DEC 20</v>
      </c>
      <c r="AQ596" s="547" t="str">
        <f t="shared" si="87"/>
        <v>有定金+有預留客戶</v>
      </c>
      <c r="AR596" s="259" t="str">
        <f t="shared" si="88"/>
        <v>Shipped_Stock</v>
      </c>
      <c r="AS596" s="259" t="str">
        <f t="shared" si="89"/>
        <v/>
      </c>
      <c r="AT596" s="259" t="str">
        <f t="shared" si="90"/>
        <v>海红天远</v>
      </c>
      <c r="AU596" s="259" t="str">
        <f t="shared" si="91"/>
        <v>C49SZX20200167EC</v>
      </c>
      <c r="AV596" s="259" t="str">
        <f t="shared" si="92"/>
        <v>Dec-10</v>
      </c>
    </row>
    <row r="597" spans="1:48" hidden="1">
      <c r="A597" s="564">
        <v>841</v>
      </c>
      <c r="B597" s="669" t="s">
        <v>280</v>
      </c>
      <c r="C597" s="568" t="s">
        <v>15</v>
      </c>
      <c r="D597" s="650">
        <v>110069</v>
      </c>
      <c r="E597" s="568" t="s">
        <v>886</v>
      </c>
      <c r="F597" s="652" t="s">
        <v>58</v>
      </c>
      <c r="G597" s="652" t="s">
        <v>18</v>
      </c>
      <c r="H597" s="652" t="s">
        <v>26</v>
      </c>
      <c r="I597" s="580" t="s">
        <v>1289</v>
      </c>
      <c r="J597" s="580">
        <v>1</v>
      </c>
      <c r="K597" s="652" t="s">
        <v>311</v>
      </c>
      <c r="L597" s="680">
        <v>44175</v>
      </c>
      <c r="M597" s="681" t="s">
        <v>906</v>
      </c>
      <c r="N597" s="652" t="s">
        <v>1124</v>
      </c>
      <c r="O597" s="580"/>
      <c r="P597" s="571" t="str">
        <f>VLOOKUP(A597,'[1]Raw data'!$B:$BB,23,FALSE)</f>
        <v>JPY</v>
      </c>
      <c r="Q597" s="568" t="str">
        <f>VLOOKUP(A597,'[1]Raw data'!$B:$Z,2,FALSE)</f>
        <v>C49SZX20200165SX</v>
      </c>
      <c r="R597" s="568" t="str">
        <f>VLOOKUP(A597,'[1]Raw data'!$B:$Z,3,FALSE)</f>
        <v>益田科技</v>
      </c>
      <c r="S597" s="568" t="str">
        <f>VLOOKUP(A597,'[1]Raw data'!$B:$Z,4,FALSE)</f>
        <v>YSM20R(SV)-2</v>
      </c>
      <c r="T597" s="568" t="str">
        <f>VLOOKUP(A597,'[1]Raw data'!$B:$Z,8,FALSE)</f>
        <v>R-&gt;L</v>
      </c>
      <c r="U597" s="568" t="str">
        <f>VLOOKUP(A597,'[1]Raw data'!$B:$Z,9,FALSE)</f>
        <v>No</v>
      </c>
      <c r="V597" s="572" t="str">
        <f t="shared" si="84"/>
        <v>OK</v>
      </c>
      <c r="W597" s="568" t="str">
        <f>VLOOKUP(A597,'[1]Raw data'!$B:$AG,32,FALSE)</f>
        <v>DAP SZ</v>
      </c>
      <c r="X597" s="568">
        <f>VLOOKUP(A597,'[1]Raw data'!$B:$BA,31,FALSE)</f>
        <v>44093</v>
      </c>
      <c r="Y597" s="568" t="str">
        <f>VLOOKUP(A597,'[1]Raw data'!$B:$AS,39,FALSE)</f>
        <v>Yes</v>
      </c>
      <c r="Z597" s="664"/>
      <c r="AA597" s="665"/>
      <c r="AB597" s="666"/>
      <c r="AC597" s="652" t="s">
        <v>1172</v>
      </c>
      <c r="AD597" s="667">
        <v>301</v>
      </c>
      <c r="AE597" s="667">
        <v>20</v>
      </c>
      <c r="AF597" s="667"/>
      <c r="AG597" s="667"/>
      <c r="AH597" s="667"/>
      <c r="AI597" s="668"/>
      <c r="AN597" s="547"/>
      <c r="AO597" s="829" t="str">
        <f t="shared" si="85"/>
        <v>Yes</v>
      </c>
      <c r="AP597" s="259" t="str">
        <f t="shared" si="86"/>
        <v>DEC 20</v>
      </c>
      <c r="AQ597" s="547" t="str">
        <f t="shared" si="87"/>
        <v>有定金+有預留客戶</v>
      </c>
      <c r="AR597" s="259" t="str">
        <f t="shared" si="88"/>
        <v>Shipped_Stock</v>
      </c>
      <c r="AS597" s="259" t="str">
        <f t="shared" si="89"/>
        <v/>
      </c>
      <c r="AT597" s="259" t="str">
        <f t="shared" si="90"/>
        <v>益田科技</v>
      </c>
      <c r="AU597" s="259" t="str">
        <f t="shared" si="91"/>
        <v>C49SZX20200165SX</v>
      </c>
      <c r="AV597" s="259" t="str">
        <f t="shared" si="92"/>
        <v>Dec-10</v>
      </c>
    </row>
    <row r="598" spans="1:48" hidden="1">
      <c r="A598" s="564">
        <v>842</v>
      </c>
      <c r="B598" s="669" t="s">
        <v>280</v>
      </c>
      <c r="C598" s="568" t="s">
        <v>15</v>
      </c>
      <c r="D598" s="650">
        <v>110069</v>
      </c>
      <c r="E598" s="568" t="s">
        <v>886</v>
      </c>
      <c r="F598" s="652" t="s">
        <v>58</v>
      </c>
      <c r="G598" s="652" t="s">
        <v>18</v>
      </c>
      <c r="H598" s="652" t="s">
        <v>26</v>
      </c>
      <c r="I598" s="580" t="s">
        <v>1290</v>
      </c>
      <c r="J598" s="580">
        <v>1</v>
      </c>
      <c r="K598" s="652" t="s">
        <v>311</v>
      </c>
      <c r="L598" s="680">
        <v>44175</v>
      </c>
      <c r="M598" s="681" t="s">
        <v>906</v>
      </c>
      <c r="N598" s="652" t="s">
        <v>1124</v>
      </c>
      <c r="O598" s="580"/>
      <c r="P598" s="571" t="str">
        <f>VLOOKUP(A598,'[1]Raw data'!$B:$BB,23,FALSE)</f>
        <v>JPY</v>
      </c>
      <c r="Q598" s="568" t="str">
        <f>VLOOKUP(A598,'[1]Raw data'!$B:$Z,2,FALSE)</f>
        <v>C49SZX20200165SX</v>
      </c>
      <c r="R598" s="568" t="str">
        <f>VLOOKUP(A598,'[1]Raw data'!$B:$Z,3,FALSE)</f>
        <v>益田科技</v>
      </c>
      <c r="S598" s="568" t="str">
        <f>VLOOKUP(A598,'[1]Raw data'!$B:$Z,4,FALSE)</f>
        <v>YSM20R(SV)-2</v>
      </c>
      <c r="T598" s="568" t="str">
        <f>VLOOKUP(A598,'[1]Raw data'!$B:$Z,8,FALSE)</f>
        <v>R-&gt;L</v>
      </c>
      <c r="U598" s="568" t="str">
        <f>VLOOKUP(A598,'[1]Raw data'!$B:$Z,9,FALSE)</f>
        <v>No</v>
      </c>
      <c r="V598" s="572" t="str">
        <f t="shared" ref="V598:V661" si="93">IF(G598&amp;H598=T598&amp;U598,"OK","WRONG")</f>
        <v>OK</v>
      </c>
      <c r="W598" s="568" t="str">
        <f>VLOOKUP(A598,'[1]Raw data'!$B:$AG,32,FALSE)</f>
        <v>DAP SZ</v>
      </c>
      <c r="X598" s="568">
        <f>VLOOKUP(A598,'[1]Raw data'!$B:$BA,31,FALSE)</f>
        <v>44093</v>
      </c>
      <c r="Y598" s="568" t="str">
        <f>VLOOKUP(A598,'[1]Raw data'!$B:$AS,39,FALSE)</f>
        <v>Yes</v>
      </c>
      <c r="Z598" s="664"/>
      <c r="AA598" s="665"/>
      <c r="AB598" s="666"/>
      <c r="AC598" s="652" t="s">
        <v>1172</v>
      </c>
      <c r="AD598" s="667">
        <v>301</v>
      </c>
      <c r="AE598" s="667">
        <v>10</v>
      </c>
      <c r="AF598" s="667">
        <v>302</v>
      </c>
      <c r="AG598" s="667">
        <v>10</v>
      </c>
      <c r="AH598" s="667"/>
      <c r="AI598" s="668"/>
      <c r="AN598" s="547"/>
      <c r="AO598" s="829" t="str">
        <f t="shared" si="85"/>
        <v>Yes</v>
      </c>
      <c r="AP598" s="259" t="str">
        <f t="shared" si="86"/>
        <v>DEC 20</v>
      </c>
      <c r="AQ598" s="547" t="str">
        <f t="shared" si="87"/>
        <v>有定金+有預留客戶</v>
      </c>
      <c r="AR598" s="259" t="str">
        <f t="shared" si="88"/>
        <v>Shipped_Stock</v>
      </c>
      <c r="AS598" s="259" t="str">
        <f t="shared" si="89"/>
        <v/>
      </c>
      <c r="AT598" s="259" t="str">
        <f t="shared" si="90"/>
        <v>益田科技</v>
      </c>
      <c r="AU598" s="259" t="str">
        <f t="shared" si="91"/>
        <v>C49SZX20200165SX</v>
      </c>
      <c r="AV598" s="259" t="str">
        <f t="shared" si="92"/>
        <v>Dec-10</v>
      </c>
    </row>
    <row r="599" spans="1:48" hidden="1">
      <c r="A599" s="564">
        <v>843</v>
      </c>
      <c r="B599" s="669" t="s">
        <v>280</v>
      </c>
      <c r="C599" s="568" t="s">
        <v>15</v>
      </c>
      <c r="D599" s="650">
        <v>110069</v>
      </c>
      <c r="E599" s="568" t="s">
        <v>886</v>
      </c>
      <c r="F599" s="652" t="s">
        <v>58</v>
      </c>
      <c r="G599" s="652" t="s">
        <v>18</v>
      </c>
      <c r="H599" s="652" t="s">
        <v>26</v>
      </c>
      <c r="I599" s="580" t="s">
        <v>1291</v>
      </c>
      <c r="J599" s="580">
        <v>1</v>
      </c>
      <c r="K599" s="652" t="s">
        <v>311</v>
      </c>
      <c r="L599" s="680">
        <v>44175</v>
      </c>
      <c r="M599" s="681" t="s">
        <v>906</v>
      </c>
      <c r="N599" s="652" t="s">
        <v>1124</v>
      </c>
      <c r="O599" s="580"/>
      <c r="P599" s="571" t="str">
        <f>VLOOKUP(A599,'[1]Raw data'!$B:$BB,23,FALSE)</f>
        <v>JPY</v>
      </c>
      <c r="Q599" s="568" t="str">
        <f>VLOOKUP(A599,'[1]Raw data'!$B:$Z,2,FALSE)</f>
        <v>C49SZX20200165SX</v>
      </c>
      <c r="R599" s="568" t="str">
        <f>VLOOKUP(A599,'[1]Raw data'!$B:$Z,3,FALSE)</f>
        <v>益田科技</v>
      </c>
      <c r="S599" s="568" t="str">
        <f>VLOOKUP(A599,'[1]Raw data'!$B:$Z,4,FALSE)</f>
        <v>YSM20R(SV)-2</v>
      </c>
      <c r="T599" s="568" t="str">
        <f>VLOOKUP(A599,'[1]Raw data'!$B:$Z,8,FALSE)</f>
        <v>R-&gt;L</v>
      </c>
      <c r="U599" s="568" t="str">
        <f>VLOOKUP(A599,'[1]Raw data'!$B:$Z,9,FALSE)</f>
        <v>No</v>
      </c>
      <c r="V599" s="572" t="str">
        <f t="shared" si="93"/>
        <v>OK</v>
      </c>
      <c r="W599" s="568" t="str">
        <f>VLOOKUP(A599,'[1]Raw data'!$B:$AG,32,FALSE)</f>
        <v>DAP SZ</v>
      </c>
      <c r="X599" s="568">
        <f>VLOOKUP(A599,'[1]Raw data'!$B:$BA,31,FALSE)</f>
        <v>44093</v>
      </c>
      <c r="Y599" s="568" t="str">
        <f>VLOOKUP(A599,'[1]Raw data'!$B:$AS,39,FALSE)</f>
        <v>Yes</v>
      </c>
      <c r="Z599" s="664"/>
      <c r="AA599" s="665"/>
      <c r="AB599" s="666"/>
      <c r="AC599" s="652" t="s">
        <v>1172</v>
      </c>
      <c r="AD599" s="667">
        <v>301</v>
      </c>
      <c r="AE599" s="667">
        <v>10</v>
      </c>
      <c r="AF599" s="667">
        <v>302</v>
      </c>
      <c r="AG599" s="667">
        <v>10</v>
      </c>
      <c r="AH599" s="667"/>
      <c r="AI599" s="668"/>
      <c r="AN599" s="547"/>
      <c r="AO599" s="829" t="str">
        <f t="shared" si="85"/>
        <v>Yes</v>
      </c>
      <c r="AP599" s="259" t="str">
        <f t="shared" si="86"/>
        <v>DEC 20</v>
      </c>
      <c r="AQ599" s="547" t="str">
        <f t="shared" si="87"/>
        <v>有定金+有預留客戶</v>
      </c>
      <c r="AR599" s="259" t="str">
        <f t="shared" si="88"/>
        <v>Shipped_Stock</v>
      </c>
      <c r="AS599" s="259" t="str">
        <f t="shared" si="89"/>
        <v/>
      </c>
      <c r="AT599" s="259" t="str">
        <f t="shared" si="90"/>
        <v>益田科技</v>
      </c>
      <c r="AU599" s="259" t="str">
        <f t="shared" si="91"/>
        <v>C49SZX20200165SX</v>
      </c>
      <c r="AV599" s="259" t="str">
        <f t="shared" si="92"/>
        <v>Dec-10</v>
      </c>
    </row>
    <row r="600" spans="1:48" hidden="1">
      <c r="A600" s="564">
        <v>844</v>
      </c>
      <c r="B600" s="669" t="s">
        <v>280</v>
      </c>
      <c r="C600" s="568" t="s">
        <v>15</v>
      </c>
      <c r="D600" s="650">
        <v>110069</v>
      </c>
      <c r="E600" s="568" t="s">
        <v>886</v>
      </c>
      <c r="F600" s="652" t="s">
        <v>58</v>
      </c>
      <c r="G600" s="652" t="s">
        <v>18</v>
      </c>
      <c r="H600" s="652" t="s">
        <v>26</v>
      </c>
      <c r="I600" s="580" t="s">
        <v>1292</v>
      </c>
      <c r="J600" s="580">
        <v>1</v>
      </c>
      <c r="K600" s="652" t="s">
        <v>311</v>
      </c>
      <c r="L600" s="680">
        <v>44175</v>
      </c>
      <c r="M600" s="681" t="s">
        <v>906</v>
      </c>
      <c r="N600" s="652" t="s">
        <v>1124</v>
      </c>
      <c r="O600" s="580"/>
      <c r="P600" s="571" t="str">
        <f>VLOOKUP(A600,'[1]Raw data'!$B:$BB,23,FALSE)</f>
        <v>JPY</v>
      </c>
      <c r="Q600" s="568" t="str">
        <f>VLOOKUP(A600,'[1]Raw data'!$B:$Z,2,FALSE)</f>
        <v>C49SZX20200165SX</v>
      </c>
      <c r="R600" s="568" t="str">
        <f>VLOOKUP(A600,'[1]Raw data'!$B:$Z,3,FALSE)</f>
        <v>益田科技</v>
      </c>
      <c r="S600" s="568" t="str">
        <f>VLOOKUP(A600,'[1]Raw data'!$B:$Z,4,FALSE)</f>
        <v>YSM20R(SV)-2</v>
      </c>
      <c r="T600" s="568" t="str">
        <f>VLOOKUP(A600,'[1]Raw data'!$B:$Z,8,FALSE)</f>
        <v>R-&gt;L</v>
      </c>
      <c r="U600" s="568" t="str">
        <f>VLOOKUP(A600,'[1]Raw data'!$B:$Z,9,FALSE)</f>
        <v>No</v>
      </c>
      <c r="V600" s="572" t="str">
        <f t="shared" si="93"/>
        <v>OK</v>
      </c>
      <c r="W600" s="568" t="str">
        <f>VLOOKUP(A600,'[1]Raw data'!$B:$AG,32,FALSE)</f>
        <v>DAP SZ</v>
      </c>
      <c r="X600" s="568">
        <f>VLOOKUP(A600,'[1]Raw data'!$B:$BA,31,FALSE)</f>
        <v>44093</v>
      </c>
      <c r="Y600" s="568" t="str">
        <f>VLOOKUP(A600,'[1]Raw data'!$B:$AS,39,FALSE)</f>
        <v>Yes</v>
      </c>
      <c r="Z600" s="664"/>
      <c r="AA600" s="665"/>
      <c r="AB600" s="666"/>
      <c r="AC600" s="652" t="s">
        <v>1172</v>
      </c>
      <c r="AD600" s="667">
        <v>301</v>
      </c>
      <c r="AE600" s="667">
        <v>10</v>
      </c>
      <c r="AF600" s="667">
        <v>302</v>
      </c>
      <c r="AG600" s="667">
        <v>10</v>
      </c>
      <c r="AH600" s="667"/>
      <c r="AI600" s="668"/>
      <c r="AN600" s="547"/>
      <c r="AO600" s="829" t="str">
        <f t="shared" si="85"/>
        <v>Yes</v>
      </c>
      <c r="AP600" s="259" t="str">
        <f t="shared" si="86"/>
        <v>DEC 20</v>
      </c>
      <c r="AQ600" s="547" t="str">
        <f t="shared" si="87"/>
        <v>有定金+有預留客戶</v>
      </c>
      <c r="AR600" s="259" t="str">
        <f t="shared" si="88"/>
        <v>Shipped_Stock</v>
      </c>
      <c r="AS600" s="259" t="str">
        <f t="shared" si="89"/>
        <v/>
      </c>
      <c r="AT600" s="259" t="str">
        <f t="shared" si="90"/>
        <v>益田科技</v>
      </c>
      <c r="AU600" s="259" t="str">
        <f t="shared" si="91"/>
        <v>C49SZX20200165SX</v>
      </c>
      <c r="AV600" s="259" t="str">
        <f t="shared" si="92"/>
        <v>Dec-10</v>
      </c>
    </row>
    <row r="601" spans="1:48" hidden="1">
      <c r="A601" s="564">
        <v>932</v>
      </c>
      <c r="B601" s="669" t="s">
        <v>280</v>
      </c>
      <c r="C601" s="568" t="s">
        <v>15</v>
      </c>
      <c r="D601" s="650">
        <v>110110</v>
      </c>
      <c r="E601" s="651" t="s">
        <v>878</v>
      </c>
      <c r="F601" s="652" t="s">
        <v>58</v>
      </c>
      <c r="G601" s="652" t="s">
        <v>24</v>
      </c>
      <c r="H601" s="652" t="s">
        <v>26</v>
      </c>
      <c r="I601" s="580" t="s">
        <v>1293</v>
      </c>
      <c r="J601" s="580">
        <v>1</v>
      </c>
      <c r="K601" s="652" t="s">
        <v>746</v>
      </c>
      <c r="L601" s="680">
        <v>44180</v>
      </c>
      <c r="M601" s="681" t="s">
        <v>906</v>
      </c>
      <c r="N601" s="652" t="s">
        <v>1124</v>
      </c>
      <c r="O601" s="580"/>
      <c r="P601" s="571" t="str">
        <f>VLOOKUP(A601,'[1]Raw data'!$B:$BB,23,FALSE)</f>
        <v>JPY</v>
      </c>
      <c r="Q601" s="568" t="str">
        <f>VLOOKUP(A601,'[1]Raw data'!$B:$Z,2,FALSE)</f>
        <v>C49SZX20200216JL</v>
      </c>
      <c r="R601" s="568" t="str">
        <f>VLOOKUP(A601,'[1]Raw data'!$B:$Z,3,FALSE)</f>
        <v>捷舜诚</v>
      </c>
      <c r="S601" s="568" t="str">
        <f>VLOOKUP(A601,'[1]Raw data'!$B:$Z,4,FALSE)</f>
        <v>YSM20R-2</v>
      </c>
      <c r="T601" s="568" t="str">
        <f>VLOOKUP(A601,'[1]Raw data'!$B:$Z,8,FALSE)</f>
        <v>L-&gt;R</v>
      </c>
      <c r="U601" s="568" t="str">
        <f>VLOOKUP(A601,'[1]Raw data'!$B:$Z,9,FALSE)</f>
        <v>No</v>
      </c>
      <c r="V601" s="572" t="str">
        <f t="shared" si="93"/>
        <v>OK</v>
      </c>
      <c r="W601" s="568" t="str">
        <f>VLOOKUP(A601,'[1]Raw data'!$B:$AG,32,FALSE)</f>
        <v>DAP SZ</v>
      </c>
      <c r="X601" s="568">
        <f>VLOOKUP(A601,'[1]Raw data'!$B:$BA,31,FALSE)</f>
        <v>44148</v>
      </c>
      <c r="Y601" s="568" t="str">
        <f>VLOOKUP(A601,'[1]Raw data'!$B:$AS,39,FALSE)</f>
        <v>Yes</v>
      </c>
      <c r="Z601" s="664"/>
      <c r="AA601" s="665"/>
      <c r="AB601" s="666"/>
      <c r="AC601" s="652" t="s">
        <v>1150</v>
      </c>
      <c r="AD601" s="667">
        <v>313</v>
      </c>
      <c r="AE601" s="667">
        <v>20</v>
      </c>
      <c r="AF601" s="667"/>
      <c r="AG601" s="667"/>
      <c r="AH601" s="667"/>
      <c r="AI601" s="668"/>
      <c r="AN601" s="547"/>
      <c r="AO601" s="829" t="str">
        <f t="shared" si="85"/>
        <v>Yes</v>
      </c>
      <c r="AP601" s="259" t="str">
        <f t="shared" si="86"/>
        <v>DEC 20</v>
      </c>
      <c r="AQ601" s="547" t="str">
        <f t="shared" si="87"/>
        <v>有定金+有預留客戶</v>
      </c>
      <c r="AR601" s="259" t="str">
        <f t="shared" si="88"/>
        <v>Shipped_Stock</v>
      </c>
      <c r="AS601" s="259" t="str">
        <f t="shared" si="89"/>
        <v/>
      </c>
      <c r="AT601" s="259" t="str">
        <f t="shared" si="90"/>
        <v>捷舜诚</v>
      </c>
      <c r="AU601" s="259" t="str">
        <f t="shared" si="91"/>
        <v>C49SZX20200216JL</v>
      </c>
      <c r="AV601" s="259" t="str">
        <f t="shared" si="92"/>
        <v>Dec-15</v>
      </c>
    </row>
    <row r="602" spans="1:48" hidden="1">
      <c r="A602" s="564">
        <v>881</v>
      </c>
      <c r="B602" s="669" t="s">
        <v>280</v>
      </c>
      <c r="C602" s="568" t="s">
        <v>15</v>
      </c>
      <c r="D602" s="650" t="s">
        <v>1294</v>
      </c>
      <c r="E602" s="651" t="s">
        <v>878</v>
      </c>
      <c r="F602" s="652" t="s">
        <v>58</v>
      </c>
      <c r="G602" s="652" t="s">
        <v>24</v>
      </c>
      <c r="H602" s="652" t="s">
        <v>26</v>
      </c>
      <c r="I602" s="580" t="s">
        <v>1295</v>
      </c>
      <c r="J602" s="580">
        <v>1</v>
      </c>
      <c r="K602" s="652" t="s">
        <v>746</v>
      </c>
      <c r="L602" s="680">
        <v>44180</v>
      </c>
      <c r="M602" s="681">
        <v>6.4000000000000001E-2</v>
      </c>
      <c r="N602" s="652" t="s">
        <v>1124</v>
      </c>
      <c r="O602" s="580"/>
      <c r="P602" s="571" t="str">
        <f>VLOOKUP(A602,'[1]Raw data'!$B:$BB,23,FALSE)</f>
        <v>RMB</v>
      </c>
      <c r="Q602" s="568" t="str">
        <f>VLOOKUP(A602,'[1]Raw data'!$B:$Z,2,FALSE)</f>
        <v>C49SZX20200187SX</v>
      </c>
      <c r="R602" s="568" t="str">
        <f>VLOOKUP(A602,'[1]Raw data'!$B:$Z,3,FALSE)</f>
        <v>亿莱</v>
      </c>
      <c r="S602" s="568" t="str">
        <f>VLOOKUP(A602,'[1]Raw data'!$B:$Z,4,FALSE)</f>
        <v>YSM20R-2</v>
      </c>
      <c r="T602" s="568" t="str">
        <f>VLOOKUP(A602,'[1]Raw data'!$B:$Z,8,FALSE)</f>
        <v>L-&gt;R</v>
      </c>
      <c r="U602" s="568" t="str">
        <f>VLOOKUP(A602,'[1]Raw data'!$B:$Z,9,FALSE)</f>
        <v>No</v>
      </c>
      <c r="V602" s="572" t="str">
        <f t="shared" si="93"/>
        <v>OK</v>
      </c>
      <c r="W602" s="568" t="str">
        <f>VLOOKUP(A602,'[1]Raw data'!$B:$AG,32,FALSE)</f>
        <v>含税到厂</v>
      </c>
      <c r="X602" s="568">
        <f>VLOOKUP(A602,'[1]Raw data'!$B:$BA,31,FALSE)</f>
        <v>44116</v>
      </c>
      <c r="Y602" s="568" t="str">
        <f>VLOOKUP(A602,'[1]Raw data'!$B:$AS,39,FALSE)</f>
        <v>Yes</v>
      </c>
      <c r="Z602" s="664"/>
      <c r="AA602" s="665"/>
      <c r="AB602" s="666"/>
      <c r="AC602" s="724" t="s">
        <v>1282</v>
      </c>
      <c r="AD602" s="667">
        <v>302</v>
      </c>
      <c r="AE602" s="667">
        <v>20</v>
      </c>
      <c r="AF602" s="667"/>
      <c r="AG602" s="667"/>
      <c r="AH602" s="667"/>
      <c r="AI602" s="668"/>
      <c r="AN602" s="547"/>
      <c r="AO602" s="829" t="str">
        <f t="shared" si="85"/>
        <v>Yes</v>
      </c>
      <c r="AP602" s="259" t="str">
        <f t="shared" si="86"/>
        <v>DEC 20</v>
      </c>
      <c r="AQ602" s="547" t="str">
        <f t="shared" si="87"/>
        <v>有定金+有預留客戶</v>
      </c>
      <c r="AR602" s="259" t="str">
        <f t="shared" si="88"/>
        <v>Shipped_Stock</v>
      </c>
      <c r="AS602" s="259" t="str">
        <f t="shared" si="89"/>
        <v/>
      </c>
      <c r="AT602" s="259" t="str">
        <f t="shared" si="90"/>
        <v>亿莱</v>
      </c>
      <c r="AU602" s="259" t="str">
        <f t="shared" si="91"/>
        <v>C49SZX20200187SX</v>
      </c>
      <c r="AV602" s="259" t="str">
        <f t="shared" si="92"/>
        <v>Dec-15</v>
      </c>
    </row>
    <row r="603" spans="1:48" ht="15.75" hidden="1" customHeight="1">
      <c r="A603" s="564">
        <v>883</v>
      </c>
      <c r="B603" s="669" t="s">
        <v>1125</v>
      </c>
      <c r="C603" s="568" t="s">
        <v>15</v>
      </c>
      <c r="D603" s="650">
        <v>110068</v>
      </c>
      <c r="E603" s="568" t="s">
        <v>886</v>
      </c>
      <c r="F603" s="652" t="s">
        <v>58</v>
      </c>
      <c r="G603" s="652" t="s">
        <v>24</v>
      </c>
      <c r="H603" s="652" t="s">
        <v>176</v>
      </c>
      <c r="I603" s="580" t="s">
        <v>1296</v>
      </c>
      <c r="J603" s="667">
        <v>1</v>
      </c>
      <c r="K603" s="652" t="s">
        <v>437</v>
      </c>
      <c r="L603" s="680">
        <v>44178</v>
      </c>
      <c r="M603" s="681" t="s">
        <v>906</v>
      </c>
      <c r="N603" s="652" t="s">
        <v>1127</v>
      </c>
      <c r="O603" s="580">
        <v>2020.11</v>
      </c>
      <c r="P603" s="571" t="str">
        <f>VLOOKUP(A603,'[1]Raw data'!$B:$BB,23,FALSE)</f>
        <v>JPY</v>
      </c>
      <c r="Q603" s="568" t="str">
        <f>VLOOKUP(A603,'[1]Raw data'!$B:$Z,2,FALSE)</f>
        <v>C49SZX20200113SS</v>
      </c>
      <c r="R603" s="568" t="str">
        <f>VLOOKUP(A603,'[1]Raw data'!$B:$Z,3,FALSE)</f>
        <v>派勤</v>
      </c>
      <c r="S603" s="568" t="str">
        <f>VLOOKUP(A603,'[1]Raw data'!$B:$Z,4,FALSE)</f>
        <v>YSM20R-2</v>
      </c>
      <c r="T603" s="568" t="str">
        <f>VLOOKUP(A603,'[1]Raw data'!$B:$Z,8,FALSE)</f>
        <v>L-&gt;R</v>
      </c>
      <c r="U603" s="568" t="str">
        <f>VLOOKUP(A603,'[1]Raw data'!$B:$Z,9,FALSE)</f>
        <v>cATS10+MVC</v>
      </c>
      <c r="V603" s="572" t="str">
        <f t="shared" si="93"/>
        <v>WRONG</v>
      </c>
      <c r="W603" s="568" t="str">
        <f>VLOOKUP(A603,'[1]Raw data'!$B:$AG,32,FALSE)</f>
        <v>DAP SZ</v>
      </c>
      <c r="X603" s="568">
        <f>VLOOKUP(A603,'[1]Raw data'!$B:$BA,31,FALSE)</f>
        <v>44119</v>
      </c>
      <c r="Y603" s="568" t="str">
        <f>VLOOKUP(A603,'[1]Raw data'!$B:$AS,39,FALSE)</f>
        <v>Yes</v>
      </c>
      <c r="Z603" s="674"/>
      <c r="AA603" s="675"/>
      <c r="AB603" s="676"/>
      <c r="AC603" s="652" t="s">
        <v>1297</v>
      </c>
      <c r="AD603" s="667">
        <v>301</v>
      </c>
      <c r="AE603" s="667">
        <v>10</v>
      </c>
      <c r="AF603" s="667">
        <v>302</v>
      </c>
      <c r="AG603" s="667">
        <v>10</v>
      </c>
      <c r="AH603" s="667"/>
      <c r="AI603" s="668"/>
      <c r="AN603" s="547"/>
      <c r="AO603" s="829" t="str">
        <f t="shared" si="85"/>
        <v>Yes</v>
      </c>
      <c r="AP603" s="259" t="str">
        <f t="shared" si="86"/>
        <v>JAN 21</v>
      </c>
      <c r="AQ603" s="547" t="str">
        <f t="shared" si="87"/>
        <v>有定金+有預留客戶</v>
      </c>
      <c r="AR603" s="259" t="str">
        <f t="shared" si="88"/>
        <v>Shipped_Stock</v>
      </c>
      <c r="AS603" s="259" t="str">
        <f t="shared" si="89"/>
        <v/>
      </c>
      <c r="AT603" s="259" t="str">
        <f t="shared" si="90"/>
        <v>派勤</v>
      </c>
      <c r="AU603" s="259" t="str">
        <f t="shared" si="91"/>
        <v>C49SZX20200113SS</v>
      </c>
      <c r="AV603" s="259" t="str">
        <f t="shared" si="92"/>
        <v>Dec-13</v>
      </c>
    </row>
    <row r="604" spans="1:48" hidden="1">
      <c r="A604" s="564">
        <v>867</v>
      </c>
      <c r="B604" s="669" t="s">
        <v>280</v>
      </c>
      <c r="C604" s="568" t="s">
        <v>15</v>
      </c>
      <c r="D604" s="650">
        <v>110068</v>
      </c>
      <c r="E604" s="568" t="s">
        <v>886</v>
      </c>
      <c r="F604" s="652" t="s">
        <v>58</v>
      </c>
      <c r="G604" s="652" t="s">
        <v>24</v>
      </c>
      <c r="H604" s="652" t="s">
        <v>26</v>
      </c>
      <c r="I604" s="580" t="s">
        <v>1298</v>
      </c>
      <c r="J604" s="580">
        <v>1</v>
      </c>
      <c r="K604" s="652" t="s">
        <v>437</v>
      </c>
      <c r="L604" s="680">
        <v>44178</v>
      </c>
      <c r="M604" s="670" t="s">
        <v>906</v>
      </c>
      <c r="N604" s="652" t="s">
        <v>1124</v>
      </c>
      <c r="O604" s="580">
        <v>2020.11</v>
      </c>
      <c r="P604" s="571" t="str">
        <f>VLOOKUP(A604,'[1]Raw data'!$B:$BB,23,FALSE)</f>
        <v>JPY</v>
      </c>
      <c r="Q604" s="568" t="str">
        <f>VLOOKUP(A604,'[1]Raw data'!$B:$Z,2,FALSE)</f>
        <v>C49SZX20200170DZ</v>
      </c>
      <c r="R604" s="568" t="str">
        <f>VLOOKUP(A604,'[1]Raw data'!$B:$Z,3,FALSE)</f>
        <v>嘉裕</v>
      </c>
      <c r="S604" s="568" t="str">
        <f>VLOOKUP(A604,'[1]Raw data'!$B:$Z,4,FALSE)</f>
        <v>YSM20R-2</v>
      </c>
      <c r="T604" s="568" t="str">
        <f>VLOOKUP(A604,'[1]Raw data'!$B:$Z,8,FALSE)</f>
        <v>L-&gt;R</v>
      </c>
      <c r="U604" s="568" t="str">
        <f>VLOOKUP(A604,'[1]Raw data'!$B:$Z,9,FALSE)</f>
        <v>No</v>
      </c>
      <c r="V604" s="572" t="str">
        <f t="shared" si="93"/>
        <v>OK</v>
      </c>
      <c r="W604" s="568" t="str">
        <f>VLOOKUP(A604,'[1]Raw data'!$B:$AG,32,FALSE)</f>
        <v>CIF HK</v>
      </c>
      <c r="X604" s="568">
        <f>VLOOKUP(A604,'[1]Raw data'!$B:$BA,31,FALSE)</f>
        <v>44098</v>
      </c>
      <c r="Y604" s="568" t="str">
        <f>VLOOKUP(A604,'[1]Raw data'!$B:$AS,39,FALSE)</f>
        <v>Yes</v>
      </c>
      <c r="Z604" s="674"/>
      <c r="AA604" s="675"/>
      <c r="AB604" s="676"/>
      <c r="AC604" s="568" t="s">
        <v>555</v>
      </c>
      <c r="AD604" s="667">
        <v>303</v>
      </c>
      <c r="AE604" s="667">
        <v>20</v>
      </c>
      <c r="AF604" s="667"/>
      <c r="AG604" s="667"/>
      <c r="AH604" s="667"/>
      <c r="AI604" s="668"/>
      <c r="AN604" s="547"/>
      <c r="AO604" s="829" t="str">
        <f t="shared" si="85"/>
        <v>Yes</v>
      </c>
      <c r="AP604" s="259" t="str">
        <f t="shared" si="86"/>
        <v>DEC 20</v>
      </c>
      <c r="AQ604" s="547" t="str">
        <f t="shared" si="87"/>
        <v>有定金+有預留客戶</v>
      </c>
      <c r="AR604" s="259" t="str">
        <f t="shared" si="88"/>
        <v>Shipped_Stock</v>
      </c>
      <c r="AS604" s="259" t="str">
        <f t="shared" si="89"/>
        <v/>
      </c>
      <c r="AT604" s="259" t="str">
        <f t="shared" si="90"/>
        <v>嘉裕</v>
      </c>
      <c r="AU604" s="259" t="str">
        <f t="shared" si="91"/>
        <v>C49SZX20200170DZ</v>
      </c>
      <c r="AV604" s="259" t="str">
        <f t="shared" si="92"/>
        <v>Dec-13</v>
      </c>
    </row>
    <row r="605" spans="1:48" hidden="1">
      <c r="A605" s="564">
        <v>928</v>
      </c>
      <c r="B605" s="669" t="s">
        <v>1125</v>
      </c>
      <c r="C605" s="568" t="s">
        <v>15</v>
      </c>
      <c r="D605" s="650" t="s">
        <v>1299</v>
      </c>
      <c r="E605" s="568" t="s">
        <v>1300</v>
      </c>
      <c r="F605" s="652" t="s">
        <v>1163</v>
      </c>
      <c r="G605" s="652" t="s">
        <v>24</v>
      </c>
      <c r="H605" s="652" t="s">
        <v>26</v>
      </c>
      <c r="I605" s="580" t="s">
        <v>1301</v>
      </c>
      <c r="J605" s="580">
        <v>1</v>
      </c>
      <c r="K605" s="652" t="s">
        <v>437</v>
      </c>
      <c r="L605" s="662">
        <v>44186</v>
      </c>
      <c r="M605" s="670">
        <v>6.3399999999999998E-2</v>
      </c>
      <c r="N605" s="652" t="s">
        <v>1127</v>
      </c>
      <c r="O605" s="580"/>
      <c r="P605" s="571" t="str">
        <f>VLOOKUP(A605,'[1]Raw data'!$B:$BB,23,FALSE)</f>
        <v>JPY</v>
      </c>
      <c r="Q605" s="568" t="str">
        <f>VLOOKUP(A605,'[1]Raw data'!$B:$Z,2,FALSE)</f>
        <v>C49SZX20200210RSX</v>
      </c>
      <c r="R605" s="568" t="str">
        <f>VLOOKUP(A605,'[1]Raw data'!$B:$Z,3,FALSE)</f>
        <v>众鑫科</v>
      </c>
      <c r="S605" s="568" t="str">
        <f>VLOOKUP(A605,'[1]Raw data'!$B:$Z,4,FALSE)</f>
        <v>YSM20R-2</v>
      </c>
      <c r="T605" s="568" t="str">
        <f>VLOOKUP(A605,'[1]Raw data'!$B:$Z,8,FALSE)</f>
        <v>L-&gt;R</v>
      </c>
      <c r="U605" s="568" t="str">
        <f>VLOOKUP(A605,'[1]Raw data'!$B:$Z,9,FALSE)</f>
        <v>No</v>
      </c>
      <c r="V605" s="572" t="str">
        <f t="shared" si="93"/>
        <v>OK</v>
      </c>
      <c r="W605" s="568" t="str">
        <f>VLOOKUP(A605,'[1]Raw data'!$B:$AG,32,FALSE)</f>
        <v>DAP HZ</v>
      </c>
      <c r="X605" s="568">
        <f>VLOOKUP(A605,'[1]Raw data'!$B:$BA,31,FALSE)</f>
        <v>44147</v>
      </c>
      <c r="Y605" s="568" t="str">
        <f>VLOOKUP(A605,'[1]Raw data'!$B:$AS,39,FALSE)</f>
        <v>Yes</v>
      </c>
      <c r="Z605" s="667"/>
      <c r="AA605" s="667"/>
      <c r="AB605" s="667"/>
      <c r="AC605" s="580" t="s">
        <v>291</v>
      </c>
      <c r="AD605" s="667">
        <v>301</v>
      </c>
      <c r="AE605" s="667">
        <v>20</v>
      </c>
      <c r="AF605" s="547"/>
      <c r="AG605" s="547"/>
      <c r="AH605" s="547"/>
      <c r="AI605" s="547"/>
      <c r="AJ605" s="586"/>
      <c r="AK605" s="586"/>
      <c r="AL605" s="586"/>
      <c r="AM605" s="586"/>
      <c r="AN605" s="547"/>
      <c r="AO605" s="829" t="str">
        <f t="shared" si="85"/>
        <v>Yes</v>
      </c>
      <c r="AP605" s="259" t="str">
        <f t="shared" si="86"/>
        <v>JAN 21</v>
      </c>
      <c r="AQ605" s="547" t="str">
        <f t="shared" si="87"/>
        <v>有定金+有預留客戶</v>
      </c>
      <c r="AR605" s="259" t="str">
        <f t="shared" si="88"/>
        <v>Shipped_Stock</v>
      </c>
      <c r="AS605" s="259" t="str">
        <f t="shared" si="89"/>
        <v/>
      </c>
      <c r="AT605" s="259" t="str">
        <f t="shared" si="90"/>
        <v>众鑫科</v>
      </c>
      <c r="AU605" s="259" t="str">
        <f t="shared" si="91"/>
        <v>C49SZX20200210RSX</v>
      </c>
      <c r="AV605" s="259" t="str">
        <f t="shared" si="92"/>
        <v>Dec-21</v>
      </c>
    </row>
    <row r="606" spans="1:48" ht="22.5" hidden="1">
      <c r="A606" s="564">
        <v>796</v>
      </c>
      <c r="B606" s="669" t="s">
        <v>280</v>
      </c>
      <c r="C606" s="669" t="s">
        <v>15</v>
      </c>
      <c r="D606" s="650">
        <v>110097</v>
      </c>
      <c r="E606" s="651" t="s">
        <v>1300</v>
      </c>
      <c r="F606" s="652" t="s">
        <v>58</v>
      </c>
      <c r="G606" s="652" t="s">
        <v>18</v>
      </c>
      <c r="H606" s="652" t="s">
        <v>26</v>
      </c>
      <c r="I606" s="580" t="s">
        <v>1302</v>
      </c>
      <c r="J606" s="580">
        <v>1</v>
      </c>
      <c r="K606" s="652" t="s">
        <v>295</v>
      </c>
      <c r="L606" s="680">
        <v>44186</v>
      </c>
      <c r="M606" s="683" t="s">
        <v>1303</v>
      </c>
      <c r="N606" s="652" t="s">
        <v>1127</v>
      </c>
      <c r="O606" s="580"/>
      <c r="P606" s="571" t="str">
        <f>VLOOKUP(A606,'[1]Raw data'!$B:$BB,23,FALSE)</f>
        <v>RMB</v>
      </c>
      <c r="Q606" s="568" t="str">
        <f>VLOOKUP(A606,'[1]Raw data'!$B:$Z,2,FALSE)</f>
        <v>C49SZX20200140RSX</v>
      </c>
      <c r="R606" s="568" t="str">
        <f>VLOOKUP(A606,'[1]Raw data'!$B:$Z,3,FALSE)</f>
        <v>嘉普达</v>
      </c>
      <c r="S606" s="568" t="str">
        <f>VLOOKUP(A606,'[1]Raw data'!$B:$Z,4,FALSE)</f>
        <v>YSM20R-2</v>
      </c>
      <c r="T606" s="568" t="str">
        <f>VLOOKUP(A606,'[1]Raw data'!$B:$Z,8,FALSE)</f>
        <v>R-&gt;L</v>
      </c>
      <c r="U606" s="568" t="str">
        <f>VLOOKUP(A606,'[1]Raw data'!$B:$Z,9,FALSE)</f>
        <v>No</v>
      </c>
      <c r="V606" s="572" t="str">
        <f t="shared" si="93"/>
        <v>OK</v>
      </c>
      <c r="W606" s="568" t="str">
        <f>VLOOKUP(A606,'[1]Raw data'!$B:$AG,32,FALSE)</f>
        <v>含税到厂</v>
      </c>
      <c r="X606" s="568">
        <f>VLOOKUP(A606,'[1]Raw data'!$B:$BA,31,FALSE)</f>
        <v>44075</v>
      </c>
      <c r="Y606" s="568" t="str">
        <f>VLOOKUP(A606,'[1]Raw data'!$B:$AS,39,FALSE)</f>
        <v>Yes</v>
      </c>
      <c r="Z606" s="664"/>
      <c r="AA606" s="665"/>
      <c r="AB606" s="666"/>
      <c r="AC606" s="652" t="s">
        <v>1155</v>
      </c>
      <c r="AD606" s="667">
        <v>302</v>
      </c>
      <c r="AE606" s="667">
        <v>20</v>
      </c>
      <c r="AF606" s="667"/>
      <c r="AG606" s="667"/>
      <c r="AH606" s="667"/>
      <c r="AI606" s="668"/>
      <c r="AN606" s="547"/>
      <c r="AO606" s="829" t="str">
        <f t="shared" si="85"/>
        <v>Yes</v>
      </c>
      <c r="AP606" s="259" t="str">
        <f t="shared" si="86"/>
        <v>JAN 21</v>
      </c>
      <c r="AQ606" s="547" t="str">
        <f t="shared" si="87"/>
        <v>有定金+有預留客戶</v>
      </c>
      <c r="AR606" s="259" t="str">
        <f t="shared" si="88"/>
        <v>Shipped_Stock</v>
      </c>
      <c r="AS606" s="259" t="str">
        <f t="shared" si="89"/>
        <v/>
      </c>
      <c r="AT606" s="259" t="str">
        <f t="shared" si="90"/>
        <v>嘉普达</v>
      </c>
      <c r="AU606" s="259" t="str">
        <f t="shared" si="91"/>
        <v>C49SZX20200140RSX</v>
      </c>
      <c r="AV606" s="259" t="str">
        <f t="shared" si="92"/>
        <v>Dec-21</v>
      </c>
    </row>
    <row r="607" spans="1:48" ht="12" hidden="1" customHeight="1">
      <c r="A607" s="564">
        <v>864</v>
      </c>
      <c r="B607" s="669" t="s">
        <v>280</v>
      </c>
      <c r="C607" s="669" t="s">
        <v>15</v>
      </c>
      <c r="D607" s="650">
        <v>110097</v>
      </c>
      <c r="E607" s="651" t="s">
        <v>1300</v>
      </c>
      <c r="F607" s="652" t="s">
        <v>58</v>
      </c>
      <c r="G607" s="652" t="s">
        <v>18</v>
      </c>
      <c r="H607" s="652" t="s">
        <v>26</v>
      </c>
      <c r="I607" s="580" t="s">
        <v>1304</v>
      </c>
      <c r="J607" s="580">
        <v>1</v>
      </c>
      <c r="K607" s="652" t="s">
        <v>437</v>
      </c>
      <c r="L607" s="680">
        <v>44186</v>
      </c>
      <c r="M607" s="670" t="s">
        <v>906</v>
      </c>
      <c r="N607" s="652" t="s">
        <v>1124</v>
      </c>
      <c r="O607" s="580"/>
      <c r="P607" s="571" t="str">
        <f>VLOOKUP(A607,'[1]Raw data'!$B:$BB,23,FALSE)</f>
        <v>JPY</v>
      </c>
      <c r="Q607" s="568" t="str">
        <f>VLOOKUP(A607,'[1]Raw data'!$B:$Z,2,FALSE)</f>
        <v>C49SZX20200179MZ</v>
      </c>
      <c r="R607" s="568" t="str">
        <f>VLOOKUP(A607,'[1]Raw data'!$B:$Z,3,FALSE)</f>
        <v>鸿南</v>
      </c>
      <c r="S607" s="568" t="str">
        <f>VLOOKUP(A607,'[1]Raw data'!$B:$Z,4,FALSE)</f>
        <v>YSM20R-2</v>
      </c>
      <c r="T607" s="568" t="str">
        <f>VLOOKUP(A607,'[1]Raw data'!$B:$Z,8,FALSE)</f>
        <v>R-&gt;L</v>
      </c>
      <c r="U607" s="568" t="str">
        <f>VLOOKUP(A607,'[1]Raw data'!$B:$Z,9,FALSE)</f>
        <v>No</v>
      </c>
      <c r="V607" s="572" t="str">
        <f t="shared" si="93"/>
        <v>OK</v>
      </c>
      <c r="W607" s="568" t="str">
        <f>VLOOKUP(A607,'[1]Raw data'!$B:$AG,32,FALSE)</f>
        <v>CIF HK</v>
      </c>
      <c r="X607" s="568">
        <f>VLOOKUP(A607,'[1]Raw data'!$B:$BA,31,FALSE)</f>
        <v>44102</v>
      </c>
      <c r="Y607" s="568" t="str">
        <f>VLOOKUP(A607,'[1]Raw data'!$B:$AS,39,FALSE)</f>
        <v>Yes</v>
      </c>
      <c r="Z607" s="664"/>
      <c r="AA607" s="665"/>
      <c r="AB607" s="666"/>
      <c r="AC607" s="652" t="s">
        <v>400</v>
      </c>
      <c r="AD607" s="667">
        <v>301</v>
      </c>
      <c r="AE607" s="667">
        <v>10</v>
      </c>
      <c r="AF607" s="667">
        <v>312</v>
      </c>
      <c r="AG607" s="667">
        <v>10</v>
      </c>
      <c r="AH607" s="667"/>
      <c r="AI607" s="668"/>
      <c r="AN607" s="547"/>
      <c r="AO607" s="829" t="str">
        <f t="shared" si="85"/>
        <v>Yes</v>
      </c>
      <c r="AP607" s="259" t="str">
        <f t="shared" si="86"/>
        <v>DEC 20</v>
      </c>
      <c r="AQ607" s="547" t="str">
        <f t="shared" si="87"/>
        <v>有定金+有預留客戶</v>
      </c>
      <c r="AR607" s="259" t="str">
        <f t="shared" si="88"/>
        <v>Shipped_Stock</v>
      </c>
      <c r="AS607" s="259" t="str">
        <f t="shared" si="89"/>
        <v/>
      </c>
      <c r="AT607" s="259" t="str">
        <f t="shared" si="90"/>
        <v>鸿南</v>
      </c>
      <c r="AU607" s="259" t="str">
        <f t="shared" si="91"/>
        <v>C49SZX20200179MZ</v>
      </c>
      <c r="AV607" s="259" t="str">
        <f t="shared" si="92"/>
        <v>Dec-21</v>
      </c>
    </row>
    <row r="608" spans="1:48" hidden="1">
      <c r="A608" s="564">
        <v>896</v>
      </c>
      <c r="B608" s="669" t="s">
        <v>280</v>
      </c>
      <c r="C608" s="669" t="s">
        <v>15</v>
      </c>
      <c r="D608" s="650" t="s">
        <v>1305</v>
      </c>
      <c r="E608" s="651" t="s">
        <v>1300</v>
      </c>
      <c r="F608" s="652" t="s">
        <v>58</v>
      </c>
      <c r="G608" s="652" t="s">
        <v>24</v>
      </c>
      <c r="H608" s="652" t="s">
        <v>26</v>
      </c>
      <c r="I608" s="580" t="s">
        <v>1306</v>
      </c>
      <c r="J608" s="580">
        <v>1</v>
      </c>
      <c r="K608" s="652" t="s">
        <v>295</v>
      </c>
      <c r="L608" s="680">
        <v>44186</v>
      </c>
      <c r="M608" s="670">
        <v>6.3500000000000001E-2</v>
      </c>
      <c r="N608" s="652" t="s">
        <v>1124</v>
      </c>
      <c r="O608" s="580"/>
      <c r="P608" s="571" t="str">
        <f>VLOOKUP(A608,'[1]Raw data'!$B:$BB,23,FALSE)</f>
        <v>RMB</v>
      </c>
      <c r="Q608" s="568" t="str">
        <f>VLOOKUP(A608,'[1]Raw data'!$B:$Z,2,FALSE)</f>
        <v>C49SZX20200196EC</v>
      </c>
      <c r="R608" s="568" t="str">
        <f>VLOOKUP(A608,'[1]Raw data'!$B:$Z,3,FALSE)</f>
        <v>广泰博</v>
      </c>
      <c r="S608" s="568" t="str">
        <f>VLOOKUP(A608,'[1]Raw data'!$B:$Z,4,FALSE)</f>
        <v>YSM20R-2</v>
      </c>
      <c r="T608" s="568" t="str">
        <f>VLOOKUP(A608,'[1]Raw data'!$B:$Z,8,FALSE)</f>
        <v>L-&gt;R</v>
      </c>
      <c r="U608" s="568" t="str">
        <f>VLOOKUP(A608,'[1]Raw data'!$B:$Z,9,FALSE)</f>
        <v>No</v>
      </c>
      <c r="V608" s="572" t="str">
        <f t="shared" si="93"/>
        <v>OK</v>
      </c>
      <c r="W608" s="568" t="str">
        <f>VLOOKUP(A608,'[1]Raw data'!$B:$AG,32,FALSE)</f>
        <v>含税到厂</v>
      </c>
      <c r="X608" s="568">
        <f>VLOOKUP(A608,'[1]Raw data'!$B:$BA,31,FALSE)</f>
        <v>44127</v>
      </c>
      <c r="Y608" s="568" t="str">
        <f>VLOOKUP(A608,'[1]Raw data'!$B:$AS,39,FALSE)</f>
        <v>Yes</v>
      </c>
      <c r="Z608" s="664"/>
      <c r="AA608" s="665"/>
      <c r="AB608" s="666"/>
      <c r="AC608" s="652" t="s">
        <v>1307</v>
      </c>
      <c r="AD608" s="667">
        <v>301</v>
      </c>
      <c r="AE608" s="667">
        <v>10</v>
      </c>
      <c r="AF608" s="667">
        <v>303</v>
      </c>
      <c r="AG608" s="667">
        <v>10</v>
      </c>
      <c r="AH608" s="667"/>
      <c r="AI608" s="668"/>
      <c r="AN608" s="547"/>
      <c r="AO608" s="829" t="str">
        <f t="shared" si="85"/>
        <v>Yes</v>
      </c>
      <c r="AP608" s="259" t="str">
        <f t="shared" si="86"/>
        <v>DEC 20</v>
      </c>
      <c r="AQ608" s="547" t="str">
        <f t="shared" si="87"/>
        <v>有定金+有預留客戶</v>
      </c>
      <c r="AR608" s="259" t="str">
        <f t="shared" si="88"/>
        <v>Shipped_Stock</v>
      </c>
      <c r="AS608" s="259" t="str">
        <f t="shared" si="89"/>
        <v/>
      </c>
      <c r="AT608" s="259" t="str">
        <f t="shared" si="90"/>
        <v>广泰博</v>
      </c>
      <c r="AU608" s="259" t="str">
        <f t="shared" si="91"/>
        <v>C49SZX20200196EC</v>
      </c>
      <c r="AV608" s="259" t="str">
        <f t="shared" si="92"/>
        <v>Dec-21</v>
      </c>
    </row>
    <row r="609" spans="1:48" hidden="1">
      <c r="A609" s="564">
        <v>897</v>
      </c>
      <c r="B609" s="669" t="s">
        <v>280</v>
      </c>
      <c r="C609" s="669" t="s">
        <v>15</v>
      </c>
      <c r="D609" s="650">
        <v>110181</v>
      </c>
      <c r="E609" s="651" t="s">
        <v>1300</v>
      </c>
      <c r="F609" s="652" t="s">
        <v>58</v>
      </c>
      <c r="G609" s="652" t="s">
        <v>24</v>
      </c>
      <c r="H609" s="652" t="s">
        <v>26</v>
      </c>
      <c r="I609" s="580" t="s">
        <v>1308</v>
      </c>
      <c r="J609" s="580">
        <v>1</v>
      </c>
      <c r="K609" s="652" t="s">
        <v>295</v>
      </c>
      <c r="L609" s="680">
        <v>44186</v>
      </c>
      <c r="M609" s="683" t="s">
        <v>1309</v>
      </c>
      <c r="N609" s="652" t="s">
        <v>1124</v>
      </c>
      <c r="O609" s="580"/>
      <c r="P609" s="571" t="str">
        <f>VLOOKUP(A609,'[1]Raw data'!$B:$BB,23,FALSE)</f>
        <v>RMB</v>
      </c>
      <c r="Q609" s="568" t="str">
        <f>VLOOKUP(A609,'[1]Raw data'!$B:$Z,2,FALSE)</f>
        <v>C49SZX20200196EC</v>
      </c>
      <c r="R609" s="568" t="str">
        <f>VLOOKUP(A609,'[1]Raw data'!$B:$Z,3,FALSE)</f>
        <v>广泰博</v>
      </c>
      <c r="S609" s="568" t="str">
        <f>VLOOKUP(A609,'[1]Raw data'!$B:$Z,4,FALSE)</f>
        <v>YSM20R-2</v>
      </c>
      <c r="T609" s="568" t="str">
        <f>VLOOKUP(A609,'[1]Raw data'!$B:$Z,8,FALSE)</f>
        <v>L-&gt;R</v>
      </c>
      <c r="U609" s="568" t="str">
        <f>VLOOKUP(A609,'[1]Raw data'!$B:$Z,9,FALSE)</f>
        <v>No</v>
      </c>
      <c r="V609" s="572" t="str">
        <f t="shared" si="93"/>
        <v>OK</v>
      </c>
      <c r="W609" s="568" t="str">
        <f>VLOOKUP(A609,'[1]Raw data'!$B:$AG,32,FALSE)</f>
        <v>含税到厂</v>
      </c>
      <c r="X609" s="568">
        <f>VLOOKUP(A609,'[1]Raw data'!$B:$BA,31,FALSE)</f>
        <v>44127</v>
      </c>
      <c r="Y609" s="568" t="str">
        <f>VLOOKUP(A609,'[1]Raw data'!$B:$AS,39,FALSE)</f>
        <v>Yes</v>
      </c>
      <c r="Z609" s="664"/>
      <c r="AA609" s="665"/>
      <c r="AB609" s="666"/>
      <c r="AC609" s="652" t="s">
        <v>1307</v>
      </c>
      <c r="AD609" s="667">
        <v>301</v>
      </c>
      <c r="AE609" s="667">
        <v>10</v>
      </c>
      <c r="AF609" s="667">
        <v>303</v>
      </c>
      <c r="AG609" s="667">
        <v>10</v>
      </c>
      <c r="AH609" s="667"/>
      <c r="AI609" s="668"/>
      <c r="AN609" s="547"/>
      <c r="AO609" s="829" t="str">
        <f t="shared" si="85"/>
        <v>Yes</v>
      </c>
      <c r="AP609" s="259" t="str">
        <f t="shared" si="86"/>
        <v>DEC 20</v>
      </c>
      <c r="AQ609" s="547" t="str">
        <f t="shared" si="87"/>
        <v>有定金+有預留客戶</v>
      </c>
      <c r="AR609" s="259" t="str">
        <f t="shared" si="88"/>
        <v>Shipped_Stock</v>
      </c>
      <c r="AS609" s="259" t="str">
        <f t="shared" si="89"/>
        <v/>
      </c>
      <c r="AT609" s="259" t="str">
        <f t="shared" si="90"/>
        <v>广泰博</v>
      </c>
      <c r="AU609" s="259" t="str">
        <f t="shared" si="91"/>
        <v>C49SZX20200196EC</v>
      </c>
      <c r="AV609" s="259" t="str">
        <f t="shared" si="92"/>
        <v>Dec-21</v>
      </c>
    </row>
    <row r="610" spans="1:48" hidden="1">
      <c r="A610" s="564">
        <v>919</v>
      </c>
      <c r="B610" s="669" t="s">
        <v>280</v>
      </c>
      <c r="C610" s="669" t="s">
        <v>15</v>
      </c>
      <c r="D610" s="650">
        <v>110158</v>
      </c>
      <c r="E610" s="651" t="s">
        <v>1310</v>
      </c>
      <c r="F610" s="652" t="s">
        <v>58</v>
      </c>
      <c r="G610" s="652" t="s">
        <v>24</v>
      </c>
      <c r="H610" s="652" t="s">
        <v>26</v>
      </c>
      <c r="I610" s="580" t="s">
        <v>1311</v>
      </c>
      <c r="J610" s="580">
        <v>1</v>
      </c>
      <c r="K610" s="652" t="s">
        <v>496</v>
      </c>
      <c r="L610" s="680">
        <v>44186</v>
      </c>
      <c r="M610" s="670" t="s">
        <v>906</v>
      </c>
      <c r="N610" s="652" t="s">
        <v>1124</v>
      </c>
      <c r="O610" s="580"/>
      <c r="P610" s="571" t="str">
        <f>VLOOKUP(A610,'[1]Raw data'!$B:$BB,23,FALSE)</f>
        <v>JPY</v>
      </c>
      <c r="Q610" s="568" t="str">
        <f>VLOOKUP(A610,'[1]Raw data'!$B:$Z,2,FALSE)</f>
        <v>C49SZX20200203SS</v>
      </c>
      <c r="R610" s="568" t="str">
        <f>VLOOKUP(A610,'[1]Raw data'!$B:$Z,3,FALSE)</f>
        <v>存封</v>
      </c>
      <c r="S610" s="568" t="str">
        <f>VLOOKUP(A610,'[1]Raw data'!$B:$Z,4,FALSE)</f>
        <v>YSM20R-2</v>
      </c>
      <c r="T610" s="568" t="str">
        <f>VLOOKUP(A610,'[1]Raw data'!$B:$Z,8,FALSE)</f>
        <v>L-&gt;R</v>
      </c>
      <c r="U610" s="568" t="str">
        <f>VLOOKUP(A610,'[1]Raw data'!$B:$Z,9,FALSE)</f>
        <v>No</v>
      </c>
      <c r="V610" s="572" t="str">
        <f t="shared" si="93"/>
        <v>OK</v>
      </c>
      <c r="W610" s="568" t="str">
        <f>VLOOKUP(A610,'[1]Raw data'!$B:$AG,32,FALSE)</f>
        <v>DAP DG</v>
      </c>
      <c r="X610" s="568">
        <f>VLOOKUP(A610,'[1]Raw data'!$B:$BA,31,FALSE)</f>
        <v>44144</v>
      </c>
      <c r="Y610" s="568" t="str">
        <f>VLOOKUP(A610,'[1]Raw data'!$B:$AS,39,FALSE)</f>
        <v>Yes</v>
      </c>
      <c r="Z610" s="664"/>
      <c r="AA610" s="665"/>
      <c r="AB610" s="666"/>
      <c r="AC610" s="652" t="s">
        <v>373</v>
      </c>
      <c r="AD610" s="667">
        <v>301</v>
      </c>
      <c r="AE610" s="667">
        <v>10</v>
      </c>
      <c r="AF610" s="667">
        <v>311</v>
      </c>
      <c r="AG610" s="667">
        <v>10</v>
      </c>
      <c r="AH610" s="667"/>
      <c r="AI610" s="668"/>
      <c r="AN610" s="547"/>
      <c r="AO610" s="829" t="str">
        <f t="shared" si="85"/>
        <v>Yes</v>
      </c>
      <c r="AP610" s="259" t="str">
        <f t="shared" si="86"/>
        <v>DEC 20</v>
      </c>
      <c r="AQ610" s="547" t="str">
        <f t="shared" si="87"/>
        <v>有定金+有預留客戶</v>
      </c>
      <c r="AR610" s="259" t="str">
        <f t="shared" si="88"/>
        <v>Shipped_Stock</v>
      </c>
      <c r="AS610" s="259" t="str">
        <f t="shared" si="89"/>
        <v/>
      </c>
      <c r="AT610" s="259" t="str">
        <f t="shared" si="90"/>
        <v>存封</v>
      </c>
      <c r="AU610" s="259" t="str">
        <f t="shared" si="91"/>
        <v>C49SZX20200203SS</v>
      </c>
      <c r="AV610" s="259" t="str">
        <f t="shared" si="92"/>
        <v>Dec-21</v>
      </c>
    </row>
    <row r="611" spans="1:48" hidden="1">
      <c r="A611" s="564">
        <v>887</v>
      </c>
      <c r="B611" s="669" t="s">
        <v>280</v>
      </c>
      <c r="C611" s="669" t="s">
        <v>15</v>
      </c>
      <c r="D611" s="650">
        <v>110158</v>
      </c>
      <c r="E611" s="651" t="s">
        <v>1310</v>
      </c>
      <c r="F611" s="652" t="s">
        <v>58</v>
      </c>
      <c r="G611" s="652" t="s">
        <v>24</v>
      </c>
      <c r="H611" s="652" t="s">
        <v>26</v>
      </c>
      <c r="I611" s="580" t="s">
        <v>1312</v>
      </c>
      <c r="J611" s="580">
        <v>1</v>
      </c>
      <c r="K611" s="652" t="s">
        <v>496</v>
      </c>
      <c r="L611" s="680">
        <v>44186</v>
      </c>
      <c r="M611" s="681" t="s">
        <v>906</v>
      </c>
      <c r="N611" s="652" t="s">
        <v>1124</v>
      </c>
      <c r="O611" s="580"/>
      <c r="P611" s="571" t="str">
        <f>VLOOKUP(A611,'[1]Raw data'!$B:$BB,23,FALSE)</f>
        <v>JPY</v>
      </c>
      <c r="Q611" s="568" t="str">
        <f>VLOOKUP(A611,'[1]Raw data'!$B:$Z,2,FALSE)</f>
        <v>C49SZX20200190SS</v>
      </c>
      <c r="R611" s="568" t="str">
        <f>VLOOKUP(A611,'[1]Raw data'!$B:$Z,3,FALSE)</f>
        <v>维益</v>
      </c>
      <c r="S611" s="568" t="str">
        <f>VLOOKUP(A611,'[1]Raw data'!$B:$Z,4,FALSE)</f>
        <v>YSM20R-2</v>
      </c>
      <c r="T611" s="568" t="str">
        <f>VLOOKUP(A611,'[1]Raw data'!$B:$Z,8,FALSE)</f>
        <v>L-&gt;R</v>
      </c>
      <c r="U611" s="568" t="str">
        <f>VLOOKUP(A611,'[1]Raw data'!$B:$Z,9,FALSE)</f>
        <v>No</v>
      </c>
      <c r="V611" s="572" t="str">
        <f t="shared" si="93"/>
        <v>OK</v>
      </c>
      <c r="W611" s="568" t="str">
        <f>VLOOKUP(A611,'[1]Raw data'!$B:$AG,32,FALSE)</f>
        <v>DAP SZ</v>
      </c>
      <c r="X611" s="568">
        <f>VLOOKUP(A611,'[1]Raw data'!$B:$BA,31,FALSE)</f>
        <v>44123</v>
      </c>
      <c r="Y611" s="568" t="str">
        <f>VLOOKUP(A611,'[1]Raw data'!$B:$AS,39,FALSE)</f>
        <v>Yes</v>
      </c>
      <c r="Z611" s="667"/>
      <c r="AA611" s="667"/>
      <c r="AB611" s="667"/>
      <c r="AC611" s="580" t="s">
        <v>1313</v>
      </c>
      <c r="AD611" s="667">
        <v>301</v>
      </c>
      <c r="AE611" s="667">
        <v>10</v>
      </c>
      <c r="AF611" s="547">
        <v>307</v>
      </c>
      <c r="AG611" s="547">
        <v>10</v>
      </c>
      <c r="AH611" s="547"/>
      <c r="AI611" s="547"/>
      <c r="AJ611" s="586"/>
      <c r="AK611" s="586"/>
      <c r="AL611" s="586"/>
      <c r="AM611" s="586"/>
      <c r="AN611" s="547"/>
      <c r="AO611" s="829" t="str">
        <f t="shared" si="85"/>
        <v>Yes</v>
      </c>
      <c r="AP611" s="259" t="str">
        <f t="shared" si="86"/>
        <v>DEC 20</v>
      </c>
      <c r="AQ611" s="547" t="str">
        <f t="shared" si="87"/>
        <v>有定金+有預留客戶</v>
      </c>
      <c r="AR611" s="259" t="str">
        <f t="shared" si="88"/>
        <v>Shipped_Stock</v>
      </c>
      <c r="AS611" s="259" t="str">
        <f t="shared" si="89"/>
        <v/>
      </c>
      <c r="AT611" s="259" t="str">
        <f t="shared" si="90"/>
        <v>维益</v>
      </c>
      <c r="AU611" s="259" t="str">
        <f t="shared" si="91"/>
        <v>C49SZX20200190SS</v>
      </c>
      <c r="AV611" s="259" t="str">
        <f t="shared" si="92"/>
        <v>Dec-21</v>
      </c>
    </row>
    <row r="612" spans="1:48" hidden="1">
      <c r="A612" s="564">
        <v>857</v>
      </c>
      <c r="B612" s="669" t="s">
        <v>280</v>
      </c>
      <c r="C612" s="669" t="s">
        <v>15</v>
      </c>
      <c r="D612" s="650">
        <v>110122</v>
      </c>
      <c r="E612" s="568" t="s">
        <v>886</v>
      </c>
      <c r="F612" s="652" t="s">
        <v>241</v>
      </c>
      <c r="G612" s="652" t="s">
        <v>18</v>
      </c>
      <c r="H612" s="652" t="s">
        <v>26</v>
      </c>
      <c r="I612" s="580" t="s">
        <v>1314</v>
      </c>
      <c r="J612" s="580">
        <v>1</v>
      </c>
      <c r="K612" s="652" t="s">
        <v>311</v>
      </c>
      <c r="L612" s="680">
        <v>44193</v>
      </c>
      <c r="M612" s="670" t="s">
        <v>906</v>
      </c>
      <c r="N612" s="652" t="s">
        <v>1124</v>
      </c>
      <c r="O612" s="580"/>
      <c r="P612" s="571" t="str">
        <f>VLOOKUP(A612,'[1]Raw data'!$B:$BB,23,FALSE)</f>
        <v>JPY</v>
      </c>
      <c r="Q612" s="568" t="str">
        <f>VLOOKUP(A612,'[1]Raw data'!$B:$Z,2,FALSE)</f>
        <v>C49SZX20200178SS</v>
      </c>
      <c r="R612" s="568" t="str">
        <f>VLOOKUP(A612,'[1]Raw data'!$B:$Z,3,FALSE)</f>
        <v>顺鸿达</v>
      </c>
      <c r="S612" s="568" t="str">
        <f>VLOOKUP(A612,'[1]Raw data'!$B:$Z,4,FALSE)</f>
        <v>YSM10</v>
      </c>
      <c r="T612" s="568" t="str">
        <f>VLOOKUP(A612,'[1]Raw data'!$B:$Z,8,FALSE)</f>
        <v>R-&gt;L</v>
      </c>
      <c r="U612" s="568" t="str">
        <f>VLOOKUP(A612,'[1]Raw data'!$B:$Z,9,FALSE)</f>
        <v>MVC</v>
      </c>
      <c r="V612" s="572" t="str">
        <f t="shared" si="93"/>
        <v>WRONG</v>
      </c>
      <c r="W612" s="568" t="str">
        <f>VLOOKUP(A612,'[1]Raw data'!$B:$AG,32,FALSE)</f>
        <v>DAP DG</v>
      </c>
      <c r="X612" s="568">
        <f>VLOOKUP(A612,'[1]Raw data'!$B:$BA,31,FALSE)</f>
        <v>44100</v>
      </c>
      <c r="Y612" s="568" t="str">
        <f>VLOOKUP(A612,'[1]Raw data'!$B:$AS,39,FALSE)</f>
        <v>Yes</v>
      </c>
      <c r="Z612" s="664"/>
      <c r="AA612" s="665"/>
      <c r="AB612" s="666"/>
      <c r="AC612" s="652" t="s">
        <v>1315</v>
      </c>
      <c r="AD612" s="667">
        <v>301</v>
      </c>
      <c r="AE612" s="667">
        <v>10</v>
      </c>
      <c r="AF612" s="667"/>
      <c r="AG612" s="667"/>
      <c r="AH612" s="667"/>
      <c r="AI612" s="668"/>
      <c r="AN612" s="547"/>
      <c r="AO612" s="829" t="str">
        <f t="shared" si="85"/>
        <v>Yes</v>
      </c>
      <c r="AP612" s="259" t="str">
        <f t="shared" si="86"/>
        <v>DEC 20</v>
      </c>
      <c r="AQ612" s="547" t="str">
        <f t="shared" si="87"/>
        <v>有定金+有預留客戶</v>
      </c>
      <c r="AR612" s="259" t="str">
        <f t="shared" si="88"/>
        <v>Shipped_Stock</v>
      </c>
      <c r="AS612" s="259" t="str">
        <f t="shared" si="89"/>
        <v/>
      </c>
      <c r="AT612" s="259" t="str">
        <f t="shared" si="90"/>
        <v>顺鸿达</v>
      </c>
      <c r="AU612" s="259" t="str">
        <f t="shared" si="91"/>
        <v>C49SZX20200178SS</v>
      </c>
      <c r="AV612" s="259" t="str">
        <f t="shared" si="92"/>
        <v>Dec-28</v>
      </c>
    </row>
    <row r="613" spans="1:48" hidden="1">
      <c r="A613" s="564">
        <v>907</v>
      </c>
      <c r="B613" s="669" t="s">
        <v>1125</v>
      </c>
      <c r="C613" s="669" t="s">
        <v>15</v>
      </c>
      <c r="D613" s="650">
        <v>110159</v>
      </c>
      <c r="E613" s="651" t="s">
        <v>1310</v>
      </c>
      <c r="F613" s="652" t="s">
        <v>58</v>
      </c>
      <c r="G613" s="652" t="s">
        <v>24</v>
      </c>
      <c r="H613" s="652" t="s">
        <v>26</v>
      </c>
      <c r="I613" s="580" t="s">
        <v>1316</v>
      </c>
      <c r="J613" s="580">
        <v>1</v>
      </c>
      <c r="K613" s="652" t="s">
        <v>311</v>
      </c>
      <c r="L613" s="680">
        <v>44193</v>
      </c>
      <c r="M613" s="670" t="s">
        <v>906</v>
      </c>
      <c r="N613" s="652" t="s">
        <v>1127</v>
      </c>
      <c r="O613" s="580"/>
      <c r="P613" s="571" t="str">
        <f>VLOOKUP(A613,'[1]Raw data'!$B:$BB,23,FALSE)</f>
        <v>JPY</v>
      </c>
      <c r="Q613" s="568" t="str">
        <f>VLOOKUP(A613,'[1]Raw data'!$B:$Z,2,FALSE)</f>
        <v>C49SZX20200142SX</v>
      </c>
      <c r="R613" s="568" t="str">
        <f>VLOOKUP(A613,'[1]Raw data'!$B:$Z,3,FALSE)</f>
        <v>鑫亿特</v>
      </c>
      <c r="S613" s="568" t="str">
        <f>VLOOKUP(A613,'[1]Raw data'!$B:$Z,4,FALSE)</f>
        <v>YSM20R-2</v>
      </c>
      <c r="T613" s="568" t="str">
        <f>VLOOKUP(A613,'[1]Raw data'!$B:$Z,8,FALSE)</f>
        <v>L-&gt;R</v>
      </c>
      <c r="U613" s="568" t="str">
        <f>VLOOKUP(A613,'[1]Raw data'!$B:$Z,9,FALSE)</f>
        <v>No</v>
      </c>
      <c r="V613" s="572" t="str">
        <f t="shared" si="93"/>
        <v>OK</v>
      </c>
      <c r="W613" s="568" t="str">
        <f>VLOOKUP(A613,'[1]Raw data'!$B:$AG,32,FALSE)</f>
        <v>DAP SZ</v>
      </c>
      <c r="X613" s="568">
        <f>VLOOKUP(A613,'[1]Raw data'!$B:$BA,31,FALSE)</f>
        <v>44138</v>
      </c>
      <c r="Y613" s="568" t="str">
        <f>VLOOKUP(A613,'[1]Raw data'!$B:$AS,39,FALSE)</f>
        <v>Yes</v>
      </c>
      <c r="Z613" s="664"/>
      <c r="AA613" s="665"/>
      <c r="AB613" s="666"/>
      <c r="AC613" s="652" t="s">
        <v>1317</v>
      </c>
      <c r="AD613" s="667">
        <v>301</v>
      </c>
      <c r="AE613" s="667">
        <v>20</v>
      </c>
      <c r="AF613" s="667"/>
      <c r="AG613" s="667"/>
      <c r="AH613" s="667"/>
      <c r="AI613" s="668"/>
      <c r="AN613" s="547"/>
      <c r="AO613" s="829" t="str">
        <f t="shared" si="85"/>
        <v>Yes</v>
      </c>
      <c r="AP613" s="259" t="str">
        <f t="shared" si="86"/>
        <v>JAN 21</v>
      </c>
      <c r="AQ613" s="547" t="str">
        <f t="shared" si="87"/>
        <v>有定金+有預留客戶</v>
      </c>
      <c r="AR613" s="259" t="str">
        <f t="shared" si="88"/>
        <v>Shipped_Stock</v>
      </c>
      <c r="AS613" s="259" t="str">
        <f t="shared" si="89"/>
        <v/>
      </c>
      <c r="AT613" s="259" t="str">
        <f t="shared" si="90"/>
        <v>鑫亿特</v>
      </c>
      <c r="AU613" s="259" t="str">
        <f t="shared" si="91"/>
        <v>C49SZX20200142SX</v>
      </c>
      <c r="AV613" s="259" t="str">
        <f t="shared" si="92"/>
        <v>Dec-28</v>
      </c>
    </row>
    <row r="614" spans="1:48" hidden="1">
      <c r="A614" s="564">
        <v>913</v>
      </c>
      <c r="B614" s="669" t="s">
        <v>280</v>
      </c>
      <c r="C614" s="669" t="s">
        <v>15</v>
      </c>
      <c r="D614" s="650">
        <v>110159</v>
      </c>
      <c r="E614" s="651" t="s">
        <v>1310</v>
      </c>
      <c r="F614" s="652" t="s">
        <v>58</v>
      </c>
      <c r="G614" s="652" t="s">
        <v>24</v>
      </c>
      <c r="H614" s="652" t="s">
        <v>26</v>
      </c>
      <c r="I614" s="580" t="s">
        <v>1318</v>
      </c>
      <c r="J614" s="580">
        <v>1</v>
      </c>
      <c r="K614" s="652" t="s">
        <v>311</v>
      </c>
      <c r="L614" s="680">
        <v>44193</v>
      </c>
      <c r="M614" s="683" t="s">
        <v>1319</v>
      </c>
      <c r="N614" s="652" t="s">
        <v>1127</v>
      </c>
      <c r="O614" s="580"/>
      <c r="P614" s="571" t="str">
        <f>VLOOKUP(A614,'[1]Raw data'!$B:$BB,23,FALSE)</f>
        <v>JPY</v>
      </c>
      <c r="Q614" s="568" t="str">
        <f>VLOOKUP(A614,'[1]Raw data'!$B:$Z,2,FALSE)</f>
        <v>C49SZX20200206MZ</v>
      </c>
      <c r="R614" s="568" t="str">
        <f>VLOOKUP(A614,'[1]Raw data'!$B:$Z,3,FALSE)</f>
        <v>崧盛</v>
      </c>
      <c r="S614" s="568" t="str">
        <f>VLOOKUP(A614,'[1]Raw data'!$B:$Z,4,FALSE)</f>
        <v>YSM20R-2</v>
      </c>
      <c r="T614" s="568" t="str">
        <f>VLOOKUP(A614,'[1]Raw data'!$B:$Z,8,FALSE)</f>
        <v>L-&gt;R</v>
      </c>
      <c r="U614" s="568" t="str">
        <f>VLOOKUP(A614,'[1]Raw data'!$B:$Z,9,FALSE)</f>
        <v>No</v>
      </c>
      <c r="V614" s="572" t="str">
        <f t="shared" si="93"/>
        <v>OK</v>
      </c>
      <c r="W614" s="568" t="str">
        <f>VLOOKUP(A614,'[1]Raw data'!$B:$AG,32,FALSE)</f>
        <v>CIF HK</v>
      </c>
      <c r="X614" s="568">
        <f>VLOOKUP(A614,'[1]Raw data'!$B:$BA,31,FALSE)</f>
        <v>44139</v>
      </c>
      <c r="Y614" s="568" t="str">
        <f>VLOOKUP(A614,'[1]Raw data'!$B:$AS,39,FALSE)</f>
        <v>Yes</v>
      </c>
      <c r="Z614" s="664"/>
      <c r="AA614" s="665"/>
      <c r="AB614" s="666"/>
      <c r="AC614" s="652" t="s">
        <v>637</v>
      </c>
      <c r="AD614" s="667">
        <v>301</v>
      </c>
      <c r="AE614" s="667">
        <v>10</v>
      </c>
      <c r="AF614" s="667">
        <v>312</v>
      </c>
      <c r="AG614" s="667">
        <v>10</v>
      </c>
      <c r="AH614" s="667"/>
      <c r="AI614" s="668"/>
      <c r="AN614" s="547"/>
      <c r="AO614" s="829" t="str">
        <f t="shared" si="85"/>
        <v>Yes</v>
      </c>
      <c r="AP614" s="259" t="str">
        <f t="shared" si="86"/>
        <v>JAN 21</v>
      </c>
      <c r="AQ614" s="547" t="str">
        <f t="shared" si="87"/>
        <v>有定金+有預留客戶</v>
      </c>
      <c r="AR614" s="259" t="str">
        <f t="shared" si="88"/>
        <v>Shipped_Stock</v>
      </c>
      <c r="AS614" s="259" t="str">
        <f t="shared" si="89"/>
        <v/>
      </c>
      <c r="AT614" s="259" t="str">
        <f t="shared" si="90"/>
        <v>崧盛</v>
      </c>
      <c r="AU614" s="259" t="str">
        <f t="shared" si="91"/>
        <v>C49SZX20200206MZ</v>
      </c>
      <c r="AV614" s="259" t="str">
        <f t="shared" si="92"/>
        <v>Dec-28</v>
      </c>
    </row>
    <row r="615" spans="1:48" hidden="1">
      <c r="A615" s="564">
        <v>915</v>
      </c>
      <c r="B615" s="669" t="s">
        <v>280</v>
      </c>
      <c r="C615" s="568" t="s">
        <v>15</v>
      </c>
      <c r="D615" s="650">
        <v>110161</v>
      </c>
      <c r="E615" s="568" t="s">
        <v>886</v>
      </c>
      <c r="F615" s="652" t="s">
        <v>241</v>
      </c>
      <c r="G615" s="652" t="s">
        <v>18</v>
      </c>
      <c r="H615" s="652" t="s">
        <v>26</v>
      </c>
      <c r="I615" s="580" t="s">
        <v>1320</v>
      </c>
      <c r="J615" s="580">
        <v>1</v>
      </c>
      <c r="K615" s="652" t="s">
        <v>311</v>
      </c>
      <c r="L615" s="680">
        <v>44197</v>
      </c>
      <c r="M615" s="670" t="s">
        <v>906</v>
      </c>
      <c r="N615" s="652" t="s">
        <v>1127</v>
      </c>
      <c r="O615" s="580"/>
      <c r="P615" s="571" t="str">
        <f>VLOOKUP(A615,'[1]Raw data'!$B:$BB,23,FALSE)</f>
        <v>JPY</v>
      </c>
      <c r="Q615" s="568" t="str">
        <f>VLOOKUP(A615,'[1]Raw data'!$B:$Z,2,FALSE)</f>
        <v>C49SZX20200206MZ</v>
      </c>
      <c r="R615" s="568" t="str">
        <f>VLOOKUP(A615,'[1]Raw data'!$B:$Z,3,FALSE)</f>
        <v>崧盛</v>
      </c>
      <c r="S615" s="568" t="str">
        <f>VLOOKUP(A615,'[1]Raw data'!$B:$Z,4,FALSE)</f>
        <v>YSM10</v>
      </c>
      <c r="T615" s="568" t="str">
        <f>VLOOKUP(A615,'[1]Raw data'!$B:$Z,8,FALSE)</f>
        <v>L-&gt;R</v>
      </c>
      <c r="U615" s="568" t="str">
        <f>VLOOKUP(A615,'[1]Raw data'!$B:$Z,9,FALSE)</f>
        <v>No</v>
      </c>
      <c r="V615" s="572" t="str">
        <f t="shared" si="93"/>
        <v>WRONG</v>
      </c>
      <c r="W615" s="568" t="str">
        <f>VLOOKUP(A615,'[1]Raw data'!$B:$AG,32,FALSE)</f>
        <v>CIF HK</v>
      </c>
      <c r="X615" s="568">
        <f>VLOOKUP(A615,'[1]Raw data'!$B:$BA,31,FALSE)</f>
        <v>44139</v>
      </c>
      <c r="Y615" s="568" t="str">
        <f>VLOOKUP(A615,'[1]Raw data'!$B:$AS,39,FALSE)</f>
        <v>Yes</v>
      </c>
      <c r="Z615" s="664"/>
      <c r="AA615" s="665"/>
      <c r="AB615" s="666"/>
      <c r="AC615" s="652" t="s">
        <v>637</v>
      </c>
      <c r="AD615" s="667">
        <v>301</v>
      </c>
      <c r="AE615" s="667">
        <v>10</v>
      </c>
      <c r="AF615" s="667"/>
      <c r="AG615" s="667"/>
      <c r="AH615" s="667"/>
      <c r="AI615" s="668"/>
      <c r="AN615" s="547"/>
      <c r="AO615" s="829" t="str">
        <f t="shared" si="85"/>
        <v>Yes</v>
      </c>
      <c r="AP615" s="259" t="str">
        <f t="shared" si="86"/>
        <v>JAN 21</v>
      </c>
      <c r="AQ615" s="547" t="str">
        <f t="shared" si="87"/>
        <v>有定金+有預留客戶</v>
      </c>
      <c r="AR615" s="259" t="str">
        <f t="shared" si="88"/>
        <v>Shipped_Stock</v>
      </c>
      <c r="AS615" s="259" t="str">
        <f t="shared" si="89"/>
        <v/>
      </c>
      <c r="AT615" s="259" t="str">
        <f t="shared" si="90"/>
        <v>崧盛</v>
      </c>
      <c r="AU615" s="259" t="str">
        <f t="shared" si="91"/>
        <v>C49SZX20200206MZ</v>
      </c>
      <c r="AV615" s="259" t="str">
        <f t="shared" si="92"/>
        <v>Jan-01</v>
      </c>
    </row>
    <row r="616" spans="1:48" ht="15.75" hidden="1" customHeight="1">
      <c r="A616" s="564">
        <v>912</v>
      </c>
      <c r="B616" s="669" t="s">
        <v>280</v>
      </c>
      <c r="C616" s="669" t="s">
        <v>15</v>
      </c>
      <c r="D616" s="650">
        <v>110108</v>
      </c>
      <c r="E616" s="651" t="s">
        <v>1321</v>
      </c>
      <c r="F616" s="652" t="s">
        <v>58</v>
      </c>
      <c r="G616" s="652" t="s">
        <v>24</v>
      </c>
      <c r="H616" s="652" t="s">
        <v>26</v>
      </c>
      <c r="I616" s="580" t="s">
        <v>1322</v>
      </c>
      <c r="J616" s="580">
        <v>1</v>
      </c>
      <c r="K616" s="652" t="s">
        <v>311</v>
      </c>
      <c r="L616" s="680">
        <v>44197</v>
      </c>
      <c r="M616" s="670" t="s">
        <v>906</v>
      </c>
      <c r="N616" s="652" t="s">
        <v>1127</v>
      </c>
      <c r="O616" s="580"/>
      <c r="P616" s="571" t="str">
        <f>VLOOKUP(A616,'[1]Raw data'!$B:$BB,23,FALSE)</f>
        <v>JPY</v>
      </c>
      <c r="Q616" s="568" t="str">
        <f>VLOOKUP(A616,'[1]Raw data'!$B:$Z,2,FALSE)</f>
        <v>C49SZX20200206MZ</v>
      </c>
      <c r="R616" s="568" t="str">
        <f>VLOOKUP(A616,'[1]Raw data'!$B:$Z,3,FALSE)</f>
        <v>崧盛</v>
      </c>
      <c r="S616" s="568" t="str">
        <f>VLOOKUP(A616,'[1]Raw data'!$B:$Z,4,FALSE)</f>
        <v>YSM20R-2</v>
      </c>
      <c r="T616" s="568" t="str">
        <f>VLOOKUP(A616,'[1]Raw data'!$B:$Z,8,FALSE)</f>
        <v>L-&gt;R</v>
      </c>
      <c r="U616" s="568" t="str">
        <f>VLOOKUP(A616,'[1]Raw data'!$B:$Z,9,FALSE)</f>
        <v>No</v>
      </c>
      <c r="V616" s="572" t="str">
        <f t="shared" si="93"/>
        <v>OK</v>
      </c>
      <c r="W616" s="568" t="str">
        <f>VLOOKUP(A616,'[1]Raw data'!$B:$AG,32,FALSE)</f>
        <v>CIF HK</v>
      </c>
      <c r="X616" s="568">
        <f>VLOOKUP(A616,'[1]Raw data'!$B:$BA,31,FALSE)</f>
        <v>44139</v>
      </c>
      <c r="Y616" s="568" t="str">
        <f>VLOOKUP(A616,'[1]Raw data'!$B:$AS,39,FALSE)</f>
        <v>Yes</v>
      </c>
      <c r="Z616" s="664"/>
      <c r="AA616" s="665"/>
      <c r="AB616" s="666"/>
      <c r="AC616" s="652" t="s">
        <v>637</v>
      </c>
      <c r="AD616" s="667">
        <v>301</v>
      </c>
      <c r="AE616" s="667">
        <v>10</v>
      </c>
      <c r="AF616" s="667">
        <v>303</v>
      </c>
      <c r="AG616" s="667">
        <v>10</v>
      </c>
      <c r="AH616" s="667"/>
      <c r="AI616" s="668"/>
      <c r="AN616" s="547"/>
      <c r="AO616" s="829" t="str">
        <f t="shared" si="85"/>
        <v>Yes</v>
      </c>
      <c r="AP616" s="259" t="str">
        <f t="shared" si="86"/>
        <v>JAN 21</v>
      </c>
      <c r="AQ616" s="547" t="str">
        <f t="shared" si="87"/>
        <v>有定金+有預留客戶</v>
      </c>
      <c r="AR616" s="259" t="str">
        <f t="shared" si="88"/>
        <v>Shipped_Stock</v>
      </c>
      <c r="AS616" s="259" t="str">
        <f t="shared" si="89"/>
        <v/>
      </c>
      <c r="AT616" s="259" t="str">
        <f t="shared" si="90"/>
        <v>崧盛</v>
      </c>
      <c r="AU616" s="259" t="str">
        <f t="shared" si="91"/>
        <v>C49SZX20200206MZ</v>
      </c>
      <c r="AV616" s="259" t="str">
        <f t="shared" si="92"/>
        <v>Jan-01</v>
      </c>
    </row>
    <row r="617" spans="1:48" ht="15.75" hidden="1" customHeight="1">
      <c r="A617" s="564">
        <v>914</v>
      </c>
      <c r="B617" s="669" t="s">
        <v>280</v>
      </c>
      <c r="C617" s="669" t="s">
        <v>15</v>
      </c>
      <c r="D617" s="650">
        <v>110108</v>
      </c>
      <c r="E617" s="651" t="s">
        <v>1321</v>
      </c>
      <c r="F617" s="652" t="s">
        <v>241</v>
      </c>
      <c r="G617" s="652" t="s">
        <v>18</v>
      </c>
      <c r="H617" s="652" t="s">
        <v>26</v>
      </c>
      <c r="I617" s="580" t="s">
        <v>1323</v>
      </c>
      <c r="J617" s="580">
        <v>1</v>
      </c>
      <c r="K617" s="652" t="s">
        <v>311</v>
      </c>
      <c r="L617" s="680">
        <v>44197</v>
      </c>
      <c r="M617" s="670" t="s">
        <v>906</v>
      </c>
      <c r="N617" s="652" t="s">
        <v>1127</v>
      </c>
      <c r="O617" s="580"/>
      <c r="P617" s="571" t="str">
        <f>VLOOKUP(A617,'[1]Raw data'!$B:$BB,23,FALSE)</f>
        <v>JPY</v>
      </c>
      <c r="Q617" s="568" t="str">
        <f>VLOOKUP(A617,'[1]Raw data'!$B:$Z,2,FALSE)</f>
        <v>C49SZX20200206MZ</v>
      </c>
      <c r="R617" s="568" t="str">
        <f>VLOOKUP(A617,'[1]Raw data'!$B:$Z,3,FALSE)</f>
        <v>崧盛</v>
      </c>
      <c r="S617" s="568" t="str">
        <f>VLOOKUP(A617,'[1]Raw data'!$B:$Z,4,FALSE)</f>
        <v>YSM10</v>
      </c>
      <c r="T617" s="568" t="str">
        <f>VLOOKUP(A617,'[1]Raw data'!$B:$Z,8,FALSE)</f>
        <v>L-&gt;R</v>
      </c>
      <c r="U617" s="568" t="str">
        <f>VLOOKUP(A617,'[1]Raw data'!$B:$Z,9,FALSE)</f>
        <v>No</v>
      </c>
      <c r="V617" s="572" t="str">
        <f t="shared" si="93"/>
        <v>WRONG</v>
      </c>
      <c r="W617" s="568" t="str">
        <f>VLOOKUP(A617,'[1]Raw data'!$B:$AG,32,FALSE)</f>
        <v>CIF HK</v>
      </c>
      <c r="X617" s="568">
        <f>VLOOKUP(A617,'[1]Raw data'!$B:$BA,31,FALSE)</f>
        <v>44139</v>
      </c>
      <c r="Y617" s="568" t="str">
        <f>VLOOKUP(A617,'[1]Raw data'!$B:$AS,39,FALSE)</f>
        <v>Yes</v>
      </c>
      <c r="Z617" s="664"/>
      <c r="AA617" s="665"/>
      <c r="AB617" s="666"/>
      <c r="AC617" s="652" t="s">
        <v>637</v>
      </c>
      <c r="AD617" s="667">
        <v>301</v>
      </c>
      <c r="AE617" s="667">
        <v>10</v>
      </c>
      <c r="AF617" s="667"/>
      <c r="AG617" s="667"/>
      <c r="AH617" s="667"/>
      <c r="AI617" s="668"/>
      <c r="AN617" s="547"/>
      <c r="AO617" s="829" t="str">
        <f t="shared" si="85"/>
        <v>Yes</v>
      </c>
      <c r="AP617" s="259" t="str">
        <f t="shared" si="86"/>
        <v>JAN 21</v>
      </c>
      <c r="AQ617" s="547" t="str">
        <f t="shared" si="87"/>
        <v>有定金+有預留客戶</v>
      </c>
      <c r="AR617" s="259" t="str">
        <f t="shared" si="88"/>
        <v>Shipped_Stock</v>
      </c>
      <c r="AS617" s="259" t="str">
        <f t="shared" si="89"/>
        <v/>
      </c>
      <c r="AT617" s="259" t="str">
        <f t="shared" si="90"/>
        <v>崧盛</v>
      </c>
      <c r="AU617" s="259" t="str">
        <f t="shared" si="91"/>
        <v>C49SZX20200206MZ</v>
      </c>
      <c r="AV617" s="259" t="str">
        <f t="shared" si="92"/>
        <v>Jan-01</v>
      </c>
    </row>
    <row r="618" spans="1:48" ht="15.75" hidden="1" customHeight="1">
      <c r="A618" s="564">
        <v>908</v>
      </c>
      <c r="B618" s="669" t="s">
        <v>1125</v>
      </c>
      <c r="C618" s="669" t="s">
        <v>15</v>
      </c>
      <c r="D618" s="650">
        <v>110108</v>
      </c>
      <c r="E618" s="651" t="s">
        <v>1321</v>
      </c>
      <c r="F618" s="652" t="s">
        <v>241</v>
      </c>
      <c r="G618" s="652" t="s">
        <v>18</v>
      </c>
      <c r="H618" s="652" t="s">
        <v>26</v>
      </c>
      <c r="I618" s="580" t="s">
        <v>1324</v>
      </c>
      <c r="J618" s="580">
        <v>1</v>
      </c>
      <c r="K618" s="652" t="s">
        <v>311</v>
      </c>
      <c r="L618" s="680">
        <v>44197</v>
      </c>
      <c r="M618" s="670" t="s">
        <v>906</v>
      </c>
      <c r="N618" s="652" t="s">
        <v>1127</v>
      </c>
      <c r="O618" s="580"/>
      <c r="P618" s="571" t="str">
        <f>VLOOKUP(A618,'[1]Raw data'!$B:$BB,23,FALSE)</f>
        <v>JPY</v>
      </c>
      <c r="Q618" s="568" t="str">
        <f>VLOOKUP(A618,'[1]Raw data'!$B:$Z,2,FALSE)</f>
        <v>C49SZX20200142SX</v>
      </c>
      <c r="R618" s="568" t="str">
        <f>VLOOKUP(A618,'[1]Raw data'!$B:$Z,3,FALSE)</f>
        <v>鑫亿特</v>
      </c>
      <c r="S618" s="568" t="str">
        <f>VLOOKUP(A618,'[1]Raw data'!$B:$Z,4,FALSE)</f>
        <v>YSM10</v>
      </c>
      <c r="T618" s="568" t="str">
        <f>VLOOKUP(A618,'[1]Raw data'!$B:$Z,8,FALSE)</f>
        <v>L-&gt;R</v>
      </c>
      <c r="U618" s="568" t="str">
        <f>VLOOKUP(A618,'[1]Raw data'!$B:$Z,9,FALSE)</f>
        <v>MVC</v>
      </c>
      <c r="V618" s="572" t="str">
        <f t="shared" si="93"/>
        <v>WRONG</v>
      </c>
      <c r="W618" s="568" t="str">
        <f>VLOOKUP(A618,'[1]Raw data'!$B:$AG,32,FALSE)</f>
        <v>DAP SZ</v>
      </c>
      <c r="X618" s="568">
        <f>VLOOKUP(A618,'[1]Raw data'!$B:$BA,31,FALSE)</f>
        <v>44138</v>
      </c>
      <c r="Y618" s="568" t="str">
        <f>VLOOKUP(A618,'[1]Raw data'!$B:$AS,39,FALSE)</f>
        <v>Yes</v>
      </c>
      <c r="Z618" s="664"/>
      <c r="AA618" s="665"/>
      <c r="AB618" s="666"/>
      <c r="AC618" s="652" t="s">
        <v>1317</v>
      </c>
      <c r="AD618" s="667">
        <v>301</v>
      </c>
      <c r="AE618" s="667">
        <v>10</v>
      </c>
      <c r="AF618" s="667"/>
      <c r="AG618" s="667"/>
      <c r="AH618" s="667"/>
      <c r="AI618" s="668"/>
      <c r="AN618" s="547"/>
      <c r="AO618" s="829" t="str">
        <f t="shared" si="85"/>
        <v>Yes</v>
      </c>
      <c r="AP618" s="259" t="str">
        <f t="shared" si="86"/>
        <v>JAN 21</v>
      </c>
      <c r="AQ618" s="547" t="str">
        <f t="shared" si="87"/>
        <v>有定金+有預留客戶</v>
      </c>
      <c r="AR618" s="259" t="str">
        <f t="shared" si="88"/>
        <v>Shipped_Stock</v>
      </c>
      <c r="AS618" s="259" t="str">
        <f t="shared" si="89"/>
        <v/>
      </c>
      <c r="AT618" s="259" t="str">
        <f t="shared" si="90"/>
        <v>鑫亿特</v>
      </c>
      <c r="AU618" s="259" t="str">
        <f t="shared" si="91"/>
        <v>C49SZX20200142SX</v>
      </c>
      <c r="AV618" s="259" t="str">
        <f t="shared" si="92"/>
        <v>Jan-01</v>
      </c>
    </row>
    <row r="619" spans="1:48" hidden="1">
      <c r="A619" s="564">
        <v>906</v>
      </c>
      <c r="B619" s="669" t="s">
        <v>280</v>
      </c>
      <c r="C619" s="568" t="s">
        <v>15</v>
      </c>
      <c r="D619" s="650">
        <v>110066</v>
      </c>
      <c r="E619" s="568" t="s">
        <v>886</v>
      </c>
      <c r="F619" s="652" t="s">
        <v>241</v>
      </c>
      <c r="G619" s="652" t="s">
        <v>18</v>
      </c>
      <c r="H619" s="652" t="s">
        <v>26</v>
      </c>
      <c r="I619" s="580" t="s">
        <v>1325</v>
      </c>
      <c r="J619" s="580">
        <v>1</v>
      </c>
      <c r="K619" s="652" t="s">
        <v>746</v>
      </c>
      <c r="L619" s="680">
        <v>44200</v>
      </c>
      <c r="M619" s="670" t="s">
        <v>906</v>
      </c>
      <c r="N619" s="652" t="s">
        <v>1127</v>
      </c>
      <c r="O619" s="580"/>
      <c r="P619" s="571" t="str">
        <f>VLOOKUP(A619,'[1]Raw data'!$B:$BB,23,FALSE)</f>
        <v>JPY</v>
      </c>
      <c r="Q619" s="568" t="str">
        <f>VLOOKUP(A619,'[1]Raw data'!$B:$Z,2,FALSE)</f>
        <v>C49SZX20200205JZ</v>
      </c>
      <c r="R619" s="568" t="str">
        <f>VLOOKUP(A619,'[1]Raw data'!$B:$Z,3,FALSE)</f>
        <v>新明海</v>
      </c>
      <c r="S619" s="568" t="str">
        <f>VLOOKUP(A619,'[1]Raw data'!$B:$Z,4,FALSE)</f>
        <v>YSM10</v>
      </c>
      <c r="T619" s="568" t="str">
        <f>VLOOKUP(A619,'[1]Raw data'!$B:$Z,8,FALSE)</f>
        <v>L-&gt;R</v>
      </c>
      <c r="U619" s="568" t="str">
        <f>VLOOKUP(A619,'[1]Raw data'!$B:$Z,9,FALSE)</f>
        <v>MVC</v>
      </c>
      <c r="V619" s="572" t="str">
        <f t="shared" si="93"/>
        <v>WRONG</v>
      </c>
      <c r="W619" s="568" t="str">
        <f>VLOOKUP(A619,'[1]Raw data'!$B:$AG,32,FALSE)</f>
        <v>DAP HZ</v>
      </c>
      <c r="X619" s="568">
        <f>VLOOKUP(A619,'[1]Raw data'!$B:$BA,31,FALSE)</f>
        <v>44138</v>
      </c>
      <c r="Y619" s="568" t="str">
        <f>VLOOKUP(A619,'[1]Raw data'!$B:$AS,39,FALSE)</f>
        <v>Yes</v>
      </c>
      <c r="Z619" s="664"/>
      <c r="AA619" s="665"/>
      <c r="AB619" s="666"/>
      <c r="AC619" s="568" t="s">
        <v>834</v>
      </c>
      <c r="AD619" s="667">
        <v>301</v>
      </c>
      <c r="AE619" s="667">
        <v>10</v>
      </c>
      <c r="AF619" s="667"/>
      <c r="AG619" s="667"/>
      <c r="AH619" s="667"/>
      <c r="AI619" s="668"/>
      <c r="AN619" s="547"/>
      <c r="AO619" s="829" t="str">
        <f t="shared" si="85"/>
        <v>Yes</v>
      </c>
      <c r="AP619" s="259" t="str">
        <f t="shared" si="86"/>
        <v>JAN 21</v>
      </c>
      <c r="AQ619" s="547" t="str">
        <f t="shared" si="87"/>
        <v>有定金+有預留客戶</v>
      </c>
      <c r="AR619" s="259" t="str">
        <f t="shared" si="88"/>
        <v>Shipped_Stock</v>
      </c>
      <c r="AS619" s="259" t="str">
        <f t="shared" si="89"/>
        <v/>
      </c>
      <c r="AT619" s="259" t="str">
        <f t="shared" si="90"/>
        <v>新明海</v>
      </c>
      <c r="AU619" s="259" t="str">
        <f t="shared" si="91"/>
        <v>C49SZX20200205JZ</v>
      </c>
      <c r="AV619" s="259" t="str">
        <f t="shared" si="92"/>
        <v>Jan-04</v>
      </c>
    </row>
    <row r="620" spans="1:48" hidden="1">
      <c r="A620" s="564">
        <v>936</v>
      </c>
      <c r="B620" s="669" t="s">
        <v>280</v>
      </c>
      <c r="C620" s="568" t="s">
        <v>15</v>
      </c>
      <c r="D620" s="650">
        <v>110066</v>
      </c>
      <c r="E620" s="568" t="s">
        <v>886</v>
      </c>
      <c r="F620" s="652" t="s">
        <v>241</v>
      </c>
      <c r="G620" s="652" t="s">
        <v>18</v>
      </c>
      <c r="H620" s="652" t="s">
        <v>26</v>
      </c>
      <c r="I620" s="580" t="s">
        <v>1326</v>
      </c>
      <c r="J620" s="580">
        <v>1</v>
      </c>
      <c r="K620" s="652" t="s">
        <v>746</v>
      </c>
      <c r="L620" s="680">
        <v>44200</v>
      </c>
      <c r="M620" s="670" t="s">
        <v>906</v>
      </c>
      <c r="N620" s="652" t="s">
        <v>1127</v>
      </c>
      <c r="O620" s="580"/>
      <c r="P620" s="571" t="str">
        <f>VLOOKUP(A620,'[1]Raw data'!$B:$BB,23,FALSE)</f>
        <v>JPY</v>
      </c>
      <c r="Q620" s="568" t="str">
        <f>VLOOKUP(A620,'[1]Raw data'!$B:$Z,2,FALSE)</f>
        <v>C49SZX20200219SS</v>
      </c>
      <c r="R620" s="568" t="str">
        <f>VLOOKUP(A620,'[1]Raw data'!$B:$Z,3,FALSE)</f>
        <v>钧溢电子</v>
      </c>
      <c r="S620" s="568" t="str">
        <f>VLOOKUP(A620,'[1]Raw data'!$B:$Z,4,FALSE)</f>
        <v>YSM10</v>
      </c>
      <c r="T620" s="568" t="str">
        <f>VLOOKUP(A620,'[1]Raw data'!$B:$Z,8,FALSE)</f>
        <v>L-&gt;R</v>
      </c>
      <c r="U620" s="568" t="str">
        <f>VLOOKUP(A620,'[1]Raw data'!$B:$Z,9,FALSE)</f>
        <v>MVC</v>
      </c>
      <c r="V620" s="572" t="str">
        <f t="shared" si="93"/>
        <v>WRONG</v>
      </c>
      <c r="W620" s="568" t="str">
        <f>VLOOKUP(A620,'[1]Raw data'!$B:$AG,32,FALSE)</f>
        <v>DAP SZ</v>
      </c>
      <c r="X620" s="568">
        <f>VLOOKUP(A620,'[1]Raw data'!$B:$BA,31,FALSE)</f>
        <v>44152</v>
      </c>
      <c r="Y620" s="568" t="str">
        <f>VLOOKUP(A620,'[1]Raw data'!$B:$AS,39,FALSE)</f>
        <v>Yes</v>
      </c>
      <c r="Z620" s="664"/>
      <c r="AA620" s="665"/>
      <c r="AB620" s="666"/>
      <c r="AC620" s="652" t="s">
        <v>940</v>
      </c>
      <c r="AD620" s="667">
        <v>301</v>
      </c>
      <c r="AE620" s="667">
        <v>10</v>
      </c>
      <c r="AF620" s="667"/>
      <c r="AG620" s="667"/>
      <c r="AH620" s="667"/>
      <c r="AI620" s="668"/>
      <c r="AN620" s="547"/>
      <c r="AO620" s="829" t="str">
        <f t="shared" si="85"/>
        <v>Yes</v>
      </c>
      <c r="AP620" s="259" t="str">
        <f t="shared" si="86"/>
        <v>JAN 21</v>
      </c>
      <c r="AQ620" s="547" t="str">
        <f t="shared" si="87"/>
        <v>有定金+有預留客戶</v>
      </c>
      <c r="AR620" s="259" t="str">
        <f t="shared" si="88"/>
        <v>Shipped_Stock</v>
      </c>
      <c r="AS620" s="259" t="str">
        <f t="shared" si="89"/>
        <v/>
      </c>
      <c r="AT620" s="259" t="str">
        <f t="shared" si="90"/>
        <v>钧溢电子</v>
      </c>
      <c r="AU620" s="259" t="str">
        <f t="shared" si="91"/>
        <v>C49SZX20200219SS</v>
      </c>
      <c r="AV620" s="259" t="str">
        <f t="shared" si="92"/>
        <v>Jan-04</v>
      </c>
    </row>
    <row r="621" spans="1:48" hidden="1">
      <c r="A621" s="564">
        <v>885</v>
      </c>
      <c r="B621" s="669" t="s">
        <v>1125</v>
      </c>
      <c r="C621" s="568" t="s">
        <v>15</v>
      </c>
      <c r="D621" s="650">
        <v>110066</v>
      </c>
      <c r="E621" s="568" t="s">
        <v>886</v>
      </c>
      <c r="F621" s="652" t="s">
        <v>241</v>
      </c>
      <c r="G621" s="652" t="s">
        <v>18</v>
      </c>
      <c r="H621" s="652" t="s">
        <v>26</v>
      </c>
      <c r="I621" s="580" t="s">
        <v>1327</v>
      </c>
      <c r="J621" s="580">
        <v>1</v>
      </c>
      <c r="K621" s="652" t="s">
        <v>437</v>
      </c>
      <c r="L621" s="680">
        <v>44200</v>
      </c>
      <c r="M621" s="670" t="s">
        <v>906</v>
      </c>
      <c r="N621" s="652" t="s">
        <v>1127</v>
      </c>
      <c r="O621" s="580"/>
      <c r="P621" s="571" t="str">
        <f>VLOOKUP(A621,'[1]Raw data'!$B:$BB,23,FALSE)</f>
        <v>JPY</v>
      </c>
      <c r="Q621" s="568" t="str">
        <f>VLOOKUP(A621,'[1]Raw data'!$B:$Z,2,FALSE)</f>
        <v>C49SZX20210003JY</v>
      </c>
      <c r="R621" s="568" t="str">
        <f>VLOOKUP(A621,'[1]Raw data'!$B:$Z,3,FALSE)</f>
        <v>光瑞新（end user：海纳科）</v>
      </c>
      <c r="S621" s="568" t="str">
        <f>VLOOKUP(A621,'[1]Raw data'!$B:$Z,4,FALSE)</f>
        <v>YSM10</v>
      </c>
      <c r="T621" s="568" t="str">
        <f>VLOOKUP(A621,'[1]Raw data'!$B:$Z,8,FALSE)</f>
        <v>R-&gt;L</v>
      </c>
      <c r="U621" s="568" t="str">
        <f>VLOOKUP(A621,'[1]Raw data'!$B:$Z,9,FALSE)</f>
        <v>MVC</v>
      </c>
      <c r="V621" s="572" t="str">
        <f t="shared" si="93"/>
        <v>WRONG</v>
      </c>
      <c r="W621" s="568" t="str">
        <f>VLOOKUP(A621,'[1]Raw data'!$B:$AG,32,FALSE)</f>
        <v>DAP SZ</v>
      </c>
      <c r="X621" s="568">
        <f>VLOOKUP(A621,'[1]Raw data'!$B:$BA,31,FALSE)</f>
        <v>44119</v>
      </c>
      <c r="Y621" s="568" t="str">
        <f>VLOOKUP(A621,'[1]Raw data'!$B:$AS,39,FALSE)</f>
        <v>Yes</v>
      </c>
      <c r="Z621" s="664"/>
      <c r="AA621" s="665"/>
      <c r="AB621" s="666"/>
      <c r="AC621" s="652" t="s">
        <v>1082</v>
      </c>
      <c r="AD621" s="667">
        <v>301</v>
      </c>
      <c r="AE621" s="667">
        <v>10</v>
      </c>
      <c r="AF621" s="667"/>
      <c r="AG621" s="667"/>
      <c r="AH621" s="667"/>
      <c r="AI621" s="668"/>
      <c r="AN621" s="547"/>
      <c r="AO621" s="829" t="str">
        <f t="shared" si="85"/>
        <v>Yes</v>
      </c>
      <c r="AP621" s="259" t="str">
        <f t="shared" si="86"/>
        <v>JAN 21</v>
      </c>
      <c r="AQ621" s="547" t="str">
        <f t="shared" si="87"/>
        <v>有定金+有預留客戶</v>
      </c>
      <c r="AR621" s="259" t="str">
        <f t="shared" si="88"/>
        <v>Shipped_Stock</v>
      </c>
      <c r="AS621" s="259" t="str">
        <f t="shared" si="89"/>
        <v/>
      </c>
      <c r="AT621" s="259" t="str">
        <f t="shared" si="90"/>
        <v>光瑞新（end user：海纳科）</v>
      </c>
      <c r="AU621" s="259" t="str">
        <f t="shared" si="91"/>
        <v>C49SZX20210003JY</v>
      </c>
      <c r="AV621" s="259" t="str">
        <f t="shared" si="92"/>
        <v>Jan-04</v>
      </c>
    </row>
    <row r="622" spans="1:48" hidden="1">
      <c r="A622" s="564">
        <v>884</v>
      </c>
      <c r="B622" s="669" t="s">
        <v>1125</v>
      </c>
      <c r="C622" s="568" t="s">
        <v>15</v>
      </c>
      <c r="D622" s="650">
        <v>110066</v>
      </c>
      <c r="E622" s="568" t="s">
        <v>886</v>
      </c>
      <c r="F622" s="652" t="s">
        <v>241</v>
      </c>
      <c r="G622" s="652" t="s">
        <v>18</v>
      </c>
      <c r="H622" s="652" t="s">
        <v>26</v>
      </c>
      <c r="I622" s="580" t="s">
        <v>1328</v>
      </c>
      <c r="J622" s="580">
        <v>1</v>
      </c>
      <c r="K622" s="652" t="s">
        <v>437</v>
      </c>
      <c r="L622" s="680">
        <v>44200</v>
      </c>
      <c r="M622" s="670" t="s">
        <v>906</v>
      </c>
      <c r="N622" s="652" t="s">
        <v>1127</v>
      </c>
      <c r="O622" s="580"/>
      <c r="P622" s="571" t="str">
        <f>VLOOKUP(A622,'[1]Raw data'!$B:$BB,23,FALSE)</f>
        <v>JPY</v>
      </c>
      <c r="Q622" s="568" t="str">
        <f>VLOOKUP(A622,'[1]Raw data'!$B:$Z,2,FALSE)</f>
        <v>C49SZX20210003JY</v>
      </c>
      <c r="R622" s="568" t="str">
        <f>VLOOKUP(A622,'[1]Raw data'!$B:$Z,3,FALSE)</f>
        <v>光瑞新（end user：海纳科）</v>
      </c>
      <c r="S622" s="568" t="str">
        <f>VLOOKUP(A622,'[1]Raw data'!$B:$Z,4,FALSE)</f>
        <v>YSM10</v>
      </c>
      <c r="T622" s="568" t="str">
        <f>VLOOKUP(A622,'[1]Raw data'!$B:$Z,8,FALSE)</f>
        <v>R-&gt;L</v>
      </c>
      <c r="U622" s="568" t="str">
        <f>VLOOKUP(A622,'[1]Raw data'!$B:$Z,9,FALSE)</f>
        <v>MVC</v>
      </c>
      <c r="V622" s="572" t="str">
        <f t="shared" si="93"/>
        <v>WRONG</v>
      </c>
      <c r="W622" s="568" t="str">
        <f>VLOOKUP(A622,'[1]Raw data'!$B:$AG,32,FALSE)</f>
        <v>DAP SZ</v>
      </c>
      <c r="X622" s="568">
        <f>VLOOKUP(A622,'[1]Raw data'!$B:$BA,31,FALSE)</f>
        <v>44119</v>
      </c>
      <c r="Y622" s="568" t="str">
        <f>VLOOKUP(A622,'[1]Raw data'!$B:$AS,39,FALSE)</f>
        <v>Yes</v>
      </c>
      <c r="Z622" s="664"/>
      <c r="AA622" s="665"/>
      <c r="AB622" s="666"/>
      <c r="AC622" s="652" t="s">
        <v>1082</v>
      </c>
      <c r="AD622" s="667">
        <v>301</v>
      </c>
      <c r="AE622" s="667">
        <v>10</v>
      </c>
      <c r="AF622" s="667"/>
      <c r="AG622" s="667"/>
      <c r="AH622" s="667"/>
      <c r="AI622" s="668"/>
      <c r="AN622" s="547"/>
      <c r="AO622" s="829" t="str">
        <f t="shared" si="85"/>
        <v>Yes</v>
      </c>
      <c r="AP622" s="259" t="str">
        <f t="shared" si="86"/>
        <v>JAN 21</v>
      </c>
      <c r="AQ622" s="547" t="str">
        <f t="shared" si="87"/>
        <v>有定金+有預留客戶</v>
      </c>
      <c r="AR622" s="259" t="str">
        <f t="shared" si="88"/>
        <v>Shipped_Stock</v>
      </c>
      <c r="AS622" s="259" t="str">
        <f t="shared" si="89"/>
        <v/>
      </c>
      <c r="AT622" s="259" t="str">
        <f t="shared" si="90"/>
        <v>光瑞新（end user：海纳科）</v>
      </c>
      <c r="AU622" s="259" t="str">
        <f t="shared" si="91"/>
        <v>C49SZX20210003JY</v>
      </c>
      <c r="AV622" s="259" t="str">
        <f t="shared" si="92"/>
        <v>Jan-04</v>
      </c>
    </row>
    <row r="623" spans="1:48" hidden="1">
      <c r="A623" s="564">
        <v>894</v>
      </c>
      <c r="B623" s="669" t="s">
        <v>1125</v>
      </c>
      <c r="C623" s="568" t="s">
        <v>15</v>
      </c>
      <c r="D623" s="650">
        <v>110066</v>
      </c>
      <c r="E623" s="568" t="s">
        <v>886</v>
      </c>
      <c r="F623" s="652" t="s">
        <v>241</v>
      </c>
      <c r="G623" s="652" t="s">
        <v>18</v>
      </c>
      <c r="H623" s="652" t="s">
        <v>26</v>
      </c>
      <c r="I623" s="580" t="s">
        <v>1329</v>
      </c>
      <c r="J623" s="580">
        <v>1</v>
      </c>
      <c r="K623" s="652" t="s">
        <v>437</v>
      </c>
      <c r="L623" s="680">
        <v>44200</v>
      </c>
      <c r="M623" s="670" t="s">
        <v>906</v>
      </c>
      <c r="N623" s="652" t="s">
        <v>1127</v>
      </c>
      <c r="O623" s="580"/>
      <c r="P623" s="571" t="str">
        <f>VLOOKUP(A623,'[1]Raw data'!$B:$BB,23,FALSE)</f>
        <v>JPY</v>
      </c>
      <c r="Q623" s="568" t="str">
        <f>VLOOKUP(A623,'[1]Raw data'!$B:$Z,2,FALSE)</f>
        <v>C49SZX20200191SS</v>
      </c>
      <c r="R623" s="568" t="str">
        <f>VLOOKUP(A623,'[1]Raw data'!$B:$Z,3,FALSE)</f>
        <v>博睿通</v>
      </c>
      <c r="S623" s="568" t="str">
        <f>VLOOKUP(A623,'[1]Raw data'!$B:$Z,4,FALSE)</f>
        <v>YSM10</v>
      </c>
      <c r="T623" s="568" t="str">
        <f>VLOOKUP(A623,'[1]Raw data'!$B:$Z,8,FALSE)</f>
        <v>L-&gt;R</v>
      </c>
      <c r="U623" s="568" t="str">
        <f>VLOOKUP(A623,'[1]Raw data'!$B:$Z,9,FALSE)</f>
        <v>MVC</v>
      </c>
      <c r="V623" s="572" t="str">
        <f t="shared" si="93"/>
        <v>WRONG</v>
      </c>
      <c r="W623" s="568" t="str">
        <f>VLOOKUP(A623,'[1]Raw data'!$B:$AG,32,FALSE)</f>
        <v>CIF HK</v>
      </c>
      <c r="X623" s="568">
        <f>VLOOKUP(A623,'[1]Raw data'!$B:$BA,31,FALSE)</f>
        <v>44124</v>
      </c>
      <c r="Y623" s="568" t="str">
        <f>VLOOKUP(A623,'[1]Raw data'!$B:$AS,39,FALSE)</f>
        <v>Yes</v>
      </c>
      <c r="Z623" s="664"/>
      <c r="AA623" s="665"/>
      <c r="AB623" s="666"/>
      <c r="AC623" s="568" t="s">
        <v>831</v>
      </c>
      <c r="AD623" s="667">
        <v>301</v>
      </c>
      <c r="AE623" s="667">
        <v>10</v>
      </c>
      <c r="AF623" s="667"/>
      <c r="AG623" s="667"/>
      <c r="AH623" s="667"/>
      <c r="AI623" s="668"/>
      <c r="AN623" s="547"/>
      <c r="AO623" s="829" t="str">
        <f t="shared" si="85"/>
        <v>Yes</v>
      </c>
      <c r="AP623" s="259" t="str">
        <f t="shared" si="86"/>
        <v>JAN 21</v>
      </c>
      <c r="AQ623" s="547" t="str">
        <f t="shared" si="87"/>
        <v>有定金+有預留客戶</v>
      </c>
      <c r="AR623" s="259" t="str">
        <f t="shared" si="88"/>
        <v>Shipped_Stock</v>
      </c>
      <c r="AS623" s="259" t="str">
        <f t="shared" si="89"/>
        <v/>
      </c>
      <c r="AT623" s="259" t="str">
        <f t="shared" si="90"/>
        <v>博睿通</v>
      </c>
      <c r="AU623" s="259" t="str">
        <f t="shared" si="91"/>
        <v>C49SZX20200191SS</v>
      </c>
      <c r="AV623" s="259" t="str">
        <f t="shared" si="92"/>
        <v>Jan-04</v>
      </c>
    </row>
    <row r="624" spans="1:48" hidden="1">
      <c r="A624" s="564">
        <v>1027</v>
      </c>
      <c r="B624" s="669" t="s">
        <v>1125</v>
      </c>
      <c r="C624" s="568" t="s">
        <v>15</v>
      </c>
      <c r="D624" s="650">
        <v>110066</v>
      </c>
      <c r="E624" s="568" t="s">
        <v>886</v>
      </c>
      <c r="F624" s="652" t="s">
        <v>241</v>
      </c>
      <c r="G624" s="652" t="s">
        <v>18</v>
      </c>
      <c r="H624" s="652" t="s">
        <v>26</v>
      </c>
      <c r="I624" s="580" t="s">
        <v>1330</v>
      </c>
      <c r="J624" s="580">
        <v>1</v>
      </c>
      <c r="K624" s="652" t="s">
        <v>437</v>
      </c>
      <c r="L624" s="680">
        <v>44200</v>
      </c>
      <c r="M624" s="670" t="s">
        <v>258</v>
      </c>
      <c r="N624" s="652" t="s">
        <v>1127</v>
      </c>
      <c r="O624" s="580"/>
      <c r="P624" s="571" t="str">
        <f>VLOOKUP(A624,'[1]Raw data'!$B:$BB,23,FALSE)</f>
        <v>JPY</v>
      </c>
      <c r="Q624" s="568" t="str">
        <f>VLOOKUP(A624,'[1]Raw data'!$B:$Z,2,FALSE)</f>
        <v>C49SZX20200242DZ</v>
      </c>
      <c r="R624" s="568" t="str">
        <f>VLOOKUP(A624,'[1]Raw data'!$B:$Z,3,FALSE)</f>
        <v>朗特</v>
      </c>
      <c r="S624" s="568" t="str">
        <f>VLOOKUP(A624,'[1]Raw data'!$B:$Z,4,FALSE)</f>
        <v>YSM10</v>
      </c>
      <c r="T624" s="568" t="str">
        <f>VLOOKUP(A624,'[1]Raw data'!$B:$Z,8,FALSE)</f>
        <v>R-&gt;L</v>
      </c>
      <c r="U624" s="568" t="str">
        <f>VLOOKUP(A624,'[1]Raw data'!$B:$Z,9,FALSE)</f>
        <v>MVC</v>
      </c>
      <c r="V624" s="572" t="str">
        <f t="shared" si="93"/>
        <v>WRONG</v>
      </c>
      <c r="W624" s="568" t="str">
        <f>VLOOKUP(A624,'[1]Raw data'!$B:$AG,32,FALSE)</f>
        <v>CIF HK</v>
      </c>
      <c r="X624" s="568">
        <f>VLOOKUP(A624,'[1]Raw data'!$B:$BA,31,FALSE)</f>
        <v>44182</v>
      </c>
      <c r="Y624" s="568" t="str">
        <f>VLOOKUP(A624,'[1]Raw data'!$B:$AS,39,FALSE)</f>
        <v>Yes</v>
      </c>
      <c r="Z624" s="664"/>
      <c r="AA624" s="665"/>
      <c r="AB624" s="666"/>
      <c r="AC624" s="652" t="s">
        <v>933</v>
      </c>
      <c r="AD624" s="667">
        <v>301</v>
      </c>
      <c r="AE624" s="667">
        <v>10</v>
      </c>
      <c r="AF624" s="667"/>
      <c r="AG624" s="667"/>
      <c r="AH624" s="667"/>
      <c r="AI624" s="668"/>
      <c r="AN624" s="547"/>
      <c r="AO624" s="829" t="str">
        <f t="shared" si="85"/>
        <v>Yes</v>
      </c>
      <c r="AP624" s="259" t="str">
        <f t="shared" si="86"/>
        <v>JAN 21</v>
      </c>
      <c r="AQ624" s="547" t="str">
        <f t="shared" si="87"/>
        <v>有定金+有預留客戶</v>
      </c>
      <c r="AR624" s="259" t="str">
        <f t="shared" si="88"/>
        <v>Shipped_Stock</v>
      </c>
      <c r="AS624" s="259" t="str">
        <f t="shared" si="89"/>
        <v/>
      </c>
      <c r="AT624" s="259" t="str">
        <f t="shared" si="90"/>
        <v>朗特</v>
      </c>
      <c r="AU624" s="259" t="str">
        <f t="shared" si="91"/>
        <v>C49SZX20200242DZ</v>
      </c>
      <c r="AV624" s="259" t="str">
        <f t="shared" si="92"/>
        <v>Jan-04</v>
      </c>
    </row>
    <row r="625" spans="1:48" hidden="1">
      <c r="A625" s="564">
        <v>893</v>
      </c>
      <c r="B625" s="669" t="s">
        <v>1125</v>
      </c>
      <c r="C625" s="568" t="s">
        <v>15</v>
      </c>
      <c r="D625" s="650">
        <v>110066</v>
      </c>
      <c r="E625" s="568" t="s">
        <v>886</v>
      </c>
      <c r="F625" s="652" t="s">
        <v>241</v>
      </c>
      <c r="G625" s="652" t="s">
        <v>18</v>
      </c>
      <c r="H625" s="652" t="s">
        <v>26</v>
      </c>
      <c r="I625" s="580" t="s">
        <v>1331</v>
      </c>
      <c r="J625" s="580">
        <v>1</v>
      </c>
      <c r="K625" s="652" t="s">
        <v>437</v>
      </c>
      <c r="L625" s="680">
        <v>44200</v>
      </c>
      <c r="M625" s="670" t="s">
        <v>906</v>
      </c>
      <c r="N625" s="652" t="s">
        <v>1127</v>
      </c>
      <c r="O625" s="580"/>
      <c r="P625" s="571" t="str">
        <f>VLOOKUP(A625,'[1]Raw data'!$B:$BB,23,FALSE)</f>
        <v>JPY</v>
      </c>
      <c r="Q625" s="568" t="str">
        <f>VLOOKUP(A625,'[1]Raw data'!$B:$Z,2,FALSE)</f>
        <v>C49SZX20200191SS</v>
      </c>
      <c r="R625" s="568" t="str">
        <f>VLOOKUP(A625,'[1]Raw data'!$B:$Z,3,FALSE)</f>
        <v>博睿通</v>
      </c>
      <c r="S625" s="568" t="str">
        <f>VLOOKUP(A625,'[1]Raw data'!$B:$Z,4,FALSE)</f>
        <v>YSM10</v>
      </c>
      <c r="T625" s="568" t="str">
        <f>VLOOKUP(A625,'[1]Raw data'!$B:$Z,8,FALSE)</f>
        <v>L-&gt;R</v>
      </c>
      <c r="U625" s="568" t="str">
        <f>VLOOKUP(A625,'[1]Raw data'!$B:$Z,9,FALSE)</f>
        <v>MVC</v>
      </c>
      <c r="V625" s="572" t="str">
        <f t="shared" si="93"/>
        <v>WRONG</v>
      </c>
      <c r="W625" s="568" t="str">
        <f>VLOOKUP(A625,'[1]Raw data'!$B:$AG,32,FALSE)</f>
        <v>CIF HK</v>
      </c>
      <c r="X625" s="568">
        <f>VLOOKUP(A625,'[1]Raw data'!$B:$BA,31,FALSE)</f>
        <v>44124</v>
      </c>
      <c r="Y625" s="568" t="str">
        <f>VLOOKUP(A625,'[1]Raw data'!$B:$AS,39,FALSE)</f>
        <v>Yes</v>
      </c>
      <c r="Z625" s="664"/>
      <c r="AA625" s="665"/>
      <c r="AB625" s="666"/>
      <c r="AC625" s="568" t="s">
        <v>831</v>
      </c>
      <c r="AD625" s="667">
        <v>301</v>
      </c>
      <c r="AE625" s="667">
        <v>10</v>
      </c>
      <c r="AF625" s="667"/>
      <c r="AG625" s="667"/>
      <c r="AH625" s="667"/>
      <c r="AI625" s="668"/>
      <c r="AN625" s="547"/>
      <c r="AO625" s="829" t="str">
        <f t="shared" si="85"/>
        <v>Yes</v>
      </c>
      <c r="AP625" s="259" t="str">
        <f t="shared" si="86"/>
        <v>JAN 21</v>
      </c>
      <c r="AQ625" s="547" t="str">
        <f t="shared" si="87"/>
        <v>有定金+有預留客戶</v>
      </c>
      <c r="AR625" s="259" t="str">
        <f t="shared" si="88"/>
        <v>Shipped_Stock</v>
      </c>
      <c r="AS625" s="259" t="str">
        <f t="shared" si="89"/>
        <v/>
      </c>
      <c r="AT625" s="259" t="str">
        <f t="shared" si="90"/>
        <v>博睿通</v>
      </c>
      <c r="AU625" s="259" t="str">
        <f t="shared" si="91"/>
        <v>C49SZX20200191SS</v>
      </c>
      <c r="AV625" s="259" t="str">
        <f t="shared" si="92"/>
        <v>Jan-04</v>
      </c>
    </row>
    <row r="626" spans="1:48" hidden="1">
      <c r="A626" s="564">
        <v>959</v>
      </c>
      <c r="B626" s="669" t="s">
        <v>1125</v>
      </c>
      <c r="C626" s="568" t="s">
        <v>15</v>
      </c>
      <c r="D626" s="650">
        <v>110067</v>
      </c>
      <c r="E626" s="568" t="s">
        <v>886</v>
      </c>
      <c r="F626" s="652" t="s">
        <v>241</v>
      </c>
      <c r="G626" s="652" t="s">
        <v>18</v>
      </c>
      <c r="H626" s="652" t="s">
        <v>26</v>
      </c>
      <c r="I626" s="580" t="s">
        <v>1332</v>
      </c>
      <c r="J626" s="667">
        <v>1</v>
      </c>
      <c r="K626" s="652" t="s">
        <v>437</v>
      </c>
      <c r="L626" s="680">
        <v>44207</v>
      </c>
      <c r="M626" s="681" t="s">
        <v>906</v>
      </c>
      <c r="N626" s="652" t="s">
        <v>14</v>
      </c>
      <c r="O626" s="580"/>
      <c r="P626" s="571" t="str">
        <f>VLOOKUP(A626,'[1]Raw data'!$B:$BB,23,FALSE)</f>
        <v>JPY</v>
      </c>
      <c r="Q626" s="568" t="str">
        <f>VLOOKUP(A626,'[1]Raw data'!$B:$Z,2,FALSE)</f>
        <v>C49SZX20200213MX</v>
      </c>
      <c r="R626" s="568" t="str">
        <f>VLOOKUP(A626,'[1]Raw data'!$B:$Z,3,FALSE)</f>
        <v>音品（End user:厚朴）</v>
      </c>
      <c r="S626" s="568" t="str">
        <f>VLOOKUP(A626,'[1]Raw data'!$B:$Z,4,FALSE)</f>
        <v>YSM10</v>
      </c>
      <c r="T626" s="568" t="str">
        <f>VLOOKUP(A626,'[1]Raw data'!$B:$Z,8,FALSE)</f>
        <v>L-&gt;R</v>
      </c>
      <c r="U626" s="568" t="str">
        <f>VLOOKUP(A626,'[1]Raw data'!$B:$Z,9,FALSE)</f>
        <v>No</v>
      </c>
      <c r="V626" s="572" t="str">
        <f t="shared" si="93"/>
        <v>WRONG</v>
      </c>
      <c r="W626" s="568" t="str">
        <f>VLOOKUP(A626,'[1]Raw data'!$B:$AG,32,FALSE)</f>
        <v>DAP SZ</v>
      </c>
      <c r="X626" s="568">
        <f>VLOOKUP(A626,'[1]Raw data'!$B:$BA,31,FALSE)</f>
        <v>44153</v>
      </c>
      <c r="Y626" s="568" t="str">
        <f>VLOOKUP(A626,'[1]Raw data'!$B:$AS,39,FALSE)</f>
        <v>Yes</v>
      </c>
      <c r="Z626" s="664"/>
      <c r="AA626" s="665"/>
      <c r="AB626" s="666"/>
      <c r="AC626" s="652" t="s">
        <v>1333</v>
      </c>
      <c r="AD626" s="667">
        <v>301</v>
      </c>
      <c r="AE626" s="667">
        <v>10</v>
      </c>
      <c r="AF626" s="667"/>
      <c r="AG626" s="667"/>
      <c r="AH626" s="667"/>
      <c r="AI626" s="668"/>
      <c r="AN626" s="547"/>
      <c r="AO626" s="829" t="str">
        <f t="shared" si="85"/>
        <v>Yes</v>
      </c>
      <c r="AP626" s="259" t="str">
        <f t="shared" si="86"/>
        <v>FEB 21</v>
      </c>
      <c r="AQ626" s="547" t="str">
        <f t="shared" si="87"/>
        <v>有定金+有預留客戶</v>
      </c>
      <c r="AR626" s="259" t="str">
        <f t="shared" si="88"/>
        <v>Shipped_Stock</v>
      </c>
      <c r="AS626" s="259" t="str">
        <f t="shared" si="89"/>
        <v/>
      </c>
      <c r="AT626" s="259" t="str">
        <f t="shared" si="90"/>
        <v>音品（End user:厚朴）</v>
      </c>
      <c r="AU626" s="259" t="str">
        <f t="shared" si="91"/>
        <v>C49SZX20200213MX</v>
      </c>
      <c r="AV626" s="259" t="str">
        <f t="shared" si="92"/>
        <v>Jan-11</v>
      </c>
    </row>
    <row r="627" spans="1:48" hidden="1">
      <c r="A627" s="564">
        <v>903</v>
      </c>
      <c r="B627" s="669" t="s">
        <v>1125</v>
      </c>
      <c r="C627" s="568" t="s">
        <v>15</v>
      </c>
      <c r="D627" s="650">
        <v>110067</v>
      </c>
      <c r="E627" s="568" t="s">
        <v>886</v>
      </c>
      <c r="F627" s="652" t="s">
        <v>241</v>
      </c>
      <c r="G627" s="652" t="s">
        <v>18</v>
      </c>
      <c r="H627" s="652" t="s">
        <v>26</v>
      </c>
      <c r="I627" s="580" t="s">
        <v>1334</v>
      </c>
      <c r="J627" s="580">
        <v>1</v>
      </c>
      <c r="K627" s="652" t="s">
        <v>437</v>
      </c>
      <c r="L627" s="680">
        <v>44207</v>
      </c>
      <c r="M627" s="681" t="s">
        <v>906</v>
      </c>
      <c r="N627" s="652" t="s">
        <v>1127</v>
      </c>
      <c r="O627" s="580"/>
      <c r="P627" s="571" t="str">
        <f>VLOOKUP(A627,'[1]Raw data'!$B:$BB,23,FALSE)</f>
        <v>JPY</v>
      </c>
      <c r="Q627" s="568" t="str">
        <f>VLOOKUP(A627,'[1]Raw data'!$B:$Z,2,FALSE)</f>
        <v>C49SZX20200199MZ</v>
      </c>
      <c r="R627" s="568" t="str">
        <f>VLOOKUP(A627,'[1]Raw data'!$B:$Z,3,FALSE)</f>
        <v>鸿南</v>
      </c>
      <c r="S627" s="568" t="str">
        <f>VLOOKUP(A627,'[1]Raw data'!$B:$Z,4,FALSE)</f>
        <v>YSM10</v>
      </c>
      <c r="T627" s="568" t="str">
        <f>VLOOKUP(A627,'[1]Raw data'!$B:$Z,8,FALSE)</f>
        <v>R-&gt;L</v>
      </c>
      <c r="U627" s="568" t="str">
        <f>VLOOKUP(A627,'[1]Raw data'!$B:$Z,9,FALSE)</f>
        <v>MVC</v>
      </c>
      <c r="V627" s="572" t="str">
        <f t="shared" si="93"/>
        <v>WRONG</v>
      </c>
      <c r="W627" s="568" t="str">
        <f>VLOOKUP(A627,'[1]Raw data'!$B:$AG,32,FALSE)</f>
        <v>CIF HK</v>
      </c>
      <c r="X627" s="568">
        <f>VLOOKUP(A627,'[1]Raw data'!$B:$BA,31,FALSE)</f>
        <v>44134</v>
      </c>
      <c r="Y627" s="568" t="str">
        <f>VLOOKUP(A627,'[1]Raw data'!$B:$AS,39,FALSE)</f>
        <v>Yes</v>
      </c>
      <c r="Z627" s="664"/>
      <c r="AA627" s="665"/>
      <c r="AB627" s="666"/>
      <c r="AC627" s="652" t="s">
        <v>400</v>
      </c>
      <c r="AD627" s="667">
        <v>302</v>
      </c>
      <c r="AE627" s="667">
        <v>10</v>
      </c>
      <c r="AF627" s="667"/>
      <c r="AG627" s="667"/>
      <c r="AH627" s="667"/>
      <c r="AI627" s="668"/>
      <c r="AN627" s="547"/>
      <c r="AO627" s="829" t="str">
        <f t="shared" si="85"/>
        <v>Yes</v>
      </c>
      <c r="AP627" s="259" t="str">
        <f t="shared" si="86"/>
        <v>JAN 21</v>
      </c>
      <c r="AQ627" s="547" t="str">
        <f t="shared" si="87"/>
        <v>有定金+有預留客戶</v>
      </c>
      <c r="AR627" s="259" t="str">
        <f t="shared" si="88"/>
        <v>Shipped_Stock</v>
      </c>
      <c r="AS627" s="259" t="str">
        <f t="shared" si="89"/>
        <v/>
      </c>
      <c r="AT627" s="259" t="str">
        <f t="shared" si="90"/>
        <v>鸿南</v>
      </c>
      <c r="AU627" s="259" t="str">
        <f t="shared" si="91"/>
        <v>C49SZX20200199MZ</v>
      </c>
      <c r="AV627" s="259" t="str">
        <f t="shared" si="92"/>
        <v>Jan-11</v>
      </c>
    </row>
    <row r="628" spans="1:48" hidden="1">
      <c r="A628" s="564">
        <v>1043</v>
      </c>
      <c r="B628" s="669" t="s">
        <v>1125</v>
      </c>
      <c r="C628" s="568" t="s">
        <v>15</v>
      </c>
      <c r="D628" s="650">
        <v>110067</v>
      </c>
      <c r="E628" s="568" t="s">
        <v>886</v>
      </c>
      <c r="F628" s="652" t="s">
        <v>241</v>
      </c>
      <c r="G628" s="652" t="s">
        <v>18</v>
      </c>
      <c r="H628" s="652" t="s">
        <v>26</v>
      </c>
      <c r="I628" s="580" t="s">
        <v>1335</v>
      </c>
      <c r="J628" s="580">
        <v>1</v>
      </c>
      <c r="K628" s="652" t="s">
        <v>437</v>
      </c>
      <c r="L628" s="680">
        <v>44207</v>
      </c>
      <c r="M628" s="681" t="s">
        <v>906</v>
      </c>
      <c r="N628" s="652" t="s">
        <v>1127</v>
      </c>
      <c r="O628" s="580"/>
      <c r="P628" s="571" t="str">
        <f>VLOOKUP(A628,'[1]Raw data'!$B:$BB,23,FALSE)</f>
        <v>JPY</v>
      </c>
      <c r="Q628" s="568" t="str">
        <f>VLOOKUP(A628,'[1]Raw data'!$B:$Z,2,FALSE)</f>
        <v>C49SZX20200255JY</v>
      </c>
      <c r="R628" s="568" t="str">
        <f>VLOOKUP(A628,'[1]Raw data'!$B:$Z,3,FALSE)</f>
        <v>昊亮迪</v>
      </c>
      <c r="S628" s="568" t="str">
        <f>VLOOKUP(A628,'[1]Raw data'!$B:$Z,4,FALSE)</f>
        <v>YSM10</v>
      </c>
      <c r="T628" s="568" t="str">
        <f>VLOOKUP(A628,'[1]Raw data'!$B:$Z,8,FALSE)</f>
        <v>L-&gt;R</v>
      </c>
      <c r="U628" s="568" t="str">
        <f>VLOOKUP(A628,'[1]Raw data'!$B:$Z,9,FALSE)</f>
        <v>No</v>
      </c>
      <c r="V628" s="572" t="str">
        <f t="shared" si="93"/>
        <v>WRONG</v>
      </c>
      <c r="W628" s="568" t="str">
        <f>VLOOKUP(A628,'[1]Raw data'!$B:$AG,32,FALSE)</f>
        <v>DAP SZ</v>
      </c>
      <c r="X628" s="568">
        <f>VLOOKUP(A628,'[1]Raw data'!$B:$BA,31,FALSE)</f>
        <v>44189</v>
      </c>
      <c r="Y628" s="568" t="str">
        <f>VLOOKUP(A628,'[1]Raw data'!$B:$AS,39,FALSE)</f>
        <v>Yes</v>
      </c>
      <c r="Z628" s="664"/>
      <c r="AA628" s="665"/>
      <c r="AB628" s="666"/>
      <c r="AC628" s="652" t="s">
        <v>1178</v>
      </c>
      <c r="AD628" s="667">
        <v>302</v>
      </c>
      <c r="AE628" s="667">
        <v>10</v>
      </c>
      <c r="AF628" s="667"/>
      <c r="AG628" s="667"/>
      <c r="AH628" s="667"/>
      <c r="AI628" s="668"/>
      <c r="AN628" s="547"/>
      <c r="AO628" s="829" t="str">
        <f t="shared" si="85"/>
        <v>Yes</v>
      </c>
      <c r="AP628" s="259" t="str">
        <f t="shared" si="86"/>
        <v>JAN 21</v>
      </c>
      <c r="AQ628" s="547" t="str">
        <f t="shared" si="87"/>
        <v>有定金+有預留客戶</v>
      </c>
      <c r="AR628" s="259" t="str">
        <f t="shared" si="88"/>
        <v>Shipped_Stock</v>
      </c>
      <c r="AS628" s="259" t="str">
        <f t="shared" si="89"/>
        <v/>
      </c>
      <c r="AT628" s="259" t="str">
        <f t="shared" si="90"/>
        <v>昊亮迪</v>
      </c>
      <c r="AU628" s="259" t="str">
        <f t="shared" si="91"/>
        <v>C49SZX20200255JY</v>
      </c>
      <c r="AV628" s="259" t="str">
        <f t="shared" si="92"/>
        <v>Jan-11</v>
      </c>
    </row>
    <row r="629" spans="1:48" hidden="1">
      <c r="A629" s="564">
        <v>955</v>
      </c>
      <c r="B629" s="725" t="s">
        <v>1125</v>
      </c>
      <c r="C629" s="609" t="s">
        <v>15</v>
      </c>
      <c r="D629" s="650">
        <v>110067</v>
      </c>
      <c r="E629" s="609" t="s">
        <v>886</v>
      </c>
      <c r="F629" s="726" t="s">
        <v>241</v>
      </c>
      <c r="G629" s="726" t="s">
        <v>18</v>
      </c>
      <c r="H629" s="726" t="s">
        <v>26</v>
      </c>
      <c r="I629" s="719" t="s">
        <v>1336</v>
      </c>
      <c r="J629" s="719">
        <v>1</v>
      </c>
      <c r="K629" s="726" t="s">
        <v>85</v>
      </c>
      <c r="L629" s="727">
        <v>44207</v>
      </c>
      <c r="M629" s="681" t="s">
        <v>906</v>
      </c>
      <c r="N629" s="652" t="s">
        <v>1337</v>
      </c>
      <c r="O629" s="580"/>
      <c r="P629" s="571" t="str">
        <f>VLOOKUP(A629,'[1]Raw data'!$B:$BB,23,FALSE)</f>
        <v>JPY</v>
      </c>
      <c r="Q629" s="568" t="str">
        <f>VLOOKUP(A629,'[1]Raw data'!$B:$Z,2,FALSE)</f>
        <v>C49SZX20200213MX</v>
      </c>
      <c r="R629" s="568" t="str">
        <f>VLOOKUP(A629,'[1]Raw data'!$B:$Z,3,FALSE)</f>
        <v>音品（End user:艾艺科技)</v>
      </c>
      <c r="S629" s="568" t="str">
        <f>VLOOKUP(A629,'[1]Raw data'!$B:$Z,4,FALSE)</f>
        <v>YSM10</v>
      </c>
      <c r="T629" s="568" t="str">
        <f>VLOOKUP(A629,'[1]Raw data'!$B:$Z,8,FALSE)</f>
        <v>L-&gt;R</v>
      </c>
      <c r="U629" s="568" t="str">
        <f>VLOOKUP(A629,'[1]Raw data'!$B:$Z,9,FALSE)</f>
        <v>No</v>
      </c>
      <c r="V629" s="572" t="str">
        <f t="shared" si="93"/>
        <v>WRONG</v>
      </c>
      <c r="W629" s="568" t="str">
        <f>VLOOKUP(A629,'[1]Raw data'!$B:$AG,32,FALSE)</f>
        <v>DAP SZ</v>
      </c>
      <c r="X629" s="568">
        <f>VLOOKUP(A629,'[1]Raw data'!$B:$BA,31,FALSE)</f>
        <v>44153</v>
      </c>
      <c r="Y629" s="568" t="str">
        <f>VLOOKUP(A629,'[1]Raw data'!$B:$AS,39,FALSE)</f>
        <v>Yes</v>
      </c>
      <c r="Z629" s="664"/>
      <c r="AA629" s="665"/>
      <c r="AB629" s="666"/>
      <c r="AC629" s="652" t="s">
        <v>1338</v>
      </c>
      <c r="AD629" s="667">
        <v>311</v>
      </c>
      <c r="AE629" s="667">
        <v>10</v>
      </c>
      <c r="AF629" s="667"/>
      <c r="AG629" s="667"/>
      <c r="AH629" s="667"/>
      <c r="AI629" s="668"/>
      <c r="AN629" s="547"/>
      <c r="AO629" s="829" t="str">
        <f t="shared" si="85"/>
        <v>Yes</v>
      </c>
      <c r="AP629" s="259" t="str">
        <f t="shared" si="86"/>
        <v>AUG 21</v>
      </c>
      <c r="AQ629" s="547" t="str">
        <f t="shared" si="87"/>
        <v>有定金+有預留客戶</v>
      </c>
      <c r="AR629" s="259" t="str">
        <f t="shared" si="88"/>
        <v>Shipped_Stock</v>
      </c>
      <c r="AS629" s="259" t="str">
        <f t="shared" si="89"/>
        <v/>
      </c>
      <c r="AT629" s="259" t="str">
        <f t="shared" si="90"/>
        <v>音品（End user:艾艺科技)</v>
      </c>
      <c r="AU629" s="259" t="str">
        <f t="shared" si="91"/>
        <v>C49SZX20200213MX</v>
      </c>
      <c r="AV629" s="259" t="str">
        <f t="shared" si="92"/>
        <v>Jan-11</v>
      </c>
    </row>
    <row r="630" spans="1:48" hidden="1">
      <c r="A630" s="564">
        <v>923</v>
      </c>
      <c r="B630" s="669" t="s">
        <v>1125</v>
      </c>
      <c r="C630" s="568" t="s">
        <v>4056</v>
      </c>
      <c r="D630" s="650">
        <v>110195</v>
      </c>
      <c r="E630" s="651" t="s">
        <v>1339</v>
      </c>
      <c r="F630" s="652" t="s">
        <v>201</v>
      </c>
      <c r="G630" s="652" t="s">
        <v>24</v>
      </c>
      <c r="H630" s="652" t="s">
        <v>307</v>
      </c>
      <c r="I630" s="580"/>
      <c r="J630" s="580">
        <v>1</v>
      </c>
      <c r="K630" s="652"/>
      <c r="L630" s="680">
        <v>44211</v>
      </c>
      <c r="M630" s="670">
        <v>6.3100000000000003E-2</v>
      </c>
      <c r="N630" s="652" t="s">
        <v>1127</v>
      </c>
      <c r="O630" s="580"/>
      <c r="P630" s="571" t="str">
        <f>VLOOKUP(A630,'[1]Raw data'!$B:$BB,23,FALSE)</f>
        <v>RMB</v>
      </c>
      <c r="Q630" s="568" t="str">
        <f>VLOOKUP(A630,'[1]Raw data'!$B:$Z,2,FALSE)</f>
        <v>C28SZX20200081KC</v>
      </c>
      <c r="R630" s="568" t="str">
        <f>VLOOKUP(A630,'[1]Raw data'!$B:$Z,3,FALSE)</f>
        <v>鸿通宇</v>
      </c>
      <c r="S630" s="568" t="str">
        <f>VLOOKUP(A630,'[1]Raw data'!$B:$Z,4,FALSE)</f>
        <v>YSi-V</v>
      </c>
      <c r="T630" s="568" t="str">
        <f>VLOOKUP(A630,'[1]Raw data'!$B:$Z,8,FALSE)</f>
        <v>L-&gt;R</v>
      </c>
      <c r="U630" s="568" t="str">
        <f>VLOOKUP(A630,'[1]Raw data'!$B:$Z,9,FALSE)</f>
        <v>No</v>
      </c>
      <c r="V630" s="572" t="str">
        <f t="shared" ref="V630:V639" si="94">IF(G630&amp;H630=T630&amp;U630,"OK","WRONG")</f>
        <v>OK</v>
      </c>
      <c r="W630" s="568" t="str">
        <f>VLOOKUP(A630,'[1]Raw data'!$B:$AG,32,FALSE)</f>
        <v>含税到厂</v>
      </c>
      <c r="X630" s="568">
        <f>VLOOKUP(A630,'[1]Raw data'!$B:$BA,31,FALSE)</f>
        <v>44140</v>
      </c>
      <c r="Y630" s="568" t="str">
        <f>VLOOKUP(A630,'[1]Raw data'!$B:$AS,39,FALSE)</f>
        <v>Yes</v>
      </c>
      <c r="Z630" s="664"/>
      <c r="AA630" s="665"/>
      <c r="AB630" s="666"/>
      <c r="AC630" s="652" t="s">
        <v>467</v>
      </c>
      <c r="AD630" s="667"/>
      <c r="AE630" s="667"/>
      <c r="AF630" s="667"/>
      <c r="AG630" s="667"/>
      <c r="AH630" s="667"/>
      <c r="AI630" s="668"/>
      <c r="AN630" s="547"/>
      <c r="AO630" s="829" t="str">
        <f t="shared" si="85"/>
        <v>Yes</v>
      </c>
      <c r="AP630" s="259" t="str">
        <f t="shared" si="86"/>
        <v>JAN 21</v>
      </c>
      <c r="AQ630" s="547" t="str">
        <f t="shared" si="87"/>
        <v>有定金+有預留客戶</v>
      </c>
      <c r="AR630" s="259" t="str">
        <f t="shared" si="88"/>
        <v>Shipped_Stock</v>
      </c>
      <c r="AS630" s="259" t="str">
        <f t="shared" si="89"/>
        <v/>
      </c>
      <c r="AT630" s="259" t="str">
        <f t="shared" si="90"/>
        <v>鸿通宇</v>
      </c>
      <c r="AU630" s="259" t="str">
        <f t="shared" si="91"/>
        <v>C28SZX20200081KC</v>
      </c>
      <c r="AV630" s="259" t="str">
        <f t="shared" si="92"/>
        <v>Jan-15</v>
      </c>
    </row>
    <row r="631" spans="1:48" hidden="1">
      <c r="A631" s="564">
        <v>920</v>
      </c>
      <c r="B631" s="669" t="s">
        <v>1125</v>
      </c>
      <c r="C631" s="669" t="s">
        <v>15</v>
      </c>
      <c r="D631" s="650">
        <v>110105</v>
      </c>
      <c r="E631" s="651" t="s">
        <v>1340</v>
      </c>
      <c r="F631" s="652" t="s">
        <v>58</v>
      </c>
      <c r="G631" s="652" t="s">
        <v>24</v>
      </c>
      <c r="H631" s="652" t="s">
        <v>26</v>
      </c>
      <c r="I631" s="580" t="s">
        <v>1341</v>
      </c>
      <c r="J631" s="580">
        <v>1</v>
      </c>
      <c r="K631" s="652" t="s">
        <v>437</v>
      </c>
      <c r="L631" s="680">
        <v>44212</v>
      </c>
      <c r="M631" s="670" t="s">
        <v>906</v>
      </c>
      <c r="N631" s="652" t="s">
        <v>1127</v>
      </c>
      <c r="O631" s="580"/>
      <c r="P631" s="571" t="str">
        <f>VLOOKUP(A631,'[1]Raw data'!$B:$BB,23,FALSE)</f>
        <v>JPY</v>
      </c>
      <c r="Q631" s="568" t="str">
        <f>VLOOKUP(A631,'[1]Raw data'!$B:$Z,2,FALSE)</f>
        <v>C49SZX20200145JL</v>
      </c>
      <c r="R631" s="568" t="str">
        <f>VLOOKUP(A631,'[1]Raw data'!$B:$Z,3,FALSE)</f>
        <v>易而达</v>
      </c>
      <c r="S631" s="568" t="str">
        <f>VLOOKUP(A631,'[1]Raw data'!$B:$Z,4,FALSE)</f>
        <v>YSM20R-2</v>
      </c>
      <c r="T631" s="568" t="str">
        <f>VLOOKUP(A631,'[1]Raw data'!$B:$Z,8,FALSE)</f>
        <v>L-&gt;R</v>
      </c>
      <c r="U631" s="568" t="str">
        <f>VLOOKUP(A631,'[1]Raw data'!$B:$Z,9,FALSE)</f>
        <v>No</v>
      </c>
      <c r="V631" s="572" t="str">
        <f t="shared" si="94"/>
        <v>OK</v>
      </c>
      <c r="W631" s="568" t="str">
        <f>VLOOKUP(A631,'[1]Raw data'!$B:$AG,32,FALSE)</f>
        <v>DAP GZ</v>
      </c>
      <c r="X631" s="568">
        <f>VLOOKUP(A631,'[1]Raw data'!$B:$BA,31,FALSE)</f>
        <v>44145</v>
      </c>
      <c r="Y631" s="568" t="str">
        <f>VLOOKUP(A631,'[1]Raw data'!$B:$AS,39,FALSE)</f>
        <v>Yes</v>
      </c>
      <c r="Z631" s="664"/>
      <c r="AA631" s="665"/>
      <c r="AB631" s="666"/>
      <c r="AC631" s="652" t="s">
        <v>1128</v>
      </c>
      <c r="AD631" s="667">
        <v>301</v>
      </c>
      <c r="AE631" s="667">
        <v>20</v>
      </c>
      <c r="AF631" s="667"/>
      <c r="AG631" s="667"/>
      <c r="AH631" s="667"/>
      <c r="AI631" s="668"/>
      <c r="AN631" s="547"/>
      <c r="AO631" s="829" t="str">
        <f t="shared" si="85"/>
        <v>Yes</v>
      </c>
      <c r="AP631" s="259" t="str">
        <f t="shared" si="86"/>
        <v>JAN 21</v>
      </c>
      <c r="AQ631" s="547" t="str">
        <f t="shared" si="87"/>
        <v>有定金+有預留客戶</v>
      </c>
      <c r="AR631" s="259" t="str">
        <f t="shared" si="88"/>
        <v>Shipped_Stock</v>
      </c>
      <c r="AS631" s="259" t="str">
        <f t="shared" si="89"/>
        <v/>
      </c>
      <c r="AT631" s="259" t="str">
        <f t="shared" si="90"/>
        <v>易而达</v>
      </c>
      <c r="AU631" s="259" t="str">
        <f t="shared" si="91"/>
        <v>C49SZX20200145JL</v>
      </c>
      <c r="AV631" s="259" t="str">
        <f t="shared" si="92"/>
        <v>Jan-16</v>
      </c>
    </row>
    <row r="632" spans="1:48" hidden="1">
      <c r="A632" s="564">
        <v>889</v>
      </c>
      <c r="B632" s="669" t="s">
        <v>1125</v>
      </c>
      <c r="C632" s="669" t="s">
        <v>15</v>
      </c>
      <c r="D632" s="650">
        <v>110105</v>
      </c>
      <c r="E632" s="651" t="s">
        <v>1340</v>
      </c>
      <c r="F632" s="652" t="s">
        <v>58</v>
      </c>
      <c r="G632" s="652" t="s">
        <v>24</v>
      </c>
      <c r="H632" s="652" t="s">
        <v>26</v>
      </c>
      <c r="I632" s="580" t="s">
        <v>1342</v>
      </c>
      <c r="J632" s="580">
        <v>1</v>
      </c>
      <c r="K632" s="652" t="s">
        <v>437</v>
      </c>
      <c r="L632" s="680">
        <v>44212</v>
      </c>
      <c r="M632" s="670" t="s">
        <v>906</v>
      </c>
      <c r="N632" s="652" t="s">
        <v>1127</v>
      </c>
      <c r="O632" s="580"/>
      <c r="P632" s="571" t="str">
        <f>VLOOKUP(A632,'[1]Raw data'!$B:$BB,23,FALSE)</f>
        <v>JPY</v>
      </c>
      <c r="Q632" s="568" t="str">
        <f>VLOOKUP(A632,'[1]Raw data'!$B:$Z,2,FALSE)</f>
        <v>C49SZX20200195SS</v>
      </c>
      <c r="R632" s="568" t="str">
        <f>VLOOKUP(A632,'[1]Raw data'!$B:$Z,3,FALSE)</f>
        <v>泰鑫荣</v>
      </c>
      <c r="S632" s="568" t="str">
        <f>VLOOKUP(A632,'[1]Raw data'!$B:$Z,4,FALSE)</f>
        <v>YSM20R-2</v>
      </c>
      <c r="T632" s="568" t="str">
        <f>VLOOKUP(A632,'[1]Raw data'!$B:$Z,8,FALSE)</f>
        <v>L-&gt;R</v>
      </c>
      <c r="U632" s="568" t="str">
        <f>VLOOKUP(A632,'[1]Raw data'!$B:$Z,9,FALSE)</f>
        <v>No</v>
      </c>
      <c r="V632" s="572" t="str">
        <f t="shared" si="94"/>
        <v>OK</v>
      </c>
      <c r="W632" s="568" t="str">
        <f>VLOOKUP(A632,'[1]Raw data'!$B:$AG,32,FALSE)</f>
        <v>DAP SZ</v>
      </c>
      <c r="X632" s="568">
        <f>VLOOKUP(A632,'[1]Raw data'!$B:$BA,31,FALSE)</f>
        <v>44125</v>
      </c>
      <c r="Y632" s="568" t="str">
        <f>VLOOKUP(A632,'[1]Raw data'!$B:$AS,39,FALSE)</f>
        <v>Yes</v>
      </c>
      <c r="Z632" s="664"/>
      <c r="AA632" s="665"/>
      <c r="AB632" s="666"/>
      <c r="AC632" s="652" t="s">
        <v>1343</v>
      </c>
      <c r="AD632" s="667">
        <v>301</v>
      </c>
      <c r="AE632" s="667">
        <v>20</v>
      </c>
      <c r="AF632" s="667"/>
      <c r="AG632" s="667"/>
      <c r="AH632" s="667"/>
      <c r="AI632" s="668"/>
      <c r="AN632" s="547"/>
      <c r="AO632" s="829" t="str">
        <f t="shared" si="85"/>
        <v>Yes</v>
      </c>
      <c r="AP632" s="259" t="str">
        <f t="shared" si="86"/>
        <v>JAN 21</v>
      </c>
      <c r="AQ632" s="547" t="str">
        <f t="shared" si="87"/>
        <v>有定金+有預留客戶</v>
      </c>
      <c r="AR632" s="259" t="str">
        <f t="shared" si="88"/>
        <v>Shipped_Stock</v>
      </c>
      <c r="AS632" s="259" t="str">
        <f t="shared" si="89"/>
        <v/>
      </c>
      <c r="AT632" s="259" t="str">
        <f t="shared" si="90"/>
        <v>泰鑫荣</v>
      </c>
      <c r="AU632" s="259" t="str">
        <f t="shared" si="91"/>
        <v>C49SZX20200195SS</v>
      </c>
      <c r="AV632" s="259" t="str">
        <f t="shared" si="92"/>
        <v>Jan-16</v>
      </c>
    </row>
    <row r="633" spans="1:48" hidden="1">
      <c r="A633" s="564">
        <v>878</v>
      </c>
      <c r="B633" s="669" t="s">
        <v>1125</v>
      </c>
      <c r="C633" s="669" t="s">
        <v>15</v>
      </c>
      <c r="D633" s="650">
        <v>110105</v>
      </c>
      <c r="E633" s="651" t="s">
        <v>1340</v>
      </c>
      <c r="F633" s="652" t="s">
        <v>58</v>
      </c>
      <c r="G633" s="652" t="s">
        <v>18</v>
      </c>
      <c r="H633" s="652" t="s">
        <v>26</v>
      </c>
      <c r="I633" s="580" t="s">
        <v>1344</v>
      </c>
      <c r="J633" s="580">
        <v>1</v>
      </c>
      <c r="K633" s="652" t="s">
        <v>437</v>
      </c>
      <c r="L633" s="680">
        <v>44212</v>
      </c>
      <c r="M633" s="670" t="s">
        <v>906</v>
      </c>
      <c r="N633" s="652" t="s">
        <v>1127</v>
      </c>
      <c r="O633" s="580"/>
      <c r="P633" s="571" t="str">
        <f>VLOOKUP(A633,'[1]Raw data'!$B:$BB,23,FALSE)</f>
        <v>JPY</v>
      </c>
      <c r="Q633" s="568" t="str">
        <f>VLOOKUP(A633,'[1]Raw data'!$B:$Z,2,FALSE)</f>
        <v>C49SZX20200182JY</v>
      </c>
      <c r="R633" s="568" t="str">
        <f>VLOOKUP(A633,'[1]Raw data'!$B:$Z,3,FALSE)</f>
        <v>百纳海</v>
      </c>
      <c r="S633" s="568" t="str">
        <f>VLOOKUP(A633,'[1]Raw data'!$B:$Z,4,FALSE)</f>
        <v>YSM20R-2</v>
      </c>
      <c r="T633" s="568" t="str">
        <f>VLOOKUP(A633,'[1]Raw data'!$B:$Z,8,FALSE)</f>
        <v>R-&gt;L</v>
      </c>
      <c r="U633" s="568" t="str">
        <f>VLOOKUP(A633,'[1]Raw data'!$B:$Z,9,FALSE)</f>
        <v>No</v>
      </c>
      <c r="V633" s="572" t="str">
        <f t="shared" si="94"/>
        <v>OK</v>
      </c>
      <c r="W633" s="568" t="str">
        <f>VLOOKUP(A633,'[1]Raw data'!$B:$AG,32,FALSE)</f>
        <v>DAP SZ</v>
      </c>
      <c r="X633" s="568">
        <f>VLOOKUP(A633,'[1]Raw data'!$B:$BA,31,FALSE)</f>
        <v>44117</v>
      </c>
      <c r="Y633" s="568" t="str">
        <f>VLOOKUP(A633,'[1]Raw data'!$B:$AS,39,FALSE)</f>
        <v>Yes</v>
      </c>
      <c r="Z633" s="664"/>
      <c r="AA633" s="665"/>
      <c r="AB633" s="666"/>
      <c r="AC633" s="652" t="s">
        <v>1264</v>
      </c>
      <c r="AD633" s="667">
        <v>301</v>
      </c>
      <c r="AE633" s="667">
        <v>10</v>
      </c>
      <c r="AF633" s="667">
        <v>302</v>
      </c>
      <c r="AG633" s="667">
        <v>10</v>
      </c>
      <c r="AH633" s="667"/>
      <c r="AI633" s="668"/>
      <c r="AN633" s="547"/>
      <c r="AO633" s="829" t="str">
        <f t="shared" si="85"/>
        <v>Yes</v>
      </c>
      <c r="AP633" s="259" t="str">
        <f t="shared" si="86"/>
        <v>JAN 21</v>
      </c>
      <c r="AQ633" s="547" t="str">
        <f t="shared" si="87"/>
        <v>有定金+有預留客戶</v>
      </c>
      <c r="AR633" s="259" t="str">
        <f t="shared" si="88"/>
        <v>Shipped_Stock</v>
      </c>
      <c r="AS633" s="259" t="str">
        <f t="shared" si="89"/>
        <v/>
      </c>
      <c r="AT633" s="259" t="str">
        <f t="shared" si="90"/>
        <v>百纳海</v>
      </c>
      <c r="AU633" s="259" t="str">
        <f t="shared" si="91"/>
        <v>C49SZX20200182JY</v>
      </c>
      <c r="AV633" s="259" t="str">
        <f t="shared" si="92"/>
        <v>Jan-16</v>
      </c>
    </row>
    <row r="634" spans="1:48" hidden="1">
      <c r="A634" s="564">
        <v>901</v>
      </c>
      <c r="B634" s="669" t="s">
        <v>1125</v>
      </c>
      <c r="C634" s="669" t="s">
        <v>15</v>
      </c>
      <c r="D634" s="650">
        <v>110105</v>
      </c>
      <c r="E634" s="651" t="s">
        <v>1340</v>
      </c>
      <c r="F634" s="652" t="s">
        <v>58</v>
      </c>
      <c r="G634" s="652" t="s">
        <v>18</v>
      </c>
      <c r="H634" s="652" t="s">
        <v>26</v>
      </c>
      <c r="I634" s="580" t="s">
        <v>1345</v>
      </c>
      <c r="J634" s="580">
        <v>1</v>
      </c>
      <c r="K634" s="652" t="s">
        <v>437</v>
      </c>
      <c r="L634" s="680">
        <v>44212</v>
      </c>
      <c r="M634" s="670" t="s">
        <v>906</v>
      </c>
      <c r="N634" s="652" t="s">
        <v>1127</v>
      </c>
      <c r="O634" s="580"/>
      <c r="P634" s="571" t="str">
        <f>VLOOKUP(A634,'[1]Raw data'!$B:$BB,23,FALSE)</f>
        <v>JPY</v>
      </c>
      <c r="Q634" s="568" t="str">
        <f>VLOOKUP(A634,'[1]Raw data'!$B:$Z,2,FALSE)</f>
        <v>C49SZX20200199MZ</v>
      </c>
      <c r="R634" s="568" t="str">
        <f>VLOOKUP(A634,'[1]Raw data'!$B:$Z,3,FALSE)</f>
        <v>鸿南</v>
      </c>
      <c r="S634" s="568" t="str">
        <f>VLOOKUP(A634,'[1]Raw data'!$B:$Z,4,FALSE)</f>
        <v>YSM20R-2</v>
      </c>
      <c r="T634" s="568" t="str">
        <f>VLOOKUP(A634,'[1]Raw data'!$B:$Z,8,FALSE)</f>
        <v>R-&gt;L</v>
      </c>
      <c r="U634" s="568" t="str">
        <f>VLOOKUP(A634,'[1]Raw data'!$B:$Z,9,FALSE)</f>
        <v>No</v>
      </c>
      <c r="V634" s="572" t="str">
        <f t="shared" si="94"/>
        <v>OK</v>
      </c>
      <c r="W634" s="568" t="str">
        <f>VLOOKUP(A634,'[1]Raw data'!$B:$AG,32,FALSE)</f>
        <v>CIF HK</v>
      </c>
      <c r="X634" s="568">
        <f>VLOOKUP(A634,'[1]Raw data'!$B:$BA,31,FALSE)</f>
        <v>44134</v>
      </c>
      <c r="Y634" s="568" t="str">
        <f>VLOOKUP(A634,'[1]Raw data'!$B:$AS,39,FALSE)</f>
        <v>Yes</v>
      </c>
      <c r="Z634" s="664"/>
      <c r="AA634" s="665"/>
      <c r="AB634" s="666"/>
      <c r="AC634" s="652" t="s">
        <v>400</v>
      </c>
      <c r="AD634" s="667">
        <v>301</v>
      </c>
      <c r="AE634" s="667">
        <v>10</v>
      </c>
      <c r="AF634" s="667">
        <v>302</v>
      </c>
      <c r="AG634" s="667">
        <v>10</v>
      </c>
      <c r="AH634" s="667"/>
      <c r="AI634" s="668"/>
      <c r="AN634" s="547"/>
      <c r="AO634" s="829" t="str">
        <f t="shared" si="85"/>
        <v>Yes</v>
      </c>
      <c r="AP634" s="259" t="str">
        <f t="shared" si="86"/>
        <v>JAN 21</v>
      </c>
      <c r="AQ634" s="547" t="str">
        <f t="shared" si="87"/>
        <v>有定金+有預留客戶</v>
      </c>
      <c r="AR634" s="259" t="str">
        <f t="shared" si="88"/>
        <v>Shipped_Stock</v>
      </c>
      <c r="AS634" s="259" t="str">
        <f t="shared" si="89"/>
        <v/>
      </c>
      <c r="AT634" s="259" t="str">
        <f t="shared" si="90"/>
        <v>鸿南</v>
      </c>
      <c r="AU634" s="259" t="str">
        <f t="shared" si="91"/>
        <v>C49SZX20200199MZ</v>
      </c>
      <c r="AV634" s="259" t="str">
        <f t="shared" si="92"/>
        <v>Jan-16</v>
      </c>
    </row>
    <row r="635" spans="1:48" hidden="1">
      <c r="A635" s="564">
        <v>902</v>
      </c>
      <c r="B635" s="669" t="s">
        <v>1125</v>
      </c>
      <c r="C635" s="669" t="s">
        <v>15</v>
      </c>
      <c r="D635" s="650" t="s">
        <v>1346</v>
      </c>
      <c r="E635" s="651" t="s">
        <v>1340</v>
      </c>
      <c r="F635" s="652" t="s">
        <v>58</v>
      </c>
      <c r="G635" s="652" t="s">
        <v>18</v>
      </c>
      <c r="H635" s="652" t="s">
        <v>26</v>
      </c>
      <c r="I635" s="580" t="s">
        <v>1347</v>
      </c>
      <c r="J635" s="580">
        <v>1</v>
      </c>
      <c r="K635" s="652" t="s">
        <v>437</v>
      </c>
      <c r="L635" s="680">
        <v>44213</v>
      </c>
      <c r="M635" s="670">
        <v>6.3500000000000001E-2</v>
      </c>
      <c r="N635" s="652" t="s">
        <v>1127</v>
      </c>
      <c r="O635" s="580"/>
      <c r="P635" s="571" t="str">
        <f>VLOOKUP(A635,'[1]Raw data'!$B:$BB,23,FALSE)</f>
        <v>JPY</v>
      </c>
      <c r="Q635" s="568" t="str">
        <f>VLOOKUP(A635,'[1]Raw data'!$B:$Z,2,FALSE)</f>
        <v>C49SZX20200199MZ</v>
      </c>
      <c r="R635" s="568" t="str">
        <f>VLOOKUP(A635,'[1]Raw data'!$B:$Z,3,FALSE)</f>
        <v>鸿南</v>
      </c>
      <c r="S635" s="568" t="str">
        <f>VLOOKUP(A635,'[1]Raw data'!$B:$Z,4,FALSE)</f>
        <v>YSM20R-2</v>
      </c>
      <c r="T635" s="568" t="str">
        <f>VLOOKUP(A635,'[1]Raw data'!$B:$Z,8,FALSE)</f>
        <v>R-&gt;L</v>
      </c>
      <c r="U635" s="568" t="str">
        <f>VLOOKUP(A635,'[1]Raw data'!$B:$Z,9,FALSE)</f>
        <v>No</v>
      </c>
      <c r="V635" s="572" t="str">
        <f t="shared" si="94"/>
        <v>OK</v>
      </c>
      <c r="W635" s="568" t="str">
        <f>VLOOKUP(A635,'[1]Raw data'!$B:$AG,32,FALSE)</f>
        <v>CIF HK</v>
      </c>
      <c r="X635" s="568">
        <f>VLOOKUP(A635,'[1]Raw data'!$B:$BA,31,FALSE)</f>
        <v>44134</v>
      </c>
      <c r="Y635" s="568" t="str">
        <f>VLOOKUP(A635,'[1]Raw data'!$B:$AS,39,FALSE)</f>
        <v>Yes</v>
      </c>
      <c r="Z635" s="664"/>
      <c r="AA635" s="665"/>
      <c r="AB635" s="666"/>
      <c r="AC635" s="652" t="s">
        <v>400</v>
      </c>
      <c r="AD635" s="667">
        <v>301</v>
      </c>
      <c r="AE635" s="667">
        <v>10</v>
      </c>
      <c r="AF635" s="667">
        <v>312</v>
      </c>
      <c r="AG635" s="667">
        <v>10</v>
      </c>
      <c r="AH635" s="667"/>
      <c r="AI635" s="668"/>
      <c r="AN635" s="547"/>
      <c r="AO635" s="829" t="str">
        <f t="shared" si="85"/>
        <v>Yes</v>
      </c>
      <c r="AP635" s="259" t="str">
        <f t="shared" si="86"/>
        <v>JAN 21</v>
      </c>
      <c r="AQ635" s="547" t="str">
        <f t="shared" si="87"/>
        <v>有定金+有預留客戶</v>
      </c>
      <c r="AR635" s="259" t="str">
        <f t="shared" si="88"/>
        <v>Shipped_Stock</v>
      </c>
      <c r="AS635" s="259" t="str">
        <f t="shared" si="89"/>
        <v/>
      </c>
      <c r="AT635" s="259" t="str">
        <f t="shared" si="90"/>
        <v>鸿南</v>
      </c>
      <c r="AU635" s="259" t="str">
        <f t="shared" si="91"/>
        <v>C49SZX20200199MZ</v>
      </c>
      <c r="AV635" s="259" t="str">
        <f t="shared" si="92"/>
        <v>Jan-17</v>
      </c>
    </row>
    <row r="636" spans="1:48" hidden="1">
      <c r="A636" s="564">
        <v>882</v>
      </c>
      <c r="B636" s="669" t="s">
        <v>1125</v>
      </c>
      <c r="C636" s="669" t="s">
        <v>15</v>
      </c>
      <c r="D636" s="650" t="s">
        <v>1348</v>
      </c>
      <c r="E636" s="651" t="s">
        <v>1340</v>
      </c>
      <c r="F636" s="652" t="s">
        <v>58</v>
      </c>
      <c r="G636" s="652" t="s">
        <v>24</v>
      </c>
      <c r="H636" s="652" t="s">
        <v>26</v>
      </c>
      <c r="I636" s="580" t="s">
        <v>1349</v>
      </c>
      <c r="J636" s="667">
        <v>1</v>
      </c>
      <c r="K636" s="652" t="s">
        <v>437</v>
      </c>
      <c r="L636" s="680">
        <v>44213</v>
      </c>
      <c r="M636" s="683" t="s">
        <v>1350</v>
      </c>
      <c r="N636" s="652" t="s">
        <v>1127</v>
      </c>
      <c r="O636" s="580"/>
      <c r="P636" s="571" t="str">
        <f>VLOOKUP(A636,'[1]Raw data'!$B:$BB,23,FALSE)</f>
        <v>JPY</v>
      </c>
      <c r="Q636" s="568" t="str">
        <f>VLOOKUP(A636,'[1]Raw data'!$B:$Z,2,FALSE)</f>
        <v>C49SZX20200113SS</v>
      </c>
      <c r="R636" s="568" t="str">
        <f>VLOOKUP(A636,'[1]Raw data'!$B:$Z,3,FALSE)</f>
        <v>派勤</v>
      </c>
      <c r="S636" s="568" t="str">
        <f>VLOOKUP(A636,'[1]Raw data'!$B:$Z,4,FALSE)</f>
        <v>YSM20R-2</v>
      </c>
      <c r="T636" s="568" t="str">
        <f>VLOOKUP(A636,'[1]Raw data'!$B:$Z,8,FALSE)</f>
        <v>L-&gt;R</v>
      </c>
      <c r="U636" s="568" t="str">
        <f>VLOOKUP(A636,'[1]Raw data'!$B:$Z,9,FALSE)</f>
        <v>No</v>
      </c>
      <c r="V636" s="572" t="str">
        <f t="shared" si="94"/>
        <v>OK</v>
      </c>
      <c r="W636" s="568" t="str">
        <f>VLOOKUP(A636,'[1]Raw data'!$B:$AG,32,FALSE)</f>
        <v>DAP SZ</v>
      </c>
      <c r="X636" s="568">
        <f>VLOOKUP(A636,'[1]Raw data'!$B:$BA,31,FALSE)</f>
        <v>44119</v>
      </c>
      <c r="Y636" s="568" t="str">
        <f>VLOOKUP(A636,'[1]Raw data'!$B:$AS,39,FALSE)</f>
        <v>Yes</v>
      </c>
      <c r="Z636" s="664"/>
      <c r="AA636" s="665"/>
      <c r="AB636" s="666"/>
      <c r="AC636" s="652" t="s">
        <v>1297</v>
      </c>
      <c r="AD636" s="667">
        <v>301</v>
      </c>
      <c r="AE636" s="667">
        <v>10</v>
      </c>
      <c r="AF636" s="667">
        <v>312</v>
      </c>
      <c r="AG636" s="667">
        <v>10</v>
      </c>
      <c r="AH636" s="667"/>
      <c r="AI636" s="668"/>
      <c r="AN636" s="547"/>
      <c r="AO636" s="829" t="str">
        <f t="shared" si="85"/>
        <v>Yes</v>
      </c>
      <c r="AP636" s="259" t="str">
        <f t="shared" si="86"/>
        <v>JAN 21</v>
      </c>
      <c r="AQ636" s="547" t="str">
        <f t="shared" si="87"/>
        <v>有定金+有預留客戶</v>
      </c>
      <c r="AR636" s="259" t="str">
        <f t="shared" si="88"/>
        <v>Shipped_Stock</v>
      </c>
      <c r="AS636" s="259" t="str">
        <f t="shared" si="89"/>
        <v/>
      </c>
      <c r="AT636" s="259" t="str">
        <f t="shared" si="90"/>
        <v>派勤</v>
      </c>
      <c r="AU636" s="259" t="str">
        <f t="shared" si="91"/>
        <v>C49SZX20200113SS</v>
      </c>
      <c r="AV636" s="259" t="str">
        <f t="shared" si="92"/>
        <v>Jan-17</v>
      </c>
    </row>
    <row r="637" spans="1:48" hidden="1">
      <c r="A637" s="564">
        <v>1045</v>
      </c>
      <c r="B637" s="669" t="s">
        <v>1125</v>
      </c>
      <c r="C637" s="669" t="s">
        <v>15</v>
      </c>
      <c r="D637" s="650">
        <v>110106</v>
      </c>
      <c r="E637" s="651" t="s">
        <v>1340</v>
      </c>
      <c r="F637" s="652" t="s">
        <v>58</v>
      </c>
      <c r="G637" s="652" t="s">
        <v>24</v>
      </c>
      <c r="H637" s="652" t="s">
        <v>26</v>
      </c>
      <c r="I637" s="580" t="s">
        <v>1351</v>
      </c>
      <c r="J637" s="580">
        <v>1</v>
      </c>
      <c r="K637" s="652" t="s">
        <v>437</v>
      </c>
      <c r="L637" s="680">
        <v>44213</v>
      </c>
      <c r="M637" s="670" t="s">
        <v>906</v>
      </c>
      <c r="N637" s="652" t="s">
        <v>1127</v>
      </c>
      <c r="O637" s="580"/>
      <c r="P637" s="571" t="str">
        <f>VLOOKUP(A637,'[1]Raw data'!$B:$BB,23,FALSE)</f>
        <v>JPY</v>
      </c>
      <c r="Q637" s="568" t="str">
        <f>VLOOKUP(A637,'[1]Raw data'!$B:$Z,2,FALSE)</f>
        <v>C49SZX20200246MX</v>
      </c>
      <c r="R637" s="568" t="str">
        <f>VLOOKUP(A637,'[1]Raw data'!$B:$Z,3,FALSE)</f>
        <v>华耘</v>
      </c>
      <c r="S637" s="568" t="str">
        <f>VLOOKUP(A637,'[1]Raw data'!$B:$Z,4,FALSE)</f>
        <v>YSM20R-2</v>
      </c>
      <c r="T637" s="568" t="str">
        <f>VLOOKUP(A637,'[1]Raw data'!$B:$Z,8,FALSE)</f>
        <v>L-&gt;R</v>
      </c>
      <c r="U637" s="568" t="str">
        <f>VLOOKUP(A637,'[1]Raw data'!$B:$Z,9,FALSE)</f>
        <v>No</v>
      </c>
      <c r="V637" s="572" t="str">
        <f t="shared" si="94"/>
        <v>OK</v>
      </c>
      <c r="W637" s="568" t="str">
        <f>VLOOKUP(A637,'[1]Raw data'!$B:$AG,32,FALSE)</f>
        <v>DAP DG</v>
      </c>
      <c r="X637" s="568">
        <f>VLOOKUP(A637,'[1]Raw data'!$B:$BA,31,FALSE)</f>
        <v>44193</v>
      </c>
      <c r="Y637" s="568" t="str">
        <f>VLOOKUP(A637,'[1]Raw data'!$B:$AS,39,FALSE)</f>
        <v>Yes</v>
      </c>
      <c r="Z637" s="664"/>
      <c r="AA637" s="665"/>
      <c r="AB637" s="666"/>
      <c r="AC637" s="728" t="s">
        <v>1352</v>
      </c>
      <c r="AD637" s="667">
        <v>301</v>
      </c>
      <c r="AE637" s="667">
        <v>10</v>
      </c>
      <c r="AF637" s="667">
        <v>303</v>
      </c>
      <c r="AG637" s="667">
        <v>10</v>
      </c>
      <c r="AH637" s="667"/>
      <c r="AI637" s="668"/>
      <c r="AN637" s="547"/>
      <c r="AO637" s="829" t="str">
        <f t="shared" si="85"/>
        <v>Yes</v>
      </c>
      <c r="AP637" s="259" t="str">
        <f t="shared" si="86"/>
        <v>JAN 21</v>
      </c>
      <c r="AQ637" s="547" t="str">
        <f t="shared" si="87"/>
        <v>有定金+有預留客戶</v>
      </c>
      <c r="AR637" s="259" t="str">
        <f t="shared" si="88"/>
        <v>Shipped_Stock</v>
      </c>
      <c r="AS637" s="259" t="str">
        <f t="shared" si="89"/>
        <v/>
      </c>
      <c r="AT637" s="259" t="str">
        <f t="shared" si="90"/>
        <v>华耘</v>
      </c>
      <c r="AU637" s="259" t="str">
        <f t="shared" si="91"/>
        <v>C49SZX20200246MX</v>
      </c>
      <c r="AV637" s="259" t="str">
        <f t="shared" si="92"/>
        <v>Jan-17</v>
      </c>
    </row>
    <row r="638" spans="1:48" hidden="1">
      <c r="A638" s="564">
        <v>873</v>
      </c>
      <c r="B638" s="669" t="s">
        <v>1125</v>
      </c>
      <c r="C638" s="669" t="s">
        <v>15</v>
      </c>
      <c r="D638" s="650">
        <v>110106</v>
      </c>
      <c r="E638" s="651" t="s">
        <v>1340</v>
      </c>
      <c r="F638" s="652" t="s">
        <v>58</v>
      </c>
      <c r="G638" s="652" t="s">
        <v>24</v>
      </c>
      <c r="H638" s="652" t="s">
        <v>26</v>
      </c>
      <c r="I638" s="580" t="s">
        <v>1353</v>
      </c>
      <c r="J638" s="580">
        <v>1</v>
      </c>
      <c r="K638" s="652" t="s">
        <v>437</v>
      </c>
      <c r="L638" s="680">
        <v>44213</v>
      </c>
      <c r="M638" s="670" t="s">
        <v>906</v>
      </c>
      <c r="N638" s="652" t="s">
        <v>1127</v>
      </c>
      <c r="O638" s="580"/>
      <c r="P638" s="571" t="str">
        <f>VLOOKUP(A638,'[1]Raw data'!$B:$BB,23,FALSE)</f>
        <v>JPY</v>
      </c>
      <c r="Q638" s="568" t="str">
        <f>VLOOKUP(A638,'[1]Raw data'!$B:$Z,2,FALSE)</f>
        <v>C49SZX20200180SX</v>
      </c>
      <c r="R638" s="568" t="str">
        <f>VLOOKUP(A638,'[1]Raw data'!$B:$Z,3,FALSE)</f>
        <v>东陆</v>
      </c>
      <c r="S638" s="568" t="str">
        <f>VLOOKUP(A638,'[1]Raw data'!$B:$Z,4,FALSE)</f>
        <v>YSM20R-2</v>
      </c>
      <c r="T638" s="568" t="str">
        <f>VLOOKUP(A638,'[1]Raw data'!$B:$Z,8,FALSE)</f>
        <v>L-&gt;R</v>
      </c>
      <c r="U638" s="568" t="str">
        <f>VLOOKUP(A638,'[1]Raw data'!$B:$Z,9,FALSE)</f>
        <v>No</v>
      </c>
      <c r="V638" s="572" t="str">
        <f t="shared" si="94"/>
        <v>OK</v>
      </c>
      <c r="W638" s="568" t="str">
        <f>VLOOKUP(A638,'[1]Raw data'!$B:$AG,32,FALSE)</f>
        <v>DAP SZ</v>
      </c>
      <c r="X638" s="568">
        <f>VLOOKUP(A638,'[1]Raw data'!$B:$BA,31,FALSE)</f>
        <v>44104</v>
      </c>
      <c r="Y638" s="568" t="str">
        <f>VLOOKUP(A638,'[1]Raw data'!$B:$AS,39,FALSE)</f>
        <v>Yes</v>
      </c>
      <c r="Z638" s="664"/>
      <c r="AA638" s="665"/>
      <c r="AB638" s="666"/>
      <c r="AC638" s="652" t="s">
        <v>1354</v>
      </c>
      <c r="AD638" s="667">
        <v>301</v>
      </c>
      <c r="AE638" s="667">
        <v>10</v>
      </c>
      <c r="AF638" s="667">
        <v>303</v>
      </c>
      <c r="AG638" s="667">
        <v>10</v>
      </c>
      <c r="AH638" s="667"/>
      <c r="AI638" s="668"/>
      <c r="AN638" s="547"/>
      <c r="AO638" s="829" t="str">
        <f t="shared" si="85"/>
        <v>Yes</v>
      </c>
      <c r="AP638" s="259" t="str">
        <f t="shared" si="86"/>
        <v>JAN 21</v>
      </c>
      <c r="AQ638" s="547" t="str">
        <f t="shared" si="87"/>
        <v>有定金+有預留客戶</v>
      </c>
      <c r="AR638" s="259" t="str">
        <f t="shared" si="88"/>
        <v>Shipped_Stock</v>
      </c>
      <c r="AS638" s="259" t="str">
        <f t="shared" si="89"/>
        <v/>
      </c>
      <c r="AT638" s="259" t="str">
        <f t="shared" si="90"/>
        <v>东陆</v>
      </c>
      <c r="AU638" s="259" t="str">
        <f t="shared" si="91"/>
        <v>C49SZX20200180SX</v>
      </c>
      <c r="AV638" s="259" t="str">
        <f t="shared" si="92"/>
        <v>Jan-17</v>
      </c>
    </row>
    <row r="639" spans="1:48" ht="11.25" hidden="1" customHeight="1">
      <c r="A639" s="564">
        <v>905</v>
      </c>
      <c r="B639" s="669" t="s">
        <v>1125</v>
      </c>
      <c r="C639" s="669" t="s">
        <v>15</v>
      </c>
      <c r="D639" s="650">
        <v>110198</v>
      </c>
      <c r="E639" s="651" t="s">
        <v>1321</v>
      </c>
      <c r="F639" s="652" t="s">
        <v>58</v>
      </c>
      <c r="G639" s="652" t="s">
        <v>24</v>
      </c>
      <c r="H639" s="652" t="s">
        <v>26</v>
      </c>
      <c r="I639" s="580" t="s">
        <v>1355</v>
      </c>
      <c r="J639" s="580">
        <v>1</v>
      </c>
      <c r="K639" s="652" t="s">
        <v>437</v>
      </c>
      <c r="L639" s="680">
        <v>44213</v>
      </c>
      <c r="M639" s="670" t="s">
        <v>906</v>
      </c>
      <c r="N639" s="652" t="s">
        <v>1127</v>
      </c>
      <c r="O639" s="580"/>
      <c r="P639" s="571" t="str">
        <f>VLOOKUP(A639,'[1]Raw data'!$B:$BB,23,FALSE)</f>
        <v>JPY</v>
      </c>
      <c r="Q639" s="568" t="str">
        <f>VLOOKUP(A639,'[1]Raw data'!$B:$Z,2,FALSE)</f>
        <v>C49SZX20200205JZ</v>
      </c>
      <c r="R639" s="568" t="str">
        <f>VLOOKUP(A639,'[1]Raw data'!$B:$Z,3,FALSE)</f>
        <v>新明海</v>
      </c>
      <c r="S639" s="568" t="str">
        <f>VLOOKUP(A639,'[1]Raw data'!$B:$Z,4,FALSE)</f>
        <v>YSM20R-2</v>
      </c>
      <c r="T639" s="568" t="str">
        <f>VLOOKUP(A639,'[1]Raw data'!$B:$Z,8,FALSE)</f>
        <v>L-&gt;R</v>
      </c>
      <c r="U639" s="568" t="str">
        <f>VLOOKUP(A639,'[1]Raw data'!$B:$Z,9,FALSE)</f>
        <v>No</v>
      </c>
      <c r="V639" s="572" t="str">
        <f t="shared" si="94"/>
        <v>OK</v>
      </c>
      <c r="W639" s="568" t="str">
        <f>VLOOKUP(A639,'[1]Raw data'!$B:$AG,32,FALSE)</f>
        <v>DAP HZ</v>
      </c>
      <c r="X639" s="568">
        <f>VLOOKUP(A639,'[1]Raw data'!$B:$BA,31,FALSE)</f>
        <v>44138</v>
      </c>
      <c r="Y639" s="568" t="str">
        <f>VLOOKUP(A639,'[1]Raw data'!$B:$AS,39,FALSE)</f>
        <v>Yes</v>
      </c>
      <c r="Z639" s="664"/>
      <c r="AA639" s="665"/>
      <c r="AB639" s="666"/>
      <c r="AC639" s="568" t="s">
        <v>834</v>
      </c>
      <c r="AD639" s="667">
        <v>301</v>
      </c>
      <c r="AE639" s="667">
        <v>10</v>
      </c>
      <c r="AF639" s="667">
        <v>311</v>
      </c>
      <c r="AG639" s="667">
        <v>10</v>
      </c>
      <c r="AH639" s="667"/>
      <c r="AI639" s="668"/>
      <c r="AN639" s="547"/>
      <c r="AO639" s="829" t="str">
        <f t="shared" si="85"/>
        <v>Yes</v>
      </c>
      <c r="AP639" s="259" t="str">
        <f t="shared" si="86"/>
        <v>JAN 21</v>
      </c>
      <c r="AQ639" s="547" t="str">
        <f t="shared" si="87"/>
        <v>有定金+有預留客戶</v>
      </c>
      <c r="AR639" s="259" t="str">
        <f t="shared" si="88"/>
        <v>Shipped_Stock</v>
      </c>
      <c r="AS639" s="259" t="str">
        <f t="shared" si="89"/>
        <v/>
      </c>
      <c r="AT639" s="259" t="str">
        <f t="shared" si="90"/>
        <v>新明海</v>
      </c>
      <c r="AU639" s="259" t="str">
        <f t="shared" si="91"/>
        <v>C49SZX20200205JZ</v>
      </c>
      <c r="AV639" s="259" t="str">
        <f t="shared" si="92"/>
        <v>Jan-17</v>
      </c>
    </row>
    <row r="640" spans="1:48" hidden="1">
      <c r="A640" s="564">
        <v>1038</v>
      </c>
      <c r="B640" s="669" t="s">
        <v>1125</v>
      </c>
      <c r="C640" s="669" t="s">
        <v>15</v>
      </c>
      <c r="D640" s="650">
        <v>110168</v>
      </c>
      <c r="E640" s="651" t="s">
        <v>1356</v>
      </c>
      <c r="F640" s="652" t="s">
        <v>149</v>
      </c>
      <c r="G640" s="652" t="s">
        <v>24</v>
      </c>
      <c r="H640" s="652" t="s">
        <v>26</v>
      </c>
      <c r="I640" s="580" t="s">
        <v>1357</v>
      </c>
      <c r="J640" s="667">
        <v>1</v>
      </c>
      <c r="K640" s="652" t="s">
        <v>1358</v>
      </c>
      <c r="L640" s="680">
        <v>44222</v>
      </c>
      <c r="M640" s="681">
        <v>6.4000000000000001E-2</v>
      </c>
      <c r="N640" s="652" t="s">
        <v>1127</v>
      </c>
      <c r="O640" s="580"/>
      <c r="P640" s="571" t="str">
        <f>VLOOKUP(A640,'[1]Raw data'!$B:$BB,23,FALSE)</f>
        <v>RMB</v>
      </c>
      <c r="Q640" s="568" t="str">
        <f>VLOOKUP(A640,'[1]Raw data'!$B:$Z,2,FALSE)</f>
        <v>C49SZX20200220SX</v>
      </c>
      <c r="R640" s="568" t="str">
        <f>VLOOKUP(A640,'[1]Raw data'!$B:$Z,3,FALSE)</f>
        <v>拓新伟业</v>
      </c>
      <c r="S640" s="568" t="str">
        <f>VLOOKUP(A640,'[1]Raw data'!$B:$Z,4,FALSE)</f>
        <v>YSM40R-4</v>
      </c>
      <c r="T640" s="568" t="str">
        <f>VLOOKUP(A640,'[1]Raw data'!$B:$Z,8,FALSE)</f>
        <v>L-&gt;R</v>
      </c>
      <c r="U640" s="568" t="str">
        <f>VLOOKUP(A640,'[1]Raw data'!$B:$Z,9,FALSE)</f>
        <v>No</v>
      </c>
      <c r="V640" s="572" t="str">
        <f t="shared" si="93"/>
        <v>OK</v>
      </c>
      <c r="W640" s="568" t="str">
        <f>VLOOKUP(A640,'[1]Raw data'!$B:$AG,32,FALSE)</f>
        <v>含税到厂</v>
      </c>
      <c r="X640" s="568">
        <f>VLOOKUP(A640,'[1]Raw data'!$B:$BA,31,FALSE)</f>
        <v>44181</v>
      </c>
      <c r="Y640" s="568" t="str">
        <f>VLOOKUP(A640,'[1]Raw data'!$B:$AS,39,FALSE)</f>
        <v>Yes</v>
      </c>
      <c r="Z640" s="664"/>
      <c r="AA640" s="665"/>
      <c r="AB640" s="666"/>
      <c r="AC640" s="652" t="s">
        <v>1359</v>
      </c>
      <c r="AD640" s="667"/>
      <c r="AE640" s="667"/>
      <c r="AF640" s="667"/>
      <c r="AG640" s="667"/>
      <c r="AH640" s="667"/>
      <c r="AI640" s="668"/>
      <c r="AN640" s="547"/>
      <c r="AO640" s="829" t="str">
        <f t="shared" si="85"/>
        <v>Yes</v>
      </c>
      <c r="AP640" s="259" t="str">
        <f t="shared" si="86"/>
        <v>JAN 21</v>
      </c>
      <c r="AQ640" s="547" t="str">
        <f t="shared" si="87"/>
        <v>有定金+有預留客戶</v>
      </c>
      <c r="AR640" s="259" t="str">
        <f t="shared" si="88"/>
        <v>Shipped_Stock</v>
      </c>
      <c r="AS640" s="259" t="str">
        <f t="shared" si="89"/>
        <v/>
      </c>
      <c r="AT640" s="259" t="str">
        <f t="shared" si="90"/>
        <v>拓新伟业</v>
      </c>
      <c r="AU640" s="259" t="str">
        <f t="shared" si="91"/>
        <v>C49SZX20200220SX</v>
      </c>
      <c r="AV640" s="259" t="str">
        <f t="shared" si="92"/>
        <v>Jan-26</v>
      </c>
    </row>
    <row r="641" spans="1:48" hidden="1">
      <c r="A641" s="564">
        <v>1039</v>
      </c>
      <c r="B641" s="669" t="s">
        <v>1125</v>
      </c>
      <c r="C641" s="669" t="s">
        <v>15</v>
      </c>
      <c r="D641" s="650">
        <v>110170</v>
      </c>
      <c r="E641" s="651" t="s">
        <v>1356</v>
      </c>
      <c r="F641" s="652" t="s">
        <v>149</v>
      </c>
      <c r="G641" s="652" t="s">
        <v>24</v>
      </c>
      <c r="H641" s="652" t="s">
        <v>26</v>
      </c>
      <c r="I641" s="580" t="s">
        <v>1360</v>
      </c>
      <c r="J641" s="667">
        <v>1</v>
      </c>
      <c r="K641" s="652" t="s">
        <v>1358</v>
      </c>
      <c r="L641" s="680">
        <v>44222</v>
      </c>
      <c r="M641" s="670">
        <v>6.3600000000000004E-2</v>
      </c>
      <c r="N641" s="652" t="s">
        <v>1127</v>
      </c>
      <c r="O641" s="580"/>
      <c r="P641" s="571" t="str">
        <f>VLOOKUP(A641,'[1]Raw data'!$B:$BB,23,FALSE)</f>
        <v>RMB</v>
      </c>
      <c r="Q641" s="568" t="str">
        <f>VLOOKUP(A641,'[1]Raw data'!$B:$Z,2,FALSE)</f>
        <v>C49SZX20200220SX</v>
      </c>
      <c r="R641" s="568" t="str">
        <f>VLOOKUP(A641,'[1]Raw data'!$B:$Z,3,FALSE)</f>
        <v>拓新伟业</v>
      </c>
      <c r="S641" s="568" t="str">
        <f>VLOOKUP(A641,'[1]Raw data'!$B:$Z,4,FALSE)</f>
        <v>YSM40R-4</v>
      </c>
      <c r="T641" s="568" t="str">
        <f>VLOOKUP(A641,'[1]Raw data'!$B:$Z,8,FALSE)</f>
        <v>L-&gt;R</v>
      </c>
      <c r="U641" s="568" t="str">
        <f>VLOOKUP(A641,'[1]Raw data'!$B:$Z,9,FALSE)</f>
        <v>No</v>
      </c>
      <c r="V641" s="572" t="str">
        <f t="shared" si="93"/>
        <v>OK</v>
      </c>
      <c r="W641" s="568" t="str">
        <f>VLOOKUP(A641,'[1]Raw data'!$B:$AG,32,FALSE)</f>
        <v>含税到厂</v>
      </c>
      <c r="X641" s="568">
        <f>VLOOKUP(A641,'[1]Raw data'!$B:$BA,31,FALSE)</f>
        <v>44181</v>
      </c>
      <c r="Y641" s="568" t="str">
        <f>VLOOKUP(A641,'[1]Raw data'!$B:$AS,39,FALSE)</f>
        <v>Yes</v>
      </c>
      <c r="Z641" s="664"/>
      <c r="AA641" s="665"/>
      <c r="AB641" s="666"/>
      <c r="AC641" s="652" t="s">
        <v>1359</v>
      </c>
      <c r="AD641" s="667"/>
      <c r="AE641" s="667"/>
      <c r="AF641" s="667"/>
      <c r="AG641" s="667"/>
      <c r="AH641" s="667"/>
      <c r="AI641" s="668"/>
      <c r="AN641" s="547"/>
      <c r="AO641" s="829" t="str">
        <f t="shared" si="85"/>
        <v>Yes</v>
      </c>
      <c r="AP641" s="259" t="str">
        <f t="shared" si="86"/>
        <v>JAN 21</v>
      </c>
      <c r="AQ641" s="547" t="str">
        <f t="shared" si="87"/>
        <v>有定金+有預留客戶</v>
      </c>
      <c r="AR641" s="259" t="str">
        <f t="shared" si="88"/>
        <v>Shipped_Stock</v>
      </c>
      <c r="AS641" s="259" t="str">
        <f t="shared" si="89"/>
        <v/>
      </c>
      <c r="AT641" s="259" t="str">
        <f t="shared" si="90"/>
        <v>拓新伟业</v>
      </c>
      <c r="AU641" s="259" t="str">
        <f t="shared" si="91"/>
        <v>C49SZX20200220SX</v>
      </c>
      <c r="AV641" s="259" t="str">
        <f t="shared" si="92"/>
        <v>Jan-26</v>
      </c>
    </row>
    <row r="642" spans="1:48" hidden="1">
      <c r="A642" s="564">
        <v>872</v>
      </c>
      <c r="B642" s="669" t="s">
        <v>1125</v>
      </c>
      <c r="C642" s="669" t="s">
        <v>15</v>
      </c>
      <c r="D642" s="650">
        <v>110107</v>
      </c>
      <c r="E642" s="651" t="s">
        <v>1321</v>
      </c>
      <c r="F642" s="652" t="s">
        <v>58</v>
      </c>
      <c r="G642" s="652" t="s">
        <v>18</v>
      </c>
      <c r="H642" s="652" t="s">
        <v>26</v>
      </c>
      <c r="I642" s="580" t="s">
        <v>1361</v>
      </c>
      <c r="J642" s="580">
        <v>1</v>
      </c>
      <c r="K642" s="652" t="s">
        <v>437</v>
      </c>
      <c r="L642" s="680">
        <v>44227</v>
      </c>
      <c r="M642" s="670" t="s">
        <v>906</v>
      </c>
      <c r="N642" s="652" t="s">
        <v>1127</v>
      </c>
      <c r="O642" s="580"/>
      <c r="P642" s="571" t="str">
        <f>VLOOKUP(A642,'[1]Raw data'!$B:$BB,23,FALSE)</f>
        <v>JPY</v>
      </c>
      <c r="Q642" s="568" t="str">
        <f>VLOOKUP(A642,'[1]Raw data'!$B:$Z,2,FALSE)</f>
        <v>C49SZX20200180SX</v>
      </c>
      <c r="R642" s="568" t="str">
        <f>VLOOKUP(A642,'[1]Raw data'!$B:$Z,3,FALSE)</f>
        <v>东陆</v>
      </c>
      <c r="S642" s="568" t="str">
        <f>VLOOKUP(A642,'[1]Raw data'!$B:$Z,4,FALSE)</f>
        <v>YSM20R-2</v>
      </c>
      <c r="T642" s="568" t="str">
        <f>VLOOKUP(A642,'[1]Raw data'!$B:$Z,8,FALSE)</f>
        <v>R-&gt;L</v>
      </c>
      <c r="U642" s="568" t="str">
        <f>VLOOKUP(A642,'[1]Raw data'!$B:$Z,9,FALSE)</f>
        <v>MVC</v>
      </c>
      <c r="V642" s="572" t="str">
        <f t="shared" si="93"/>
        <v>WRONG</v>
      </c>
      <c r="W642" s="568" t="str">
        <f>VLOOKUP(A642,'[1]Raw data'!$B:$AG,32,FALSE)</f>
        <v>DAP SZ</v>
      </c>
      <c r="X642" s="568">
        <f>VLOOKUP(A642,'[1]Raw data'!$B:$BA,31,FALSE)</f>
        <v>44104</v>
      </c>
      <c r="Y642" s="568" t="str">
        <f>VLOOKUP(A642,'[1]Raw data'!$B:$AS,39,FALSE)</f>
        <v>Yes</v>
      </c>
      <c r="Z642" s="664"/>
      <c r="AA642" s="665"/>
      <c r="AB642" s="666"/>
      <c r="AC642" s="652" t="s">
        <v>1354</v>
      </c>
      <c r="AD642" s="667">
        <v>301</v>
      </c>
      <c r="AE642" s="667">
        <v>10</v>
      </c>
      <c r="AF642" s="667">
        <v>311</v>
      </c>
      <c r="AG642" s="667">
        <v>10</v>
      </c>
      <c r="AH642" s="667"/>
      <c r="AI642" s="668"/>
      <c r="AN642" s="547"/>
      <c r="AO642" s="829" t="str">
        <f t="shared" si="85"/>
        <v>Yes</v>
      </c>
      <c r="AP642" s="259" t="str">
        <f t="shared" si="86"/>
        <v>JAN 21</v>
      </c>
      <c r="AQ642" s="547" t="str">
        <f t="shared" si="87"/>
        <v>有定金+有預留客戶</v>
      </c>
      <c r="AR642" s="259" t="str">
        <f t="shared" si="88"/>
        <v>Shipped_Stock</v>
      </c>
      <c r="AS642" s="259" t="str">
        <f t="shared" si="89"/>
        <v/>
      </c>
      <c r="AT642" s="259" t="str">
        <f t="shared" si="90"/>
        <v>东陆</v>
      </c>
      <c r="AU642" s="259" t="str">
        <f t="shared" si="91"/>
        <v>C49SZX20200180SX</v>
      </c>
      <c r="AV642" s="259" t="str">
        <f t="shared" si="92"/>
        <v>Jan-31</v>
      </c>
    </row>
    <row r="643" spans="1:48" hidden="1">
      <c r="A643" s="564">
        <v>978</v>
      </c>
      <c r="B643" s="669" t="s">
        <v>1125</v>
      </c>
      <c r="C643" s="669" t="s">
        <v>15</v>
      </c>
      <c r="D643" s="650">
        <v>110107</v>
      </c>
      <c r="E643" s="651" t="s">
        <v>1321</v>
      </c>
      <c r="F643" s="652" t="s">
        <v>58</v>
      </c>
      <c r="G643" s="652" t="s">
        <v>18</v>
      </c>
      <c r="H643" s="652" t="s">
        <v>26</v>
      </c>
      <c r="I643" s="580" t="s">
        <v>1362</v>
      </c>
      <c r="J643" s="580">
        <v>1</v>
      </c>
      <c r="K643" s="652" t="s">
        <v>85</v>
      </c>
      <c r="L643" s="680">
        <v>44227</v>
      </c>
      <c r="M643" s="670" t="s">
        <v>906</v>
      </c>
      <c r="N643" s="652" t="s">
        <v>14</v>
      </c>
      <c r="O643" s="580"/>
      <c r="P643" s="571" t="str">
        <f>VLOOKUP(A643,'[1]Raw data'!$B:$BB,23,FALSE)</f>
        <v>JPY</v>
      </c>
      <c r="Q643" s="568" t="str">
        <f>VLOOKUP(A643,'[1]Raw data'!$B:$Z,2,FALSE)</f>
        <v>C49SZX20200229JY</v>
      </c>
      <c r="R643" s="568" t="str">
        <f>VLOOKUP(A643,'[1]Raw data'!$B:$Z,3,FALSE)</f>
        <v>豫龙辉</v>
      </c>
      <c r="S643" s="568" t="str">
        <f>VLOOKUP(A643,'[1]Raw data'!$B:$Z,4,FALSE)</f>
        <v>YSM20R-2</v>
      </c>
      <c r="T643" s="568" t="str">
        <f>VLOOKUP(A643,'[1]Raw data'!$B:$Z,8,FALSE)</f>
        <v>R-&gt;L</v>
      </c>
      <c r="U643" s="568" t="str">
        <f>VLOOKUP(A643,'[1]Raw data'!$B:$Z,9,FALSE)</f>
        <v>No</v>
      </c>
      <c r="V643" s="572" t="str">
        <f t="shared" si="93"/>
        <v>OK</v>
      </c>
      <c r="W643" s="568" t="str">
        <f>VLOOKUP(A643,'[1]Raw data'!$B:$AG,32,FALSE)</f>
        <v>DAP SZ</v>
      </c>
      <c r="X643" s="568">
        <f>VLOOKUP(A643,'[1]Raw data'!$B:$BA,31,FALSE)</f>
        <v>44161</v>
      </c>
      <c r="Y643" s="568" t="str">
        <f>VLOOKUP(A643,'[1]Raw data'!$B:$AS,39,FALSE)</f>
        <v>Yes</v>
      </c>
      <c r="Z643" s="664"/>
      <c r="AA643" s="665"/>
      <c r="AB643" s="666"/>
      <c r="AC643" s="652" t="s">
        <v>1363</v>
      </c>
      <c r="AD643" s="667">
        <v>301</v>
      </c>
      <c r="AE643" s="667">
        <v>10</v>
      </c>
      <c r="AF643" s="667">
        <v>312</v>
      </c>
      <c r="AG643" s="667">
        <v>10</v>
      </c>
      <c r="AH643" s="667"/>
      <c r="AI643" s="668"/>
      <c r="AN643" s="547"/>
      <c r="AO643" s="829" t="str">
        <f t="shared" ref="AO643:AO706" si="95">IFERROR(IF(Y643&lt;&gt;"",Y643,"No"),"No")</f>
        <v>Yes</v>
      </c>
      <c r="AP643" s="259" t="str">
        <f t="shared" ref="AP643:AP706" si="96">IFERROR(IF(N643&lt;&gt;"",N643,"blank"),"NA")</f>
        <v>FEB 21</v>
      </c>
      <c r="AQ643" s="547" t="str">
        <f t="shared" ref="AQ643:AQ706" si="97">IFERROR(IF(AND(AO643="Yes", AP643&lt;&gt;"blank"), "有定金+有預留客戶", IF(AND(AO643="Yes", AP643="blank"), "有定金+无客戶送貨期", IF(AND(OR(AO643="No", ISBLANK(AO643), AO643="NA"), AP643&lt;&gt;"blank"), "无定金+有預留客戶", IF(AND(OR(AO643="No", ISBLANK(AO643), AO643="NA"), AP643="blank"), "无定金+无預留客戶", "")))), "")</f>
        <v>有定金+有預留客戶</v>
      </c>
      <c r="AR643" s="259" t="str">
        <f t="shared" ref="AR643:AR706" si="98">IFERROR(IF(B643="已经到货", "Instock", IF(B643="有交期", "Incoming_Stock_With_YAMAHA_Schedule", IF(B643="TBA.", "Incoming_Stock_No_YAMAHA_Schedule", IF(B643="已发货", "Shipped_Stock", "")))), "")</f>
        <v>Shipped_Stock</v>
      </c>
      <c r="AS643" s="259" t="str">
        <f t="shared" ref="AS643:AS706" si="99">IF(AND(B643="有交期", L643&lt;&gt;""), L643, "")</f>
        <v/>
      </c>
      <c r="AT643" s="259" t="str">
        <f t="shared" ref="AT643:AT706" si="100">IFERROR(IF(R643&lt;&gt;"",R643),"-")</f>
        <v>豫龙辉</v>
      </c>
      <c r="AU643" s="259" t="str">
        <f t="shared" ref="AU643:AU706" si="101">IFERROR(IF(Q643&lt;&gt;"",Q643),"-")</f>
        <v>C49SZX20200229JY</v>
      </c>
      <c r="AV643" s="259" t="str">
        <f t="shared" ref="AV643:AV706" si="102">IF(L643="","-",TEXT(L643,"mmm-dd"))</f>
        <v>Jan-31</v>
      </c>
    </row>
    <row r="644" spans="1:48" hidden="1">
      <c r="A644" s="564">
        <v>947</v>
      </c>
      <c r="B644" s="669" t="s">
        <v>1125</v>
      </c>
      <c r="C644" s="669" t="s">
        <v>15</v>
      </c>
      <c r="D644" s="650" t="s">
        <v>1364</v>
      </c>
      <c r="E644" s="651" t="s">
        <v>1321</v>
      </c>
      <c r="F644" s="652" t="s">
        <v>58</v>
      </c>
      <c r="G644" s="652" t="s">
        <v>24</v>
      </c>
      <c r="H644" s="652" t="s">
        <v>26</v>
      </c>
      <c r="I644" s="580" t="s">
        <v>1365</v>
      </c>
      <c r="J644" s="667">
        <v>1</v>
      </c>
      <c r="K644" s="652" t="s">
        <v>437</v>
      </c>
      <c r="L644" s="680">
        <v>44227</v>
      </c>
      <c r="M644" s="670">
        <v>6.3799999999999996E-2</v>
      </c>
      <c r="N644" s="652" t="s">
        <v>1127</v>
      </c>
      <c r="O644" s="580"/>
      <c r="P644" s="571" t="str">
        <f>VLOOKUP(A644,'[1]Raw data'!$B:$BB,23,FALSE)</f>
        <v>JPY</v>
      </c>
      <c r="Q644" s="568" t="str">
        <f>VLOOKUP(A644,'[1]Raw data'!$B:$Z,2,FALSE)</f>
        <v>C49SZX20200213MX</v>
      </c>
      <c r="R644" s="568" t="str">
        <f>VLOOKUP(A644,'[1]Raw data'!$B:$Z,3,FALSE)</f>
        <v>音品（End user:厚朴）</v>
      </c>
      <c r="S644" s="568" t="str">
        <f>VLOOKUP(A644,'[1]Raw data'!$B:$Z,4,FALSE)</f>
        <v>YSM20R-2</v>
      </c>
      <c r="T644" s="568" t="str">
        <f>VLOOKUP(A644,'[1]Raw data'!$B:$Z,8,FALSE)</f>
        <v>L-&gt;R</v>
      </c>
      <c r="U644" s="568" t="str">
        <f>VLOOKUP(A644,'[1]Raw data'!$B:$Z,9,FALSE)</f>
        <v>No</v>
      </c>
      <c r="V644" s="572" t="str">
        <f t="shared" si="93"/>
        <v>OK</v>
      </c>
      <c r="W644" s="568" t="str">
        <f>VLOOKUP(A644,'[1]Raw data'!$B:$AG,32,FALSE)</f>
        <v>DAP SZ</v>
      </c>
      <c r="X644" s="568">
        <f>VLOOKUP(A644,'[1]Raw data'!$B:$BA,31,FALSE)</f>
        <v>44153</v>
      </c>
      <c r="Y644" s="568" t="str">
        <f>VLOOKUP(A644,'[1]Raw data'!$B:$AS,39,FALSE)</f>
        <v>Yes</v>
      </c>
      <c r="Z644" s="664"/>
      <c r="AA644" s="665"/>
      <c r="AB644" s="666"/>
      <c r="AC644" s="652" t="s">
        <v>1333</v>
      </c>
      <c r="AD644" s="667">
        <v>301</v>
      </c>
      <c r="AE644" s="667">
        <v>10</v>
      </c>
      <c r="AF644" s="667">
        <v>311</v>
      </c>
      <c r="AG644" s="667">
        <v>10</v>
      </c>
      <c r="AH644" s="667"/>
      <c r="AI644" s="668"/>
      <c r="AN644" s="547"/>
      <c r="AO644" s="829" t="str">
        <f t="shared" si="95"/>
        <v>Yes</v>
      </c>
      <c r="AP644" s="259" t="str">
        <f t="shared" si="96"/>
        <v>JAN 21</v>
      </c>
      <c r="AQ644" s="547" t="str">
        <f t="shared" si="97"/>
        <v>有定金+有預留客戶</v>
      </c>
      <c r="AR644" s="259" t="str">
        <f t="shared" si="98"/>
        <v>Shipped_Stock</v>
      </c>
      <c r="AS644" s="259" t="str">
        <f t="shared" si="99"/>
        <v/>
      </c>
      <c r="AT644" s="259" t="str">
        <f t="shared" si="100"/>
        <v>音品（End user:厚朴）</v>
      </c>
      <c r="AU644" s="259" t="str">
        <f t="shared" si="101"/>
        <v>C49SZX20200213MX</v>
      </c>
      <c r="AV644" s="259" t="str">
        <f t="shared" si="102"/>
        <v>Jan-31</v>
      </c>
    </row>
    <row r="645" spans="1:48" hidden="1">
      <c r="A645" s="564">
        <v>1109</v>
      </c>
      <c r="B645" s="669" t="s">
        <v>1125</v>
      </c>
      <c r="C645" s="669" t="s">
        <v>15</v>
      </c>
      <c r="D645" s="650" t="s">
        <v>1364</v>
      </c>
      <c r="E645" s="651" t="s">
        <v>1321</v>
      </c>
      <c r="F645" s="652" t="s">
        <v>58</v>
      </c>
      <c r="G645" s="652" t="s">
        <v>24</v>
      </c>
      <c r="H645" s="652" t="s">
        <v>26</v>
      </c>
      <c r="I645" s="580" t="s">
        <v>1366</v>
      </c>
      <c r="J645" s="580">
        <v>1</v>
      </c>
      <c r="K645" s="652" t="s">
        <v>437</v>
      </c>
      <c r="L645" s="680">
        <v>44227</v>
      </c>
      <c r="M645" s="670">
        <v>6.3799999999999996E-2</v>
      </c>
      <c r="N645" s="652" t="s">
        <v>28</v>
      </c>
      <c r="O645" s="580"/>
      <c r="P645" s="670" t="str">
        <f>VLOOKUP(A645,'[1]Raw data'!$B:$BA,23,FALSE)</f>
        <v>JPY</v>
      </c>
      <c r="Q645" s="652" t="str">
        <f>VLOOKUP(A645,'[1]Raw data'!$B:$Z,2,FALSE)</f>
        <v>C49SZX20210037SX</v>
      </c>
      <c r="R645" s="652" t="str">
        <f>VLOOKUP(A645,'[1]Raw data'!$B:$Z,3,FALSE)</f>
        <v>模鑫</v>
      </c>
      <c r="S645" s="652" t="str">
        <f>VLOOKUP(A645,'[1]Raw data'!$B:$Z,4,FALSE)</f>
        <v>YSM20R-2</v>
      </c>
      <c r="T645" s="652" t="str">
        <f>VLOOKUP(A645,'[1]Raw data'!$B:$Z,8,FALSE)</f>
        <v>L-&gt;R</v>
      </c>
      <c r="U645" s="652" t="str">
        <f>VLOOKUP(A645,'[1]Raw data'!$B:$Z,9,FALSE)</f>
        <v>No</v>
      </c>
      <c r="V645" s="572" t="str">
        <f t="shared" si="93"/>
        <v>OK</v>
      </c>
      <c r="W645" s="568" t="str">
        <f>VLOOKUP(A645,'[1]Raw data'!$B:$AG,32,FALSE)</f>
        <v>DAP SZ</v>
      </c>
      <c r="X645" s="652">
        <f>VLOOKUP(A645,'[1]Raw data'!$B:$BA,31,FALSE)</f>
        <v>44228</v>
      </c>
      <c r="Y645" s="652" t="str">
        <f>VLOOKUP(A645,'[1]Raw data'!$B:$AS,39,FALSE)</f>
        <v>Yes</v>
      </c>
      <c r="Z645" s="671"/>
      <c r="AA645" s="672"/>
      <c r="AB645" s="673"/>
      <c r="AC645" s="652" t="s">
        <v>1367</v>
      </c>
      <c r="AD645" s="667">
        <v>301</v>
      </c>
      <c r="AE645" s="667">
        <v>10</v>
      </c>
      <c r="AF645" s="667">
        <v>311</v>
      </c>
      <c r="AG645" s="667">
        <v>10</v>
      </c>
      <c r="AH645" s="667"/>
      <c r="AI645" s="668"/>
      <c r="AN645" s="547"/>
      <c r="AO645" s="829" t="str">
        <f t="shared" si="95"/>
        <v>Yes</v>
      </c>
      <c r="AP645" s="259" t="str">
        <f t="shared" si="96"/>
        <v>MAR 21</v>
      </c>
      <c r="AQ645" s="547" t="str">
        <f t="shared" si="97"/>
        <v>有定金+有預留客戶</v>
      </c>
      <c r="AR645" s="259" t="str">
        <f t="shared" si="98"/>
        <v>Shipped_Stock</v>
      </c>
      <c r="AS645" s="259" t="str">
        <f t="shared" si="99"/>
        <v/>
      </c>
      <c r="AT645" s="259" t="str">
        <f t="shared" si="100"/>
        <v>模鑫</v>
      </c>
      <c r="AU645" s="259" t="str">
        <f t="shared" si="101"/>
        <v>C49SZX20210037SX</v>
      </c>
      <c r="AV645" s="259" t="str">
        <f t="shared" si="102"/>
        <v>Jan-31</v>
      </c>
    </row>
    <row r="646" spans="1:48" hidden="1">
      <c r="A646" s="604">
        <v>911</v>
      </c>
      <c r="B646" s="669" t="s">
        <v>1125</v>
      </c>
      <c r="C646" s="669" t="s">
        <v>15</v>
      </c>
      <c r="D646" s="650">
        <v>110199</v>
      </c>
      <c r="E646" s="568" t="s">
        <v>886</v>
      </c>
      <c r="F646" s="652" t="s">
        <v>241</v>
      </c>
      <c r="G646" s="652" t="s">
        <v>18</v>
      </c>
      <c r="H646" s="652" t="s">
        <v>26</v>
      </c>
      <c r="I646" s="580" t="s">
        <v>1368</v>
      </c>
      <c r="J646" s="580">
        <v>1</v>
      </c>
      <c r="K646" s="652" t="s">
        <v>437</v>
      </c>
      <c r="L646" s="680">
        <v>44221</v>
      </c>
      <c r="M646" s="670" t="s">
        <v>906</v>
      </c>
      <c r="N646" s="652" t="s">
        <v>1127</v>
      </c>
      <c r="O646" s="580"/>
      <c r="P646" s="571" t="str">
        <f>VLOOKUP(A646,'[1]Raw data'!$B:$BB,23,FALSE)</f>
        <v>JPY</v>
      </c>
      <c r="Q646" s="568" t="str">
        <f>VLOOKUP(A646,'[1]Raw data'!$B:$Z,2,FALSE)</f>
        <v>C49SZX20200207MZ</v>
      </c>
      <c r="R646" s="568" t="str">
        <f>VLOOKUP(A646,'[1]Raw data'!$B:$Z,3,FALSE)</f>
        <v>崧盛</v>
      </c>
      <c r="S646" s="568" t="str">
        <f>VLOOKUP(A646,'[1]Raw data'!$B:$Z,4,FALSE)</f>
        <v>YSM10</v>
      </c>
      <c r="T646" s="568" t="str">
        <f>VLOOKUP(A646,'[1]Raw data'!$B:$Z,8,FALSE)</f>
        <v>L-&gt;R</v>
      </c>
      <c r="U646" s="568" t="str">
        <f>VLOOKUP(A646,'[1]Raw data'!$B:$Z,9,FALSE)</f>
        <v>No</v>
      </c>
      <c r="V646" s="572" t="str">
        <f t="shared" si="93"/>
        <v>WRONG</v>
      </c>
      <c r="W646" s="568" t="str">
        <f>VLOOKUP(A646,'[1]Raw data'!$B:$AG,32,FALSE)</f>
        <v>CIF HK</v>
      </c>
      <c r="X646" s="568">
        <f>VLOOKUP(A646,'[1]Raw data'!$B:$BA,31,FALSE)</f>
        <v>44139</v>
      </c>
      <c r="Y646" s="568" t="str">
        <f>VLOOKUP(A646,'[1]Raw data'!$B:$AS,39,FALSE)</f>
        <v>Yes</v>
      </c>
      <c r="Z646" s="664"/>
      <c r="AA646" s="665"/>
      <c r="AB646" s="666"/>
      <c r="AC646" s="652" t="s">
        <v>1369</v>
      </c>
      <c r="AD646" s="580">
        <v>302</v>
      </c>
      <c r="AE646" s="580">
        <v>10</v>
      </c>
      <c r="AF646" s="580"/>
      <c r="AG646" s="580"/>
      <c r="AH646" s="580"/>
      <c r="AI646" s="684"/>
      <c r="AJ646" s="569"/>
      <c r="AK646" s="569"/>
      <c r="AL646" s="569"/>
      <c r="AM646" s="569"/>
      <c r="AN646" s="619"/>
      <c r="AO646" s="829" t="str">
        <f t="shared" si="95"/>
        <v>Yes</v>
      </c>
      <c r="AP646" s="259" t="str">
        <f t="shared" si="96"/>
        <v>JAN 21</v>
      </c>
      <c r="AQ646" s="547" t="str">
        <f t="shared" si="97"/>
        <v>有定金+有預留客戶</v>
      </c>
      <c r="AR646" s="259" t="str">
        <f t="shared" si="98"/>
        <v>Shipped_Stock</v>
      </c>
      <c r="AS646" s="259" t="str">
        <f t="shared" si="99"/>
        <v/>
      </c>
      <c r="AT646" s="259" t="str">
        <f t="shared" si="100"/>
        <v>崧盛</v>
      </c>
      <c r="AU646" s="259" t="str">
        <f t="shared" si="101"/>
        <v>C49SZX20200207MZ</v>
      </c>
      <c r="AV646" s="259" t="str">
        <f t="shared" si="102"/>
        <v>Jan-25</v>
      </c>
    </row>
    <row r="647" spans="1:48" hidden="1">
      <c r="A647" s="604">
        <v>910</v>
      </c>
      <c r="B647" s="669" t="s">
        <v>1125</v>
      </c>
      <c r="C647" s="669" t="s">
        <v>15</v>
      </c>
      <c r="D647" s="650">
        <v>110199</v>
      </c>
      <c r="E647" s="568" t="s">
        <v>886</v>
      </c>
      <c r="F647" s="652" t="s">
        <v>241</v>
      </c>
      <c r="G647" s="652" t="s">
        <v>18</v>
      </c>
      <c r="H647" s="652" t="s">
        <v>26</v>
      </c>
      <c r="I647" s="580" t="s">
        <v>1370</v>
      </c>
      <c r="J647" s="580">
        <v>1</v>
      </c>
      <c r="K647" s="652" t="s">
        <v>437</v>
      </c>
      <c r="L647" s="680">
        <v>44221</v>
      </c>
      <c r="M647" s="670" t="s">
        <v>906</v>
      </c>
      <c r="N647" s="652" t="s">
        <v>1127</v>
      </c>
      <c r="O647" s="580"/>
      <c r="P647" s="571" t="str">
        <f>VLOOKUP(A647,'[1]Raw data'!$B:$BB,23,FALSE)</f>
        <v>JPY</v>
      </c>
      <c r="Q647" s="568" t="str">
        <f>VLOOKUP(A647,'[1]Raw data'!$B:$Z,2,FALSE)</f>
        <v>C49SZX20200207MZ</v>
      </c>
      <c r="R647" s="568" t="str">
        <f>VLOOKUP(A647,'[1]Raw data'!$B:$Z,3,FALSE)</f>
        <v>崧盛</v>
      </c>
      <c r="S647" s="568" t="str">
        <f>VLOOKUP(A647,'[1]Raw data'!$B:$Z,4,FALSE)</f>
        <v>YSM10</v>
      </c>
      <c r="T647" s="568" t="str">
        <f>VLOOKUP(A647,'[1]Raw data'!$B:$Z,8,FALSE)</f>
        <v>L-&gt;R</v>
      </c>
      <c r="U647" s="568" t="str">
        <f>VLOOKUP(A647,'[1]Raw data'!$B:$Z,9,FALSE)</f>
        <v>No</v>
      </c>
      <c r="V647" s="572" t="str">
        <f t="shared" si="93"/>
        <v>WRONG</v>
      </c>
      <c r="W647" s="568" t="str">
        <f>VLOOKUP(A647,'[1]Raw data'!$B:$AG,32,FALSE)</f>
        <v>CIF HK</v>
      </c>
      <c r="X647" s="568">
        <f>VLOOKUP(A647,'[1]Raw data'!$B:$BA,31,FALSE)</f>
        <v>44139</v>
      </c>
      <c r="Y647" s="568" t="str">
        <f>VLOOKUP(A647,'[1]Raw data'!$B:$AS,39,FALSE)</f>
        <v>Yes</v>
      </c>
      <c r="Z647" s="664"/>
      <c r="AA647" s="665"/>
      <c r="AB647" s="666"/>
      <c r="AC647" s="652" t="s">
        <v>1369</v>
      </c>
      <c r="AD647" s="580">
        <v>302</v>
      </c>
      <c r="AE647" s="580">
        <v>10</v>
      </c>
      <c r="AF647" s="580"/>
      <c r="AG647" s="580"/>
      <c r="AH647" s="580"/>
      <c r="AI647" s="684"/>
      <c r="AJ647" s="569"/>
      <c r="AK647" s="569"/>
      <c r="AL647" s="569"/>
      <c r="AM647" s="569"/>
      <c r="AN647" s="619"/>
      <c r="AO647" s="829" t="str">
        <f t="shared" si="95"/>
        <v>Yes</v>
      </c>
      <c r="AP647" s="259" t="str">
        <f t="shared" si="96"/>
        <v>JAN 21</v>
      </c>
      <c r="AQ647" s="547" t="str">
        <f t="shared" si="97"/>
        <v>有定金+有預留客戶</v>
      </c>
      <c r="AR647" s="259" t="str">
        <f t="shared" si="98"/>
        <v>Shipped_Stock</v>
      </c>
      <c r="AS647" s="259" t="str">
        <f t="shared" si="99"/>
        <v/>
      </c>
      <c r="AT647" s="259" t="str">
        <f t="shared" si="100"/>
        <v>崧盛</v>
      </c>
      <c r="AU647" s="259" t="str">
        <f t="shared" si="101"/>
        <v>C49SZX20200207MZ</v>
      </c>
      <c r="AV647" s="259" t="str">
        <f t="shared" si="102"/>
        <v>Jan-25</v>
      </c>
    </row>
    <row r="648" spans="1:48" hidden="1">
      <c r="A648" s="564">
        <v>1065</v>
      </c>
      <c r="B648" s="669" t="s">
        <v>1125</v>
      </c>
      <c r="C648" s="669" t="s">
        <v>15</v>
      </c>
      <c r="D648" s="650">
        <v>110199</v>
      </c>
      <c r="E648" s="568" t="s">
        <v>886</v>
      </c>
      <c r="F648" s="652" t="s">
        <v>241</v>
      </c>
      <c r="G648" s="652" t="s">
        <v>18</v>
      </c>
      <c r="H648" s="652" t="s">
        <v>26</v>
      </c>
      <c r="I648" s="580" t="s">
        <v>1371</v>
      </c>
      <c r="J648" s="667">
        <v>1</v>
      </c>
      <c r="K648" s="652" t="s">
        <v>437</v>
      </c>
      <c r="L648" s="680">
        <v>44221</v>
      </c>
      <c r="M648" s="670" t="s">
        <v>906</v>
      </c>
      <c r="N648" s="652" t="s">
        <v>1127</v>
      </c>
      <c r="O648" s="580"/>
      <c r="P648" s="571" t="str">
        <f>VLOOKUP(A648,'[1]Raw data'!$B:$BB,23,FALSE)</f>
        <v>JPY</v>
      </c>
      <c r="Q648" s="568" t="str">
        <f>VLOOKUP(A648,'[1]Raw data'!$B:$Z,2,FALSE)</f>
        <v>C49SZX20210012SX</v>
      </c>
      <c r="R648" s="568" t="str">
        <f>VLOOKUP(A648,'[1]Raw data'!$B:$Z,3,FALSE)</f>
        <v>赛朗斯</v>
      </c>
      <c r="S648" s="568" t="str">
        <f>VLOOKUP(A648,'[1]Raw data'!$B:$Z,4,FALSE)</f>
        <v>YSM10</v>
      </c>
      <c r="T648" s="568" t="str">
        <f>VLOOKUP(A648,'[1]Raw data'!$B:$Z,8,FALSE)</f>
        <v>L-&gt;R</v>
      </c>
      <c r="U648" s="568" t="str">
        <f>VLOOKUP(A648,'[1]Raw data'!$B:$Z,9,FALSE)</f>
        <v>MVC</v>
      </c>
      <c r="V648" s="572" t="str">
        <f t="shared" si="93"/>
        <v>WRONG</v>
      </c>
      <c r="W648" s="568" t="str">
        <f>VLOOKUP(A648,'[1]Raw data'!$B:$AG,32,FALSE)</f>
        <v>DAP FS</v>
      </c>
      <c r="X648" s="568">
        <f>VLOOKUP(A648,'[1]Raw data'!$B:$BA,31,FALSE)</f>
        <v>44207</v>
      </c>
      <c r="Y648" s="568" t="str">
        <f>VLOOKUP(A648,'[1]Raw data'!$B:$AS,39,FALSE)</f>
        <v>Yes</v>
      </c>
      <c r="Z648" s="664"/>
      <c r="AA648" s="665"/>
      <c r="AB648" s="666"/>
      <c r="AC648" s="652" t="s">
        <v>1372</v>
      </c>
      <c r="AD648" s="667">
        <v>302</v>
      </c>
      <c r="AE648" s="667">
        <v>10</v>
      </c>
      <c r="AF648" s="667"/>
      <c r="AG648" s="667"/>
      <c r="AH648" s="667"/>
      <c r="AI648" s="668"/>
      <c r="AN648" s="547"/>
      <c r="AO648" s="829" t="str">
        <f t="shared" si="95"/>
        <v>Yes</v>
      </c>
      <c r="AP648" s="259" t="str">
        <f t="shared" si="96"/>
        <v>JAN 21</v>
      </c>
      <c r="AQ648" s="547" t="str">
        <f t="shared" si="97"/>
        <v>有定金+有預留客戶</v>
      </c>
      <c r="AR648" s="259" t="str">
        <f t="shared" si="98"/>
        <v>Shipped_Stock</v>
      </c>
      <c r="AS648" s="259" t="str">
        <f t="shared" si="99"/>
        <v/>
      </c>
      <c r="AT648" s="259" t="str">
        <f t="shared" si="100"/>
        <v>赛朗斯</v>
      </c>
      <c r="AU648" s="259" t="str">
        <f t="shared" si="101"/>
        <v>C49SZX20210012SX</v>
      </c>
      <c r="AV648" s="259" t="str">
        <f t="shared" si="102"/>
        <v>Jan-25</v>
      </c>
    </row>
    <row r="649" spans="1:48" hidden="1">
      <c r="A649" s="564">
        <v>917</v>
      </c>
      <c r="B649" s="669" t="s">
        <v>1125</v>
      </c>
      <c r="C649" s="669" t="s">
        <v>15</v>
      </c>
      <c r="D649" s="650">
        <v>110199</v>
      </c>
      <c r="E649" s="568" t="s">
        <v>886</v>
      </c>
      <c r="F649" s="652" t="s">
        <v>241</v>
      </c>
      <c r="G649" s="652" t="s">
        <v>18</v>
      </c>
      <c r="H649" s="652" t="s">
        <v>26</v>
      </c>
      <c r="I649" s="580" t="s">
        <v>1373</v>
      </c>
      <c r="J649" s="667">
        <v>1</v>
      </c>
      <c r="K649" s="652" t="s">
        <v>437</v>
      </c>
      <c r="L649" s="680">
        <v>44221</v>
      </c>
      <c r="M649" s="670" t="s">
        <v>906</v>
      </c>
      <c r="N649" s="652" t="s">
        <v>1127</v>
      </c>
      <c r="O649" s="580"/>
      <c r="P649" s="571" t="str">
        <f>VLOOKUP(A649,'[1]Raw data'!$B:$BB,23,FALSE)</f>
        <v>JPY</v>
      </c>
      <c r="Q649" s="568" t="str">
        <f>VLOOKUP(A649,'[1]Raw data'!$B:$Z,2,FALSE)</f>
        <v>C49SZX20200192SS</v>
      </c>
      <c r="R649" s="568" t="str">
        <f>VLOOKUP(A649,'[1]Raw data'!$B:$Z,3,FALSE)</f>
        <v>合进高</v>
      </c>
      <c r="S649" s="568" t="str">
        <f>VLOOKUP(A649,'[1]Raw data'!$B:$Z,4,FALSE)</f>
        <v>YSM10</v>
      </c>
      <c r="T649" s="568" t="str">
        <f>VLOOKUP(A649,'[1]Raw data'!$B:$Z,8,FALSE)</f>
        <v>L-&gt;R</v>
      </c>
      <c r="U649" s="568" t="str">
        <f>VLOOKUP(A649,'[1]Raw data'!$B:$Z,9,FALSE)</f>
        <v>MVC</v>
      </c>
      <c r="V649" s="572" t="str">
        <f t="shared" si="93"/>
        <v>WRONG</v>
      </c>
      <c r="W649" s="568" t="str">
        <f>VLOOKUP(A649,'[1]Raw data'!$B:$AG,32,FALSE)</f>
        <v>CIF HK</v>
      </c>
      <c r="X649" s="568">
        <f>VLOOKUP(A649,'[1]Raw data'!$B:$BA,31,FALSE)</f>
        <v>44124</v>
      </c>
      <c r="Y649" s="568" t="str">
        <f>VLOOKUP(A649,'[1]Raw data'!$B:$AS,39,FALSE)</f>
        <v>Yes</v>
      </c>
      <c r="Z649" s="664"/>
      <c r="AA649" s="665"/>
      <c r="AB649" s="666"/>
      <c r="AC649" s="652" t="s">
        <v>1374</v>
      </c>
      <c r="AD649" s="667">
        <v>301</v>
      </c>
      <c r="AE649" s="667">
        <v>10</v>
      </c>
      <c r="AF649" s="667"/>
      <c r="AG649" s="667"/>
      <c r="AH649" s="667"/>
      <c r="AI649" s="668"/>
      <c r="AN649" s="547"/>
      <c r="AO649" s="829" t="str">
        <f t="shared" si="95"/>
        <v>Yes</v>
      </c>
      <c r="AP649" s="259" t="str">
        <f t="shared" si="96"/>
        <v>JAN 21</v>
      </c>
      <c r="AQ649" s="547" t="str">
        <f t="shared" si="97"/>
        <v>有定金+有預留客戶</v>
      </c>
      <c r="AR649" s="259" t="str">
        <f t="shared" si="98"/>
        <v>Shipped_Stock</v>
      </c>
      <c r="AS649" s="259" t="str">
        <f t="shared" si="99"/>
        <v/>
      </c>
      <c r="AT649" s="259" t="str">
        <f t="shared" si="100"/>
        <v>合进高</v>
      </c>
      <c r="AU649" s="259" t="str">
        <f t="shared" si="101"/>
        <v>C49SZX20200192SS</v>
      </c>
      <c r="AV649" s="259" t="str">
        <f t="shared" si="102"/>
        <v>Jan-25</v>
      </c>
    </row>
    <row r="650" spans="1:48" hidden="1">
      <c r="A650" s="564">
        <v>918</v>
      </c>
      <c r="B650" s="669" t="s">
        <v>1125</v>
      </c>
      <c r="C650" s="669" t="s">
        <v>15</v>
      </c>
      <c r="D650" s="650">
        <v>110199</v>
      </c>
      <c r="E650" s="568" t="s">
        <v>886</v>
      </c>
      <c r="F650" s="652" t="s">
        <v>241</v>
      </c>
      <c r="G650" s="652" t="s">
        <v>18</v>
      </c>
      <c r="H650" s="652" t="s">
        <v>26</v>
      </c>
      <c r="I650" s="580" t="s">
        <v>1375</v>
      </c>
      <c r="J650" s="667">
        <v>1</v>
      </c>
      <c r="K650" s="652" t="s">
        <v>437</v>
      </c>
      <c r="L650" s="680">
        <v>44221</v>
      </c>
      <c r="M650" s="670" t="s">
        <v>906</v>
      </c>
      <c r="N650" s="652" t="s">
        <v>1127</v>
      </c>
      <c r="O650" s="580"/>
      <c r="P650" s="571" t="str">
        <f>VLOOKUP(A650,'[1]Raw data'!$B:$BB,23,FALSE)</f>
        <v>JPY</v>
      </c>
      <c r="Q650" s="568" t="str">
        <f>VLOOKUP(A650,'[1]Raw data'!$B:$Z,2,FALSE)</f>
        <v>C49SZX20200192SS</v>
      </c>
      <c r="R650" s="568" t="str">
        <f>VLOOKUP(A650,'[1]Raw data'!$B:$Z,3,FALSE)</f>
        <v>合进高</v>
      </c>
      <c r="S650" s="568" t="str">
        <f>VLOOKUP(A650,'[1]Raw data'!$B:$Z,4,FALSE)</f>
        <v>YSM10</v>
      </c>
      <c r="T650" s="568" t="str">
        <f>VLOOKUP(A650,'[1]Raw data'!$B:$Z,8,FALSE)</f>
        <v>L-&gt;R</v>
      </c>
      <c r="U650" s="568" t="str">
        <f>VLOOKUP(A650,'[1]Raw data'!$B:$Z,9,FALSE)</f>
        <v>MVC</v>
      </c>
      <c r="V650" s="572" t="str">
        <f t="shared" si="93"/>
        <v>WRONG</v>
      </c>
      <c r="W650" s="568" t="str">
        <f>VLOOKUP(A650,'[1]Raw data'!$B:$AG,32,FALSE)</f>
        <v>CIF HK</v>
      </c>
      <c r="X650" s="568">
        <f>VLOOKUP(A650,'[1]Raw data'!$B:$BA,31,FALSE)</f>
        <v>44124</v>
      </c>
      <c r="Y650" s="568" t="str">
        <f>VLOOKUP(A650,'[1]Raw data'!$B:$AS,39,FALSE)</f>
        <v>Yes</v>
      </c>
      <c r="Z650" s="664"/>
      <c r="AA650" s="665"/>
      <c r="AB650" s="666"/>
      <c r="AC650" s="652" t="s">
        <v>1374</v>
      </c>
      <c r="AD650" s="667">
        <v>301</v>
      </c>
      <c r="AE650" s="667">
        <v>10</v>
      </c>
      <c r="AF650" s="667"/>
      <c r="AG650" s="667"/>
      <c r="AH650" s="667"/>
      <c r="AI650" s="668"/>
      <c r="AN650" s="547"/>
      <c r="AO650" s="829" t="str">
        <f t="shared" si="95"/>
        <v>Yes</v>
      </c>
      <c r="AP650" s="259" t="str">
        <f t="shared" si="96"/>
        <v>JAN 21</v>
      </c>
      <c r="AQ650" s="547" t="str">
        <f t="shared" si="97"/>
        <v>有定金+有預留客戶</v>
      </c>
      <c r="AR650" s="259" t="str">
        <f t="shared" si="98"/>
        <v>Shipped_Stock</v>
      </c>
      <c r="AS650" s="259" t="str">
        <f t="shared" si="99"/>
        <v/>
      </c>
      <c r="AT650" s="259" t="str">
        <f t="shared" si="100"/>
        <v>合进高</v>
      </c>
      <c r="AU650" s="259" t="str">
        <f t="shared" si="101"/>
        <v>C49SZX20200192SS</v>
      </c>
      <c r="AV650" s="259" t="str">
        <f t="shared" si="102"/>
        <v>Jan-25</v>
      </c>
    </row>
    <row r="651" spans="1:48" hidden="1">
      <c r="A651" s="564">
        <v>940</v>
      </c>
      <c r="B651" s="669" t="s">
        <v>1125</v>
      </c>
      <c r="C651" s="568" t="s">
        <v>15</v>
      </c>
      <c r="D651" s="650">
        <v>110201</v>
      </c>
      <c r="E651" s="568" t="s">
        <v>886</v>
      </c>
      <c r="F651" s="652" t="s">
        <v>241</v>
      </c>
      <c r="G651" s="652" t="s">
        <v>18</v>
      </c>
      <c r="H651" s="652" t="s">
        <v>26</v>
      </c>
      <c r="I651" s="580" t="s">
        <v>1376</v>
      </c>
      <c r="J651" s="667">
        <v>1</v>
      </c>
      <c r="K651" s="652" t="s">
        <v>81</v>
      </c>
      <c r="L651" s="680">
        <v>44221</v>
      </c>
      <c r="M651" s="670" t="s">
        <v>906</v>
      </c>
      <c r="N651" s="652" t="s">
        <v>1127</v>
      </c>
      <c r="O651" s="580"/>
      <c r="P651" s="571" t="str">
        <f>VLOOKUP(A651,'[1]Raw data'!$B:$BB,23,FALSE)</f>
        <v>JPY</v>
      </c>
      <c r="Q651" s="568" t="str">
        <f>VLOOKUP(A651,'[1]Raw data'!$B:$Z,2,FALSE)</f>
        <v>C49SZX20200222SS</v>
      </c>
      <c r="R651" s="568" t="str">
        <f>VLOOKUP(A651,'[1]Raw data'!$B:$Z,3,FALSE)</f>
        <v>盈通恒翼</v>
      </c>
      <c r="S651" s="568" t="str">
        <f>VLOOKUP(A651,'[1]Raw data'!$B:$Z,4,FALSE)</f>
        <v>YSM10</v>
      </c>
      <c r="T651" s="568" t="str">
        <f>VLOOKUP(A651,'[1]Raw data'!$B:$Z,8,FALSE)</f>
        <v>L-&gt;R</v>
      </c>
      <c r="U651" s="568" t="str">
        <f>VLOOKUP(A651,'[1]Raw data'!$B:$Z,9,FALSE)</f>
        <v>MVC</v>
      </c>
      <c r="V651" s="572" t="str">
        <f t="shared" si="93"/>
        <v>WRONG</v>
      </c>
      <c r="W651" s="568" t="str">
        <f>VLOOKUP(A651,'[1]Raw data'!$B:$AG,32,FALSE)</f>
        <v>DAP SZ</v>
      </c>
      <c r="X651" s="568">
        <f>VLOOKUP(A651,'[1]Raw data'!$B:$BA,31,FALSE)</f>
        <v>44153</v>
      </c>
      <c r="Y651" s="568" t="str">
        <f>VLOOKUP(A651,'[1]Raw data'!$B:$AS,39,FALSE)</f>
        <v>Yes</v>
      </c>
      <c r="Z651" s="664"/>
      <c r="AA651" s="665"/>
      <c r="AB651" s="666"/>
      <c r="AC651" s="652" t="s">
        <v>1377</v>
      </c>
      <c r="AD651" s="667">
        <v>312</v>
      </c>
      <c r="AE651" s="667">
        <v>10</v>
      </c>
      <c r="AF651" s="667"/>
      <c r="AG651" s="667"/>
      <c r="AH651" s="667"/>
      <c r="AI651" s="668"/>
      <c r="AN651" s="547"/>
      <c r="AO651" s="829" t="str">
        <f t="shared" si="95"/>
        <v>Yes</v>
      </c>
      <c r="AP651" s="259" t="str">
        <f t="shared" si="96"/>
        <v>JAN 21</v>
      </c>
      <c r="AQ651" s="547" t="str">
        <f t="shared" si="97"/>
        <v>有定金+有預留客戶</v>
      </c>
      <c r="AR651" s="259" t="str">
        <f t="shared" si="98"/>
        <v>Shipped_Stock</v>
      </c>
      <c r="AS651" s="259" t="str">
        <f t="shared" si="99"/>
        <v/>
      </c>
      <c r="AT651" s="259" t="str">
        <f t="shared" si="100"/>
        <v>盈通恒翼</v>
      </c>
      <c r="AU651" s="259" t="str">
        <f t="shared" si="101"/>
        <v>C49SZX20200222SS</v>
      </c>
      <c r="AV651" s="259" t="str">
        <f t="shared" si="102"/>
        <v>Jan-25</v>
      </c>
    </row>
    <row r="652" spans="1:48" hidden="1">
      <c r="A652" s="564">
        <v>797</v>
      </c>
      <c r="B652" s="669" t="s">
        <v>280</v>
      </c>
      <c r="C652" s="568" t="s">
        <v>4056</v>
      </c>
      <c r="D652" s="650">
        <v>110064</v>
      </c>
      <c r="E652" s="568" t="s">
        <v>886</v>
      </c>
      <c r="F652" s="652" t="s">
        <v>1378</v>
      </c>
      <c r="G652" s="652" t="s">
        <v>283</v>
      </c>
      <c r="H652" s="652" t="s">
        <v>26</v>
      </c>
      <c r="I652" s="580">
        <v>6818</v>
      </c>
      <c r="J652" s="580">
        <v>1</v>
      </c>
      <c r="K652" s="652"/>
      <c r="L652" s="662">
        <v>44079</v>
      </c>
      <c r="M652" s="670">
        <v>7.8</v>
      </c>
      <c r="N652" s="652" t="s">
        <v>918</v>
      </c>
      <c r="O652" s="652"/>
      <c r="P652" s="571" t="str">
        <f>VLOOKUP(A652,'[1]Raw data'!$B:$BB,23,FALSE)</f>
        <v>RMB</v>
      </c>
      <c r="Q652" s="568" t="str">
        <f>VLOOKUP(A652,'[1]Raw data'!$B:$Z,2,FALSE)</f>
        <v>SOLMT2061001</v>
      </c>
      <c r="R652" s="568" t="str">
        <f>VLOOKUP(A652,'[1]Raw data'!$B:$Z,3,FALSE)</f>
        <v>力拔</v>
      </c>
      <c r="S652" s="568" t="str">
        <f>VLOOKUP(A652,'[1]Raw data'!$B:$Z,4,FALSE)</f>
        <v>SolderStar-Lite 6</v>
      </c>
      <c r="T652" s="568" t="str">
        <f>VLOOKUP(A652,'[1]Raw data'!$B:$Z,8,FALSE)</f>
        <v>No</v>
      </c>
      <c r="U652" s="568" t="str">
        <f>VLOOKUP(A652,'[1]Raw data'!$B:$Z,9,FALSE)</f>
        <v>No</v>
      </c>
      <c r="V652" s="572" t="str">
        <f t="shared" si="93"/>
        <v>OK</v>
      </c>
      <c r="W652" s="568" t="str">
        <f>VLOOKUP(A652,'[1]Raw data'!$B:$AG,32,FALSE)</f>
        <v>含税到厂</v>
      </c>
      <c r="X652" s="568">
        <f>VLOOKUP(A652,'[1]Raw data'!$B:$BA,31,FALSE)</f>
        <v>44069</v>
      </c>
      <c r="Y652" s="568" t="str">
        <f>VLOOKUP(A652,'[1]Raw data'!$B:$AS,39,FALSE)</f>
        <v>No</v>
      </c>
      <c r="Z652" s="664"/>
      <c r="AA652" s="665"/>
      <c r="AB652" s="666"/>
      <c r="AC652" s="652" t="s">
        <v>1241</v>
      </c>
      <c r="AD652" s="667"/>
      <c r="AE652" s="667"/>
      <c r="AF652" s="667"/>
      <c r="AG652" s="667"/>
      <c r="AH652" s="667"/>
      <c r="AI652" s="668"/>
      <c r="AN652" s="547"/>
      <c r="AO652" s="829" t="str">
        <f t="shared" si="95"/>
        <v>No</v>
      </c>
      <c r="AP652" s="259" t="str">
        <f t="shared" si="96"/>
        <v>SEP 20</v>
      </c>
      <c r="AQ652" s="547" t="str">
        <f t="shared" si="97"/>
        <v>无定金+有預留客戶</v>
      </c>
      <c r="AR652" s="259" t="str">
        <f t="shared" si="98"/>
        <v>Shipped_Stock</v>
      </c>
      <c r="AS652" s="259" t="str">
        <f t="shared" si="99"/>
        <v/>
      </c>
      <c r="AT652" s="259" t="str">
        <f t="shared" si="100"/>
        <v>力拔</v>
      </c>
      <c r="AU652" s="259" t="str">
        <f t="shared" si="101"/>
        <v>SOLMT2061001</v>
      </c>
      <c r="AV652" s="259" t="str">
        <f t="shared" si="102"/>
        <v>Sep-05</v>
      </c>
    </row>
    <row r="653" spans="1:48" hidden="1">
      <c r="B653" s="669" t="s">
        <v>280</v>
      </c>
      <c r="C653" s="568" t="s">
        <v>4056</v>
      </c>
      <c r="D653" s="650">
        <v>110064</v>
      </c>
      <c r="E653" s="568" t="s">
        <v>886</v>
      </c>
      <c r="F653" s="652" t="s">
        <v>1378</v>
      </c>
      <c r="G653" s="652" t="s">
        <v>283</v>
      </c>
      <c r="H653" s="652" t="s">
        <v>26</v>
      </c>
      <c r="I653" s="580">
        <v>6819</v>
      </c>
      <c r="J653" s="580">
        <v>1</v>
      </c>
      <c r="K653" s="652"/>
      <c r="L653" s="662">
        <v>44079</v>
      </c>
      <c r="M653" s="670">
        <v>7.8</v>
      </c>
      <c r="N653" s="652"/>
      <c r="O653" s="652"/>
      <c r="P653" s="571" t="e">
        <f>VLOOKUP(A653,'[1]Raw data'!$B:$BB,23,FALSE)</f>
        <v>#N/A</v>
      </c>
      <c r="Q653" s="568" t="e">
        <f>VLOOKUP(A653,'[1]Raw data'!$B:$Z,2,FALSE)</f>
        <v>#N/A</v>
      </c>
      <c r="R653" s="568" t="e">
        <f>VLOOKUP(A653,'[1]Raw data'!$B:$Z,3,FALSE)</f>
        <v>#N/A</v>
      </c>
      <c r="S653" s="568" t="e">
        <f>VLOOKUP(A653,'[1]Raw data'!$B:$Z,4,FALSE)</f>
        <v>#N/A</v>
      </c>
      <c r="T653" s="568" t="e">
        <f>VLOOKUP(A653,'[1]Raw data'!$B:$Z,8,FALSE)</f>
        <v>#N/A</v>
      </c>
      <c r="U653" s="568" t="e">
        <f>VLOOKUP(A653,'[1]Raw data'!$B:$Z,9,FALSE)</f>
        <v>#N/A</v>
      </c>
      <c r="V653" s="572" t="e">
        <f t="shared" si="93"/>
        <v>#N/A</v>
      </c>
      <c r="W653" s="568" t="e">
        <f>VLOOKUP(A653,'[1]Raw data'!$B:$AG,32,FALSE)</f>
        <v>#N/A</v>
      </c>
      <c r="X653" s="568" t="e">
        <f>VLOOKUP(A653,'[1]Raw data'!$B:$BA,31,FALSE)</f>
        <v>#N/A</v>
      </c>
      <c r="Y653" s="568" t="e">
        <f>VLOOKUP(A653,'[1]Raw data'!$B:$AS,39,FALSE)</f>
        <v>#N/A</v>
      </c>
      <c r="Z653" s="664"/>
      <c r="AA653" s="665"/>
      <c r="AB653" s="666"/>
      <c r="AC653" s="652" t="s">
        <v>1241</v>
      </c>
      <c r="AD653" s="667"/>
      <c r="AE653" s="667"/>
      <c r="AF653" s="667"/>
      <c r="AG653" s="667"/>
      <c r="AH653" s="667"/>
      <c r="AI653" s="668"/>
      <c r="AN653" s="547"/>
      <c r="AO653" s="829" t="str">
        <f t="shared" si="95"/>
        <v>No</v>
      </c>
      <c r="AP653" s="259" t="str">
        <f t="shared" si="96"/>
        <v>blank</v>
      </c>
      <c r="AQ653" s="547" t="str">
        <f t="shared" si="97"/>
        <v>无定金+无預留客戶</v>
      </c>
      <c r="AR653" s="259" t="str">
        <f t="shared" si="98"/>
        <v>Shipped_Stock</v>
      </c>
      <c r="AS653" s="259" t="str">
        <f t="shared" si="99"/>
        <v/>
      </c>
      <c r="AT653" s="259" t="str">
        <f t="shared" si="100"/>
        <v>-</v>
      </c>
      <c r="AU653" s="259" t="str">
        <f t="shared" si="101"/>
        <v>-</v>
      </c>
      <c r="AV653" s="259" t="str">
        <f t="shared" si="102"/>
        <v>Sep-05</v>
      </c>
    </row>
    <row r="654" spans="1:48" hidden="1">
      <c r="B654" s="669" t="s">
        <v>280</v>
      </c>
      <c r="C654" s="568" t="s">
        <v>4056</v>
      </c>
      <c r="D654" s="650">
        <v>110064</v>
      </c>
      <c r="E654" s="568" t="s">
        <v>886</v>
      </c>
      <c r="F654" s="652" t="s">
        <v>1378</v>
      </c>
      <c r="G654" s="652" t="s">
        <v>283</v>
      </c>
      <c r="H654" s="652" t="s">
        <v>26</v>
      </c>
      <c r="I654" s="580">
        <v>6820</v>
      </c>
      <c r="J654" s="580">
        <v>1</v>
      </c>
      <c r="K654" s="652" t="s">
        <v>496</v>
      </c>
      <c r="L654" s="662">
        <v>44079</v>
      </c>
      <c r="M654" s="670">
        <v>7.8</v>
      </c>
      <c r="N654" s="652" t="s">
        <v>918</v>
      </c>
      <c r="O654" s="652"/>
      <c r="P654" s="571" t="e">
        <f>VLOOKUP(A654,'[1]Raw data'!$B:$BB,23,FALSE)</f>
        <v>#N/A</v>
      </c>
      <c r="Q654" s="568" t="e">
        <f>VLOOKUP(A654,'[1]Raw data'!$B:$Z,2,FALSE)</f>
        <v>#N/A</v>
      </c>
      <c r="R654" s="568" t="e">
        <f>VLOOKUP(A654,'[1]Raw data'!$B:$Z,3,FALSE)</f>
        <v>#N/A</v>
      </c>
      <c r="S654" s="568" t="e">
        <f>VLOOKUP(A654,'[1]Raw data'!$B:$Z,4,FALSE)</f>
        <v>#N/A</v>
      </c>
      <c r="T654" s="568" t="e">
        <f>VLOOKUP(A654,'[1]Raw data'!$B:$Z,8,FALSE)</f>
        <v>#N/A</v>
      </c>
      <c r="U654" s="568" t="e">
        <f>VLOOKUP(A654,'[1]Raw data'!$B:$Z,9,FALSE)</f>
        <v>#N/A</v>
      </c>
      <c r="V654" s="572" t="e">
        <f t="shared" si="93"/>
        <v>#N/A</v>
      </c>
      <c r="W654" s="568" t="e">
        <f>VLOOKUP(A654,'[1]Raw data'!$B:$AG,32,FALSE)</f>
        <v>#N/A</v>
      </c>
      <c r="X654" s="568" t="e">
        <f>VLOOKUP(A654,'[1]Raw data'!$B:$BA,31,FALSE)</f>
        <v>#N/A</v>
      </c>
      <c r="Y654" s="568" t="e">
        <f>VLOOKUP(A654,'[1]Raw data'!$B:$AS,39,FALSE)</f>
        <v>#N/A</v>
      </c>
      <c r="Z654" s="664"/>
      <c r="AA654" s="665"/>
      <c r="AB654" s="666"/>
      <c r="AC654" s="652" t="s">
        <v>1241</v>
      </c>
      <c r="AD654" s="667"/>
      <c r="AE654" s="667"/>
      <c r="AF654" s="667"/>
      <c r="AG654" s="667"/>
      <c r="AH654" s="667"/>
      <c r="AI654" s="668"/>
      <c r="AN654" s="547"/>
      <c r="AO654" s="829" t="str">
        <f t="shared" si="95"/>
        <v>No</v>
      </c>
      <c r="AP654" s="259" t="str">
        <f t="shared" si="96"/>
        <v>SEP 20</v>
      </c>
      <c r="AQ654" s="547" t="str">
        <f t="shared" si="97"/>
        <v>无定金+有預留客戶</v>
      </c>
      <c r="AR654" s="259" t="str">
        <f t="shared" si="98"/>
        <v>Shipped_Stock</v>
      </c>
      <c r="AS654" s="259" t="str">
        <f t="shared" si="99"/>
        <v/>
      </c>
      <c r="AT654" s="259" t="str">
        <f t="shared" si="100"/>
        <v>-</v>
      </c>
      <c r="AU654" s="259" t="str">
        <f t="shared" si="101"/>
        <v>-</v>
      </c>
      <c r="AV654" s="259" t="str">
        <f t="shared" si="102"/>
        <v>Sep-05</v>
      </c>
    </row>
    <row r="655" spans="1:48" hidden="1">
      <c r="A655" s="604" t="s">
        <v>1379</v>
      </c>
      <c r="B655" s="669" t="s">
        <v>280</v>
      </c>
      <c r="C655" s="568" t="s">
        <v>4056</v>
      </c>
      <c r="D655" s="650">
        <v>110064</v>
      </c>
      <c r="E655" s="568" t="s">
        <v>886</v>
      </c>
      <c r="F655" s="652" t="s">
        <v>1378</v>
      </c>
      <c r="G655" s="652" t="s">
        <v>283</v>
      </c>
      <c r="H655" s="652" t="s">
        <v>26</v>
      </c>
      <c r="I655" s="580">
        <v>6821</v>
      </c>
      <c r="J655" s="667">
        <v>1</v>
      </c>
      <c r="K655" s="652"/>
      <c r="L655" s="662">
        <v>44079</v>
      </c>
      <c r="M655" s="670">
        <v>7.8</v>
      </c>
      <c r="N655" s="652"/>
      <c r="O655" s="580"/>
      <c r="P655" s="571" t="s">
        <v>1246</v>
      </c>
      <c r="Q655" s="729" t="s">
        <v>1380</v>
      </c>
      <c r="R655" s="568" t="e">
        <f>VLOOKUP(A655,'[1]Raw data'!$B:$Z,3,FALSE)</f>
        <v>#N/A</v>
      </c>
      <c r="S655" s="568" t="e">
        <f>VLOOKUP(A655,'[1]Raw data'!$B:$Z,4,FALSE)</f>
        <v>#N/A</v>
      </c>
      <c r="T655" s="568" t="e">
        <f>VLOOKUP(A655,'[1]Raw data'!$B:$Z,8,FALSE)</f>
        <v>#N/A</v>
      </c>
      <c r="U655" s="568" t="e">
        <f>VLOOKUP(A655,'[1]Raw data'!$B:$Z,9,FALSE)</f>
        <v>#N/A</v>
      </c>
      <c r="V655" s="572" t="e">
        <f t="shared" si="93"/>
        <v>#N/A</v>
      </c>
      <c r="W655" s="568" t="e">
        <f>VLOOKUP(A655,'[1]Raw data'!$B:$AG,32,FALSE)</f>
        <v>#N/A</v>
      </c>
      <c r="X655" s="568" t="e">
        <f>VLOOKUP(A655,'[1]Raw data'!$B:$BA,31,FALSE)</f>
        <v>#N/A</v>
      </c>
      <c r="Y655" s="568" t="e">
        <f>VLOOKUP(A655,'[1]Raw data'!$B:$AS,39,FALSE)</f>
        <v>#N/A</v>
      </c>
      <c r="Z655" s="664"/>
      <c r="AA655" s="665"/>
      <c r="AB655" s="666"/>
      <c r="AC655" s="652" t="s">
        <v>1241</v>
      </c>
      <c r="AD655" s="580"/>
      <c r="AE655" s="580"/>
      <c r="AF655" s="580"/>
      <c r="AG655" s="580"/>
      <c r="AH655" s="580"/>
      <c r="AI655" s="684"/>
      <c r="AJ655" s="569"/>
      <c r="AK655" s="569"/>
      <c r="AL655" s="569"/>
      <c r="AM655" s="569"/>
      <c r="AN655" s="619"/>
      <c r="AO655" s="829" t="str">
        <f t="shared" si="95"/>
        <v>No</v>
      </c>
      <c r="AP655" s="259" t="str">
        <f t="shared" si="96"/>
        <v>blank</v>
      </c>
      <c r="AQ655" s="547" t="str">
        <f t="shared" si="97"/>
        <v>无定金+无預留客戶</v>
      </c>
      <c r="AR655" s="259" t="str">
        <f t="shared" si="98"/>
        <v>Shipped_Stock</v>
      </c>
      <c r="AS655" s="259" t="str">
        <f t="shared" si="99"/>
        <v/>
      </c>
      <c r="AT655" s="259" t="str">
        <f t="shared" si="100"/>
        <v>-</v>
      </c>
      <c r="AU655" s="259" t="str">
        <f t="shared" si="101"/>
        <v>力丰</v>
      </c>
      <c r="AV655" s="259" t="str">
        <f t="shared" si="102"/>
        <v>Sep-05</v>
      </c>
    </row>
    <row r="656" spans="1:48" hidden="1">
      <c r="B656" s="669" t="s">
        <v>1125</v>
      </c>
      <c r="C656" s="568" t="s">
        <v>4056</v>
      </c>
      <c r="D656" s="650">
        <v>110064</v>
      </c>
      <c r="E656" s="568" t="s">
        <v>886</v>
      </c>
      <c r="F656" s="652" t="s">
        <v>1378</v>
      </c>
      <c r="G656" s="652" t="s">
        <v>283</v>
      </c>
      <c r="H656" s="652" t="s">
        <v>26</v>
      </c>
      <c r="I656" s="580">
        <v>6822</v>
      </c>
      <c r="J656" s="580">
        <v>1</v>
      </c>
      <c r="K656" s="652" t="s">
        <v>1381</v>
      </c>
      <c r="L656" s="680">
        <v>44079</v>
      </c>
      <c r="M656" s="670">
        <v>7.8</v>
      </c>
      <c r="N656" s="652"/>
      <c r="O656" s="580"/>
      <c r="P656" s="670" t="s">
        <v>1246</v>
      </c>
      <c r="Q656" s="730" t="s">
        <v>1382</v>
      </c>
      <c r="R656" s="652" t="e">
        <f>VLOOKUP(A656,'[1]Raw data'!$B:$Z,3,FALSE)</f>
        <v>#N/A</v>
      </c>
      <c r="S656" s="652" t="e">
        <f>VLOOKUP(A656,'[1]Raw data'!$B:$Z,4,FALSE)</f>
        <v>#N/A</v>
      </c>
      <c r="T656" s="652" t="e">
        <f>VLOOKUP(A656,'[1]Raw data'!$B:$Z,8,FALSE)</f>
        <v>#N/A</v>
      </c>
      <c r="U656" s="652" t="e">
        <f>VLOOKUP(A656,'[1]Raw data'!$B:$Z,9,FALSE)</f>
        <v>#N/A</v>
      </c>
      <c r="V656" s="572" t="e">
        <f t="shared" si="93"/>
        <v>#N/A</v>
      </c>
      <c r="W656" s="568" t="e">
        <f>VLOOKUP(A656,'[1]Raw data'!$B:$AG,32,FALSE)</f>
        <v>#N/A</v>
      </c>
      <c r="X656" s="652" t="e">
        <f>VLOOKUP(A656,'[1]Raw data'!$B:$BA,31,FALSE)</f>
        <v>#N/A</v>
      </c>
      <c r="Y656" s="652" t="e">
        <f>VLOOKUP(A656,'[1]Raw data'!$B:$AS,39,FALSE)</f>
        <v>#N/A</v>
      </c>
      <c r="Z656" s="664"/>
      <c r="AA656" s="665"/>
      <c r="AB656" s="666"/>
      <c r="AC656" s="652" t="s">
        <v>1241</v>
      </c>
      <c r="AD656" s="667"/>
      <c r="AE656" s="667"/>
      <c r="AF656" s="667"/>
      <c r="AG656" s="667"/>
      <c r="AH656" s="667"/>
      <c r="AI656" s="668"/>
      <c r="AN656" s="547"/>
      <c r="AO656" s="829" t="str">
        <f t="shared" si="95"/>
        <v>No</v>
      </c>
      <c r="AP656" s="259" t="str">
        <f t="shared" si="96"/>
        <v>blank</v>
      </c>
      <c r="AQ656" s="547" t="str">
        <f t="shared" si="97"/>
        <v>无定金+无預留客戶</v>
      </c>
      <c r="AR656" s="259" t="str">
        <f t="shared" si="98"/>
        <v>Shipped_Stock</v>
      </c>
      <c r="AS656" s="259" t="str">
        <f t="shared" si="99"/>
        <v/>
      </c>
      <c r="AT656" s="259" t="str">
        <f t="shared" si="100"/>
        <v>-</v>
      </c>
      <c r="AU656" s="259" t="str">
        <f t="shared" si="101"/>
        <v>上海客户</v>
      </c>
      <c r="AV656" s="259" t="str">
        <f t="shared" si="102"/>
        <v>Sep-05</v>
      </c>
    </row>
    <row r="657" spans="1:48" hidden="1">
      <c r="A657" s="564">
        <v>942</v>
      </c>
      <c r="B657" s="669" t="s">
        <v>1125</v>
      </c>
      <c r="C657" s="669" t="s">
        <v>15</v>
      </c>
      <c r="D657" s="650">
        <v>110096</v>
      </c>
      <c r="E657" s="651" t="s">
        <v>1300</v>
      </c>
      <c r="F657" s="652" t="s">
        <v>241</v>
      </c>
      <c r="G657" s="652" t="s">
        <v>18</v>
      </c>
      <c r="H657" s="652" t="s">
        <v>26</v>
      </c>
      <c r="I657" s="580" t="s">
        <v>1383</v>
      </c>
      <c r="J657" s="667">
        <v>1</v>
      </c>
      <c r="K657" s="652" t="s">
        <v>81</v>
      </c>
      <c r="L657" s="680">
        <v>44221</v>
      </c>
      <c r="M657" s="670" t="s">
        <v>906</v>
      </c>
      <c r="N657" s="652" t="s">
        <v>1127</v>
      </c>
      <c r="O657" s="580"/>
      <c r="P657" s="571" t="str">
        <f>VLOOKUP(A657,'[1]Raw data'!$B:$BB,23,FALSE)</f>
        <v>JPY</v>
      </c>
      <c r="Q657" s="568" t="str">
        <f>VLOOKUP(A657,'[1]Raw data'!$B:$Z,2,FALSE)</f>
        <v>C49SZX20200222SS</v>
      </c>
      <c r="R657" s="568" t="str">
        <f>VLOOKUP(A657,'[1]Raw data'!$B:$Z,3,FALSE)</f>
        <v>盈通恒翼</v>
      </c>
      <c r="S657" s="568" t="str">
        <f>VLOOKUP(A657,'[1]Raw data'!$B:$Z,4,FALSE)</f>
        <v>YSM10</v>
      </c>
      <c r="T657" s="568" t="str">
        <f>VLOOKUP(A657,'[1]Raw data'!$B:$Z,8,FALSE)</f>
        <v>R-&gt;L</v>
      </c>
      <c r="U657" s="568" t="str">
        <f>VLOOKUP(A657,'[1]Raw data'!$B:$Z,9,FALSE)</f>
        <v>No</v>
      </c>
      <c r="V657" s="572" t="str">
        <f t="shared" si="93"/>
        <v>OK</v>
      </c>
      <c r="W657" s="568" t="str">
        <f>VLOOKUP(A657,'[1]Raw data'!$B:$AG,32,FALSE)</f>
        <v>DAP SZ</v>
      </c>
      <c r="X657" s="568">
        <f>VLOOKUP(A657,'[1]Raw data'!$B:$BA,31,FALSE)</f>
        <v>44153</v>
      </c>
      <c r="Y657" s="568" t="str">
        <f>VLOOKUP(A657,'[1]Raw data'!$B:$AS,39,FALSE)</f>
        <v>Yes</v>
      </c>
      <c r="Z657" s="664"/>
      <c r="AA657" s="665"/>
      <c r="AB657" s="666"/>
      <c r="AC657" s="652" t="s">
        <v>1377</v>
      </c>
      <c r="AD657" s="667">
        <v>302</v>
      </c>
      <c r="AE657" s="667">
        <v>10</v>
      </c>
      <c r="AF657" s="667"/>
      <c r="AG657" s="667"/>
      <c r="AH657" s="667"/>
      <c r="AI657" s="668"/>
      <c r="AN657" s="547"/>
      <c r="AO657" s="829" t="str">
        <f t="shared" si="95"/>
        <v>Yes</v>
      </c>
      <c r="AP657" s="259" t="str">
        <f t="shared" si="96"/>
        <v>JAN 21</v>
      </c>
      <c r="AQ657" s="547" t="str">
        <f t="shared" si="97"/>
        <v>有定金+有預留客戶</v>
      </c>
      <c r="AR657" s="259" t="str">
        <f t="shared" si="98"/>
        <v>Shipped_Stock</v>
      </c>
      <c r="AS657" s="259" t="str">
        <f t="shared" si="99"/>
        <v/>
      </c>
      <c r="AT657" s="259" t="str">
        <f t="shared" si="100"/>
        <v>盈通恒翼</v>
      </c>
      <c r="AU657" s="259" t="str">
        <f t="shared" si="101"/>
        <v>C49SZX20200222SS</v>
      </c>
      <c r="AV657" s="259" t="str">
        <f t="shared" si="102"/>
        <v>Jan-25</v>
      </c>
    </row>
    <row r="658" spans="1:48" hidden="1">
      <c r="A658" s="564">
        <v>1114</v>
      </c>
      <c r="B658" s="669" t="s">
        <v>1125</v>
      </c>
      <c r="C658" s="669" t="s">
        <v>15</v>
      </c>
      <c r="D658" s="650" t="s">
        <v>1384</v>
      </c>
      <c r="E658" s="651" t="s">
        <v>1300</v>
      </c>
      <c r="F658" s="652" t="s">
        <v>241</v>
      </c>
      <c r="G658" s="652" t="s">
        <v>18</v>
      </c>
      <c r="H658" s="652" t="s">
        <v>26</v>
      </c>
      <c r="I658" s="580" t="s">
        <v>1385</v>
      </c>
      <c r="J658" s="580">
        <v>1</v>
      </c>
      <c r="K658" s="652" t="s">
        <v>85</v>
      </c>
      <c r="L658" s="680">
        <v>44221</v>
      </c>
      <c r="M658" s="670">
        <v>6.3100000000000003E-2</v>
      </c>
      <c r="N658" s="652" t="s">
        <v>14</v>
      </c>
      <c r="O658" s="580"/>
      <c r="P658" s="571" t="str">
        <f>VLOOKUP(A658,'[1]Raw data'!$B:$BB,23,FALSE)</f>
        <v>JPY</v>
      </c>
      <c r="Q658" s="568" t="str">
        <f>VLOOKUP(A658,'[1]Raw data'!$B:$Z,2,FALSE)</f>
        <v>C49SZX20210032JL</v>
      </c>
      <c r="R658" s="568" t="str">
        <f>VLOOKUP(A658,'[1]Raw data'!$B:$Z,3,FALSE)</f>
        <v>捷舜诚</v>
      </c>
      <c r="S658" s="568" t="str">
        <f>VLOOKUP(A658,'[1]Raw data'!$B:$Z,4,FALSE)</f>
        <v>YSM10</v>
      </c>
      <c r="T658" s="568" t="str">
        <f>VLOOKUP(A658,'[1]Raw data'!$B:$Z,8,FALSE)</f>
        <v>L-&gt;R</v>
      </c>
      <c r="U658" s="568" t="str">
        <f>VLOOKUP(A658,'[1]Raw data'!$B:$Z,9,FALSE)</f>
        <v>MVC</v>
      </c>
      <c r="V658" s="572" t="str">
        <f t="shared" si="93"/>
        <v>WRONG</v>
      </c>
      <c r="W658" s="568" t="str">
        <f>VLOOKUP(A658,'[1]Raw data'!$B:$AG,32,FALSE)</f>
        <v>DAP SZ</v>
      </c>
      <c r="X658" s="568">
        <f>VLOOKUP(A658,'[1]Raw data'!$B:$BA,31,FALSE)</f>
        <v>44225</v>
      </c>
      <c r="Y658" s="568" t="str">
        <f>VLOOKUP(A658,'[1]Raw data'!$B:$AS,39,FALSE)</f>
        <v>Yes</v>
      </c>
      <c r="Z658" s="664"/>
      <c r="AA658" s="665"/>
      <c r="AB658" s="666"/>
      <c r="AC658" s="652" t="s">
        <v>1150</v>
      </c>
      <c r="AD658" s="667">
        <v>311</v>
      </c>
      <c r="AE658" s="667">
        <v>10</v>
      </c>
      <c r="AF658" s="667"/>
      <c r="AG658" s="667"/>
      <c r="AH658" s="667"/>
      <c r="AI658" s="668"/>
      <c r="AN658" s="547"/>
      <c r="AO658" s="829" t="str">
        <f t="shared" si="95"/>
        <v>Yes</v>
      </c>
      <c r="AP658" s="259" t="str">
        <f t="shared" si="96"/>
        <v>FEB 21</v>
      </c>
      <c r="AQ658" s="547" t="str">
        <f t="shared" si="97"/>
        <v>有定金+有預留客戶</v>
      </c>
      <c r="AR658" s="259" t="str">
        <f t="shared" si="98"/>
        <v>Shipped_Stock</v>
      </c>
      <c r="AS658" s="259" t="str">
        <f t="shared" si="99"/>
        <v/>
      </c>
      <c r="AT658" s="259" t="str">
        <f t="shared" si="100"/>
        <v>捷舜诚</v>
      </c>
      <c r="AU658" s="259" t="str">
        <f t="shared" si="101"/>
        <v>C49SZX20210032JL</v>
      </c>
      <c r="AV658" s="259" t="str">
        <f t="shared" si="102"/>
        <v>Jan-25</v>
      </c>
    </row>
    <row r="659" spans="1:48" hidden="1">
      <c r="A659" s="564">
        <v>916</v>
      </c>
      <c r="B659" s="669" t="s">
        <v>1125</v>
      </c>
      <c r="C659" s="669" t="s">
        <v>15</v>
      </c>
      <c r="D659" s="650">
        <v>110096</v>
      </c>
      <c r="E659" s="651" t="s">
        <v>1300</v>
      </c>
      <c r="F659" s="652" t="s">
        <v>241</v>
      </c>
      <c r="G659" s="652" t="s">
        <v>18</v>
      </c>
      <c r="H659" s="652" t="s">
        <v>34</v>
      </c>
      <c r="I659" s="580" t="s">
        <v>1386</v>
      </c>
      <c r="J659" s="667">
        <v>1</v>
      </c>
      <c r="K659" s="652" t="s">
        <v>81</v>
      </c>
      <c r="L659" s="680">
        <v>44221</v>
      </c>
      <c r="M659" s="670" t="s">
        <v>906</v>
      </c>
      <c r="N659" s="652" t="s">
        <v>1127</v>
      </c>
      <c r="O659" s="580"/>
      <c r="P659" s="571" t="str">
        <f>VLOOKUP(A659,'[1]Raw data'!$B:$BB,23,FALSE)</f>
        <v>JPY</v>
      </c>
      <c r="Q659" s="568" t="str">
        <f>VLOOKUP(A659,'[1]Raw data'!$B:$Z,2,FALSE)</f>
        <v>C49SZX20200192SS</v>
      </c>
      <c r="R659" s="568" t="str">
        <f>VLOOKUP(A659,'[1]Raw data'!$B:$Z,3,FALSE)</f>
        <v>合进高</v>
      </c>
      <c r="S659" s="568" t="str">
        <f>VLOOKUP(A659,'[1]Raw data'!$B:$Z,4,FALSE)</f>
        <v>YSM10</v>
      </c>
      <c r="T659" s="568" t="str">
        <f>VLOOKUP(A659,'[1]Raw data'!$B:$Z,8,FALSE)</f>
        <v>L-&gt;R</v>
      </c>
      <c r="U659" s="568" t="str">
        <f>VLOOKUP(A659,'[1]Raw data'!$B:$Z,9,FALSE)</f>
        <v>MVC+ATS15</v>
      </c>
      <c r="V659" s="572" t="str">
        <f t="shared" si="93"/>
        <v>WRONG</v>
      </c>
      <c r="W659" s="568" t="str">
        <f>VLOOKUP(A659,'[1]Raw data'!$B:$AG,32,FALSE)</f>
        <v>CIF HK</v>
      </c>
      <c r="X659" s="568">
        <f>VLOOKUP(A659,'[1]Raw data'!$B:$BA,31,FALSE)</f>
        <v>44124</v>
      </c>
      <c r="Y659" s="568" t="str">
        <f>VLOOKUP(A659,'[1]Raw data'!$B:$AS,39,FALSE)</f>
        <v>Yes</v>
      </c>
      <c r="Z659" s="664"/>
      <c r="AA659" s="665"/>
      <c r="AB659" s="666"/>
      <c r="AC659" s="652" t="s">
        <v>1387</v>
      </c>
      <c r="AD659" s="667">
        <v>312</v>
      </c>
      <c r="AE659" s="667">
        <v>10</v>
      </c>
      <c r="AF659" s="667"/>
      <c r="AG659" s="667"/>
      <c r="AH659" s="667"/>
      <c r="AI659" s="668"/>
      <c r="AN659" s="547"/>
      <c r="AO659" s="829" t="str">
        <f t="shared" si="95"/>
        <v>Yes</v>
      </c>
      <c r="AP659" s="259" t="str">
        <f t="shared" si="96"/>
        <v>JAN 21</v>
      </c>
      <c r="AQ659" s="547" t="str">
        <f t="shared" si="97"/>
        <v>有定金+有預留客戶</v>
      </c>
      <c r="AR659" s="259" t="str">
        <f t="shared" si="98"/>
        <v>Shipped_Stock</v>
      </c>
      <c r="AS659" s="259" t="str">
        <f t="shared" si="99"/>
        <v/>
      </c>
      <c r="AT659" s="259" t="str">
        <f t="shared" si="100"/>
        <v>合进高</v>
      </c>
      <c r="AU659" s="259" t="str">
        <f t="shared" si="101"/>
        <v>C49SZX20200192SS</v>
      </c>
      <c r="AV659" s="259" t="str">
        <f t="shared" si="102"/>
        <v>Jan-25</v>
      </c>
    </row>
    <row r="660" spans="1:48" hidden="1">
      <c r="A660" s="564">
        <v>1049</v>
      </c>
      <c r="B660" s="669" t="s">
        <v>1125</v>
      </c>
      <c r="C660" s="669" t="s">
        <v>15</v>
      </c>
      <c r="D660" s="650">
        <v>110096</v>
      </c>
      <c r="E660" s="651" t="s">
        <v>1300</v>
      </c>
      <c r="F660" s="652" t="s">
        <v>241</v>
      </c>
      <c r="G660" s="652" t="s">
        <v>18</v>
      </c>
      <c r="H660" s="652" t="s">
        <v>34</v>
      </c>
      <c r="I660" s="580" t="s">
        <v>1388</v>
      </c>
      <c r="J660" s="580">
        <v>1</v>
      </c>
      <c r="K660" s="652" t="s">
        <v>81</v>
      </c>
      <c r="L660" s="680">
        <v>44221</v>
      </c>
      <c r="M660" s="670" t="s">
        <v>906</v>
      </c>
      <c r="N660" s="652" t="s">
        <v>90</v>
      </c>
      <c r="O660" s="580"/>
      <c r="P660" s="670" t="str">
        <f>VLOOKUP(A660,'[1]Raw data'!$B:$BA,23,FALSE)</f>
        <v>JPY</v>
      </c>
      <c r="Q660" s="652" t="str">
        <f>VLOOKUP(A660,'[1]Raw data'!$B:$Z,2,FALSE)</f>
        <v>C49SZX20200257JY</v>
      </c>
      <c r="R660" s="652" t="str">
        <f>VLOOKUP(A660,'[1]Raw data'!$B:$Z,3,FALSE)</f>
        <v>精德鸿</v>
      </c>
      <c r="S660" s="652" t="str">
        <f>VLOOKUP(A660,'[1]Raw data'!$B:$Z,4,FALSE)</f>
        <v>YSM10</v>
      </c>
      <c r="T660" s="652" t="str">
        <f>VLOOKUP(A660,'[1]Raw data'!$B:$Z,8,FALSE)</f>
        <v>L-&gt;R</v>
      </c>
      <c r="U660" s="652" t="str">
        <f>VLOOKUP(A660,'[1]Raw data'!$B:$Z,9,FALSE)</f>
        <v>MVC+ATS15</v>
      </c>
      <c r="V660" s="572" t="str">
        <f t="shared" si="93"/>
        <v>WRONG</v>
      </c>
      <c r="W660" s="568" t="str">
        <f>VLOOKUP(A660,'[1]Raw data'!$B:$AG,32,FALSE)</f>
        <v>DAP SZ</v>
      </c>
      <c r="X660" s="652">
        <f>VLOOKUP(A660,'[1]Raw data'!$B:$BA,31,FALSE)</f>
        <v>44193</v>
      </c>
      <c r="Y660" s="652" t="str">
        <f>VLOOKUP(A660,'[1]Raw data'!$B:$AS,39,FALSE)</f>
        <v>Yes</v>
      </c>
      <c r="Z660" s="664"/>
      <c r="AA660" s="665"/>
      <c r="AB660" s="666"/>
      <c r="AC660" s="652" t="s">
        <v>1389</v>
      </c>
      <c r="AD660" s="667">
        <v>301</v>
      </c>
      <c r="AE660" s="667">
        <v>10</v>
      </c>
      <c r="AF660" s="667"/>
      <c r="AG660" s="667"/>
      <c r="AH660" s="667"/>
      <c r="AI660" s="668"/>
      <c r="AN660" s="547"/>
      <c r="AO660" s="829" t="str">
        <f t="shared" si="95"/>
        <v>Yes</v>
      </c>
      <c r="AP660" s="259" t="str">
        <f t="shared" si="96"/>
        <v>APR 21</v>
      </c>
      <c r="AQ660" s="547" t="str">
        <f t="shared" si="97"/>
        <v>有定金+有預留客戶</v>
      </c>
      <c r="AR660" s="259" t="str">
        <f t="shared" si="98"/>
        <v>Shipped_Stock</v>
      </c>
      <c r="AS660" s="259" t="str">
        <f t="shared" si="99"/>
        <v/>
      </c>
      <c r="AT660" s="259" t="str">
        <f t="shared" si="100"/>
        <v>精德鸿</v>
      </c>
      <c r="AU660" s="259" t="str">
        <f t="shared" si="101"/>
        <v>C49SZX20200257JY</v>
      </c>
      <c r="AV660" s="259" t="str">
        <f t="shared" si="102"/>
        <v>Jan-25</v>
      </c>
    </row>
    <row r="661" spans="1:48" hidden="1">
      <c r="A661" s="564">
        <v>1157</v>
      </c>
      <c r="B661" s="669" t="s">
        <v>1125</v>
      </c>
      <c r="C661" s="669" t="s">
        <v>15</v>
      </c>
      <c r="D661" s="650">
        <v>110096</v>
      </c>
      <c r="E661" s="651" t="s">
        <v>1300</v>
      </c>
      <c r="F661" s="652" t="s">
        <v>241</v>
      </c>
      <c r="G661" s="652" t="s">
        <v>18</v>
      </c>
      <c r="H661" s="652" t="s">
        <v>34</v>
      </c>
      <c r="I661" s="580" t="s">
        <v>93</v>
      </c>
      <c r="J661" s="580">
        <v>1</v>
      </c>
      <c r="K661" s="652" t="s">
        <v>81</v>
      </c>
      <c r="L661" s="680">
        <v>44221</v>
      </c>
      <c r="M661" s="670" t="s">
        <v>258</v>
      </c>
      <c r="N661" s="652" t="s">
        <v>90</v>
      </c>
      <c r="O661" s="580"/>
      <c r="P661" s="670" t="str">
        <f>VLOOKUP(A661,'[1]Raw data'!$B:$BA,23,FALSE)</f>
        <v>JPY</v>
      </c>
      <c r="Q661" s="652" t="str">
        <f>VLOOKUP(A661,'[1]Raw data'!$B:$Z,2,FALSE)</f>
        <v>C49SZX20210051JY</v>
      </c>
      <c r="R661" s="652" t="str">
        <f>VLOOKUP(A661,'[1]Raw data'!$B:$Z,3,FALSE)</f>
        <v>络鑫（end user:东莞络鑫）</v>
      </c>
      <c r="S661" s="652" t="str">
        <f>VLOOKUP(A661,'[1]Raw data'!$B:$Z,4,FALSE)</f>
        <v>YSM10</v>
      </c>
      <c r="T661" s="652" t="str">
        <f>VLOOKUP(A661,'[1]Raw data'!$B:$Z,8,FALSE)</f>
        <v>L-&gt;R</v>
      </c>
      <c r="U661" s="652" t="str">
        <f>VLOOKUP(A661,'[1]Raw data'!$B:$Z,9,FALSE)</f>
        <v>MVC+ATS15</v>
      </c>
      <c r="V661" s="572" t="str">
        <f t="shared" si="93"/>
        <v>WRONG</v>
      </c>
      <c r="W661" s="568" t="str">
        <f>VLOOKUP(A661,'[1]Raw data'!$B:$AG,32,FALSE)</f>
        <v>CIF HK</v>
      </c>
      <c r="X661" s="652">
        <f>VLOOKUP(A661,'[1]Raw data'!$B:$BA,31,FALSE)</f>
        <v>44259</v>
      </c>
      <c r="Y661" s="652" t="str">
        <f>VLOOKUP(A661,'[1]Raw data'!$B:$AS,39,FALSE)</f>
        <v>Yes</v>
      </c>
      <c r="Z661" s="664"/>
      <c r="AA661" s="665"/>
      <c r="AB661" s="666"/>
      <c r="AC661" s="652" t="s">
        <v>1390</v>
      </c>
      <c r="AD661" s="667">
        <v>301</v>
      </c>
      <c r="AE661" s="667">
        <v>10</v>
      </c>
      <c r="AF661" s="667"/>
      <c r="AG661" s="667"/>
      <c r="AH661" s="667"/>
      <c r="AI661" s="668"/>
      <c r="AN661" s="547"/>
      <c r="AO661" s="829" t="str">
        <f t="shared" si="95"/>
        <v>Yes</v>
      </c>
      <c r="AP661" s="259" t="str">
        <f t="shared" si="96"/>
        <v>APR 21</v>
      </c>
      <c r="AQ661" s="547" t="str">
        <f t="shared" si="97"/>
        <v>有定金+有預留客戶</v>
      </c>
      <c r="AR661" s="259" t="str">
        <f t="shared" si="98"/>
        <v>Shipped_Stock</v>
      </c>
      <c r="AS661" s="259" t="str">
        <f t="shared" si="99"/>
        <v/>
      </c>
      <c r="AT661" s="259" t="str">
        <f t="shared" si="100"/>
        <v>络鑫（end user:东莞络鑫）</v>
      </c>
      <c r="AU661" s="259" t="str">
        <f t="shared" si="101"/>
        <v>C49SZX20210051JY</v>
      </c>
      <c r="AV661" s="259" t="str">
        <f t="shared" si="102"/>
        <v>Jan-25</v>
      </c>
    </row>
    <row r="662" spans="1:48" ht="12" hidden="1" customHeight="1">
      <c r="A662" s="604">
        <v>909</v>
      </c>
      <c r="B662" s="669" t="s">
        <v>1125</v>
      </c>
      <c r="C662" s="669" t="s">
        <v>15</v>
      </c>
      <c r="D662" s="650">
        <v>110123</v>
      </c>
      <c r="E662" s="568" t="s">
        <v>886</v>
      </c>
      <c r="F662" s="652" t="s">
        <v>58</v>
      </c>
      <c r="G662" s="652" t="s">
        <v>24</v>
      </c>
      <c r="H662" s="652" t="s">
        <v>26</v>
      </c>
      <c r="I662" s="580" t="s">
        <v>1391</v>
      </c>
      <c r="J662" s="580">
        <v>1</v>
      </c>
      <c r="K662" s="652" t="s">
        <v>81</v>
      </c>
      <c r="L662" s="680">
        <v>44221</v>
      </c>
      <c r="M662" s="670" t="s">
        <v>906</v>
      </c>
      <c r="N662" s="652" t="s">
        <v>1127</v>
      </c>
      <c r="O662" s="580"/>
      <c r="P662" s="571" t="str">
        <f>VLOOKUP(A662,'[1]Raw data'!$B:$BB,23,FALSE)</f>
        <v>JPY</v>
      </c>
      <c r="Q662" s="568" t="str">
        <f>VLOOKUP(A662,'[1]Raw data'!$B:$Z,2,FALSE)</f>
        <v>C49SZX20200207MZ</v>
      </c>
      <c r="R662" s="568" t="str">
        <f>VLOOKUP(A662,'[1]Raw data'!$B:$Z,3,FALSE)</f>
        <v>崧盛</v>
      </c>
      <c r="S662" s="568" t="str">
        <f>VLOOKUP(A662,'[1]Raw data'!$B:$Z,4,FALSE)</f>
        <v>YSM20R-2</v>
      </c>
      <c r="T662" s="568" t="str">
        <f>VLOOKUP(A662,'[1]Raw data'!$B:$Z,8,FALSE)</f>
        <v>L-&gt;R</v>
      </c>
      <c r="U662" s="568" t="str">
        <f>VLOOKUP(A662,'[1]Raw data'!$B:$Z,9,FALSE)</f>
        <v>No</v>
      </c>
      <c r="V662" s="572" t="str">
        <f t="shared" ref="V662:V726" si="103">IF(G662&amp;H662=T662&amp;U662,"OK","WRONG")</f>
        <v>OK</v>
      </c>
      <c r="W662" s="568" t="str">
        <f>VLOOKUP(A662,'[1]Raw data'!$B:$AG,32,FALSE)</f>
        <v>CIF HK</v>
      </c>
      <c r="X662" s="568">
        <f>VLOOKUP(A662,'[1]Raw data'!$B:$BA,31,FALSE)</f>
        <v>44139</v>
      </c>
      <c r="Y662" s="568" t="str">
        <f>VLOOKUP(A662,'[1]Raw data'!$B:$AS,39,FALSE)</f>
        <v>Yes</v>
      </c>
      <c r="Z662" s="664"/>
      <c r="AA662" s="665"/>
      <c r="AB662" s="666"/>
      <c r="AC662" s="652" t="s">
        <v>1369</v>
      </c>
      <c r="AD662" s="580">
        <v>301</v>
      </c>
      <c r="AE662" s="580">
        <v>10</v>
      </c>
      <c r="AF662" s="580">
        <v>303</v>
      </c>
      <c r="AG662" s="580">
        <v>10</v>
      </c>
      <c r="AH662" s="580"/>
      <c r="AI662" s="684"/>
      <c r="AJ662" s="569"/>
      <c r="AK662" s="569"/>
      <c r="AL662" s="569"/>
      <c r="AM662" s="569"/>
      <c r="AN662" s="619"/>
      <c r="AO662" s="829" t="str">
        <f t="shared" si="95"/>
        <v>Yes</v>
      </c>
      <c r="AP662" s="259" t="str">
        <f t="shared" si="96"/>
        <v>JAN 21</v>
      </c>
      <c r="AQ662" s="547" t="str">
        <f t="shared" si="97"/>
        <v>有定金+有預留客戶</v>
      </c>
      <c r="AR662" s="259" t="str">
        <f t="shared" si="98"/>
        <v>Shipped_Stock</v>
      </c>
      <c r="AS662" s="259" t="str">
        <f t="shared" si="99"/>
        <v/>
      </c>
      <c r="AT662" s="259" t="str">
        <f t="shared" si="100"/>
        <v>崧盛</v>
      </c>
      <c r="AU662" s="259" t="str">
        <f t="shared" si="101"/>
        <v>C49SZX20200207MZ</v>
      </c>
      <c r="AV662" s="259" t="str">
        <f t="shared" si="102"/>
        <v>Jan-25</v>
      </c>
    </row>
    <row r="663" spans="1:48" hidden="1">
      <c r="A663" s="564">
        <v>1080</v>
      </c>
      <c r="B663" s="568" t="s">
        <v>1125</v>
      </c>
      <c r="C663" s="565" t="s">
        <v>281</v>
      </c>
      <c r="D663" s="569" t="s">
        <v>1392</v>
      </c>
      <c r="E663" s="568" t="s">
        <v>886</v>
      </c>
      <c r="F663" s="568" t="s">
        <v>58</v>
      </c>
      <c r="G663" s="568" t="s">
        <v>24</v>
      </c>
      <c r="H663" s="568" t="s">
        <v>26</v>
      </c>
      <c r="I663" s="569" t="s">
        <v>1393</v>
      </c>
      <c r="J663" s="569">
        <v>1</v>
      </c>
      <c r="K663" s="568" t="s">
        <v>82</v>
      </c>
      <c r="L663" s="570">
        <v>44234</v>
      </c>
      <c r="M663" s="571" t="s">
        <v>906</v>
      </c>
      <c r="N663" s="568" t="s">
        <v>28</v>
      </c>
      <c r="O663" s="568"/>
      <c r="P663" s="571" t="str">
        <f>VLOOKUP(A663,'[1]Raw data'!$B:$BA,23,FALSE)</f>
        <v>JPY</v>
      </c>
      <c r="Q663" s="568" t="str">
        <f>VLOOKUP(A663,'[1]Raw data'!$B:$Z,2,FALSE)</f>
        <v>C49SZX20210026DZ</v>
      </c>
      <c r="R663" s="568" t="str">
        <f>VLOOKUP(A663,'[1]Raw data'!$B:$Z,3,FALSE)</f>
        <v>航特</v>
      </c>
      <c r="S663" s="568" t="str">
        <f>VLOOKUP(A663,'[1]Raw data'!$B:$Z,4,FALSE)</f>
        <v>YSM20R-2</v>
      </c>
      <c r="T663" s="568" t="str">
        <f>VLOOKUP(A663,'[1]Raw data'!$B:$Z,8,FALSE)</f>
        <v>L-&gt;R</v>
      </c>
      <c r="U663" s="568" t="str">
        <f>VLOOKUP(A663,'[1]Raw data'!$B:$Z,9,FALSE)</f>
        <v>No</v>
      </c>
      <c r="V663" s="572" t="str">
        <f t="shared" si="103"/>
        <v>OK</v>
      </c>
      <c r="W663" s="568" t="str">
        <f>VLOOKUP(A663,'[1]Raw data'!$B:$AG,32,FALSE)</f>
        <v>DAP CS</v>
      </c>
      <c r="X663" s="568">
        <f>VLOOKUP(A663,'[1]Raw data'!$B:$BA,31,FALSE)</f>
        <v>44218</v>
      </c>
      <c r="Y663" s="568" t="str">
        <f>VLOOKUP(A663,'[1]Raw data'!$B:$AS,39,FALSE)</f>
        <v>Yes</v>
      </c>
      <c r="Z663" s="576"/>
      <c r="AA663" s="576"/>
      <c r="AB663" s="576"/>
      <c r="AC663" s="568" t="s">
        <v>1394</v>
      </c>
      <c r="AD663" s="576">
        <v>301</v>
      </c>
      <c r="AE663" s="577">
        <v>10</v>
      </c>
      <c r="AF663" s="576">
        <v>311</v>
      </c>
      <c r="AG663" s="576">
        <v>10</v>
      </c>
      <c r="AI663" s="576"/>
      <c r="AJ663" s="547"/>
      <c r="AK663" s="547"/>
      <c r="AL663" s="547"/>
      <c r="AM663" s="547"/>
      <c r="AN663" s="547"/>
      <c r="AO663" s="829" t="str">
        <f t="shared" si="95"/>
        <v>Yes</v>
      </c>
      <c r="AP663" s="259" t="str">
        <f t="shared" si="96"/>
        <v>MAR 21</v>
      </c>
      <c r="AQ663" s="547" t="str">
        <f t="shared" si="97"/>
        <v>有定金+有預留客戶</v>
      </c>
      <c r="AR663" s="259" t="str">
        <f t="shared" si="98"/>
        <v>Shipped_Stock</v>
      </c>
      <c r="AS663" s="259" t="str">
        <f t="shared" si="99"/>
        <v/>
      </c>
      <c r="AT663" s="259" t="str">
        <f t="shared" si="100"/>
        <v>航特</v>
      </c>
      <c r="AU663" s="259" t="str">
        <f t="shared" si="101"/>
        <v>C49SZX20210026DZ</v>
      </c>
      <c r="AV663" s="259" t="str">
        <f t="shared" si="102"/>
        <v>Feb-07</v>
      </c>
    </row>
    <row r="664" spans="1:48" hidden="1">
      <c r="A664" s="564">
        <v>1121</v>
      </c>
      <c r="B664" s="669" t="s">
        <v>1125</v>
      </c>
      <c r="C664" s="669" t="s">
        <v>15</v>
      </c>
      <c r="D664" s="650">
        <v>110235</v>
      </c>
      <c r="E664" s="568" t="s">
        <v>886</v>
      </c>
      <c r="F664" s="652" t="s">
        <v>58</v>
      </c>
      <c r="G664" s="652" t="s">
        <v>24</v>
      </c>
      <c r="H664" s="652" t="s">
        <v>26</v>
      </c>
      <c r="I664" s="580" t="s">
        <v>1395</v>
      </c>
      <c r="J664" s="580">
        <v>1</v>
      </c>
      <c r="K664" s="652" t="s">
        <v>81</v>
      </c>
      <c r="L664" s="662">
        <v>44234</v>
      </c>
      <c r="M664" s="670">
        <v>6.3100000000000003E-2</v>
      </c>
      <c r="N664" s="652" t="s">
        <v>28</v>
      </c>
      <c r="O664" s="580"/>
      <c r="P664" s="670" t="str">
        <f>VLOOKUP(A664,'[1]Raw data'!$B:$BA,23,FALSE)</f>
        <v>JPY</v>
      </c>
      <c r="Q664" s="652" t="str">
        <f>VLOOKUP(A664,'[1]Raw data'!$B:$Z,2,FALSE)</f>
        <v>C49SZX20210011JY</v>
      </c>
      <c r="R664" s="652" t="str">
        <f>VLOOKUP(A664,'[1]Raw data'!$B:$Z,3,FALSE)</f>
        <v>英拓邦</v>
      </c>
      <c r="S664" s="652" t="str">
        <f>VLOOKUP(A664,'[1]Raw data'!$B:$Z,4,FALSE)</f>
        <v>YSM20R-2</v>
      </c>
      <c r="T664" s="652" t="str">
        <f>VLOOKUP(A664,'[1]Raw data'!$B:$Z,8,FALSE)</f>
        <v>L-&gt;R</v>
      </c>
      <c r="U664" s="652" t="str">
        <f>VLOOKUP(A664,'[1]Raw data'!$B:$Z,9,FALSE)</f>
        <v>MVC</v>
      </c>
      <c r="V664" s="572" t="str">
        <f t="shared" si="103"/>
        <v>WRONG</v>
      </c>
      <c r="W664" s="568" t="str">
        <f>VLOOKUP(A664,'[1]Raw data'!$B:$AG,32,FALSE)</f>
        <v>CIF HK</v>
      </c>
      <c r="X664" s="652">
        <f>VLOOKUP(A664,'[1]Raw data'!$B:$BA,31,FALSE)</f>
        <v>44222</v>
      </c>
      <c r="Y664" s="652" t="str">
        <f>VLOOKUP(A664,'[1]Raw data'!$B:$AS,39,FALSE)</f>
        <v>Yes</v>
      </c>
      <c r="Z664" s="671"/>
      <c r="AA664" s="672"/>
      <c r="AB664" s="673"/>
      <c r="AC664" s="568" t="s">
        <v>965</v>
      </c>
      <c r="AD664" s="667">
        <v>301</v>
      </c>
      <c r="AE664" s="667">
        <v>10</v>
      </c>
      <c r="AF664" s="667">
        <v>311</v>
      </c>
      <c r="AG664" s="667">
        <v>10</v>
      </c>
      <c r="AH664" s="667"/>
      <c r="AI664" s="668"/>
      <c r="AN664" s="547"/>
      <c r="AO664" s="829" t="str">
        <f t="shared" si="95"/>
        <v>Yes</v>
      </c>
      <c r="AP664" s="259" t="str">
        <f t="shared" si="96"/>
        <v>MAR 21</v>
      </c>
      <c r="AQ664" s="547" t="str">
        <f t="shared" si="97"/>
        <v>有定金+有預留客戶</v>
      </c>
      <c r="AR664" s="259" t="str">
        <f t="shared" si="98"/>
        <v>Shipped_Stock</v>
      </c>
      <c r="AS664" s="259" t="str">
        <f t="shared" si="99"/>
        <v/>
      </c>
      <c r="AT664" s="259" t="str">
        <f t="shared" si="100"/>
        <v>英拓邦</v>
      </c>
      <c r="AU664" s="259" t="str">
        <f t="shared" si="101"/>
        <v>C49SZX20210011JY</v>
      </c>
      <c r="AV664" s="259" t="str">
        <f t="shared" si="102"/>
        <v>Feb-07</v>
      </c>
    </row>
    <row r="665" spans="1:48" hidden="1">
      <c r="A665" s="564">
        <v>943</v>
      </c>
      <c r="B665" s="669" t="s">
        <v>1125</v>
      </c>
      <c r="C665" s="669" t="s">
        <v>15</v>
      </c>
      <c r="D665" s="650">
        <v>110235</v>
      </c>
      <c r="E665" s="568" t="s">
        <v>886</v>
      </c>
      <c r="F665" s="652" t="s">
        <v>58</v>
      </c>
      <c r="G665" s="652" t="s">
        <v>24</v>
      </c>
      <c r="H665" s="652" t="s">
        <v>26</v>
      </c>
      <c r="I665" s="580" t="s">
        <v>1396</v>
      </c>
      <c r="J665" s="667">
        <v>1</v>
      </c>
      <c r="K665" s="652" t="s">
        <v>82</v>
      </c>
      <c r="L665" s="662">
        <v>44234</v>
      </c>
      <c r="M665" s="670">
        <v>6.3100000000000003E-2</v>
      </c>
      <c r="N665" s="652" t="s">
        <v>14</v>
      </c>
      <c r="O665" s="580"/>
      <c r="P665" s="571" t="str">
        <f>VLOOKUP(A665,'[1]Raw data'!$B:$BB,23,FALSE)</f>
        <v>RMB</v>
      </c>
      <c r="Q665" s="568" t="str">
        <f>VLOOKUP(A665,'[1]Raw data'!$B:$Z,2,FALSE)</f>
        <v>C49SZX20200221MZ</v>
      </c>
      <c r="R665" s="568" t="str">
        <f>VLOOKUP(A665,'[1]Raw data'!$B:$Z,3,FALSE)</f>
        <v>腾拓</v>
      </c>
      <c r="S665" s="568" t="str">
        <f>VLOOKUP(A665,'[1]Raw data'!$B:$Z,4,FALSE)</f>
        <v>YSM20R-2</v>
      </c>
      <c r="T665" s="568" t="str">
        <f>VLOOKUP(A665,'[1]Raw data'!$B:$Z,8,FALSE)</f>
        <v>L-&gt;R</v>
      </c>
      <c r="U665" s="568" t="str">
        <f>VLOOKUP(A665,'[1]Raw data'!$B:$Z,9,FALSE)</f>
        <v>No</v>
      </c>
      <c r="V665" s="572" t="str">
        <f t="shared" si="103"/>
        <v>OK</v>
      </c>
      <c r="W665" s="568" t="str">
        <f>VLOOKUP(A665,'[1]Raw data'!$B:$AG,32,FALSE)</f>
        <v>含税到厂</v>
      </c>
      <c r="X665" s="568">
        <f>VLOOKUP(A665,'[1]Raw data'!$B:$BA,31,FALSE)</f>
        <v>44154</v>
      </c>
      <c r="Y665" s="568" t="str">
        <f>VLOOKUP(A665,'[1]Raw data'!$B:$AS,39,FALSE)</f>
        <v>Yes</v>
      </c>
      <c r="Z665" s="664"/>
      <c r="AA665" s="665"/>
      <c r="AB665" s="666"/>
      <c r="AC665" s="568" t="s">
        <v>1397</v>
      </c>
      <c r="AD665" s="667">
        <v>301</v>
      </c>
      <c r="AE665" s="667">
        <v>10</v>
      </c>
      <c r="AF665" s="667">
        <v>302</v>
      </c>
      <c r="AG665" s="667">
        <v>10</v>
      </c>
      <c r="AH665" s="667"/>
      <c r="AI665" s="668"/>
      <c r="AN665" s="547"/>
      <c r="AO665" s="829" t="str">
        <f t="shared" si="95"/>
        <v>Yes</v>
      </c>
      <c r="AP665" s="259" t="str">
        <f t="shared" si="96"/>
        <v>FEB 21</v>
      </c>
      <c r="AQ665" s="547" t="str">
        <f t="shared" si="97"/>
        <v>有定金+有預留客戶</v>
      </c>
      <c r="AR665" s="259" t="str">
        <f t="shared" si="98"/>
        <v>Shipped_Stock</v>
      </c>
      <c r="AS665" s="259" t="str">
        <f t="shared" si="99"/>
        <v/>
      </c>
      <c r="AT665" s="259" t="str">
        <f t="shared" si="100"/>
        <v>腾拓</v>
      </c>
      <c r="AU665" s="259" t="str">
        <f t="shared" si="101"/>
        <v>C49SZX20200221MZ</v>
      </c>
      <c r="AV665" s="259" t="str">
        <f t="shared" si="102"/>
        <v>Feb-07</v>
      </c>
    </row>
    <row r="666" spans="1:48" hidden="1">
      <c r="A666" s="564">
        <v>944</v>
      </c>
      <c r="B666" s="669" t="s">
        <v>1125</v>
      </c>
      <c r="C666" s="669" t="s">
        <v>15</v>
      </c>
      <c r="D666" s="650">
        <v>110235</v>
      </c>
      <c r="E666" s="568" t="s">
        <v>886</v>
      </c>
      <c r="F666" s="652" t="s">
        <v>58</v>
      </c>
      <c r="G666" s="652" t="s">
        <v>24</v>
      </c>
      <c r="H666" s="652" t="s">
        <v>26</v>
      </c>
      <c r="I666" s="580" t="s">
        <v>1398</v>
      </c>
      <c r="J666" s="667">
        <v>1</v>
      </c>
      <c r="K666" s="652" t="s">
        <v>82</v>
      </c>
      <c r="L666" s="662">
        <v>44234</v>
      </c>
      <c r="M666" s="670">
        <v>6.3100000000000003E-2</v>
      </c>
      <c r="N666" s="652" t="s">
        <v>14</v>
      </c>
      <c r="O666" s="580"/>
      <c r="P666" s="571" t="str">
        <f>VLOOKUP(A666,'[1]Raw data'!$B:$BB,23,FALSE)</f>
        <v>RMB</v>
      </c>
      <c r="Q666" s="568" t="str">
        <f>VLOOKUP(A666,'[1]Raw data'!$B:$Z,2,FALSE)</f>
        <v>C49SZX20200221MZ</v>
      </c>
      <c r="R666" s="568" t="str">
        <f>VLOOKUP(A666,'[1]Raw data'!$B:$Z,3,FALSE)</f>
        <v>腾拓</v>
      </c>
      <c r="S666" s="568" t="str">
        <f>VLOOKUP(A666,'[1]Raw data'!$B:$Z,4,FALSE)</f>
        <v>YSM20R-2</v>
      </c>
      <c r="T666" s="568" t="str">
        <f>VLOOKUP(A666,'[1]Raw data'!$B:$Z,8,FALSE)</f>
        <v>L-&gt;R</v>
      </c>
      <c r="U666" s="568" t="str">
        <f>VLOOKUP(A666,'[1]Raw data'!$B:$Z,9,FALSE)</f>
        <v>MVC</v>
      </c>
      <c r="V666" s="572" t="str">
        <f t="shared" si="103"/>
        <v>WRONG</v>
      </c>
      <c r="W666" s="568" t="str">
        <f>VLOOKUP(A666,'[1]Raw data'!$B:$AG,32,FALSE)</f>
        <v>含税到厂</v>
      </c>
      <c r="X666" s="568">
        <f>VLOOKUP(A666,'[1]Raw data'!$B:$BA,31,FALSE)</f>
        <v>44154</v>
      </c>
      <c r="Y666" s="568" t="str">
        <f>VLOOKUP(A666,'[1]Raw data'!$B:$AS,39,FALSE)</f>
        <v>Yes</v>
      </c>
      <c r="Z666" s="664"/>
      <c r="AA666" s="665"/>
      <c r="AB666" s="666"/>
      <c r="AC666" s="568" t="s">
        <v>1397</v>
      </c>
      <c r="AD666" s="667">
        <v>302</v>
      </c>
      <c r="AE666" s="667">
        <v>20</v>
      </c>
      <c r="AF666" s="667"/>
      <c r="AG666" s="667"/>
      <c r="AH666" s="667"/>
      <c r="AI666" s="668"/>
      <c r="AN666" s="547"/>
      <c r="AO666" s="829" t="str">
        <f t="shared" si="95"/>
        <v>Yes</v>
      </c>
      <c r="AP666" s="259" t="str">
        <f t="shared" si="96"/>
        <v>FEB 21</v>
      </c>
      <c r="AQ666" s="547" t="str">
        <f t="shared" si="97"/>
        <v>有定金+有預留客戶</v>
      </c>
      <c r="AR666" s="259" t="str">
        <f t="shared" si="98"/>
        <v>Shipped_Stock</v>
      </c>
      <c r="AS666" s="259" t="str">
        <f t="shared" si="99"/>
        <v/>
      </c>
      <c r="AT666" s="259" t="str">
        <f t="shared" si="100"/>
        <v>腾拓</v>
      </c>
      <c r="AU666" s="259" t="str">
        <f t="shared" si="101"/>
        <v>C49SZX20200221MZ</v>
      </c>
      <c r="AV666" s="259" t="str">
        <f t="shared" si="102"/>
        <v>Feb-07</v>
      </c>
    </row>
    <row r="667" spans="1:48" hidden="1">
      <c r="A667" s="564">
        <v>899</v>
      </c>
      <c r="B667" s="669" t="s">
        <v>1125</v>
      </c>
      <c r="C667" s="669" t="s">
        <v>15</v>
      </c>
      <c r="D667" s="650">
        <v>110132</v>
      </c>
      <c r="E667" s="568" t="s">
        <v>886</v>
      </c>
      <c r="F667" s="652" t="s">
        <v>58</v>
      </c>
      <c r="G667" s="652" t="s">
        <v>24</v>
      </c>
      <c r="H667" s="652" t="s">
        <v>26</v>
      </c>
      <c r="I667" s="580" t="s">
        <v>1399</v>
      </c>
      <c r="J667" s="580">
        <v>1</v>
      </c>
      <c r="K667" s="652" t="s">
        <v>81</v>
      </c>
      <c r="L667" s="662">
        <v>44234</v>
      </c>
      <c r="M667" s="670" t="s">
        <v>906</v>
      </c>
      <c r="N667" s="652" t="s">
        <v>14</v>
      </c>
      <c r="O667" s="580"/>
      <c r="P667" s="571" t="str">
        <f>VLOOKUP(A667,'[1]Raw data'!$B:$BB,23,FALSE)</f>
        <v>JPY</v>
      </c>
      <c r="Q667" s="568" t="str">
        <f>VLOOKUP(A667,'[1]Raw data'!$B:$Z,2,FALSE)</f>
        <v>C49SZX20200198JZ</v>
      </c>
      <c r="R667" s="568" t="str">
        <f>VLOOKUP(A667,'[1]Raw data'!$B:$Z,3,FALSE)</f>
        <v>阿里兄妹</v>
      </c>
      <c r="S667" s="568" t="str">
        <f>VLOOKUP(A667,'[1]Raw data'!$B:$Z,4,FALSE)</f>
        <v>YSM20R-2</v>
      </c>
      <c r="T667" s="568" t="str">
        <f>VLOOKUP(A667,'[1]Raw data'!$B:$Z,8,FALSE)</f>
        <v>L-&gt;R</v>
      </c>
      <c r="U667" s="568" t="str">
        <f>VLOOKUP(A667,'[1]Raw data'!$B:$Z,9,FALSE)</f>
        <v>MVC</v>
      </c>
      <c r="V667" s="572" t="str">
        <f t="shared" si="103"/>
        <v>WRONG</v>
      </c>
      <c r="W667" s="568" t="str">
        <f>VLOOKUP(A667,'[1]Raw data'!$B:$AG,32,FALSE)</f>
        <v>DAP SZ</v>
      </c>
      <c r="X667" s="568">
        <f>VLOOKUP(A667,'[1]Raw data'!$B:$BA,31,FALSE)</f>
        <v>44130</v>
      </c>
      <c r="Y667" s="568" t="str">
        <f>VLOOKUP(A667,'[1]Raw data'!$B:$AS,39,FALSE)</f>
        <v>Yes</v>
      </c>
      <c r="Z667" s="664"/>
      <c r="AA667" s="665"/>
      <c r="AB667" s="666"/>
      <c r="AC667" s="568" t="s">
        <v>1400</v>
      </c>
      <c r="AD667" s="667">
        <v>301</v>
      </c>
      <c r="AE667" s="667">
        <v>10</v>
      </c>
      <c r="AF667" s="667">
        <v>311</v>
      </c>
      <c r="AG667" s="667">
        <v>10</v>
      </c>
      <c r="AH667" s="667"/>
      <c r="AI667" s="668"/>
      <c r="AN667" s="547"/>
      <c r="AO667" s="829" t="str">
        <f t="shared" si="95"/>
        <v>Yes</v>
      </c>
      <c r="AP667" s="259" t="str">
        <f t="shared" si="96"/>
        <v>FEB 21</v>
      </c>
      <c r="AQ667" s="547" t="str">
        <f t="shared" si="97"/>
        <v>有定金+有預留客戶</v>
      </c>
      <c r="AR667" s="259" t="str">
        <f t="shared" si="98"/>
        <v>Shipped_Stock</v>
      </c>
      <c r="AS667" s="259" t="str">
        <f t="shared" si="99"/>
        <v/>
      </c>
      <c r="AT667" s="259" t="str">
        <f t="shared" si="100"/>
        <v>阿里兄妹</v>
      </c>
      <c r="AU667" s="259" t="str">
        <f t="shared" si="101"/>
        <v>C49SZX20200198JZ</v>
      </c>
      <c r="AV667" s="259" t="str">
        <f t="shared" si="102"/>
        <v>Feb-07</v>
      </c>
    </row>
    <row r="668" spans="1:48" hidden="1">
      <c r="A668" s="564">
        <v>900</v>
      </c>
      <c r="B668" s="669" t="s">
        <v>1125</v>
      </c>
      <c r="C668" s="669" t="s">
        <v>15</v>
      </c>
      <c r="D668" s="650">
        <v>110132</v>
      </c>
      <c r="E668" s="568" t="s">
        <v>886</v>
      </c>
      <c r="F668" s="652" t="s">
        <v>58</v>
      </c>
      <c r="G668" s="652" t="s">
        <v>24</v>
      </c>
      <c r="H668" s="652" t="s">
        <v>26</v>
      </c>
      <c r="I668" s="580" t="s">
        <v>1401</v>
      </c>
      <c r="J668" s="580">
        <v>1</v>
      </c>
      <c r="K668" s="652" t="s">
        <v>81</v>
      </c>
      <c r="L668" s="662">
        <v>44234</v>
      </c>
      <c r="M668" s="670" t="s">
        <v>906</v>
      </c>
      <c r="N668" s="652" t="s">
        <v>14</v>
      </c>
      <c r="O668" s="580"/>
      <c r="P668" s="571" t="str">
        <f>VLOOKUP(A668,'[1]Raw data'!$B:$BB,23,FALSE)</f>
        <v>JPY</v>
      </c>
      <c r="Q668" s="568" t="str">
        <f>VLOOKUP(A668,'[1]Raw data'!$B:$Z,2,FALSE)</f>
        <v>C49SZX20200198JZ</v>
      </c>
      <c r="R668" s="568" t="str">
        <f>VLOOKUP(A668,'[1]Raw data'!$B:$Z,3,FALSE)</f>
        <v>阿里兄妹</v>
      </c>
      <c r="S668" s="568" t="str">
        <f>VLOOKUP(A668,'[1]Raw data'!$B:$Z,4,FALSE)</f>
        <v>YSM20R-2</v>
      </c>
      <c r="T668" s="568" t="str">
        <f>VLOOKUP(A668,'[1]Raw data'!$B:$Z,8,FALSE)</f>
        <v>L-&gt;R</v>
      </c>
      <c r="U668" s="568" t="str">
        <f>VLOOKUP(A668,'[1]Raw data'!$B:$Z,9,FALSE)</f>
        <v>MVC</v>
      </c>
      <c r="V668" s="572" t="str">
        <f t="shared" si="103"/>
        <v>WRONG</v>
      </c>
      <c r="W668" s="568" t="str">
        <f>VLOOKUP(A668,'[1]Raw data'!$B:$AG,32,FALSE)</f>
        <v>DAP SZ</v>
      </c>
      <c r="X668" s="568">
        <f>VLOOKUP(A668,'[1]Raw data'!$B:$BA,31,FALSE)</f>
        <v>44130</v>
      </c>
      <c r="Y668" s="568" t="str">
        <f>VLOOKUP(A668,'[1]Raw data'!$B:$AS,39,FALSE)</f>
        <v>Yes</v>
      </c>
      <c r="Z668" s="664"/>
      <c r="AA668" s="665"/>
      <c r="AB668" s="666"/>
      <c r="AC668" s="568" t="s">
        <v>1400</v>
      </c>
      <c r="AD668" s="667">
        <v>301</v>
      </c>
      <c r="AE668" s="667">
        <v>10</v>
      </c>
      <c r="AF668" s="667">
        <v>311</v>
      </c>
      <c r="AG668" s="667">
        <v>10</v>
      </c>
      <c r="AH668" s="667"/>
      <c r="AI668" s="668"/>
      <c r="AN668" s="547"/>
      <c r="AO668" s="829" t="str">
        <f t="shared" si="95"/>
        <v>Yes</v>
      </c>
      <c r="AP668" s="259" t="str">
        <f t="shared" si="96"/>
        <v>FEB 21</v>
      </c>
      <c r="AQ668" s="547" t="str">
        <f t="shared" si="97"/>
        <v>有定金+有預留客戶</v>
      </c>
      <c r="AR668" s="259" t="str">
        <f t="shared" si="98"/>
        <v>Shipped_Stock</v>
      </c>
      <c r="AS668" s="259" t="str">
        <f t="shared" si="99"/>
        <v/>
      </c>
      <c r="AT668" s="259" t="str">
        <f t="shared" si="100"/>
        <v>阿里兄妹</v>
      </c>
      <c r="AU668" s="259" t="str">
        <f t="shared" si="101"/>
        <v>C49SZX20200198JZ</v>
      </c>
      <c r="AV668" s="259" t="str">
        <f t="shared" si="102"/>
        <v>Feb-07</v>
      </c>
    </row>
    <row r="669" spans="1:48" hidden="1">
      <c r="A669" s="564">
        <v>1111</v>
      </c>
      <c r="B669" s="669" t="s">
        <v>1125</v>
      </c>
      <c r="C669" s="669" t="s">
        <v>15</v>
      </c>
      <c r="D669" s="650">
        <v>110132</v>
      </c>
      <c r="E669" s="568" t="s">
        <v>886</v>
      </c>
      <c r="F669" s="652" t="s">
        <v>58</v>
      </c>
      <c r="G669" s="652" t="s">
        <v>24</v>
      </c>
      <c r="H669" s="652" t="s">
        <v>26</v>
      </c>
      <c r="I669" s="580" t="s">
        <v>1402</v>
      </c>
      <c r="J669" s="580">
        <v>1</v>
      </c>
      <c r="K669" s="652" t="s">
        <v>85</v>
      </c>
      <c r="L669" s="662">
        <v>44234</v>
      </c>
      <c r="M669" s="670" t="s">
        <v>906</v>
      </c>
      <c r="N669" s="652" t="s">
        <v>14</v>
      </c>
      <c r="O669" s="580"/>
      <c r="P669" s="571" t="str">
        <f>VLOOKUP(A669,'[1]Raw data'!$B:$BB,23,FALSE)</f>
        <v>JPY</v>
      </c>
      <c r="Q669" s="568" t="str">
        <f>VLOOKUP(A669,'[1]Raw data'!$B:$Z,2,FALSE)</f>
        <v>C49SZX20210032JL</v>
      </c>
      <c r="R669" s="568" t="str">
        <f>VLOOKUP(A669,'[1]Raw data'!$B:$Z,3,FALSE)</f>
        <v>捷舜诚</v>
      </c>
      <c r="S669" s="568" t="str">
        <f>VLOOKUP(A669,'[1]Raw data'!$B:$Z,4,FALSE)</f>
        <v>YSM20R-2</v>
      </c>
      <c r="T669" s="568" t="str">
        <f>VLOOKUP(A669,'[1]Raw data'!$B:$Z,8,FALSE)</f>
        <v>L-&gt;R</v>
      </c>
      <c r="U669" s="568" t="str">
        <f>VLOOKUP(A669,'[1]Raw data'!$B:$Z,9,FALSE)</f>
        <v>MVC</v>
      </c>
      <c r="V669" s="572" t="str">
        <f t="shared" si="103"/>
        <v>WRONG</v>
      </c>
      <c r="W669" s="568" t="str">
        <f>VLOOKUP(A669,'[1]Raw data'!$B:$AG,32,FALSE)</f>
        <v>DAP SZ</v>
      </c>
      <c r="X669" s="568">
        <f>VLOOKUP(A669,'[1]Raw data'!$B:$BA,31,FALSE)</f>
        <v>44225</v>
      </c>
      <c r="Y669" s="568" t="str">
        <f>VLOOKUP(A669,'[1]Raw data'!$B:$AS,39,FALSE)</f>
        <v>Yes</v>
      </c>
      <c r="Z669" s="664"/>
      <c r="AA669" s="665"/>
      <c r="AB669" s="666"/>
      <c r="AC669" s="568" t="s">
        <v>1150</v>
      </c>
      <c r="AD669" s="667">
        <v>301</v>
      </c>
      <c r="AE669" s="667">
        <v>10</v>
      </c>
      <c r="AF669" s="667">
        <v>303</v>
      </c>
      <c r="AG669" s="667">
        <v>10</v>
      </c>
      <c r="AH669" s="667"/>
      <c r="AI669" s="668"/>
      <c r="AN669" s="547"/>
      <c r="AO669" s="829" t="str">
        <f t="shared" si="95"/>
        <v>Yes</v>
      </c>
      <c r="AP669" s="259" t="str">
        <f t="shared" si="96"/>
        <v>FEB 21</v>
      </c>
      <c r="AQ669" s="547" t="str">
        <f t="shared" si="97"/>
        <v>有定金+有預留客戶</v>
      </c>
      <c r="AR669" s="259" t="str">
        <f t="shared" si="98"/>
        <v>Shipped_Stock</v>
      </c>
      <c r="AS669" s="259" t="str">
        <f t="shared" si="99"/>
        <v/>
      </c>
      <c r="AT669" s="259" t="str">
        <f t="shared" si="100"/>
        <v>捷舜诚</v>
      </c>
      <c r="AU669" s="259" t="str">
        <f t="shared" si="101"/>
        <v>C49SZX20210032JL</v>
      </c>
      <c r="AV669" s="259" t="str">
        <f t="shared" si="102"/>
        <v>Feb-07</v>
      </c>
    </row>
    <row r="670" spans="1:48" hidden="1">
      <c r="A670" s="564">
        <v>1078</v>
      </c>
      <c r="B670" s="669" t="s">
        <v>1125</v>
      </c>
      <c r="C670" s="669" t="s">
        <v>15</v>
      </c>
      <c r="D670" s="650">
        <v>110132</v>
      </c>
      <c r="E670" s="568" t="s">
        <v>886</v>
      </c>
      <c r="F670" s="652" t="s">
        <v>58</v>
      </c>
      <c r="G670" s="652" t="s">
        <v>18</v>
      </c>
      <c r="H670" s="652" t="s">
        <v>26</v>
      </c>
      <c r="I670" s="580" t="s">
        <v>1403</v>
      </c>
      <c r="J670" s="580">
        <v>1</v>
      </c>
      <c r="K670" s="652" t="s">
        <v>81</v>
      </c>
      <c r="L670" s="662">
        <v>44234</v>
      </c>
      <c r="M670" s="670" t="s">
        <v>906</v>
      </c>
      <c r="N670" s="652" t="s">
        <v>14</v>
      </c>
      <c r="O670" s="580"/>
      <c r="P670" s="571" t="str">
        <f>VLOOKUP(A670,'[1]Raw data'!$B:$BB,23,FALSE)</f>
        <v>JPY</v>
      </c>
      <c r="Q670" s="568" t="str">
        <f>VLOOKUP(A670,'[1]Raw data'!$B:$Z,2,FALSE)</f>
        <v>C49SZX20210025DZ</v>
      </c>
      <c r="R670" s="568" t="str">
        <f>VLOOKUP(A670,'[1]Raw data'!$B:$Z,3,FALSE)</f>
        <v>巨鑫电子</v>
      </c>
      <c r="S670" s="568" t="str">
        <f>VLOOKUP(A670,'[1]Raw data'!$B:$Z,4,FALSE)</f>
        <v>YSM20R-2</v>
      </c>
      <c r="T670" s="568" t="str">
        <f>VLOOKUP(A670,'[1]Raw data'!$B:$Z,8,FALSE)</f>
        <v>R-&gt;L</v>
      </c>
      <c r="U670" s="568" t="str">
        <f>VLOOKUP(A670,'[1]Raw data'!$B:$Z,9,FALSE)</f>
        <v>No</v>
      </c>
      <c r="V670" s="572" t="str">
        <f t="shared" si="103"/>
        <v>OK</v>
      </c>
      <c r="W670" s="568" t="str">
        <f>VLOOKUP(A670,'[1]Raw data'!$B:$AG,32,FALSE)</f>
        <v>DAP SZ</v>
      </c>
      <c r="X670" s="568">
        <f>VLOOKUP(A670,'[1]Raw data'!$B:$BA,31,FALSE)</f>
        <v>44216</v>
      </c>
      <c r="Y670" s="568" t="str">
        <f>VLOOKUP(A670,'[1]Raw data'!$B:$AS,39,FALSE)</f>
        <v>Yes</v>
      </c>
      <c r="Z670" s="664"/>
      <c r="AA670" s="665"/>
      <c r="AB670" s="666"/>
      <c r="AC670" s="568" t="s">
        <v>1404</v>
      </c>
      <c r="AD670" s="667">
        <v>301</v>
      </c>
      <c r="AE670" s="667">
        <v>10</v>
      </c>
      <c r="AF670" s="667">
        <v>311</v>
      </c>
      <c r="AG670" s="667">
        <v>10</v>
      </c>
      <c r="AH670" s="667"/>
      <c r="AI670" s="668"/>
      <c r="AN670" s="547"/>
      <c r="AO670" s="829" t="str">
        <f t="shared" si="95"/>
        <v>Yes</v>
      </c>
      <c r="AP670" s="259" t="str">
        <f t="shared" si="96"/>
        <v>FEB 21</v>
      </c>
      <c r="AQ670" s="547" t="str">
        <f t="shared" si="97"/>
        <v>有定金+有預留客戶</v>
      </c>
      <c r="AR670" s="259" t="str">
        <f t="shared" si="98"/>
        <v>Shipped_Stock</v>
      </c>
      <c r="AS670" s="259" t="str">
        <f t="shared" si="99"/>
        <v/>
      </c>
      <c r="AT670" s="259" t="str">
        <f t="shared" si="100"/>
        <v>巨鑫电子</v>
      </c>
      <c r="AU670" s="259" t="str">
        <f t="shared" si="101"/>
        <v>C49SZX20210025DZ</v>
      </c>
      <c r="AV670" s="259" t="str">
        <f t="shared" si="102"/>
        <v>Feb-07</v>
      </c>
    </row>
    <row r="671" spans="1:48" hidden="1">
      <c r="A671" s="564">
        <v>1070</v>
      </c>
      <c r="B671" s="669" t="s">
        <v>1125</v>
      </c>
      <c r="C671" s="669" t="s">
        <v>15</v>
      </c>
      <c r="D671" s="650">
        <v>110130</v>
      </c>
      <c r="E671" s="568" t="s">
        <v>886</v>
      </c>
      <c r="F671" s="652" t="s">
        <v>241</v>
      </c>
      <c r="G671" s="652" t="s">
        <v>18</v>
      </c>
      <c r="H671" s="652" t="s">
        <v>26</v>
      </c>
      <c r="I671" s="580" t="s">
        <v>1405</v>
      </c>
      <c r="J671" s="580">
        <v>1</v>
      </c>
      <c r="K671" s="652" t="s">
        <v>82</v>
      </c>
      <c r="L671" s="662">
        <v>44234</v>
      </c>
      <c r="M671" s="670" t="s">
        <v>906</v>
      </c>
      <c r="N671" s="652" t="s">
        <v>14</v>
      </c>
      <c r="O671" s="580"/>
      <c r="P671" s="571" t="str">
        <f>VLOOKUP(A671,'[1]Raw data'!$B:$BB,23,FALSE)</f>
        <v>JPY</v>
      </c>
      <c r="Q671" s="568" t="str">
        <f>VLOOKUP(A671,'[1]Raw data'!$B:$Z,2,FALSE)</f>
        <v>C49SZX20210018SX</v>
      </c>
      <c r="R671" s="568" t="str">
        <f>VLOOKUP(A671,'[1]Raw data'!$B:$Z,3,FALSE)</f>
        <v>恒泰</v>
      </c>
      <c r="S671" s="568" t="str">
        <f>VLOOKUP(A671,'[1]Raw data'!$B:$Z,4,FALSE)</f>
        <v>YSM10</v>
      </c>
      <c r="T671" s="568" t="str">
        <f>VLOOKUP(A671,'[1]Raw data'!$B:$Z,8,FALSE)</f>
        <v>R-&gt;L</v>
      </c>
      <c r="U671" s="568" t="str">
        <f>VLOOKUP(A671,'[1]Raw data'!$B:$Z,9,FALSE)</f>
        <v>No</v>
      </c>
      <c r="V671" s="572" t="str">
        <f t="shared" si="103"/>
        <v>OK</v>
      </c>
      <c r="W671" s="568" t="str">
        <f>VLOOKUP(A671,'[1]Raw data'!$B:$AG,32,FALSE)</f>
        <v>DAP JA</v>
      </c>
      <c r="X671" s="568">
        <f>VLOOKUP(A671,'[1]Raw data'!$B:$BA,31,FALSE)</f>
        <v>44214</v>
      </c>
      <c r="Y671" s="568" t="str">
        <f>VLOOKUP(A671,'[1]Raw data'!$B:$AS,39,FALSE)</f>
        <v>Yes</v>
      </c>
      <c r="Z671" s="664"/>
      <c r="AA671" s="665"/>
      <c r="AB671" s="666"/>
      <c r="AC671" s="568" t="s">
        <v>1406</v>
      </c>
      <c r="AD671" s="667">
        <v>301</v>
      </c>
      <c r="AE671" s="667">
        <v>10</v>
      </c>
      <c r="AF671" s="667"/>
      <c r="AG671" s="667"/>
      <c r="AH671" s="667"/>
      <c r="AI671" s="668"/>
      <c r="AN671" s="547"/>
      <c r="AO671" s="829" t="str">
        <f t="shared" si="95"/>
        <v>Yes</v>
      </c>
      <c r="AP671" s="259" t="str">
        <f t="shared" si="96"/>
        <v>FEB 21</v>
      </c>
      <c r="AQ671" s="547" t="str">
        <f t="shared" si="97"/>
        <v>有定金+有預留客戶</v>
      </c>
      <c r="AR671" s="259" t="str">
        <f t="shared" si="98"/>
        <v>Shipped_Stock</v>
      </c>
      <c r="AS671" s="259" t="str">
        <f t="shared" si="99"/>
        <v/>
      </c>
      <c r="AT671" s="259" t="str">
        <f t="shared" si="100"/>
        <v>恒泰</v>
      </c>
      <c r="AU671" s="259" t="str">
        <f t="shared" si="101"/>
        <v>C49SZX20210018SX</v>
      </c>
      <c r="AV671" s="259" t="str">
        <f t="shared" si="102"/>
        <v>Feb-07</v>
      </c>
    </row>
    <row r="672" spans="1:48" hidden="1">
      <c r="A672" s="564">
        <v>931</v>
      </c>
      <c r="B672" s="669" t="s">
        <v>1125</v>
      </c>
      <c r="C672" s="669" t="s">
        <v>15</v>
      </c>
      <c r="D672" s="650">
        <v>110130</v>
      </c>
      <c r="E672" s="568" t="s">
        <v>886</v>
      </c>
      <c r="F672" s="652" t="s">
        <v>241</v>
      </c>
      <c r="G672" s="652" t="s">
        <v>18</v>
      </c>
      <c r="H672" s="652" t="s">
        <v>26</v>
      </c>
      <c r="I672" s="580" t="s">
        <v>1407</v>
      </c>
      <c r="J672" s="580">
        <v>1</v>
      </c>
      <c r="K672" s="652" t="s">
        <v>82</v>
      </c>
      <c r="L672" s="662">
        <v>44234</v>
      </c>
      <c r="M672" s="670" t="s">
        <v>906</v>
      </c>
      <c r="N672" s="652" t="s">
        <v>14</v>
      </c>
      <c r="O672" s="580"/>
      <c r="P672" s="571" t="str">
        <f>VLOOKUP(A672,'[1]Raw data'!$B:$BB,23,FALSE)</f>
        <v>JPY</v>
      </c>
      <c r="Q672" s="568" t="str">
        <f>VLOOKUP(A672,'[1]Raw data'!$B:$Z,2,FALSE)</f>
        <v>C49SZX20200211SX</v>
      </c>
      <c r="R672" s="568" t="str">
        <f>VLOOKUP(A672,'[1]Raw data'!$B:$Z,3,FALSE)</f>
        <v>同创</v>
      </c>
      <c r="S672" s="568" t="str">
        <f>VLOOKUP(A672,'[1]Raw data'!$B:$Z,4,FALSE)</f>
        <v>YSM10</v>
      </c>
      <c r="T672" s="568" t="str">
        <f>VLOOKUP(A672,'[1]Raw data'!$B:$Z,8,FALSE)</f>
        <v>L-&gt;R</v>
      </c>
      <c r="U672" s="568" t="str">
        <f>VLOOKUP(A672,'[1]Raw data'!$B:$Z,9,FALSE)</f>
        <v>MVC+ANC</v>
      </c>
      <c r="V672" s="572" t="str">
        <f t="shared" si="103"/>
        <v>WRONG</v>
      </c>
      <c r="W672" s="568" t="str">
        <f>VLOOKUP(A672,'[1]Raw data'!$B:$AG,32,FALSE)</f>
        <v>DAP SZ</v>
      </c>
      <c r="X672" s="568">
        <f>VLOOKUP(A672,'[1]Raw data'!$B:$BA,31,FALSE)</f>
        <v>44148</v>
      </c>
      <c r="Y672" s="568" t="str">
        <f>VLOOKUP(A672,'[1]Raw data'!$B:$AS,39,FALSE)</f>
        <v>Yes</v>
      </c>
      <c r="Z672" s="664"/>
      <c r="AA672" s="665"/>
      <c r="AB672" s="666"/>
      <c r="AC672" s="568" t="s">
        <v>1408</v>
      </c>
      <c r="AD672" s="667">
        <v>301</v>
      </c>
      <c r="AE672" s="667">
        <v>10</v>
      </c>
      <c r="AF672" s="667"/>
      <c r="AG672" s="667"/>
      <c r="AH672" s="667"/>
      <c r="AI672" s="668"/>
      <c r="AN672" s="547"/>
      <c r="AO672" s="829" t="str">
        <f t="shared" si="95"/>
        <v>Yes</v>
      </c>
      <c r="AP672" s="259" t="str">
        <f t="shared" si="96"/>
        <v>FEB 21</v>
      </c>
      <c r="AQ672" s="547" t="str">
        <f t="shared" si="97"/>
        <v>有定金+有預留客戶</v>
      </c>
      <c r="AR672" s="259" t="str">
        <f t="shared" si="98"/>
        <v>Shipped_Stock</v>
      </c>
      <c r="AS672" s="259" t="str">
        <f t="shared" si="99"/>
        <v/>
      </c>
      <c r="AT672" s="259" t="str">
        <f t="shared" si="100"/>
        <v>同创</v>
      </c>
      <c r="AU672" s="259" t="str">
        <f t="shared" si="101"/>
        <v>C49SZX20200211SX</v>
      </c>
      <c r="AV672" s="259" t="str">
        <f t="shared" si="102"/>
        <v>Feb-07</v>
      </c>
    </row>
    <row r="673" spans="1:48" hidden="1">
      <c r="A673" s="564">
        <v>983</v>
      </c>
      <c r="B673" s="669" t="s">
        <v>1125</v>
      </c>
      <c r="C673" s="669" t="s">
        <v>15</v>
      </c>
      <c r="D673" s="650">
        <v>110130</v>
      </c>
      <c r="E673" s="568" t="s">
        <v>886</v>
      </c>
      <c r="F673" s="652" t="s">
        <v>241</v>
      </c>
      <c r="G673" s="652" t="s">
        <v>18</v>
      </c>
      <c r="H673" s="652" t="s">
        <v>26</v>
      </c>
      <c r="I673" s="580" t="s">
        <v>1409</v>
      </c>
      <c r="J673" s="580">
        <v>1</v>
      </c>
      <c r="K673" s="652" t="s">
        <v>85</v>
      </c>
      <c r="L673" s="662">
        <v>44234</v>
      </c>
      <c r="M673" s="670" t="s">
        <v>906</v>
      </c>
      <c r="N673" s="652" t="s">
        <v>14</v>
      </c>
      <c r="O673" s="580"/>
      <c r="P673" s="571" t="str">
        <f>VLOOKUP(A673,'[1]Raw data'!$B:$BB,23,FALSE)</f>
        <v>JPY</v>
      </c>
      <c r="Q673" s="568" t="str">
        <f>VLOOKUP(A673,'[1]Raw data'!$B:$Z,2,FALSE)</f>
        <v>C49SZX20200230SS</v>
      </c>
      <c r="R673" s="568" t="str">
        <f>VLOOKUP(A673,'[1]Raw data'!$B:$Z,3,FALSE)</f>
        <v>盈通恒翼</v>
      </c>
      <c r="S673" s="568" t="str">
        <f>VLOOKUP(A673,'[1]Raw data'!$B:$Z,4,FALSE)</f>
        <v>YSM10</v>
      </c>
      <c r="T673" s="568" t="str">
        <f>VLOOKUP(A673,'[1]Raw data'!$B:$Z,8,FALSE)</f>
        <v>R-&gt;L</v>
      </c>
      <c r="U673" s="568" t="str">
        <f>VLOOKUP(A673,'[1]Raw data'!$B:$Z,9,FALSE)</f>
        <v>No</v>
      </c>
      <c r="V673" s="572" t="str">
        <f t="shared" si="103"/>
        <v>OK</v>
      </c>
      <c r="W673" s="568" t="str">
        <f>VLOOKUP(A673,'[1]Raw data'!$B:$AG,32,FALSE)</f>
        <v>DAP SZ</v>
      </c>
      <c r="X673" s="568">
        <f>VLOOKUP(A673,'[1]Raw data'!$B:$BA,31,FALSE)</f>
        <v>44163</v>
      </c>
      <c r="Y673" s="568" t="str">
        <f>VLOOKUP(A673,'[1]Raw data'!$B:$AS,39,FALSE)</f>
        <v>Yes</v>
      </c>
      <c r="Z673" s="664"/>
      <c r="AA673" s="665"/>
      <c r="AB673" s="666"/>
      <c r="AC673" s="568" t="s">
        <v>1377</v>
      </c>
      <c r="AD673" s="667">
        <v>301</v>
      </c>
      <c r="AE673" s="667">
        <v>10</v>
      </c>
      <c r="AF673" s="667"/>
      <c r="AG673" s="667"/>
      <c r="AH673" s="667"/>
      <c r="AI673" s="668"/>
      <c r="AN673" s="547"/>
      <c r="AO673" s="829" t="str">
        <f t="shared" si="95"/>
        <v>Yes</v>
      </c>
      <c r="AP673" s="259" t="str">
        <f t="shared" si="96"/>
        <v>FEB 21</v>
      </c>
      <c r="AQ673" s="547" t="str">
        <f t="shared" si="97"/>
        <v>有定金+有預留客戶</v>
      </c>
      <c r="AR673" s="259" t="str">
        <f t="shared" si="98"/>
        <v>Shipped_Stock</v>
      </c>
      <c r="AS673" s="259" t="str">
        <f t="shared" si="99"/>
        <v/>
      </c>
      <c r="AT673" s="259" t="str">
        <f t="shared" si="100"/>
        <v>盈通恒翼</v>
      </c>
      <c r="AU673" s="259" t="str">
        <f t="shared" si="101"/>
        <v>C49SZX20200230SS</v>
      </c>
      <c r="AV673" s="259" t="str">
        <f t="shared" si="102"/>
        <v>Feb-07</v>
      </c>
    </row>
    <row r="674" spans="1:48" hidden="1">
      <c r="A674" s="564">
        <v>1077</v>
      </c>
      <c r="B674" s="669" t="s">
        <v>1125</v>
      </c>
      <c r="C674" s="669" t="s">
        <v>15</v>
      </c>
      <c r="D674" s="650">
        <v>110130</v>
      </c>
      <c r="E674" s="568" t="s">
        <v>886</v>
      </c>
      <c r="F674" s="652" t="s">
        <v>241</v>
      </c>
      <c r="G674" s="652" t="s">
        <v>18</v>
      </c>
      <c r="H674" s="652" t="s">
        <v>26</v>
      </c>
      <c r="I674" s="580" t="s">
        <v>1410</v>
      </c>
      <c r="J674" s="580">
        <v>1</v>
      </c>
      <c r="K674" s="652" t="s">
        <v>82</v>
      </c>
      <c r="L674" s="662">
        <v>44234</v>
      </c>
      <c r="M674" s="670" t="s">
        <v>906</v>
      </c>
      <c r="N674" s="652" t="s">
        <v>14</v>
      </c>
      <c r="O674" s="580"/>
      <c r="P674" s="571" t="str">
        <f>VLOOKUP(A674,'[1]Raw data'!$B:$BB,23,FALSE)</f>
        <v>JPY</v>
      </c>
      <c r="Q674" s="568" t="str">
        <f>VLOOKUP(A674,'[1]Raw data'!$B:$Z,2,FALSE)</f>
        <v>C49SZX20210020SX</v>
      </c>
      <c r="R674" s="568" t="str">
        <f>VLOOKUP(A674,'[1]Raw data'!$B:$Z,3,FALSE)</f>
        <v>锐诚</v>
      </c>
      <c r="S674" s="568" t="str">
        <f>VLOOKUP(A674,'[1]Raw data'!$B:$Z,4,FALSE)</f>
        <v>YSM10</v>
      </c>
      <c r="T674" s="568" t="str">
        <f>VLOOKUP(A674,'[1]Raw data'!$B:$Z,8,FALSE)</f>
        <v>L-&gt;R</v>
      </c>
      <c r="U674" s="568" t="str">
        <f>VLOOKUP(A674,'[1]Raw data'!$B:$Z,9,FALSE)</f>
        <v>MVC</v>
      </c>
      <c r="V674" s="572" t="str">
        <f t="shared" si="103"/>
        <v>WRONG</v>
      </c>
      <c r="W674" s="568" t="str">
        <f>VLOOKUP(A674,'[1]Raw data'!$B:$AG,32,FALSE)</f>
        <v>DAP HZ</v>
      </c>
      <c r="X674" s="568">
        <f>VLOOKUP(A674,'[1]Raw data'!$B:$BA,31,FALSE)</f>
        <v>44216</v>
      </c>
      <c r="Y674" s="568" t="str">
        <f>VLOOKUP(A674,'[1]Raw data'!$B:$AS,39,FALSE)</f>
        <v>Yes</v>
      </c>
      <c r="Z674" s="664"/>
      <c r="AA674" s="665"/>
      <c r="AB674" s="666"/>
      <c r="AC674" s="568" t="s">
        <v>563</v>
      </c>
      <c r="AD674" s="667">
        <v>301</v>
      </c>
      <c r="AE674" s="667">
        <v>10</v>
      </c>
      <c r="AF674" s="667"/>
      <c r="AG674" s="667"/>
      <c r="AH674" s="667"/>
      <c r="AI674" s="668"/>
      <c r="AN674" s="547"/>
      <c r="AO674" s="829" t="str">
        <f t="shared" si="95"/>
        <v>Yes</v>
      </c>
      <c r="AP674" s="259" t="str">
        <f t="shared" si="96"/>
        <v>FEB 21</v>
      </c>
      <c r="AQ674" s="547" t="str">
        <f t="shared" si="97"/>
        <v>有定金+有預留客戶</v>
      </c>
      <c r="AR674" s="259" t="str">
        <f t="shared" si="98"/>
        <v>Shipped_Stock</v>
      </c>
      <c r="AS674" s="259" t="str">
        <f t="shared" si="99"/>
        <v/>
      </c>
      <c r="AT674" s="259" t="str">
        <f t="shared" si="100"/>
        <v>锐诚</v>
      </c>
      <c r="AU674" s="259" t="str">
        <f t="shared" si="101"/>
        <v>C49SZX20210020SX</v>
      </c>
      <c r="AV674" s="259" t="str">
        <f t="shared" si="102"/>
        <v>Feb-07</v>
      </c>
    </row>
    <row r="675" spans="1:48" hidden="1">
      <c r="A675" s="564">
        <v>941</v>
      </c>
      <c r="B675" s="669" t="s">
        <v>1125</v>
      </c>
      <c r="C675" s="669" t="s">
        <v>15</v>
      </c>
      <c r="D675" s="650">
        <v>110130</v>
      </c>
      <c r="E675" s="568" t="s">
        <v>886</v>
      </c>
      <c r="F675" s="652" t="s">
        <v>241</v>
      </c>
      <c r="G675" s="652" t="s">
        <v>18</v>
      </c>
      <c r="H675" s="652" t="s">
        <v>26</v>
      </c>
      <c r="I675" s="580" t="s">
        <v>1411</v>
      </c>
      <c r="J675" s="580">
        <v>1</v>
      </c>
      <c r="K675" s="652" t="s">
        <v>85</v>
      </c>
      <c r="L675" s="662">
        <v>44234</v>
      </c>
      <c r="M675" s="670" t="s">
        <v>906</v>
      </c>
      <c r="N675" s="652" t="s">
        <v>14</v>
      </c>
      <c r="O675" s="580"/>
      <c r="P675" s="571" t="str">
        <f>VLOOKUP(A675,'[1]Raw data'!$B:$BB,23,FALSE)</f>
        <v>JPY</v>
      </c>
      <c r="Q675" s="568" t="str">
        <f>VLOOKUP(A675,'[1]Raw data'!$B:$Z,2,FALSE)</f>
        <v>C49SZX20200222SS</v>
      </c>
      <c r="R675" s="568" t="str">
        <f>VLOOKUP(A675,'[1]Raw data'!$B:$Z,3,FALSE)</f>
        <v>盈通恒翼</v>
      </c>
      <c r="S675" s="568" t="str">
        <f>VLOOKUP(A675,'[1]Raw data'!$B:$Z,4,FALSE)</f>
        <v>YSM10</v>
      </c>
      <c r="T675" s="568" t="str">
        <f>VLOOKUP(A675,'[1]Raw data'!$B:$Z,8,FALSE)</f>
        <v>L-&gt;R</v>
      </c>
      <c r="U675" s="568" t="str">
        <f>VLOOKUP(A675,'[1]Raw data'!$B:$Z,9,FALSE)</f>
        <v>MVC</v>
      </c>
      <c r="V675" s="572" t="str">
        <f t="shared" si="103"/>
        <v>WRONG</v>
      </c>
      <c r="W675" s="568" t="str">
        <f>VLOOKUP(A675,'[1]Raw data'!$B:$AG,32,FALSE)</f>
        <v>DAP SZ</v>
      </c>
      <c r="X675" s="568">
        <f>VLOOKUP(A675,'[1]Raw data'!$B:$BA,31,FALSE)</f>
        <v>44153</v>
      </c>
      <c r="Y675" s="568" t="str">
        <f>VLOOKUP(A675,'[1]Raw data'!$B:$AS,39,FALSE)</f>
        <v>Yes</v>
      </c>
      <c r="Z675" s="664"/>
      <c r="AA675" s="665"/>
      <c r="AB675" s="666"/>
      <c r="AC675" s="568" t="s">
        <v>1377</v>
      </c>
      <c r="AD675" s="667">
        <v>301</v>
      </c>
      <c r="AE675" s="667">
        <v>10</v>
      </c>
      <c r="AF675" s="667"/>
      <c r="AG675" s="667"/>
      <c r="AH675" s="667"/>
      <c r="AI675" s="668"/>
      <c r="AN675" s="547"/>
      <c r="AO675" s="829" t="str">
        <f t="shared" si="95"/>
        <v>Yes</v>
      </c>
      <c r="AP675" s="259" t="str">
        <f t="shared" si="96"/>
        <v>FEB 21</v>
      </c>
      <c r="AQ675" s="547" t="str">
        <f t="shared" si="97"/>
        <v>有定金+有預留客戶</v>
      </c>
      <c r="AR675" s="259" t="str">
        <f t="shared" si="98"/>
        <v>Shipped_Stock</v>
      </c>
      <c r="AS675" s="259" t="str">
        <f t="shared" si="99"/>
        <v/>
      </c>
      <c r="AT675" s="259" t="str">
        <f t="shared" si="100"/>
        <v>盈通恒翼</v>
      </c>
      <c r="AU675" s="259" t="str">
        <f t="shared" si="101"/>
        <v>C49SZX20200222SS</v>
      </c>
      <c r="AV675" s="259" t="str">
        <f t="shared" si="102"/>
        <v>Feb-07</v>
      </c>
    </row>
    <row r="676" spans="1:48" hidden="1">
      <c r="A676" s="564">
        <v>930</v>
      </c>
      <c r="B676" s="669" t="s">
        <v>1125</v>
      </c>
      <c r="C676" s="669" t="s">
        <v>15</v>
      </c>
      <c r="D676" s="650">
        <v>110133</v>
      </c>
      <c r="E676" s="568" t="s">
        <v>886</v>
      </c>
      <c r="F676" s="652" t="s">
        <v>58</v>
      </c>
      <c r="G676" s="652" t="s">
        <v>24</v>
      </c>
      <c r="H676" s="652" t="s">
        <v>26</v>
      </c>
      <c r="I676" s="580" t="s">
        <v>1412</v>
      </c>
      <c r="J676" s="580">
        <v>1</v>
      </c>
      <c r="K676" s="652" t="s">
        <v>82</v>
      </c>
      <c r="L676" s="662">
        <v>44234</v>
      </c>
      <c r="M676" s="670" t="s">
        <v>906</v>
      </c>
      <c r="N676" s="652" t="s">
        <v>14</v>
      </c>
      <c r="O676" s="580"/>
      <c r="P676" s="571" t="str">
        <f>VLOOKUP(A676,'[1]Raw data'!$B:$BB,23,FALSE)</f>
        <v>JPY</v>
      </c>
      <c r="Q676" s="568" t="str">
        <f>VLOOKUP(A676,'[1]Raw data'!$B:$Z,2,FALSE)</f>
        <v>C49SZX20200211SX</v>
      </c>
      <c r="R676" s="568" t="str">
        <f>VLOOKUP(A676,'[1]Raw data'!$B:$Z,3,FALSE)</f>
        <v>同创</v>
      </c>
      <c r="S676" s="568" t="str">
        <f>VLOOKUP(A676,'[1]Raw data'!$B:$Z,4,FALSE)</f>
        <v>YSM20R-2</v>
      </c>
      <c r="T676" s="568" t="str">
        <f>VLOOKUP(A676,'[1]Raw data'!$B:$Z,8,FALSE)</f>
        <v>L-&gt;R</v>
      </c>
      <c r="U676" s="568" t="str">
        <f>VLOOKUP(A676,'[1]Raw data'!$B:$Z,9,FALSE)</f>
        <v>No</v>
      </c>
      <c r="V676" s="572" t="str">
        <f t="shared" si="103"/>
        <v>OK</v>
      </c>
      <c r="W676" s="568" t="str">
        <f>VLOOKUP(A676,'[1]Raw data'!$B:$AG,32,FALSE)</f>
        <v>DAP SZ</v>
      </c>
      <c r="X676" s="568">
        <f>VLOOKUP(A676,'[1]Raw data'!$B:$BA,31,FALSE)</f>
        <v>44148</v>
      </c>
      <c r="Y676" s="568" t="str">
        <f>VLOOKUP(A676,'[1]Raw data'!$B:$AS,39,FALSE)</f>
        <v>Yes</v>
      </c>
      <c r="Z676" s="664"/>
      <c r="AA676" s="665"/>
      <c r="AB676" s="666"/>
      <c r="AC676" s="568" t="s">
        <v>1408</v>
      </c>
      <c r="AD676" s="667">
        <v>302</v>
      </c>
      <c r="AE676" s="667">
        <v>10</v>
      </c>
      <c r="AF676" s="667">
        <v>311</v>
      </c>
      <c r="AG676" s="667">
        <v>10</v>
      </c>
      <c r="AH676" s="667"/>
      <c r="AI676" s="668"/>
      <c r="AN676" s="547"/>
      <c r="AO676" s="829" t="str">
        <f t="shared" si="95"/>
        <v>Yes</v>
      </c>
      <c r="AP676" s="259" t="str">
        <f t="shared" si="96"/>
        <v>FEB 21</v>
      </c>
      <c r="AQ676" s="547" t="str">
        <f t="shared" si="97"/>
        <v>有定金+有預留客戶</v>
      </c>
      <c r="AR676" s="259" t="str">
        <f t="shared" si="98"/>
        <v>Shipped_Stock</v>
      </c>
      <c r="AS676" s="259" t="str">
        <f t="shared" si="99"/>
        <v/>
      </c>
      <c r="AT676" s="259" t="str">
        <f t="shared" si="100"/>
        <v>同创</v>
      </c>
      <c r="AU676" s="259" t="str">
        <f t="shared" si="101"/>
        <v>C49SZX20200211SX</v>
      </c>
      <c r="AV676" s="259" t="str">
        <f t="shared" si="102"/>
        <v>Feb-07</v>
      </c>
    </row>
    <row r="677" spans="1:48" hidden="1">
      <c r="A677" s="564">
        <v>1079</v>
      </c>
      <c r="B677" s="568" t="s">
        <v>1125</v>
      </c>
      <c r="C677" s="565" t="s">
        <v>281</v>
      </c>
      <c r="D677" s="569">
        <v>110133</v>
      </c>
      <c r="E677" s="568" t="s">
        <v>886</v>
      </c>
      <c r="F677" s="568" t="s">
        <v>58</v>
      </c>
      <c r="G677" s="568" t="s">
        <v>24</v>
      </c>
      <c r="H677" s="568" t="s">
        <v>26</v>
      </c>
      <c r="I677" s="569" t="s">
        <v>1413</v>
      </c>
      <c r="J677" s="569">
        <v>1</v>
      </c>
      <c r="K677" s="568" t="s">
        <v>81</v>
      </c>
      <c r="L677" s="570">
        <v>44234</v>
      </c>
      <c r="M677" s="571" t="s">
        <v>906</v>
      </c>
      <c r="N677" s="568" t="s">
        <v>28</v>
      </c>
      <c r="O677" s="568"/>
      <c r="P677" s="571" t="str">
        <f>VLOOKUP(A677,'[1]Raw data'!$B:$BA,23,FALSE)</f>
        <v>JPY</v>
      </c>
      <c r="Q677" s="568" t="str">
        <f>VLOOKUP(A677,'[1]Raw data'!$B:$Z,2,FALSE)</f>
        <v>C49SZX20210026DZ</v>
      </c>
      <c r="R677" s="568" t="str">
        <f>VLOOKUP(A677,'[1]Raw data'!$B:$Z,3,FALSE)</f>
        <v>航特</v>
      </c>
      <c r="S677" s="568" t="str">
        <f>VLOOKUP(A677,'[1]Raw data'!$B:$Z,4,FALSE)</f>
        <v>YSM20R-2</v>
      </c>
      <c r="T677" s="568" t="str">
        <f>VLOOKUP(A677,'[1]Raw data'!$B:$Z,8,FALSE)</f>
        <v>L-&gt;R</v>
      </c>
      <c r="U677" s="568" t="str">
        <f>VLOOKUP(A677,'[1]Raw data'!$B:$Z,9,FALSE)</f>
        <v>No</v>
      </c>
      <c r="V677" s="572" t="str">
        <f t="shared" si="103"/>
        <v>OK</v>
      </c>
      <c r="W677" s="568" t="str">
        <f>VLOOKUP(A677,'[1]Raw data'!$B:$AG,32,FALSE)</f>
        <v>DAP CS</v>
      </c>
      <c r="X677" s="568">
        <f>VLOOKUP(A677,'[1]Raw data'!$B:$BA,31,FALSE)</f>
        <v>44218</v>
      </c>
      <c r="Y677" s="576" t="str">
        <f>VLOOKUP(A677,'[1]Raw data'!$B:$AS,39,FALSE)</f>
        <v>Yes</v>
      </c>
      <c r="Z677" s="576"/>
      <c r="AA677" s="577"/>
      <c r="AB677" s="576"/>
      <c r="AC677" s="568" t="s">
        <v>1394</v>
      </c>
      <c r="AD677" s="576">
        <v>302</v>
      </c>
      <c r="AE677" s="576">
        <v>20</v>
      </c>
      <c r="AF677" s="547"/>
      <c r="AG677" s="547"/>
      <c r="AH677" s="547"/>
      <c r="AI677" s="547"/>
      <c r="AJ677" s="547"/>
      <c r="AK677" s="547"/>
      <c r="AL677" s="547"/>
      <c r="AM677" s="547"/>
      <c r="AN677" s="547"/>
      <c r="AO677" s="829" t="str">
        <f t="shared" si="95"/>
        <v>Yes</v>
      </c>
      <c r="AP677" s="259" t="str">
        <f t="shared" si="96"/>
        <v>MAR 21</v>
      </c>
      <c r="AQ677" s="547" t="str">
        <f t="shared" si="97"/>
        <v>有定金+有預留客戶</v>
      </c>
      <c r="AR677" s="259" t="str">
        <f t="shared" si="98"/>
        <v>Shipped_Stock</v>
      </c>
      <c r="AS677" s="259" t="str">
        <f t="shared" si="99"/>
        <v/>
      </c>
      <c r="AT677" s="259" t="str">
        <f t="shared" si="100"/>
        <v>航特</v>
      </c>
      <c r="AU677" s="259" t="str">
        <f t="shared" si="101"/>
        <v>C49SZX20210026DZ</v>
      </c>
      <c r="AV677" s="259" t="str">
        <f t="shared" si="102"/>
        <v>Feb-07</v>
      </c>
    </row>
    <row r="678" spans="1:48" hidden="1">
      <c r="A678" s="564">
        <v>988</v>
      </c>
      <c r="B678" s="669" t="s">
        <v>1125</v>
      </c>
      <c r="C678" s="669" t="s">
        <v>15</v>
      </c>
      <c r="D678" s="650">
        <v>110133</v>
      </c>
      <c r="E678" s="568" t="s">
        <v>886</v>
      </c>
      <c r="F678" s="652" t="s">
        <v>58</v>
      </c>
      <c r="G678" s="652" t="s">
        <v>24</v>
      </c>
      <c r="H678" s="652" t="s">
        <v>26</v>
      </c>
      <c r="I678" s="580" t="s">
        <v>1414</v>
      </c>
      <c r="J678" s="580">
        <v>1</v>
      </c>
      <c r="K678" s="652" t="s">
        <v>81</v>
      </c>
      <c r="L678" s="662">
        <v>44234</v>
      </c>
      <c r="M678" s="670" t="s">
        <v>906</v>
      </c>
      <c r="N678" s="652" t="s">
        <v>28</v>
      </c>
      <c r="O678" s="580"/>
      <c r="P678" s="670" t="str">
        <f>VLOOKUP(A678,'[1]Raw data'!$B:$BA,23,FALSE)</f>
        <v>JPY</v>
      </c>
      <c r="Q678" s="652" t="str">
        <f>VLOOKUP(A678,'[1]Raw data'!$B:$Z,2,FALSE)</f>
        <v>C49SZX20200232SX</v>
      </c>
      <c r="R678" s="652" t="str">
        <f>VLOOKUP(A678,'[1]Raw data'!$B:$Z,3,FALSE)</f>
        <v>永顺创</v>
      </c>
      <c r="S678" s="652" t="str">
        <f>VLOOKUP(A678,'[1]Raw data'!$B:$Z,4,FALSE)</f>
        <v>YSM20R-2</v>
      </c>
      <c r="T678" s="652" t="str">
        <f>VLOOKUP(A678,'[1]Raw data'!$B:$Z,8,FALSE)</f>
        <v>L-&gt;R</v>
      </c>
      <c r="U678" s="652" t="str">
        <f>VLOOKUP(A678,'[1]Raw data'!$B:$Z,9,FALSE)</f>
        <v>No</v>
      </c>
      <c r="V678" s="572" t="str">
        <f t="shared" si="103"/>
        <v>OK</v>
      </c>
      <c r="W678" s="568" t="str">
        <f>VLOOKUP(A678,'[1]Raw data'!$B:$AG,32,FALSE)</f>
        <v>DAP SZ</v>
      </c>
      <c r="X678" s="652">
        <f>VLOOKUP(A678,'[1]Raw data'!$B:$BA,31,FALSE)</f>
        <v>44166</v>
      </c>
      <c r="Y678" s="652" t="str">
        <f>VLOOKUP(A678,'[1]Raw data'!$B:$AS,39,FALSE)</f>
        <v>Yes</v>
      </c>
      <c r="Z678" s="664"/>
      <c r="AA678" s="665"/>
      <c r="AB678" s="666"/>
      <c r="AC678" s="652" t="s">
        <v>1415</v>
      </c>
      <c r="AD678" s="667">
        <v>302</v>
      </c>
      <c r="AE678" s="667">
        <v>20</v>
      </c>
      <c r="AF678" s="667"/>
      <c r="AG678" s="667"/>
      <c r="AH678" s="667"/>
      <c r="AI678" s="668"/>
      <c r="AN678" s="547"/>
      <c r="AO678" s="829" t="str">
        <f t="shared" si="95"/>
        <v>Yes</v>
      </c>
      <c r="AP678" s="259" t="str">
        <f t="shared" si="96"/>
        <v>MAR 21</v>
      </c>
      <c r="AQ678" s="547" t="str">
        <f t="shared" si="97"/>
        <v>有定金+有預留客戶</v>
      </c>
      <c r="AR678" s="259" t="str">
        <f t="shared" si="98"/>
        <v>Shipped_Stock</v>
      </c>
      <c r="AS678" s="259" t="str">
        <f t="shared" si="99"/>
        <v/>
      </c>
      <c r="AT678" s="259" t="str">
        <f t="shared" si="100"/>
        <v>永顺创</v>
      </c>
      <c r="AU678" s="259" t="str">
        <f t="shared" si="101"/>
        <v>C49SZX20200232SX</v>
      </c>
      <c r="AV678" s="259" t="str">
        <f t="shared" si="102"/>
        <v>Feb-07</v>
      </c>
    </row>
    <row r="679" spans="1:48" hidden="1">
      <c r="A679" s="564">
        <v>1106</v>
      </c>
      <c r="B679" s="669" t="s">
        <v>1125</v>
      </c>
      <c r="C679" s="669" t="s">
        <v>15</v>
      </c>
      <c r="D679" s="650">
        <v>110133</v>
      </c>
      <c r="E679" s="568" t="s">
        <v>886</v>
      </c>
      <c r="F679" s="652" t="s">
        <v>58</v>
      </c>
      <c r="G679" s="652" t="s">
        <v>24</v>
      </c>
      <c r="H679" s="652" t="s">
        <v>26</v>
      </c>
      <c r="I679" s="580" t="s">
        <v>1416</v>
      </c>
      <c r="J679" s="580">
        <v>1</v>
      </c>
      <c r="K679" s="652" t="s">
        <v>81</v>
      </c>
      <c r="L679" s="662">
        <v>44234</v>
      </c>
      <c r="M679" s="670" t="s">
        <v>906</v>
      </c>
      <c r="N679" s="652" t="s">
        <v>90</v>
      </c>
      <c r="O679" s="580"/>
      <c r="P679" s="670" t="str">
        <f>VLOOKUP(A679,'[1]Raw data'!$B:$BA,23,FALSE)</f>
        <v>JPY</v>
      </c>
      <c r="Q679" s="652" t="str">
        <f>VLOOKUP(A679,'[1]Raw data'!$B:$Z,2,FALSE)</f>
        <v>C49SZX20210038SX</v>
      </c>
      <c r="R679" s="652" t="str">
        <f>VLOOKUP(A679,'[1]Raw data'!$B:$Z,3,FALSE)</f>
        <v>赛美达</v>
      </c>
      <c r="S679" s="652" t="str">
        <f>VLOOKUP(A679,'[1]Raw data'!$B:$Z,4,FALSE)</f>
        <v>YSM20R-2</v>
      </c>
      <c r="T679" s="652" t="str">
        <f>VLOOKUP(A679,'[1]Raw data'!$B:$Z,8,FALSE)</f>
        <v>L-&gt;R</v>
      </c>
      <c r="U679" s="652" t="str">
        <f>VLOOKUP(A679,'[1]Raw data'!$B:$Z,9,FALSE)</f>
        <v>No</v>
      </c>
      <c r="V679" s="572" t="str">
        <f t="shared" si="103"/>
        <v>OK</v>
      </c>
      <c r="W679" s="568" t="str">
        <f>VLOOKUP(A679,'[1]Raw data'!$B:$AG,32,FALSE)</f>
        <v>DAP SZ</v>
      </c>
      <c r="X679" s="652">
        <f>VLOOKUP(A679,'[1]Raw data'!$B:$BA,31,FALSE)</f>
        <v>44225</v>
      </c>
      <c r="Y679" s="652" t="str">
        <f>VLOOKUP(A679,'[1]Raw data'!$B:$AS,39,FALSE)</f>
        <v>Yes</v>
      </c>
      <c r="Z679" s="664"/>
      <c r="AA679" s="665"/>
      <c r="AB679" s="666"/>
      <c r="AC679" s="652" t="s">
        <v>1417</v>
      </c>
      <c r="AD679" s="667">
        <v>302</v>
      </c>
      <c r="AE679" s="667">
        <v>20</v>
      </c>
      <c r="AF679" s="667"/>
      <c r="AG679" s="667"/>
      <c r="AH679" s="667"/>
      <c r="AI679" s="668"/>
      <c r="AN679" s="547"/>
      <c r="AO679" s="829" t="str">
        <f t="shared" si="95"/>
        <v>Yes</v>
      </c>
      <c r="AP679" s="259" t="str">
        <f t="shared" si="96"/>
        <v>APR 21</v>
      </c>
      <c r="AQ679" s="547" t="str">
        <f t="shared" si="97"/>
        <v>有定金+有預留客戶</v>
      </c>
      <c r="AR679" s="259" t="str">
        <f t="shared" si="98"/>
        <v>Shipped_Stock</v>
      </c>
      <c r="AS679" s="259" t="str">
        <f t="shared" si="99"/>
        <v/>
      </c>
      <c r="AT679" s="259" t="str">
        <f t="shared" si="100"/>
        <v>赛美达</v>
      </c>
      <c r="AU679" s="259" t="str">
        <f t="shared" si="101"/>
        <v>C49SZX20210038SX</v>
      </c>
      <c r="AV679" s="259" t="str">
        <f t="shared" si="102"/>
        <v>Feb-07</v>
      </c>
    </row>
    <row r="680" spans="1:48" ht="21.75" hidden="1">
      <c r="A680" s="564">
        <v>990</v>
      </c>
      <c r="B680" s="669" t="s">
        <v>1125</v>
      </c>
      <c r="C680" s="669" t="s">
        <v>15</v>
      </c>
      <c r="D680" s="650">
        <v>110133</v>
      </c>
      <c r="E680" s="568" t="s">
        <v>886</v>
      </c>
      <c r="F680" s="652" t="s">
        <v>58</v>
      </c>
      <c r="G680" s="652" t="s">
        <v>24</v>
      </c>
      <c r="H680" s="652" t="s">
        <v>26</v>
      </c>
      <c r="I680" s="580" t="s">
        <v>1418</v>
      </c>
      <c r="J680" s="580">
        <v>1</v>
      </c>
      <c r="K680" s="652" t="s">
        <v>1419</v>
      </c>
      <c r="L680" s="662">
        <v>44234</v>
      </c>
      <c r="M680" s="683" t="s">
        <v>1420</v>
      </c>
      <c r="N680" s="652" t="s">
        <v>90</v>
      </c>
      <c r="O680" s="580"/>
      <c r="P680" s="670" t="str">
        <f>VLOOKUP(A680,'[1]Raw data'!$B:$BA,23,FALSE)</f>
        <v>RMB</v>
      </c>
      <c r="Q680" s="652" t="str">
        <f>VLOOKUP(A680,'[1]Raw data'!$B:$Z,2,FALSE)</f>
        <v>C49SZX20200080DY</v>
      </c>
      <c r="R680" s="652" t="str">
        <f>VLOOKUP(A680,'[1]Raw data'!$B:$Z,3,FALSE)</f>
        <v>富源晟</v>
      </c>
      <c r="S680" s="652" t="str">
        <f>VLOOKUP(A680,'[1]Raw data'!$B:$Z,4,FALSE)</f>
        <v>YSM20R-2</v>
      </c>
      <c r="T680" s="652" t="str">
        <f>VLOOKUP(A680,'[1]Raw data'!$B:$Z,8,FALSE)</f>
        <v>L-&gt;R</v>
      </c>
      <c r="U680" s="652" t="str">
        <f>VLOOKUP(A680,'[1]Raw data'!$B:$Z,9,FALSE)</f>
        <v>No</v>
      </c>
      <c r="V680" s="572" t="str">
        <f t="shared" si="103"/>
        <v>OK</v>
      </c>
      <c r="W680" s="568" t="str">
        <f>VLOOKUP(A680,'[1]Raw data'!$B:$AG,32,FALSE)</f>
        <v>含税到厂</v>
      </c>
      <c r="X680" s="652">
        <f>VLOOKUP(A680,'[1]Raw data'!$B:$BA,31,FALSE)</f>
        <v>44173</v>
      </c>
      <c r="Y680" s="652" t="str">
        <f>VLOOKUP(A680,'[1]Raw data'!$B:$AS,39,FALSE)</f>
        <v>Yes</v>
      </c>
      <c r="Z680" s="664"/>
      <c r="AA680" s="665"/>
      <c r="AB680" s="666"/>
      <c r="AC680" s="652" t="s">
        <v>1421</v>
      </c>
      <c r="AD680" s="667">
        <v>302</v>
      </c>
      <c r="AE680" s="667">
        <v>20</v>
      </c>
      <c r="AF680" s="667"/>
      <c r="AG680" s="667"/>
      <c r="AH680" s="667"/>
      <c r="AI680" s="668"/>
      <c r="AN680" s="547"/>
      <c r="AO680" s="829" t="str">
        <f t="shared" si="95"/>
        <v>Yes</v>
      </c>
      <c r="AP680" s="259" t="str">
        <f t="shared" si="96"/>
        <v>APR 21</v>
      </c>
      <c r="AQ680" s="547" t="str">
        <f t="shared" si="97"/>
        <v>有定金+有預留客戶</v>
      </c>
      <c r="AR680" s="259" t="str">
        <f t="shared" si="98"/>
        <v>Shipped_Stock</v>
      </c>
      <c r="AS680" s="259" t="str">
        <f t="shared" si="99"/>
        <v/>
      </c>
      <c r="AT680" s="259" t="str">
        <f t="shared" si="100"/>
        <v>富源晟</v>
      </c>
      <c r="AU680" s="259" t="str">
        <f t="shared" si="101"/>
        <v>C49SZX20200080DY</v>
      </c>
      <c r="AV680" s="259" t="str">
        <f t="shared" si="102"/>
        <v>Feb-07</v>
      </c>
    </row>
    <row r="681" spans="1:48" hidden="1">
      <c r="A681" s="564">
        <v>1017</v>
      </c>
      <c r="B681" s="669" t="s">
        <v>1125</v>
      </c>
      <c r="C681" s="669" t="s">
        <v>281</v>
      </c>
      <c r="D681" s="650">
        <v>110210</v>
      </c>
      <c r="E681" s="651" t="s">
        <v>1422</v>
      </c>
      <c r="F681" s="652" t="s">
        <v>241</v>
      </c>
      <c r="G681" s="652" t="s">
        <v>18</v>
      </c>
      <c r="H681" s="652" t="s">
        <v>48</v>
      </c>
      <c r="I681" s="580" t="s">
        <v>1423</v>
      </c>
      <c r="J681" s="580">
        <v>1</v>
      </c>
      <c r="K681" s="652" t="s">
        <v>81</v>
      </c>
      <c r="L681" s="731">
        <v>44247</v>
      </c>
      <c r="M681" s="670" t="s">
        <v>906</v>
      </c>
      <c r="N681" s="652" t="s">
        <v>14</v>
      </c>
      <c r="O681" s="580"/>
      <c r="P681" s="571" t="str">
        <f>VLOOKUP(A681,'[1]Raw data'!$B:$BB,23,FALSE)</f>
        <v>JPY</v>
      </c>
      <c r="Q681" s="568" t="str">
        <f>VLOOKUP(A681,'[1]Raw data'!$B:$Z,2,FALSE)</f>
        <v>C49SZX20200239JL</v>
      </c>
      <c r="R681" s="568" t="str">
        <f>VLOOKUP(A681,'[1]Raw data'!$B:$Z,3,FALSE)</f>
        <v>博实结</v>
      </c>
      <c r="S681" s="568" t="str">
        <f>VLOOKUP(A681,'[1]Raw data'!$B:$Z,4,FALSE)</f>
        <v>YSM10</v>
      </c>
      <c r="T681" s="568" t="str">
        <f>VLOOKUP(A681,'[1]Raw data'!$B:$Z,8,FALSE)</f>
        <v>L-&gt;R</v>
      </c>
      <c r="U681" s="568" t="str">
        <f>VLOOKUP(A681,'[1]Raw data'!$B:$Z,9,FALSE)</f>
        <v>MVC+ATS15</v>
      </c>
      <c r="V681" s="572" t="str">
        <f t="shared" ref="V681:V690" si="104">IF(G681&amp;H681=T681&amp;U681,"OK","WRONG")</f>
        <v>WRONG</v>
      </c>
      <c r="W681" s="568" t="str">
        <f>VLOOKUP(A681,'[1]Raw data'!$B:$AG,32,FALSE)</f>
        <v>CIF HK</v>
      </c>
      <c r="X681" s="568">
        <f>VLOOKUP(A681,'[1]Raw data'!$B:$BA,31,FALSE)</f>
        <v>44174</v>
      </c>
      <c r="Y681" s="568" t="str">
        <f>VLOOKUP(A681,'[1]Raw data'!$B:$AS,39,FALSE)</f>
        <v>Yes</v>
      </c>
      <c r="Z681" s="664"/>
      <c r="AA681" s="665"/>
      <c r="AB681" s="666"/>
      <c r="AC681" s="652" t="s">
        <v>1424</v>
      </c>
      <c r="AD681" s="667">
        <v>301</v>
      </c>
      <c r="AE681" s="667">
        <v>10</v>
      </c>
      <c r="AF681" s="667"/>
      <c r="AG681" s="667"/>
      <c r="AH681" s="667"/>
      <c r="AI681" s="668"/>
      <c r="AN681" s="547"/>
      <c r="AO681" s="829" t="str">
        <f t="shared" si="95"/>
        <v>Yes</v>
      </c>
      <c r="AP681" s="259" t="str">
        <f t="shared" si="96"/>
        <v>FEB 21</v>
      </c>
      <c r="AQ681" s="547" t="str">
        <f t="shared" si="97"/>
        <v>有定金+有預留客戶</v>
      </c>
      <c r="AR681" s="259" t="str">
        <f t="shared" si="98"/>
        <v>Shipped_Stock</v>
      </c>
      <c r="AS681" s="259" t="str">
        <f t="shared" si="99"/>
        <v/>
      </c>
      <c r="AT681" s="259" t="str">
        <f t="shared" si="100"/>
        <v>博实结</v>
      </c>
      <c r="AU681" s="259" t="str">
        <f t="shared" si="101"/>
        <v>C49SZX20200239JL</v>
      </c>
      <c r="AV681" s="259" t="str">
        <f t="shared" si="102"/>
        <v>Feb-20</v>
      </c>
    </row>
    <row r="682" spans="1:48" hidden="1">
      <c r="A682" s="564">
        <v>1074</v>
      </c>
      <c r="B682" s="669" t="s">
        <v>1125</v>
      </c>
      <c r="C682" s="669" t="s">
        <v>281</v>
      </c>
      <c r="D682" s="650">
        <v>110210</v>
      </c>
      <c r="E682" s="651" t="s">
        <v>1422</v>
      </c>
      <c r="F682" s="652" t="s">
        <v>241</v>
      </c>
      <c r="G682" s="652" t="s">
        <v>18</v>
      </c>
      <c r="H682" s="652" t="s">
        <v>48</v>
      </c>
      <c r="I682" s="580" t="s">
        <v>1425</v>
      </c>
      <c r="J682" s="580">
        <v>1</v>
      </c>
      <c r="K682" s="652" t="s">
        <v>81</v>
      </c>
      <c r="L682" s="731">
        <v>44247</v>
      </c>
      <c r="M682" s="670" t="s">
        <v>906</v>
      </c>
      <c r="N682" s="652" t="s">
        <v>110</v>
      </c>
      <c r="O682" s="580"/>
      <c r="P682" s="670" t="str">
        <f>VLOOKUP(A682,'[1]Raw data'!$B:$BA,23,FALSE)</f>
        <v>JPY</v>
      </c>
      <c r="Q682" s="652" t="str">
        <f>VLOOKUP(A682,'[1]Raw data'!$B:$Z,2,FALSE)</f>
        <v>C49SZX20210009MZ</v>
      </c>
      <c r="R682" s="652" t="str">
        <f>VLOOKUP(A682,'[1]Raw data'!$B:$Z,3,FALSE)</f>
        <v>奥视通</v>
      </c>
      <c r="S682" s="652" t="str">
        <f>VLOOKUP(A682,'[1]Raw data'!$B:$Z,4,FALSE)</f>
        <v>YSM10</v>
      </c>
      <c r="T682" s="652" t="str">
        <f>VLOOKUP(A682,'[1]Raw data'!$B:$Z,8,FALSE)</f>
        <v>L-&gt;R</v>
      </c>
      <c r="U682" s="652" t="str">
        <f>VLOOKUP(A682,'[1]Raw data'!$B:$Z,9,FALSE)</f>
        <v>MVC+ATS15</v>
      </c>
      <c r="V682" s="572" t="str">
        <f t="shared" si="104"/>
        <v>WRONG</v>
      </c>
      <c r="W682" s="568" t="str">
        <f>VLOOKUP(A682,'[1]Raw data'!$B:$AG,32,FALSE)</f>
        <v>DAP HZ</v>
      </c>
      <c r="X682" s="652">
        <f>VLOOKUP(A682,'[1]Raw data'!$B:$BA,31,FALSE)</f>
        <v>44215</v>
      </c>
      <c r="Y682" s="652" t="str">
        <f>VLOOKUP(A682,'[1]Raw data'!$B:$AS,39,FALSE)</f>
        <v>Yes</v>
      </c>
      <c r="Z682" s="664"/>
      <c r="AA682" s="665"/>
      <c r="AB682" s="666"/>
      <c r="AC682" s="652" t="s">
        <v>1426</v>
      </c>
      <c r="AD682" s="667">
        <v>301</v>
      </c>
      <c r="AE682" s="667">
        <v>10</v>
      </c>
      <c r="AF682" s="667"/>
      <c r="AG682" s="667"/>
      <c r="AH682" s="667"/>
      <c r="AI682" s="668"/>
      <c r="AN682" s="547"/>
      <c r="AO682" s="829" t="str">
        <f t="shared" si="95"/>
        <v>Yes</v>
      </c>
      <c r="AP682" s="259" t="str">
        <f t="shared" si="96"/>
        <v>MAY 21</v>
      </c>
      <c r="AQ682" s="547" t="str">
        <f t="shared" si="97"/>
        <v>有定金+有預留客戶</v>
      </c>
      <c r="AR682" s="259" t="str">
        <f t="shared" si="98"/>
        <v>Shipped_Stock</v>
      </c>
      <c r="AS682" s="259" t="str">
        <f t="shared" si="99"/>
        <v/>
      </c>
      <c r="AT682" s="259" t="str">
        <f t="shared" si="100"/>
        <v>奥视通</v>
      </c>
      <c r="AU682" s="259" t="str">
        <f t="shared" si="101"/>
        <v>C49SZX20210009MZ</v>
      </c>
      <c r="AV682" s="259" t="str">
        <f t="shared" si="102"/>
        <v>Feb-20</v>
      </c>
    </row>
    <row r="683" spans="1:48" hidden="1">
      <c r="A683" s="564">
        <v>1300</v>
      </c>
      <c r="B683" s="669" t="s">
        <v>1125</v>
      </c>
      <c r="C683" s="669" t="s">
        <v>281</v>
      </c>
      <c r="D683" s="650">
        <v>110210</v>
      </c>
      <c r="E683" s="651" t="s">
        <v>1422</v>
      </c>
      <c r="F683" s="652" t="s">
        <v>241</v>
      </c>
      <c r="G683" s="652" t="s">
        <v>18</v>
      </c>
      <c r="H683" s="652" t="s">
        <v>48</v>
      </c>
      <c r="I683" s="580" t="s">
        <v>1427</v>
      </c>
      <c r="J683" s="580">
        <v>1</v>
      </c>
      <c r="K683" s="652" t="s">
        <v>85</v>
      </c>
      <c r="L683" s="731">
        <v>44247</v>
      </c>
      <c r="M683" s="670" t="s">
        <v>906</v>
      </c>
      <c r="N683" s="652" t="s">
        <v>90</v>
      </c>
      <c r="O683" s="580"/>
      <c r="P683" s="670" t="str">
        <f>VLOOKUP(A683,'[1]Raw data'!$B:$BA,23,FALSE)</f>
        <v>RMB</v>
      </c>
      <c r="Q683" s="652" t="str">
        <f>VLOOKUP(A683,'[1]Raw data'!$B:$Z,2,FALSE)</f>
        <v>C49SZX20210105JY</v>
      </c>
      <c r="R683" s="652" t="str">
        <f>VLOOKUP(A683,'[1]Raw data'!$B:$Z,3,FALSE)</f>
        <v>辉拓</v>
      </c>
      <c r="S683" s="652" t="str">
        <f>VLOOKUP(A683,'[1]Raw data'!$B:$Z,4,FALSE)</f>
        <v>YSM10</v>
      </c>
      <c r="T683" s="652" t="str">
        <f>VLOOKUP(A683,'[1]Raw data'!$B:$Z,8,FALSE)</f>
        <v>L-&gt;R</v>
      </c>
      <c r="U683" s="652" t="str">
        <f>VLOOKUP(A683,'[1]Raw data'!$B:$Z,9,FALSE)</f>
        <v>MVC F&amp;R+ATS15</v>
      </c>
      <c r="V683" s="572" t="str">
        <f t="shared" si="104"/>
        <v>WRONG</v>
      </c>
      <c r="W683" s="568" t="str">
        <f>VLOOKUP(A683,'[1]Raw data'!$B:$AG,32,FALSE)</f>
        <v>DDP SZ</v>
      </c>
      <c r="X683" s="652">
        <f>VLOOKUP(A683,'[1]Raw data'!$B:$BA,31,FALSE)</f>
        <v>44292</v>
      </c>
      <c r="Y683" s="652" t="str">
        <f>VLOOKUP(A683,'[1]Raw data'!$B:$AS,39,FALSE)</f>
        <v>Yes</v>
      </c>
      <c r="Z683" s="664"/>
      <c r="AA683" s="665"/>
      <c r="AB683" s="666"/>
      <c r="AC683" s="652" t="s">
        <v>1428</v>
      </c>
      <c r="AD683" s="667">
        <v>302</v>
      </c>
      <c r="AE683" s="667">
        <v>10</v>
      </c>
      <c r="AF683" s="667"/>
      <c r="AG683" s="667"/>
      <c r="AH683" s="667"/>
      <c r="AI683" s="668"/>
      <c r="AN683" s="547"/>
      <c r="AO683" s="829" t="str">
        <f t="shared" si="95"/>
        <v>Yes</v>
      </c>
      <c r="AP683" s="259" t="str">
        <f t="shared" si="96"/>
        <v>APR 21</v>
      </c>
      <c r="AQ683" s="547" t="str">
        <f t="shared" si="97"/>
        <v>有定金+有預留客戶</v>
      </c>
      <c r="AR683" s="259" t="str">
        <f t="shared" si="98"/>
        <v>Shipped_Stock</v>
      </c>
      <c r="AS683" s="259" t="str">
        <f t="shared" si="99"/>
        <v/>
      </c>
      <c r="AT683" s="259" t="str">
        <f t="shared" si="100"/>
        <v>辉拓</v>
      </c>
      <c r="AU683" s="259" t="str">
        <f t="shared" si="101"/>
        <v>C49SZX20210105JY</v>
      </c>
      <c r="AV683" s="259" t="str">
        <f t="shared" si="102"/>
        <v>Feb-20</v>
      </c>
    </row>
    <row r="684" spans="1:48" hidden="1">
      <c r="A684" s="564">
        <v>1299</v>
      </c>
      <c r="B684" s="568" t="s">
        <v>1125</v>
      </c>
      <c r="C684" s="568"/>
      <c r="D684" s="732" t="s">
        <v>1429</v>
      </c>
      <c r="E684" s="729" t="s">
        <v>1429</v>
      </c>
      <c r="F684" s="568" t="s">
        <v>1163</v>
      </c>
      <c r="G684" s="568" t="s">
        <v>24</v>
      </c>
      <c r="H684" s="568" t="s">
        <v>26</v>
      </c>
      <c r="I684" s="569" t="s">
        <v>1430</v>
      </c>
      <c r="J684" s="569">
        <v>0</v>
      </c>
      <c r="K684" s="568"/>
      <c r="L684" s="570"/>
      <c r="M684" s="581"/>
      <c r="N684" s="568" t="s">
        <v>90</v>
      </c>
      <c r="P684" s="670" t="str">
        <f>VLOOKUP(A684,'[1]Raw data'!$B:$BA,23,FALSE)</f>
        <v>RMB</v>
      </c>
      <c r="Q684" s="652" t="str">
        <f>VLOOKUP(A684,'[1]Raw data'!$B:$Z,2,FALSE)</f>
        <v>C49SZX20210105JY</v>
      </c>
      <c r="R684" s="652" t="str">
        <f>VLOOKUP(A684,'[1]Raw data'!$B:$Z,3,FALSE)</f>
        <v>辉拓</v>
      </c>
      <c r="S684" s="652" t="str">
        <f>VLOOKUP(A684,'[1]Raw data'!$B:$Z,4,FALSE)</f>
        <v>YSM20R-2</v>
      </c>
      <c r="T684" s="652" t="str">
        <f>VLOOKUP(A684,'[1]Raw data'!$B:$Z,8,FALSE)</f>
        <v>L-&gt;R</v>
      </c>
      <c r="U684" s="652" t="str">
        <f>VLOOKUP(A684,'[1]Raw data'!$B:$Z,9,FALSE)</f>
        <v>MVC</v>
      </c>
      <c r="V684" s="572" t="str">
        <f>IF(G684&amp;H684=T684&amp;U684,"OK","WRONG")</f>
        <v>WRONG</v>
      </c>
      <c r="W684" s="568" t="str">
        <f>VLOOKUP(A684,'[1]Raw data'!$B:$AG,32,FALSE)</f>
        <v>DDP SZ</v>
      </c>
      <c r="X684" s="652">
        <f>VLOOKUP(A684,'[1]Raw data'!$B:$BA,31,FALSE)</f>
        <v>44292</v>
      </c>
      <c r="Y684" s="652" t="str">
        <f>VLOOKUP(A684,'[1]Raw data'!$B:$AS,39,FALSE)</f>
        <v>Yes</v>
      </c>
      <c r="AC684" s="652" t="s">
        <v>1428</v>
      </c>
      <c r="AO684" s="829" t="str">
        <f t="shared" si="95"/>
        <v>Yes</v>
      </c>
      <c r="AP684" s="259" t="str">
        <f t="shared" si="96"/>
        <v>APR 21</v>
      </c>
      <c r="AQ684" s="547" t="str">
        <f t="shared" si="97"/>
        <v>有定金+有預留客戶</v>
      </c>
      <c r="AR684" s="259" t="str">
        <f t="shared" si="98"/>
        <v>Shipped_Stock</v>
      </c>
      <c r="AS684" s="259" t="str">
        <f t="shared" si="99"/>
        <v/>
      </c>
      <c r="AT684" s="259" t="str">
        <f t="shared" si="100"/>
        <v>辉拓</v>
      </c>
      <c r="AU684" s="259" t="str">
        <f t="shared" si="101"/>
        <v>C49SZX20210105JY</v>
      </c>
      <c r="AV684" s="259" t="str">
        <f t="shared" si="102"/>
        <v>-</v>
      </c>
    </row>
    <row r="685" spans="1:48" hidden="1">
      <c r="A685" s="564">
        <v>1321</v>
      </c>
      <c r="B685" s="669" t="s">
        <v>1125</v>
      </c>
      <c r="C685" s="669" t="s">
        <v>281</v>
      </c>
      <c r="D685" s="650">
        <v>110210</v>
      </c>
      <c r="E685" s="651" t="s">
        <v>1422</v>
      </c>
      <c r="F685" s="652" t="s">
        <v>241</v>
      </c>
      <c r="G685" s="652" t="s">
        <v>18</v>
      </c>
      <c r="H685" s="652" t="s">
        <v>48</v>
      </c>
      <c r="I685" s="580" t="s">
        <v>1431</v>
      </c>
      <c r="J685" s="580">
        <v>1</v>
      </c>
      <c r="K685" s="652" t="s">
        <v>81</v>
      </c>
      <c r="L685" s="731">
        <v>44247</v>
      </c>
      <c r="M685" s="670" t="s">
        <v>906</v>
      </c>
      <c r="N685" s="652" t="s">
        <v>110</v>
      </c>
      <c r="O685" s="580"/>
      <c r="P685" s="670" t="str">
        <f>VLOOKUP(A685,'[1]Raw data'!$B:$BA,23,FALSE)</f>
        <v>JPY</v>
      </c>
      <c r="Q685" s="652" t="str">
        <f>VLOOKUP(A685,'[1]Raw data'!$B:$Z,2,FALSE)</f>
        <v>C49SZX20210109SX</v>
      </c>
      <c r="R685" s="652" t="str">
        <f>VLOOKUP(A685,'[1]Raw data'!$B:$Z,3,FALSE)</f>
        <v>华汛</v>
      </c>
      <c r="S685" s="652" t="str">
        <f>VLOOKUP(A685,'[1]Raw data'!$B:$Z,4,FALSE)</f>
        <v>YSM10</v>
      </c>
      <c r="T685" s="652" t="str">
        <f>VLOOKUP(A685,'[1]Raw data'!$B:$Z,8,FALSE)</f>
        <v>R-&gt;L</v>
      </c>
      <c r="U685" s="652" t="str">
        <f>VLOOKUP(A685,'[1]Raw data'!$B:$Z,9,FALSE)</f>
        <v>MVC+ATS15</v>
      </c>
      <c r="V685" s="572" t="str">
        <f t="shared" si="104"/>
        <v>WRONG</v>
      </c>
      <c r="W685" s="568" t="str">
        <f>VLOOKUP(A685,'[1]Raw data'!$B:$AG,32,FALSE)</f>
        <v>DAP SZ</v>
      </c>
      <c r="X685" s="652">
        <f>VLOOKUP(A685,'[1]Raw data'!$B:$BA,31,FALSE)</f>
        <v>44295</v>
      </c>
      <c r="Y685" s="652" t="str">
        <f>VLOOKUP(A685,'[1]Raw data'!$B:$AS,39,FALSE)</f>
        <v>Yes</v>
      </c>
      <c r="Z685" s="664"/>
      <c r="AA685" s="665"/>
      <c r="AB685" s="666"/>
      <c r="AC685" s="568" t="s">
        <v>807</v>
      </c>
      <c r="AD685" s="667">
        <v>311</v>
      </c>
      <c r="AE685" s="667">
        <v>10</v>
      </c>
      <c r="AF685" s="667"/>
      <c r="AG685" s="667"/>
      <c r="AH685" s="667"/>
      <c r="AI685" s="668"/>
      <c r="AN685" s="547"/>
      <c r="AO685" s="829" t="str">
        <f t="shared" si="95"/>
        <v>Yes</v>
      </c>
      <c r="AP685" s="259" t="str">
        <f t="shared" si="96"/>
        <v>MAY 21</v>
      </c>
      <c r="AQ685" s="547" t="str">
        <f t="shared" si="97"/>
        <v>有定金+有預留客戶</v>
      </c>
      <c r="AR685" s="259" t="str">
        <f t="shared" si="98"/>
        <v>Shipped_Stock</v>
      </c>
      <c r="AS685" s="259" t="str">
        <f t="shared" si="99"/>
        <v/>
      </c>
      <c r="AT685" s="259" t="str">
        <f t="shared" si="100"/>
        <v>华汛</v>
      </c>
      <c r="AU685" s="259" t="str">
        <f t="shared" si="101"/>
        <v>C49SZX20210109SX</v>
      </c>
      <c r="AV685" s="259" t="str">
        <f t="shared" si="102"/>
        <v>Feb-20</v>
      </c>
    </row>
    <row r="686" spans="1:48" hidden="1">
      <c r="A686" s="564">
        <v>1128</v>
      </c>
      <c r="B686" s="669" t="s">
        <v>1125</v>
      </c>
      <c r="C686" s="669" t="s">
        <v>15</v>
      </c>
      <c r="D686" s="650">
        <v>110175</v>
      </c>
      <c r="E686" s="568" t="s">
        <v>1432</v>
      </c>
      <c r="F686" s="652" t="s">
        <v>58</v>
      </c>
      <c r="G686" s="652" t="s">
        <v>24</v>
      </c>
      <c r="H686" s="652" t="s">
        <v>26</v>
      </c>
      <c r="I686" s="580" t="s">
        <v>1433</v>
      </c>
      <c r="J686" s="580">
        <v>1</v>
      </c>
      <c r="K686" s="652" t="s">
        <v>85</v>
      </c>
      <c r="L686" s="733" t="s">
        <v>1434</v>
      </c>
      <c r="M686" s="670" t="s">
        <v>906</v>
      </c>
      <c r="N686" s="652" t="s">
        <v>90</v>
      </c>
      <c r="O686" s="580"/>
      <c r="P686" s="670" t="str">
        <f>VLOOKUP(A686,'[1]Raw data'!$B:$BA,23,FALSE)</f>
        <v>JPY</v>
      </c>
      <c r="Q686" s="652" t="str">
        <f>VLOOKUP(A686,'[1]Raw data'!$B:$Z,2,FALSE)</f>
        <v>C49SZX20210036JZ</v>
      </c>
      <c r="R686" s="652" t="str">
        <f>VLOOKUP(A686,'[1]Raw data'!$B:$Z,3,FALSE)</f>
        <v>恒泰创新</v>
      </c>
      <c r="S686" s="652" t="str">
        <f>VLOOKUP(A686,'[1]Raw data'!$B:$Z,4,FALSE)</f>
        <v>YSM20R-2</v>
      </c>
      <c r="T686" s="652" t="str">
        <f>VLOOKUP(A686,'[1]Raw data'!$B:$Z,8,FALSE)</f>
        <v>L-&gt;R</v>
      </c>
      <c r="U686" s="652" t="str">
        <f>VLOOKUP(A686,'[1]Raw data'!$B:$Z,9,FALSE)</f>
        <v>MVC</v>
      </c>
      <c r="V686" s="572" t="str">
        <f t="shared" si="104"/>
        <v>WRONG</v>
      </c>
      <c r="W686" s="568" t="str">
        <f>VLOOKUP(A686,'[1]Raw data'!$B:$AG,32,FALSE)</f>
        <v>DAP SZ</v>
      </c>
      <c r="X686" s="652">
        <f>VLOOKUP(A686,'[1]Raw data'!$B:$BA,31,FALSE)</f>
        <v>44229</v>
      </c>
      <c r="Y686" s="652" t="str">
        <f>VLOOKUP(A686,'[1]Raw data'!$B:$AS,39,FALSE)</f>
        <v>Yes</v>
      </c>
      <c r="Z686" s="664"/>
      <c r="AA686" s="665"/>
      <c r="AB686" s="666"/>
      <c r="AC686" s="652" t="s">
        <v>1435</v>
      </c>
      <c r="AD686" s="667">
        <v>301</v>
      </c>
      <c r="AE686" s="667">
        <v>10</v>
      </c>
      <c r="AF686" s="667">
        <v>312</v>
      </c>
      <c r="AG686" s="667">
        <v>10</v>
      </c>
      <c r="AH686" s="667"/>
      <c r="AI686" s="668"/>
      <c r="AN686" s="547"/>
      <c r="AO686" s="829" t="str">
        <f t="shared" si="95"/>
        <v>Yes</v>
      </c>
      <c r="AP686" s="259" t="str">
        <f t="shared" si="96"/>
        <v>APR 21</v>
      </c>
      <c r="AQ686" s="547" t="str">
        <f t="shared" si="97"/>
        <v>有定金+有預留客戶</v>
      </c>
      <c r="AR686" s="259" t="str">
        <f t="shared" si="98"/>
        <v>Shipped_Stock</v>
      </c>
      <c r="AS686" s="259" t="str">
        <f t="shared" si="99"/>
        <v/>
      </c>
      <c r="AT686" s="259" t="str">
        <f t="shared" si="100"/>
        <v>恒泰创新</v>
      </c>
      <c r="AU686" s="259" t="str">
        <f t="shared" si="101"/>
        <v>C49SZX20210036JZ</v>
      </c>
      <c r="AV686" s="259" t="str">
        <f t="shared" si="102"/>
        <v>Feb-20</v>
      </c>
    </row>
    <row r="687" spans="1:48" hidden="1">
      <c r="A687" s="564">
        <v>1217</v>
      </c>
      <c r="B687" s="669" t="s">
        <v>1125</v>
      </c>
      <c r="C687" s="669" t="s">
        <v>15</v>
      </c>
      <c r="D687" s="650">
        <v>110175</v>
      </c>
      <c r="E687" s="568" t="s">
        <v>1432</v>
      </c>
      <c r="F687" s="652" t="s">
        <v>58</v>
      </c>
      <c r="G687" s="652" t="s">
        <v>24</v>
      </c>
      <c r="H687" s="652" t="s">
        <v>26</v>
      </c>
      <c r="I687" s="580" t="s">
        <v>1436</v>
      </c>
      <c r="J687" s="580">
        <v>1</v>
      </c>
      <c r="K687" s="652" t="s">
        <v>81</v>
      </c>
      <c r="L687" s="733" t="s">
        <v>1434</v>
      </c>
      <c r="M687" s="670" t="s">
        <v>906</v>
      </c>
      <c r="N687" s="652" t="s">
        <v>28</v>
      </c>
      <c r="O687" s="580"/>
      <c r="P687" s="571" t="str">
        <f>VLOOKUP(A687,'[1]Raw data'!$B:$BB,23,FALSE)</f>
        <v>JPY</v>
      </c>
      <c r="Q687" s="568" t="str">
        <f>VLOOKUP(A687,'[1]Raw data'!$B:$Z,2,FALSE)</f>
        <v>C49SZX20210068JL</v>
      </c>
      <c r="R687" s="568" t="str">
        <f>VLOOKUP(A687,'[1]Raw data'!$B:$Z,3,FALSE)</f>
        <v>芯睿视</v>
      </c>
      <c r="S687" s="568" t="str">
        <f>VLOOKUP(A687,'[1]Raw data'!$B:$Z,4,FALSE)</f>
        <v>YSM20R-2</v>
      </c>
      <c r="T687" s="568" t="str">
        <f>VLOOKUP(A687,'[1]Raw data'!$B:$Z,8,FALSE)</f>
        <v>L-&gt;R</v>
      </c>
      <c r="U687" s="568" t="str">
        <f>VLOOKUP(A687,'[1]Raw data'!$B:$Z,9,FALSE)</f>
        <v>No</v>
      </c>
      <c r="V687" s="572" t="str">
        <f t="shared" si="104"/>
        <v>OK</v>
      </c>
      <c r="W687" s="568" t="str">
        <f>VLOOKUP(A687,'[1]Raw data'!$B:$AG,32,FALSE)</f>
        <v>CIF HK</v>
      </c>
      <c r="X687" s="568">
        <f>VLOOKUP(A687,'[1]Raw data'!$B:$BA,31,FALSE)</f>
        <v>44263</v>
      </c>
      <c r="Y687" s="568" t="str">
        <f>VLOOKUP(A687,'[1]Raw data'!$B:$AS,39,FALSE)</f>
        <v>Yes</v>
      </c>
      <c r="Z687" s="671"/>
      <c r="AA687" s="672"/>
      <c r="AB687" s="673"/>
      <c r="AC687" s="652" t="s">
        <v>1437</v>
      </c>
      <c r="AD687" s="667">
        <v>301</v>
      </c>
      <c r="AE687" s="667">
        <v>10</v>
      </c>
      <c r="AF687" s="667">
        <v>312</v>
      </c>
      <c r="AG687" s="667">
        <v>10</v>
      </c>
      <c r="AH687" s="667"/>
      <c r="AI687" s="668"/>
      <c r="AN687" s="547"/>
      <c r="AO687" s="829" t="str">
        <f t="shared" si="95"/>
        <v>Yes</v>
      </c>
      <c r="AP687" s="259" t="str">
        <f t="shared" si="96"/>
        <v>MAR 21</v>
      </c>
      <c r="AQ687" s="547" t="str">
        <f t="shared" si="97"/>
        <v>有定金+有預留客戶</v>
      </c>
      <c r="AR687" s="259" t="str">
        <f t="shared" si="98"/>
        <v>Shipped_Stock</v>
      </c>
      <c r="AS687" s="259" t="str">
        <f t="shared" si="99"/>
        <v/>
      </c>
      <c r="AT687" s="259" t="str">
        <f t="shared" si="100"/>
        <v>芯睿视</v>
      </c>
      <c r="AU687" s="259" t="str">
        <f t="shared" si="101"/>
        <v>C49SZX20210068JL</v>
      </c>
      <c r="AV687" s="259" t="str">
        <f t="shared" si="102"/>
        <v>Feb-20</v>
      </c>
    </row>
    <row r="688" spans="1:48" hidden="1">
      <c r="A688" s="564">
        <v>1218</v>
      </c>
      <c r="B688" s="669" t="s">
        <v>1125</v>
      </c>
      <c r="C688" s="669" t="s">
        <v>15</v>
      </c>
      <c r="D688" s="650">
        <v>110175</v>
      </c>
      <c r="E688" s="568" t="s">
        <v>1432</v>
      </c>
      <c r="F688" s="652" t="s">
        <v>58</v>
      </c>
      <c r="G688" s="652" t="s">
        <v>24</v>
      </c>
      <c r="H688" s="652" t="s">
        <v>26</v>
      </c>
      <c r="I688" s="580" t="s">
        <v>1438</v>
      </c>
      <c r="J688" s="580">
        <v>1</v>
      </c>
      <c r="K688" s="652" t="s">
        <v>81</v>
      </c>
      <c r="L688" s="733" t="s">
        <v>1434</v>
      </c>
      <c r="M688" s="670" t="s">
        <v>906</v>
      </c>
      <c r="N688" s="652" t="s">
        <v>28</v>
      </c>
      <c r="O688" s="580"/>
      <c r="P688" s="571" t="str">
        <f>VLOOKUP(A688,'[1]Raw data'!$B:$BB,23,FALSE)</f>
        <v>JPY</v>
      </c>
      <c r="Q688" s="568" t="str">
        <f>VLOOKUP(A688,'[1]Raw data'!$B:$Z,2,FALSE)</f>
        <v>C49SZX20210068JL</v>
      </c>
      <c r="R688" s="568" t="str">
        <f>VLOOKUP(A688,'[1]Raw data'!$B:$Z,3,FALSE)</f>
        <v>芯睿视</v>
      </c>
      <c r="S688" s="568" t="str">
        <f>VLOOKUP(A688,'[1]Raw data'!$B:$Z,4,FALSE)</f>
        <v>YSM20R-2</v>
      </c>
      <c r="T688" s="568" t="str">
        <f>VLOOKUP(A688,'[1]Raw data'!$B:$Z,8,FALSE)</f>
        <v>L-&gt;R</v>
      </c>
      <c r="U688" s="568" t="str">
        <f>VLOOKUP(A688,'[1]Raw data'!$B:$Z,9,FALSE)</f>
        <v>No</v>
      </c>
      <c r="V688" s="572" t="str">
        <f t="shared" si="104"/>
        <v>OK</v>
      </c>
      <c r="W688" s="568" t="str">
        <f>VLOOKUP(A688,'[1]Raw data'!$B:$AG,32,FALSE)</f>
        <v>CIF HK</v>
      </c>
      <c r="X688" s="568">
        <f>VLOOKUP(A688,'[1]Raw data'!$B:$BA,31,FALSE)</f>
        <v>44263</v>
      </c>
      <c r="Y688" s="568" t="str">
        <f>VLOOKUP(A688,'[1]Raw data'!$B:$AS,39,FALSE)</f>
        <v>Yes</v>
      </c>
      <c r="Z688" s="671"/>
      <c r="AA688" s="672"/>
      <c r="AB688" s="673"/>
      <c r="AC688" s="652" t="s">
        <v>1437</v>
      </c>
      <c r="AD688" s="667">
        <v>301</v>
      </c>
      <c r="AE688" s="667">
        <v>10</v>
      </c>
      <c r="AF688" s="667">
        <v>312</v>
      </c>
      <c r="AG688" s="667">
        <v>10</v>
      </c>
      <c r="AH688" s="667"/>
      <c r="AI688" s="668"/>
      <c r="AN688" s="547"/>
      <c r="AO688" s="829" t="str">
        <f t="shared" si="95"/>
        <v>Yes</v>
      </c>
      <c r="AP688" s="259" t="str">
        <f t="shared" si="96"/>
        <v>MAR 21</v>
      </c>
      <c r="AQ688" s="547" t="str">
        <f t="shared" si="97"/>
        <v>有定金+有預留客戶</v>
      </c>
      <c r="AR688" s="259" t="str">
        <f t="shared" si="98"/>
        <v>Shipped_Stock</v>
      </c>
      <c r="AS688" s="259" t="str">
        <f t="shared" si="99"/>
        <v/>
      </c>
      <c r="AT688" s="259" t="str">
        <f t="shared" si="100"/>
        <v>芯睿视</v>
      </c>
      <c r="AU688" s="259" t="str">
        <f t="shared" si="101"/>
        <v>C49SZX20210068JL</v>
      </c>
      <c r="AV688" s="259" t="str">
        <f t="shared" si="102"/>
        <v>Feb-20</v>
      </c>
    </row>
    <row r="689" spans="1:48" hidden="1">
      <c r="A689" s="564">
        <v>1221</v>
      </c>
      <c r="B689" s="669" t="s">
        <v>1125</v>
      </c>
      <c r="C689" s="669" t="s">
        <v>15</v>
      </c>
      <c r="D689" s="650">
        <v>110175</v>
      </c>
      <c r="E689" s="568" t="s">
        <v>1432</v>
      </c>
      <c r="F689" s="652" t="s">
        <v>58</v>
      </c>
      <c r="G689" s="652" t="s">
        <v>24</v>
      </c>
      <c r="H689" s="652" t="s">
        <v>26</v>
      </c>
      <c r="I689" s="580" t="s">
        <v>1439</v>
      </c>
      <c r="J689" s="580">
        <v>1</v>
      </c>
      <c r="K689" s="652" t="s">
        <v>81</v>
      </c>
      <c r="L689" s="733" t="s">
        <v>1434</v>
      </c>
      <c r="M689" s="670" t="s">
        <v>906</v>
      </c>
      <c r="N689" s="652" t="s">
        <v>28</v>
      </c>
      <c r="O689" s="580"/>
      <c r="P689" s="571" t="str">
        <f>VLOOKUP(A689,'[1]Raw data'!$B:$BB,23,FALSE)</f>
        <v>JPY</v>
      </c>
      <c r="Q689" s="568" t="str">
        <f>VLOOKUP(A689,'[1]Raw data'!$B:$Z,2,FALSE)</f>
        <v>C49SZX20210068JL</v>
      </c>
      <c r="R689" s="568" t="str">
        <f>VLOOKUP(A689,'[1]Raw data'!$B:$Z,3,FALSE)</f>
        <v>芯睿视</v>
      </c>
      <c r="S689" s="568" t="str">
        <f>VLOOKUP(A689,'[1]Raw data'!$B:$Z,4,FALSE)</f>
        <v>YSM20R-2</v>
      </c>
      <c r="T689" s="568" t="str">
        <f>VLOOKUP(A689,'[1]Raw data'!$B:$Z,8,FALSE)</f>
        <v>L-&gt;R</v>
      </c>
      <c r="U689" s="568" t="str">
        <f>VLOOKUP(A689,'[1]Raw data'!$B:$Z,9,FALSE)</f>
        <v>No</v>
      </c>
      <c r="V689" s="572" t="str">
        <f t="shared" si="104"/>
        <v>OK</v>
      </c>
      <c r="W689" s="568" t="str">
        <f>VLOOKUP(A689,'[1]Raw data'!$B:$AG,32,FALSE)</f>
        <v>CIF HK</v>
      </c>
      <c r="X689" s="568">
        <f>VLOOKUP(A689,'[1]Raw data'!$B:$BA,31,FALSE)</f>
        <v>44263</v>
      </c>
      <c r="Y689" s="568" t="str">
        <f>VLOOKUP(A689,'[1]Raw data'!$B:$AS,39,FALSE)</f>
        <v>Yes</v>
      </c>
      <c r="Z689" s="671"/>
      <c r="AA689" s="672"/>
      <c r="AB689" s="673"/>
      <c r="AC689" s="652" t="s">
        <v>1437</v>
      </c>
      <c r="AD689" s="667">
        <v>301</v>
      </c>
      <c r="AE689" s="667">
        <v>10</v>
      </c>
      <c r="AF689" s="667">
        <v>312</v>
      </c>
      <c r="AG689" s="667">
        <v>10</v>
      </c>
      <c r="AH689" s="667"/>
      <c r="AI689" s="668"/>
      <c r="AN689" s="547"/>
      <c r="AO689" s="829" t="str">
        <f t="shared" si="95"/>
        <v>Yes</v>
      </c>
      <c r="AP689" s="259" t="str">
        <f t="shared" si="96"/>
        <v>MAR 21</v>
      </c>
      <c r="AQ689" s="547" t="str">
        <f t="shared" si="97"/>
        <v>有定金+有預留客戶</v>
      </c>
      <c r="AR689" s="259" t="str">
        <f t="shared" si="98"/>
        <v>Shipped_Stock</v>
      </c>
      <c r="AS689" s="259" t="str">
        <f t="shared" si="99"/>
        <v/>
      </c>
      <c r="AT689" s="259" t="str">
        <f t="shared" si="100"/>
        <v>芯睿视</v>
      </c>
      <c r="AU689" s="259" t="str">
        <f t="shared" si="101"/>
        <v>C49SZX20210068JL</v>
      </c>
      <c r="AV689" s="259" t="str">
        <f t="shared" si="102"/>
        <v>Feb-20</v>
      </c>
    </row>
    <row r="690" spans="1:48" hidden="1">
      <c r="A690" s="564">
        <v>1222</v>
      </c>
      <c r="B690" s="669" t="s">
        <v>1125</v>
      </c>
      <c r="C690" s="669" t="s">
        <v>15</v>
      </c>
      <c r="D690" s="650">
        <v>110175</v>
      </c>
      <c r="E690" s="568" t="s">
        <v>1432</v>
      </c>
      <c r="F690" s="652" t="s">
        <v>58</v>
      </c>
      <c r="G690" s="652" t="s">
        <v>24</v>
      </c>
      <c r="H690" s="652" t="s">
        <v>26</v>
      </c>
      <c r="I690" s="580" t="s">
        <v>1440</v>
      </c>
      <c r="J690" s="580">
        <v>1</v>
      </c>
      <c r="K690" s="652" t="s">
        <v>81</v>
      </c>
      <c r="L690" s="733" t="s">
        <v>1434</v>
      </c>
      <c r="M690" s="670" t="s">
        <v>906</v>
      </c>
      <c r="N690" s="652" t="s">
        <v>28</v>
      </c>
      <c r="O690" s="580"/>
      <c r="P690" s="571" t="str">
        <f>VLOOKUP(A690,'[1]Raw data'!$B:$BB,23,FALSE)</f>
        <v>JPY</v>
      </c>
      <c r="Q690" s="568" t="str">
        <f>VLOOKUP(A690,'[1]Raw data'!$B:$Z,2,FALSE)</f>
        <v>C49SZX20210068JL</v>
      </c>
      <c r="R690" s="568" t="str">
        <f>VLOOKUP(A690,'[1]Raw data'!$B:$Z,3,FALSE)</f>
        <v>芯睿视</v>
      </c>
      <c r="S690" s="568" t="str">
        <f>VLOOKUP(A690,'[1]Raw data'!$B:$Z,4,FALSE)</f>
        <v>YSM20R-2</v>
      </c>
      <c r="T690" s="568" t="str">
        <f>VLOOKUP(A690,'[1]Raw data'!$B:$Z,8,FALSE)</f>
        <v>L-&gt;R</v>
      </c>
      <c r="U690" s="568" t="str">
        <f>VLOOKUP(A690,'[1]Raw data'!$B:$Z,9,FALSE)</f>
        <v>No</v>
      </c>
      <c r="V690" s="572" t="str">
        <f t="shared" si="104"/>
        <v>OK</v>
      </c>
      <c r="W690" s="568" t="str">
        <f>VLOOKUP(A690,'[1]Raw data'!$B:$AG,32,FALSE)</f>
        <v>CIF HK</v>
      </c>
      <c r="X690" s="568">
        <f>VLOOKUP(A690,'[1]Raw data'!$B:$BA,31,FALSE)</f>
        <v>44263</v>
      </c>
      <c r="Y690" s="568" t="str">
        <f>VLOOKUP(A690,'[1]Raw data'!$B:$AS,39,FALSE)</f>
        <v>Yes</v>
      </c>
      <c r="Z690" s="671"/>
      <c r="AA690" s="672"/>
      <c r="AB690" s="673"/>
      <c r="AC690" s="652" t="s">
        <v>1437</v>
      </c>
      <c r="AD690" s="667">
        <v>301</v>
      </c>
      <c r="AE690" s="667">
        <v>10</v>
      </c>
      <c r="AF690" s="667">
        <v>312</v>
      </c>
      <c r="AG690" s="667">
        <v>10</v>
      </c>
      <c r="AH690" s="667"/>
      <c r="AI690" s="668"/>
      <c r="AN690" s="547"/>
      <c r="AO690" s="829" t="str">
        <f t="shared" si="95"/>
        <v>Yes</v>
      </c>
      <c r="AP690" s="259" t="str">
        <f t="shared" si="96"/>
        <v>MAR 21</v>
      </c>
      <c r="AQ690" s="547" t="str">
        <f t="shared" si="97"/>
        <v>有定金+有預留客戶</v>
      </c>
      <c r="AR690" s="259" t="str">
        <f t="shared" si="98"/>
        <v>Shipped_Stock</v>
      </c>
      <c r="AS690" s="259" t="str">
        <f t="shared" si="99"/>
        <v/>
      </c>
      <c r="AT690" s="259" t="str">
        <f t="shared" si="100"/>
        <v>芯睿视</v>
      </c>
      <c r="AU690" s="259" t="str">
        <f t="shared" si="101"/>
        <v>C49SZX20210068JL</v>
      </c>
      <c r="AV690" s="259" t="str">
        <f t="shared" si="102"/>
        <v>Feb-20</v>
      </c>
    </row>
    <row r="691" spans="1:48" hidden="1">
      <c r="A691" s="564">
        <v>1098</v>
      </c>
      <c r="B691" s="669" t="s">
        <v>1125</v>
      </c>
      <c r="C691" s="669" t="s">
        <v>15</v>
      </c>
      <c r="D691" s="650">
        <v>110174</v>
      </c>
      <c r="E691" s="568" t="s">
        <v>1432</v>
      </c>
      <c r="F691" s="652" t="s">
        <v>58</v>
      </c>
      <c r="G691" s="652" t="s">
        <v>24</v>
      </c>
      <c r="H691" s="652" t="s">
        <v>26</v>
      </c>
      <c r="I691" s="580" t="s">
        <v>1441</v>
      </c>
      <c r="J691" s="580">
        <v>1</v>
      </c>
      <c r="K691" s="652" t="s">
        <v>85</v>
      </c>
      <c r="L691" s="734">
        <v>44252</v>
      </c>
      <c r="M691" s="670" t="s">
        <v>906</v>
      </c>
      <c r="N691" s="652" t="s">
        <v>110</v>
      </c>
      <c r="O691" s="580"/>
      <c r="P691" s="670" t="str">
        <f>VLOOKUP(A691,'[1]Raw data'!$B:$BA,23,FALSE)</f>
        <v>JPY</v>
      </c>
      <c r="Q691" s="652" t="str">
        <f>VLOOKUP(A691,'[1]Raw data'!$B:$Z,2,FALSE)</f>
        <v>C49SZX20210022VG</v>
      </c>
      <c r="R691" s="652" t="str">
        <f>VLOOKUP(A691,'[1]Raw data'!$B:$Z,3,FALSE)</f>
        <v>吉鑫凯</v>
      </c>
      <c r="S691" s="652" t="str">
        <f>VLOOKUP(A691,'[1]Raw data'!$B:$Z,4,FALSE)</f>
        <v>YSM20R-2</v>
      </c>
      <c r="T691" s="652" t="str">
        <f>VLOOKUP(A691,'[1]Raw data'!$B:$Z,8,FALSE)</f>
        <v>L-&gt;R</v>
      </c>
      <c r="U691" s="652" t="str">
        <f>VLOOKUP(A691,'[1]Raw data'!$B:$Z,9,FALSE)</f>
        <v>MVC</v>
      </c>
      <c r="V691" s="572" t="str">
        <f t="shared" ref="V691:V695" si="105">IF(G691&amp;H691=T691&amp;U691,"OK","WRONG")</f>
        <v>WRONG</v>
      </c>
      <c r="W691" s="568" t="str">
        <f>VLOOKUP(A691,'[1]Raw data'!$B:$AG,32,FALSE)</f>
        <v>DAP SZ</v>
      </c>
      <c r="X691" s="652">
        <f>VLOOKUP(A691,'[1]Raw data'!$B:$BA,31,FALSE)</f>
        <v>44222</v>
      </c>
      <c r="Y691" s="652" t="str">
        <f>VLOOKUP(A691,'[1]Raw data'!$B:$AS,39,FALSE)</f>
        <v>Yes</v>
      </c>
      <c r="Z691" s="664"/>
      <c r="AA691" s="665"/>
      <c r="AB691" s="666"/>
      <c r="AC691" s="652" t="s">
        <v>1442</v>
      </c>
      <c r="AD691" s="667">
        <v>301</v>
      </c>
      <c r="AE691" s="667">
        <v>10</v>
      </c>
      <c r="AF691" s="667">
        <v>311</v>
      </c>
      <c r="AG691" s="667">
        <v>10</v>
      </c>
      <c r="AH691" s="667"/>
      <c r="AI691" s="668"/>
      <c r="AN691" s="547"/>
      <c r="AO691" s="829" t="str">
        <f t="shared" si="95"/>
        <v>Yes</v>
      </c>
      <c r="AP691" s="259" t="str">
        <f t="shared" si="96"/>
        <v>MAY 21</v>
      </c>
      <c r="AQ691" s="547" t="str">
        <f t="shared" si="97"/>
        <v>有定金+有預留客戶</v>
      </c>
      <c r="AR691" s="259" t="str">
        <f t="shared" si="98"/>
        <v>Shipped_Stock</v>
      </c>
      <c r="AS691" s="259" t="str">
        <f t="shared" si="99"/>
        <v/>
      </c>
      <c r="AT691" s="259" t="str">
        <f t="shared" si="100"/>
        <v>吉鑫凯</v>
      </c>
      <c r="AU691" s="259" t="str">
        <f t="shared" si="101"/>
        <v>C49SZX20210022VG</v>
      </c>
      <c r="AV691" s="259" t="str">
        <f t="shared" si="102"/>
        <v>Feb-25</v>
      </c>
    </row>
    <row r="692" spans="1:48" hidden="1">
      <c r="A692" s="564">
        <v>949</v>
      </c>
      <c r="B692" s="669" t="s">
        <v>1125</v>
      </c>
      <c r="C692" s="669" t="s">
        <v>15</v>
      </c>
      <c r="D692" s="650">
        <v>110174</v>
      </c>
      <c r="E692" s="568" t="s">
        <v>1432</v>
      </c>
      <c r="F692" s="652" t="s">
        <v>58</v>
      </c>
      <c r="G692" s="652" t="s">
        <v>24</v>
      </c>
      <c r="H692" s="652" t="s">
        <v>26</v>
      </c>
      <c r="I692" s="580" t="s">
        <v>1443</v>
      </c>
      <c r="J692" s="580">
        <v>1</v>
      </c>
      <c r="K692" s="652" t="s">
        <v>81</v>
      </c>
      <c r="L692" s="734">
        <v>44252</v>
      </c>
      <c r="M692" s="670" t="s">
        <v>906</v>
      </c>
      <c r="N692" s="652" t="s">
        <v>28</v>
      </c>
      <c r="O692" s="580"/>
      <c r="P692" s="670" t="str">
        <f>VLOOKUP(A692,'[1]Raw data'!$B:$BA,23,FALSE)</f>
        <v>JPY</v>
      </c>
      <c r="Q692" s="652" t="str">
        <f>VLOOKUP(A692,'[1]Raw data'!$B:$Z,2,FALSE)</f>
        <v>C49SZX20200213MX</v>
      </c>
      <c r="R692" s="652" t="str">
        <f>VLOOKUP(A692,'[1]Raw data'!$B:$Z,3,FALSE)</f>
        <v>音品（End user:艾艺科技)</v>
      </c>
      <c r="S692" s="652" t="str">
        <f>VLOOKUP(A692,'[1]Raw data'!$B:$Z,4,FALSE)</f>
        <v>YSM20R-2</v>
      </c>
      <c r="T692" s="652" t="str">
        <f>VLOOKUP(A692,'[1]Raw data'!$B:$Z,8,FALSE)</f>
        <v>L-&gt;R</v>
      </c>
      <c r="U692" s="652" t="str">
        <f>VLOOKUP(A692,'[1]Raw data'!$B:$Z,9,FALSE)</f>
        <v>No</v>
      </c>
      <c r="V692" s="572" t="str">
        <f t="shared" si="105"/>
        <v>OK</v>
      </c>
      <c r="W692" s="568" t="str">
        <f>VLOOKUP(A692,'[1]Raw data'!$B:$AG,32,FALSE)</f>
        <v>DAP SZ</v>
      </c>
      <c r="X692" s="652">
        <f>VLOOKUP(A692,'[1]Raw data'!$B:$BA,31,FALSE)</f>
        <v>44153</v>
      </c>
      <c r="Y692" s="652" t="str">
        <f>VLOOKUP(A692,'[1]Raw data'!$B:$AS,39,FALSE)</f>
        <v>Yes</v>
      </c>
      <c r="Z692" s="664"/>
      <c r="AA692" s="665"/>
      <c r="AB692" s="666"/>
      <c r="AC692" s="652" t="s">
        <v>1333</v>
      </c>
      <c r="AD692" s="667">
        <v>301</v>
      </c>
      <c r="AE692" s="667">
        <v>10</v>
      </c>
      <c r="AF692" s="667">
        <v>311</v>
      </c>
      <c r="AG692" s="667">
        <v>10</v>
      </c>
      <c r="AH692" s="667"/>
      <c r="AI692" s="668"/>
      <c r="AN692" s="547"/>
      <c r="AO692" s="829" t="str">
        <f t="shared" si="95"/>
        <v>Yes</v>
      </c>
      <c r="AP692" s="259" t="str">
        <f t="shared" si="96"/>
        <v>MAR 21</v>
      </c>
      <c r="AQ692" s="547" t="str">
        <f t="shared" si="97"/>
        <v>有定金+有預留客戶</v>
      </c>
      <c r="AR692" s="259" t="str">
        <f t="shared" si="98"/>
        <v>Shipped_Stock</v>
      </c>
      <c r="AS692" s="259" t="str">
        <f t="shared" si="99"/>
        <v/>
      </c>
      <c r="AT692" s="259" t="str">
        <f t="shared" si="100"/>
        <v>音品（End user:艾艺科技)</v>
      </c>
      <c r="AU692" s="259" t="str">
        <f t="shared" si="101"/>
        <v>C49SZX20200213MX</v>
      </c>
      <c r="AV692" s="259" t="str">
        <f t="shared" si="102"/>
        <v>Feb-25</v>
      </c>
    </row>
    <row r="693" spans="1:48" hidden="1">
      <c r="A693" s="564">
        <v>1122</v>
      </c>
      <c r="B693" s="669" t="s">
        <v>1125</v>
      </c>
      <c r="C693" s="669" t="s">
        <v>15</v>
      </c>
      <c r="D693" s="650">
        <v>110174</v>
      </c>
      <c r="E693" s="568" t="s">
        <v>1432</v>
      </c>
      <c r="F693" s="652" t="s">
        <v>58</v>
      </c>
      <c r="G693" s="652" t="s">
        <v>24</v>
      </c>
      <c r="H693" s="652" t="s">
        <v>26</v>
      </c>
      <c r="I693" s="580" t="s">
        <v>1444</v>
      </c>
      <c r="J693" s="580">
        <v>1</v>
      </c>
      <c r="K693" s="652" t="s">
        <v>81</v>
      </c>
      <c r="L693" s="734">
        <v>44252</v>
      </c>
      <c r="M693" s="670" t="s">
        <v>906</v>
      </c>
      <c r="N693" s="652" t="s">
        <v>28</v>
      </c>
      <c r="O693" s="580"/>
      <c r="P693" s="670" t="str">
        <f>VLOOKUP(A693,'[1]Raw data'!$B:$BA,23,FALSE)</f>
        <v>JPY</v>
      </c>
      <c r="Q693" s="652" t="str">
        <f>VLOOKUP(A693,'[1]Raw data'!$B:$Z,2,FALSE)</f>
        <v>C49SZX20210011JY</v>
      </c>
      <c r="R693" s="652" t="str">
        <f>VLOOKUP(A693,'[1]Raw data'!$B:$Z,3,FALSE)</f>
        <v>英拓邦</v>
      </c>
      <c r="S693" s="652" t="str">
        <f>VLOOKUP(A693,'[1]Raw data'!$B:$Z,4,FALSE)</f>
        <v>YSM20R-2</v>
      </c>
      <c r="T693" s="652" t="str">
        <f>VLOOKUP(A693,'[1]Raw data'!$B:$Z,8,FALSE)</f>
        <v>L-&gt;R</v>
      </c>
      <c r="U693" s="652" t="str">
        <f>VLOOKUP(A693,'[1]Raw data'!$B:$Z,9,FALSE)</f>
        <v>No</v>
      </c>
      <c r="V693" s="572" t="str">
        <f t="shared" si="105"/>
        <v>OK</v>
      </c>
      <c r="W693" s="568" t="str">
        <f>VLOOKUP(A693,'[1]Raw data'!$B:$AG,32,FALSE)</f>
        <v>CIF HK</v>
      </c>
      <c r="X693" s="652">
        <f>VLOOKUP(A693,'[1]Raw data'!$B:$BA,31,FALSE)</f>
        <v>44222</v>
      </c>
      <c r="Y693" s="652" t="str">
        <f>VLOOKUP(A693,'[1]Raw data'!$B:$AS,39,FALSE)</f>
        <v>Yes</v>
      </c>
      <c r="Z693" s="671"/>
      <c r="AA693" s="672"/>
      <c r="AB693" s="673"/>
      <c r="AC693" s="652" t="s">
        <v>1445</v>
      </c>
      <c r="AD693" s="667">
        <v>301</v>
      </c>
      <c r="AE693" s="667">
        <v>10</v>
      </c>
      <c r="AF693" s="667">
        <v>311</v>
      </c>
      <c r="AG693" s="667">
        <v>10</v>
      </c>
      <c r="AH693" s="667"/>
      <c r="AI693" s="668"/>
      <c r="AN693" s="547"/>
      <c r="AO693" s="829" t="str">
        <f t="shared" si="95"/>
        <v>Yes</v>
      </c>
      <c r="AP693" s="259" t="str">
        <f t="shared" si="96"/>
        <v>MAR 21</v>
      </c>
      <c r="AQ693" s="547" t="str">
        <f t="shared" si="97"/>
        <v>有定金+有預留客戶</v>
      </c>
      <c r="AR693" s="259" t="str">
        <f t="shared" si="98"/>
        <v>Shipped_Stock</v>
      </c>
      <c r="AS693" s="259" t="str">
        <f t="shared" si="99"/>
        <v/>
      </c>
      <c r="AT693" s="259" t="str">
        <f t="shared" si="100"/>
        <v>英拓邦</v>
      </c>
      <c r="AU693" s="259" t="str">
        <f t="shared" si="101"/>
        <v>C49SZX20210011JY</v>
      </c>
      <c r="AV693" s="259" t="str">
        <f t="shared" si="102"/>
        <v>Feb-25</v>
      </c>
    </row>
    <row r="694" spans="1:48" hidden="1">
      <c r="A694" s="564">
        <v>1015</v>
      </c>
      <c r="B694" s="669" t="s">
        <v>1125</v>
      </c>
      <c r="C694" s="669" t="s">
        <v>15</v>
      </c>
      <c r="D694" s="650">
        <v>110174</v>
      </c>
      <c r="E694" s="568" t="s">
        <v>1432</v>
      </c>
      <c r="F694" s="652" t="s">
        <v>58</v>
      </c>
      <c r="G694" s="652" t="s">
        <v>24</v>
      </c>
      <c r="H694" s="652" t="s">
        <v>26</v>
      </c>
      <c r="I694" s="580" t="s">
        <v>1446</v>
      </c>
      <c r="J694" s="580">
        <v>1</v>
      </c>
      <c r="K694" s="652" t="s">
        <v>81</v>
      </c>
      <c r="L694" s="734">
        <v>44252</v>
      </c>
      <c r="M694" s="670" t="s">
        <v>906</v>
      </c>
      <c r="N694" s="652" t="s">
        <v>14</v>
      </c>
      <c r="O694" s="580"/>
      <c r="P694" s="571" t="str">
        <f>VLOOKUP(A694,'[1]Raw data'!$B:$BB,23,FALSE)</f>
        <v>JPY</v>
      </c>
      <c r="Q694" s="568" t="str">
        <f>VLOOKUP(A694,'[1]Raw data'!$B:$Z,2,FALSE)</f>
        <v>C49SZX20200239JL</v>
      </c>
      <c r="R694" s="568" t="str">
        <f>VLOOKUP(A694,'[1]Raw data'!$B:$Z,3,FALSE)</f>
        <v>博实结</v>
      </c>
      <c r="S694" s="568" t="str">
        <f>VLOOKUP(A694,'[1]Raw data'!$B:$Z,4,FALSE)</f>
        <v>YSM20R-2</v>
      </c>
      <c r="T694" s="568" t="str">
        <f>VLOOKUP(A694,'[1]Raw data'!$B:$Z,8,FALSE)</f>
        <v>L-&gt;R</v>
      </c>
      <c r="U694" s="568" t="str">
        <f>VLOOKUP(A694,'[1]Raw data'!$B:$Z,9,FALSE)</f>
        <v>No</v>
      </c>
      <c r="V694" s="572" t="str">
        <f t="shared" si="105"/>
        <v>OK</v>
      </c>
      <c r="W694" s="568" t="str">
        <f>VLOOKUP(A694,'[1]Raw data'!$B:$AG,32,FALSE)</f>
        <v>CIF HK</v>
      </c>
      <c r="X694" s="568">
        <f>VLOOKUP(A694,'[1]Raw data'!$B:$BA,31,FALSE)</f>
        <v>44174</v>
      </c>
      <c r="Y694" s="568" t="str">
        <f>VLOOKUP(A694,'[1]Raw data'!$B:$AS,39,FALSE)</f>
        <v>Yes</v>
      </c>
      <c r="Z694" s="664"/>
      <c r="AA694" s="665"/>
      <c r="AB694" s="666"/>
      <c r="AC694" s="652" t="s">
        <v>1424</v>
      </c>
      <c r="AD694" s="667">
        <v>301</v>
      </c>
      <c r="AE694" s="667">
        <v>10</v>
      </c>
      <c r="AF694" s="667">
        <v>311</v>
      </c>
      <c r="AG694" s="667">
        <v>10</v>
      </c>
      <c r="AH694" s="667"/>
      <c r="AI694" s="668"/>
      <c r="AN694" s="547"/>
      <c r="AO694" s="829" t="str">
        <f t="shared" si="95"/>
        <v>Yes</v>
      </c>
      <c r="AP694" s="259" t="str">
        <f t="shared" si="96"/>
        <v>FEB 21</v>
      </c>
      <c r="AQ694" s="547" t="str">
        <f t="shared" si="97"/>
        <v>有定金+有預留客戶</v>
      </c>
      <c r="AR694" s="259" t="str">
        <f t="shared" si="98"/>
        <v>Shipped_Stock</v>
      </c>
      <c r="AS694" s="259" t="str">
        <f t="shared" si="99"/>
        <v/>
      </c>
      <c r="AT694" s="259" t="str">
        <f t="shared" si="100"/>
        <v>博实结</v>
      </c>
      <c r="AU694" s="259" t="str">
        <f t="shared" si="101"/>
        <v>C49SZX20200239JL</v>
      </c>
      <c r="AV694" s="259" t="str">
        <f t="shared" si="102"/>
        <v>Feb-25</v>
      </c>
    </row>
    <row r="695" spans="1:48" hidden="1">
      <c r="A695" s="564">
        <v>1014</v>
      </c>
      <c r="B695" s="669" t="s">
        <v>1125</v>
      </c>
      <c r="C695" s="669" t="s">
        <v>15</v>
      </c>
      <c r="D695" s="650">
        <v>110174</v>
      </c>
      <c r="E695" s="568" t="s">
        <v>1432</v>
      </c>
      <c r="F695" s="652" t="s">
        <v>58</v>
      </c>
      <c r="G695" s="652" t="s">
        <v>24</v>
      </c>
      <c r="H695" s="652" t="s">
        <v>26</v>
      </c>
      <c r="I695" s="580" t="s">
        <v>1447</v>
      </c>
      <c r="J695" s="580">
        <v>1</v>
      </c>
      <c r="K695" s="652" t="s">
        <v>81</v>
      </c>
      <c r="L695" s="734">
        <v>44252</v>
      </c>
      <c r="M695" s="670" t="s">
        <v>906</v>
      </c>
      <c r="N695" s="652" t="s">
        <v>28</v>
      </c>
      <c r="O695" s="580"/>
      <c r="P695" s="571" t="str">
        <f>VLOOKUP(A695,'[1]Raw data'!$B:$BB,23,FALSE)</f>
        <v>JPY</v>
      </c>
      <c r="Q695" s="568" t="str">
        <f>VLOOKUP(A695,'[1]Raw data'!$B:$Z,2,FALSE)</f>
        <v>C49SZX20200239JL</v>
      </c>
      <c r="R695" s="568" t="str">
        <f>VLOOKUP(A695,'[1]Raw data'!$B:$Z,3,FALSE)</f>
        <v>博实结</v>
      </c>
      <c r="S695" s="568" t="str">
        <f>VLOOKUP(A695,'[1]Raw data'!$B:$Z,4,FALSE)</f>
        <v>YSM20R-2</v>
      </c>
      <c r="T695" s="568" t="str">
        <f>VLOOKUP(A695,'[1]Raw data'!$B:$Z,8,FALSE)</f>
        <v>L-&gt;R</v>
      </c>
      <c r="U695" s="568" t="str">
        <f>VLOOKUP(A695,'[1]Raw data'!$B:$Z,9,FALSE)</f>
        <v>No</v>
      </c>
      <c r="V695" s="572" t="str">
        <f t="shared" si="105"/>
        <v>OK</v>
      </c>
      <c r="W695" s="568" t="str">
        <f>VLOOKUP(A695,'[1]Raw data'!$B:$AG,32,FALSE)</f>
        <v>CIF HK</v>
      </c>
      <c r="X695" s="568">
        <f>VLOOKUP(A695,'[1]Raw data'!$B:$BA,31,FALSE)</f>
        <v>44174</v>
      </c>
      <c r="Y695" s="568" t="str">
        <f>VLOOKUP(A695,'[1]Raw data'!$B:$AS,39,FALSE)</f>
        <v>Yes</v>
      </c>
      <c r="Z695" s="664"/>
      <c r="AA695" s="665"/>
      <c r="AB695" s="666"/>
      <c r="AC695" s="652" t="s">
        <v>1424</v>
      </c>
      <c r="AD695" s="667">
        <v>301</v>
      </c>
      <c r="AE695" s="667">
        <v>10</v>
      </c>
      <c r="AF695" s="667">
        <v>311</v>
      </c>
      <c r="AG695" s="667">
        <v>10</v>
      </c>
      <c r="AH695" s="667"/>
      <c r="AI695" s="668"/>
      <c r="AN695" s="547"/>
      <c r="AO695" s="829" t="str">
        <f t="shared" si="95"/>
        <v>Yes</v>
      </c>
      <c r="AP695" s="259" t="str">
        <f t="shared" si="96"/>
        <v>MAR 21</v>
      </c>
      <c r="AQ695" s="547" t="str">
        <f t="shared" si="97"/>
        <v>有定金+有預留客戶</v>
      </c>
      <c r="AR695" s="259" t="str">
        <f t="shared" si="98"/>
        <v>Shipped_Stock</v>
      </c>
      <c r="AS695" s="259" t="str">
        <f t="shared" si="99"/>
        <v/>
      </c>
      <c r="AT695" s="259" t="str">
        <f t="shared" si="100"/>
        <v>博实结</v>
      </c>
      <c r="AU695" s="259" t="str">
        <f t="shared" si="101"/>
        <v>C49SZX20200239JL</v>
      </c>
      <c r="AV695" s="259" t="str">
        <f t="shared" si="102"/>
        <v>Feb-25</v>
      </c>
    </row>
    <row r="696" spans="1:48" hidden="1">
      <c r="A696" s="564">
        <v>1110</v>
      </c>
      <c r="B696" s="669" t="s">
        <v>1125</v>
      </c>
      <c r="C696" s="669" t="s">
        <v>15</v>
      </c>
      <c r="D696" s="650">
        <v>110131</v>
      </c>
      <c r="E696" s="568" t="s">
        <v>886</v>
      </c>
      <c r="F696" s="652" t="s">
        <v>241</v>
      </c>
      <c r="G696" s="652" t="s">
        <v>18</v>
      </c>
      <c r="H696" s="652" t="s">
        <v>26</v>
      </c>
      <c r="I696" s="580" t="s">
        <v>88</v>
      </c>
      <c r="J696" s="580">
        <v>1</v>
      </c>
      <c r="K696" s="652" t="s">
        <v>81</v>
      </c>
      <c r="L696" s="734">
        <v>44252</v>
      </c>
      <c r="M696" s="670" t="s">
        <v>906</v>
      </c>
      <c r="N696" s="652" t="s">
        <v>28</v>
      </c>
      <c r="O696" s="580"/>
      <c r="P696" s="670" t="str">
        <f>VLOOKUP(A696,'[1]Raw data'!$B:$BA,23,FALSE)</f>
        <v>JPY</v>
      </c>
      <c r="Q696" s="652" t="str">
        <f>VLOOKUP(A696,'[1]Raw data'!$B:$Z,2,FALSE)</f>
        <v>C49SZX20210037SX</v>
      </c>
      <c r="R696" s="652" t="str">
        <f>VLOOKUP(A696,'[1]Raw data'!$B:$Z,3,FALSE)</f>
        <v>模鑫</v>
      </c>
      <c r="S696" s="652" t="str">
        <f>VLOOKUP(A696,'[1]Raw data'!$B:$Z,4,FALSE)</f>
        <v>YSM10</v>
      </c>
      <c r="T696" s="652" t="str">
        <f>VLOOKUP(A696,'[1]Raw data'!$B:$Z,8,FALSE)</f>
        <v>L-&gt;R</v>
      </c>
      <c r="U696" s="652" t="str">
        <f>VLOOKUP(A696,'[1]Raw data'!$B:$Z,9,FALSE)</f>
        <v>MVC</v>
      </c>
      <c r="V696" s="572" t="str">
        <f>IF(G696&amp;H696=T696&amp;U696,"OK","WRONG")</f>
        <v>WRONG</v>
      </c>
      <c r="W696" s="568" t="str">
        <f>VLOOKUP(A696,'[1]Raw data'!$B:$AG,32,FALSE)</f>
        <v>DAP SZ</v>
      </c>
      <c r="X696" s="652">
        <f>VLOOKUP(A696,'[1]Raw data'!$B:$BA,31,FALSE)</f>
        <v>44228</v>
      </c>
      <c r="Y696" s="652" t="str">
        <f>VLOOKUP(A696,'[1]Raw data'!$B:$AS,39,FALSE)</f>
        <v>Yes</v>
      </c>
      <c r="Z696" s="671"/>
      <c r="AA696" s="672"/>
      <c r="AB696" s="673"/>
      <c r="AC696" s="652" t="s">
        <v>1367</v>
      </c>
      <c r="AD696" s="667">
        <v>301</v>
      </c>
      <c r="AE696" s="667">
        <v>10</v>
      </c>
      <c r="AF696" s="667"/>
      <c r="AG696" s="667"/>
      <c r="AH696" s="667"/>
      <c r="AI696" s="668"/>
      <c r="AN696" s="547"/>
      <c r="AO696" s="829" t="str">
        <f t="shared" si="95"/>
        <v>Yes</v>
      </c>
      <c r="AP696" s="259" t="str">
        <f t="shared" si="96"/>
        <v>MAR 21</v>
      </c>
      <c r="AQ696" s="547" t="str">
        <f t="shared" si="97"/>
        <v>有定金+有預留客戶</v>
      </c>
      <c r="AR696" s="259" t="str">
        <f t="shared" si="98"/>
        <v>Shipped_Stock</v>
      </c>
      <c r="AS696" s="259" t="str">
        <f t="shared" si="99"/>
        <v/>
      </c>
      <c r="AT696" s="259" t="str">
        <f t="shared" si="100"/>
        <v>模鑫</v>
      </c>
      <c r="AU696" s="259" t="str">
        <f t="shared" si="101"/>
        <v>C49SZX20210037SX</v>
      </c>
      <c r="AV696" s="259" t="str">
        <f t="shared" si="102"/>
        <v>Feb-25</v>
      </c>
    </row>
    <row r="697" spans="1:48" hidden="1">
      <c r="A697" s="564">
        <v>1056</v>
      </c>
      <c r="B697" s="669" t="s">
        <v>1125</v>
      </c>
      <c r="C697" s="669" t="s">
        <v>15</v>
      </c>
      <c r="D697" s="650">
        <v>110131</v>
      </c>
      <c r="E697" s="568" t="s">
        <v>886</v>
      </c>
      <c r="F697" s="652" t="s">
        <v>241</v>
      </c>
      <c r="G697" s="652" t="s">
        <v>18</v>
      </c>
      <c r="H697" s="652" t="s">
        <v>26</v>
      </c>
      <c r="I697" s="580" t="s">
        <v>1448</v>
      </c>
      <c r="J697" s="580">
        <v>1</v>
      </c>
      <c r="K697" s="652" t="s">
        <v>81</v>
      </c>
      <c r="L697" s="734">
        <v>44252</v>
      </c>
      <c r="M697" s="670" t="s">
        <v>906</v>
      </c>
      <c r="N697" s="652" t="s">
        <v>14</v>
      </c>
      <c r="O697" s="580"/>
      <c r="P697" s="571" t="str">
        <f>VLOOKUP(A697,'[1]Raw data'!$B:$BB,23,FALSE)</f>
        <v>JPY</v>
      </c>
      <c r="Q697" s="568" t="str">
        <f>VLOOKUP(A697,'[1]Raw data'!$B:$Z,2,FALSE)</f>
        <v>C49SZX20200260LC</v>
      </c>
      <c r="R697" s="568" t="str">
        <f>VLOOKUP(A697,'[1]Raw data'!$B:$Z,3,FALSE)</f>
        <v>永诺精密</v>
      </c>
      <c r="S697" s="568" t="str">
        <f>VLOOKUP(A697,'[1]Raw data'!$B:$Z,4,FALSE)</f>
        <v>YSM10</v>
      </c>
      <c r="T697" s="568" t="str">
        <f>VLOOKUP(A697,'[1]Raw data'!$B:$Z,8,FALSE)</f>
        <v>L-&gt;R</v>
      </c>
      <c r="U697" s="568" t="str">
        <f>VLOOKUP(A697,'[1]Raw data'!$B:$Z,9,FALSE)</f>
        <v>No</v>
      </c>
      <c r="V697" s="572" t="str">
        <f>IF(G697&amp;H697=T697&amp;U697,"OK","WRONG")</f>
        <v>WRONG</v>
      </c>
      <c r="W697" s="568" t="str">
        <f>VLOOKUP(A697,'[1]Raw data'!$B:$AG,32,FALSE)</f>
        <v>DAP DG</v>
      </c>
      <c r="X697" s="568">
        <f>VLOOKUP(A697,'[1]Raw data'!$B:$BA,31,FALSE)</f>
        <v>44193</v>
      </c>
      <c r="Y697" s="568" t="str">
        <f>VLOOKUP(A697,'[1]Raw data'!$B:$AS,39,FALSE)</f>
        <v>Yes</v>
      </c>
      <c r="Z697" s="671"/>
      <c r="AA697" s="672"/>
      <c r="AB697" s="673"/>
      <c r="AC697" s="568" t="s">
        <v>1449</v>
      </c>
      <c r="AD697" s="667">
        <v>301</v>
      </c>
      <c r="AE697" s="667">
        <v>10</v>
      </c>
      <c r="AF697" s="667"/>
      <c r="AG697" s="667"/>
      <c r="AH697" s="667"/>
      <c r="AI697" s="668"/>
      <c r="AN697" s="547"/>
      <c r="AO697" s="829" t="str">
        <f t="shared" si="95"/>
        <v>Yes</v>
      </c>
      <c r="AP697" s="259" t="str">
        <f t="shared" si="96"/>
        <v>FEB 21</v>
      </c>
      <c r="AQ697" s="547" t="str">
        <f t="shared" si="97"/>
        <v>有定金+有預留客戶</v>
      </c>
      <c r="AR697" s="259" t="str">
        <f t="shared" si="98"/>
        <v>Shipped_Stock</v>
      </c>
      <c r="AS697" s="259" t="str">
        <f t="shared" si="99"/>
        <v/>
      </c>
      <c r="AT697" s="259" t="str">
        <f t="shared" si="100"/>
        <v>永诺精密</v>
      </c>
      <c r="AU697" s="259" t="str">
        <f t="shared" si="101"/>
        <v>C49SZX20200260LC</v>
      </c>
      <c r="AV697" s="259" t="str">
        <f t="shared" si="102"/>
        <v>Feb-25</v>
      </c>
    </row>
    <row r="698" spans="1:48" hidden="1">
      <c r="A698" s="564">
        <v>977</v>
      </c>
      <c r="B698" s="669" t="s">
        <v>1125</v>
      </c>
      <c r="C698" s="669" t="s">
        <v>15</v>
      </c>
      <c r="D698" s="650">
        <v>110131</v>
      </c>
      <c r="E698" s="568" t="s">
        <v>886</v>
      </c>
      <c r="F698" s="652" t="s">
        <v>241</v>
      </c>
      <c r="G698" s="652" t="s">
        <v>18</v>
      </c>
      <c r="H698" s="652" t="s">
        <v>26</v>
      </c>
      <c r="I698" s="580" t="s">
        <v>84</v>
      </c>
      <c r="J698" s="580">
        <v>1</v>
      </c>
      <c r="K698" s="652" t="s">
        <v>85</v>
      </c>
      <c r="L698" s="734">
        <v>44252</v>
      </c>
      <c r="M698" s="670" t="s">
        <v>906</v>
      </c>
      <c r="N698" s="652" t="s">
        <v>90</v>
      </c>
      <c r="O698" s="580"/>
      <c r="P698" s="670" t="str">
        <f>VLOOKUP(A698,'[1]Raw data'!$B:$BA,23,FALSE)</f>
        <v>JPY</v>
      </c>
      <c r="Q698" s="652" t="str">
        <f>VLOOKUP(A698,'[1]Raw data'!$B:$Z,2,FALSE)</f>
        <v>C49SZX20200227MZ</v>
      </c>
      <c r="R698" s="652" t="str">
        <f>VLOOKUP(A698,'[1]Raw data'!$B:$Z,3,FALSE)</f>
        <v>程氏松哥</v>
      </c>
      <c r="S698" s="652" t="str">
        <f>VLOOKUP(A698,'[1]Raw data'!$B:$Z,4,FALSE)</f>
        <v>YSM10</v>
      </c>
      <c r="T698" s="652" t="str">
        <f>VLOOKUP(A698,'[1]Raw data'!$B:$Z,8,FALSE)</f>
        <v>L-&gt;R</v>
      </c>
      <c r="U698" s="652" t="str">
        <f>VLOOKUP(A698,'[1]Raw data'!$B:$Z,9,FALSE)</f>
        <v>No</v>
      </c>
      <c r="V698" s="572" t="str">
        <f>IF(G698&amp;H698=T698&amp;U698,"OK","WRONG")</f>
        <v>WRONG</v>
      </c>
      <c r="W698" s="568" t="str">
        <f>VLOOKUP(A698,'[1]Raw data'!$B:$AG,32,FALSE)</f>
        <v>DAP SZ</v>
      </c>
      <c r="X698" s="652">
        <f>VLOOKUP(A698,'[1]Raw data'!$B:$BA,31,FALSE)</f>
        <v>44158</v>
      </c>
      <c r="Y698" s="652" t="str">
        <f>VLOOKUP(A698,'[1]Raw data'!$B:$AS,39,FALSE)</f>
        <v>Yes</v>
      </c>
      <c r="Z698" s="664"/>
      <c r="AA698" s="665"/>
      <c r="AB698" s="666"/>
      <c r="AC698" s="652" t="s">
        <v>1450</v>
      </c>
      <c r="AD698" s="667">
        <v>301</v>
      </c>
      <c r="AE698" s="667">
        <v>10</v>
      </c>
      <c r="AF698" s="667"/>
      <c r="AG698" s="667"/>
      <c r="AH698" s="667"/>
      <c r="AI698" s="668"/>
      <c r="AN698" s="547"/>
      <c r="AO698" s="829" t="str">
        <f t="shared" si="95"/>
        <v>Yes</v>
      </c>
      <c r="AP698" s="259" t="str">
        <f t="shared" si="96"/>
        <v>APR 21</v>
      </c>
      <c r="AQ698" s="547" t="str">
        <f t="shared" si="97"/>
        <v>有定金+有預留客戶</v>
      </c>
      <c r="AR698" s="259" t="str">
        <f t="shared" si="98"/>
        <v>Shipped_Stock</v>
      </c>
      <c r="AS698" s="259" t="str">
        <f t="shared" si="99"/>
        <v/>
      </c>
      <c r="AT698" s="259" t="str">
        <f t="shared" si="100"/>
        <v>程氏松哥</v>
      </c>
      <c r="AU698" s="259" t="str">
        <f t="shared" si="101"/>
        <v>C49SZX20200227MZ</v>
      </c>
      <c r="AV698" s="259" t="str">
        <f t="shared" si="102"/>
        <v>Feb-25</v>
      </c>
    </row>
    <row r="699" spans="1:48" hidden="1">
      <c r="A699" s="564">
        <v>989</v>
      </c>
      <c r="B699" s="669" t="s">
        <v>1125</v>
      </c>
      <c r="C699" s="669" t="s">
        <v>15</v>
      </c>
      <c r="D699" s="650">
        <v>110131</v>
      </c>
      <c r="E699" s="568" t="s">
        <v>886</v>
      </c>
      <c r="F699" s="652" t="s">
        <v>241</v>
      </c>
      <c r="G699" s="652" t="s">
        <v>18</v>
      </c>
      <c r="H699" s="652" t="s">
        <v>26</v>
      </c>
      <c r="I699" s="580" t="s">
        <v>1451</v>
      </c>
      <c r="J699" s="580">
        <v>1</v>
      </c>
      <c r="K699" s="652" t="s">
        <v>81</v>
      </c>
      <c r="L699" s="734">
        <v>44252</v>
      </c>
      <c r="M699" s="670" t="s">
        <v>906</v>
      </c>
      <c r="N699" s="652" t="s">
        <v>14</v>
      </c>
      <c r="O699" s="580"/>
      <c r="P699" s="571" t="str">
        <f>VLOOKUP(A699,'[1]Raw data'!$B:$BB,23,FALSE)</f>
        <v>JPY</v>
      </c>
      <c r="Q699" s="568" t="str">
        <f>VLOOKUP(A699,'[1]Raw data'!$B:$Z,2,FALSE)</f>
        <v>C49SZX20200162CY</v>
      </c>
      <c r="R699" s="568" t="str">
        <f>VLOOKUP(A699,'[1]Raw data'!$B:$Z,3,FALSE)</f>
        <v>景硕电子</v>
      </c>
      <c r="S699" s="568" t="str">
        <f>VLOOKUP(A699,'[1]Raw data'!$B:$Z,4,FALSE)</f>
        <v>YSM10</v>
      </c>
      <c r="T699" s="568" t="str">
        <f>VLOOKUP(A699,'[1]Raw data'!$B:$Z,8,FALSE)</f>
        <v>L-&gt;R</v>
      </c>
      <c r="U699" s="568" t="str">
        <f>VLOOKUP(A699,'[1]Raw data'!$B:$Z,9,FALSE)</f>
        <v>MVC</v>
      </c>
      <c r="V699" s="572" t="str">
        <f>IF(G699&amp;H699=T699&amp;U699,"OK","WRONG")</f>
        <v>WRONG</v>
      </c>
      <c r="W699" s="568" t="str">
        <f>VLOOKUP(A699,'[1]Raw data'!$B:$AG,32,FALSE)</f>
        <v>DAP SZ</v>
      </c>
      <c r="X699" s="568">
        <f>VLOOKUP(A699,'[1]Raw data'!$B:$BA,31,FALSE)</f>
        <v>44167</v>
      </c>
      <c r="Y699" s="568" t="str">
        <f>VLOOKUP(A699,'[1]Raw data'!$B:$AS,39,FALSE)</f>
        <v>Yes</v>
      </c>
      <c r="Z699" s="671"/>
      <c r="AA699" s="665"/>
      <c r="AB699" s="666"/>
      <c r="AC699" s="715" t="s">
        <v>1452</v>
      </c>
      <c r="AD699" s="667">
        <v>301</v>
      </c>
      <c r="AE699" s="667">
        <v>10</v>
      </c>
      <c r="AF699" s="667"/>
      <c r="AG699" s="667"/>
      <c r="AH699" s="667"/>
      <c r="AI699" s="668"/>
      <c r="AN699" s="547"/>
      <c r="AO699" s="829" t="str">
        <f t="shared" si="95"/>
        <v>Yes</v>
      </c>
      <c r="AP699" s="259" t="str">
        <f t="shared" si="96"/>
        <v>FEB 21</v>
      </c>
      <c r="AQ699" s="547" t="str">
        <f t="shared" si="97"/>
        <v>有定金+有預留客戶</v>
      </c>
      <c r="AR699" s="259" t="str">
        <f t="shared" si="98"/>
        <v>Shipped_Stock</v>
      </c>
      <c r="AS699" s="259" t="str">
        <f t="shared" si="99"/>
        <v/>
      </c>
      <c r="AT699" s="259" t="str">
        <f t="shared" si="100"/>
        <v>景硕电子</v>
      </c>
      <c r="AU699" s="259" t="str">
        <f t="shared" si="101"/>
        <v>C49SZX20200162CY</v>
      </c>
      <c r="AV699" s="259" t="str">
        <f t="shared" si="102"/>
        <v>Feb-25</v>
      </c>
    </row>
    <row r="700" spans="1:48" hidden="1">
      <c r="A700" s="564">
        <v>1123</v>
      </c>
      <c r="B700" s="669" t="s">
        <v>1125</v>
      </c>
      <c r="C700" s="669" t="s">
        <v>15</v>
      </c>
      <c r="D700" s="650">
        <v>110131</v>
      </c>
      <c r="E700" s="568" t="s">
        <v>886</v>
      </c>
      <c r="F700" s="652" t="s">
        <v>241</v>
      </c>
      <c r="G700" s="652" t="s">
        <v>18</v>
      </c>
      <c r="H700" s="652" t="s">
        <v>26</v>
      </c>
      <c r="I700" s="580" t="s">
        <v>83</v>
      </c>
      <c r="J700" s="580">
        <v>1</v>
      </c>
      <c r="K700" s="652" t="s">
        <v>81</v>
      </c>
      <c r="L700" s="734">
        <v>44252</v>
      </c>
      <c r="M700" s="670" t="s">
        <v>906</v>
      </c>
      <c r="N700" s="652" t="s">
        <v>28</v>
      </c>
      <c r="O700" s="580"/>
      <c r="P700" s="670" t="str">
        <f>VLOOKUP(A700,'[1]Raw data'!$B:$BA,23,FALSE)</f>
        <v>JPY</v>
      </c>
      <c r="Q700" s="652" t="str">
        <f>VLOOKUP(A700,'[1]Raw data'!$B:$Z,2,FALSE)</f>
        <v>C49SZX20210011JY</v>
      </c>
      <c r="R700" s="652" t="str">
        <f>VLOOKUP(A700,'[1]Raw data'!$B:$Z,3,FALSE)</f>
        <v>英拓邦</v>
      </c>
      <c r="S700" s="652" t="str">
        <f>VLOOKUP(A700,'[1]Raw data'!$B:$Z,4,FALSE)</f>
        <v>YSM10</v>
      </c>
      <c r="T700" s="652" t="str">
        <f>VLOOKUP(A700,'[1]Raw data'!$B:$Z,8,FALSE)</f>
        <v>L-&gt;R</v>
      </c>
      <c r="U700" s="652" t="str">
        <f>VLOOKUP(A700,'[1]Raw data'!$B:$Z,9,FALSE)</f>
        <v>MVC</v>
      </c>
      <c r="V700" s="572" t="str">
        <f>IF(G700&amp;H700=T700&amp;U700,"OK","WRONG")</f>
        <v>WRONG</v>
      </c>
      <c r="W700" s="568" t="str">
        <f>VLOOKUP(A700,'[1]Raw data'!$B:$AG,32,FALSE)</f>
        <v>CIF HK</v>
      </c>
      <c r="X700" s="652">
        <f>VLOOKUP(A700,'[1]Raw data'!$B:$BA,31,FALSE)</f>
        <v>44222</v>
      </c>
      <c r="Y700" s="652" t="str">
        <f>VLOOKUP(A700,'[1]Raw data'!$B:$AS,39,FALSE)</f>
        <v>Yes</v>
      </c>
      <c r="Z700" s="671"/>
      <c r="AA700" s="672"/>
      <c r="AB700" s="673"/>
      <c r="AC700" s="652" t="s">
        <v>1445</v>
      </c>
      <c r="AD700" s="667">
        <v>301</v>
      </c>
      <c r="AE700" s="667">
        <v>10</v>
      </c>
      <c r="AF700" s="667"/>
      <c r="AG700" s="667"/>
      <c r="AH700" s="667"/>
      <c r="AI700" s="668"/>
      <c r="AN700" s="547"/>
      <c r="AO700" s="829" t="str">
        <f t="shared" si="95"/>
        <v>Yes</v>
      </c>
      <c r="AP700" s="259" t="str">
        <f t="shared" si="96"/>
        <v>MAR 21</v>
      </c>
      <c r="AQ700" s="547" t="str">
        <f t="shared" si="97"/>
        <v>有定金+有預留客戶</v>
      </c>
      <c r="AR700" s="259" t="str">
        <f t="shared" si="98"/>
        <v>Shipped_Stock</v>
      </c>
      <c r="AS700" s="259" t="str">
        <f t="shared" si="99"/>
        <v/>
      </c>
      <c r="AT700" s="259" t="str">
        <f t="shared" si="100"/>
        <v>英拓邦</v>
      </c>
      <c r="AU700" s="259" t="str">
        <f t="shared" si="101"/>
        <v>C49SZX20210011JY</v>
      </c>
      <c r="AV700" s="259" t="str">
        <f t="shared" si="102"/>
        <v>Feb-25</v>
      </c>
    </row>
    <row r="701" spans="1:48" ht="16.5" hidden="1">
      <c r="A701" s="604" t="s">
        <v>1453</v>
      </c>
      <c r="B701" s="669" t="s">
        <v>1125</v>
      </c>
      <c r="C701" s="669" t="s">
        <v>15</v>
      </c>
      <c r="D701" s="650">
        <v>110230</v>
      </c>
      <c r="E701" s="651" t="s">
        <v>1300</v>
      </c>
      <c r="F701" s="652" t="s">
        <v>241</v>
      </c>
      <c r="G701" s="652" t="s">
        <v>18</v>
      </c>
      <c r="H701" s="652" t="s">
        <v>34</v>
      </c>
      <c r="I701" s="580" t="s">
        <v>37</v>
      </c>
      <c r="J701" s="580">
        <v>1</v>
      </c>
      <c r="K701" s="652" t="s">
        <v>82</v>
      </c>
      <c r="L701" s="662">
        <v>44255</v>
      </c>
      <c r="M701" s="670">
        <v>6.1600000000000002E-2</v>
      </c>
      <c r="N701" s="652"/>
      <c r="O701" s="580"/>
      <c r="P701" s="735" t="s">
        <v>1246</v>
      </c>
      <c r="Q701" s="736" t="s">
        <v>1454</v>
      </c>
      <c r="R701" s="737" t="s">
        <v>1455</v>
      </c>
      <c r="S701" s="736" t="s">
        <v>241</v>
      </c>
      <c r="T701" s="736" t="s">
        <v>18</v>
      </c>
      <c r="U701" s="736" t="s">
        <v>34</v>
      </c>
      <c r="V701" s="572" t="str">
        <f t="shared" ref="V701:V707" si="106">IF(G701&amp;H701=T701&amp;U701,"OK","WRONG")</f>
        <v>OK</v>
      </c>
      <c r="W701" s="568" t="e">
        <f>VLOOKUP(A701,'[1]Raw data'!$B:$AG,32,FALSE)</f>
        <v>#N/A</v>
      </c>
      <c r="X701" s="568" t="e">
        <f>VLOOKUP(A701,'[1]Raw data'!$B:$BA,31,FALSE)</f>
        <v>#N/A</v>
      </c>
      <c r="Y701" s="568" t="e">
        <f>VLOOKUP(A701,'[1]Raw data'!$B:$AS,39,FALSE)</f>
        <v>#N/A</v>
      </c>
      <c r="Z701" s="664"/>
      <c r="AA701" s="665"/>
      <c r="AB701" s="666"/>
      <c r="AC701" s="652" t="s">
        <v>1216</v>
      </c>
      <c r="AD701" s="580">
        <v>301</v>
      </c>
      <c r="AE701" s="580">
        <v>10</v>
      </c>
      <c r="AF701" s="580"/>
      <c r="AG701" s="580"/>
      <c r="AH701" s="580"/>
      <c r="AI701" s="684"/>
      <c r="AJ701" s="569"/>
      <c r="AK701" s="569"/>
      <c r="AL701" s="569"/>
      <c r="AM701" s="569"/>
      <c r="AN701" s="619"/>
      <c r="AO701" s="829" t="str">
        <f t="shared" si="95"/>
        <v>No</v>
      </c>
      <c r="AP701" s="259" t="str">
        <f t="shared" si="96"/>
        <v>blank</v>
      </c>
      <c r="AQ701" s="547" t="str">
        <f t="shared" si="97"/>
        <v>无定金+无預留客戶</v>
      </c>
      <c r="AR701" s="259" t="str">
        <f t="shared" si="98"/>
        <v>Shipped_Stock</v>
      </c>
      <c r="AS701" s="259" t="str">
        <f t="shared" si="99"/>
        <v/>
      </c>
      <c r="AT701" s="259" t="str">
        <f t="shared" si="100"/>
        <v>怡德发（固安）电子</v>
      </c>
      <c r="AU701" s="259" t="str">
        <f t="shared" si="101"/>
        <v>C49BJS20201218ZX</v>
      </c>
      <c r="AV701" s="259" t="str">
        <f t="shared" si="102"/>
        <v>Feb-28</v>
      </c>
    </row>
    <row r="702" spans="1:48" hidden="1">
      <c r="A702" s="604" t="s">
        <v>1456</v>
      </c>
      <c r="B702" s="669" t="s">
        <v>1125</v>
      </c>
      <c r="C702" s="669" t="s">
        <v>15</v>
      </c>
      <c r="D702" s="650">
        <v>110230</v>
      </c>
      <c r="E702" s="651" t="s">
        <v>1300</v>
      </c>
      <c r="F702" s="652" t="s">
        <v>241</v>
      </c>
      <c r="G702" s="652" t="s">
        <v>18</v>
      </c>
      <c r="H702" s="652" t="s">
        <v>34</v>
      </c>
      <c r="I702" s="580" t="s">
        <v>35</v>
      </c>
      <c r="J702" s="580">
        <v>1</v>
      </c>
      <c r="K702" s="652" t="s">
        <v>82</v>
      </c>
      <c r="L702" s="662">
        <v>44255</v>
      </c>
      <c r="M702" s="670">
        <v>6.1600000000000002E-2</v>
      </c>
      <c r="N702" s="652"/>
      <c r="O702" s="580"/>
      <c r="P702" s="735" t="s">
        <v>1246</v>
      </c>
      <c r="Q702" s="736" t="s">
        <v>1454</v>
      </c>
      <c r="R702" s="736" t="s">
        <v>1455</v>
      </c>
      <c r="S702" s="736" t="s">
        <v>241</v>
      </c>
      <c r="T702" s="736" t="s">
        <v>18</v>
      </c>
      <c r="U702" s="736" t="s">
        <v>34</v>
      </c>
      <c r="V702" s="572" t="str">
        <f t="shared" si="106"/>
        <v>OK</v>
      </c>
      <c r="W702" s="568" t="e">
        <f>VLOOKUP(A702,'[1]Raw data'!$B:$AG,32,FALSE)</f>
        <v>#N/A</v>
      </c>
      <c r="X702" s="568" t="e">
        <f>VLOOKUP(A702,'[1]Raw data'!$B:$BA,31,FALSE)</f>
        <v>#N/A</v>
      </c>
      <c r="Y702" s="568" t="e">
        <f>VLOOKUP(A702,'[1]Raw data'!$B:$AS,39,FALSE)</f>
        <v>#N/A</v>
      </c>
      <c r="Z702" s="664"/>
      <c r="AA702" s="665"/>
      <c r="AB702" s="666"/>
      <c r="AC702" s="652" t="s">
        <v>1216</v>
      </c>
      <c r="AD702" s="580">
        <v>301</v>
      </c>
      <c r="AE702" s="580">
        <v>10</v>
      </c>
      <c r="AF702" s="580"/>
      <c r="AG702" s="580"/>
      <c r="AH702" s="580"/>
      <c r="AI702" s="684"/>
      <c r="AJ702" s="569"/>
      <c r="AK702" s="569"/>
      <c r="AL702" s="569"/>
      <c r="AM702" s="569"/>
      <c r="AN702" s="619"/>
      <c r="AO702" s="829" t="str">
        <f t="shared" si="95"/>
        <v>No</v>
      </c>
      <c r="AP702" s="259" t="str">
        <f t="shared" si="96"/>
        <v>blank</v>
      </c>
      <c r="AQ702" s="547" t="str">
        <f t="shared" si="97"/>
        <v>无定金+无預留客戶</v>
      </c>
      <c r="AR702" s="259" t="str">
        <f t="shared" si="98"/>
        <v>Shipped_Stock</v>
      </c>
      <c r="AS702" s="259" t="str">
        <f t="shared" si="99"/>
        <v/>
      </c>
      <c r="AT702" s="259" t="str">
        <f t="shared" si="100"/>
        <v>怡德发（固安）电子</v>
      </c>
      <c r="AU702" s="259" t="str">
        <f t="shared" si="101"/>
        <v>C49BJS20201218ZX</v>
      </c>
      <c r="AV702" s="259" t="str">
        <f t="shared" si="102"/>
        <v>Feb-28</v>
      </c>
    </row>
    <row r="703" spans="1:48" hidden="1">
      <c r="A703" s="564">
        <v>1124</v>
      </c>
      <c r="B703" s="669" t="s">
        <v>1125</v>
      </c>
      <c r="C703" s="669" t="s">
        <v>15</v>
      </c>
      <c r="D703" s="650">
        <v>110150</v>
      </c>
      <c r="E703" s="568" t="s">
        <v>886</v>
      </c>
      <c r="F703" s="652" t="s">
        <v>241</v>
      </c>
      <c r="G703" s="652" t="s">
        <v>18</v>
      </c>
      <c r="H703" s="652" t="s">
        <v>26</v>
      </c>
      <c r="I703" s="580" t="s">
        <v>1457</v>
      </c>
      <c r="J703" s="580">
        <v>1</v>
      </c>
      <c r="K703" s="652" t="s">
        <v>81</v>
      </c>
      <c r="L703" s="733">
        <v>44255</v>
      </c>
      <c r="M703" s="670" t="s">
        <v>906</v>
      </c>
      <c r="N703" s="652" t="s">
        <v>28</v>
      </c>
      <c r="O703" s="580"/>
      <c r="P703" s="670" t="str">
        <f>VLOOKUP(A703,'[1]Raw data'!$B:$BA,23,FALSE)</f>
        <v>JPY</v>
      </c>
      <c r="Q703" s="652" t="str">
        <f>VLOOKUP(A703,'[1]Raw data'!$B:$Z,2,FALSE)</f>
        <v>C49SZX20210011JY</v>
      </c>
      <c r="R703" s="652" t="str">
        <f>VLOOKUP(A703,'[1]Raw data'!$B:$Z,3,FALSE)</f>
        <v>英拓邦</v>
      </c>
      <c r="S703" s="652" t="str">
        <f>VLOOKUP(A703,'[1]Raw data'!$B:$Z,4,FALSE)</f>
        <v>YSM10</v>
      </c>
      <c r="T703" s="652" t="str">
        <f>VLOOKUP(A703,'[1]Raw data'!$B:$Z,8,FALSE)</f>
        <v>R-&gt;L</v>
      </c>
      <c r="U703" s="652" t="str">
        <f>VLOOKUP(A703,'[1]Raw data'!$B:$Z,9,FALSE)</f>
        <v>MVC</v>
      </c>
      <c r="V703" s="572" t="str">
        <f t="shared" si="106"/>
        <v>WRONG</v>
      </c>
      <c r="W703" s="568" t="str">
        <f>VLOOKUP(A703,'[1]Raw data'!$B:$AG,32,FALSE)</f>
        <v>CIF HK</v>
      </c>
      <c r="X703" s="652">
        <f>VLOOKUP(A703,'[1]Raw data'!$B:$BA,31,FALSE)</f>
        <v>44222</v>
      </c>
      <c r="Y703" s="652" t="str">
        <f>VLOOKUP(A703,'[1]Raw data'!$B:$AS,39,FALSE)</f>
        <v>Yes</v>
      </c>
      <c r="Z703" s="671"/>
      <c r="AA703" s="672"/>
      <c r="AB703" s="673"/>
      <c r="AC703" s="652" t="s">
        <v>1445</v>
      </c>
      <c r="AD703" s="667">
        <v>301</v>
      </c>
      <c r="AE703" s="667">
        <v>10</v>
      </c>
      <c r="AF703" s="667"/>
      <c r="AG703" s="667"/>
      <c r="AH703" s="667"/>
      <c r="AI703" s="668"/>
      <c r="AN703" s="547"/>
      <c r="AO703" s="829" t="str">
        <f t="shared" si="95"/>
        <v>Yes</v>
      </c>
      <c r="AP703" s="259" t="str">
        <f t="shared" si="96"/>
        <v>MAR 21</v>
      </c>
      <c r="AQ703" s="547" t="str">
        <f t="shared" si="97"/>
        <v>有定金+有預留客戶</v>
      </c>
      <c r="AR703" s="259" t="str">
        <f t="shared" si="98"/>
        <v>Shipped_Stock</v>
      </c>
      <c r="AS703" s="259" t="str">
        <f t="shared" si="99"/>
        <v/>
      </c>
      <c r="AT703" s="259" t="str">
        <f t="shared" si="100"/>
        <v>英拓邦</v>
      </c>
      <c r="AU703" s="259" t="str">
        <f t="shared" si="101"/>
        <v>C49SZX20210011JY</v>
      </c>
      <c r="AV703" s="259" t="str">
        <f t="shared" si="102"/>
        <v>Feb-28</v>
      </c>
    </row>
    <row r="704" spans="1:48" hidden="1">
      <c r="A704" s="564">
        <v>1125</v>
      </c>
      <c r="B704" s="669" t="s">
        <v>1125</v>
      </c>
      <c r="C704" s="669" t="s">
        <v>15</v>
      </c>
      <c r="D704" s="650">
        <v>110150</v>
      </c>
      <c r="E704" s="568" t="s">
        <v>886</v>
      </c>
      <c r="F704" s="652" t="s">
        <v>241</v>
      </c>
      <c r="G704" s="652" t="s">
        <v>18</v>
      </c>
      <c r="H704" s="652" t="s">
        <v>26</v>
      </c>
      <c r="I704" s="580" t="s">
        <v>1458</v>
      </c>
      <c r="J704" s="580">
        <v>1</v>
      </c>
      <c r="K704" s="652" t="s">
        <v>81</v>
      </c>
      <c r="L704" s="733">
        <v>44255</v>
      </c>
      <c r="M704" s="670" t="s">
        <v>906</v>
      </c>
      <c r="N704" s="652" t="s">
        <v>28</v>
      </c>
      <c r="O704" s="580"/>
      <c r="P704" s="670" t="str">
        <f>VLOOKUP(A704,'[1]Raw data'!$B:$BA,23,FALSE)</f>
        <v>JPY</v>
      </c>
      <c r="Q704" s="652" t="str">
        <f>VLOOKUP(A704,'[1]Raw data'!$B:$Z,2,FALSE)</f>
        <v>C49SZX20210011JY</v>
      </c>
      <c r="R704" s="652" t="str">
        <f>VLOOKUP(A704,'[1]Raw data'!$B:$Z,3,FALSE)</f>
        <v>英拓邦</v>
      </c>
      <c r="S704" s="652" t="str">
        <f>VLOOKUP(A704,'[1]Raw data'!$B:$Z,4,FALSE)</f>
        <v>YSM10</v>
      </c>
      <c r="T704" s="652" t="str">
        <f>VLOOKUP(A704,'[1]Raw data'!$B:$Z,8,FALSE)</f>
        <v>R-&gt;L</v>
      </c>
      <c r="U704" s="652" t="str">
        <f>VLOOKUP(A704,'[1]Raw data'!$B:$Z,9,FALSE)</f>
        <v>MVC</v>
      </c>
      <c r="V704" s="572" t="str">
        <f t="shared" si="106"/>
        <v>WRONG</v>
      </c>
      <c r="W704" s="568" t="str">
        <f>VLOOKUP(A704,'[1]Raw data'!$B:$AG,32,FALSE)</f>
        <v>CIF HK</v>
      </c>
      <c r="X704" s="652">
        <f>VLOOKUP(A704,'[1]Raw data'!$B:$BA,31,FALSE)</f>
        <v>44222</v>
      </c>
      <c r="Y704" s="652" t="str">
        <f>VLOOKUP(A704,'[1]Raw data'!$B:$AS,39,FALSE)</f>
        <v>Yes</v>
      </c>
      <c r="Z704" s="671"/>
      <c r="AA704" s="672"/>
      <c r="AB704" s="673"/>
      <c r="AC704" s="652" t="s">
        <v>1445</v>
      </c>
      <c r="AD704" s="667">
        <v>301</v>
      </c>
      <c r="AE704" s="667">
        <v>10</v>
      </c>
      <c r="AF704" s="667"/>
      <c r="AG704" s="667"/>
      <c r="AH704" s="667"/>
      <c r="AI704" s="668"/>
      <c r="AN704" s="547"/>
      <c r="AO704" s="829" t="str">
        <f t="shared" si="95"/>
        <v>Yes</v>
      </c>
      <c r="AP704" s="259" t="str">
        <f t="shared" si="96"/>
        <v>MAR 21</v>
      </c>
      <c r="AQ704" s="547" t="str">
        <f t="shared" si="97"/>
        <v>有定金+有預留客戶</v>
      </c>
      <c r="AR704" s="259" t="str">
        <f t="shared" si="98"/>
        <v>Shipped_Stock</v>
      </c>
      <c r="AS704" s="259" t="str">
        <f t="shared" si="99"/>
        <v/>
      </c>
      <c r="AT704" s="259" t="str">
        <f t="shared" si="100"/>
        <v>英拓邦</v>
      </c>
      <c r="AU704" s="259" t="str">
        <f t="shared" si="101"/>
        <v>C49SZX20210011JY</v>
      </c>
      <c r="AV704" s="259" t="str">
        <f t="shared" si="102"/>
        <v>Feb-28</v>
      </c>
    </row>
    <row r="705" spans="1:48" hidden="1">
      <c r="A705" s="564">
        <v>993</v>
      </c>
      <c r="B705" s="669" t="s">
        <v>1125</v>
      </c>
      <c r="C705" s="669" t="s">
        <v>15</v>
      </c>
      <c r="D705" s="650">
        <v>110150</v>
      </c>
      <c r="E705" s="568" t="s">
        <v>886</v>
      </c>
      <c r="F705" s="652" t="s">
        <v>241</v>
      </c>
      <c r="G705" s="652" t="s">
        <v>18</v>
      </c>
      <c r="H705" s="652" t="s">
        <v>26</v>
      </c>
      <c r="I705" s="580" t="s">
        <v>1459</v>
      </c>
      <c r="J705" s="580">
        <v>1</v>
      </c>
      <c r="K705" s="652" t="s">
        <v>81</v>
      </c>
      <c r="L705" s="733">
        <v>44255</v>
      </c>
      <c r="M705" s="670" t="s">
        <v>906</v>
      </c>
      <c r="N705" s="652" t="s">
        <v>28</v>
      </c>
      <c r="O705" s="580"/>
      <c r="P705" s="571" t="str">
        <f>VLOOKUP(A705,'[1]Raw data'!$B:$BB,23,FALSE)</f>
        <v>JPY</v>
      </c>
      <c r="Q705" s="568" t="str">
        <f>VLOOKUP(A705,'[1]Raw data'!$B:$Z,2,FALSE)</f>
        <v>C49SZX20200237SX</v>
      </c>
      <c r="R705" s="568" t="str">
        <f>VLOOKUP(A705,'[1]Raw data'!$B:$Z,3,FALSE)</f>
        <v>岚新</v>
      </c>
      <c r="S705" s="568" t="str">
        <f>VLOOKUP(A705,'[1]Raw data'!$B:$Z,4,FALSE)</f>
        <v>YSM10</v>
      </c>
      <c r="T705" s="568" t="str">
        <f>VLOOKUP(A705,'[1]Raw data'!$B:$Z,8,FALSE)</f>
        <v>L-&gt;R</v>
      </c>
      <c r="U705" s="568" t="str">
        <f>VLOOKUP(A705,'[1]Raw data'!$B:$Z,9,FALSE)</f>
        <v>No</v>
      </c>
      <c r="V705" s="572" t="str">
        <f t="shared" si="106"/>
        <v>WRONG</v>
      </c>
      <c r="W705" s="568" t="str">
        <f>VLOOKUP(A705,'[1]Raw data'!$B:$AG,32,FALSE)</f>
        <v>DAP SZ</v>
      </c>
      <c r="X705" s="568">
        <f>VLOOKUP(A705,'[1]Raw data'!$B:$BA,31,FALSE)</f>
        <v>44173</v>
      </c>
      <c r="Y705" s="568" t="str">
        <f>VLOOKUP(A705,'[1]Raw data'!$B:$AS,39,FALSE)</f>
        <v>Yes</v>
      </c>
      <c r="Z705" s="664"/>
      <c r="AA705" s="665"/>
      <c r="AB705" s="666"/>
      <c r="AC705" s="652" t="s">
        <v>1460</v>
      </c>
      <c r="AD705" s="667">
        <v>301</v>
      </c>
      <c r="AE705" s="667">
        <v>10</v>
      </c>
      <c r="AF705" s="667"/>
      <c r="AG705" s="667"/>
      <c r="AH705" s="667"/>
      <c r="AI705" s="668"/>
      <c r="AN705" s="547"/>
      <c r="AO705" s="829" t="str">
        <f t="shared" si="95"/>
        <v>Yes</v>
      </c>
      <c r="AP705" s="259" t="str">
        <f t="shared" si="96"/>
        <v>MAR 21</v>
      </c>
      <c r="AQ705" s="547" t="str">
        <f t="shared" si="97"/>
        <v>有定金+有預留客戶</v>
      </c>
      <c r="AR705" s="259" t="str">
        <f t="shared" si="98"/>
        <v>Shipped_Stock</v>
      </c>
      <c r="AS705" s="259" t="str">
        <f t="shared" si="99"/>
        <v/>
      </c>
      <c r="AT705" s="259" t="str">
        <f t="shared" si="100"/>
        <v>岚新</v>
      </c>
      <c r="AU705" s="259" t="str">
        <f t="shared" si="101"/>
        <v>C49SZX20200237SX</v>
      </c>
      <c r="AV705" s="259" t="str">
        <f t="shared" si="102"/>
        <v>Feb-28</v>
      </c>
    </row>
    <row r="706" spans="1:48" hidden="1">
      <c r="A706" s="564">
        <v>1126</v>
      </c>
      <c r="B706" s="669" t="s">
        <v>1125</v>
      </c>
      <c r="C706" s="669" t="s">
        <v>15</v>
      </c>
      <c r="D706" s="650">
        <v>110150</v>
      </c>
      <c r="E706" s="568" t="s">
        <v>886</v>
      </c>
      <c r="F706" s="652" t="s">
        <v>241</v>
      </c>
      <c r="G706" s="652" t="s">
        <v>18</v>
      </c>
      <c r="H706" s="652" t="s">
        <v>26</v>
      </c>
      <c r="I706" s="580" t="s">
        <v>1461</v>
      </c>
      <c r="J706" s="580">
        <v>1</v>
      </c>
      <c r="K706" s="652" t="s">
        <v>81</v>
      </c>
      <c r="L706" s="733">
        <v>44255</v>
      </c>
      <c r="M706" s="670" t="s">
        <v>906</v>
      </c>
      <c r="N706" s="652" t="s">
        <v>28</v>
      </c>
      <c r="O706" s="580"/>
      <c r="P706" s="670" t="str">
        <f>VLOOKUP(A706,'[1]Raw data'!$B:$BA,23,FALSE)</f>
        <v>JPY</v>
      </c>
      <c r="Q706" s="652" t="str">
        <f>VLOOKUP(A706,'[1]Raw data'!$B:$Z,2,FALSE)</f>
        <v>C49SZX20210011JY</v>
      </c>
      <c r="R706" s="652" t="str">
        <f>VLOOKUP(A706,'[1]Raw data'!$B:$Z,3,FALSE)</f>
        <v>英拓邦</v>
      </c>
      <c r="S706" s="652" t="str">
        <f>VLOOKUP(A706,'[1]Raw data'!$B:$Z,4,FALSE)</f>
        <v>YSM10</v>
      </c>
      <c r="T706" s="652" t="str">
        <f>VLOOKUP(A706,'[1]Raw data'!$B:$Z,8,FALSE)</f>
        <v>R-&gt;L</v>
      </c>
      <c r="U706" s="652" t="str">
        <f>VLOOKUP(A706,'[1]Raw data'!$B:$Z,9,FALSE)</f>
        <v>MVC</v>
      </c>
      <c r="V706" s="572" t="str">
        <f t="shared" si="106"/>
        <v>WRONG</v>
      </c>
      <c r="W706" s="568" t="str">
        <f>VLOOKUP(A706,'[1]Raw data'!$B:$AG,32,FALSE)</f>
        <v>CIF HK</v>
      </c>
      <c r="X706" s="652">
        <f>VLOOKUP(A706,'[1]Raw data'!$B:$BA,31,FALSE)</f>
        <v>44222</v>
      </c>
      <c r="Y706" s="652" t="str">
        <f>VLOOKUP(A706,'[1]Raw data'!$B:$AS,39,FALSE)</f>
        <v>Yes</v>
      </c>
      <c r="Z706" s="671"/>
      <c r="AA706" s="672"/>
      <c r="AB706" s="673"/>
      <c r="AC706" s="652" t="s">
        <v>1445</v>
      </c>
      <c r="AD706" s="667">
        <v>301</v>
      </c>
      <c r="AE706" s="667">
        <v>10</v>
      </c>
      <c r="AF706" s="667"/>
      <c r="AG706" s="667"/>
      <c r="AH706" s="667"/>
      <c r="AI706" s="668"/>
      <c r="AN706" s="547"/>
      <c r="AO706" s="829" t="str">
        <f t="shared" si="95"/>
        <v>Yes</v>
      </c>
      <c r="AP706" s="259" t="str">
        <f t="shared" si="96"/>
        <v>MAR 21</v>
      </c>
      <c r="AQ706" s="547" t="str">
        <f t="shared" si="97"/>
        <v>有定金+有預留客戶</v>
      </c>
      <c r="AR706" s="259" t="str">
        <f t="shared" si="98"/>
        <v>Shipped_Stock</v>
      </c>
      <c r="AS706" s="259" t="str">
        <f t="shared" si="99"/>
        <v/>
      </c>
      <c r="AT706" s="259" t="str">
        <f t="shared" si="100"/>
        <v>英拓邦</v>
      </c>
      <c r="AU706" s="259" t="str">
        <f t="shared" si="101"/>
        <v>C49SZX20210011JY</v>
      </c>
      <c r="AV706" s="259" t="str">
        <f t="shared" si="102"/>
        <v>Feb-28</v>
      </c>
    </row>
    <row r="707" spans="1:48" hidden="1">
      <c r="A707" s="564">
        <v>1037</v>
      </c>
      <c r="B707" s="669" t="s">
        <v>1125</v>
      </c>
      <c r="C707" s="669" t="s">
        <v>15</v>
      </c>
      <c r="D707" s="650">
        <v>110150</v>
      </c>
      <c r="E707" s="568" t="s">
        <v>886</v>
      </c>
      <c r="F707" s="652" t="s">
        <v>241</v>
      </c>
      <c r="G707" s="652" t="s">
        <v>18</v>
      </c>
      <c r="H707" s="652" t="s">
        <v>26</v>
      </c>
      <c r="I707" s="580" t="s">
        <v>1462</v>
      </c>
      <c r="J707" s="580">
        <v>1</v>
      </c>
      <c r="K707" s="652" t="s">
        <v>78</v>
      </c>
      <c r="L707" s="733">
        <v>44255</v>
      </c>
      <c r="M707" s="670" t="s">
        <v>906</v>
      </c>
      <c r="N707" s="652" t="s">
        <v>28</v>
      </c>
      <c r="O707" s="580"/>
      <c r="P707" s="670" t="str">
        <f>VLOOKUP(A707,'[1]Raw data'!$B:$BA,23,FALSE)</f>
        <v>JPY</v>
      </c>
      <c r="Q707" s="652" t="str">
        <f>VLOOKUP(A707,'[1]Raw data'!$B:$Z,2,FALSE)</f>
        <v>C49SZX20200243DZ</v>
      </c>
      <c r="R707" s="652" t="str">
        <f>VLOOKUP(A707,'[1]Raw data'!$B:$Z,3,FALSE)</f>
        <v>朗特</v>
      </c>
      <c r="S707" s="652" t="str">
        <f>VLOOKUP(A707,'[1]Raw data'!$B:$Z,4,FALSE)</f>
        <v>YSM10</v>
      </c>
      <c r="T707" s="652" t="str">
        <f>VLOOKUP(A707,'[1]Raw data'!$B:$Z,8,FALSE)</f>
        <v>R-&gt;L</v>
      </c>
      <c r="U707" s="652" t="str">
        <f>VLOOKUP(A707,'[1]Raw data'!$B:$Z,9,FALSE)</f>
        <v>No</v>
      </c>
      <c r="V707" s="572" t="str">
        <f t="shared" si="106"/>
        <v>OK</v>
      </c>
      <c r="W707" s="568" t="str">
        <f>VLOOKUP(A707,'[1]Raw data'!$B:$AG,32,FALSE)</f>
        <v>CIF HK</v>
      </c>
      <c r="X707" s="652">
        <f>VLOOKUP(A707,'[1]Raw data'!$B:$BA,31,FALSE)</f>
        <v>44182</v>
      </c>
      <c r="Y707" s="652" t="str">
        <f>VLOOKUP(A707,'[1]Raw data'!$B:$AS,39,FALSE)</f>
        <v>Yes</v>
      </c>
      <c r="Z707" s="664"/>
      <c r="AA707" s="665"/>
      <c r="AB707" s="666"/>
      <c r="AC707" s="568" t="s">
        <v>1463</v>
      </c>
      <c r="AD707" s="667">
        <v>301</v>
      </c>
      <c r="AE707" s="667">
        <v>10</v>
      </c>
      <c r="AF707" s="667"/>
      <c r="AG707" s="667"/>
      <c r="AH707" s="667"/>
      <c r="AI707" s="668"/>
      <c r="AN707" s="547"/>
      <c r="AO707" s="829" t="str">
        <f t="shared" ref="AO707:AO770" si="107">IFERROR(IF(Y707&lt;&gt;"",Y707,"No"),"No")</f>
        <v>Yes</v>
      </c>
      <c r="AP707" s="259" t="str">
        <f t="shared" ref="AP707:AP770" si="108">IFERROR(IF(N707&lt;&gt;"",N707,"blank"),"NA")</f>
        <v>MAR 21</v>
      </c>
      <c r="AQ707" s="547" t="str">
        <f t="shared" ref="AQ707:AQ770" si="109">IFERROR(IF(AND(AO707="Yes", AP707&lt;&gt;"blank"), "有定金+有預留客戶", IF(AND(AO707="Yes", AP707="blank"), "有定金+无客戶送貨期", IF(AND(OR(AO707="No", ISBLANK(AO707), AO707="NA"), AP707&lt;&gt;"blank"), "无定金+有預留客戶", IF(AND(OR(AO707="No", ISBLANK(AO707), AO707="NA"), AP707="blank"), "无定金+无預留客戶", "")))), "")</f>
        <v>有定金+有預留客戶</v>
      </c>
      <c r="AR707" s="259" t="str">
        <f t="shared" ref="AR707:AR770" si="110">IFERROR(IF(B707="已经到货", "Instock", IF(B707="有交期", "Incoming_Stock_With_YAMAHA_Schedule", IF(B707="TBA.", "Incoming_Stock_No_YAMAHA_Schedule", IF(B707="已发货", "Shipped_Stock", "")))), "")</f>
        <v>Shipped_Stock</v>
      </c>
      <c r="AS707" s="259" t="str">
        <f t="shared" ref="AS707:AS770" si="111">IF(AND(B707="有交期", L707&lt;&gt;""), L707, "")</f>
        <v/>
      </c>
      <c r="AT707" s="259" t="str">
        <f t="shared" ref="AT707:AT770" si="112">IFERROR(IF(R707&lt;&gt;"",R707),"-")</f>
        <v>朗特</v>
      </c>
      <c r="AU707" s="259" t="str">
        <f t="shared" ref="AU707:AU770" si="113">IFERROR(IF(Q707&lt;&gt;"",Q707),"-")</f>
        <v>C49SZX20200243DZ</v>
      </c>
      <c r="AV707" s="259" t="str">
        <f t="shared" ref="AV707:AV770" si="114">IF(L707="","-",TEXT(L707,"mmm-dd"))</f>
        <v>Feb-28</v>
      </c>
    </row>
    <row r="708" spans="1:48" hidden="1">
      <c r="A708" s="564">
        <v>1119</v>
      </c>
      <c r="B708" s="669" t="s">
        <v>1125</v>
      </c>
      <c r="C708" s="669" t="s">
        <v>281</v>
      </c>
      <c r="D708" s="650" t="s">
        <v>1464</v>
      </c>
      <c r="E708" s="651" t="s">
        <v>1422</v>
      </c>
      <c r="F708" s="652" t="s">
        <v>58</v>
      </c>
      <c r="G708" s="652" t="s">
        <v>18</v>
      </c>
      <c r="H708" s="652" t="s">
        <v>27</v>
      </c>
      <c r="I708" s="580" t="s">
        <v>1465</v>
      </c>
      <c r="J708" s="580">
        <v>1</v>
      </c>
      <c r="K708" s="652" t="s">
        <v>81</v>
      </c>
      <c r="L708" s="734">
        <v>44256</v>
      </c>
      <c r="M708" s="670">
        <v>6.3E-2</v>
      </c>
      <c r="N708" s="652" t="s">
        <v>28</v>
      </c>
      <c r="O708" s="580"/>
      <c r="P708" s="670" t="str">
        <f>VLOOKUP(A708,'[1]Raw data'!$B:$BA,23,FALSE)</f>
        <v>JPY</v>
      </c>
      <c r="Q708" s="652" t="str">
        <f>VLOOKUP(A708,'[1]Raw data'!$B:$Z,2,FALSE)</f>
        <v>C49SZX20210011JY</v>
      </c>
      <c r="R708" s="652" t="str">
        <f>VLOOKUP(A708,'[1]Raw data'!$B:$Z,3,FALSE)</f>
        <v>英拓邦</v>
      </c>
      <c r="S708" s="652" t="str">
        <f>VLOOKUP(A708,'[1]Raw data'!$B:$Z,4,FALSE)</f>
        <v>YSM20R-2</v>
      </c>
      <c r="T708" s="652" t="str">
        <f>VLOOKUP(A708,'[1]Raw data'!$B:$Z,8,FALSE)</f>
        <v>R-&gt;L</v>
      </c>
      <c r="U708" s="652" t="str">
        <f>VLOOKUP(A708,'[1]Raw data'!$B:$Z,9,FALSE)</f>
        <v>No</v>
      </c>
      <c r="V708" s="572" t="str">
        <f>IF(G708&amp;H708=T708&amp;U708,"OK","WRONG")</f>
        <v>WRONG</v>
      </c>
      <c r="W708" s="568" t="str">
        <f>VLOOKUP(A708,'[1]Raw data'!$B:$AG,32,FALSE)</f>
        <v>CIF HK</v>
      </c>
      <c r="X708" s="652">
        <f>VLOOKUP(A708,'[1]Raw data'!$B:$BA,31,FALSE)</f>
        <v>44222</v>
      </c>
      <c r="Y708" s="652" t="str">
        <f>VLOOKUP(A708,'[1]Raw data'!$B:$AS,39,FALSE)</f>
        <v>Yes</v>
      </c>
      <c r="Z708" s="671"/>
      <c r="AA708" s="672"/>
      <c r="AB708" s="673"/>
      <c r="AC708" s="652" t="s">
        <v>1445</v>
      </c>
      <c r="AD708" s="667">
        <v>301</v>
      </c>
      <c r="AE708" s="667">
        <v>10</v>
      </c>
      <c r="AF708" s="667">
        <v>311</v>
      </c>
      <c r="AG708" s="667">
        <v>10</v>
      </c>
      <c r="AH708" s="667"/>
      <c r="AI708" s="668"/>
      <c r="AN708" s="547"/>
      <c r="AO708" s="829" t="str">
        <f t="shared" si="107"/>
        <v>Yes</v>
      </c>
      <c r="AP708" s="259" t="str">
        <f t="shared" si="108"/>
        <v>MAR 21</v>
      </c>
      <c r="AQ708" s="547" t="str">
        <f t="shared" si="109"/>
        <v>有定金+有預留客戶</v>
      </c>
      <c r="AR708" s="259" t="str">
        <f t="shared" si="110"/>
        <v>Shipped_Stock</v>
      </c>
      <c r="AS708" s="259" t="str">
        <f t="shared" si="111"/>
        <v/>
      </c>
      <c r="AT708" s="259" t="str">
        <f t="shared" si="112"/>
        <v>英拓邦</v>
      </c>
      <c r="AU708" s="259" t="str">
        <f t="shared" si="113"/>
        <v>C49SZX20210011JY</v>
      </c>
      <c r="AV708" s="259" t="str">
        <f t="shared" si="114"/>
        <v>Mar-01</v>
      </c>
    </row>
    <row r="709" spans="1:48" hidden="1">
      <c r="A709" s="564">
        <v>1028</v>
      </c>
      <c r="B709" s="669" t="s">
        <v>1125</v>
      </c>
      <c r="C709" s="669" t="s">
        <v>281</v>
      </c>
      <c r="D709" s="650" t="s">
        <v>1464</v>
      </c>
      <c r="E709" s="651" t="s">
        <v>1422</v>
      </c>
      <c r="F709" s="652" t="s">
        <v>58</v>
      </c>
      <c r="G709" s="652" t="s">
        <v>18</v>
      </c>
      <c r="H709" s="652" t="s">
        <v>27</v>
      </c>
      <c r="I709" s="580" t="s">
        <v>1466</v>
      </c>
      <c r="J709" s="580">
        <v>1</v>
      </c>
      <c r="K709" s="652" t="s">
        <v>78</v>
      </c>
      <c r="L709" s="734">
        <v>44256</v>
      </c>
      <c r="M709" s="670">
        <v>6.3E-2</v>
      </c>
      <c r="N709" s="652" t="s">
        <v>28</v>
      </c>
      <c r="O709" s="580"/>
      <c r="P709" s="571" t="str">
        <f>VLOOKUP(A709,'[1]Raw data'!$B:$BB,23,FALSE)</f>
        <v>JPY</v>
      </c>
      <c r="Q709" s="568" t="str">
        <f>VLOOKUP(A709,'[1]Raw data'!$B:$Z,2,FALSE)</f>
        <v>C49SZX20200243DZ</v>
      </c>
      <c r="R709" s="568" t="str">
        <f>VLOOKUP(A709,'[1]Raw data'!$B:$Z,3,FALSE)</f>
        <v>朗特</v>
      </c>
      <c r="S709" s="568" t="str">
        <f>VLOOKUP(A709,'[1]Raw data'!$B:$Z,4,FALSE)</f>
        <v>YSM20R-2</v>
      </c>
      <c r="T709" s="568" t="str">
        <f>VLOOKUP(A709,'[1]Raw data'!$B:$Z,8,FALSE)</f>
        <v>R-&gt;L</v>
      </c>
      <c r="U709" s="568" t="str">
        <f>VLOOKUP(A709,'[1]Raw data'!$B:$Z,9,FALSE)</f>
        <v>No</v>
      </c>
      <c r="V709" s="572" t="str">
        <f>IF(G709&amp;H709=T709&amp;U709,"OK","WRONG")</f>
        <v>WRONG</v>
      </c>
      <c r="W709" s="568" t="str">
        <f>VLOOKUP(A709,'[1]Raw data'!$B:$AG,32,FALSE)</f>
        <v>CIF HK</v>
      </c>
      <c r="X709" s="568">
        <f>VLOOKUP(A709,'[1]Raw data'!$B:$BA,31,FALSE)</f>
        <v>44182</v>
      </c>
      <c r="Y709" s="568" t="str">
        <f>VLOOKUP(A709,'[1]Raw data'!$B:$AS,39,FALSE)</f>
        <v>Yes</v>
      </c>
      <c r="Z709" s="664"/>
      <c r="AA709" s="665"/>
      <c r="AB709" s="666"/>
      <c r="AC709" s="652" t="s">
        <v>1463</v>
      </c>
      <c r="AD709" s="667">
        <v>301</v>
      </c>
      <c r="AE709" s="667">
        <v>10</v>
      </c>
      <c r="AF709" s="667">
        <v>311</v>
      </c>
      <c r="AG709" s="667">
        <v>10</v>
      </c>
      <c r="AH709" s="667"/>
      <c r="AI709" s="668"/>
      <c r="AN709" s="547"/>
      <c r="AO709" s="829" t="str">
        <f t="shared" si="107"/>
        <v>Yes</v>
      </c>
      <c r="AP709" s="259" t="str">
        <f t="shared" si="108"/>
        <v>MAR 21</v>
      </c>
      <c r="AQ709" s="547" t="str">
        <f t="shared" si="109"/>
        <v>有定金+有預留客戶</v>
      </c>
      <c r="AR709" s="259" t="str">
        <f t="shared" si="110"/>
        <v>Shipped_Stock</v>
      </c>
      <c r="AS709" s="259" t="str">
        <f t="shared" si="111"/>
        <v/>
      </c>
      <c r="AT709" s="259" t="str">
        <f t="shared" si="112"/>
        <v>朗特</v>
      </c>
      <c r="AU709" s="259" t="str">
        <f t="shared" si="113"/>
        <v>C49SZX20200243DZ</v>
      </c>
      <c r="AV709" s="259" t="str">
        <f t="shared" si="114"/>
        <v>Mar-01</v>
      </c>
    </row>
    <row r="710" spans="1:48" hidden="1">
      <c r="A710" s="564">
        <v>1029</v>
      </c>
      <c r="B710" s="669" t="s">
        <v>1125</v>
      </c>
      <c r="C710" s="669" t="s">
        <v>281</v>
      </c>
      <c r="D710" s="650">
        <v>110287</v>
      </c>
      <c r="E710" s="651" t="s">
        <v>1422</v>
      </c>
      <c r="F710" s="652" t="s">
        <v>58</v>
      </c>
      <c r="G710" s="652" t="s">
        <v>18</v>
      </c>
      <c r="H710" s="652" t="s">
        <v>27</v>
      </c>
      <c r="I710" s="580" t="s">
        <v>1467</v>
      </c>
      <c r="J710" s="580">
        <v>1</v>
      </c>
      <c r="K710" s="652" t="s">
        <v>78</v>
      </c>
      <c r="L710" s="734">
        <v>44256</v>
      </c>
      <c r="M710" s="670" t="s">
        <v>258</v>
      </c>
      <c r="N710" s="652" t="s">
        <v>28</v>
      </c>
      <c r="O710" s="580"/>
      <c r="P710" s="571" t="str">
        <f>VLOOKUP(A710,'[1]Raw data'!$B:$BB,23,FALSE)</f>
        <v>JPY</v>
      </c>
      <c r="Q710" s="568" t="str">
        <f>VLOOKUP(A710,'[1]Raw data'!$B:$Z,2,FALSE)</f>
        <v>C49SZX20200243DZ</v>
      </c>
      <c r="R710" s="568" t="str">
        <f>VLOOKUP(A710,'[1]Raw data'!$B:$Z,3,FALSE)</f>
        <v>朗特</v>
      </c>
      <c r="S710" s="568" t="str">
        <f>VLOOKUP(A710,'[1]Raw data'!$B:$Z,4,FALSE)</f>
        <v>YSM20R-2</v>
      </c>
      <c r="T710" s="568" t="str">
        <f>VLOOKUP(A710,'[1]Raw data'!$B:$Z,8,FALSE)</f>
        <v>R-&gt;L</v>
      </c>
      <c r="U710" s="568" t="str">
        <f>VLOOKUP(A710,'[1]Raw data'!$B:$Z,9,FALSE)</f>
        <v>No</v>
      </c>
      <c r="V710" s="572" t="str">
        <f>IF(G710&amp;H710=T710&amp;U710,"OK","WRONG")</f>
        <v>WRONG</v>
      </c>
      <c r="W710" s="568" t="str">
        <f>VLOOKUP(A710,'[1]Raw data'!$B:$AG,32,FALSE)</f>
        <v>CIF HK</v>
      </c>
      <c r="X710" s="568">
        <f>VLOOKUP(A710,'[1]Raw data'!$B:$BA,31,FALSE)</f>
        <v>44182</v>
      </c>
      <c r="Y710" s="568" t="str">
        <f>VLOOKUP(A710,'[1]Raw data'!$B:$AS,39,FALSE)</f>
        <v>Yes</v>
      </c>
      <c r="Z710" s="664"/>
      <c r="AA710" s="665"/>
      <c r="AB710" s="666"/>
      <c r="AC710" s="652" t="s">
        <v>1463</v>
      </c>
      <c r="AD710" s="667">
        <v>311</v>
      </c>
      <c r="AE710" s="667">
        <v>10</v>
      </c>
      <c r="AF710" s="667">
        <v>303</v>
      </c>
      <c r="AG710" s="667">
        <v>10</v>
      </c>
      <c r="AH710" s="667"/>
      <c r="AI710" s="668"/>
      <c r="AN710" s="547"/>
      <c r="AO710" s="829" t="str">
        <f t="shared" si="107"/>
        <v>Yes</v>
      </c>
      <c r="AP710" s="259" t="str">
        <f t="shared" si="108"/>
        <v>MAR 21</v>
      </c>
      <c r="AQ710" s="547" t="str">
        <f t="shared" si="109"/>
        <v>有定金+有預留客戶</v>
      </c>
      <c r="AR710" s="259" t="str">
        <f t="shared" si="110"/>
        <v>Shipped_Stock</v>
      </c>
      <c r="AS710" s="259" t="str">
        <f t="shared" si="111"/>
        <v/>
      </c>
      <c r="AT710" s="259" t="str">
        <f t="shared" si="112"/>
        <v>朗特</v>
      </c>
      <c r="AU710" s="259" t="str">
        <f t="shared" si="113"/>
        <v>C49SZX20200243DZ</v>
      </c>
      <c r="AV710" s="259" t="str">
        <f t="shared" si="114"/>
        <v>Mar-01</v>
      </c>
    </row>
    <row r="711" spans="1:48" hidden="1">
      <c r="A711" s="564">
        <v>1030</v>
      </c>
      <c r="B711" s="669" t="s">
        <v>1125</v>
      </c>
      <c r="C711" s="669" t="s">
        <v>281</v>
      </c>
      <c r="D711" s="650">
        <v>110287</v>
      </c>
      <c r="E711" s="651" t="s">
        <v>1422</v>
      </c>
      <c r="F711" s="652" t="s">
        <v>58</v>
      </c>
      <c r="G711" s="652" t="s">
        <v>18</v>
      </c>
      <c r="H711" s="652" t="s">
        <v>27</v>
      </c>
      <c r="I711" s="580" t="s">
        <v>1468</v>
      </c>
      <c r="J711" s="580">
        <v>1</v>
      </c>
      <c r="K711" s="652" t="s">
        <v>78</v>
      </c>
      <c r="L711" s="734">
        <v>44256</v>
      </c>
      <c r="M711" s="670" t="s">
        <v>258</v>
      </c>
      <c r="N711" s="652" t="s">
        <v>28</v>
      </c>
      <c r="O711" s="580"/>
      <c r="P711" s="571" t="str">
        <f>VLOOKUP(A711,'[1]Raw data'!$B:$BB,23,FALSE)</f>
        <v>JPY</v>
      </c>
      <c r="Q711" s="568" t="str">
        <f>VLOOKUP(A711,'[1]Raw data'!$B:$Z,2,FALSE)</f>
        <v>C49SZX20200243DZ</v>
      </c>
      <c r="R711" s="568" t="str">
        <f>VLOOKUP(A711,'[1]Raw data'!$B:$Z,3,FALSE)</f>
        <v>朗特</v>
      </c>
      <c r="S711" s="568" t="str">
        <f>VLOOKUP(A711,'[1]Raw data'!$B:$Z,4,FALSE)</f>
        <v>YSM20R-2</v>
      </c>
      <c r="T711" s="568" t="str">
        <f>VLOOKUP(A711,'[1]Raw data'!$B:$Z,8,FALSE)</f>
        <v>R-&gt;L</v>
      </c>
      <c r="U711" s="568" t="str">
        <f>VLOOKUP(A711,'[1]Raw data'!$B:$Z,9,FALSE)</f>
        <v>No</v>
      </c>
      <c r="V711" s="572" t="str">
        <f>IF(G711&amp;H711=T711&amp;U711,"OK","WRONG")</f>
        <v>WRONG</v>
      </c>
      <c r="W711" s="568" t="str">
        <f>VLOOKUP(A711,'[1]Raw data'!$B:$AG,32,FALSE)</f>
        <v>CIF HK</v>
      </c>
      <c r="X711" s="568">
        <f>VLOOKUP(A711,'[1]Raw data'!$B:$BA,31,FALSE)</f>
        <v>44182</v>
      </c>
      <c r="Y711" s="568" t="str">
        <f>VLOOKUP(A711,'[1]Raw data'!$B:$AS,39,FALSE)</f>
        <v>Yes</v>
      </c>
      <c r="Z711" s="664"/>
      <c r="AA711" s="665"/>
      <c r="AB711" s="666"/>
      <c r="AC711" s="652" t="s">
        <v>1463</v>
      </c>
      <c r="AD711" s="667">
        <v>302</v>
      </c>
      <c r="AE711" s="667">
        <v>10</v>
      </c>
      <c r="AF711" s="667">
        <v>311</v>
      </c>
      <c r="AG711" s="667">
        <v>10</v>
      </c>
      <c r="AH711" s="667"/>
      <c r="AI711" s="668"/>
      <c r="AN711" s="547"/>
      <c r="AO711" s="829" t="str">
        <f t="shared" si="107"/>
        <v>Yes</v>
      </c>
      <c r="AP711" s="259" t="str">
        <f t="shared" si="108"/>
        <v>MAR 21</v>
      </c>
      <c r="AQ711" s="547" t="str">
        <f t="shared" si="109"/>
        <v>有定金+有預留客戶</v>
      </c>
      <c r="AR711" s="259" t="str">
        <f t="shared" si="110"/>
        <v>Shipped_Stock</v>
      </c>
      <c r="AS711" s="259" t="str">
        <f t="shared" si="111"/>
        <v/>
      </c>
      <c r="AT711" s="259" t="str">
        <f t="shared" si="112"/>
        <v>朗特</v>
      </c>
      <c r="AU711" s="259" t="str">
        <f t="shared" si="113"/>
        <v>C49SZX20200243DZ</v>
      </c>
      <c r="AV711" s="259" t="str">
        <f t="shared" si="114"/>
        <v>Mar-01</v>
      </c>
    </row>
    <row r="712" spans="1:48" hidden="1">
      <c r="A712" s="564">
        <v>1025</v>
      </c>
      <c r="B712" s="669" t="s">
        <v>1125</v>
      </c>
      <c r="C712" s="669" t="s">
        <v>15</v>
      </c>
      <c r="D712" s="650" t="s">
        <v>1469</v>
      </c>
      <c r="E712" s="568" t="s">
        <v>1432</v>
      </c>
      <c r="F712" s="652" t="s">
        <v>241</v>
      </c>
      <c r="G712" s="652" t="s">
        <v>18</v>
      </c>
      <c r="H712" s="652" t="s">
        <v>26</v>
      </c>
      <c r="I712" s="580" t="s">
        <v>1470</v>
      </c>
      <c r="J712" s="580">
        <v>1</v>
      </c>
      <c r="K712" s="652" t="s">
        <v>81</v>
      </c>
      <c r="L712" s="738">
        <v>44256</v>
      </c>
      <c r="M712" s="670">
        <v>6.3E-2</v>
      </c>
      <c r="N712" s="652" t="s">
        <v>28</v>
      </c>
      <c r="O712" s="580"/>
      <c r="P712" s="571" t="str">
        <f>VLOOKUP(A712,'[1]Raw data'!$B:$BB,23,FALSE)</f>
        <v>JPY</v>
      </c>
      <c r="Q712" s="568" t="str">
        <f>VLOOKUP(A712,'[1]Raw data'!$B:$Z,2,FALSE)</f>
        <v>C49SZX20200230JY</v>
      </c>
      <c r="R712" s="568" t="str">
        <f>VLOOKUP(A712,'[1]Raw data'!$B:$Z,3,FALSE)</f>
        <v>海凌科达</v>
      </c>
      <c r="S712" s="568" t="str">
        <f>VLOOKUP(A712,'[1]Raw data'!$B:$Z,4,FALSE)</f>
        <v>YSM10</v>
      </c>
      <c r="T712" s="568" t="str">
        <f>VLOOKUP(A712,'[1]Raw data'!$B:$Z,8,FALSE)</f>
        <v>R-&gt;L</v>
      </c>
      <c r="U712" s="568" t="str">
        <f>VLOOKUP(A712,'[1]Raw data'!$B:$Z,9,FALSE)</f>
        <v>No</v>
      </c>
      <c r="V712" s="572" t="str">
        <f t="shared" ref="V712:V716" si="115">IF(G712&amp;H712=T712&amp;U712,"OK","WRONG")</f>
        <v>OK</v>
      </c>
      <c r="W712" s="568" t="str">
        <f>VLOOKUP(A712,'[1]Raw data'!$B:$AG,32,FALSE)</f>
        <v>CIF HK</v>
      </c>
      <c r="X712" s="568">
        <f>VLOOKUP(A712,'[1]Raw data'!$B:$BA,31,FALSE)</f>
        <v>44180</v>
      </c>
      <c r="Y712" s="568" t="str">
        <f>VLOOKUP(A712,'[1]Raw data'!$B:$AS,39,FALSE)</f>
        <v>Yes</v>
      </c>
      <c r="Z712" s="671"/>
      <c r="AA712" s="672"/>
      <c r="AB712" s="673"/>
      <c r="AC712" s="652" t="s">
        <v>695</v>
      </c>
      <c r="AD712" s="667">
        <v>301</v>
      </c>
      <c r="AE712" s="667">
        <v>10</v>
      </c>
      <c r="AF712" s="667"/>
      <c r="AG712" s="667"/>
      <c r="AH712" s="667"/>
      <c r="AI712" s="668"/>
      <c r="AN712" s="547"/>
      <c r="AO712" s="829" t="str">
        <f t="shared" si="107"/>
        <v>Yes</v>
      </c>
      <c r="AP712" s="259" t="str">
        <f t="shared" si="108"/>
        <v>MAR 21</v>
      </c>
      <c r="AQ712" s="547" t="str">
        <f t="shared" si="109"/>
        <v>有定金+有預留客戶</v>
      </c>
      <c r="AR712" s="259" t="str">
        <f t="shared" si="110"/>
        <v>Shipped_Stock</v>
      </c>
      <c r="AS712" s="259" t="str">
        <f t="shared" si="111"/>
        <v/>
      </c>
      <c r="AT712" s="259" t="str">
        <f t="shared" si="112"/>
        <v>海凌科达</v>
      </c>
      <c r="AU712" s="259" t="str">
        <f t="shared" si="113"/>
        <v>C49SZX20200230JY</v>
      </c>
      <c r="AV712" s="259" t="str">
        <f t="shared" si="114"/>
        <v>Mar-01</v>
      </c>
    </row>
    <row r="713" spans="1:48" hidden="1">
      <c r="A713" s="564">
        <v>1024</v>
      </c>
      <c r="B713" s="669" t="s">
        <v>1125</v>
      </c>
      <c r="C713" s="669" t="s">
        <v>15</v>
      </c>
      <c r="D713" s="650" t="s">
        <v>1469</v>
      </c>
      <c r="E713" s="568" t="s">
        <v>1432</v>
      </c>
      <c r="F713" s="652" t="s">
        <v>241</v>
      </c>
      <c r="G713" s="652" t="s">
        <v>18</v>
      </c>
      <c r="H713" s="652" t="s">
        <v>26</v>
      </c>
      <c r="I713" s="580" t="s">
        <v>1471</v>
      </c>
      <c r="J713" s="580">
        <v>1</v>
      </c>
      <c r="K713" s="652" t="s">
        <v>81</v>
      </c>
      <c r="L713" s="738">
        <v>44256</v>
      </c>
      <c r="M713" s="670">
        <v>6.3E-2</v>
      </c>
      <c r="N713" s="652" t="s">
        <v>28</v>
      </c>
      <c r="O713" s="580"/>
      <c r="P713" s="571" t="str">
        <f>VLOOKUP(A713,'[1]Raw data'!$B:$BB,23,FALSE)</f>
        <v>JPY</v>
      </c>
      <c r="Q713" s="568" t="str">
        <f>VLOOKUP(A713,'[1]Raw data'!$B:$Z,2,FALSE)</f>
        <v>C49SZX20200230JY</v>
      </c>
      <c r="R713" s="568" t="str">
        <f>VLOOKUP(A713,'[1]Raw data'!$B:$Z,3,FALSE)</f>
        <v>海凌科达</v>
      </c>
      <c r="S713" s="568" t="str">
        <f>VLOOKUP(A713,'[1]Raw data'!$B:$Z,4,FALSE)</f>
        <v>YSM10</v>
      </c>
      <c r="T713" s="568" t="str">
        <f>VLOOKUP(A713,'[1]Raw data'!$B:$Z,8,FALSE)</f>
        <v>R-&gt;L</v>
      </c>
      <c r="U713" s="568" t="str">
        <f>VLOOKUP(A713,'[1]Raw data'!$B:$Z,9,FALSE)</f>
        <v>No</v>
      </c>
      <c r="V713" s="572" t="str">
        <f t="shared" si="115"/>
        <v>OK</v>
      </c>
      <c r="W713" s="568" t="str">
        <f>VLOOKUP(A713,'[1]Raw data'!$B:$AG,32,FALSE)</f>
        <v>CIF HK</v>
      </c>
      <c r="X713" s="568">
        <f>VLOOKUP(A713,'[1]Raw data'!$B:$BA,31,FALSE)</f>
        <v>44180</v>
      </c>
      <c r="Y713" s="568" t="str">
        <f>VLOOKUP(A713,'[1]Raw data'!$B:$AS,39,FALSE)</f>
        <v>Yes</v>
      </c>
      <c r="Z713" s="671"/>
      <c r="AA713" s="672"/>
      <c r="AB713" s="673"/>
      <c r="AC713" s="652" t="s">
        <v>695</v>
      </c>
      <c r="AD713" s="667">
        <v>301</v>
      </c>
      <c r="AE713" s="667">
        <v>10</v>
      </c>
      <c r="AF713" s="667"/>
      <c r="AG713" s="667"/>
      <c r="AH713" s="667"/>
      <c r="AI713" s="668"/>
      <c r="AN713" s="547"/>
      <c r="AO713" s="829" t="str">
        <f t="shared" si="107"/>
        <v>Yes</v>
      </c>
      <c r="AP713" s="259" t="str">
        <f t="shared" si="108"/>
        <v>MAR 21</v>
      </c>
      <c r="AQ713" s="547" t="str">
        <f t="shared" si="109"/>
        <v>有定金+有預留客戶</v>
      </c>
      <c r="AR713" s="259" t="str">
        <f t="shared" si="110"/>
        <v>Shipped_Stock</v>
      </c>
      <c r="AS713" s="259" t="str">
        <f t="shared" si="111"/>
        <v/>
      </c>
      <c r="AT713" s="259" t="str">
        <f t="shared" si="112"/>
        <v>海凌科达</v>
      </c>
      <c r="AU713" s="259" t="str">
        <f t="shared" si="113"/>
        <v>C49SZX20200230JY</v>
      </c>
      <c r="AV713" s="259" t="str">
        <f t="shared" si="114"/>
        <v>Mar-01</v>
      </c>
    </row>
    <row r="714" spans="1:48" hidden="1">
      <c r="A714" s="564">
        <v>1022</v>
      </c>
      <c r="B714" s="669" t="s">
        <v>1125</v>
      </c>
      <c r="C714" s="669" t="s">
        <v>15</v>
      </c>
      <c r="D714" s="650">
        <v>110172</v>
      </c>
      <c r="E714" s="568" t="s">
        <v>1432</v>
      </c>
      <c r="F714" s="652" t="s">
        <v>241</v>
      </c>
      <c r="G714" s="652" t="s">
        <v>18</v>
      </c>
      <c r="H714" s="652" t="s">
        <v>26</v>
      </c>
      <c r="I714" s="580" t="s">
        <v>1472</v>
      </c>
      <c r="J714" s="580">
        <v>1</v>
      </c>
      <c r="K714" s="652" t="s">
        <v>81</v>
      </c>
      <c r="L714" s="738">
        <v>44256</v>
      </c>
      <c r="M714" s="670" t="s">
        <v>906</v>
      </c>
      <c r="N714" s="652" t="s">
        <v>28</v>
      </c>
      <c r="O714" s="580"/>
      <c r="P714" s="571" t="str">
        <f>VLOOKUP(A714,'[1]Raw data'!$B:$BB,23,FALSE)</f>
        <v>JPY</v>
      </c>
      <c r="Q714" s="568" t="str">
        <f>VLOOKUP(A714,'[1]Raw data'!$B:$Z,2,FALSE)</f>
        <v>C49SZX20200230JY</v>
      </c>
      <c r="R714" s="568" t="str">
        <f>VLOOKUP(A714,'[1]Raw data'!$B:$Z,3,FALSE)</f>
        <v>海凌科达</v>
      </c>
      <c r="S714" s="568" t="str">
        <f>VLOOKUP(A714,'[1]Raw data'!$B:$Z,4,FALSE)</f>
        <v>YSM10</v>
      </c>
      <c r="T714" s="568" t="str">
        <f>VLOOKUP(A714,'[1]Raw data'!$B:$Z,8,FALSE)</f>
        <v>L-&gt;R</v>
      </c>
      <c r="U714" s="568" t="str">
        <f>VLOOKUP(A714,'[1]Raw data'!$B:$Z,9,FALSE)</f>
        <v>No</v>
      </c>
      <c r="V714" s="572" t="str">
        <f t="shared" si="115"/>
        <v>WRONG</v>
      </c>
      <c r="W714" s="568" t="str">
        <f>VLOOKUP(A714,'[1]Raw data'!$B:$AG,32,FALSE)</f>
        <v>CIF HK</v>
      </c>
      <c r="X714" s="568">
        <f>VLOOKUP(A714,'[1]Raw data'!$B:$BA,31,FALSE)</f>
        <v>44180</v>
      </c>
      <c r="Y714" s="568" t="str">
        <f>VLOOKUP(A714,'[1]Raw data'!$B:$AS,39,FALSE)</f>
        <v>Yes</v>
      </c>
      <c r="Z714" s="671"/>
      <c r="AA714" s="672"/>
      <c r="AB714" s="673"/>
      <c r="AC714" s="652" t="s">
        <v>695</v>
      </c>
      <c r="AD714" s="667">
        <v>301</v>
      </c>
      <c r="AE714" s="667">
        <v>10</v>
      </c>
      <c r="AF714" s="667"/>
      <c r="AG714" s="667"/>
      <c r="AH714" s="667"/>
      <c r="AI714" s="668"/>
      <c r="AN714" s="547"/>
      <c r="AO714" s="829" t="str">
        <f t="shared" si="107"/>
        <v>Yes</v>
      </c>
      <c r="AP714" s="259" t="str">
        <f t="shared" si="108"/>
        <v>MAR 21</v>
      </c>
      <c r="AQ714" s="547" t="str">
        <f t="shared" si="109"/>
        <v>有定金+有預留客戶</v>
      </c>
      <c r="AR714" s="259" t="str">
        <f t="shared" si="110"/>
        <v>Shipped_Stock</v>
      </c>
      <c r="AS714" s="259" t="str">
        <f t="shared" si="111"/>
        <v/>
      </c>
      <c r="AT714" s="259" t="str">
        <f t="shared" si="112"/>
        <v>海凌科达</v>
      </c>
      <c r="AU714" s="259" t="str">
        <f t="shared" si="113"/>
        <v>C49SZX20200230JY</v>
      </c>
      <c r="AV714" s="259" t="str">
        <f t="shared" si="114"/>
        <v>Mar-01</v>
      </c>
    </row>
    <row r="715" spans="1:48" hidden="1">
      <c r="A715" s="564">
        <v>1023</v>
      </c>
      <c r="B715" s="669" t="s">
        <v>1125</v>
      </c>
      <c r="C715" s="669" t="s">
        <v>15</v>
      </c>
      <c r="D715" s="650">
        <v>110172</v>
      </c>
      <c r="E715" s="568" t="s">
        <v>1432</v>
      </c>
      <c r="F715" s="652" t="s">
        <v>241</v>
      </c>
      <c r="G715" s="652" t="s">
        <v>18</v>
      </c>
      <c r="H715" s="652" t="s">
        <v>26</v>
      </c>
      <c r="I715" s="580" t="s">
        <v>1473</v>
      </c>
      <c r="J715" s="580">
        <v>1</v>
      </c>
      <c r="K715" s="652" t="s">
        <v>81</v>
      </c>
      <c r="L715" s="738">
        <v>44256</v>
      </c>
      <c r="M715" s="670" t="s">
        <v>906</v>
      </c>
      <c r="N715" s="652" t="s">
        <v>28</v>
      </c>
      <c r="O715" s="580"/>
      <c r="P715" s="571" t="str">
        <f>VLOOKUP(A715,'[1]Raw data'!$B:$BB,23,FALSE)</f>
        <v>JPY</v>
      </c>
      <c r="Q715" s="568" t="str">
        <f>VLOOKUP(A715,'[1]Raw data'!$B:$Z,2,FALSE)</f>
        <v>C49SZX20200230JY</v>
      </c>
      <c r="R715" s="568" t="str">
        <f>VLOOKUP(A715,'[1]Raw data'!$B:$Z,3,FALSE)</f>
        <v>海凌科达</v>
      </c>
      <c r="S715" s="568" t="str">
        <f>VLOOKUP(A715,'[1]Raw data'!$B:$Z,4,FALSE)</f>
        <v>YSM10</v>
      </c>
      <c r="T715" s="568" t="str">
        <f>VLOOKUP(A715,'[1]Raw data'!$B:$Z,8,FALSE)</f>
        <v>L-&gt;R</v>
      </c>
      <c r="U715" s="568" t="str">
        <f>VLOOKUP(A715,'[1]Raw data'!$B:$Z,9,FALSE)</f>
        <v>No</v>
      </c>
      <c r="V715" s="572" t="str">
        <f t="shared" si="115"/>
        <v>WRONG</v>
      </c>
      <c r="W715" s="568" t="str">
        <f>VLOOKUP(A715,'[1]Raw data'!$B:$AG,32,FALSE)</f>
        <v>CIF HK</v>
      </c>
      <c r="X715" s="568">
        <f>VLOOKUP(A715,'[1]Raw data'!$B:$BA,31,FALSE)</f>
        <v>44180</v>
      </c>
      <c r="Y715" s="568" t="str">
        <f>VLOOKUP(A715,'[1]Raw data'!$B:$AS,39,FALSE)</f>
        <v>Yes</v>
      </c>
      <c r="Z715" s="671"/>
      <c r="AA715" s="672"/>
      <c r="AB715" s="673"/>
      <c r="AC715" s="652" t="s">
        <v>1474</v>
      </c>
      <c r="AD715" s="667">
        <v>301</v>
      </c>
      <c r="AE715" s="667">
        <v>10</v>
      </c>
      <c r="AF715" s="667"/>
      <c r="AG715" s="667"/>
      <c r="AH715" s="667"/>
      <c r="AI715" s="668"/>
      <c r="AN715" s="547"/>
      <c r="AO715" s="829" t="str">
        <f t="shared" si="107"/>
        <v>Yes</v>
      </c>
      <c r="AP715" s="259" t="str">
        <f t="shared" si="108"/>
        <v>MAR 21</v>
      </c>
      <c r="AQ715" s="547" t="str">
        <f t="shared" si="109"/>
        <v>有定金+有預留客戶</v>
      </c>
      <c r="AR715" s="259" t="str">
        <f t="shared" si="110"/>
        <v>Shipped_Stock</v>
      </c>
      <c r="AS715" s="259" t="str">
        <f t="shared" si="111"/>
        <v/>
      </c>
      <c r="AT715" s="259" t="str">
        <f t="shared" si="112"/>
        <v>海凌科达</v>
      </c>
      <c r="AU715" s="259" t="str">
        <f t="shared" si="113"/>
        <v>C49SZX20200230JY</v>
      </c>
      <c r="AV715" s="259" t="str">
        <f t="shared" si="114"/>
        <v>Mar-01</v>
      </c>
    </row>
    <row r="716" spans="1:48" hidden="1">
      <c r="A716" s="564">
        <v>1254</v>
      </c>
      <c r="B716" s="669" t="s">
        <v>1125</v>
      </c>
      <c r="C716" s="669" t="s">
        <v>15</v>
      </c>
      <c r="D716" s="650">
        <v>110172</v>
      </c>
      <c r="E716" s="568" t="s">
        <v>1432</v>
      </c>
      <c r="F716" s="652" t="s">
        <v>241</v>
      </c>
      <c r="G716" s="652" t="s">
        <v>18</v>
      </c>
      <c r="H716" s="652" t="s">
        <v>26</v>
      </c>
      <c r="I716" s="580" t="s">
        <v>1475</v>
      </c>
      <c r="J716" s="580">
        <v>1</v>
      </c>
      <c r="K716" s="652" t="s">
        <v>82</v>
      </c>
      <c r="L716" s="738">
        <v>44256</v>
      </c>
      <c r="M716" s="670" t="s">
        <v>906</v>
      </c>
      <c r="N716" s="652" t="s">
        <v>28</v>
      </c>
      <c r="O716" s="580"/>
      <c r="P716" s="670" t="str">
        <f>VLOOKUP(A716,'[1]Raw data'!$B:$BA,23,FALSE)</f>
        <v>JPY</v>
      </c>
      <c r="Q716" s="652" t="str">
        <f>VLOOKUP(A716,'[1]Raw data'!$B:$Z,2,FALSE)</f>
        <v>C49SZX20210090EC</v>
      </c>
      <c r="R716" s="652" t="str">
        <f>VLOOKUP(A716,'[1]Raw data'!$B:$Z,3,FALSE)</f>
        <v>景思</v>
      </c>
      <c r="S716" s="652" t="str">
        <f>VLOOKUP(A716,'[1]Raw data'!$B:$Z,4,FALSE)</f>
        <v>YSM10</v>
      </c>
      <c r="T716" s="652" t="str">
        <f>VLOOKUP(A716,'[1]Raw data'!$B:$Z,8,FALSE)</f>
        <v>L-&gt;R</v>
      </c>
      <c r="U716" s="652" t="str">
        <f>VLOOKUP(A716,'[1]Raw data'!$B:$Z,9,FALSE)</f>
        <v>MVC</v>
      </c>
      <c r="V716" s="572" t="str">
        <f t="shared" si="115"/>
        <v>WRONG</v>
      </c>
      <c r="W716" s="568" t="str">
        <f>VLOOKUP(A716,'[1]Raw data'!$B:$AG,32,FALSE)</f>
        <v>DAP SZ</v>
      </c>
      <c r="X716" s="652">
        <f>VLOOKUP(A716,'[1]Raw data'!$B:$BA,31,FALSE)</f>
        <v>44270</v>
      </c>
      <c r="Y716" s="652" t="str">
        <f>VLOOKUP(A716,'[1]Raw data'!$B:$AS,39,FALSE)</f>
        <v>Yes</v>
      </c>
      <c r="Z716" s="664"/>
      <c r="AA716" s="665"/>
      <c r="AB716" s="666"/>
      <c r="AC716" s="652" t="s">
        <v>1476</v>
      </c>
      <c r="AD716" s="667">
        <v>301</v>
      </c>
      <c r="AE716" s="667">
        <v>10</v>
      </c>
      <c r="AF716" s="667"/>
      <c r="AG716" s="667"/>
      <c r="AH716" s="667"/>
      <c r="AI716" s="668"/>
      <c r="AN716" s="547"/>
      <c r="AO716" s="829" t="str">
        <f t="shared" si="107"/>
        <v>Yes</v>
      </c>
      <c r="AP716" s="259" t="str">
        <f t="shared" si="108"/>
        <v>MAR 21</v>
      </c>
      <c r="AQ716" s="547" t="str">
        <f t="shared" si="109"/>
        <v>有定金+有預留客戶</v>
      </c>
      <c r="AR716" s="259" t="str">
        <f t="shared" si="110"/>
        <v>Shipped_Stock</v>
      </c>
      <c r="AS716" s="259" t="str">
        <f t="shared" si="111"/>
        <v/>
      </c>
      <c r="AT716" s="259" t="str">
        <f t="shared" si="112"/>
        <v>景思</v>
      </c>
      <c r="AU716" s="259" t="str">
        <f t="shared" si="113"/>
        <v>C49SZX20210090EC</v>
      </c>
      <c r="AV716" s="259" t="str">
        <f t="shared" si="114"/>
        <v>Mar-01</v>
      </c>
    </row>
    <row r="717" spans="1:48" hidden="1">
      <c r="A717" s="564">
        <v>1219</v>
      </c>
      <c r="B717" s="669" t="s">
        <v>1125</v>
      </c>
      <c r="C717" s="669" t="s">
        <v>15</v>
      </c>
      <c r="D717" s="650">
        <v>110173</v>
      </c>
      <c r="E717" s="568" t="s">
        <v>1432</v>
      </c>
      <c r="F717" s="652" t="s">
        <v>241</v>
      </c>
      <c r="G717" s="652" t="s">
        <v>18</v>
      </c>
      <c r="H717" s="652" t="s">
        <v>26</v>
      </c>
      <c r="I717" s="580" t="s">
        <v>1477</v>
      </c>
      <c r="J717" s="580">
        <v>1</v>
      </c>
      <c r="K717" s="652" t="s">
        <v>81</v>
      </c>
      <c r="L717" s="738">
        <v>44256</v>
      </c>
      <c r="M717" s="670" t="s">
        <v>906</v>
      </c>
      <c r="N717" s="652" t="s">
        <v>28</v>
      </c>
      <c r="O717" s="580"/>
      <c r="P717" s="571" t="str">
        <f>VLOOKUP(A717,'[1]Raw data'!$B:$BB,23,FALSE)</f>
        <v>JPY</v>
      </c>
      <c r="Q717" s="568" t="str">
        <f>VLOOKUP(A717,'[1]Raw data'!$B:$Z,2,FALSE)</f>
        <v>C49SZX20210068JL</v>
      </c>
      <c r="R717" s="568" t="str">
        <f>VLOOKUP(A717,'[1]Raw data'!$B:$Z,3,FALSE)</f>
        <v>芯睿视</v>
      </c>
      <c r="S717" s="568" t="str">
        <f>VLOOKUP(A717,'[1]Raw data'!$B:$Z,4,FALSE)</f>
        <v>YSM10</v>
      </c>
      <c r="T717" s="568" t="str">
        <f>VLOOKUP(A717,'[1]Raw data'!$B:$Z,8,FALSE)</f>
        <v>L-&gt;R</v>
      </c>
      <c r="U717" s="568" t="str">
        <f>VLOOKUP(A717,'[1]Raw data'!$B:$Z,9,FALSE)</f>
        <v>MVC</v>
      </c>
      <c r="V717" s="572" t="str">
        <f t="shared" ref="V717:V721" si="116">IF(G717&amp;H717=T717&amp;U717,"OK","WRONG")</f>
        <v>WRONG</v>
      </c>
      <c r="W717" s="568" t="str">
        <f>VLOOKUP(A717,'[1]Raw data'!$B:$AG,32,FALSE)</f>
        <v>CIF HK</v>
      </c>
      <c r="X717" s="568">
        <f>VLOOKUP(A717,'[1]Raw data'!$B:$BA,31,FALSE)</f>
        <v>44263</v>
      </c>
      <c r="Y717" s="568" t="str">
        <f>VLOOKUP(A717,'[1]Raw data'!$B:$AS,39,FALSE)</f>
        <v>Yes</v>
      </c>
      <c r="Z717" s="671"/>
      <c r="AA717" s="672"/>
      <c r="AB717" s="673"/>
      <c r="AC717" s="652" t="s">
        <v>1478</v>
      </c>
      <c r="AD717" s="667">
        <v>301</v>
      </c>
      <c r="AE717" s="667">
        <v>10</v>
      </c>
      <c r="AF717" s="667"/>
      <c r="AG717" s="667"/>
      <c r="AH717" s="667"/>
      <c r="AI717" s="668"/>
      <c r="AN717" s="547"/>
      <c r="AO717" s="829" t="str">
        <f t="shared" si="107"/>
        <v>Yes</v>
      </c>
      <c r="AP717" s="259" t="str">
        <f t="shared" si="108"/>
        <v>MAR 21</v>
      </c>
      <c r="AQ717" s="547" t="str">
        <f t="shared" si="109"/>
        <v>有定金+有預留客戶</v>
      </c>
      <c r="AR717" s="259" t="str">
        <f t="shared" si="110"/>
        <v>Shipped_Stock</v>
      </c>
      <c r="AS717" s="259" t="str">
        <f t="shared" si="111"/>
        <v/>
      </c>
      <c r="AT717" s="259" t="str">
        <f t="shared" si="112"/>
        <v>芯睿视</v>
      </c>
      <c r="AU717" s="259" t="str">
        <f t="shared" si="113"/>
        <v>C49SZX20210068JL</v>
      </c>
      <c r="AV717" s="259" t="str">
        <f t="shared" si="114"/>
        <v>Mar-01</v>
      </c>
    </row>
    <row r="718" spans="1:48" hidden="1">
      <c r="A718" s="564">
        <v>1220</v>
      </c>
      <c r="B718" s="669" t="s">
        <v>1125</v>
      </c>
      <c r="C718" s="669" t="s">
        <v>15</v>
      </c>
      <c r="D718" s="650">
        <v>110173</v>
      </c>
      <c r="E718" s="568" t="s">
        <v>1432</v>
      </c>
      <c r="F718" s="652" t="s">
        <v>241</v>
      </c>
      <c r="G718" s="652" t="s">
        <v>18</v>
      </c>
      <c r="H718" s="652" t="s">
        <v>26</v>
      </c>
      <c r="I718" s="580" t="s">
        <v>1479</v>
      </c>
      <c r="J718" s="580">
        <v>1</v>
      </c>
      <c r="K718" s="652" t="s">
        <v>81</v>
      </c>
      <c r="L718" s="738">
        <v>44256</v>
      </c>
      <c r="M718" s="670" t="s">
        <v>906</v>
      </c>
      <c r="N718" s="652" t="s">
        <v>28</v>
      </c>
      <c r="O718" s="580"/>
      <c r="P718" s="571" t="str">
        <f>VLOOKUP(A718,'[1]Raw data'!$B:$BB,23,FALSE)</f>
        <v>JPY</v>
      </c>
      <c r="Q718" s="568" t="str">
        <f>VLOOKUP(A718,'[1]Raw data'!$B:$Z,2,FALSE)</f>
        <v>C49SZX20210068JL</v>
      </c>
      <c r="R718" s="568" t="str">
        <f>VLOOKUP(A718,'[1]Raw data'!$B:$Z,3,FALSE)</f>
        <v>芯睿视</v>
      </c>
      <c r="S718" s="568" t="str">
        <f>VLOOKUP(A718,'[1]Raw data'!$B:$Z,4,FALSE)</f>
        <v>YSM10</v>
      </c>
      <c r="T718" s="568" t="str">
        <f>VLOOKUP(A718,'[1]Raw data'!$B:$Z,8,FALSE)</f>
        <v>L-&gt;R</v>
      </c>
      <c r="U718" s="568" t="str">
        <f>VLOOKUP(A718,'[1]Raw data'!$B:$Z,9,FALSE)</f>
        <v>MVC</v>
      </c>
      <c r="V718" s="572" t="str">
        <f t="shared" si="116"/>
        <v>WRONG</v>
      </c>
      <c r="W718" s="568" t="str">
        <f>VLOOKUP(A718,'[1]Raw data'!$B:$AG,32,FALSE)</f>
        <v>CIF HK</v>
      </c>
      <c r="X718" s="568">
        <f>VLOOKUP(A718,'[1]Raw data'!$B:$BA,31,FALSE)</f>
        <v>44263</v>
      </c>
      <c r="Y718" s="568" t="str">
        <f>VLOOKUP(A718,'[1]Raw data'!$B:$AS,39,FALSE)</f>
        <v>Yes</v>
      </c>
      <c r="Z718" s="671"/>
      <c r="AA718" s="672"/>
      <c r="AB718" s="673"/>
      <c r="AC718" s="652" t="s">
        <v>1478</v>
      </c>
      <c r="AD718" s="667">
        <v>301</v>
      </c>
      <c r="AE718" s="667">
        <v>10</v>
      </c>
      <c r="AF718" s="667"/>
      <c r="AG718" s="667"/>
      <c r="AH718" s="667"/>
      <c r="AI718" s="668"/>
      <c r="AN718" s="547"/>
      <c r="AO718" s="829" t="str">
        <f t="shared" si="107"/>
        <v>Yes</v>
      </c>
      <c r="AP718" s="259" t="str">
        <f t="shared" si="108"/>
        <v>MAR 21</v>
      </c>
      <c r="AQ718" s="547" t="str">
        <f t="shared" si="109"/>
        <v>有定金+有預留客戶</v>
      </c>
      <c r="AR718" s="259" t="str">
        <f t="shared" si="110"/>
        <v>Shipped_Stock</v>
      </c>
      <c r="AS718" s="259" t="str">
        <f t="shared" si="111"/>
        <v/>
      </c>
      <c r="AT718" s="259" t="str">
        <f t="shared" si="112"/>
        <v>芯睿视</v>
      </c>
      <c r="AU718" s="259" t="str">
        <f t="shared" si="113"/>
        <v>C49SZX20210068JL</v>
      </c>
      <c r="AV718" s="259" t="str">
        <f t="shared" si="114"/>
        <v>Mar-01</v>
      </c>
    </row>
    <row r="719" spans="1:48" hidden="1">
      <c r="A719" s="564">
        <v>1223</v>
      </c>
      <c r="B719" s="669" t="s">
        <v>1125</v>
      </c>
      <c r="C719" s="669" t="s">
        <v>15</v>
      </c>
      <c r="D719" s="650">
        <v>110173</v>
      </c>
      <c r="E719" s="568" t="s">
        <v>1432</v>
      </c>
      <c r="F719" s="652" t="s">
        <v>241</v>
      </c>
      <c r="G719" s="652" t="s">
        <v>18</v>
      </c>
      <c r="H719" s="652" t="s">
        <v>26</v>
      </c>
      <c r="I719" s="580" t="s">
        <v>1480</v>
      </c>
      <c r="J719" s="580">
        <v>1</v>
      </c>
      <c r="K719" s="652" t="s">
        <v>81</v>
      </c>
      <c r="L719" s="738">
        <v>44256</v>
      </c>
      <c r="M719" s="670" t="s">
        <v>906</v>
      </c>
      <c r="N719" s="652" t="s">
        <v>28</v>
      </c>
      <c r="O719" s="580"/>
      <c r="P719" s="571" t="str">
        <f>VLOOKUP(A719,'[1]Raw data'!$B:$BB,23,FALSE)</f>
        <v>JPY</v>
      </c>
      <c r="Q719" s="568" t="str">
        <f>VLOOKUP(A719,'[1]Raw data'!$B:$Z,2,FALSE)</f>
        <v>C49SZX20210068JL</v>
      </c>
      <c r="R719" s="568" t="str">
        <f>VLOOKUP(A719,'[1]Raw data'!$B:$Z,3,FALSE)</f>
        <v>芯睿视</v>
      </c>
      <c r="S719" s="568" t="str">
        <f>VLOOKUP(A719,'[1]Raw data'!$B:$Z,4,FALSE)</f>
        <v>YSM10</v>
      </c>
      <c r="T719" s="568" t="str">
        <f>VLOOKUP(A719,'[1]Raw data'!$B:$Z,8,FALSE)</f>
        <v>L-&gt;R</v>
      </c>
      <c r="U719" s="568" t="str">
        <f>VLOOKUP(A719,'[1]Raw data'!$B:$Z,9,FALSE)</f>
        <v>MVC</v>
      </c>
      <c r="V719" s="572" t="str">
        <f t="shared" si="116"/>
        <v>WRONG</v>
      </c>
      <c r="W719" s="568" t="str">
        <f>VLOOKUP(A719,'[1]Raw data'!$B:$AG,32,FALSE)</f>
        <v>CIF HK</v>
      </c>
      <c r="X719" s="568">
        <f>VLOOKUP(A719,'[1]Raw data'!$B:$BA,31,FALSE)</f>
        <v>44263</v>
      </c>
      <c r="Y719" s="568" t="str">
        <f>VLOOKUP(A719,'[1]Raw data'!$B:$AS,39,FALSE)</f>
        <v>Yes</v>
      </c>
      <c r="Z719" s="671"/>
      <c r="AA719" s="672"/>
      <c r="AB719" s="673"/>
      <c r="AC719" s="652" t="s">
        <v>1478</v>
      </c>
      <c r="AD719" s="667">
        <v>301</v>
      </c>
      <c r="AE719" s="667">
        <v>10</v>
      </c>
      <c r="AF719" s="667"/>
      <c r="AG719" s="667"/>
      <c r="AH719" s="667"/>
      <c r="AI719" s="668"/>
      <c r="AN719" s="547"/>
      <c r="AO719" s="829" t="str">
        <f t="shared" si="107"/>
        <v>Yes</v>
      </c>
      <c r="AP719" s="259" t="str">
        <f t="shared" si="108"/>
        <v>MAR 21</v>
      </c>
      <c r="AQ719" s="547" t="str">
        <f t="shared" si="109"/>
        <v>有定金+有預留客戶</v>
      </c>
      <c r="AR719" s="259" t="str">
        <f t="shared" si="110"/>
        <v>Shipped_Stock</v>
      </c>
      <c r="AS719" s="259" t="str">
        <f t="shared" si="111"/>
        <v/>
      </c>
      <c r="AT719" s="259" t="str">
        <f t="shared" si="112"/>
        <v>芯睿视</v>
      </c>
      <c r="AU719" s="259" t="str">
        <f t="shared" si="113"/>
        <v>C49SZX20210068JL</v>
      </c>
      <c r="AV719" s="259" t="str">
        <f t="shared" si="114"/>
        <v>Mar-01</v>
      </c>
    </row>
    <row r="720" spans="1:48" hidden="1">
      <c r="A720" s="564">
        <v>1224</v>
      </c>
      <c r="B720" s="669" t="s">
        <v>1125</v>
      </c>
      <c r="C720" s="669" t="s">
        <v>15</v>
      </c>
      <c r="D720" s="650">
        <v>110173</v>
      </c>
      <c r="E720" s="568" t="s">
        <v>1432</v>
      </c>
      <c r="F720" s="652" t="s">
        <v>241</v>
      </c>
      <c r="G720" s="652" t="s">
        <v>18</v>
      </c>
      <c r="H720" s="652" t="s">
        <v>26</v>
      </c>
      <c r="I720" s="580" t="s">
        <v>1481</v>
      </c>
      <c r="J720" s="580">
        <v>1</v>
      </c>
      <c r="K720" s="652" t="s">
        <v>81</v>
      </c>
      <c r="L720" s="738">
        <v>44256</v>
      </c>
      <c r="M720" s="670" t="s">
        <v>906</v>
      </c>
      <c r="N720" s="652" t="s">
        <v>28</v>
      </c>
      <c r="O720" s="580"/>
      <c r="P720" s="571" t="str">
        <f>VLOOKUP(A720,'[1]Raw data'!$B:$BB,23,FALSE)</f>
        <v>JPY</v>
      </c>
      <c r="Q720" s="568" t="str">
        <f>VLOOKUP(A720,'[1]Raw data'!$B:$Z,2,FALSE)</f>
        <v>C49SZX20210068JL</v>
      </c>
      <c r="R720" s="568" t="str">
        <f>VLOOKUP(A720,'[1]Raw data'!$B:$Z,3,FALSE)</f>
        <v>芯睿视</v>
      </c>
      <c r="S720" s="568" t="str">
        <f>VLOOKUP(A720,'[1]Raw data'!$B:$Z,4,FALSE)</f>
        <v>YSM10</v>
      </c>
      <c r="T720" s="568" t="str">
        <f>VLOOKUP(A720,'[1]Raw data'!$B:$Z,8,FALSE)</f>
        <v>L-&gt;R</v>
      </c>
      <c r="U720" s="568" t="str">
        <f>VLOOKUP(A720,'[1]Raw data'!$B:$Z,9,FALSE)</f>
        <v>MVC</v>
      </c>
      <c r="V720" s="572" t="str">
        <f t="shared" si="116"/>
        <v>WRONG</v>
      </c>
      <c r="W720" s="568" t="str">
        <f>VLOOKUP(A720,'[1]Raw data'!$B:$AG,32,FALSE)</f>
        <v>CIF HK</v>
      </c>
      <c r="X720" s="568">
        <f>VLOOKUP(A720,'[1]Raw data'!$B:$BA,31,FALSE)</f>
        <v>44263</v>
      </c>
      <c r="Y720" s="568" t="str">
        <f>VLOOKUP(A720,'[1]Raw data'!$B:$AS,39,FALSE)</f>
        <v>Yes</v>
      </c>
      <c r="Z720" s="671"/>
      <c r="AA720" s="672"/>
      <c r="AB720" s="673"/>
      <c r="AC720" s="652" t="s">
        <v>1478</v>
      </c>
      <c r="AD720" s="667">
        <v>301</v>
      </c>
      <c r="AE720" s="667">
        <v>10</v>
      </c>
      <c r="AF720" s="667"/>
      <c r="AG720" s="667"/>
      <c r="AH720" s="667"/>
      <c r="AI720" s="668"/>
      <c r="AN720" s="547"/>
      <c r="AO720" s="829" t="str">
        <f t="shared" si="107"/>
        <v>Yes</v>
      </c>
      <c r="AP720" s="259" t="str">
        <f t="shared" si="108"/>
        <v>MAR 21</v>
      </c>
      <c r="AQ720" s="547" t="str">
        <f t="shared" si="109"/>
        <v>有定金+有預留客戶</v>
      </c>
      <c r="AR720" s="259" t="str">
        <f t="shared" si="110"/>
        <v>Shipped_Stock</v>
      </c>
      <c r="AS720" s="259" t="str">
        <f t="shared" si="111"/>
        <v/>
      </c>
      <c r="AT720" s="259" t="str">
        <f t="shared" si="112"/>
        <v>芯睿视</v>
      </c>
      <c r="AU720" s="259" t="str">
        <f t="shared" si="113"/>
        <v>C49SZX20210068JL</v>
      </c>
      <c r="AV720" s="259" t="str">
        <f t="shared" si="114"/>
        <v>Mar-01</v>
      </c>
    </row>
    <row r="721" spans="1:48" hidden="1">
      <c r="A721" s="564">
        <v>1107</v>
      </c>
      <c r="B721" s="669" t="s">
        <v>1125</v>
      </c>
      <c r="C721" s="669" t="s">
        <v>15</v>
      </c>
      <c r="D721" s="650">
        <v>110173</v>
      </c>
      <c r="E721" s="568" t="s">
        <v>1432</v>
      </c>
      <c r="F721" s="652" t="s">
        <v>241</v>
      </c>
      <c r="G721" s="652" t="s">
        <v>18</v>
      </c>
      <c r="H721" s="652" t="s">
        <v>26</v>
      </c>
      <c r="I721" s="580" t="s">
        <v>1482</v>
      </c>
      <c r="J721" s="580">
        <v>1</v>
      </c>
      <c r="K721" s="652" t="s">
        <v>82</v>
      </c>
      <c r="L721" s="738">
        <v>44256</v>
      </c>
      <c r="M721" s="670" t="s">
        <v>906</v>
      </c>
      <c r="N721" s="652" t="s">
        <v>90</v>
      </c>
      <c r="O721" s="580"/>
      <c r="P721" s="670" t="str">
        <f>VLOOKUP(A721,'[1]Raw data'!$B:$BA,23,FALSE)</f>
        <v>JPY</v>
      </c>
      <c r="Q721" s="652" t="str">
        <f>VLOOKUP(A721,'[1]Raw data'!$B:$Z,2,FALSE)</f>
        <v>C49SZX20210038SX</v>
      </c>
      <c r="R721" s="652" t="str">
        <f>VLOOKUP(A721,'[1]Raw data'!$B:$Z,3,FALSE)</f>
        <v>赛美达</v>
      </c>
      <c r="S721" s="652" t="str">
        <f>VLOOKUP(A721,'[1]Raw data'!$B:$Z,4,FALSE)</f>
        <v>YSM10</v>
      </c>
      <c r="T721" s="652" t="str">
        <f>VLOOKUP(A721,'[1]Raw data'!$B:$Z,8,FALSE)</f>
        <v>R-&gt;L</v>
      </c>
      <c r="U721" s="652" t="str">
        <f>VLOOKUP(A721,'[1]Raw data'!$B:$Z,9,FALSE)</f>
        <v>MVC</v>
      </c>
      <c r="V721" s="572" t="str">
        <f t="shared" si="116"/>
        <v>WRONG</v>
      </c>
      <c r="W721" s="568" t="str">
        <f>VLOOKUP(A721,'[1]Raw data'!$B:$AG,32,FALSE)</f>
        <v>DAP SZ</v>
      </c>
      <c r="X721" s="652">
        <f>VLOOKUP(A721,'[1]Raw data'!$B:$BA,31,FALSE)</f>
        <v>44225</v>
      </c>
      <c r="Y721" s="652" t="str">
        <f>VLOOKUP(A721,'[1]Raw data'!$B:$AS,39,FALSE)</f>
        <v>Yes</v>
      </c>
      <c r="Z721" s="664"/>
      <c r="AA721" s="665"/>
      <c r="AB721" s="666"/>
      <c r="AC721" s="652" t="s">
        <v>1417</v>
      </c>
      <c r="AD721" s="667">
        <v>301</v>
      </c>
      <c r="AE721" s="667">
        <v>10</v>
      </c>
      <c r="AF721" s="667"/>
      <c r="AG721" s="667"/>
      <c r="AH721" s="667"/>
      <c r="AI721" s="668"/>
      <c r="AN721" s="547"/>
      <c r="AO721" s="829" t="str">
        <f t="shared" si="107"/>
        <v>Yes</v>
      </c>
      <c r="AP721" s="259" t="str">
        <f t="shared" si="108"/>
        <v>APR 21</v>
      </c>
      <c r="AQ721" s="547" t="str">
        <f t="shared" si="109"/>
        <v>有定金+有預留客戶</v>
      </c>
      <c r="AR721" s="259" t="str">
        <f t="shared" si="110"/>
        <v>Shipped_Stock</v>
      </c>
      <c r="AS721" s="259" t="str">
        <f t="shared" si="111"/>
        <v/>
      </c>
      <c r="AT721" s="259" t="str">
        <f t="shared" si="112"/>
        <v>赛美达</v>
      </c>
      <c r="AU721" s="259" t="str">
        <f t="shared" si="113"/>
        <v>C49SZX20210038SX</v>
      </c>
      <c r="AV721" s="259" t="str">
        <f t="shared" si="114"/>
        <v>Mar-01</v>
      </c>
    </row>
    <row r="722" spans="1:48" hidden="1">
      <c r="A722" s="564">
        <v>874</v>
      </c>
      <c r="B722" s="669" t="s">
        <v>1125</v>
      </c>
      <c r="C722" s="669" t="s">
        <v>15</v>
      </c>
      <c r="D722" s="650" t="s">
        <v>1483</v>
      </c>
      <c r="E722" s="568" t="s">
        <v>886</v>
      </c>
      <c r="F722" s="652" t="s">
        <v>241</v>
      </c>
      <c r="G722" s="652" t="s">
        <v>18</v>
      </c>
      <c r="H722" s="652" t="s">
        <v>26</v>
      </c>
      <c r="I722" s="580" t="s">
        <v>1484</v>
      </c>
      <c r="J722" s="580">
        <v>1</v>
      </c>
      <c r="K722" s="652" t="s">
        <v>78</v>
      </c>
      <c r="L722" s="739">
        <v>44259</v>
      </c>
      <c r="M722" s="670">
        <v>6.3200000000000006E-2</v>
      </c>
      <c r="N722" s="652" t="s">
        <v>28</v>
      </c>
      <c r="O722" s="580"/>
      <c r="P722" s="571" t="str">
        <f>VLOOKUP(A722,'[1]Raw data'!$B:$BB,23,FALSE)</f>
        <v>JPY</v>
      </c>
      <c r="Q722" s="568" t="str">
        <f>VLOOKUP(A722,'[1]Raw data'!$B:$Z,2,FALSE)</f>
        <v>C49SZX20200181SX</v>
      </c>
      <c r="R722" s="568" t="str">
        <f>VLOOKUP(A722,'[1]Raw data'!$B:$Z,3,FALSE)</f>
        <v>东陆</v>
      </c>
      <c r="S722" s="568" t="str">
        <f>VLOOKUP(A722,'[1]Raw data'!$B:$Z,4,FALSE)</f>
        <v>YSM10</v>
      </c>
      <c r="T722" s="568" t="str">
        <f>VLOOKUP(A722,'[1]Raw data'!$B:$Z,8,FALSE)</f>
        <v>L-&gt;R</v>
      </c>
      <c r="U722" s="568" t="str">
        <f>VLOOKUP(A722,'[1]Raw data'!$B:$Z,9,FALSE)</f>
        <v>No</v>
      </c>
      <c r="V722" s="572" t="str">
        <f t="shared" si="103"/>
        <v>WRONG</v>
      </c>
      <c r="W722" s="568" t="str">
        <f>VLOOKUP(A722,'[1]Raw data'!$B:$AG,32,FALSE)</f>
        <v>DAP SZ</v>
      </c>
      <c r="X722" s="568">
        <f>VLOOKUP(A722,'[1]Raw data'!$B:$BA,31,FALSE)</f>
        <v>44104</v>
      </c>
      <c r="Y722" s="568" t="str">
        <f>VLOOKUP(A722,'[1]Raw data'!$B:$AS,39,FALSE)</f>
        <v>Yes</v>
      </c>
      <c r="Z722" s="671"/>
      <c r="AA722" s="672"/>
      <c r="AB722" s="673"/>
      <c r="AC722" s="652" t="s">
        <v>575</v>
      </c>
      <c r="AD722" s="667">
        <v>301</v>
      </c>
      <c r="AE722" s="667">
        <v>10</v>
      </c>
      <c r="AF722" s="667"/>
      <c r="AG722" s="667"/>
      <c r="AH722" s="667"/>
      <c r="AI722" s="668"/>
      <c r="AN722" s="547"/>
      <c r="AO722" s="829" t="str">
        <f t="shared" si="107"/>
        <v>Yes</v>
      </c>
      <c r="AP722" s="259" t="str">
        <f t="shared" si="108"/>
        <v>MAR 21</v>
      </c>
      <c r="AQ722" s="547" t="str">
        <f t="shared" si="109"/>
        <v>有定金+有預留客戶</v>
      </c>
      <c r="AR722" s="259" t="str">
        <f t="shared" si="110"/>
        <v>Shipped_Stock</v>
      </c>
      <c r="AS722" s="259" t="str">
        <f t="shared" si="111"/>
        <v/>
      </c>
      <c r="AT722" s="259" t="str">
        <f t="shared" si="112"/>
        <v>东陆</v>
      </c>
      <c r="AU722" s="259" t="str">
        <f t="shared" si="113"/>
        <v>C49SZX20200181SX</v>
      </c>
      <c r="AV722" s="259" t="str">
        <f t="shared" si="114"/>
        <v>Mar-04</v>
      </c>
    </row>
    <row r="723" spans="1:48" hidden="1">
      <c r="A723" s="564">
        <v>875</v>
      </c>
      <c r="B723" s="669" t="s">
        <v>1125</v>
      </c>
      <c r="C723" s="669" t="s">
        <v>15</v>
      </c>
      <c r="D723" s="650" t="s">
        <v>1483</v>
      </c>
      <c r="E723" s="568" t="s">
        <v>886</v>
      </c>
      <c r="F723" s="652" t="s">
        <v>241</v>
      </c>
      <c r="G723" s="652" t="s">
        <v>18</v>
      </c>
      <c r="H723" s="652" t="s">
        <v>26</v>
      </c>
      <c r="I723" s="580" t="s">
        <v>1485</v>
      </c>
      <c r="J723" s="580">
        <v>1</v>
      </c>
      <c r="K723" s="652" t="s">
        <v>78</v>
      </c>
      <c r="L723" s="739">
        <v>44259</v>
      </c>
      <c r="M723" s="670">
        <v>6.3200000000000006E-2</v>
      </c>
      <c r="N723" s="652" t="s">
        <v>28</v>
      </c>
      <c r="O723" s="580"/>
      <c r="P723" s="571" t="str">
        <f>VLOOKUP(A723,'[1]Raw data'!$B:$BB,23,FALSE)</f>
        <v>JPY</v>
      </c>
      <c r="Q723" s="568" t="str">
        <f>VLOOKUP(A723,'[1]Raw data'!$B:$Z,2,FALSE)</f>
        <v>C49SZX20200181SX</v>
      </c>
      <c r="R723" s="568" t="str">
        <f>VLOOKUP(A723,'[1]Raw data'!$B:$Z,3,FALSE)</f>
        <v>东陆</v>
      </c>
      <c r="S723" s="568" t="str">
        <f>VLOOKUP(A723,'[1]Raw data'!$B:$Z,4,FALSE)</f>
        <v>YSM10</v>
      </c>
      <c r="T723" s="568" t="str">
        <f>VLOOKUP(A723,'[1]Raw data'!$B:$Z,8,FALSE)</f>
        <v>L-&gt;R</v>
      </c>
      <c r="U723" s="568" t="str">
        <f>VLOOKUP(A723,'[1]Raw data'!$B:$Z,9,FALSE)</f>
        <v>No</v>
      </c>
      <c r="V723" s="572" t="str">
        <f t="shared" si="103"/>
        <v>WRONG</v>
      </c>
      <c r="W723" s="568" t="str">
        <f>VLOOKUP(A723,'[1]Raw data'!$B:$AG,32,FALSE)</f>
        <v>DAP SZ</v>
      </c>
      <c r="X723" s="568">
        <f>VLOOKUP(A723,'[1]Raw data'!$B:$BA,31,FALSE)</f>
        <v>44104</v>
      </c>
      <c r="Y723" s="568" t="str">
        <f>VLOOKUP(A723,'[1]Raw data'!$B:$AS,39,FALSE)</f>
        <v>Yes</v>
      </c>
      <c r="Z723" s="671"/>
      <c r="AA723" s="672"/>
      <c r="AB723" s="673"/>
      <c r="AC723" s="652" t="s">
        <v>575</v>
      </c>
      <c r="AD723" s="667">
        <v>301</v>
      </c>
      <c r="AE723" s="667">
        <v>10</v>
      </c>
      <c r="AF723" s="667"/>
      <c r="AG723" s="667"/>
      <c r="AH723" s="667"/>
      <c r="AI723" s="668"/>
      <c r="AN723" s="547"/>
      <c r="AO723" s="829" t="str">
        <f t="shared" si="107"/>
        <v>Yes</v>
      </c>
      <c r="AP723" s="259" t="str">
        <f t="shared" si="108"/>
        <v>MAR 21</v>
      </c>
      <c r="AQ723" s="547" t="str">
        <f t="shared" si="109"/>
        <v>有定金+有預留客戶</v>
      </c>
      <c r="AR723" s="259" t="str">
        <f t="shared" si="110"/>
        <v>Shipped_Stock</v>
      </c>
      <c r="AS723" s="259" t="str">
        <f t="shared" si="111"/>
        <v/>
      </c>
      <c r="AT723" s="259" t="str">
        <f t="shared" si="112"/>
        <v>东陆</v>
      </c>
      <c r="AU723" s="259" t="str">
        <f t="shared" si="113"/>
        <v>C49SZX20200181SX</v>
      </c>
      <c r="AV723" s="259" t="str">
        <f t="shared" si="114"/>
        <v>Mar-04</v>
      </c>
    </row>
    <row r="724" spans="1:48" hidden="1">
      <c r="A724" s="564">
        <v>981</v>
      </c>
      <c r="B724" s="669" t="s">
        <v>1125</v>
      </c>
      <c r="C724" s="669" t="s">
        <v>15</v>
      </c>
      <c r="D724" s="650">
        <v>110151</v>
      </c>
      <c r="E724" s="568" t="s">
        <v>886</v>
      </c>
      <c r="F724" s="652" t="s">
        <v>241</v>
      </c>
      <c r="G724" s="652" t="s">
        <v>18</v>
      </c>
      <c r="H724" s="652" t="s">
        <v>26</v>
      </c>
      <c r="I724" s="580" t="s">
        <v>1486</v>
      </c>
      <c r="J724" s="580">
        <v>1</v>
      </c>
      <c r="K724" s="652" t="s">
        <v>78</v>
      </c>
      <c r="L724" s="739">
        <v>44259</v>
      </c>
      <c r="M724" s="670" t="s">
        <v>906</v>
      </c>
      <c r="N724" s="652" t="s">
        <v>28</v>
      </c>
      <c r="O724" s="580"/>
      <c r="P724" s="571" t="str">
        <f>VLOOKUP(A724,'[1]Raw data'!$B:$BB,23,FALSE)</f>
        <v>JPY</v>
      </c>
      <c r="Q724" s="568" t="str">
        <f>VLOOKUP(A724,'[1]Raw data'!$B:$Z,2,FALSE)</f>
        <v>C49SZX20200228JZ</v>
      </c>
      <c r="R724" s="568" t="str">
        <f>VLOOKUP(A724,'[1]Raw data'!$B:$Z,3,FALSE)</f>
        <v>新明海</v>
      </c>
      <c r="S724" s="568" t="str">
        <f>VLOOKUP(A724,'[1]Raw data'!$B:$Z,4,FALSE)</f>
        <v>YSM10</v>
      </c>
      <c r="T724" s="568" t="str">
        <f>VLOOKUP(A724,'[1]Raw data'!$B:$Z,8,FALSE)</f>
        <v>R-&gt;L</v>
      </c>
      <c r="U724" s="568" t="str">
        <f>VLOOKUP(A724,'[1]Raw data'!$B:$Z,9,FALSE)</f>
        <v>MVC</v>
      </c>
      <c r="V724" s="572" t="str">
        <f t="shared" si="103"/>
        <v>WRONG</v>
      </c>
      <c r="W724" s="568" t="str">
        <f>VLOOKUP(A724,'[1]Raw data'!$B:$AG,32,FALSE)</f>
        <v>DAP HZ</v>
      </c>
      <c r="X724" s="568">
        <f>VLOOKUP(A724,'[1]Raw data'!$B:$BA,31,FALSE)</f>
        <v>44161</v>
      </c>
      <c r="Y724" s="568" t="str">
        <f>VLOOKUP(A724,'[1]Raw data'!$B:$AS,39,FALSE)</f>
        <v>Yes</v>
      </c>
      <c r="Z724" s="671"/>
      <c r="AA724" s="672"/>
      <c r="AB724" s="673"/>
      <c r="AC724" s="568" t="s">
        <v>834</v>
      </c>
      <c r="AD724" s="667">
        <v>301</v>
      </c>
      <c r="AE724" s="667">
        <v>10</v>
      </c>
      <c r="AF724" s="667"/>
      <c r="AG724" s="667"/>
      <c r="AH724" s="667"/>
      <c r="AI724" s="668"/>
      <c r="AN724" s="547"/>
      <c r="AO724" s="829" t="str">
        <f t="shared" si="107"/>
        <v>Yes</v>
      </c>
      <c r="AP724" s="259" t="str">
        <f t="shared" si="108"/>
        <v>MAR 21</v>
      </c>
      <c r="AQ724" s="547" t="str">
        <f t="shared" si="109"/>
        <v>有定金+有預留客戶</v>
      </c>
      <c r="AR724" s="259" t="str">
        <f t="shared" si="110"/>
        <v>Shipped_Stock</v>
      </c>
      <c r="AS724" s="259" t="str">
        <f t="shared" si="111"/>
        <v/>
      </c>
      <c r="AT724" s="259" t="str">
        <f t="shared" si="112"/>
        <v>新明海</v>
      </c>
      <c r="AU724" s="259" t="str">
        <f t="shared" si="113"/>
        <v>C49SZX20200228JZ</v>
      </c>
      <c r="AV724" s="259" t="str">
        <f t="shared" si="114"/>
        <v>Mar-04</v>
      </c>
    </row>
    <row r="725" spans="1:48" hidden="1">
      <c r="A725" s="564">
        <v>937</v>
      </c>
      <c r="B725" s="669" t="s">
        <v>1125</v>
      </c>
      <c r="C725" s="669" t="s">
        <v>15</v>
      </c>
      <c r="D725" s="650">
        <v>110151</v>
      </c>
      <c r="E725" s="568" t="s">
        <v>886</v>
      </c>
      <c r="F725" s="652" t="s">
        <v>241</v>
      </c>
      <c r="G725" s="652" t="s">
        <v>18</v>
      </c>
      <c r="H725" s="652" t="s">
        <v>26</v>
      </c>
      <c r="I725" s="580" t="s">
        <v>1487</v>
      </c>
      <c r="J725" s="580">
        <v>1</v>
      </c>
      <c r="K725" s="652" t="s">
        <v>78</v>
      </c>
      <c r="L725" s="739">
        <v>44259</v>
      </c>
      <c r="M725" s="670" t="s">
        <v>906</v>
      </c>
      <c r="N725" s="652" t="s">
        <v>28</v>
      </c>
      <c r="O725" s="580"/>
      <c r="P725" s="571" t="str">
        <f>VLOOKUP(A725,'[1]Raw data'!$B:$BB,23,FALSE)</f>
        <v>JPY</v>
      </c>
      <c r="Q725" s="568" t="str">
        <f>VLOOKUP(A725,'[1]Raw data'!$B:$Z,2,FALSE)</f>
        <v>C49SZX20200212SX</v>
      </c>
      <c r="R725" s="568" t="str">
        <f>VLOOKUP(A725,'[1]Raw data'!$B:$Z,3,FALSE)</f>
        <v>博科通</v>
      </c>
      <c r="S725" s="568" t="str">
        <f>VLOOKUP(A725,'[1]Raw data'!$B:$Z,4,FALSE)</f>
        <v>YSM10</v>
      </c>
      <c r="T725" s="568" t="str">
        <f>VLOOKUP(A725,'[1]Raw data'!$B:$Z,8,FALSE)</f>
        <v>L-&gt;R</v>
      </c>
      <c r="U725" s="568" t="str">
        <f>VLOOKUP(A725,'[1]Raw data'!$B:$Z,9,FALSE)</f>
        <v>MVC+ANC</v>
      </c>
      <c r="V725" s="572" t="str">
        <f t="shared" si="103"/>
        <v>WRONG</v>
      </c>
      <c r="W725" s="568" t="str">
        <f>VLOOKUP(A725,'[1]Raw data'!$B:$AG,32,FALSE)</f>
        <v>DAP BJ</v>
      </c>
      <c r="X725" s="568">
        <f>VLOOKUP(A725,'[1]Raw data'!$B:$BA,31,FALSE)</f>
        <v>44149</v>
      </c>
      <c r="Y725" s="568" t="str">
        <f>VLOOKUP(A725,'[1]Raw data'!$B:$AS,39,FALSE)</f>
        <v>Yes</v>
      </c>
      <c r="Z725" s="671"/>
      <c r="AA725" s="672"/>
      <c r="AB725" s="673"/>
      <c r="AC725" s="568" t="s">
        <v>1488</v>
      </c>
      <c r="AD725" s="667">
        <v>301</v>
      </c>
      <c r="AE725" s="667">
        <v>10</v>
      </c>
      <c r="AF725" s="667"/>
      <c r="AG725" s="667"/>
      <c r="AH725" s="667"/>
      <c r="AI725" s="668"/>
      <c r="AN725" s="547"/>
      <c r="AO725" s="829" t="str">
        <f t="shared" si="107"/>
        <v>Yes</v>
      </c>
      <c r="AP725" s="259" t="str">
        <f t="shared" si="108"/>
        <v>MAR 21</v>
      </c>
      <c r="AQ725" s="547" t="str">
        <f t="shared" si="109"/>
        <v>有定金+有預留客戶</v>
      </c>
      <c r="AR725" s="259" t="str">
        <f t="shared" si="110"/>
        <v>Shipped_Stock</v>
      </c>
      <c r="AS725" s="259" t="str">
        <f t="shared" si="111"/>
        <v/>
      </c>
      <c r="AT725" s="259" t="str">
        <f t="shared" si="112"/>
        <v>博科通</v>
      </c>
      <c r="AU725" s="259" t="str">
        <f t="shared" si="113"/>
        <v>C49SZX20200212SX</v>
      </c>
      <c r="AV725" s="259" t="str">
        <f t="shared" si="114"/>
        <v>Mar-04</v>
      </c>
    </row>
    <row r="726" spans="1:48" hidden="1">
      <c r="A726" s="564">
        <v>1016</v>
      </c>
      <c r="B726" s="669" t="s">
        <v>1125</v>
      </c>
      <c r="C726" s="669" t="s">
        <v>15</v>
      </c>
      <c r="D726" s="650">
        <v>110151</v>
      </c>
      <c r="E726" s="568" t="s">
        <v>886</v>
      </c>
      <c r="F726" s="652" t="s">
        <v>241</v>
      </c>
      <c r="G726" s="652" t="s">
        <v>18</v>
      </c>
      <c r="H726" s="652" t="s">
        <v>19</v>
      </c>
      <c r="I726" s="580" t="s">
        <v>1489</v>
      </c>
      <c r="J726" s="580">
        <v>1</v>
      </c>
      <c r="K726" s="652" t="s">
        <v>78</v>
      </c>
      <c r="L726" s="739">
        <v>44259</v>
      </c>
      <c r="M726" s="670" t="s">
        <v>906</v>
      </c>
      <c r="N726" s="652" t="s">
        <v>28</v>
      </c>
      <c r="O726" s="580"/>
      <c r="P726" s="571" t="str">
        <f>VLOOKUP(A726,'[1]Raw data'!$B:$BB,23,FALSE)</f>
        <v>JPY</v>
      </c>
      <c r="Q726" s="568" t="str">
        <f>VLOOKUP(A726,'[1]Raw data'!$B:$Z,2,FALSE)</f>
        <v>C49SZX20200239JL</v>
      </c>
      <c r="R726" s="568" t="str">
        <f>VLOOKUP(A726,'[1]Raw data'!$B:$Z,3,FALSE)</f>
        <v>博实结</v>
      </c>
      <c r="S726" s="568" t="str">
        <f>VLOOKUP(A726,'[1]Raw data'!$B:$Z,4,FALSE)</f>
        <v>YSM10</v>
      </c>
      <c r="T726" s="568" t="str">
        <f>VLOOKUP(A726,'[1]Raw data'!$B:$Z,8,FALSE)</f>
        <v>L-&gt;R</v>
      </c>
      <c r="U726" s="568" t="str">
        <f>VLOOKUP(A726,'[1]Raw data'!$B:$Z,9,FALSE)</f>
        <v>MVC+ATS15</v>
      </c>
      <c r="V726" s="572" t="str">
        <f t="shared" si="103"/>
        <v>WRONG</v>
      </c>
      <c r="W726" s="568" t="str">
        <f>VLOOKUP(A726,'[1]Raw data'!$B:$AG,32,FALSE)</f>
        <v>CIF HK</v>
      </c>
      <c r="X726" s="568">
        <f>VLOOKUP(A726,'[1]Raw data'!$B:$BA,31,FALSE)</f>
        <v>44174</v>
      </c>
      <c r="Y726" s="568" t="str">
        <f>VLOOKUP(A726,'[1]Raw data'!$B:$AS,39,FALSE)</f>
        <v>Yes</v>
      </c>
      <c r="Z726" s="664"/>
      <c r="AA726" s="665"/>
      <c r="AB726" s="666"/>
      <c r="AC726" s="568" t="s">
        <v>1424</v>
      </c>
      <c r="AD726" s="667">
        <v>301</v>
      </c>
      <c r="AE726" s="667">
        <v>10</v>
      </c>
      <c r="AF726" s="667"/>
      <c r="AG726" s="667"/>
      <c r="AH726" s="667"/>
      <c r="AI726" s="668"/>
      <c r="AN726" s="547"/>
      <c r="AO726" s="829" t="str">
        <f t="shared" si="107"/>
        <v>Yes</v>
      </c>
      <c r="AP726" s="259" t="str">
        <f t="shared" si="108"/>
        <v>MAR 21</v>
      </c>
      <c r="AQ726" s="547" t="str">
        <f t="shared" si="109"/>
        <v>有定金+有預留客戶</v>
      </c>
      <c r="AR726" s="259" t="str">
        <f t="shared" si="110"/>
        <v>Shipped_Stock</v>
      </c>
      <c r="AS726" s="259" t="str">
        <f t="shared" si="111"/>
        <v/>
      </c>
      <c r="AT726" s="259" t="str">
        <f t="shared" si="112"/>
        <v>博实结</v>
      </c>
      <c r="AU726" s="259" t="str">
        <f t="shared" si="113"/>
        <v>C49SZX20200239JL</v>
      </c>
      <c r="AV726" s="259" t="str">
        <f t="shared" si="114"/>
        <v>Mar-04</v>
      </c>
    </row>
    <row r="727" spans="1:48" hidden="1">
      <c r="A727" s="564">
        <v>984</v>
      </c>
      <c r="B727" s="669" t="s">
        <v>1125</v>
      </c>
      <c r="C727" s="669" t="s">
        <v>281</v>
      </c>
      <c r="D727" s="650">
        <v>110237</v>
      </c>
      <c r="E727" s="568" t="s">
        <v>1490</v>
      </c>
      <c r="F727" s="652" t="s">
        <v>17</v>
      </c>
      <c r="G727" s="652" t="s">
        <v>18</v>
      </c>
      <c r="H727" s="652" t="s">
        <v>27</v>
      </c>
      <c r="I727" s="580" t="s">
        <v>1491</v>
      </c>
      <c r="J727" s="580">
        <v>1</v>
      </c>
      <c r="K727" s="652" t="s">
        <v>78</v>
      </c>
      <c r="L727" s="739">
        <v>44259</v>
      </c>
      <c r="M727" s="670" t="s">
        <v>906</v>
      </c>
      <c r="N727" s="652" t="s">
        <v>28</v>
      </c>
      <c r="O727" s="580"/>
      <c r="P727" s="571" t="str">
        <f>VLOOKUP(A727,'[1]Raw data'!$B:$BB,23,FALSE)</f>
        <v>JPY</v>
      </c>
      <c r="Q727" s="568" t="str">
        <f>VLOOKUP(A727,'[1]Raw data'!$B:$Z,2,FALSE)</f>
        <v>C49SZX20200231SX</v>
      </c>
      <c r="R727" s="568" t="str">
        <f>VLOOKUP(A727,'[1]Raw data'!$B:$Z,3,FALSE)</f>
        <v>可祁</v>
      </c>
      <c r="S727" s="568" t="str">
        <f>VLOOKUP(A727,'[1]Raw data'!$B:$Z,4,FALSE)</f>
        <v>YSM10</v>
      </c>
      <c r="T727" s="568" t="str">
        <f>VLOOKUP(A727,'[1]Raw data'!$B:$Z,8,FALSE)</f>
        <v>L-&gt;R</v>
      </c>
      <c r="U727" s="568" t="str">
        <f>VLOOKUP(A727,'[1]Raw data'!$B:$Z,9,FALSE)</f>
        <v>MVC</v>
      </c>
      <c r="V727" s="572" t="str">
        <f t="shared" ref="V727:V739" si="117">IF(G727&amp;H727=T727&amp;U727,"OK","WRONG")</f>
        <v>WRONG</v>
      </c>
      <c r="W727" s="568" t="str">
        <f>VLOOKUP(A727,'[1]Raw data'!$B:$AG,32,FALSE)</f>
        <v>DAP SZ</v>
      </c>
      <c r="X727" s="568">
        <f>VLOOKUP(A727,'[1]Raw data'!$B:$BA,31,FALSE)</f>
        <v>44165</v>
      </c>
      <c r="Y727" s="568" t="str">
        <f>VLOOKUP(A727,'[1]Raw data'!$B:$AS,39,FALSE)</f>
        <v>Yes</v>
      </c>
      <c r="Z727" s="671"/>
      <c r="AA727" s="672"/>
      <c r="AB727" s="673"/>
      <c r="AC727" s="568" t="s">
        <v>1492</v>
      </c>
      <c r="AD727" s="667">
        <v>301</v>
      </c>
      <c r="AE727" s="667">
        <v>10</v>
      </c>
      <c r="AF727" s="667"/>
      <c r="AG727" s="667"/>
      <c r="AH727" s="667"/>
      <c r="AI727" s="668"/>
      <c r="AN727" s="547"/>
      <c r="AO727" s="829" t="str">
        <f t="shared" si="107"/>
        <v>Yes</v>
      </c>
      <c r="AP727" s="259" t="str">
        <f t="shared" si="108"/>
        <v>MAR 21</v>
      </c>
      <c r="AQ727" s="547" t="str">
        <f t="shared" si="109"/>
        <v>有定金+有預留客戶</v>
      </c>
      <c r="AR727" s="259" t="str">
        <f t="shared" si="110"/>
        <v>Shipped_Stock</v>
      </c>
      <c r="AS727" s="259" t="str">
        <f t="shared" si="111"/>
        <v/>
      </c>
      <c r="AT727" s="259" t="str">
        <f t="shared" si="112"/>
        <v>可祁</v>
      </c>
      <c r="AU727" s="259" t="str">
        <f t="shared" si="113"/>
        <v>C49SZX20200231SX</v>
      </c>
      <c r="AV727" s="259" t="str">
        <f t="shared" si="114"/>
        <v>Mar-04</v>
      </c>
    </row>
    <row r="728" spans="1:48" hidden="1">
      <c r="A728" s="564">
        <v>985</v>
      </c>
      <c r="B728" s="669" t="s">
        <v>1125</v>
      </c>
      <c r="C728" s="669" t="s">
        <v>281</v>
      </c>
      <c r="D728" s="650">
        <v>110237</v>
      </c>
      <c r="E728" s="568" t="s">
        <v>1490</v>
      </c>
      <c r="F728" s="652" t="s">
        <v>17</v>
      </c>
      <c r="G728" s="652" t="s">
        <v>18</v>
      </c>
      <c r="H728" s="652" t="s">
        <v>27</v>
      </c>
      <c r="I728" s="580" t="s">
        <v>1493</v>
      </c>
      <c r="J728" s="580">
        <v>1</v>
      </c>
      <c r="K728" s="652" t="s">
        <v>78</v>
      </c>
      <c r="L728" s="739">
        <v>44259</v>
      </c>
      <c r="M728" s="670" t="s">
        <v>906</v>
      </c>
      <c r="N728" s="652" t="s">
        <v>28</v>
      </c>
      <c r="O728" s="580"/>
      <c r="P728" s="571" t="str">
        <f>VLOOKUP(A728,'[1]Raw data'!$B:$BB,23,FALSE)</f>
        <v>JPY</v>
      </c>
      <c r="Q728" s="568" t="str">
        <f>VLOOKUP(A728,'[1]Raw data'!$B:$Z,2,FALSE)</f>
        <v>C49SZX20200231SX</v>
      </c>
      <c r="R728" s="568" t="str">
        <f>VLOOKUP(A728,'[1]Raw data'!$B:$Z,3,FALSE)</f>
        <v>可祁</v>
      </c>
      <c r="S728" s="568" t="str">
        <f>VLOOKUP(A728,'[1]Raw data'!$B:$Z,4,FALSE)</f>
        <v>YSM10</v>
      </c>
      <c r="T728" s="568" t="str">
        <f>VLOOKUP(A728,'[1]Raw data'!$B:$Z,8,FALSE)</f>
        <v>L-&gt;R</v>
      </c>
      <c r="U728" s="568" t="str">
        <f>VLOOKUP(A728,'[1]Raw data'!$B:$Z,9,FALSE)</f>
        <v>MVC</v>
      </c>
      <c r="V728" s="572" t="str">
        <f t="shared" si="117"/>
        <v>WRONG</v>
      </c>
      <c r="W728" s="568" t="str">
        <f>VLOOKUP(A728,'[1]Raw data'!$B:$AG,32,FALSE)</f>
        <v>DAP SZ</v>
      </c>
      <c r="X728" s="568">
        <f>VLOOKUP(A728,'[1]Raw data'!$B:$BA,31,FALSE)</f>
        <v>44165</v>
      </c>
      <c r="Y728" s="568" t="str">
        <f>VLOOKUP(A728,'[1]Raw data'!$B:$AS,39,FALSE)</f>
        <v>Yes</v>
      </c>
      <c r="Z728" s="671"/>
      <c r="AA728" s="672"/>
      <c r="AB728" s="673"/>
      <c r="AC728" s="568" t="s">
        <v>1492</v>
      </c>
      <c r="AD728" s="667">
        <v>301</v>
      </c>
      <c r="AE728" s="667">
        <v>10</v>
      </c>
      <c r="AF728" s="667"/>
      <c r="AG728" s="667"/>
      <c r="AH728" s="667"/>
      <c r="AI728" s="668"/>
      <c r="AN728" s="547"/>
      <c r="AO728" s="829" t="str">
        <f t="shared" si="107"/>
        <v>Yes</v>
      </c>
      <c r="AP728" s="259" t="str">
        <f t="shared" si="108"/>
        <v>MAR 21</v>
      </c>
      <c r="AQ728" s="547" t="str">
        <f t="shared" si="109"/>
        <v>有定金+有預留客戶</v>
      </c>
      <c r="AR728" s="259" t="str">
        <f t="shared" si="110"/>
        <v>Shipped_Stock</v>
      </c>
      <c r="AS728" s="259" t="str">
        <f t="shared" si="111"/>
        <v/>
      </c>
      <c r="AT728" s="259" t="str">
        <f t="shared" si="112"/>
        <v>可祁</v>
      </c>
      <c r="AU728" s="259" t="str">
        <f t="shared" si="113"/>
        <v>C49SZX20200231SX</v>
      </c>
      <c r="AV728" s="259" t="str">
        <f t="shared" si="114"/>
        <v>Mar-04</v>
      </c>
    </row>
    <row r="729" spans="1:48" hidden="1">
      <c r="A729" s="564">
        <v>1031</v>
      </c>
      <c r="B729" s="669" t="s">
        <v>1125</v>
      </c>
      <c r="C729" s="669" t="s">
        <v>281</v>
      </c>
      <c r="D729" s="650">
        <v>110237</v>
      </c>
      <c r="E729" s="568" t="s">
        <v>1490</v>
      </c>
      <c r="F729" s="652" t="s">
        <v>17</v>
      </c>
      <c r="G729" s="652" t="s">
        <v>18</v>
      </c>
      <c r="H729" s="652" t="s">
        <v>34</v>
      </c>
      <c r="I729" s="580" t="s">
        <v>1494</v>
      </c>
      <c r="J729" s="580">
        <v>1</v>
      </c>
      <c r="K729" s="652" t="s">
        <v>78</v>
      </c>
      <c r="L729" s="739">
        <v>44259</v>
      </c>
      <c r="M729" s="670" t="s">
        <v>906</v>
      </c>
      <c r="N729" s="652" t="s">
        <v>28</v>
      </c>
      <c r="O729" s="580"/>
      <c r="P729" s="571" t="str">
        <f>VLOOKUP(A729,'[1]Raw data'!$B:$BB,23,FALSE)</f>
        <v>JPY</v>
      </c>
      <c r="Q729" s="568" t="str">
        <f>VLOOKUP(A729,'[1]Raw data'!$B:$Z,2,FALSE)</f>
        <v>C49SZX20200243DZ</v>
      </c>
      <c r="R729" s="568" t="str">
        <f>VLOOKUP(A729,'[1]Raw data'!$B:$Z,3,FALSE)</f>
        <v>朗特</v>
      </c>
      <c r="S729" s="568" t="str">
        <f>VLOOKUP(A729,'[1]Raw data'!$B:$Z,4,FALSE)</f>
        <v>YSM10</v>
      </c>
      <c r="T729" s="568" t="str">
        <f>VLOOKUP(A729,'[1]Raw data'!$B:$Z,8,FALSE)</f>
        <v>R-&gt;L</v>
      </c>
      <c r="U729" s="568" t="str">
        <f>VLOOKUP(A729,'[1]Raw data'!$B:$Z,9,FALSE)</f>
        <v>MVC+ATS15</v>
      </c>
      <c r="V729" s="572" t="str">
        <f t="shared" si="117"/>
        <v>OK</v>
      </c>
      <c r="W729" s="568" t="str">
        <f>VLOOKUP(A729,'[1]Raw data'!$B:$AG,32,FALSE)</f>
        <v>CIF HK</v>
      </c>
      <c r="X729" s="568">
        <f>VLOOKUP(A729,'[1]Raw data'!$B:$BA,31,FALSE)</f>
        <v>44182</v>
      </c>
      <c r="Y729" s="568" t="str">
        <f>VLOOKUP(A729,'[1]Raw data'!$B:$AS,39,FALSE)</f>
        <v>Yes</v>
      </c>
      <c r="Z729" s="664"/>
      <c r="AA729" s="665"/>
      <c r="AB729" s="666"/>
      <c r="AC729" s="568" t="s">
        <v>1463</v>
      </c>
      <c r="AD729" s="667">
        <v>311</v>
      </c>
      <c r="AE729" s="667">
        <v>10</v>
      </c>
      <c r="AF729" s="667"/>
      <c r="AG729" s="667"/>
      <c r="AH729" s="667"/>
      <c r="AI729" s="668"/>
      <c r="AN729" s="547"/>
      <c r="AO729" s="829" t="str">
        <f t="shared" si="107"/>
        <v>Yes</v>
      </c>
      <c r="AP729" s="259" t="str">
        <f t="shared" si="108"/>
        <v>MAR 21</v>
      </c>
      <c r="AQ729" s="547" t="str">
        <f t="shared" si="109"/>
        <v>有定金+有預留客戶</v>
      </c>
      <c r="AR729" s="259" t="str">
        <f t="shared" si="110"/>
        <v>Shipped_Stock</v>
      </c>
      <c r="AS729" s="259" t="str">
        <f t="shared" si="111"/>
        <v/>
      </c>
      <c r="AT729" s="259" t="str">
        <f t="shared" si="112"/>
        <v>朗特</v>
      </c>
      <c r="AU729" s="259" t="str">
        <f t="shared" si="113"/>
        <v>C49SZX20200243DZ</v>
      </c>
      <c r="AV729" s="259" t="str">
        <f t="shared" si="114"/>
        <v>Mar-04</v>
      </c>
    </row>
    <row r="730" spans="1:48" hidden="1">
      <c r="A730" s="564">
        <v>1032</v>
      </c>
      <c r="B730" s="669" t="s">
        <v>1125</v>
      </c>
      <c r="C730" s="669" t="s">
        <v>281</v>
      </c>
      <c r="D730" s="650">
        <v>110237</v>
      </c>
      <c r="E730" s="568" t="s">
        <v>1490</v>
      </c>
      <c r="F730" s="652" t="s">
        <v>17</v>
      </c>
      <c r="G730" s="652" t="s">
        <v>18</v>
      </c>
      <c r="H730" s="652" t="s">
        <v>34</v>
      </c>
      <c r="I730" s="580" t="s">
        <v>1495</v>
      </c>
      <c r="J730" s="580">
        <v>1</v>
      </c>
      <c r="K730" s="652" t="s">
        <v>78</v>
      </c>
      <c r="L730" s="739">
        <v>44259</v>
      </c>
      <c r="M730" s="670" t="s">
        <v>906</v>
      </c>
      <c r="N730" s="652" t="s">
        <v>28</v>
      </c>
      <c r="O730" s="580"/>
      <c r="P730" s="571" t="str">
        <f>VLOOKUP(A730,'[1]Raw data'!$B:$BB,23,FALSE)</f>
        <v>JPY</v>
      </c>
      <c r="Q730" s="568" t="str">
        <f>VLOOKUP(A730,'[1]Raw data'!$B:$Z,2,FALSE)</f>
        <v>C49SZX20200243DZ</v>
      </c>
      <c r="R730" s="568" t="str">
        <f>VLOOKUP(A730,'[1]Raw data'!$B:$Z,3,FALSE)</f>
        <v>朗特</v>
      </c>
      <c r="S730" s="568" t="str">
        <f>VLOOKUP(A730,'[1]Raw data'!$B:$Z,4,FALSE)</f>
        <v>YSM10</v>
      </c>
      <c r="T730" s="568" t="str">
        <f>VLOOKUP(A730,'[1]Raw data'!$B:$Z,8,FALSE)</f>
        <v>R-&gt;L</v>
      </c>
      <c r="U730" s="568" t="str">
        <f>VLOOKUP(A730,'[1]Raw data'!$B:$Z,9,FALSE)</f>
        <v>MVC+ATS15</v>
      </c>
      <c r="V730" s="572" t="str">
        <f t="shared" si="117"/>
        <v>OK</v>
      </c>
      <c r="W730" s="568" t="str">
        <f>VLOOKUP(A730,'[1]Raw data'!$B:$AG,32,FALSE)</f>
        <v>CIF HK</v>
      </c>
      <c r="X730" s="568">
        <f>VLOOKUP(A730,'[1]Raw data'!$B:$BA,31,FALSE)</f>
        <v>44182</v>
      </c>
      <c r="Y730" s="568" t="str">
        <f>VLOOKUP(A730,'[1]Raw data'!$B:$AS,39,FALSE)</f>
        <v>Yes</v>
      </c>
      <c r="Z730" s="664"/>
      <c r="AA730" s="665"/>
      <c r="AB730" s="666"/>
      <c r="AC730" s="568" t="s">
        <v>1463</v>
      </c>
      <c r="AD730" s="667">
        <v>301</v>
      </c>
      <c r="AE730" s="667">
        <v>10</v>
      </c>
      <c r="AF730" s="667"/>
      <c r="AG730" s="667"/>
      <c r="AH730" s="667"/>
      <c r="AI730" s="668"/>
      <c r="AN730" s="547"/>
      <c r="AO730" s="829" t="str">
        <f t="shared" si="107"/>
        <v>Yes</v>
      </c>
      <c r="AP730" s="259" t="str">
        <f t="shared" si="108"/>
        <v>MAR 21</v>
      </c>
      <c r="AQ730" s="547" t="str">
        <f t="shared" si="109"/>
        <v>有定金+有預留客戶</v>
      </c>
      <c r="AR730" s="259" t="str">
        <f t="shared" si="110"/>
        <v>Shipped_Stock</v>
      </c>
      <c r="AS730" s="259" t="str">
        <f t="shared" si="111"/>
        <v/>
      </c>
      <c r="AT730" s="259" t="str">
        <f t="shared" si="112"/>
        <v>朗特</v>
      </c>
      <c r="AU730" s="259" t="str">
        <f t="shared" si="113"/>
        <v>C49SZX20200243DZ</v>
      </c>
      <c r="AV730" s="259" t="str">
        <f t="shared" si="114"/>
        <v>Mar-04</v>
      </c>
    </row>
    <row r="731" spans="1:48" hidden="1">
      <c r="A731" s="564">
        <v>1033</v>
      </c>
      <c r="B731" s="669" t="s">
        <v>1125</v>
      </c>
      <c r="C731" s="669" t="s">
        <v>281</v>
      </c>
      <c r="D731" s="650">
        <v>110237</v>
      </c>
      <c r="E731" s="568" t="s">
        <v>1490</v>
      </c>
      <c r="F731" s="652" t="s">
        <v>17</v>
      </c>
      <c r="G731" s="652" t="s">
        <v>18</v>
      </c>
      <c r="H731" s="652" t="s">
        <v>34</v>
      </c>
      <c r="I731" s="580" t="s">
        <v>1496</v>
      </c>
      <c r="J731" s="580">
        <v>1</v>
      </c>
      <c r="K731" s="652" t="s">
        <v>78</v>
      </c>
      <c r="L731" s="739">
        <v>44259</v>
      </c>
      <c r="M731" s="670" t="s">
        <v>906</v>
      </c>
      <c r="N731" s="652" t="s">
        <v>90</v>
      </c>
      <c r="O731" s="580"/>
      <c r="P731" s="571" t="str">
        <f>VLOOKUP(A731,'[1]Raw data'!$B:$BB,23,FALSE)</f>
        <v>JPY</v>
      </c>
      <c r="Q731" s="568" t="str">
        <f>VLOOKUP(A731,'[1]Raw data'!$B:$Z,2,FALSE)</f>
        <v>C49SZX20200243DZ</v>
      </c>
      <c r="R731" s="568" t="str">
        <f>VLOOKUP(A731,'[1]Raw data'!$B:$Z,3,FALSE)</f>
        <v>朗特</v>
      </c>
      <c r="S731" s="568" t="str">
        <f>VLOOKUP(A731,'[1]Raw data'!$B:$Z,4,FALSE)</f>
        <v>YSM10</v>
      </c>
      <c r="T731" s="568" t="str">
        <f>VLOOKUP(A731,'[1]Raw data'!$B:$Z,8,FALSE)</f>
        <v>R-&gt;L</v>
      </c>
      <c r="U731" s="568" t="str">
        <f>VLOOKUP(A731,'[1]Raw data'!$B:$Z,9,FALSE)</f>
        <v>MVC+ATS15</v>
      </c>
      <c r="V731" s="572" t="str">
        <f t="shared" si="117"/>
        <v>OK</v>
      </c>
      <c r="W731" s="568" t="str">
        <f>VLOOKUP(A731,'[1]Raw data'!$B:$AG,32,FALSE)</f>
        <v>CIF HK</v>
      </c>
      <c r="X731" s="568">
        <f>VLOOKUP(A731,'[1]Raw data'!$B:$BA,31,FALSE)</f>
        <v>44182</v>
      </c>
      <c r="Y731" s="568" t="str">
        <f>VLOOKUP(A731,'[1]Raw data'!$B:$AS,39,FALSE)</f>
        <v>Yes</v>
      </c>
      <c r="Z731" s="664"/>
      <c r="AA731" s="665"/>
      <c r="AB731" s="666"/>
      <c r="AC731" s="568" t="s">
        <v>1463</v>
      </c>
      <c r="AD731" s="667">
        <v>312</v>
      </c>
      <c r="AE731" s="667">
        <v>10</v>
      </c>
      <c r="AF731" s="667"/>
      <c r="AG731" s="667"/>
      <c r="AH731" s="667"/>
      <c r="AI731" s="668"/>
      <c r="AN731" s="547"/>
      <c r="AO731" s="829" t="str">
        <f t="shared" si="107"/>
        <v>Yes</v>
      </c>
      <c r="AP731" s="259" t="str">
        <f t="shared" si="108"/>
        <v>APR 21</v>
      </c>
      <c r="AQ731" s="547" t="str">
        <f t="shared" si="109"/>
        <v>有定金+有預留客戶</v>
      </c>
      <c r="AR731" s="259" t="str">
        <f t="shared" si="110"/>
        <v>Shipped_Stock</v>
      </c>
      <c r="AS731" s="259" t="str">
        <f t="shared" si="111"/>
        <v/>
      </c>
      <c r="AT731" s="259" t="str">
        <f t="shared" si="112"/>
        <v>朗特</v>
      </c>
      <c r="AU731" s="259" t="str">
        <f t="shared" si="113"/>
        <v>C49SZX20200243DZ</v>
      </c>
      <c r="AV731" s="259" t="str">
        <f t="shared" si="114"/>
        <v>Mar-04</v>
      </c>
    </row>
    <row r="732" spans="1:48" hidden="1">
      <c r="A732" s="564">
        <v>1019</v>
      </c>
      <c r="B732" s="669" t="s">
        <v>1125</v>
      </c>
      <c r="C732" s="669" t="s">
        <v>281</v>
      </c>
      <c r="D732" s="650">
        <v>110251</v>
      </c>
      <c r="E732" s="568" t="s">
        <v>886</v>
      </c>
      <c r="F732" s="652" t="s">
        <v>17</v>
      </c>
      <c r="G732" s="652" t="s">
        <v>18</v>
      </c>
      <c r="H732" s="652" t="s">
        <v>1217</v>
      </c>
      <c r="I732" s="580" t="s">
        <v>1497</v>
      </c>
      <c r="J732" s="580">
        <v>1</v>
      </c>
      <c r="K732" s="652" t="s">
        <v>78</v>
      </c>
      <c r="L732" s="680">
        <v>44259</v>
      </c>
      <c r="M732" s="670" t="s">
        <v>906</v>
      </c>
      <c r="N732" s="652" t="s">
        <v>28</v>
      </c>
      <c r="O732" s="580"/>
      <c r="P732" s="571" t="str">
        <f>VLOOKUP(A732,'[1]Raw data'!$B:$BB,23,FALSE)</f>
        <v>USD</v>
      </c>
      <c r="Q732" s="568" t="str">
        <f>VLOOKUP(A732,'[1]Raw data'!$B:$Z,2,FALSE)</f>
        <v>ZS202012031533</v>
      </c>
      <c r="R732" s="568" t="str">
        <f>VLOOKUP(A732,'[1]Raw data'!$B:$Z,3,FALSE)</f>
        <v>高伟</v>
      </c>
      <c r="S732" s="568" t="str">
        <f>VLOOKUP(A732,'[1]Raw data'!$B:$Z,4,FALSE)</f>
        <v>YSM10-HM5</v>
      </c>
      <c r="T732" s="568" t="str">
        <f>VLOOKUP(A732,'[1]Raw data'!$B:$Z,8,FALSE)</f>
        <v>L-&gt;R</v>
      </c>
      <c r="U732" s="568" t="str">
        <f>VLOOKUP(A732,'[1]Raw data'!$B:$Z,9,FALSE)</f>
        <v>MVC+ATS15</v>
      </c>
      <c r="V732" s="572" t="str">
        <f t="shared" si="117"/>
        <v>WRONG</v>
      </c>
      <c r="W732" s="568" t="str">
        <f>VLOOKUP(A732,'[1]Raw data'!$B:$AG,32,FALSE)</f>
        <v>CIF HK</v>
      </c>
      <c r="X732" s="568">
        <f>VLOOKUP(A732,'[1]Raw data'!$B:$BA,31,FALSE)</f>
        <v>44168</v>
      </c>
      <c r="Y732" s="568" t="str">
        <f>VLOOKUP(A732,'[1]Raw data'!$B:$AS,39,FALSE)</f>
        <v>Yes</v>
      </c>
      <c r="Z732" s="664"/>
      <c r="AA732" s="665"/>
      <c r="AB732" s="666"/>
      <c r="AC732" s="568" t="s">
        <v>1219</v>
      </c>
      <c r="AD732" s="667">
        <v>301</v>
      </c>
      <c r="AE732" s="667">
        <v>10</v>
      </c>
      <c r="AF732" s="667"/>
      <c r="AG732" s="667"/>
      <c r="AH732" s="667"/>
      <c r="AI732" s="668"/>
      <c r="AN732" s="547"/>
      <c r="AO732" s="829" t="str">
        <f t="shared" si="107"/>
        <v>Yes</v>
      </c>
      <c r="AP732" s="259" t="str">
        <f t="shared" si="108"/>
        <v>MAR 21</v>
      </c>
      <c r="AQ732" s="547" t="str">
        <f t="shared" si="109"/>
        <v>有定金+有預留客戶</v>
      </c>
      <c r="AR732" s="259" t="str">
        <f t="shared" si="110"/>
        <v>Shipped_Stock</v>
      </c>
      <c r="AS732" s="259" t="str">
        <f t="shared" si="111"/>
        <v/>
      </c>
      <c r="AT732" s="259" t="str">
        <f t="shared" si="112"/>
        <v>高伟</v>
      </c>
      <c r="AU732" s="259" t="str">
        <f t="shared" si="113"/>
        <v>ZS202012031533</v>
      </c>
      <c r="AV732" s="259" t="str">
        <f t="shared" si="114"/>
        <v>Mar-04</v>
      </c>
    </row>
    <row r="733" spans="1:48" hidden="1">
      <c r="A733" s="564">
        <v>980</v>
      </c>
      <c r="B733" s="669" t="s">
        <v>1125</v>
      </c>
      <c r="C733" s="669" t="s">
        <v>15</v>
      </c>
      <c r="D733" s="650">
        <v>110328</v>
      </c>
      <c r="E733" s="568" t="s">
        <v>886</v>
      </c>
      <c r="F733" s="652" t="s">
        <v>58</v>
      </c>
      <c r="G733" s="652" t="s">
        <v>18</v>
      </c>
      <c r="H733" s="652" t="s">
        <v>27</v>
      </c>
      <c r="I733" s="580" t="s">
        <v>1498</v>
      </c>
      <c r="J733" s="580">
        <v>1</v>
      </c>
      <c r="K733" s="652" t="s">
        <v>78</v>
      </c>
      <c r="L733" s="662">
        <v>44259</v>
      </c>
      <c r="M733" s="670" t="s">
        <v>906</v>
      </c>
      <c r="N733" s="652" t="s">
        <v>28</v>
      </c>
      <c r="O733" s="580"/>
      <c r="P733" s="571" t="str">
        <f>VLOOKUP(A733,'[1]Raw data'!$B:$BB,23,FALSE)</f>
        <v>JPY</v>
      </c>
      <c r="Q733" s="568" t="str">
        <f>VLOOKUP(A733,'[1]Raw data'!$B:$Z,2,FALSE)</f>
        <v>C49SZX20200228JZ</v>
      </c>
      <c r="R733" s="568" t="str">
        <f>VLOOKUP(A733,'[1]Raw data'!$B:$Z,3,FALSE)</f>
        <v>新明海</v>
      </c>
      <c r="S733" s="568" t="str">
        <f>VLOOKUP(A733,'[1]Raw data'!$B:$Z,4,FALSE)</f>
        <v>YSM20R-2</v>
      </c>
      <c r="T733" s="568" t="str">
        <f>VLOOKUP(A733,'[1]Raw data'!$B:$Z,8,FALSE)</f>
        <v>R-&gt;L</v>
      </c>
      <c r="U733" s="568" t="str">
        <f>VLOOKUP(A733,'[1]Raw data'!$B:$Z,9,FALSE)</f>
        <v>MVC</v>
      </c>
      <c r="V733" s="572" t="str">
        <f>IF(G733&amp;H733=T733&amp;U733,"OK","WRONG")</f>
        <v>OK</v>
      </c>
      <c r="W733" s="568" t="str">
        <f>VLOOKUP(A733,'[1]Raw data'!$B:$AG,32,FALSE)</f>
        <v>DAP HZ</v>
      </c>
      <c r="X733" s="568">
        <f>VLOOKUP(A733,'[1]Raw data'!$B:$BA,31,FALSE)</f>
        <v>44161</v>
      </c>
      <c r="Y733" s="568" t="str">
        <f>VLOOKUP(A733,'[1]Raw data'!$B:$AS,39,FALSE)</f>
        <v>Yes</v>
      </c>
      <c r="Z733" s="671"/>
      <c r="AA733" s="672"/>
      <c r="AB733" s="673"/>
      <c r="AC733" s="568" t="s">
        <v>834</v>
      </c>
      <c r="AD733" s="667">
        <v>301</v>
      </c>
      <c r="AE733" s="667">
        <v>10</v>
      </c>
      <c r="AF733" s="667">
        <v>311</v>
      </c>
      <c r="AG733" s="667">
        <v>10</v>
      </c>
      <c r="AH733" s="667"/>
      <c r="AI733" s="668"/>
      <c r="AN733" s="547"/>
      <c r="AO733" s="829" t="str">
        <f t="shared" si="107"/>
        <v>Yes</v>
      </c>
      <c r="AP733" s="259" t="str">
        <f t="shared" si="108"/>
        <v>MAR 21</v>
      </c>
      <c r="AQ733" s="547" t="str">
        <f t="shared" si="109"/>
        <v>有定金+有預留客戶</v>
      </c>
      <c r="AR733" s="259" t="str">
        <f t="shared" si="110"/>
        <v>Shipped_Stock</v>
      </c>
      <c r="AS733" s="259" t="str">
        <f t="shared" si="111"/>
        <v/>
      </c>
      <c r="AT733" s="259" t="str">
        <f t="shared" si="112"/>
        <v>新明海</v>
      </c>
      <c r="AU733" s="259" t="str">
        <f t="shared" si="113"/>
        <v>C49SZX20200228JZ</v>
      </c>
      <c r="AV733" s="259" t="str">
        <f t="shared" si="114"/>
        <v>Mar-04</v>
      </c>
    </row>
    <row r="734" spans="1:48" hidden="1">
      <c r="A734" s="564">
        <v>1020</v>
      </c>
      <c r="B734" s="669" t="s">
        <v>1125</v>
      </c>
      <c r="C734" s="669" t="s">
        <v>15</v>
      </c>
      <c r="D734" s="650">
        <v>110176</v>
      </c>
      <c r="E734" s="568" t="s">
        <v>1432</v>
      </c>
      <c r="F734" s="652" t="s">
        <v>58</v>
      </c>
      <c r="G734" s="652" t="s">
        <v>24</v>
      </c>
      <c r="H734" s="652" t="s">
        <v>26</v>
      </c>
      <c r="I734" s="580" t="s">
        <v>1499</v>
      </c>
      <c r="J734" s="580">
        <v>1</v>
      </c>
      <c r="K734" s="652" t="s">
        <v>78</v>
      </c>
      <c r="L734" s="680">
        <v>44259</v>
      </c>
      <c r="M734" s="670" t="s">
        <v>906</v>
      </c>
      <c r="N734" s="652" t="s">
        <v>28</v>
      </c>
      <c r="O734" s="580"/>
      <c r="P734" s="571" t="str">
        <f>VLOOKUP(A734,'[1]Raw data'!$B:$BB,23,FALSE)</f>
        <v>JPY</v>
      </c>
      <c r="Q734" s="568" t="str">
        <f>VLOOKUP(A734,'[1]Raw data'!$B:$Z,2,FALSE)</f>
        <v>C49SZX20200245MZ</v>
      </c>
      <c r="R734" s="568" t="str">
        <f>VLOOKUP(A734,'[1]Raw data'!$B:$Z,3,FALSE)</f>
        <v>新智杰光电</v>
      </c>
      <c r="S734" s="568" t="str">
        <f>VLOOKUP(A734,'[1]Raw data'!$B:$Z,4,FALSE)</f>
        <v>YSM20R-2</v>
      </c>
      <c r="T734" s="568" t="str">
        <f>VLOOKUP(A734,'[1]Raw data'!$B:$Z,8,FALSE)</f>
        <v>L-&gt;R</v>
      </c>
      <c r="U734" s="568" t="str">
        <f>VLOOKUP(A734,'[1]Raw data'!$B:$Z,9,FALSE)</f>
        <v>MVC</v>
      </c>
      <c r="V734" s="572" t="str">
        <f t="shared" si="117"/>
        <v>WRONG</v>
      </c>
      <c r="W734" s="568" t="str">
        <f>VLOOKUP(A734,'[1]Raw data'!$B:$AG,32,FALSE)</f>
        <v>DAP FS</v>
      </c>
      <c r="X734" s="568">
        <f>VLOOKUP(A734,'[1]Raw data'!$B:$BA,31,FALSE)</f>
        <v>44179</v>
      </c>
      <c r="Y734" s="568" t="str">
        <f>VLOOKUP(A734,'[1]Raw data'!$B:$AS,39,FALSE)</f>
        <v>Yes</v>
      </c>
      <c r="Z734" s="664"/>
      <c r="AA734" s="665"/>
      <c r="AB734" s="666"/>
      <c r="AC734" s="568" t="s">
        <v>1500</v>
      </c>
      <c r="AD734" s="667">
        <v>302</v>
      </c>
      <c r="AE734" s="667">
        <v>20</v>
      </c>
      <c r="AF734" s="667"/>
      <c r="AG734" s="667"/>
      <c r="AH734" s="667"/>
      <c r="AI734" s="668"/>
      <c r="AN734" s="547"/>
      <c r="AO734" s="829" t="str">
        <f t="shared" si="107"/>
        <v>Yes</v>
      </c>
      <c r="AP734" s="259" t="str">
        <f t="shared" si="108"/>
        <v>MAR 21</v>
      </c>
      <c r="AQ734" s="547" t="str">
        <f t="shared" si="109"/>
        <v>有定金+有預留客戶</v>
      </c>
      <c r="AR734" s="259" t="str">
        <f t="shared" si="110"/>
        <v>Shipped_Stock</v>
      </c>
      <c r="AS734" s="259" t="str">
        <f t="shared" si="111"/>
        <v/>
      </c>
      <c r="AT734" s="259" t="str">
        <f t="shared" si="112"/>
        <v>新智杰光电</v>
      </c>
      <c r="AU734" s="259" t="str">
        <f t="shared" si="113"/>
        <v>C49SZX20200245MZ</v>
      </c>
      <c r="AV734" s="259" t="str">
        <f t="shared" si="114"/>
        <v>Mar-04</v>
      </c>
    </row>
    <row r="735" spans="1:48" hidden="1">
      <c r="A735" s="564">
        <v>982</v>
      </c>
      <c r="B735" s="669" t="s">
        <v>1125</v>
      </c>
      <c r="C735" s="669" t="s">
        <v>15</v>
      </c>
      <c r="D735" s="650">
        <v>110176</v>
      </c>
      <c r="E735" s="568" t="s">
        <v>1432</v>
      </c>
      <c r="F735" s="652" t="s">
        <v>58</v>
      </c>
      <c r="G735" s="652" t="s">
        <v>18</v>
      </c>
      <c r="H735" s="652" t="s">
        <v>26</v>
      </c>
      <c r="I735" s="580" t="s">
        <v>1501</v>
      </c>
      <c r="J735" s="580">
        <v>1</v>
      </c>
      <c r="K735" s="652" t="s">
        <v>78</v>
      </c>
      <c r="L735" s="680">
        <v>44259</v>
      </c>
      <c r="M735" s="670" t="s">
        <v>906</v>
      </c>
      <c r="N735" s="652" t="s">
        <v>28</v>
      </c>
      <c r="O735" s="580"/>
      <c r="P735" s="571" t="str">
        <f>VLOOKUP(A735,'[1]Raw data'!$B:$BB,23,FALSE)</f>
        <v>JPY</v>
      </c>
      <c r="Q735" s="568" t="str">
        <f>VLOOKUP(A735,'[1]Raw data'!$B:$Z,2,FALSE)</f>
        <v>C49SZX20200218JZ</v>
      </c>
      <c r="R735" s="568" t="str">
        <f>VLOOKUP(A735,'[1]Raw data'!$B:$Z,3,FALSE)</f>
        <v>深圳健科</v>
      </c>
      <c r="S735" s="568" t="str">
        <f>VLOOKUP(A735,'[1]Raw data'!$B:$Z,4,FALSE)</f>
        <v>YSM20R-2</v>
      </c>
      <c r="T735" s="568" t="str">
        <f>VLOOKUP(A735,'[1]Raw data'!$B:$Z,8,FALSE)</f>
        <v>R-&gt;L</v>
      </c>
      <c r="U735" s="568" t="str">
        <f>VLOOKUP(A735,'[1]Raw data'!$B:$Z,9,FALSE)</f>
        <v>No</v>
      </c>
      <c r="V735" s="572" t="str">
        <f t="shared" si="117"/>
        <v>OK</v>
      </c>
      <c r="W735" s="568" t="str">
        <f>VLOOKUP(A735,'[1]Raw data'!$B:$AG,32,FALSE)</f>
        <v>DAP SZ</v>
      </c>
      <c r="X735" s="568">
        <f>VLOOKUP(A735,'[1]Raw data'!$B:$BA,31,FALSE)</f>
        <v>44162</v>
      </c>
      <c r="Y735" s="568" t="str">
        <f>VLOOKUP(A735,'[1]Raw data'!$B:$AS,39,FALSE)</f>
        <v>Yes</v>
      </c>
      <c r="Z735" s="664"/>
      <c r="AA735" s="665"/>
      <c r="AB735" s="666"/>
      <c r="AC735" s="568" t="s">
        <v>654</v>
      </c>
      <c r="AD735" s="667">
        <v>302</v>
      </c>
      <c r="AE735" s="667">
        <v>20</v>
      </c>
      <c r="AF735" s="667"/>
      <c r="AG735" s="667"/>
      <c r="AH735" s="667"/>
      <c r="AI735" s="668"/>
      <c r="AN735" s="547"/>
      <c r="AO735" s="829" t="str">
        <f t="shared" si="107"/>
        <v>Yes</v>
      </c>
      <c r="AP735" s="259" t="str">
        <f t="shared" si="108"/>
        <v>MAR 21</v>
      </c>
      <c r="AQ735" s="547" t="str">
        <f t="shared" si="109"/>
        <v>有定金+有預留客戶</v>
      </c>
      <c r="AR735" s="259" t="str">
        <f t="shared" si="110"/>
        <v>Shipped_Stock</v>
      </c>
      <c r="AS735" s="259" t="str">
        <f t="shared" si="111"/>
        <v/>
      </c>
      <c r="AT735" s="259" t="str">
        <f t="shared" si="112"/>
        <v>深圳健科</v>
      </c>
      <c r="AU735" s="259" t="str">
        <f t="shared" si="113"/>
        <v>C49SZX20200218JZ</v>
      </c>
      <c r="AV735" s="259" t="str">
        <f t="shared" si="114"/>
        <v>Mar-04</v>
      </c>
    </row>
    <row r="736" spans="1:48" hidden="1">
      <c r="A736" s="564">
        <v>1120</v>
      </c>
      <c r="B736" s="669" t="s">
        <v>1125</v>
      </c>
      <c r="C736" s="669" t="s">
        <v>15</v>
      </c>
      <c r="D736" s="650">
        <v>110176</v>
      </c>
      <c r="E736" s="568" t="s">
        <v>1432</v>
      </c>
      <c r="F736" s="652" t="s">
        <v>58</v>
      </c>
      <c r="G736" s="652" t="s">
        <v>18</v>
      </c>
      <c r="H736" s="652" t="s">
        <v>26</v>
      </c>
      <c r="I736" s="580" t="s">
        <v>1502</v>
      </c>
      <c r="J736" s="580">
        <v>1</v>
      </c>
      <c r="K736" s="652" t="s">
        <v>78</v>
      </c>
      <c r="L736" s="680">
        <v>44259</v>
      </c>
      <c r="M736" s="670" t="s">
        <v>906</v>
      </c>
      <c r="N736" s="652" t="s">
        <v>28</v>
      </c>
      <c r="O736" s="580"/>
      <c r="P736" s="670" t="str">
        <f>VLOOKUP(A736,'[1]Raw data'!$B:$BA,23,FALSE)</f>
        <v>JPY</v>
      </c>
      <c r="Q736" s="652" t="str">
        <f>VLOOKUP(A736,'[1]Raw data'!$B:$Z,2,FALSE)</f>
        <v>C49SZX20210011JY</v>
      </c>
      <c r="R736" s="652" t="str">
        <f>VLOOKUP(A736,'[1]Raw data'!$B:$Z,3,FALSE)</f>
        <v>英拓邦</v>
      </c>
      <c r="S736" s="652" t="str">
        <f>VLOOKUP(A736,'[1]Raw data'!$B:$Z,4,FALSE)</f>
        <v>YSM20R-2</v>
      </c>
      <c r="T736" s="652" t="str">
        <f>VLOOKUP(A736,'[1]Raw data'!$B:$Z,8,FALSE)</f>
        <v>R-&gt;L</v>
      </c>
      <c r="U736" s="652" t="str">
        <f>VLOOKUP(A736,'[1]Raw data'!$B:$Z,9,FALSE)</f>
        <v>No</v>
      </c>
      <c r="V736" s="572" t="str">
        <f t="shared" si="117"/>
        <v>OK</v>
      </c>
      <c r="W736" s="568" t="str">
        <f>VLOOKUP(A736,'[1]Raw data'!$B:$AG,32,FALSE)</f>
        <v>CIF HK</v>
      </c>
      <c r="X736" s="652">
        <f>VLOOKUP(A736,'[1]Raw data'!$B:$BA,31,FALSE)</f>
        <v>44222</v>
      </c>
      <c r="Y736" s="652" t="str">
        <f>VLOOKUP(A736,'[1]Raw data'!$B:$AS,39,FALSE)</f>
        <v>Yes</v>
      </c>
      <c r="Z736" s="671"/>
      <c r="AA736" s="672"/>
      <c r="AB736" s="673"/>
      <c r="AC736" s="568" t="s">
        <v>1445</v>
      </c>
      <c r="AD736" s="667">
        <v>302</v>
      </c>
      <c r="AE736" s="667">
        <v>10</v>
      </c>
      <c r="AF736" s="667">
        <v>312</v>
      </c>
      <c r="AG736" s="667">
        <v>10</v>
      </c>
      <c r="AH736" s="667"/>
      <c r="AI736" s="668"/>
      <c r="AN736" s="547"/>
      <c r="AO736" s="829" t="str">
        <f t="shared" si="107"/>
        <v>Yes</v>
      </c>
      <c r="AP736" s="259" t="str">
        <f t="shared" si="108"/>
        <v>MAR 21</v>
      </c>
      <c r="AQ736" s="547" t="str">
        <f t="shared" si="109"/>
        <v>有定金+有預留客戶</v>
      </c>
      <c r="AR736" s="259" t="str">
        <f t="shared" si="110"/>
        <v>Shipped_Stock</v>
      </c>
      <c r="AS736" s="259" t="str">
        <f t="shared" si="111"/>
        <v/>
      </c>
      <c r="AT736" s="259" t="str">
        <f t="shared" si="112"/>
        <v>英拓邦</v>
      </c>
      <c r="AU736" s="259" t="str">
        <f t="shared" si="113"/>
        <v>C49SZX20210011JY</v>
      </c>
      <c r="AV736" s="259" t="str">
        <f t="shared" si="114"/>
        <v>Mar-04</v>
      </c>
    </row>
    <row r="737" spans="1:48" hidden="1">
      <c r="A737" s="564">
        <v>979</v>
      </c>
      <c r="B737" s="669" t="s">
        <v>1125</v>
      </c>
      <c r="C737" s="669" t="s">
        <v>15</v>
      </c>
      <c r="D737" s="650">
        <v>110176</v>
      </c>
      <c r="E737" s="568" t="s">
        <v>1432</v>
      </c>
      <c r="F737" s="652" t="s">
        <v>58</v>
      </c>
      <c r="G737" s="652" t="s">
        <v>24</v>
      </c>
      <c r="H737" s="652" t="s">
        <v>26</v>
      </c>
      <c r="I737" s="580" t="s">
        <v>1503</v>
      </c>
      <c r="J737" s="580">
        <v>1</v>
      </c>
      <c r="K737" s="652" t="s">
        <v>78</v>
      </c>
      <c r="L737" s="680">
        <v>44259</v>
      </c>
      <c r="M737" s="670" t="s">
        <v>906</v>
      </c>
      <c r="N737" s="652" t="s">
        <v>28</v>
      </c>
      <c r="O737" s="580"/>
      <c r="P737" s="571" t="str">
        <f>VLOOKUP(A737,'[1]Raw data'!$B:$BB,23,FALSE)</f>
        <v>JPY</v>
      </c>
      <c r="Q737" s="568" t="str">
        <f>VLOOKUP(A737,'[1]Raw data'!$B:$Z,2,FALSE)</f>
        <v>C49SZX20200228JZ</v>
      </c>
      <c r="R737" s="568" t="str">
        <f>VLOOKUP(A737,'[1]Raw data'!$B:$Z,3,FALSE)</f>
        <v>新明海</v>
      </c>
      <c r="S737" s="568" t="str">
        <f>VLOOKUP(A737,'[1]Raw data'!$B:$Z,4,FALSE)</f>
        <v>YSM20R-2</v>
      </c>
      <c r="T737" s="568" t="str">
        <f>VLOOKUP(A737,'[1]Raw data'!$B:$Z,8,FALSE)</f>
        <v>L-&gt;R</v>
      </c>
      <c r="U737" s="568" t="str">
        <f>VLOOKUP(A737,'[1]Raw data'!$B:$Z,9,FALSE)</f>
        <v>No</v>
      </c>
      <c r="V737" s="572" t="str">
        <f t="shared" si="117"/>
        <v>OK</v>
      </c>
      <c r="W737" s="568" t="str">
        <f>VLOOKUP(A737,'[1]Raw data'!$B:$AG,32,FALSE)</f>
        <v>DAP HZ</v>
      </c>
      <c r="X737" s="568">
        <f>VLOOKUP(A737,'[1]Raw data'!$B:$BA,31,FALSE)</f>
        <v>44161</v>
      </c>
      <c r="Y737" s="568" t="str">
        <f>VLOOKUP(A737,'[1]Raw data'!$B:$AS,39,FALSE)</f>
        <v>Yes</v>
      </c>
      <c r="Z737" s="671"/>
      <c r="AA737" s="672"/>
      <c r="AB737" s="673"/>
      <c r="AC737" s="568" t="s">
        <v>834</v>
      </c>
      <c r="AD737" s="667">
        <v>302</v>
      </c>
      <c r="AE737" s="667">
        <v>10</v>
      </c>
      <c r="AF737" s="667">
        <v>312</v>
      </c>
      <c r="AG737" s="667">
        <v>10</v>
      </c>
      <c r="AH737" s="667"/>
      <c r="AI737" s="668"/>
      <c r="AN737" s="547"/>
      <c r="AO737" s="829" t="str">
        <f t="shared" si="107"/>
        <v>Yes</v>
      </c>
      <c r="AP737" s="259" t="str">
        <f t="shared" si="108"/>
        <v>MAR 21</v>
      </c>
      <c r="AQ737" s="547" t="str">
        <f t="shared" si="109"/>
        <v>有定金+有預留客戶</v>
      </c>
      <c r="AR737" s="259" t="str">
        <f t="shared" si="110"/>
        <v>Shipped_Stock</v>
      </c>
      <c r="AS737" s="259" t="str">
        <f t="shared" si="111"/>
        <v/>
      </c>
      <c r="AT737" s="259" t="str">
        <f t="shared" si="112"/>
        <v>新明海</v>
      </c>
      <c r="AU737" s="259" t="str">
        <f t="shared" si="113"/>
        <v>C49SZX20200228JZ</v>
      </c>
      <c r="AV737" s="259" t="str">
        <f t="shared" si="114"/>
        <v>Mar-04</v>
      </c>
    </row>
    <row r="738" spans="1:48" hidden="1">
      <c r="A738" s="564">
        <v>1042</v>
      </c>
      <c r="B738" s="669" t="s">
        <v>1125</v>
      </c>
      <c r="C738" s="669" t="s">
        <v>15</v>
      </c>
      <c r="D738" s="650">
        <v>110176</v>
      </c>
      <c r="E738" s="568" t="s">
        <v>1432</v>
      </c>
      <c r="F738" s="652" t="s">
        <v>58</v>
      </c>
      <c r="G738" s="652" t="s">
        <v>24</v>
      </c>
      <c r="H738" s="652" t="s">
        <v>26</v>
      </c>
      <c r="I738" s="580" t="s">
        <v>1504</v>
      </c>
      <c r="J738" s="580">
        <v>1</v>
      </c>
      <c r="K738" s="652" t="s">
        <v>78</v>
      </c>
      <c r="L738" s="680">
        <v>44259</v>
      </c>
      <c r="M738" s="670" t="s">
        <v>906</v>
      </c>
      <c r="N738" s="652" t="s">
        <v>28</v>
      </c>
      <c r="O738" s="580"/>
      <c r="P738" s="571" t="str">
        <f>VLOOKUP(A738,'[1]Raw data'!$B:$BB,23,FALSE)</f>
        <v>JPY</v>
      </c>
      <c r="Q738" s="568" t="str">
        <f>VLOOKUP(A738,'[1]Raw data'!$B:$Z,2,FALSE)</f>
        <v>C49SZX20200247MZ</v>
      </c>
      <c r="R738" s="568" t="str">
        <f>VLOOKUP(A738,'[1]Raw data'!$B:$Z,3,FALSE)</f>
        <v>崧盛</v>
      </c>
      <c r="S738" s="568" t="str">
        <f>VLOOKUP(A738,'[1]Raw data'!$B:$Z,4,FALSE)</f>
        <v>YSM20R-2</v>
      </c>
      <c r="T738" s="568" t="str">
        <f>VLOOKUP(A738,'[1]Raw data'!$B:$Z,8,FALSE)</f>
        <v>L-&gt;R</v>
      </c>
      <c r="U738" s="568" t="str">
        <f>VLOOKUP(A738,'[1]Raw data'!$B:$Z,9,FALSE)</f>
        <v>MVC</v>
      </c>
      <c r="V738" s="572" t="str">
        <f t="shared" si="117"/>
        <v>WRONG</v>
      </c>
      <c r="W738" s="568" t="str">
        <f>VLOOKUP(A738,'[1]Raw data'!$B:$AG,32,FALSE)</f>
        <v>CIF HK</v>
      </c>
      <c r="X738" s="568">
        <f>VLOOKUP(A738,'[1]Raw data'!$B:$BA,31,FALSE)</f>
        <v>44183</v>
      </c>
      <c r="Y738" s="568" t="str">
        <f>VLOOKUP(A738,'[1]Raw data'!$B:$AS,39,FALSE)</f>
        <v>Yes</v>
      </c>
      <c r="Z738" s="664"/>
      <c r="AA738" s="665"/>
      <c r="AB738" s="666"/>
      <c r="AC738" s="652" t="s">
        <v>1505</v>
      </c>
      <c r="AD738" s="667">
        <v>302</v>
      </c>
      <c r="AE738" s="667">
        <v>10</v>
      </c>
      <c r="AF738" s="667">
        <v>312</v>
      </c>
      <c r="AG738" s="667">
        <v>10</v>
      </c>
      <c r="AH738" s="667"/>
      <c r="AI738" s="668"/>
      <c r="AN738" s="547"/>
      <c r="AO738" s="829" t="str">
        <f t="shared" si="107"/>
        <v>Yes</v>
      </c>
      <c r="AP738" s="259" t="str">
        <f t="shared" si="108"/>
        <v>MAR 21</v>
      </c>
      <c r="AQ738" s="547" t="str">
        <f t="shared" si="109"/>
        <v>有定金+有預留客戶</v>
      </c>
      <c r="AR738" s="259" t="str">
        <f t="shared" si="110"/>
        <v>Shipped_Stock</v>
      </c>
      <c r="AS738" s="259" t="str">
        <f t="shared" si="111"/>
        <v/>
      </c>
      <c r="AT738" s="259" t="str">
        <f t="shared" si="112"/>
        <v>崧盛</v>
      </c>
      <c r="AU738" s="259" t="str">
        <f t="shared" si="113"/>
        <v>C49SZX20200247MZ</v>
      </c>
      <c r="AV738" s="259" t="str">
        <f t="shared" si="114"/>
        <v>Mar-04</v>
      </c>
    </row>
    <row r="739" spans="1:48" hidden="1">
      <c r="A739" s="564">
        <v>992</v>
      </c>
      <c r="B739" s="669" t="s">
        <v>1125</v>
      </c>
      <c r="C739" s="669" t="s">
        <v>15</v>
      </c>
      <c r="D739" s="650">
        <v>110297</v>
      </c>
      <c r="E739" s="651" t="s">
        <v>236</v>
      </c>
      <c r="F739" s="652" t="s">
        <v>241</v>
      </c>
      <c r="G739" s="652" t="s">
        <v>18</v>
      </c>
      <c r="H739" s="652" t="s">
        <v>77</v>
      </c>
      <c r="I739" s="580" t="s">
        <v>1506</v>
      </c>
      <c r="J739" s="580">
        <v>1</v>
      </c>
      <c r="K739" s="652" t="s">
        <v>78</v>
      </c>
      <c r="L739" s="739">
        <v>44268</v>
      </c>
      <c r="M739" s="670" t="s">
        <v>258</v>
      </c>
      <c r="N739" s="652" t="s">
        <v>28</v>
      </c>
      <c r="O739" s="580"/>
      <c r="P739" s="571" t="str">
        <f>VLOOKUP(A739,'[1]Raw data'!$B:$BB,23,FALSE)</f>
        <v>JPY</v>
      </c>
      <c r="Q739" s="568" t="str">
        <f>VLOOKUP(A739,'[1]Raw data'!$B:$Z,2,FALSE)</f>
        <v>C49SZX20200237SX</v>
      </c>
      <c r="R739" s="568" t="str">
        <f>VLOOKUP(A739,'[1]Raw data'!$B:$Z,3,FALSE)</f>
        <v>岚新</v>
      </c>
      <c r="S739" s="568" t="str">
        <f>VLOOKUP(A739,'[1]Raw data'!$B:$Z,4,FALSE)</f>
        <v>YSM10</v>
      </c>
      <c r="T739" s="568" t="str">
        <f>VLOOKUP(A739,'[1]Raw data'!$B:$Z,8,FALSE)</f>
        <v>L-&gt;R</v>
      </c>
      <c r="U739" s="568" t="str">
        <f>VLOOKUP(A739,'[1]Raw data'!$B:$Z,9,FALSE)</f>
        <v>Rear站位</v>
      </c>
      <c r="V739" s="572" t="str">
        <f t="shared" si="117"/>
        <v>WRONG</v>
      </c>
      <c r="W739" s="568" t="str">
        <f>VLOOKUP(A739,'[1]Raw data'!$B:$AG,32,FALSE)</f>
        <v>DAP SZ</v>
      </c>
      <c r="X739" s="568">
        <f>VLOOKUP(A739,'[1]Raw data'!$B:$BA,31,FALSE)</f>
        <v>44173</v>
      </c>
      <c r="Y739" s="568" t="str">
        <f>VLOOKUP(A739,'[1]Raw data'!$B:$AS,39,FALSE)</f>
        <v>Yes</v>
      </c>
      <c r="Z739" s="664"/>
      <c r="AA739" s="665"/>
      <c r="AB739" s="666"/>
      <c r="AC739" s="652" t="s">
        <v>1460</v>
      </c>
      <c r="AD739" s="667"/>
      <c r="AE739" s="667"/>
      <c r="AF739" s="667"/>
      <c r="AG739" s="667"/>
      <c r="AH739" s="667"/>
      <c r="AI739" s="668"/>
      <c r="AN739" s="547"/>
      <c r="AO739" s="829" t="str">
        <f t="shared" si="107"/>
        <v>Yes</v>
      </c>
      <c r="AP739" s="259" t="str">
        <f t="shared" si="108"/>
        <v>MAR 21</v>
      </c>
      <c r="AQ739" s="547" t="str">
        <f t="shared" si="109"/>
        <v>有定金+有預留客戶</v>
      </c>
      <c r="AR739" s="259" t="str">
        <f t="shared" si="110"/>
        <v>Shipped_Stock</v>
      </c>
      <c r="AS739" s="259" t="str">
        <f t="shared" si="111"/>
        <v/>
      </c>
      <c r="AT739" s="259" t="str">
        <f t="shared" si="112"/>
        <v>岚新</v>
      </c>
      <c r="AU739" s="259" t="str">
        <f t="shared" si="113"/>
        <v>C49SZX20200237SX</v>
      </c>
      <c r="AV739" s="259" t="str">
        <f t="shared" si="114"/>
        <v>Mar-13</v>
      </c>
    </row>
    <row r="740" spans="1:48" hidden="1">
      <c r="A740" s="564">
        <v>1277</v>
      </c>
      <c r="B740" s="669" t="s">
        <v>1125</v>
      </c>
      <c r="C740" s="669" t="s">
        <v>15</v>
      </c>
      <c r="D740" s="650">
        <v>110152</v>
      </c>
      <c r="E740" s="568" t="s">
        <v>886</v>
      </c>
      <c r="F740" s="652" t="s">
        <v>58</v>
      </c>
      <c r="G740" s="652" t="s">
        <v>18</v>
      </c>
      <c r="H740" s="652" t="s">
        <v>27</v>
      </c>
      <c r="I740" s="580" t="s">
        <v>188</v>
      </c>
      <c r="J740" s="580">
        <v>1</v>
      </c>
      <c r="K740" s="652" t="s">
        <v>81</v>
      </c>
      <c r="L740" s="662">
        <v>44281</v>
      </c>
      <c r="M740" s="670" t="s">
        <v>906</v>
      </c>
      <c r="N740" s="652" t="s">
        <v>110</v>
      </c>
      <c r="O740" s="580"/>
      <c r="P740" s="670" t="str">
        <f>VLOOKUP(A740,'[1]Raw data'!$B:$BA,23,FALSE)</f>
        <v>JPY</v>
      </c>
      <c r="Q740" s="652" t="str">
        <f>VLOOKUP(A740,'[1]Raw data'!$B:$Z,2,FALSE)</f>
        <v>C49SZX20210039JZ</v>
      </c>
      <c r="R740" s="652" t="str">
        <f>VLOOKUP(A740,'[1]Raw data'!$B:$Z,3,FALSE)</f>
        <v>世达威</v>
      </c>
      <c r="S740" s="652" t="str">
        <f>VLOOKUP(A740,'[1]Raw data'!$B:$Z,4,FALSE)</f>
        <v>YSM20R-2</v>
      </c>
      <c r="T740" s="652" t="str">
        <f>VLOOKUP(A740,'[1]Raw data'!$B:$Z,8,FALSE)</f>
        <v>R-&gt;L</v>
      </c>
      <c r="U740" s="652" t="str">
        <f>VLOOKUP(A740,'[1]Raw data'!$B:$Z,9,FALSE)</f>
        <v>No</v>
      </c>
      <c r="V740" s="572" t="str">
        <f t="shared" ref="V740:V755" si="118">IF(G740&amp;H740=T740&amp;U740,"OK","WRONG")</f>
        <v>WRONG</v>
      </c>
      <c r="W740" s="568" t="str">
        <f>VLOOKUP(A740,'[1]Raw data'!$B:$AG,32,FALSE)</f>
        <v>DAP SZ</v>
      </c>
      <c r="X740" s="652">
        <f>VLOOKUP(A740,'[1]Raw data'!$B:$BA,31,FALSE)</f>
        <v>44278</v>
      </c>
      <c r="Y740" s="652" t="str">
        <f>VLOOKUP(A740,'[1]Raw data'!$B:$AS,39,FALSE)</f>
        <v>Yes</v>
      </c>
      <c r="Z740" s="664"/>
      <c r="AA740" s="665"/>
      <c r="AB740" s="666"/>
      <c r="AC740" s="652" t="s">
        <v>1507</v>
      </c>
      <c r="AD740" s="667">
        <v>301</v>
      </c>
      <c r="AE740" s="667">
        <v>10</v>
      </c>
      <c r="AF740" s="667">
        <v>311</v>
      </c>
      <c r="AG740" s="667">
        <v>10</v>
      </c>
      <c r="AH740" s="667"/>
      <c r="AI740" s="668"/>
      <c r="AN740" s="547"/>
      <c r="AO740" s="829" t="str">
        <f t="shared" si="107"/>
        <v>Yes</v>
      </c>
      <c r="AP740" s="259" t="str">
        <f t="shared" si="108"/>
        <v>MAY 21</v>
      </c>
      <c r="AQ740" s="547" t="str">
        <f t="shared" si="109"/>
        <v>有定金+有預留客戶</v>
      </c>
      <c r="AR740" s="259" t="str">
        <f t="shared" si="110"/>
        <v>Shipped_Stock</v>
      </c>
      <c r="AS740" s="259" t="str">
        <f t="shared" si="111"/>
        <v/>
      </c>
      <c r="AT740" s="259" t="str">
        <f t="shared" si="112"/>
        <v>世达威</v>
      </c>
      <c r="AU740" s="259" t="str">
        <f t="shared" si="113"/>
        <v>C49SZX20210039JZ</v>
      </c>
      <c r="AV740" s="259" t="str">
        <f t="shared" si="114"/>
        <v>Mar-26</v>
      </c>
    </row>
    <row r="741" spans="1:48" hidden="1">
      <c r="A741" s="604">
        <v>1112</v>
      </c>
      <c r="B741" s="669" t="s">
        <v>1125</v>
      </c>
      <c r="C741" s="669" t="s">
        <v>15</v>
      </c>
      <c r="D741" s="650">
        <v>110152</v>
      </c>
      <c r="E741" s="568" t="s">
        <v>886</v>
      </c>
      <c r="F741" s="652" t="s">
        <v>58</v>
      </c>
      <c r="G741" s="652" t="s">
        <v>24</v>
      </c>
      <c r="H741" s="652" t="s">
        <v>27</v>
      </c>
      <c r="I741" s="580" t="s">
        <v>187</v>
      </c>
      <c r="J741" s="580">
        <v>1</v>
      </c>
      <c r="K741" s="652" t="s">
        <v>81</v>
      </c>
      <c r="L741" s="662">
        <v>44281</v>
      </c>
      <c r="M741" s="670" t="s">
        <v>906</v>
      </c>
      <c r="N741" s="652" t="s">
        <v>28</v>
      </c>
      <c r="O741" s="580"/>
      <c r="P741" s="670" t="str">
        <f>VLOOKUP(A741,'[1]Raw data'!$B:$BA,23,FALSE)</f>
        <v>JPY</v>
      </c>
      <c r="Q741" s="652" t="str">
        <f>VLOOKUP(A741,'[1]Raw data'!$B:$Z,2,FALSE)</f>
        <v>C49SZX20210032JL</v>
      </c>
      <c r="R741" s="652" t="str">
        <f>VLOOKUP(A741,'[1]Raw data'!$B:$Z,3,FALSE)</f>
        <v>捷舜诚</v>
      </c>
      <c r="S741" s="652" t="str">
        <f>VLOOKUP(A741,'[1]Raw data'!$B:$Z,4,FALSE)</f>
        <v>YSM20R-2</v>
      </c>
      <c r="T741" s="652" t="str">
        <f>VLOOKUP(A741,'[1]Raw data'!$B:$Z,8,FALSE)</f>
        <v>L-&gt;R</v>
      </c>
      <c r="U741" s="652" t="str">
        <f>VLOOKUP(A741,'[1]Raw data'!$B:$Z,9,FALSE)</f>
        <v>MVC</v>
      </c>
      <c r="V741" s="572" t="str">
        <f t="shared" si="118"/>
        <v>OK</v>
      </c>
      <c r="W741" s="568" t="str">
        <f>VLOOKUP(A741,'[1]Raw data'!$B:$AG,32,FALSE)</f>
        <v>DAP SZ</v>
      </c>
      <c r="X741" s="652">
        <f>VLOOKUP(A741,'[1]Raw data'!$B:$BA,31,FALSE)</f>
        <v>44225</v>
      </c>
      <c r="Y741" s="652" t="str">
        <f>VLOOKUP(A741,'[1]Raw data'!$B:$AS,39,FALSE)</f>
        <v>Yes</v>
      </c>
      <c r="Z741" s="664"/>
      <c r="AA741" s="665"/>
      <c r="AB741" s="666"/>
      <c r="AC741" s="568" t="s">
        <v>1150</v>
      </c>
      <c r="AD741" s="580">
        <v>301</v>
      </c>
      <c r="AE741" s="580">
        <v>10</v>
      </c>
      <c r="AF741" s="580">
        <v>311</v>
      </c>
      <c r="AG741" s="580">
        <v>10</v>
      </c>
      <c r="AH741" s="580"/>
      <c r="AI741" s="684"/>
      <c r="AJ741" s="569"/>
      <c r="AK741" s="569"/>
      <c r="AL741" s="569"/>
      <c r="AM741" s="569"/>
      <c r="AN741" s="619"/>
      <c r="AO741" s="829" t="str">
        <f t="shared" si="107"/>
        <v>Yes</v>
      </c>
      <c r="AP741" s="259" t="str">
        <f t="shared" si="108"/>
        <v>MAR 21</v>
      </c>
      <c r="AQ741" s="547" t="str">
        <f t="shared" si="109"/>
        <v>有定金+有預留客戶</v>
      </c>
      <c r="AR741" s="259" t="str">
        <f t="shared" si="110"/>
        <v>Shipped_Stock</v>
      </c>
      <c r="AS741" s="259" t="str">
        <f t="shared" si="111"/>
        <v/>
      </c>
      <c r="AT741" s="259" t="str">
        <f t="shared" si="112"/>
        <v>捷舜诚</v>
      </c>
      <c r="AU741" s="259" t="str">
        <f t="shared" si="113"/>
        <v>C49SZX20210032JL</v>
      </c>
      <c r="AV741" s="259" t="str">
        <f t="shared" si="114"/>
        <v>Mar-26</v>
      </c>
    </row>
    <row r="742" spans="1:48" hidden="1">
      <c r="A742" s="604">
        <v>1113</v>
      </c>
      <c r="B742" s="669" t="s">
        <v>1125</v>
      </c>
      <c r="C742" s="669" t="s">
        <v>15</v>
      </c>
      <c r="D742" s="650">
        <v>110152</v>
      </c>
      <c r="E742" s="568" t="s">
        <v>886</v>
      </c>
      <c r="F742" s="652" t="s">
        <v>58</v>
      </c>
      <c r="G742" s="652" t="s">
        <v>24</v>
      </c>
      <c r="H742" s="652" t="s">
        <v>26</v>
      </c>
      <c r="I742" s="580" t="s">
        <v>186</v>
      </c>
      <c r="J742" s="580">
        <v>1</v>
      </c>
      <c r="K742" s="652" t="s">
        <v>81</v>
      </c>
      <c r="L742" s="662">
        <v>44281</v>
      </c>
      <c r="M742" s="670" t="s">
        <v>906</v>
      </c>
      <c r="N742" s="652" t="s">
        <v>28</v>
      </c>
      <c r="O742" s="580"/>
      <c r="P742" s="670" t="str">
        <f>VLOOKUP(A742,'[1]Raw data'!$B:$BA,23,FALSE)</f>
        <v>JPY</v>
      </c>
      <c r="Q742" s="652" t="str">
        <f>VLOOKUP(A742,'[1]Raw data'!$B:$Z,2,FALSE)</f>
        <v>C49SZX20210032JL</v>
      </c>
      <c r="R742" s="652" t="str">
        <f>VLOOKUP(A742,'[1]Raw data'!$B:$Z,3,FALSE)</f>
        <v>捷舜诚</v>
      </c>
      <c r="S742" s="652" t="str">
        <f>VLOOKUP(A742,'[1]Raw data'!$B:$Z,4,FALSE)</f>
        <v>YSM20R-2</v>
      </c>
      <c r="T742" s="652" t="str">
        <f>VLOOKUP(A742,'[1]Raw data'!$B:$Z,8,FALSE)</f>
        <v>L-&gt;R</v>
      </c>
      <c r="U742" s="652" t="str">
        <f>VLOOKUP(A742,'[1]Raw data'!$B:$Z,9,FALSE)</f>
        <v>MVC</v>
      </c>
      <c r="V742" s="572" t="str">
        <f t="shared" ref="V742:V753" si="119">IF(G742&amp;H742=T742&amp;U742,"OK","WRONG")</f>
        <v>WRONG</v>
      </c>
      <c r="W742" s="568" t="str">
        <f>VLOOKUP(A742,'[1]Raw data'!$B:$AG,32,FALSE)</f>
        <v>DAP SZ</v>
      </c>
      <c r="X742" s="652">
        <f>VLOOKUP(A742,'[1]Raw data'!$B:$BA,31,FALSE)</f>
        <v>44225</v>
      </c>
      <c r="Y742" s="652" t="str">
        <f>VLOOKUP(A742,'[1]Raw data'!$B:$AS,39,FALSE)</f>
        <v>Yes</v>
      </c>
      <c r="Z742" s="664"/>
      <c r="AA742" s="665"/>
      <c r="AB742" s="666"/>
      <c r="AC742" s="568" t="s">
        <v>1150</v>
      </c>
      <c r="AD742" s="580">
        <v>301</v>
      </c>
      <c r="AE742" s="580">
        <v>10</v>
      </c>
      <c r="AF742" s="580">
        <v>311</v>
      </c>
      <c r="AG742" s="580">
        <v>10</v>
      </c>
      <c r="AH742" s="580"/>
      <c r="AI742" s="684"/>
      <c r="AJ742" s="569"/>
      <c r="AK742" s="569"/>
      <c r="AL742" s="569"/>
      <c r="AM742" s="569"/>
      <c r="AN742" s="619"/>
      <c r="AO742" s="829" t="str">
        <f t="shared" si="107"/>
        <v>Yes</v>
      </c>
      <c r="AP742" s="259" t="str">
        <f t="shared" si="108"/>
        <v>MAR 21</v>
      </c>
      <c r="AQ742" s="547" t="str">
        <f t="shared" si="109"/>
        <v>有定金+有預留客戶</v>
      </c>
      <c r="AR742" s="259" t="str">
        <f t="shared" si="110"/>
        <v>Shipped_Stock</v>
      </c>
      <c r="AS742" s="259" t="str">
        <f t="shared" si="111"/>
        <v/>
      </c>
      <c r="AT742" s="259" t="str">
        <f t="shared" si="112"/>
        <v>捷舜诚</v>
      </c>
      <c r="AU742" s="259" t="str">
        <f t="shared" si="113"/>
        <v>C49SZX20210032JL</v>
      </c>
      <c r="AV742" s="259" t="str">
        <f t="shared" si="114"/>
        <v>Mar-26</v>
      </c>
    </row>
    <row r="743" spans="1:48" hidden="1">
      <c r="A743" s="564">
        <v>987</v>
      </c>
      <c r="B743" s="669" t="s">
        <v>1125</v>
      </c>
      <c r="C743" s="669" t="s">
        <v>15</v>
      </c>
      <c r="D743" s="650">
        <v>110152</v>
      </c>
      <c r="E743" s="568" t="s">
        <v>886</v>
      </c>
      <c r="F743" s="652" t="s">
        <v>58</v>
      </c>
      <c r="G743" s="652" t="s">
        <v>24</v>
      </c>
      <c r="H743" s="652" t="s">
        <v>159</v>
      </c>
      <c r="I743" s="580" t="s">
        <v>185</v>
      </c>
      <c r="J743" s="580">
        <v>1</v>
      </c>
      <c r="K743" s="652" t="s">
        <v>81</v>
      </c>
      <c r="L743" s="662">
        <v>44281</v>
      </c>
      <c r="M743" s="670" t="s">
        <v>906</v>
      </c>
      <c r="N743" s="652" t="s">
        <v>28</v>
      </c>
      <c r="O743" s="580"/>
      <c r="P743" s="670" t="str">
        <f>VLOOKUP(A743,'[1]Raw data'!$B:$BA,23,FALSE)</f>
        <v>JPY</v>
      </c>
      <c r="Q743" s="652" t="str">
        <f>VLOOKUP(A743,'[1]Raw data'!$B:$Z,2,FALSE)</f>
        <v>C49SZX20200232SX</v>
      </c>
      <c r="R743" s="652" t="str">
        <f>VLOOKUP(A743,'[1]Raw data'!$B:$Z,3,FALSE)</f>
        <v>永顺创</v>
      </c>
      <c r="S743" s="652" t="str">
        <f>VLOOKUP(A743,'[1]Raw data'!$B:$Z,4,FALSE)</f>
        <v>YSM20R-2</v>
      </c>
      <c r="T743" s="652" t="str">
        <f>VLOOKUP(A743,'[1]Raw data'!$B:$Z,8,FALSE)</f>
        <v>L-&gt;R</v>
      </c>
      <c r="U743" s="652" t="str">
        <f>VLOOKUP(A743,'[1]Raw data'!$B:$Z,9,FALSE)</f>
        <v>cATS10+MVC</v>
      </c>
      <c r="V743" s="572" t="str">
        <f t="shared" si="119"/>
        <v>WRONG</v>
      </c>
      <c r="W743" s="568" t="str">
        <f>VLOOKUP(A743,'[1]Raw data'!$B:$AG,32,FALSE)</f>
        <v>DAP SZ</v>
      </c>
      <c r="X743" s="652">
        <f>VLOOKUP(A743,'[1]Raw data'!$B:$BA,31,FALSE)</f>
        <v>44166</v>
      </c>
      <c r="Y743" s="652" t="str">
        <f>VLOOKUP(A743,'[1]Raw data'!$B:$AS,39,FALSE)</f>
        <v>Yes</v>
      </c>
      <c r="Z743" s="664"/>
      <c r="AA743" s="665"/>
      <c r="AB743" s="666"/>
      <c r="AC743" s="652" t="s">
        <v>1415</v>
      </c>
      <c r="AD743" s="667">
        <v>301</v>
      </c>
      <c r="AE743" s="667">
        <v>10</v>
      </c>
      <c r="AF743" s="667">
        <v>303</v>
      </c>
      <c r="AG743" s="667">
        <v>10</v>
      </c>
      <c r="AH743" s="667"/>
      <c r="AI743" s="668"/>
      <c r="AN743" s="547"/>
      <c r="AO743" s="829" t="str">
        <f t="shared" si="107"/>
        <v>Yes</v>
      </c>
      <c r="AP743" s="259" t="str">
        <f t="shared" si="108"/>
        <v>MAR 21</v>
      </c>
      <c r="AQ743" s="547" t="str">
        <f t="shared" si="109"/>
        <v>有定金+有預留客戶</v>
      </c>
      <c r="AR743" s="259" t="str">
        <f t="shared" si="110"/>
        <v>Shipped_Stock</v>
      </c>
      <c r="AS743" s="259" t="str">
        <f t="shared" si="111"/>
        <v/>
      </c>
      <c r="AT743" s="259" t="str">
        <f t="shared" si="112"/>
        <v>永顺创</v>
      </c>
      <c r="AU743" s="259" t="str">
        <f t="shared" si="113"/>
        <v>C49SZX20200232SX</v>
      </c>
      <c r="AV743" s="259" t="str">
        <f t="shared" si="114"/>
        <v>Mar-26</v>
      </c>
    </row>
    <row r="744" spans="1:48" hidden="1">
      <c r="A744" s="564">
        <v>1048</v>
      </c>
      <c r="B744" s="669" t="s">
        <v>1125</v>
      </c>
      <c r="C744" s="669" t="s">
        <v>281</v>
      </c>
      <c r="D744" s="650">
        <v>110238</v>
      </c>
      <c r="E744" s="568" t="s">
        <v>886</v>
      </c>
      <c r="F744" s="652" t="s">
        <v>17</v>
      </c>
      <c r="G744" s="652" t="s">
        <v>18</v>
      </c>
      <c r="H744" s="652" t="s">
        <v>27</v>
      </c>
      <c r="I744" s="580" t="s">
        <v>137</v>
      </c>
      <c r="J744" s="580">
        <v>1</v>
      </c>
      <c r="K744" s="652" t="s">
        <v>78</v>
      </c>
      <c r="L744" s="662">
        <v>44281</v>
      </c>
      <c r="M744" s="670" t="s">
        <v>906</v>
      </c>
      <c r="N744" s="652" t="s">
        <v>90</v>
      </c>
      <c r="O744" s="580"/>
      <c r="P744" s="670" t="str">
        <f>VLOOKUP(A744,'[1]Raw data'!$B:$BA,23,FALSE)</f>
        <v>JPY</v>
      </c>
      <c r="Q744" s="652" t="str">
        <f>VLOOKUP(A744,'[1]Raw data'!$B:$Z,2,FALSE)</f>
        <v>C49SZX20200257JY</v>
      </c>
      <c r="R744" s="652" t="str">
        <f>VLOOKUP(A744,'[1]Raw data'!$B:$Z,3,FALSE)</f>
        <v>精德鸿</v>
      </c>
      <c r="S744" s="652" t="str">
        <f>VLOOKUP(A744,'[1]Raw data'!$B:$Z,4,FALSE)</f>
        <v>YSM10</v>
      </c>
      <c r="T744" s="652" t="str">
        <f>VLOOKUP(A744,'[1]Raw data'!$B:$Z,8,FALSE)</f>
        <v>L-&gt;R</v>
      </c>
      <c r="U744" s="652" t="str">
        <f>VLOOKUP(A744,'[1]Raw data'!$B:$Z,9,FALSE)</f>
        <v>MVC</v>
      </c>
      <c r="V744" s="572" t="str">
        <f t="shared" si="119"/>
        <v>WRONG</v>
      </c>
      <c r="W744" s="568" t="str">
        <f>VLOOKUP(A744,'[1]Raw data'!$B:$AG,32,FALSE)</f>
        <v>DAP SZ</v>
      </c>
      <c r="X744" s="652">
        <f>VLOOKUP(A744,'[1]Raw data'!$B:$BA,31,FALSE)</f>
        <v>44193</v>
      </c>
      <c r="Y744" s="652" t="str">
        <f>VLOOKUP(A744,'[1]Raw data'!$B:$AS,39,FALSE)</f>
        <v>Yes</v>
      </c>
      <c r="Z744" s="664"/>
      <c r="AA744" s="665"/>
      <c r="AB744" s="666"/>
      <c r="AC744" s="652" t="s">
        <v>1389</v>
      </c>
      <c r="AD744" s="667">
        <v>311</v>
      </c>
      <c r="AE744" s="667">
        <v>10</v>
      </c>
      <c r="AF744" s="667"/>
      <c r="AG744" s="667"/>
      <c r="AH744" s="667"/>
      <c r="AI744" s="668"/>
      <c r="AN744" s="547"/>
      <c r="AO744" s="829" t="str">
        <f t="shared" si="107"/>
        <v>Yes</v>
      </c>
      <c r="AP744" s="259" t="str">
        <f t="shared" si="108"/>
        <v>APR 21</v>
      </c>
      <c r="AQ744" s="547" t="str">
        <f t="shared" si="109"/>
        <v>有定金+有預留客戶</v>
      </c>
      <c r="AR744" s="259" t="str">
        <f t="shared" si="110"/>
        <v>Shipped_Stock</v>
      </c>
      <c r="AS744" s="259" t="str">
        <f t="shared" si="111"/>
        <v/>
      </c>
      <c r="AT744" s="259" t="str">
        <f t="shared" si="112"/>
        <v>精德鸿</v>
      </c>
      <c r="AU744" s="259" t="str">
        <f t="shared" si="113"/>
        <v>C49SZX20200257JY</v>
      </c>
      <c r="AV744" s="259" t="str">
        <f t="shared" si="114"/>
        <v>Mar-26</v>
      </c>
    </row>
    <row r="745" spans="1:48" hidden="1">
      <c r="A745" s="564">
        <v>1059</v>
      </c>
      <c r="B745" s="669" t="s">
        <v>1125</v>
      </c>
      <c r="C745" s="669" t="s">
        <v>281</v>
      </c>
      <c r="D745" s="650">
        <v>110238</v>
      </c>
      <c r="E745" s="568" t="s">
        <v>886</v>
      </c>
      <c r="F745" s="652" t="s">
        <v>17</v>
      </c>
      <c r="G745" s="652" t="s">
        <v>18</v>
      </c>
      <c r="H745" s="652" t="s">
        <v>27</v>
      </c>
      <c r="I745" s="580" t="s">
        <v>1508</v>
      </c>
      <c r="J745" s="580">
        <v>1</v>
      </c>
      <c r="K745" s="652" t="s">
        <v>78</v>
      </c>
      <c r="L745" s="662">
        <v>44281</v>
      </c>
      <c r="M745" s="670" t="s">
        <v>906</v>
      </c>
      <c r="N745" s="652" t="s">
        <v>90</v>
      </c>
      <c r="O745" s="580"/>
      <c r="P745" s="670" t="str">
        <f>VLOOKUP(A745,'[1]Raw data'!$B:$BA,23,FALSE)</f>
        <v>JPY</v>
      </c>
      <c r="Q745" s="652" t="str">
        <f>VLOOKUP(A745,'[1]Raw data'!$B:$Z,2,FALSE)</f>
        <v>C49SZX20210005SX</v>
      </c>
      <c r="R745" s="652" t="str">
        <f>VLOOKUP(A745,'[1]Raw data'!$B:$Z,3,FALSE)</f>
        <v>品诚伟创</v>
      </c>
      <c r="S745" s="652" t="str">
        <f>VLOOKUP(A745,'[1]Raw data'!$B:$Z,4,FALSE)</f>
        <v>YSM10</v>
      </c>
      <c r="T745" s="652" t="str">
        <f>VLOOKUP(A745,'[1]Raw data'!$B:$Z,8,FALSE)</f>
        <v>L-&gt;R</v>
      </c>
      <c r="U745" s="652" t="str">
        <f>VLOOKUP(A745,'[1]Raw data'!$B:$Z,9,FALSE)</f>
        <v>MVC</v>
      </c>
      <c r="V745" s="572" t="str">
        <f t="shared" si="119"/>
        <v>WRONG</v>
      </c>
      <c r="W745" s="568" t="str">
        <f>VLOOKUP(A745,'[1]Raw data'!$B:$AG,32,FALSE)</f>
        <v>DAP SZ</v>
      </c>
      <c r="X745" s="652">
        <f>VLOOKUP(A745,'[1]Raw data'!$B:$BA,31,FALSE)</f>
        <v>44202</v>
      </c>
      <c r="Y745" s="652" t="str">
        <f>VLOOKUP(A745,'[1]Raw data'!$B:$AS,39,FALSE)</f>
        <v>Yes</v>
      </c>
      <c r="Z745" s="664"/>
      <c r="AA745" s="665"/>
      <c r="AB745" s="666"/>
      <c r="AC745" s="652" t="s">
        <v>1509</v>
      </c>
      <c r="AD745" s="667">
        <v>311</v>
      </c>
      <c r="AE745" s="667">
        <v>10</v>
      </c>
      <c r="AF745" s="667"/>
      <c r="AG745" s="667"/>
      <c r="AH745" s="667"/>
      <c r="AI745" s="668"/>
      <c r="AN745" s="547"/>
      <c r="AO745" s="829" t="str">
        <f t="shared" si="107"/>
        <v>Yes</v>
      </c>
      <c r="AP745" s="259" t="str">
        <f t="shared" si="108"/>
        <v>APR 21</v>
      </c>
      <c r="AQ745" s="547" t="str">
        <f t="shared" si="109"/>
        <v>有定金+有預留客戶</v>
      </c>
      <c r="AR745" s="259" t="str">
        <f t="shared" si="110"/>
        <v>Shipped_Stock</v>
      </c>
      <c r="AS745" s="259" t="str">
        <f t="shared" si="111"/>
        <v/>
      </c>
      <c r="AT745" s="259" t="str">
        <f t="shared" si="112"/>
        <v>品诚伟创</v>
      </c>
      <c r="AU745" s="259" t="str">
        <f t="shared" si="113"/>
        <v>C49SZX20210005SX</v>
      </c>
      <c r="AV745" s="259" t="str">
        <f t="shared" si="114"/>
        <v>Mar-26</v>
      </c>
    </row>
    <row r="746" spans="1:48" hidden="1">
      <c r="A746" s="564">
        <v>1034</v>
      </c>
      <c r="B746" s="669" t="s">
        <v>1125</v>
      </c>
      <c r="C746" s="669" t="s">
        <v>281</v>
      </c>
      <c r="D746" s="650">
        <v>110238</v>
      </c>
      <c r="E746" s="568" t="s">
        <v>886</v>
      </c>
      <c r="F746" s="652" t="s">
        <v>17</v>
      </c>
      <c r="G746" s="652" t="s">
        <v>18</v>
      </c>
      <c r="H746" s="652" t="s">
        <v>26</v>
      </c>
      <c r="I746" s="580" t="s">
        <v>135</v>
      </c>
      <c r="J746" s="580">
        <v>1</v>
      </c>
      <c r="K746" s="652" t="s">
        <v>78</v>
      </c>
      <c r="L746" s="662">
        <v>44281</v>
      </c>
      <c r="M746" s="670" t="s">
        <v>906</v>
      </c>
      <c r="N746" s="652" t="s">
        <v>90</v>
      </c>
      <c r="O746" s="580"/>
      <c r="P746" s="670" t="str">
        <f>VLOOKUP(A746,'[1]Raw data'!$B:$BA,23,FALSE)</f>
        <v>JPY</v>
      </c>
      <c r="Q746" s="652" t="str">
        <f>VLOOKUP(A746,'[1]Raw data'!$B:$Z,2,FALSE)</f>
        <v>C49SZX20200243DZ</v>
      </c>
      <c r="R746" s="652" t="str">
        <f>VLOOKUP(A746,'[1]Raw data'!$B:$Z,3,FALSE)</f>
        <v>朗特</v>
      </c>
      <c r="S746" s="652" t="str">
        <f>VLOOKUP(A746,'[1]Raw data'!$B:$Z,4,FALSE)</f>
        <v>YSM10</v>
      </c>
      <c r="T746" s="652" t="str">
        <f>VLOOKUP(A746,'[1]Raw data'!$B:$Z,8,FALSE)</f>
        <v>R-&gt;L</v>
      </c>
      <c r="U746" s="652" t="str">
        <f>VLOOKUP(A746,'[1]Raw data'!$B:$Z,9,FALSE)</f>
        <v>No</v>
      </c>
      <c r="V746" s="572" t="str">
        <f t="shared" si="119"/>
        <v>OK</v>
      </c>
      <c r="W746" s="568" t="str">
        <f>VLOOKUP(A746,'[1]Raw data'!$B:$AG,32,FALSE)</f>
        <v>CIF HK</v>
      </c>
      <c r="X746" s="652">
        <f>VLOOKUP(A746,'[1]Raw data'!$B:$BA,31,FALSE)</f>
        <v>44182</v>
      </c>
      <c r="Y746" s="652" t="str">
        <f>VLOOKUP(A746,'[1]Raw data'!$B:$AS,39,FALSE)</f>
        <v>Yes</v>
      </c>
      <c r="Z746" s="664"/>
      <c r="AA746" s="665"/>
      <c r="AB746" s="666"/>
      <c r="AC746" s="568" t="s">
        <v>1463</v>
      </c>
      <c r="AD746" s="667">
        <v>301</v>
      </c>
      <c r="AE746" s="667">
        <v>10</v>
      </c>
      <c r="AF746" s="667"/>
      <c r="AG746" s="667"/>
      <c r="AH746" s="667"/>
      <c r="AI746" s="668"/>
      <c r="AN746" s="547"/>
      <c r="AO746" s="829" t="str">
        <f t="shared" si="107"/>
        <v>Yes</v>
      </c>
      <c r="AP746" s="259" t="str">
        <f t="shared" si="108"/>
        <v>APR 21</v>
      </c>
      <c r="AQ746" s="547" t="str">
        <f t="shared" si="109"/>
        <v>有定金+有預留客戶</v>
      </c>
      <c r="AR746" s="259" t="str">
        <f t="shared" si="110"/>
        <v>Shipped_Stock</v>
      </c>
      <c r="AS746" s="259" t="str">
        <f t="shared" si="111"/>
        <v/>
      </c>
      <c r="AT746" s="259" t="str">
        <f t="shared" si="112"/>
        <v>朗特</v>
      </c>
      <c r="AU746" s="259" t="str">
        <f t="shared" si="113"/>
        <v>C49SZX20200243DZ</v>
      </c>
      <c r="AV746" s="259" t="str">
        <f t="shared" si="114"/>
        <v>Mar-26</v>
      </c>
    </row>
    <row r="747" spans="1:48" hidden="1">
      <c r="A747" s="564">
        <v>1035</v>
      </c>
      <c r="B747" s="669" t="s">
        <v>1125</v>
      </c>
      <c r="C747" s="669" t="s">
        <v>281</v>
      </c>
      <c r="D747" s="650">
        <v>110238</v>
      </c>
      <c r="E747" s="568" t="s">
        <v>886</v>
      </c>
      <c r="F747" s="652" t="s">
        <v>17</v>
      </c>
      <c r="G747" s="652" t="s">
        <v>18</v>
      </c>
      <c r="H747" s="652" t="s">
        <v>26</v>
      </c>
      <c r="I747" s="580" t="s">
        <v>134</v>
      </c>
      <c r="J747" s="580">
        <v>1</v>
      </c>
      <c r="K747" s="652" t="s">
        <v>78</v>
      </c>
      <c r="L747" s="662">
        <v>44281</v>
      </c>
      <c r="M747" s="670" t="s">
        <v>906</v>
      </c>
      <c r="N747" s="652" t="s">
        <v>90</v>
      </c>
      <c r="O747" s="580"/>
      <c r="P747" s="670" t="str">
        <f>VLOOKUP(A747,'[1]Raw data'!$B:$BA,23,FALSE)</f>
        <v>JPY</v>
      </c>
      <c r="Q747" s="652" t="str">
        <f>VLOOKUP(A747,'[1]Raw data'!$B:$Z,2,FALSE)</f>
        <v>C49SZX20200243DZ</v>
      </c>
      <c r="R747" s="652" t="str">
        <f>VLOOKUP(A747,'[1]Raw data'!$B:$Z,3,FALSE)</f>
        <v>朗特</v>
      </c>
      <c r="S747" s="652" t="str">
        <f>VLOOKUP(A747,'[1]Raw data'!$B:$Z,4,FALSE)</f>
        <v>YSM10</v>
      </c>
      <c r="T747" s="652" t="str">
        <f>VLOOKUP(A747,'[1]Raw data'!$B:$Z,8,FALSE)</f>
        <v>R-&gt;L</v>
      </c>
      <c r="U747" s="652" t="str">
        <f>VLOOKUP(A747,'[1]Raw data'!$B:$Z,9,FALSE)</f>
        <v>No</v>
      </c>
      <c r="V747" s="572" t="str">
        <f t="shared" si="119"/>
        <v>OK</v>
      </c>
      <c r="W747" s="568" t="str">
        <f>VLOOKUP(A747,'[1]Raw data'!$B:$AG,32,FALSE)</f>
        <v>CIF HK</v>
      </c>
      <c r="X747" s="652">
        <f>VLOOKUP(A747,'[1]Raw data'!$B:$BA,31,FALSE)</f>
        <v>44182</v>
      </c>
      <c r="Y747" s="652" t="str">
        <f>VLOOKUP(A747,'[1]Raw data'!$B:$AS,39,FALSE)</f>
        <v>Yes</v>
      </c>
      <c r="Z747" s="664"/>
      <c r="AA747" s="665"/>
      <c r="AB747" s="666"/>
      <c r="AC747" s="568" t="s">
        <v>1463</v>
      </c>
      <c r="AD747" s="667">
        <v>301</v>
      </c>
      <c r="AE747" s="667">
        <v>10</v>
      </c>
      <c r="AF747" s="667"/>
      <c r="AG747" s="667"/>
      <c r="AH747" s="667"/>
      <c r="AI747" s="668"/>
      <c r="AN747" s="547"/>
      <c r="AO747" s="829" t="str">
        <f t="shared" si="107"/>
        <v>Yes</v>
      </c>
      <c r="AP747" s="259" t="str">
        <f t="shared" si="108"/>
        <v>APR 21</v>
      </c>
      <c r="AQ747" s="547" t="str">
        <f t="shared" si="109"/>
        <v>有定金+有預留客戶</v>
      </c>
      <c r="AR747" s="259" t="str">
        <f t="shared" si="110"/>
        <v>Shipped_Stock</v>
      </c>
      <c r="AS747" s="259" t="str">
        <f t="shared" si="111"/>
        <v/>
      </c>
      <c r="AT747" s="259" t="str">
        <f t="shared" si="112"/>
        <v>朗特</v>
      </c>
      <c r="AU747" s="259" t="str">
        <f t="shared" si="113"/>
        <v>C49SZX20200243DZ</v>
      </c>
      <c r="AV747" s="259" t="str">
        <f t="shared" si="114"/>
        <v>Mar-26</v>
      </c>
    </row>
    <row r="748" spans="1:48" hidden="1">
      <c r="A748" s="564">
        <v>1036</v>
      </c>
      <c r="B748" s="669" t="s">
        <v>1125</v>
      </c>
      <c r="C748" s="669" t="s">
        <v>281</v>
      </c>
      <c r="D748" s="650">
        <v>110238</v>
      </c>
      <c r="E748" s="568" t="s">
        <v>886</v>
      </c>
      <c r="F748" s="652" t="s">
        <v>17</v>
      </c>
      <c r="G748" s="652" t="s">
        <v>18</v>
      </c>
      <c r="H748" s="652" t="s">
        <v>26</v>
      </c>
      <c r="I748" s="580" t="s">
        <v>133</v>
      </c>
      <c r="J748" s="580">
        <v>1</v>
      </c>
      <c r="K748" s="652" t="s">
        <v>78</v>
      </c>
      <c r="L748" s="662">
        <v>44281</v>
      </c>
      <c r="M748" s="670" t="s">
        <v>906</v>
      </c>
      <c r="N748" s="652" t="s">
        <v>90</v>
      </c>
      <c r="O748" s="580"/>
      <c r="P748" s="670" t="str">
        <f>VLOOKUP(A748,'[1]Raw data'!$B:$BA,23,FALSE)</f>
        <v>JPY</v>
      </c>
      <c r="Q748" s="652" t="str">
        <f>VLOOKUP(A748,'[1]Raw data'!$B:$Z,2,FALSE)</f>
        <v>C49SZX20200243DZ</v>
      </c>
      <c r="R748" s="652" t="str">
        <f>VLOOKUP(A748,'[1]Raw data'!$B:$Z,3,FALSE)</f>
        <v>朗特</v>
      </c>
      <c r="S748" s="652" t="str">
        <f>VLOOKUP(A748,'[1]Raw data'!$B:$Z,4,FALSE)</f>
        <v>YSM10</v>
      </c>
      <c r="T748" s="652" t="str">
        <f>VLOOKUP(A748,'[1]Raw data'!$B:$Z,8,FALSE)</f>
        <v>R-&gt;L</v>
      </c>
      <c r="U748" s="652" t="str">
        <f>VLOOKUP(A748,'[1]Raw data'!$B:$Z,9,FALSE)</f>
        <v>No</v>
      </c>
      <c r="V748" s="572" t="str">
        <f t="shared" si="119"/>
        <v>OK</v>
      </c>
      <c r="W748" s="568" t="str">
        <f>VLOOKUP(A748,'[1]Raw data'!$B:$AG,32,FALSE)</f>
        <v>CIF HK</v>
      </c>
      <c r="X748" s="652">
        <f>VLOOKUP(A748,'[1]Raw data'!$B:$BA,31,FALSE)</f>
        <v>44182</v>
      </c>
      <c r="Y748" s="652" t="str">
        <f>VLOOKUP(A748,'[1]Raw data'!$B:$AS,39,FALSE)</f>
        <v>Yes</v>
      </c>
      <c r="Z748" s="664"/>
      <c r="AA748" s="665"/>
      <c r="AB748" s="666"/>
      <c r="AC748" s="568" t="s">
        <v>1463</v>
      </c>
      <c r="AD748" s="667">
        <v>301</v>
      </c>
      <c r="AE748" s="667">
        <v>10</v>
      </c>
      <c r="AF748" s="667"/>
      <c r="AG748" s="667"/>
      <c r="AH748" s="667"/>
      <c r="AI748" s="668"/>
      <c r="AN748" s="547"/>
      <c r="AO748" s="829" t="str">
        <f t="shared" si="107"/>
        <v>Yes</v>
      </c>
      <c r="AP748" s="259" t="str">
        <f t="shared" si="108"/>
        <v>APR 21</v>
      </c>
      <c r="AQ748" s="547" t="str">
        <f t="shared" si="109"/>
        <v>有定金+有預留客戶</v>
      </c>
      <c r="AR748" s="259" t="str">
        <f t="shared" si="110"/>
        <v>Shipped_Stock</v>
      </c>
      <c r="AS748" s="259" t="str">
        <f t="shared" si="111"/>
        <v/>
      </c>
      <c r="AT748" s="259" t="str">
        <f t="shared" si="112"/>
        <v>朗特</v>
      </c>
      <c r="AU748" s="259" t="str">
        <f t="shared" si="113"/>
        <v>C49SZX20200243DZ</v>
      </c>
      <c r="AV748" s="259" t="str">
        <f t="shared" si="114"/>
        <v>Mar-26</v>
      </c>
    </row>
    <row r="749" spans="1:48" hidden="1">
      <c r="A749" s="564">
        <v>1142</v>
      </c>
      <c r="B749" s="669" t="s">
        <v>1125</v>
      </c>
      <c r="C749" s="669" t="s">
        <v>281</v>
      </c>
      <c r="D749" s="650">
        <v>110238</v>
      </c>
      <c r="E749" s="568" t="s">
        <v>886</v>
      </c>
      <c r="F749" s="652" t="s">
        <v>17</v>
      </c>
      <c r="G749" s="652" t="s">
        <v>18</v>
      </c>
      <c r="H749" s="652" t="s">
        <v>26</v>
      </c>
      <c r="I749" s="580" t="s">
        <v>132</v>
      </c>
      <c r="J749" s="580">
        <v>1</v>
      </c>
      <c r="K749" s="652" t="s">
        <v>81</v>
      </c>
      <c r="L749" s="662">
        <v>44281</v>
      </c>
      <c r="M749" s="670" t="s">
        <v>906</v>
      </c>
      <c r="N749" s="652" t="s">
        <v>90</v>
      </c>
      <c r="O749" s="580"/>
      <c r="P749" s="670" t="str">
        <f>VLOOKUP(A749,'[1]Raw data'!$B:$BA,23,FALSE)</f>
        <v>JPY</v>
      </c>
      <c r="Q749" s="652" t="str">
        <f>VLOOKUP(A749,'[1]Raw data'!$B:$Z,2,FALSE)</f>
        <v>C49SZX20210050SX</v>
      </c>
      <c r="R749" s="652" t="str">
        <f>VLOOKUP(A749,'[1]Raw data'!$B:$Z,3,FALSE)</f>
        <v>模鑫</v>
      </c>
      <c r="S749" s="652" t="str">
        <f>VLOOKUP(A749,'[1]Raw data'!$B:$Z,4,FALSE)</f>
        <v>YSM10</v>
      </c>
      <c r="T749" s="652" t="str">
        <f>VLOOKUP(A749,'[1]Raw data'!$B:$Z,8,FALSE)</f>
        <v>R-&gt;L</v>
      </c>
      <c r="U749" s="652" t="str">
        <f>VLOOKUP(A749,'[1]Raw data'!$B:$Z,9,FALSE)</f>
        <v>MVC</v>
      </c>
      <c r="V749" s="572" t="str">
        <f t="shared" si="119"/>
        <v>WRONG</v>
      </c>
      <c r="W749" s="568" t="str">
        <f>VLOOKUP(A749,'[1]Raw data'!$B:$AG,32,FALSE)</f>
        <v>DAP SZ</v>
      </c>
      <c r="X749" s="652">
        <f>VLOOKUP(A749,'[1]Raw data'!$B:$BA,31,FALSE)</f>
        <v>44234</v>
      </c>
      <c r="Y749" s="652" t="str">
        <f>VLOOKUP(A749,'[1]Raw data'!$B:$AS,39,FALSE)</f>
        <v>Yes</v>
      </c>
      <c r="Z749" s="664"/>
      <c r="AA749" s="665"/>
      <c r="AB749" s="666"/>
      <c r="AC749" s="652" t="s">
        <v>1367</v>
      </c>
      <c r="AD749" s="667">
        <v>301</v>
      </c>
      <c r="AE749" s="667">
        <v>10</v>
      </c>
      <c r="AF749" s="667"/>
      <c r="AG749" s="667"/>
      <c r="AH749" s="667"/>
      <c r="AI749" s="668"/>
      <c r="AN749" s="547"/>
      <c r="AO749" s="829" t="str">
        <f t="shared" si="107"/>
        <v>Yes</v>
      </c>
      <c r="AP749" s="259" t="str">
        <f t="shared" si="108"/>
        <v>APR 21</v>
      </c>
      <c r="AQ749" s="547" t="str">
        <f t="shared" si="109"/>
        <v>有定金+有預留客戶</v>
      </c>
      <c r="AR749" s="259" t="str">
        <f t="shared" si="110"/>
        <v>Shipped_Stock</v>
      </c>
      <c r="AS749" s="259" t="str">
        <f t="shared" si="111"/>
        <v/>
      </c>
      <c r="AT749" s="259" t="str">
        <f t="shared" si="112"/>
        <v>模鑫</v>
      </c>
      <c r="AU749" s="259" t="str">
        <f t="shared" si="113"/>
        <v>C49SZX20210050SX</v>
      </c>
      <c r="AV749" s="259" t="str">
        <f t="shared" si="114"/>
        <v>Mar-26</v>
      </c>
    </row>
    <row r="750" spans="1:48" hidden="1">
      <c r="A750" s="604">
        <v>738</v>
      </c>
      <c r="B750" s="669" t="s">
        <v>1125</v>
      </c>
      <c r="C750" s="669" t="s">
        <v>281</v>
      </c>
      <c r="D750" s="650">
        <v>110238</v>
      </c>
      <c r="E750" s="568" t="s">
        <v>886</v>
      </c>
      <c r="F750" s="652" t="s">
        <v>17</v>
      </c>
      <c r="G750" s="652" t="s">
        <v>18</v>
      </c>
      <c r="H750" s="652" t="s">
        <v>26</v>
      </c>
      <c r="I750" s="580" t="s">
        <v>130</v>
      </c>
      <c r="J750" s="580">
        <v>1</v>
      </c>
      <c r="K750" s="652" t="s">
        <v>81</v>
      </c>
      <c r="L750" s="662">
        <v>44281</v>
      </c>
      <c r="M750" s="670" t="s">
        <v>906</v>
      </c>
      <c r="N750" s="652" t="s">
        <v>28</v>
      </c>
      <c r="O750" s="580"/>
      <c r="P750" s="670" t="str">
        <f>VLOOKUP(A750,'[1]Raw data'!$B:$BA,23,FALSE)</f>
        <v>JPY</v>
      </c>
      <c r="Q750" s="652" t="str">
        <f>VLOOKUP(A750,'[1]Raw data'!$B:$Z,2,FALSE)</f>
        <v>C49SZX20200093R1SS</v>
      </c>
      <c r="R750" s="652" t="str">
        <f>VLOOKUP(A750,'[1]Raw data'!$B:$Z,3,FALSE)</f>
        <v>弛瑞</v>
      </c>
      <c r="S750" s="652" t="str">
        <f>VLOOKUP(A750,'[1]Raw data'!$B:$Z,4,FALSE)</f>
        <v>YSM10</v>
      </c>
      <c r="T750" s="652" t="str">
        <f>VLOOKUP(A750,'[1]Raw data'!$B:$Z,8,FALSE)</f>
        <v>L-&gt;R</v>
      </c>
      <c r="U750" s="652" t="str">
        <f>VLOOKUP(A750,'[1]Raw data'!$B:$Z,9,FALSE)</f>
        <v>No</v>
      </c>
      <c r="V750" s="572" t="str">
        <f t="shared" si="119"/>
        <v>WRONG</v>
      </c>
      <c r="W750" s="568" t="str">
        <f>VLOOKUP(A750,'[1]Raw data'!$B:$AG,32,FALSE)</f>
        <v>DAP SZ</v>
      </c>
      <c r="X750" s="652">
        <f>VLOOKUP(A750,'[1]Raw data'!$B:$BA,31,FALSE)</f>
        <v>44229</v>
      </c>
      <c r="Y750" s="652" t="str">
        <f>VLOOKUP(A750,'[1]Raw data'!$B:$AS,39,FALSE)</f>
        <v>Yes</v>
      </c>
      <c r="Z750" s="664"/>
      <c r="AA750" s="665"/>
      <c r="AB750" s="666"/>
      <c r="AC750" s="652" t="s">
        <v>1510</v>
      </c>
      <c r="AD750" s="580">
        <v>301</v>
      </c>
      <c r="AE750" s="580">
        <v>10</v>
      </c>
      <c r="AF750" s="580"/>
      <c r="AG750" s="580"/>
      <c r="AH750" s="580"/>
      <c r="AI750" s="684"/>
      <c r="AJ750" s="569"/>
      <c r="AK750" s="569"/>
      <c r="AL750" s="569"/>
      <c r="AM750" s="569"/>
      <c r="AN750" s="619"/>
      <c r="AO750" s="829" t="str">
        <f t="shared" si="107"/>
        <v>Yes</v>
      </c>
      <c r="AP750" s="259" t="str">
        <f t="shared" si="108"/>
        <v>MAR 21</v>
      </c>
      <c r="AQ750" s="547" t="str">
        <f t="shared" si="109"/>
        <v>有定金+有預留客戶</v>
      </c>
      <c r="AR750" s="259" t="str">
        <f t="shared" si="110"/>
        <v>Shipped_Stock</v>
      </c>
      <c r="AS750" s="259" t="str">
        <f t="shared" si="111"/>
        <v/>
      </c>
      <c r="AT750" s="259" t="str">
        <f t="shared" si="112"/>
        <v>弛瑞</v>
      </c>
      <c r="AU750" s="259" t="str">
        <f t="shared" si="113"/>
        <v>C49SZX20200093R1SS</v>
      </c>
      <c r="AV750" s="259" t="str">
        <f t="shared" si="114"/>
        <v>Mar-26</v>
      </c>
    </row>
    <row r="751" spans="1:48" hidden="1">
      <c r="A751" s="564">
        <v>1367</v>
      </c>
      <c r="B751" s="669" t="s">
        <v>1125</v>
      </c>
      <c r="C751" s="669" t="s">
        <v>281</v>
      </c>
      <c r="D751" s="650">
        <v>110238</v>
      </c>
      <c r="E751" s="568" t="s">
        <v>886</v>
      </c>
      <c r="F751" s="652" t="s">
        <v>17</v>
      </c>
      <c r="G751" s="652" t="s">
        <v>18</v>
      </c>
      <c r="H751" s="652" t="s">
        <v>26</v>
      </c>
      <c r="I751" s="580" t="s">
        <v>127</v>
      </c>
      <c r="J751" s="580">
        <v>1</v>
      </c>
      <c r="K751" s="652" t="s">
        <v>81</v>
      </c>
      <c r="L751" s="662">
        <v>44281</v>
      </c>
      <c r="M751" s="670" t="s">
        <v>906</v>
      </c>
      <c r="N751" s="652" t="s">
        <v>110</v>
      </c>
      <c r="O751" s="580"/>
      <c r="P751" s="670" t="str">
        <f>VLOOKUP(A751,'[1]Raw data'!$B:$BA,23,FALSE)</f>
        <v>JPY</v>
      </c>
      <c r="Q751" s="652" t="str">
        <f>VLOOKUP(A751,'[1]Raw data'!$B:$Z,2,FALSE)</f>
        <v>C49SZX20210140DZ</v>
      </c>
      <c r="R751" s="652" t="str">
        <f>VLOOKUP(A751,'[1]Raw data'!$B:$Z,3,FALSE)</f>
        <v>锘铧</v>
      </c>
      <c r="S751" s="652" t="str">
        <f>VLOOKUP(A751,'[1]Raw data'!$B:$Z,4,FALSE)</f>
        <v>YSM10</v>
      </c>
      <c r="T751" s="652" t="str">
        <f>VLOOKUP(A751,'[1]Raw data'!$B:$Z,8,FALSE)</f>
        <v>L-&gt;R</v>
      </c>
      <c r="U751" s="652" t="str">
        <f>VLOOKUP(A751,'[1]Raw data'!$B:$Z,9,FALSE)</f>
        <v>MVC</v>
      </c>
      <c r="V751" s="572" t="str">
        <f t="shared" si="119"/>
        <v>WRONG</v>
      </c>
      <c r="W751" s="568" t="str">
        <f>VLOOKUP(A751,'[1]Raw data'!$B:$AG,32,FALSE)</f>
        <v>DAP GZ</v>
      </c>
      <c r="X751" s="652">
        <f>VLOOKUP(A751,'[1]Raw data'!$B:$BA,31,FALSE)</f>
        <v>44327</v>
      </c>
      <c r="Y751" s="652" t="str">
        <f>VLOOKUP(A751,'[1]Raw data'!$B:$AS,39,FALSE)</f>
        <v>Yes</v>
      </c>
      <c r="Z751" s="664"/>
      <c r="AA751" s="665"/>
      <c r="AB751" s="666"/>
      <c r="AC751" s="568" t="s">
        <v>621</v>
      </c>
      <c r="AD751" s="667">
        <v>301</v>
      </c>
      <c r="AE751" s="667">
        <v>10</v>
      </c>
      <c r="AF751" s="667"/>
      <c r="AG751" s="667"/>
      <c r="AH751" s="667"/>
      <c r="AI751" s="668"/>
      <c r="AN751" s="547"/>
      <c r="AO751" s="829" t="str">
        <f t="shared" si="107"/>
        <v>Yes</v>
      </c>
      <c r="AP751" s="259" t="str">
        <f t="shared" si="108"/>
        <v>MAY 21</v>
      </c>
      <c r="AQ751" s="547" t="str">
        <f t="shared" si="109"/>
        <v>有定金+有預留客戶</v>
      </c>
      <c r="AR751" s="259" t="str">
        <f t="shared" si="110"/>
        <v>Shipped_Stock</v>
      </c>
      <c r="AS751" s="259" t="str">
        <f t="shared" si="111"/>
        <v/>
      </c>
      <c r="AT751" s="259" t="str">
        <f t="shared" si="112"/>
        <v>锘铧</v>
      </c>
      <c r="AU751" s="259" t="str">
        <f t="shared" si="113"/>
        <v>C49SZX20210140DZ</v>
      </c>
      <c r="AV751" s="259" t="str">
        <f t="shared" si="114"/>
        <v>Mar-26</v>
      </c>
    </row>
    <row r="752" spans="1:48" hidden="1">
      <c r="A752" s="721" t="s">
        <v>1511</v>
      </c>
      <c r="B752" s="669" t="s">
        <v>1125</v>
      </c>
      <c r="C752" s="669" t="s">
        <v>281</v>
      </c>
      <c r="D752" s="650">
        <v>110238</v>
      </c>
      <c r="E752" s="568" t="s">
        <v>886</v>
      </c>
      <c r="F752" s="652" t="s">
        <v>17</v>
      </c>
      <c r="G752" s="652" t="s">
        <v>18</v>
      </c>
      <c r="H752" s="652" t="s">
        <v>34</v>
      </c>
      <c r="I752" s="580" t="s">
        <v>1512</v>
      </c>
      <c r="J752" s="580">
        <v>1</v>
      </c>
      <c r="K752" s="652" t="s">
        <v>82</v>
      </c>
      <c r="L752" s="662">
        <v>44281</v>
      </c>
      <c r="M752" s="670" t="s">
        <v>1513</v>
      </c>
      <c r="N752" s="652"/>
      <c r="O752" s="580"/>
      <c r="P752" s="670" t="s">
        <v>1246</v>
      </c>
      <c r="Q752" s="652" t="s">
        <v>1514</v>
      </c>
      <c r="R752" s="730" t="s">
        <v>1515</v>
      </c>
      <c r="S752" s="652" t="s">
        <v>241</v>
      </c>
      <c r="T752" s="652" t="s">
        <v>1516</v>
      </c>
      <c r="U752" s="652" t="s">
        <v>292</v>
      </c>
      <c r="V752" s="572" t="str">
        <f t="shared" si="119"/>
        <v>WRONG</v>
      </c>
      <c r="W752" s="568" t="e">
        <f>VLOOKUP(A752,'[1]Raw data'!$B:$AG,32,FALSE)</f>
        <v>#N/A</v>
      </c>
      <c r="X752" s="652" t="e">
        <f>VLOOKUP(A752,'[1]Raw data'!$B:$BA,31,FALSE)</f>
        <v>#N/A</v>
      </c>
      <c r="Y752" s="652" t="s">
        <v>291</v>
      </c>
      <c r="Z752" s="664"/>
      <c r="AA752" s="665"/>
      <c r="AB752" s="666"/>
      <c r="AC752" s="652" t="s">
        <v>291</v>
      </c>
      <c r="AD752" s="667">
        <v>301</v>
      </c>
      <c r="AE752" s="667">
        <v>10</v>
      </c>
      <c r="AF752" s="667"/>
      <c r="AG752" s="667"/>
      <c r="AH752" s="667"/>
      <c r="AI752" s="668"/>
      <c r="AN752" s="547"/>
      <c r="AO752" s="829" t="str">
        <f t="shared" si="107"/>
        <v>Yes</v>
      </c>
      <c r="AP752" s="259" t="str">
        <f t="shared" si="108"/>
        <v>blank</v>
      </c>
      <c r="AQ752" s="547" t="str">
        <f t="shared" si="109"/>
        <v>有定金+无客戶送貨期</v>
      </c>
      <c r="AR752" s="259" t="str">
        <f t="shared" si="110"/>
        <v>Shipped_Stock</v>
      </c>
      <c r="AS752" s="259" t="str">
        <f t="shared" si="111"/>
        <v/>
      </c>
      <c r="AT752" s="259" t="str">
        <f t="shared" si="112"/>
        <v>上海多越</v>
      </c>
      <c r="AU752" s="259" t="str">
        <f t="shared" si="113"/>
        <v>C49SHA20210326</v>
      </c>
      <c r="AV752" s="259" t="str">
        <f t="shared" si="114"/>
        <v>Mar-26</v>
      </c>
    </row>
    <row r="753" spans="1:48" ht="21.75" hidden="1">
      <c r="A753" s="564">
        <v>1399</v>
      </c>
      <c r="B753" s="669" t="s">
        <v>1125</v>
      </c>
      <c r="C753" s="669" t="s">
        <v>281</v>
      </c>
      <c r="D753" s="650">
        <v>110238</v>
      </c>
      <c r="E753" s="568" t="s">
        <v>886</v>
      </c>
      <c r="F753" s="652" t="s">
        <v>17</v>
      </c>
      <c r="G753" s="652" t="s">
        <v>18</v>
      </c>
      <c r="H753" s="652" t="s">
        <v>34</v>
      </c>
      <c r="I753" s="580" t="s">
        <v>126</v>
      </c>
      <c r="J753" s="580">
        <v>1</v>
      </c>
      <c r="K753" s="652" t="s">
        <v>1419</v>
      </c>
      <c r="L753" s="662">
        <v>44281</v>
      </c>
      <c r="M753" s="683" t="s">
        <v>1517</v>
      </c>
      <c r="N753" s="652" t="s">
        <v>97</v>
      </c>
      <c r="O753" s="580"/>
      <c r="P753" s="670" t="str">
        <f>VLOOKUP(A753,'[1]Raw data'!$B:$BA,23,FALSE)</f>
        <v>JPY</v>
      </c>
      <c r="Q753" s="652" t="str">
        <f>VLOOKUP(A753,'[1]Raw data'!$B:$Z,2,FALSE)</f>
        <v>C49SZX20210144VG</v>
      </c>
      <c r="R753" s="652" t="str">
        <f>VLOOKUP(A753,'[1]Raw data'!$B:$Z,3,FALSE)</f>
        <v>鑫华锋</v>
      </c>
      <c r="S753" s="652" t="str">
        <f>VLOOKUP(A753,'[1]Raw data'!$B:$Z,4,FALSE)</f>
        <v>YSM10</v>
      </c>
      <c r="T753" s="652" t="str">
        <f>VLOOKUP(A753,'[1]Raw data'!$B:$Z,8,FALSE)</f>
        <v>L-&gt;R</v>
      </c>
      <c r="U753" s="652" t="str">
        <f>VLOOKUP(A753,'[1]Raw data'!$B:$Z,9,FALSE)</f>
        <v>MVC+ATS15</v>
      </c>
      <c r="V753" s="572" t="str">
        <f t="shared" si="119"/>
        <v>WRONG</v>
      </c>
      <c r="W753" s="568" t="str">
        <f>VLOOKUP(A753,'[1]Raw data'!$B:$AG,32,FALSE)</f>
        <v>DAP SZ</v>
      </c>
      <c r="X753" s="652">
        <f>VLOOKUP(A753,'[1]Raw data'!$B:$BA,31,FALSE)</f>
        <v>44344</v>
      </c>
      <c r="Y753" s="652" t="str">
        <f>VLOOKUP(A753,'[1]Raw data'!$B:$AS,39,FALSE)</f>
        <v>Yes</v>
      </c>
      <c r="Z753" s="664"/>
      <c r="AA753" s="665"/>
      <c r="AB753" s="666"/>
      <c r="AC753" s="652" t="s">
        <v>1518</v>
      </c>
      <c r="AD753" s="667">
        <v>301</v>
      </c>
      <c r="AE753" s="667">
        <v>10</v>
      </c>
      <c r="AF753" s="667"/>
      <c r="AG753" s="667"/>
      <c r="AH753" s="667"/>
      <c r="AI753" s="668"/>
      <c r="AN753" s="547"/>
      <c r="AO753" s="829" t="str">
        <f t="shared" si="107"/>
        <v>Yes</v>
      </c>
      <c r="AP753" s="259" t="str">
        <f t="shared" si="108"/>
        <v>JUL 21</v>
      </c>
      <c r="AQ753" s="547" t="str">
        <f t="shared" si="109"/>
        <v>有定金+有預留客戶</v>
      </c>
      <c r="AR753" s="259" t="str">
        <f t="shared" si="110"/>
        <v>Shipped_Stock</v>
      </c>
      <c r="AS753" s="259" t="str">
        <f t="shared" si="111"/>
        <v/>
      </c>
      <c r="AT753" s="259" t="str">
        <f t="shared" si="112"/>
        <v>鑫华锋</v>
      </c>
      <c r="AU753" s="259" t="str">
        <f t="shared" si="113"/>
        <v>C49SZX20210144VG</v>
      </c>
      <c r="AV753" s="259" t="str">
        <f t="shared" si="114"/>
        <v>Mar-26</v>
      </c>
    </row>
    <row r="754" spans="1:48" hidden="1">
      <c r="A754" s="564">
        <v>1047</v>
      </c>
      <c r="B754" s="669" t="s">
        <v>1125</v>
      </c>
      <c r="C754" s="669" t="s">
        <v>15</v>
      </c>
      <c r="D754" s="650">
        <v>110153</v>
      </c>
      <c r="E754" s="568" t="s">
        <v>886</v>
      </c>
      <c r="F754" s="652" t="s">
        <v>58</v>
      </c>
      <c r="G754" s="652" t="s">
        <v>24</v>
      </c>
      <c r="H754" s="652" t="s">
        <v>26</v>
      </c>
      <c r="I754" s="580" t="s">
        <v>183</v>
      </c>
      <c r="J754" s="580">
        <v>1</v>
      </c>
      <c r="K754" s="652" t="s">
        <v>81</v>
      </c>
      <c r="L754" s="662">
        <v>44284</v>
      </c>
      <c r="M754" s="670" t="s">
        <v>906</v>
      </c>
      <c r="N754" s="652" t="s">
        <v>90</v>
      </c>
      <c r="O754" s="580"/>
      <c r="P754" s="670" t="str">
        <f>VLOOKUP(A754,'[1]Raw data'!$B:$BA,23,FALSE)</f>
        <v>JPY</v>
      </c>
      <c r="Q754" s="652" t="str">
        <f>VLOOKUP(A754,'[1]Raw data'!$B:$Z,2,FALSE)</f>
        <v>C49SZX20200257JY</v>
      </c>
      <c r="R754" s="652" t="str">
        <f>VLOOKUP(A754,'[1]Raw data'!$B:$Z,3,FALSE)</f>
        <v>精德鸿</v>
      </c>
      <c r="S754" s="652" t="str">
        <f>VLOOKUP(A754,'[1]Raw data'!$B:$Z,4,FALSE)</f>
        <v>YSM20R-2</v>
      </c>
      <c r="T754" s="652" t="str">
        <f>VLOOKUP(A754,'[1]Raw data'!$B:$Z,8,FALSE)</f>
        <v>L-&gt;R</v>
      </c>
      <c r="U754" s="652" t="str">
        <f>VLOOKUP(A754,'[1]Raw data'!$B:$Z,9,FALSE)</f>
        <v>No</v>
      </c>
      <c r="V754" s="572" t="str">
        <f t="shared" si="118"/>
        <v>OK</v>
      </c>
      <c r="W754" s="568" t="str">
        <f>VLOOKUP(A754,'[1]Raw data'!$B:$AG,32,FALSE)</f>
        <v>DAP SZ</v>
      </c>
      <c r="X754" s="652">
        <f>VLOOKUP(A754,'[1]Raw data'!$B:$BA,31,FALSE)</f>
        <v>44193</v>
      </c>
      <c r="Y754" s="652" t="str">
        <f>VLOOKUP(A754,'[1]Raw data'!$B:$AS,39,FALSE)</f>
        <v>Yes</v>
      </c>
      <c r="Z754" s="664"/>
      <c r="AA754" s="665"/>
      <c r="AB754" s="666"/>
      <c r="AC754" s="652" t="s">
        <v>1389</v>
      </c>
      <c r="AD754" s="667">
        <v>301</v>
      </c>
      <c r="AE754" s="667">
        <v>20</v>
      </c>
      <c r="AF754" s="667"/>
      <c r="AG754" s="667"/>
      <c r="AH754" s="667"/>
      <c r="AI754" s="668"/>
      <c r="AN754" s="547"/>
      <c r="AO754" s="829" t="str">
        <f t="shared" si="107"/>
        <v>Yes</v>
      </c>
      <c r="AP754" s="259" t="str">
        <f t="shared" si="108"/>
        <v>APR 21</v>
      </c>
      <c r="AQ754" s="547" t="str">
        <f t="shared" si="109"/>
        <v>有定金+有預留客戶</v>
      </c>
      <c r="AR754" s="259" t="str">
        <f t="shared" si="110"/>
        <v>Shipped_Stock</v>
      </c>
      <c r="AS754" s="259" t="str">
        <f t="shared" si="111"/>
        <v/>
      </c>
      <c r="AT754" s="259" t="str">
        <f t="shared" si="112"/>
        <v>精德鸿</v>
      </c>
      <c r="AU754" s="259" t="str">
        <f t="shared" si="113"/>
        <v>C49SZX20200257JY</v>
      </c>
      <c r="AV754" s="259" t="str">
        <f t="shared" si="114"/>
        <v>Mar-29</v>
      </c>
    </row>
    <row r="755" spans="1:48" hidden="1">
      <c r="A755" s="564">
        <v>1057</v>
      </c>
      <c r="B755" s="669" t="s">
        <v>1125</v>
      </c>
      <c r="C755" s="669" t="s">
        <v>15</v>
      </c>
      <c r="D755" s="650">
        <v>110153</v>
      </c>
      <c r="E755" s="568" t="s">
        <v>886</v>
      </c>
      <c r="F755" s="652" t="s">
        <v>58</v>
      </c>
      <c r="G755" s="652" t="s">
        <v>24</v>
      </c>
      <c r="H755" s="652" t="s">
        <v>26</v>
      </c>
      <c r="I755" s="580" t="s">
        <v>1519</v>
      </c>
      <c r="J755" s="580">
        <v>1</v>
      </c>
      <c r="K755" s="652" t="s">
        <v>81</v>
      </c>
      <c r="L755" s="662">
        <v>44284</v>
      </c>
      <c r="M755" s="670" t="s">
        <v>906</v>
      </c>
      <c r="N755" s="652" t="s">
        <v>90</v>
      </c>
      <c r="O755" s="580"/>
      <c r="P755" s="670" t="str">
        <f>VLOOKUP(A755,'[1]Raw data'!$B:$BA,23,FALSE)</f>
        <v>JPY</v>
      </c>
      <c r="Q755" s="652" t="str">
        <f>VLOOKUP(A755,'[1]Raw data'!$B:$Z,2,FALSE)</f>
        <v>C49SZX20210001SS</v>
      </c>
      <c r="R755" s="652" t="str">
        <f>VLOOKUP(A755,'[1]Raw data'!$B:$Z,3,FALSE)</f>
        <v>乐凡电子</v>
      </c>
      <c r="S755" s="652" t="str">
        <f>VLOOKUP(A755,'[1]Raw data'!$B:$Z,4,FALSE)</f>
        <v>YSM20R-2</v>
      </c>
      <c r="T755" s="652" t="str">
        <f>VLOOKUP(A755,'[1]Raw data'!$B:$Z,8,FALSE)</f>
        <v>L-&gt;R</v>
      </c>
      <c r="U755" s="652" t="str">
        <f>VLOOKUP(A755,'[1]Raw data'!$B:$Z,9,FALSE)</f>
        <v>No</v>
      </c>
      <c r="V755" s="572" t="str">
        <f t="shared" si="118"/>
        <v>OK</v>
      </c>
      <c r="W755" s="568" t="str">
        <f>VLOOKUP(A755,'[1]Raw data'!$B:$AG,32,FALSE)</f>
        <v>DAP SZ</v>
      </c>
      <c r="X755" s="652">
        <f>VLOOKUP(A755,'[1]Raw data'!$B:$BA,31,FALSE)</f>
        <v>44196</v>
      </c>
      <c r="Y755" s="652" t="str">
        <f>VLOOKUP(A755,'[1]Raw data'!$B:$AS,39,FALSE)</f>
        <v>Yes</v>
      </c>
      <c r="Z755" s="664"/>
      <c r="AA755" s="665"/>
      <c r="AB755" s="666"/>
      <c r="AC755" s="652" t="s">
        <v>970</v>
      </c>
      <c r="AD755" s="667">
        <v>301</v>
      </c>
      <c r="AE755" s="667">
        <v>10</v>
      </c>
      <c r="AF755" s="667">
        <v>312</v>
      </c>
      <c r="AG755" s="667">
        <v>10</v>
      </c>
      <c r="AH755" s="667"/>
      <c r="AI755" s="668"/>
      <c r="AN755" s="547"/>
      <c r="AO755" s="829" t="str">
        <f t="shared" si="107"/>
        <v>Yes</v>
      </c>
      <c r="AP755" s="259" t="str">
        <f t="shared" si="108"/>
        <v>APR 21</v>
      </c>
      <c r="AQ755" s="547" t="str">
        <f t="shared" si="109"/>
        <v>有定金+有預留客戶</v>
      </c>
      <c r="AR755" s="259" t="str">
        <f t="shared" si="110"/>
        <v>Shipped_Stock</v>
      </c>
      <c r="AS755" s="259" t="str">
        <f t="shared" si="111"/>
        <v/>
      </c>
      <c r="AT755" s="259" t="str">
        <f t="shared" si="112"/>
        <v>乐凡电子</v>
      </c>
      <c r="AU755" s="259" t="str">
        <f t="shared" si="113"/>
        <v>C49SZX20210001SS</v>
      </c>
      <c r="AV755" s="259" t="str">
        <f t="shared" si="114"/>
        <v>Mar-29</v>
      </c>
    </row>
    <row r="756" spans="1:48" hidden="1">
      <c r="A756" s="564">
        <v>1046</v>
      </c>
      <c r="B756" s="669" t="s">
        <v>1125</v>
      </c>
      <c r="C756" s="669" t="s">
        <v>15</v>
      </c>
      <c r="D756" s="650">
        <v>110153</v>
      </c>
      <c r="E756" s="568" t="s">
        <v>886</v>
      </c>
      <c r="F756" s="652" t="s">
        <v>58</v>
      </c>
      <c r="G756" s="652" t="s">
        <v>24</v>
      </c>
      <c r="H756" s="652" t="s">
        <v>26</v>
      </c>
      <c r="I756" s="580" t="s">
        <v>182</v>
      </c>
      <c r="J756" s="580">
        <v>1</v>
      </c>
      <c r="K756" s="652" t="s">
        <v>81</v>
      </c>
      <c r="L756" s="662">
        <v>44284</v>
      </c>
      <c r="M756" s="670" t="s">
        <v>906</v>
      </c>
      <c r="N756" s="652" t="s">
        <v>90</v>
      </c>
      <c r="O756" s="580"/>
      <c r="P756" s="670" t="str">
        <f>VLOOKUP(A756,'[1]Raw data'!$B:$BA,23,FALSE)</f>
        <v>JPY</v>
      </c>
      <c r="Q756" s="652" t="str">
        <f>VLOOKUP(A756,'[1]Raw data'!$B:$Z,2,FALSE)</f>
        <v>C49SZX20200257JY</v>
      </c>
      <c r="R756" s="652" t="str">
        <f>VLOOKUP(A756,'[1]Raw data'!$B:$Z,3,FALSE)</f>
        <v>精德鸿</v>
      </c>
      <c r="S756" s="652" t="str">
        <f>VLOOKUP(A756,'[1]Raw data'!$B:$Z,4,FALSE)</f>
        <v>YSM20R-2</v>
      </c>
      <c r="T756" s="652" t="str">
        <f>VLOOKUP(A756,'[1]Raw data'!$B:$Z,8,FALSE)</f>
        <v>L-&gt;R</v>
      </c>
      <c r="U756" s="652" t="str">
        <f>VLOOKUP(A756,'[1]Raw data'!$B:$Z,9,FALSE)</f>
        <v>No</v>
      </c>
      <c r="V756" s="572" t="str">
        <f t="shared" ref="V756:V764" si="120">IF(G756&amp;H756=T756&amp;U756,"OK","WRONG")</f>
        <v>OK</v>
      </c>
      <c r="W756" s="568" t="str">
        <f>VLOOKUP(A756,'[1]Raw data'!$B:$AG,32,FALSE)</f>
        <v>DAP SZ</v>
      </c>
      <c r="X756" s="652">
        <f>VLOOKUP(A756,'[1]Raw data'!$B:$BA,31,FALSE)</f>
        <v>44193</v>
      </c>
      <c r="Y756" s="652" t="str">
        <f>VLOOKUP(A756,'[1]Raw data'!$B:$AS,39,FALSE)</f>
        <v>Yes</v>
      </c>
      <c r="Z756" s="664"/>
      <c r="AA756" s="665"/>
      <c r="AB756" s="666"/>
      <c r="AC756" s="652" t="s">
        <v>1389</v>
      </c>
      <c r="AD756" s="667">
        <v>301</v>
      </c>
      <c r="AE756" s="667">
        <v>10</v>
      </c>
      <c r="AF756" s="667">
        <v>312</v>
      </c>
      <c r="AG756" s="667">
        <v>10</v>
      </c>
      <c r="AH756" s="667"/>
      <c r="AI756" s="668"/>
      <c r="AN756" s="547"/>
      <c r="AO756" s="829" t="str">
        <f t="shared" si="107"/>
        <v>Yes</v>
      </c>
      <c r="AP756" s="259" t="str">
        <f t="shared" si="108"/>
        <v>APR 21</v>
      </c>
      <c r="AQ756" s="547" t="str">
        <f t="shared" si="109"/>
        <v>有定金+有預留客戶</v>
      </c>
      <c r="AR756" s="259" t="str">
        <f t="shared" si="110"/>
        <v>Shipped_Stock</v>
      </c>
      <c r="AS756" s="259" t="str">
        <f t="shared" si="111"/>
        <v/>
      </c>
      <c r="AT756" s="259" t="str">
        <f t="shared" si="112"/>
        <v>精德鸿</v>
      </c>
      <c r="AU756" s="259" t="str">
        <f t="shared" si="113"/>
        <v>C49SZX20200257JY</v>
      </c>
      <c r="AV756" s="259" t="str">
        <f t="shared" si="114"/>
        <v>Mar-29</v>
      </c>
    </row>
    <row r="757" spans="1:48" hidden="1">
      <c r="A757" s="564">
        <v>1168</v>
      </c>
      <c r="B757" s="669" t="s">
        <v>1125</v>
      </c>
      <c r="C757" s="669" t="s">
        <v>15</v>
      </c>
      <c r="D757" s="650">
        <v>110153</v>
      </c>
      <c r="E757" s="568" t="s">
        <v>886</v>
      </c>
      <c r="F757" s="652" t="s">
        <v>58</v>
      </c>
      <c r="G757" s="652" t="s">
        <v>24</v>
      </c>
      <c r="H757" s="652" t="s">
        <v>26</v>
      </c>
      <c r="I757" s="580" t="s">
        <v>1520</v>
      </c>
      <c r="J757" s="580">
        <v>1</v>
      </c>
      <c r="K757" s="652" t="s">
        <v>81</v>
      </c>
      <c r="L757" s="662">
        <v>44284</v>
      </c>
      <c r="M757" s="670" t="s">
        <v>906</v>
      </c>
      <c r="N757" s="652" t="s">
        <v>90</v>
      </c>
      <c r="O757" s="580"/>
      <c r="P757" s="670" t="str">
        <f>VLOOKUP(A757,'[1]Raw data'!$B:$BA,23,FALSE)</f>
        <v>JPY</v>
      </c>
      <c r="Q757" s="652" t="str">
        <f>VLOOKUP(A757,'[1]Raw data'!$B:$Z,2,FALSE)</f>
        <v>C49SZX20210049MX</v>
      </c>
      <c r="R757" s="652" t="str">
        <f>VLOOKUP(A757,'[1]Raw data'!$B:$Z,3,FALSE)</f>
        <v>智序</v>
      </c>
      <c r="S757" s="652" t="str">
        <f>VLOOKUP(A757,'[1]Raw data'!$B:$Z,4,FALSE)</f>
        <v>YSM20R-2</v>
      </c>
      <c r="T757" s="652" t="str">
        <f>VLOOKUP(A757,'[1]Raw data'!$B:$Z,8,FALSE)</f>
        <v>L-&gt;R</v>
      </c>
      <c r="U757" s="652" t="str">
        <f>VLOOKUP(A757,'[1]Raw data'!$B:$Z,9,FALSE)</f>
        <v>No</v>
      </c>
      <c r="V757" s="572" t="str">
        <f t="shared" si="120"/>
        <v>OK</v>
      </c>
      <c r="W757" s="568" t="str">
        <f>VLOOKUP(A757,'[1]Raw data'!$B:$AG,32,FALSE)</f>
        <v>DAP SZ</v>
      </c>
      <c r="X757" s="652">
        <f>VLOOKUP(A757,'[1]Raw data'!$B:$BA,31,FALSE)</f>
        <v>44256</v>
      </c>
      <c r="Y757" s="652" t="str">
        <f>VLOOKUP(A757,'[1]Raw data'!$B:$AS,39,FALSE)</f>
        <v>Yes</v>
      </c>
      <c r="Z757" s="664"/>
      <c r="AA757" s="665"/>
      <c r="AB757" s="666"/>
      <c r="AC757" s="652" t="s">
        <v>1521</v>
      </c>
      <c r="AD757" s="667">
        <v>301</v>
      </c>
      <c r="AE757" s="667">
        <v>10</v>
      </c>
      <c r="AF757" s="667">
        <v>312</v>
      </c>
      <c r="AG757" s="667">
        <v>10</v>
      </c>
      <c r="AH757" s="667"/>
      <c r="AI757" s="668"/>
      <c r="AN757" s="547"/>
      <c r="AO757" s="829" t="str">
        <f t="shared" si="107"/>
        <v>Yes</v>
      </c>
      <c r="AP757" s="259" t="str">
        <f t="shared" si="108"/>
        <v>APR 21</v>
      </c>
      <c r="AQ757" s="547" t="str">
        <f t="shared" si="109"/>
        <v>有定金+有預留客戶</v>
      </c>
      <c r="AR757" s="259" t="str">
        <f t="shared" si="110"/>
        <v>Shipped_Stock</v>
      </c>
      <c r="AS757" s="259" t="str">
        <f t="shared" si="111"/>
        <v/>
      </c>
      <c r="AT757" s="259" t="str">
        <f t="shared" si="112"/>
        <v>智序</v>
      </c>
      <c r="AU757" s="259" t="str">
        <f t="shared" si="113"/>
        <v>C49SZX20210049MX</v>
      </c>
      <c r="AV757" s="259" t="str">
        <f t="shared" si="114"/>
        <v>Mar-29</v>
      </c>
    </row>
    <row r="758" spans="1:48" hidden="1">
      <c r="A758" s="564">
        <v>1018</v>
      </c>
      <c r="B758" s="669" t="s">
        <v>1125</v>
      </c>
      <c r="C758" s="669" t="s">
        <v>15</v>
      </c>
      <c r="D758" s="650">
        <v>110153</v>
      </c>
      <c r="E758" s="568" t="s">
        <v>886</v>
      </c>
      <c r="F758" s="652" t="s">
        <v>58</v>
      </c>
      <c r="G758" s="652" t="s">
        <v>24</v>
      </c>
      <c r="H758" s="652" t="s">
        <v>26</v>
      </c>
      <c r="I758" s="580" t="s">
        <v>179</v>
      </c>
      <c r="J758" s="580">
        <v>1</v>
      </c>
      <c r="K758" s="652" t="s">
        <v>81</v>
      </c>
      <c r="L758" s="662">
        <v>44284</v>
      </c>
      <c r="M758" s="670" t="s">
        <v>906</v>
      </c>
      <c r="N758" s="652" t="s">
        <v>90</v>
      </c>
      <c r="O758" s="580"/>
      <c r="P758" s="670" t="str">
        <f>VLOOKUP(A758,'[1]Raw data'!$B:$BA,23,FALSE)</f>
        <v>JPY</v>
      </c>
      <c r="Q758" s="652" t="str">
        <f>VLOOKUP(A758,'[1]Raw data'!$B:$Z,2,FALSE)</f>
        <v>C49SZX20200240MZ</v>
      </c>
      <c r="R758" s="652" t="str">
        <f>VLOOKUP(A758,'[1]Raw data'!$B:$Z,3,FALSE)</f>
        <v>鑫金鸿</v>
      </c>
      <c r="S758" s="652" t="str">
        <f>VLOOKUP(A758,'[1]Raw data'!$B:$Z,4,FALSE)</f>
        <v>YSM20R-2</v>
      </c>
      <c r="T758" s="652" t="str">
        <f>VLOOKUP(A758,'[1]Raw data'!$B:$Z,8,FALSE)</f>
        <v>L-&gt;R</v>
      </c>
      <c r="U758" s="652" t="str">
        <f>VLOOKUP(A758,'[1]Raw data'!$B:$Z,9,FALSE)</f>
        <v>No</v>
      </c>
      <c r="V758" s="572" t="str">
        <f t="shared" si="120"/>
        <v>OK</v>
      </c>
      <c r="W758" s="568" t="str">
        <f>VLOOKUP(A758,'[1]Raw data'!$B:$AG,32,FALSE)</f>
        <v>DAP SZ</v>
      </c>
      <c r="X758" s="652">
        <f>VLOOKUP(A758,'[1]Raw data'!$B:$BA,31,FALSE)</f>
        <v>44174</v>
      </c>
      <c r="Y758" s="652" t="str">
        <f>VLOOKUP(A758,'[1]Raw data'!$B:$AS,39,FALSE)</f>
        <v>Yes</v>
      </c>
      <c r="Z758" s="664"/>
      <c r="AA758" s="665"/>
      <c r="AB758" s="666"/>
      <c r="AC758" s="652" t="s">
        <v>1522</v>
      </c>
      <c r="AD758" s="667">
        <v>301</v>
      </c>
      <c r="AE758" s="667">
        <v>10</v>
      </c>
      <c r="AF758" s="667">
        <v>312</v>
      </c>
      <c r="AG758" s="667">
        <v>10</v>
      </c>
      <c r="AH758" s="667"/>
      <c r="AI758" s="668"/>
      <c r="AN758" s="547"/>
      <c r="AO758" s="829" t="str">
        <f t="shared" si="107"/>
        <v>Yes</v>
      </c>
      <c r="AP758" s="259" t="str">
        <f t="shared" si="108"/>
        <v>APR 21</v>
      </c>
      <c r="AQ758" s="547" t="str">
        <f t="shared" si="109"/>
        <v>有定金+有預留客戶</v>
      </c>
      <c r="AR758" s="259" t="str">
        <f t="shared" si="110"/>
        <v>Shipped_Stock</v>
      </c>
      <c r="AS758" s="259" t="str">
        <f t="shared" si="111"/>
        <v/>
      </c>
      <c r="AT758" s="259" t="str">
        <f t="shared" si="112"/>
        <v>鑫金鸿</v>
      </c>
      <c r="AU758" s="259" t="str">
        <f t="shared" si="113"/>
        <v>C49SZX20200240MZ</v>
      </c>
      <c r="AV758" s="259" t="str">
        <f t="shared" si="114"/>
        <v>Mar-29</v>
      </c>
    </row>
    <row r="759" spans="1:48" hidden="1">
      <c r="A759" s="564">
        <v>1141</v>
      </c>
      <c r="B759" s="669" t="s">
        <v>1125</v>
      </c>
      <c r="C759" s="669" t="s">
        <v>281</v>
      </c>
      <c r="D759" s="650">
        <v>110212</v>
      </c>
      <c r="E759" s="568" t="s">
        <v>886</v>
      </c>
      <c r="F759" s="652" t="s">
        <v>58</v>
      </c>
      <c r="G759" s="652" t="s">
        <v>18</v>
      </c>
      <c r="H759" s="652" t="s">
        <v>307</v>
      </c>
      <c r="I759" s="580" t="s">
        <v>178</v>
      </c>
      <c r="J759" s="580">
        <v>1</v>
      </c>
      <c r="K759" s="652" t="s">
        <v>81</v>
      </c>
      <c r="L759" s="662">
        <v>44284</v>
      </c>
      <c r="M759" s="670" t="s">
        <v>906</v>
      </c>
      <c r="N759" s="652" t="s">
        <v>90</v>
      </c>
      <c r="O759" s="580"/>
      <c r="P759" s="670" t="str">
        <f>VLOOKUP(A759,'[1]Raw data'!$B:$BA,23,FALSE)</f>
        <v>JPY</v>
      </c>
      <c r="Q759" s="652" t="str">
        <f>VLOOKUP(A759,'[1]Raw data'!$B:$Z,2,FALSE)</f>
        <v>C49SZX20210050SX</v>
      </c>
      <c r="R759" s="652" t="str">
        <f>VLOOKUP(A759,'[1]Raw data'!$B:$Z,3,FALSE)</f>
        <v>模鑫</v>
      </c>
      <c r="S759" s="652" t="str">
        <f>VLOOKUP(A759,'[1]Raw data'!$B:$Z,4,FALSE)</f>
        <v>YSM20R-2</v>
      </c>
      <c r="T759" s="652" t="str">
        <f>VLOOKUP(A759,'[1]Raw data'!$B:$Z,8,FALSE)</f>
        <v>R-&gt;L</v>
      </c>
      <c r="U759" s="652" t="str">
        <f>VLOOKUP(A759,'[1]Raw data'!$B:$Z,9,FALSE)</f>
        <v>No</v>
      </c>
      <c r="V759" s="572" t="str">
        <f t="shared" si="120"/>
        <v>OK</v>
      </c>
      <c r="W759" s="568" t="str">
        <f>VLOOKUP(A759,'[1]Raw data'!$B:$AG,32,FALSE)</f>
        <v>DAP SZ</v>
      </c>
      <c r="X759" s="652">
        <f>VLOOKUP(A759,'[1]Raw data'!$B:$BA,31,FALSE)</f>
        <v>44234</v>
      </c>
      <c r="Y759" s="652" t="str">
        <f>VLOOKUP(A759,'[1]Raw data'!$B:$AS,39,FALSE)</f>
        <v>Yes</v>
      </c>
      <c r="Z759" s="664"/>
      <c r="AA759" s="665"/>
      <c r="AB759" s="666"/>
      <c r="AC759" s="652" t="s">
        <v>1367</v>
      </c>
      <c r="AD759" s="667">
        <v>301</v>
      </c>
      <c r="AE759" s="667">
        <v>10</v>
      </c>
      <c r="AF759" s="667">
        <v>311</v>
      </c>
      <c r="AG759" s="667">
        <v>10</v>
      </c>
      <c r="AH759" s="667"/>
      <c r="AI759" s="668"/>
      <c r="AN759" s="547"/>
      <c r="AO759" s="829" t="str">
        <f t="shared" si="107"/>
        <v>Yes</v>
      </c>
      <c r="AP759" s="259" t="str">
        <f t="shared" si="108"/>
        <v>APR 21</v>
      </c>
      <c r="AQ759" s="547" t="str">
        <f t="shared" si="109"/>
        <v>有定金+有預留客戶</v>
      </c>
      <c r="AR759" s="259" t="str">
        <f t="shared" si="110"/>
        <v>Shipped_Stock</v>
      </c>
      <c r="AS759" s="259" t="str">
        <f t="shared" si="111"/>
        <v/>
      </c>
      <c r="AT759" s="259" t="str">
        <f t="shared" si="112"/>
        <v>模鑫</v>
      </c>
      <c r="AU759" s="259" t="str">
        <f t="shared" si="113"/>
        <v>C49SZX20210050SX</v>
      </c>
      <c r="AV759" s="259" t="str">
        <f t="shared" si="114"/>
        <v>Mar-29</v>
      </c>
    </row>
    <row r="760" spans="1:48" hidden="1">
      <c r="A760" s="564">
        <v>1044</v>
      </c>
      <c r="B760" s="669" t="s">
        <v>1125</v>
      </c>
      <c r="C760" s="669" t="s">
        <v>281</v>
      </c>
      <c r="D760" s="650">
        <v>110212</v>
      </c>
      <c r="E760" s="568" t="s">
        <v>886</v>
      </c>
      <c r="F760" s="652" t="s">
        <v>58</v>
      </c>
      <c r="G760" s="652" t="s">
        <v>18</v>
      </c>
      <c r="H760" s="652" t="s">
        <v>307</v>
      </c>
      <c r="I760" s="580" t="s">
        <v>1523</v>
      </c>
      <c r="J760" s="580">
        <v>1</v>
      </c>
      <c r="K760" s="652" t="s">
        <v>82</v>
      </c>
      <c r="L760" s="662">
        <v>44284</v>
      </c>
      <c r="M760" s="670" t="s">
        <v>906</v>
      </c>
      <c r="N760" s="652" t="s">
        <v>90</v>
      </c>
      <c r="O760" s="580"/>
      <c r="P760" s="670" t="str">
        <f>VLOOKUP(A760,'[1]Raw data'!$B:$BA,23,FALSE)</f>
        <v>JPY</v>
      </c>
      <c r="Q760" s="652" t="str">
        <f>VLOOKUP(A760,'[1]Raw data'!$B:$Z,2,FALSE)</f>
        <v>C49SZX20200249SX</v>
      </c>
      <c r="R760" s="652" t="str">
        <f>VLOOKUP(A760,'[1]Raw data'!$B:$Z,3,FALSE)</f>
        <v>凌鑫</v>
      </c>
      <c r="S760" s="652" t="str">
        <f>VLOOKUP(A760,'[1]Raw data'!$B:$Z,4,FALSE)</f>
        <v>YSM20R-2</v>
      </c>
      <c r="T760" s="652" t="str">
        <f>VLOOKUP(A760,'[1]Raw data'!$B:$Z,8,FALSE)</f>
        <v>R-&gt;L</v>
      </c>
      <c r="U760" s="652" t="str">
        <f>VLOOKUP(A760,'[1]Raw data'!$B:$Z,9,FALSE)</f>
        <v>No</v>
      </c>
      <c r="V760" s="572" t="str">
        <f t="shared" si="120"/>
        <v>OK</v>
      </c>
      <c r="W760" s="568" t="str">
        <f>VLOOKUP(A760,'[1]Raw data'!$B:$AG,32,FALSE)</f>
        <v>DAP SZ</v>
      </c>
      <c r="X760" s="652">
        <f>VLOOKUP(A760,'[1]Raw data'!$B:$BA,31,FALSE)</f>
        <v>44190</v>
      </c>
      <c r="Y760" s="652" t="str">
        <f>VLOOKUP(A760,'[1]Raw data'!$B:$AS,39,FALSE)</f>
        <v>Yes</v>
      </c>
      <c r="Z760" s="664"/>
      <c r="AA760" s="665"/>
      <c r="AB760" s="666"/>
      <c r="AC760" s="652" t="s">
        <v>1204</v>
      </c>
      <c r="AD760" s="667">
        <v>301</v>
      </c>
      <c r="AE760" s="667">
        <v>10</v>
      </c>
      <c r="AF760" s="667">
        <v>311</v>
      </c>
      <c r="AG760" s="667">
        <v>10</v>
      </c>
      <c r="AH760" s="667"/>
      <c r="AI760" s="668"/>
      <c r="AN760" s="547"/>
      <c r="AO760" s="829" t="str">
        <f t="shared" si="107"/>
        <v>Yes</v>
      </c>
      <c r="AP760" s="259" t="str">
        <f t="shared" si="108"/>
        <v>APR 21</v>
      </c>
      <c r="AQ760" s="547" t="str">
        <f t="shared" si="109"/>
        <v>有定金+有預留客戶</v>
      </c>
      <c r="AR760" s="259" t="str">
        <f t="shared" si="110"/>
        <v>Shipped_Stock</v>
      </c>
      <c r="AS760" s="259" t="str">
        <f t="shared" si="111"/>
        <v/>
      </c>
      <c r="AT760" s="259" t="str">
        <f t="shared" si="112"/>
        <v>凌鑫</v>
      </c>
      <c r="AU760" s="259" t="str">
        <f t="shared" si="113"/>
        <v>C49SZX20200249SX</v>
      </c>
      <c r="AV760" s="259" t="str">
        <f t="shared" si="114"/>
        <v>Mar-29</v>
      </c>
    </row>
    <row r="761" spans="1:48" hidden="1">
      <c r="A761" s="564">
        <v>1140</v>
      </c>
      <c r="B761" s="669" t="s">
        <v>1125</v>
      </c>
      <c r="C761" s="669" t="s">
        <v>281</v>
      </c>
      <c r="D761" s="650">
        <v>110212</v>
      </c>
      <c r="E761" s="568" t="s">
        <v>886</v>
      </c>
      <c r="F761" s="652" t="s">
        <v>58</v>
      </c>
      <c r="G761" s="652" t="s">
        <v>24</v>
      </c>
      <c r="H761" s="652" t="s">
        <v>176</v>
      </c>
      <c r="I761" s="580" t="s">
        <v>1524</v>
      </c>
      <c r="J761" s="580">
        <v>1</v>
      </c>
      <c r="K761" s="652" t="s">
        <v>81</v>
      </c>
      <c r="L761" s="662">
        <v>44284</v>
      </c>
      <c r="M761" s="670" t="s">
        <v>906</v>
      </c>
      <c r="N761" s="652" t="s">
        <v>90</v>
      </c>
      <c r="O761" s="580"/>
      <c r="P761" s="670" t="str">
        <f>VLOOKUP(A761,'[1]Raw data'!$B:$BA,23,FALSE)</f>
        <v>JPY</v>
      </c>
      <c r="Q761" s="652" t="str">
        <f>VLOOKUP(A761,'[1]Raw data'!$B:$Z,2,FALSE)</f>
        <v>C49SZX20210126DZ</v>
      </c>
      <c r="R761" s="652" t="str">
        <f>VLOOKUP(A761,'[1]Raw data'!$B:$Z,3,FALSE)</f>
        <v>名商</v>
      </c>
      <c r="S761" s="652" t="str">
        <f>VLOOKUP(A761,'[1]Raw data'!$B:$Z,4,FALSE)</f>
        <v>YSM20R-2</v>
      </c>
      <c r="T761" s="652" t="str">
        <f>VLOOKUP(A761,'[1]Raw data'!$B:$Z,8,FALSE)</f>
        <v>L-&gt;R</v>
      </c>
      <c r="U761" s="652" t="str">
        <f>VLOOKUP(A761,'[1]Raw data'!$B:$Z,9,FALSE)</f>
        <v>cATS10+MVC+special layout</v>
      </c>
      <c r="V761" s="572" t="str">
        <f t="shared" si="120"/>
        <v>WRONG</v>
      </c>
      <c r="W761" s="568" t="str">
        <f>VLOOKUP(A761,'[1]Raw data'!$B:$AG,32,FALSE)</f>
        <v>CIF HK</v>
      </c>
      <c r="X761" s="652">
        <f>VLOOKUP(A761,'[1]Raw data'!$B:$BA,31,FALSE)</f>
        <v>44233</v>
      </c>
      <c r="Y761" s="652" t="str">
        <f>VLOOKUP(A761,'[1]Raw data'!$B:$AS,39,FALSE)</f>
        <v>Yes</v>
      </c>
      <c r="Z761" s="664"/>
      <c r="AA761" s="665"/>
      <c r="AB761" s="666"/>
      <c r="AC761" s="652" t="s">
        <v>1525</v>
      </c>
      <c r="AD761" s="667">
        <v>301</v>
      </c>
      <c r="AE761" s="667">
        <v>10</v>
      </c>
      <c r="AF761" s="667">
        <v>303</v>
      </c>
      <c r="AG761" s="667">
        <v>10</v>
      </c>
      <c r="AH761" s="667"/>
      <c r="AI761" s="668"/>
      <c r="AN761" s="547"/>
      <c r="AO761" s="829" t="str">
        <f t="shared" si="107"/>
        <v>Yes</v>
      </c>
      <c r="AP761" s="259" t="str">
        <f t="shared" si="108"/>
        <v>APR 21</v>
      </c>
      <c r="AQ761" s="547" t="str">
        <f t="shared" si="109"/>
        <v>有定金+有預留客戶</v>
      </c>
      <c r="AR761" s="259" t="str">
        <f t="shared" si="110"/>
        <v>Shipped_Stock</v>
      </c>
      <c r="AS761" s="259" t="str">
        <f t="shared" si="111"/>
        <v/>
      </c>
      <c r="AT761" s="259" t="str">
        <f t="shared" si="112"/>
        <v>名商</v>
      </c>
      <c r="AU761" s="259" t="str">
        <f t="shared" si="113"/>
        <v>C49SZX20210126DZ</v>
      </c>
      <c r="AV761" s="259" t="str">
        <f t="shared" si="114"/>
        <v>Mar-29</v>
      </c>
    </row>
    <row r="762" spans="1:48" ht="13.5" hidden="1" customHeight="1">
      <c r="A762" s="564">
        <v>1167</v>
      </c>
      <c r="B762" s="669" t="s">
        <v>1125</v>
      </c>
      <c r="C762" s="669" t="s">
        <v>281</v>
      </c>
      <c r="D762" s="650">
        <v>110212</v>
      </c>
      <c r="E762" s="568" t="s">
        <v>886</v>
      </c>
      <c r="F762" s="652" t="s">
        <v>58</v>
      </c>
      <c r="G762" s="652" t="s">
        <v>24</v>
      </c>
      <c r="H762" s="652" t="s">
        <v>307</v>
      </c>
      <c r="I762" s="580" t="s">
        <v>1526</v>
      </c>
      <c r="J762" s="580">
        <v>1</v>
      </c>
      <c r="K762" s="652" t="s">
        <v>81</v>
      </c>
      <c r="L762" s="662">
        <v>44284</v>
      </c>
      <c r="M762" s="670" t="s">
        <v>906</v>
      </c>
      <c r="N762" s="652" t="s">
        <v>90</v>
      </c>
      <c r="O762" s="580"/>
      <c r="P762" s="670" t="str">
        <f>VLOOKUP(A762,'[1]Raw data'!$B:$BA,23,FALSE)</f>
        <v>JPY</v>
      </c>
      <c r="Q762" s="652" t="str">
        <f>VLOOKUP(A762,'[1]Raw data'!$B:$Z,2,FALSE)</f>
        <v>C49SZX20210049MX</v>
      </c>
      <c r="R762" s="652" t="str">
        <f>VLOOKUP(A762,'[1]Raw data'!$B:$Z,3,FALSE)</f>
        <v>智序</v>
      </c>
      <c r="S762" s="652" t="str">
        <f>VLOOKUP(A762,'[1]Raw data'!$B:$Z,4,FALSE)</f>
        <v>YSM20R-2</v>
      </c>
      <c r="T762" s="652" t="str">
        <f>VLOOKUP(A762,'[1]Raw data'!$B:$Z,8,FALSE)</f>
        <v>L-&gt;R</v>
      </c>
      <c r="U762" s="652" t="str">
        <f>VLOOKUP(A762,'[1]Raw data'!$B:$Z,9,FALSE)</f>
        <v>No</v>
      </c>
      <c r="V762" s="572" t="str">
        <f t="shared" si="120"/>
        <v>OK</v>
      </c>
      <c r="W762" s="568" t="str">
        <f>VLOOKUP(A762,'[1]Raw data'!$B:$AG,32,FALSE)</f>
        <v>DAP SZ</v>
      </c>
      <c r="X762" s="652">
        <f>VLOOKUP(A762,'[1]Raw data'!$B:$BA,31,FALSE)</f>
        <v>44256</v>
      </c>
      <c r="Y762" s="652" t="str">
        <f>VLOOKUP(A762,'[1]Raw data'!$B:$AS,39,FALSE)</f>
        <v>Yes</v>
      </c>
      <c r="Z762" s="664"/>
      <c r="AA762" s="665"/>
      <c r="AB762" s="666"/>
      <c r="AC762" s="652" t="s">
        <v>1521</v>
      </c>
      <c r="AD762" s="667">
        <v>301</v>
      </c>
      <c r="AE762" s="667">
        <v>10</v>
      </c>
      <c r="AF762" s="667">
        <v>311</v>
      </c>
      <c r="AG762" s="667">
        <v>10</v>
      </c>
      <c r="AH762" s="667"/>
      <c r="AI762" s="668"/>
      <c r="AN762" s="547"/>
      <c r="AO762" s="829" t="str">
        <f t="shared" si="107"/>
        <v>Yes</v>
      </c>
      <c r="AP762" s="259" t="str">
        <f t="shared" si="108"/>
        <v>APR 21</v>
      </c>
      <c r="AQ762" s="547" t="str">
        <f t="shared" si="109"/>
        <v>有定金+有預留客戶</v>
      </c>
      <c r="AR762" s="259" t="str">
        <f t="shared" si="110"/>
        <v>Shipped_Stock</v>
      </c>
      <c r="AS762" s="259" t="str">
        <f t="shared" si="111"/>
        <v/>
      </c>
      <c r="AT762" s="259" t="str">
        <f t="shared" si="112"/>
        <v>智序</v>
      </c>
      <c r="AU762" s="259" t="str">
        <f t="shared" si="113"/>
        <v>C49SZX20210049MX</v>
      </c>
      <c r="AV762" s="259" t="str">
        <f t="shared" si="114"/>
        <v>Mar-29</v>
      </c>
    </row>
    <row r="763" spans="1:48" hidden="1">
      <c r="A763" s="564">
        <v>1173</v>
      </c>
      <c r="B763" s="669" t="s">
        <v>1125</v>
      </c>
      <c r="C763" s="669" t="s">
        <v>281</v>
      </c>
      <c r="D763" s="650">
        <v>110212</v>
      </c>
      <c r="E763" s="568" t="s">
        <v>886</v>
      </c>
      <c r="F763" s="652" t="s">
        <v>58</v>
      </c>
      <c r="G763" s="652" t="s">
        <v>24</v>
      </c>
      <c r="H763" s="652" t="s">
        <v>307</v>
      </c>
      <c r="I763" s="580" t="s">
        <v>174</v>
      </c>
      <c r="J763" s="580">
        <v>1</v>
      </c>
      <c r="K763" s="652" t="s">
        <v>81</v>
      </c>
      <c r="L763" s="662">
        <v>44284</v>
      </c>
      <c r="M763" s="670" t="s">
        <v>906</v>
      </c>
      <c r="N763" s="652" t="s">
        <v>90</v>
      </c>
      <c r="O763" s="580"/>
      <c r="P763" s="670" t="str">
        <f>VLOOKUP(A763,'[1]Raw data'!$B:$BA,23,FALSE)</f>
        <v>JPY</v>
      </c>
      <c r="Q763" s="652" t="str">
        <f>VLOOKUP(A763,'[1]Raw data'!$B:$Z,2,FALSE)</f>
        <v>C49SZX20210049MX</v>
      </c>
      <c r="R763" s="652" t="str">
        <f>VLOOKUP(A763,'[1]Raw data'!$B:$Z,3,FALSE)</f>
        <v>智序</v>
      </c>
      <c r="S763" s="652" t="str">
        <f>VLOOKUP(A763,'[1]Raw data'!$B:$Z,4,FALSE)</f>
        <v>YSM20R-2</v>
      </c>
      <c r="T763" s="652" t="str">
        <f>VLOOKUP(A763,'[1]Raw data'!$B:$Z,8,FALSE)</f>
        <v>L-&gt;R</v>
      </c>
      <c r="U763" s="652" t="str">
        <f>VLOOKUP(A763,'[1]Raw data'!$B:$Z,9,FALSE)</f>
        <v>No</v>
      </c>
      <c r="V763" s="572" t="str">
        <f t="shared" si="120"/>
        <v>OK</v>
      </c>
      <c r="W763" s="568" t="str">
        <f>VLOOKUP(A763,'[1]Raw data'!$B:$AG,32,FALSE)</f>
        <v>DAP SZ</v>
      </c>
      <c r="X763" s="652">
        <f>VLOOKUP(A763,'[1]Raw data'!$B:$BA,31,FALSE)</f>
        <v>44256</v>
      </c>
      <c r="Y763" s="652" t="str">
        <f>VLOOKUP(A763,'[1]Raw data'!$B:$AS,39,FALSE)</f>
        <v>Yes</v>
      </c>
      <c r="Z763" s="664"/>
      <c r="AA763" s="665"/>
      <c r="AB763" s="666"/>
      <c r="AC763" s="652" t="s">
        <v>1521</v>
      </c>
      <c r="AD763" s="667">
        <v>301</v>
      </c>
      <c r="AE763" s="667">
        <v>10</v>
      </c>
      <c r="AF763" s="667">
        <v>311</v>
      </c>
      <c r="AG763" s="667">
        <v>10</v>
      </c>
      <c r="AH763" s="667"/>
      <c r="AI763" s="668"/>
      <c r="AN763" s="547"/>
      <c r="AO763" s="829" t="str">
        <f t="shared" si="107"/>
        <v>Yes</v>
      </c>
      <c r="AP763" s="259" t="str">
        <f t="shared" si="108"/>
        <v>APR 21</v>
      </c>
      <c r="AQ763" s="547" t="str">
        <f t="shared" si="109"/>
        <v>有定金+有預留客戶</v>
      </c>
      <c r="AR763" s="259" t="str">
        <f t="shared" si="110"/>
        <v>Shipped_Stock</v>
      </c>
      <c r="AS763" s="259" t="str">
        <f t="shared" si="111"/>
        <v/>
      </c>
      <c r="AT763" s="259" t="str">
        <f t="shared" si="112"/>
        <v>智序</v>
      </c>
      <c r="AU763" s="259" t="str">
        <f t="shared" si="113"/>
        <v>C49SZX20210049MX</v>
      </c>
      <c r="AV763" s="259" t="str">
        <f t="shared" si="114"/>
        <v>Mar-29</v>
      </c>
    </row>
    <row r="764" spans="1:48" hidden="1">
      <c r="A764" s="564">
        <v>1279</v>
      </c>
      <c r="B764" s="669" t="s">
        <v>1125</v>
      </c>
      <c r="C764" s="669" t="s">
        <v>281</v>
      </c>
      <c r="D764" s="650">
        <v>110212</v>
      </c>
      <c r="E764" s="568" t="s">
        <v>886</v>
      </c>
      <c r="F764" s="652" t="s">
        <v>58</v>
      </c>
      <c r="G764" s="652" t="s">
        <v>24</v>
      </c>
      <c r="H764" s="652" t="s">
        <v>307</v>
      </c>
      <c r="I764" s="580" t="s">
        <v>1527</v>
      </c>
      <c r="J764" s="580">
        <v>1</v>
      </c>
      <c r="K764" s="652" t="s">
        <v>82</v>
      </c>
      <c r="L764" s="662">
        <v>44284</v>
      </c>
      <c r="M764" s="670" t="s">
        <v>906</v>
      </c>
      <c r="N764" s="652" t="s">
        <v>90</v>
      </c>
      <c r="O764" s="580"/>
      <c r="P764" s="670" t="str">
        <f>VLOOKUP(A764,'[1]Raw data'!$B:$BA,23,FALSE)</f>
        <v>JPY</v>
      </c>
      <c r="Q764" s="652" t="str">
        <f>VLOOKUP(A764,'[1]Raw data'!$B:$Z,2,FALSE)</f>
        <v>C49SZX20210077JY</v>
      </c>
      <c r="R764" s="652" t="str">
        <f>VLOOKUP(A764,'[1]Raw data'!$B:$Z,3,FALSE)</f>
        <v>创荣发</v>
      </c>
      <c r="S764" s="652" t="str">
        <f>VLOOKUP(A764,'[1]Raw data'!$B:$Z,4,FALSE)</f>
        <v>YSM20R-2</v>
      </c>
      <c r="T764" s="652" t="str">
        <f>VLOOKUP(A764,'[1]Raw data'!$B:$Z,8,FALSE)</f>
        <v>L-&gt;R</v>
      </c>
      <c r="U764" s="652" t="str">
        <f>VLOOKUP(A764,'[1]Raw data'!$B:$Z,9,FALSE)</f>
        <v>No</v>
      </c>
      <c r="V764" s="572" t="str">
        <f t="shared" si="120"/>
        <v>OK</v>
      </c>
      <c r="W764" s="568" t="str">
        <f>VLOOKUP(A764,'[1]Raw data'!$B:$AG,32,FALSE)</f>
        <v>DAP HZ</v>
      </c>
      <c r="X764" s="652">
        <f>VLOOKUP(A764,'[1]Raw data'!$B:$BA,31,FALSE)</f>
        <v>44272</v>
      </c>
      <c r="Y764" s="652" t="str">
        <f>VLOOKUP(A764,'[1]Raw data'!$B:$AS,39,FALSE)</f>
        <v>Yes</v>
      </c>
      <c r="Z764" s="664"/>
      <c r="AA764" s="665"/>
      <c r="AB764" s="666"/>
      <c r="AC764" s="652" t="s">
        <v>1528</v>
      </c>
      <c r="AD764" s="667">
        <v>301</v>
      </c>
      <c r="AE764" s="667">
        <v>10</v>
      </c>
      <c r="AF764" s="667">
        <v>304</v>
      </c>
      <c r="AG764" s="667">
        <v>10</v>
      </c>
      <c r="AH764" s="667"/>
      <c r="AI764" s="668"/>
      <c r="AN764" s="547"/>
      <c r="AO764" s="829" t="str">
        <f t="shared" si="107"/>
        <v>Yes</v>
      </c>
      <c r="AP764" s="259" t="str">
        <f t="shared" si="108"/>
        <v>APR 21</v>
      </c>
      <c r="AQ764" s="547" t="str">
        <f t="shared" si="109"/>
        <v>有定金+有預留客戶</v>
      </c>
      <c r="AR764" s="259" t="str">
        <f t="shared" si="110"/>
        <v>Shipped_Stock</v>
      </c>
      <c r="AS764" s="259" t="str">
        <f t="shared" si="111"/>
        <v/>
      </c>
      <c r="AT764" s="259" t="str">
        <f t="shared" si="112"/>
        <v>创荣发</v>
      </c>
      <c r="AU764" s="259" t="str">
        <f t="shared" si="113"/>
        <v>C49SZX20210077JY</v>
      </c>
      <c r="AV764" s="259" t="str">
        <f t="shared" si="114"/>
        <v>Mar-29</v>
      </c>
    </row>
    <row r="765" spans="1:48" hidden="1">
      <c r="A765" s="564">
        <v>1137</v>
      </c>
      <c r="B765" s="669" t="s">
        <v>1125</v>
      </c>
      <c r="C765" s="669" t="s">
        <v>281</v>
      </c>
      <c r="D765" s="650">
        <v>110348</v>
      </c>
      <c r="E765" s="568" t="s">
        <v>886</v>
      </c>
      <c r="F765" s="652" t="s">
        <v>17</v>
      </c>
      <c r="G765" s="652" t="s">
        <v>18</v>
      </c>
      <c r="H765" s="652" t="s">
        <v>26</v>
      </c>
      <c r="I765" s="580" t="s">
        <v>1529</v>
      </c>
      <c r="J765" s="580">
        <v>1</v>
      </c>
      <c r="K765" s="652" t="s">
        <v>81</v>
      </c>
      <c r="L765" s="662">
        <v>44287</v>
      </c>
      <c r="M765" s="681" t="s">
        <v>906</v>
      </c>
      <c r="N765" s="652" t="s">
        <v>110</v>
      </c>
      <c r="O765" s="580"/>
      <c r="P765" s="670" t="str">
        <f>VLOOKUP(A765,'[1]Raw data'!$B:$BA,23,FALSE)</f>
        <v>JPY</v>
      </c>
      <c r="Q765" s="652" t="str">
        <f>VLOOKUP(A765,'[1]Raw data'!$B:$Z,2,FALSE)</f>
        <v>C49SZX20210045SX</v>
      </c>
      <c r="R765" s="652" t="str">
        <f>VLOOKUP(A765,'[1]Raw data'!$B:$Z,3,FALSE)</f>
        <v>百益晟</v>
      </c>
      <c r="S765" s="652" t="str">
        <f>VLOOKUP(A765,'[1]Raw data'!$B:$Z,4,FALSE)</f>
        <v>YSM10</v>
      </c>
      <c r="T765" s="652" t="str">
        <f>VLOOKUP(A765,'[1]Raw data'!$B:$Z,8,FALSE)</f>
        <v>L-&gt;R</v>
      </c>
      <c r="U765" s="652" t="str">
        <f>VLOOKUP(A765,'[1]Raw data'!$B:$Z,9,FALSE)</f>
        <v>MVC</v>
      </c>
      <c r="V765" s="572" t="str">
        <f t="shared" ref="V765:V774" si="121">IF(G765&amp;H765=T765&amp;U765,"OK","WRONG")</f>
        <v>WRONG</v>
      </c>
      <c r="W765" s="568" t="str">
        <f>VLOOKUP(A765,'[1]Raw data'!$B:$AG,32,FALSE)</f>
        <v>DAP SZ</v>
      </c>
      <c r="X765" s="652">
        <f>VLOOKUP(A765,'[1]Raw data'!$B:$BA,31,FALSE)</f>
        <v>44231</v>
      </c>
      <c r="Y765" s="652" t="str">
        <f>VLOOKUP(A765,'[1]Raw data'!$B:$AS,39,FALSE)</f>
        <v>Yes</v>
      </c>
      <c r="Z765" s="664"/>
      <c r="AA765" s="665"/>
      <c r="AB765" s="666"/>
      <c r="AC765" s="652" t="s">
        <v>1530</v>
      </c>
      <c r="AD765" s="667">
        <v>301</v>
      </c>
      <c r="AE765" s="667">
        <v>10</v>
      </c>
      <c r="AF765" s="667"/>
      <c r="AG765" s="667"/>
      <c r="AH765" s="667"/>
      <c r="AI765" s="668"/>
      <c r="AN765" s="547"/>
      <c r="AO765" s="829" t="str">
        <f t="shared" si="107"/>
        <v>Yes</v>
      </c>
      <c r="AP765" s="259" t="str">
        <f t="shared" si="108"/>
        <v>MAY 21</v>
      </c>
      <c r="AQ765" s="547" t="str">
        <f t="shared" si="109"/>
        <v>有定金+有預留客戶</v>
      </c>
      <c r="AR765" s="259" t="str">
        <f t="shared" si="110"/>
        <v>Shipped_Stock</v>
      </c>
      <c r="AS765" s="259" t="str">
        <f t="shared" si="111"/>
        <v/>
      </c>
      <c r="AT765" s="259" t="str">
        <f t="shared" si="112"/>
        <v>百益晟</v>
      </c>
      <c r="AU765" s="259" t="str">
        <f t="shared" si="113"/>
        <v>C49SZX20210045SX</v>
      </c>
      <c r="AV765" s="259" t="str">
        <f t="shared" si="114"/>
        <v>Apr-01</v>
      </c>
    </row>
    <row r="766" spans="1:48" hidden="1">
      <c r="A766" s="721" t="s">
        <v>1531</v>
      </c>
      <c r="B766" s="669" t="s">
        <v>1125</v>
      </c>
      <c r="C766" s="669" t="s">
        <v>281</v>
      </c>
      <c r="D766" s="650">
        <v>110348</v>
      </c>
      <c r="E766" s="568" t="s">
        <v>886</v>
      </c>
      <c r="F766" s="652" t="s">
        <v>17</v>
      </c>
      <c r="G766" s="652" t="s">
        <v>18</v>
      </c>
      <c r="H766" s="652" t="s">
        <v>34</v>
      </c>
      <c r="I766" s="580" t="s">
        <v>147</v>
      </c>
      <c r="J766" s="580">
        <v>1</v>
      </c>
      <c r="K766" s="652" t="s">
        <v>1419</v>
      </c>
      <c r="L766" s="662">
        <v>44287</v>
      </c>
      <c r="M766" s="670" t="s">
        <v>906</v>
      </c>
      <c r="N766" s="652" t="s">
        <v>110</v>
      </c>
      <c r="O766" s="580"/>
      <c r="P766" s="670" t="s">
        <v>1246</v>
      </c>
      <c r="Q766" s="730" t="s">
        <v>1532</v>
      </c>
      <c r="R766" s="730" t="s">
        <v>1533</v>
      </c>
      <c r="S766" s="652" t="s">
        <v>241</v>
      </c>
      <c r="T766" s="652" t="s">
        <v>1516</v>
      </c>
      <c r="U766" s="652" t="s">
        <v>292</v>
      </c>
      <c r="V766" s="572" t="str">
        <f t="shared" si="121"/>
        <v>WRONG</v>
      </c>
      <c r="W766" s="568" t="e">
        <f>VLOOKUP(A766,'[1]Raw data'!$B:$AG,32,FALSE)</f>
        <v>#N/A</v>
      </c>
      <c r="X766" s="652" t="e">
        <f>VLOOKUP(A766,'[1]Raw data'!$B:$BA,31,FALSE)</f>
        <v>#N/A</v>
      </c>
      <c r="Y766" s="652" t="e">
        <f>VLOOKUP(A766,'[1]Raw data'!$B:$AS,39,FALSE)</f>
        <v>#N/A</v>
      </c>
      <c r="Z766" s="664"/>
      <c r="AA766" s="665"/>
      <c r="AB766" s="666"/>
      <c r="AC766" s="652" t="s">
        <v>1216</v>
      </c>
      <c r="AD766" s="667">
        <v>301</v>
      </c>
      <c r="AE766" s="667">
        <v>10</v>
      </c>
      <c r="AF766" s="667"/>
      <c r="AG766" s="667"/>
      <c r="AH766" s="667"/>
      <c r="AI766" s="668"/>
      <c r="AN766" s="547"/>
      <c r="AO766" s="829" t="str">
        <f t="shared" si="107"/>
        <v>No</v>
      </c>
      <c r="AP766" s="259" t="str">
        <f t="shared" si="108"/>
        <v>MAY 21</v>
      </c>
      <c r="AQ766" s="547" t="str">
        <f t="shared" si="109"/>
        <v>无定金+有預留客戶</v>
      </c>
      <c r="AR766" s="259" t="str">
        <f t="shared" si="110"/>
        <v>Shipped_Stock</v>
      </c>
      <c r="AS766" s="259" t="str">
        <f t="shared" si="111"/>
        <v/>
      </c>
      <c r="AT766" s="259" t="str">
        <f t="shared" si="112"/>
        <v>上海项如电子科技有限公司</v>
      </c>
      <c r="AU766" s="259" t="str">
        <f t="shared" si="113"/>
        <v>C49SHA20210422/ZQR</v>
      </c>
      <c r="AV766" s="259" t="str">
        <f t="shared" si="114"/>
        <v>Apr-01</v>
      </c>
    </row>
    <row r="767" spans="1:48" ht="14.25" hidden="1">
      <c r="A767" s="564">
        <v>1136</v>
      </c>
      <c r="B767" s="669" t="s">
        <v>1125</v>
      </c>
      <c r="C767" s="669" t="s">
        <v>281</v>
      </c>
      <c r="D767" s="650" t="s">
        <v>1534</v>
      </c>
      <c r="E767" s="568" t="s">
        <v>886</v>
      </c>
      <c r="F767" s="652" t="s">
        <v>17</v>
      </c>
      <c r="G767" s="652" t="s">
        <v>18</v>
      </c>
      <c r="H767" s="652" t="s">
        <v>26</v>
      </c>
      <c r="I767" s="580" t="s">
        <v>1535</v>
      </c>
      <c r="J767" s="580">
        <v>1</v>
      </c>
      <c r="K767" s="652" t="s">
        <v>81</v>
      </c>
      <c r="L767" s="662">
        <v>44287</v>
      </c>
      <c r="M767" s="683" t="s">
        <v>1536</v>
      </c>
      <c r="N767" s="652" t="s">
        <v>110</v>
      </c>
      <c r="O767" s="580"/>
      <c r="P767" s="670" t="str">
        <f>VLOOKUP(A767,'[1]Raw data'!$B:$BA,23,FALSE)</f>
        <v>JPY</v>
      </c>
      <c r="Q767" s="652" t="str">
        <f>VLOOKUP(A767,'[1]Raw data'!$B:$Z,2,FALSE)</f>
        <v>C49SZX20210045SX</v>
      </c>
      <c r="R767" s="652" t="str">
        <f>VLOOKUP(A767,'[1]Raw data'!$B:$Z,3,FALSE)</f>
        <v>百益晟</v>
      </c>
      <c r="S767" s="652" t="str">
        <f>VLOOKUP(A767,'[1]Raw data'!$B:$Z,4,FALSE)</f>
        <v>YSM10</v>
      </c>
      <c r="T767" s="652" t="str">
        <f>VLOOKUP(A767,'[1]Raw data'!$B:$Z,8,FALSE)</f>
        <v>L-&gt;R</v>
      </c>
      <c r="U767" s="652" t="str">
        <f>VLOOKUP(A767,'[1]Raw data'!$B:$Z,9,FALSE)</f>
        <v>MVC</v>
      </c>
      <c r="V767" s="572" t="str">
        <f t="shared" si="121"/>
        <v>WRONG</v>
      </c>
      <c r="W767" s="568" t="str">
        <f>VLOOKUP(A767,'[1]Raw data'!$B:$AG,32,FALSE)</f>
        <v>DAP SZ</v>
      </c>
      <c r="X767" s="652">
        <f>VLOOKUP(A767,'[1]Raw data'!$B:$BA,31,FALSE)</f>
        <v>44231</v>
      </c>
      <c r="Y767" s="652" t="str">
        <f>VLOOKUP(A767,'[1]Raw data'!$B:$AS,39,FALSE)</f>
        <v>Yes</v>
      </c>
      <c r="Z767" s="664"/>
      <c r="AA767" s="665"/>
      <c r="AB767" s="666"/>
      <c r="AC767" s="652" t="s">
        <v>1530</v>
      </c>
      <c r="AD767" s="667">
        <v>301</v>
      </c>
      <c r="AE767" s="667">
        <v>10</v>
      </c>
      <c r="AF767" s="667"/>
      <c r="AG767" s="667"/>
      <c r="AH767" s="667"/>
      <c r="AI767" s="668"/>
      <c r="AN767" s="547"/>
      <c r="AO767" s="829" t="str">
        <f t="shared" si="107"/>
        <v>Yes</v>
      </c>
      <c r="AP767" s="259" t="str">
        <f t="shared" si="108"/>
        <v>MAY 21</v>
      </c>
      <c r="AQ767" s="547" t="str">
        <f t="shared" si="109"/>
        <v>有定金+有預留客戶</v>
      </c>
      <c r="AR767" s="259" t="str">
        <f t="shared" si="110"/>
        <v>Shipped_Stock</v>
      </c>
      <c r="AS767" s="259" t="str">
        <f t="shared" si="111"/>
        <v/>
      </c>
      <c r="AT767" s="259" t="str">
        <f t="shared" si="112"/>
        <v>百益晟</v>
      </c>
      <c r="AU767" s="259" t="str">
        <f t="shared" si="113"/>
        <v>C49SZX20210045SX</v>
      </c>
      <c r="AV767" s="259" t="str">
        <f t="shared" si="114"/>
        <v>Apr-01</v>
      </c>
    </row>
    <row r="768" spans="1:48" hidden="1">
      <c r="A768" s="564">
        <v>1258</v>
      </c>
      <c r="B768" s="669" t="s">
        <v>1125</v>
      </c>
      <c r="C768" s="669" t="s">
        <v>281</v>
      </c>
      <c r="D768" s="650">
        <v>110348</v>
      </c>
      <c r="E768" s="568" t="s">
        <v>886</v>
      </c>
      <c r="F768" s="652" t="s">
        <v>17</v>
      </c>
      <c r="G768" s="652" t="s">
        <v>18</v>
      </c>
      <c r="H768" s="652" t="s">
        <v>26</v>
      </c>
      <c r="I768" s="580" t="s">
        <v>146</v>
      </c>
      <c r="J768" s="580">
        <v>1</v>
      </c>
      <c r="K768" s="652" t="s">
        <v>81</v>
      </c>
      <c r="L768" s="662">
        <v>44287</v>
      </c>
      <c r="M768" s="670" t="s">
        <v>906</v>
      </c>
      <c r="N768" s="652" t="s">
        <v>96</v>
      </c>
      <c r="O768" s="580"/>
      <c r="P768" s="670" t="str">
        <f>VLOOKUP(A768,'[1]Raw data'!$B:$BA,23,FALSE)</f>
        <v>JPY</v>
      </c>
      <c r="Q768" s="652" t="str">
        <f>VLOOKUP(A768,'[1]Raw data'!$B:$Z,2,FALSE)</f>
        <v>C49SZX20210081MZ</v>
      </c>
      <c r="R768" s="652" t="str">
        <f>VLOOKUP(A768,'[1]Raw data'!$B:$Z,3,FALSE)</f>
        <v>崧盛</v>
      </c>
      <c r="S768" s="652" t="str">
        <f>VLOOKUP(A768,'[1]Raw data'!$B:$Z,4,FALSE)</f>
        <v>YSM10</v>
      </c>
      <c r="T768" s="652" t="str">
        <f>VLOOKUP(A768,'[1]Raw data'!$B:$Z,8,FALSE)</f>
        <v>L-&gt;R</v>
      </c>
      <c r="U768" s="652" t="str">
        <f>VLOOKUP(A768,'[1]Raw data'!$B:$Z,9,FALSE)</f>
        <v>No</v>
      </c>
      <c r="V768" s="572" t="str">
        <f t="shared" si="121"/>
        <v>WRONG</v>
      </c>
      <c r="W768" s="568" t="str">
        <f>VLOOKUP(A768,'[1]Raw data'!$B:$AG,32,FALSE)</f>
        <v>CIF HK</v>
      </c>
      <c r="X768" s="652">
        <f>VLOOKUP(A768,'[1]Raw data'!$B:$BA,31,FALSE)</f>
        <v>44268</v>
      </c>
      <c r="Y768" s="652" t="str">
        <f>VLOOKUP(A768,'[1]Raw data'!$B:$AS,39,FALSE)</f>
        <v>Yes</v>
      </c>
      <c r="Z768" s="664"/>
      <c r="AA768" s="665"/>
      <c r="AB768" s="666"/>
      <c r="AC768" s="652" t="s">
        <v>1537</v>
      </c>
      <c r="AD768" s="667">
        <v>301</v>
      </c>
      <c r="AE768" s="667">
        <v>10</v>
      </c>
      <c r="AF768" s="667"/>
      <c r="AG768" s="667"/>
      <c r="AH768" s="667"/>
      <c r="AI768" s="668"/>
      <c r="AN768" s="547"/>
      <c r="AO768" s="829" t="str">
        <f t="shared" si="107"/>
        <v>Yes</v>
      </c>
      <c r="AP768" s="259" t="str">
        <f t="shared" si="108"/>
        <v>JUN 21</v>
      </c>
      <c r="AQ768" s="547" t="str">
        <f t="shared" si="109"/>
        <v>有定金+有預留客戶</v>
      </c>
      <c r="AR768" s="259" t="str">
        <f t="shared" si="110"/>
        <v>Shipped_Stock</v>
      </c>
      <c r="AS768" s="259" t="str">
        <f t="shared" si="111"/>
        <v/>
      </c>
      <c r="AT768" s="259" t="str">
        <f t="shared" si="112"/>
        <v>崧盛</v>
      </c>
      <c r="AU768" s="259" t="str">
        <f t="shared" si="113"/>
        <v>C49SZX20210081MZ</v>
      </c>
      <c r="AV768" s="259" t="str">
        <f t="shared" si="114"/>
        <v>Apr-01</v>
      </c>
    </row>
    <row r="769" spans="1:48" hidden="1">
      <c r="A769" s="564">
        <v>1280</v>
      </c>
      <c r="B769" s="669" t="s">
        <v>1125</v>
      </c>
      <c r="C769" s="669" t="s">
        <v>281</v>
      </c>
      <c r="D769" s="650">
        <v>110348</v>
      </c>
      <c r="E769" s="568" t="s">
        <v>886</v>
      </c>
      <c r="F769" s="652" t="s">
        <v>17</v>
      </c>
      <c r="G769" s="652" t="s">
        <v>18</v>
      </c>
      <c r="H769" s="652" t="s">
        <v>26</v>
      </c>
      <c r="I769" s="580" t="s">
        <v>1538</v>
      </c>
      <c r="J769" s="580">
        <v>1</v>
      </c>
      <c r="K769" s="652" t="s">
        <v>82</v>
      </c>
      <c r="L769" s="662">
        <v>44287</v>
      </c>
      <c r="M769" s="670" t="s">
        <v>906</v>
      </c>
      <c r="N769" s="652" t="s">
        <v>90</v>
      </c>
      <c r="O769" s="580"/>
      <c r="P769" s="670" t="str">
        <f>VLOOKUP(A769,'[1]Raw data'!$B:$BA,23,FALSE)</f>
        <v>JPY</v>
      </c>
      <c r="Q769" s="652" t="str">
        <f>VLOOKUP(A769,'[1]Raw data'!$B:$Z,2,FALSE)</f>
        <v>C49SZX20210077JY</v>
      </c>
      <c r="R769" s="652" t="str">
        <f>VLOOKUP(A769,'[1]Raw data'!$B:$Z,3,FALSE)</f>
        <v>创荣发</v>
      </c>
      <c r="S769" s="652" t="str">
        <f>VLOOKUP(A769,'[1]Raw data'!$B:$Z,4,FALSE)</f>
        <v>YSM10</v>
      </c>
      <c r="T769" s="652" t="str">
        <f>VLOOKUP(A769,'[1]Raw data'!$B:$Z,8,FALSE)</f>
        <v>L-&gt;R</v>
      </c>
      <c r="U769" s="652" t="str">
        <f>VLOOKUP(A769,'[1]Raw data'!$B:$Z,9,FALSE)</f>
        <v>MVC</v>
      </c>
      <c r="V769" s="572" t="str">
        <f t="shared" si="121"/>
        <v>WRONG</v>
      </c>
      <c r="W769" s="568" t="str">
        <f>VLOOKUP(A769,'[1]Raw data'!$B:$AG,32,FALSE)</f>
        <v>DAP HZ</v>
      </c>
      <c r="X769" s="652">
        <f>VLOOKUP(A769,'[1]Raw data'!$B:$BA,31,FALSE)</f>
        <v>44272</v>
      </c>
      <c r="Y769" s="652" t="str">
        <f>VLOOKUP(A769,'[1]Raw data'!$B:$AS,39,FALSE)</f>
        <v>Yes</v>
      </c>
      <c r="Z769" s="664"/>
      <c r="AA769" s="665"/>
      <c r="AB769" s="666"/>
      <c r="AC769" s="652" t="s">
        <v>1528</v>
      </c>
      <c r="AD769" s="667">
        <v>301</v>
      </c>
      <c r="AE769" s="667">
        <v>10</v>
      </c>
      <c r="AF769" s="667"/>
      <c r="AG769" s="667"/>
      <c r="AH769" s="667"/>
      <c r="AI769" s="668"/>
      <c r="AN769" s="547"/>
      <c r="AO769" s="829" t="str">
        <f t="shared" si="107"/>
        <v>Yes</v>
      </c>
      <c r="AP769" s="259" t="str">
        <f t="shared" si="108"/>
        <v>APR 21</v>
      </c>
      <c r="AQ769" s="547" t="str">
        <f t="shared" si="109"/>
        <v>有定金+有預留客戶</v>
      </c>
      <c r="AR769" s="259" t="str">
        <f t="shared" si="110"/>
        <v>Shipped_Stock</v>
      </c>
      <c r="AS769" s="259" t="str">
        <f t="shared" si="111"/>
        <v/>
      </c>
      <c r="AT769" s="259" t="str">
        <f t="shared" si="112"/>
        <v>创荣发</v>
      </c>
      <c r="AU769" s="259" t="str">
        <f t="shared" si="113"/>
        <v>C49SZX20210077JY</v>
      </c>
      <c r="AV769" s="259" t="str">
        <f t="shared" si="114"/>
        <v>Apr-01</v>
      </c>
    </row>
    <row r="770" spans="1:48" hidden="1">
      <c r="A770" s="564">
        <v>1255</v>
      </c>
      <c r="B770" s="669" t="s">
        <v>1125</v>
      </c>
      <c r="C770" s="669" t="s">
        <v>281</v>
      </c>
      <c r="D770" s="650" t="s">
        <v>1539</v>
      </c>
      <c r="E770" s="568" t="s">
        <v>886</v>
      </c>
      <c r="F770" s="652" t="s">
        <v>241</v>
      </c>
      <c r="G770" s="652" t="s">
        <v>18</v>
      </c>
      <c r="H770" s="652" t="s">
        <v>307</v>
      </c>
      <c r="I770" s="580" t="s">
        <v>1540</v>
      </c>
      <c r="J770" s="580">
        <v>1</v>
      </c>
      <c r="K770" s="652" t="s">
        <v>85</v>
      </c>
      <c r="L770" s="662">
        <v>44287</v>
      </c>
      <c r="M770" s="683" t="s">
        <v>1541</v>
      </c>
      <c r="N770" s="652" t="s">
        <v>90</v>
      </c>
      <c r="O770" s="580"/>
      <c r="P770" s="670" t="str">
        <f>VLOOKUP(A770,'[1]Raw data'!$B:$BA,23,FALSE)</f>
        <v>JPY</v>
      </c>
      <c r="Q770" s="652" t="str">
        <f>VLOOKUP(A770,'[1]Raw data'!$B:$Z,2,FALSE)</f>
        <v>C49SZX20210079EC</v>
      </c>
      <c r="R770" s="652" t="str">
        <f>VLOOKUP(A770,'[1]Raw data'!$B:$Z,3,FALSE)</f>
        <v>福瑞康</v>
      </c>
      <c r="S770" s="652" t="str">
        <f>VLOOKUP(A770,'[1]Raw data'!$B:$Z,4,FALSE)</f>
        <v>YSM10</v>
      </c>
      <c r="T770" s="652" t="str">
        <f>VLOOKUP(A770,'[1]Raw data'!$B:$Z,8,FALSE)</f>
        <v>L-&gt;R</v>
      </c>
      <c r="U770" s="652" t="str">
        <f>VLOOKUP(A770,'[1]Raw data'!$B:$Z,9,FALSE)</f>
        <v>MVC</v>
      </c>
      <c r="V770" s="572" t="str">
        <f t="shared" si="121"/>
        <v>WRONG</v>
      </c>
      <c r="W770" s="568" t="str">
        <f>VLOOKUP(A770,'[1]Raw data'!$B:$AG,32,FALSE)</f>
        <v>DAP DG</v>
      </c>
      <c r="X770" s="652">
        <f>VLOOKUP(A770,'[1]Raw data'!$B:$BA,31,FALSE)</f>
        <v>44267</v>
      </c>
      <c r="Y770" s="652" t="str">
        <f>VLOOKUP(A770,'[1]Raw data'!$B:$AS,39,FALSE)</f>
        <v>Yes</v>
      </c>
      <c r="Z770" s="664"/>
      <c r="AA770" s="665"/>
      <c r="AB770" s="666"/>
      <c r="AC770" s="652" t="s">
        <v>1542</v>
      </c>
      <c r="AD770" s="667">
        <v>301</v>
      </c>
      <c r="AE770" s="667">
        <v>10</v>
      </c>
      <c r="AF770" s="667"/>
      <c r="AG770" s="667"/>
      <c r="AH770" s="667"/>
      <c r="AI770" s="668"/>
      <c r="AN770" s="547"/>
      <c r="AO770" s="829" t="str">
        <f t="shared" si="107"/>
        <v>Yes</v>
      </c>
      <c r="AP770" s="259" t="str">
        <f t="shared" si="108"/>
        <v>APR 21</v>
      </c>
      <c r="AQ770" s="547" t="str">
        <f t="shared" si="109"/>
        <v>有定金+有預留客戶</v>
      </c>
      <c r="AR770" s="259" t="str">
        <f t="shared" si="110"/>
        <v>Shipped_Stock</v>
      </c>
      <c r="AS770" s="259" t="str">
        <f t="shared" si="111"/>
        <v/>
      </c>
      <c r="AT770" s="259" t="str">
        <f t="shared" si="112"/>
        <v>福瑞康</v>
      </c>
      <c r="AU770" s="259" t="str">
        <f t="shared" si="113"/>
        <v>C49SZX20210079EC</v>
      </c>
      <c r="AV770" s="259" t="str">
        <f t="shared" si="114"/>
        <v>Apr-01</v>
      </c>
    </row>
    <row r="771" spans="1:48" ht="21.75" hidden="1">
      <c r="A771" s="564">
        <v>1162</v>
      </c>
      <c r="B771" s="669" t="s">
        <v>1125</v>
      </c>
      <c r="C771" s="669" t="s">
        <v>281</v>
      </c>
      <c r="D771" s="650">
        <v>110347</v>
      </c>
      <c r="E771" s="568" t="s">
        <v>886</v>
      </c>
      <c r="F771" s="652" t="s">
        <v>241</v>
      </c>
      <c r="G771" s="652" t="s">
        <v>18</v>
      </c>
      <c r="H771" s="652" t="s">
        <v>307</v>
      </c>
      <c r="I771" s="580" t="s">
        <v>1543</v>
      </c>
      <c r="J771" s="580">
        <v>1</v>
      </c>
      <c r="K771" s="652" t="s">
        <v>1419</v>
      </c>
      <c r="L771" s="662">
        <v>44287</v>
      </c>
      <c r="M771" s="683" t="s">
        <v>1544</v>
      </c>
      <c r="N771" s="652" t="s">
        <v>90</v>
      </c>
      <c r="O771" s="580"/>
      <c r="P771" s="670" t="str">
        <f>VLOOKUP(A771,'[1]Raw data'!$B:$BA,23,FALSE)</f>
        <v>RMB</v>
      </c>
      <c r="Q771" s="652" t="str">
        <f>VLOOKUP(A771,'[1]Raw data'!$B:$Z,2,FALSE)</f>
        <v>C49SZX20210047JL</v>
      </c>
      <c r="R771" s="652" t="str">
        <f>VLOOKUP(A771,'[1]Raw data'!$B:$Z,3,FALSE)</f>
        <v>铭翔</v>
      </c>
      <c r="S771" s="652" t="str">
        <f>VLOOKUP(A771,'[1]Raw data'!$B:$Z,4,FALSE)</f>
        <v>YSM10</v>
      </c>
      <c r="T771" s="652" t="str">
        <f>VLOOKUP(A771,'[1]Raw data'!$B:$Z,8,FALSE)</f>
        <v>L-&gt;R</v>
      </c>
      <c r="U771" s="652" t="str">
        <f>VLOOKUP(A771,'[1]Raw data'!$B:$Z,9,FALSE)</f>
        <v>MVC</v>
      </c>
      <c r="V771" s="572" t="str">
        <f t="shared" si="121"/>
        <v>WRONG</v>
      </c>
      <c r="W771" s="568" t="str">
        <f>VLOOKUP(A771,'[1]Raw data'!$B:$AG,32,FALSE)</f>
        <v>含税到厂</v>
      </c>
      <c r="X771" s="652">
        <f>VLOOKUP(A771,'[1]Raw data'!$B:$BA,31,FALSE)</f>
        <v>44249</v>
      </c>
      <c r="Y771" s="652" t="str">
        <f>VLOOKUP(A771,'[1]Raw data'!$B:$AS,39,FALSE)</f>
        <v>Yes</v>
      </c>
      <c r="Z771" s="664"/>
      <c r="AA771" s="665"/>
      <c r="AB771" s="666"/>
      <c r="AC771" s="568" t="s">
        <v>772</v>
      </c>
      <c r="AD771" s="667">
        <v>301</v>
      </c>
      <c r="AE771" s="667">
        <v>10</v>
      </c>
      <c r="AF771" s="667"/>
      <c r="AG771" s="667"/>
      <c r="AH771" s="667"/>
      <c r="AI771" s="668"/>
      <c r="AN771" s="547"/>
      <c r="AO771" s="829" t="str">
        <f t="shared" ref="AO771:AO834" si="122">IFERROR(IF(Y771&lt;&gt;"",Y771,"No"),"No")</f>
        <v>Yes</v>
      </c>
      <c r="AP771" s="259" t="str">
        <f t="shared" ref="AP771:AP834" si="123">IFERROR(IF(N771&lt;&gt;"",N771,"blank"),"NA")</f>
        <v>APR 21</v>
      </c>
      <c r="AQ771" s="547" t="str">
        <f t="shared" ref="AQ771:AQ834" si="124">IFERROR(IF(AND(AO771="Yes", AP771&lt;&gt;"blank"), "有定金+有預留客戶", IF(AND(AO771="Yes", AP771="blank"), "有定金+无客戶送貨期", IF(AND(OR(AO771="No", ISBLANK(AO771), AO771="NA"), AP771&lt;&gt;"blank"), "无定金+有預留客戶", IF(AND(OR(AO771="No", ISBLANK(AO771), AO771="NA"), AP771="blank"), "无定金+无預留客戶", "")))), "")</f>
        <v>有定金+有預留客戶</v>
      </c>
      <c r="AR771" s="259" t="str">
        <f t="shared" ref="AR771:AR834" si="125">IFERROR(IF(B771="已经到货", "Instock", IF(B771="有交期", "Incoming_Stock_With_YAMAHA_Schedule", IF(B771="TBA.", "Incoming_Stock_No_YAMAHA_Schedule", IF(B771="已发货", "Shipped_Stock", "")))), "")</f>
        <v>Shipped_Stock</v>
      </c>
      <c r="AS771" s="259" t="str">
        <f t="shared" ref="AS771:AS834" si="126">IF(AND(B771="有交期", L771&lt;&gt;""), L771, "")</f>
        <v/>
      </c>
      <c r="AT771" s="259" t="str">
        <f t="shared" ref="AT771:AT834" si="127">IFERROR(IF(R771&lt;&gt;"",R771),"-")</f>
        <v>铭翔</v>
      </c>
      <c r="AU771" s="259" t="str">
        <f t="shared" ref="AU771:AU834" si="128">IFERROR(IF(Q771&lt;&gt;"",Q771),"-")</f>
        <v>C49SZX20210047JL</v>
      </c>
      <c r="AV771" s="259" t="str">
        <f t="shared" ref="AV771:AV834" si="129">IF(L771="","-",TEXT(L771,"mmm-dd"))</f>
        <v>Apr-01</v>
      </c>
    </row>
    <row r="772" spans="1:48" hidden="1">
      <c r="A772" s="564">
        <v>991</v>
      </c>
      <c r="B772" s="669" t="s">
        <v>1125</v>
      </c>
      <c r="C772" s="669" t="s">
        <v>281</v>
      </c>
      <c r="D772" s="650" t="s">
        <v>1545</v>
      </c>
      <c r="E772" s="568" t="s">
        <v>886</v>
      </c>
      <c r="F772" s="652" t="s">
        <v>241</v>
      </c>
      <c r="G772" s="652" t="s">
        <v>18</v>
      </c>
      <c r="H772" s="652" t="s">
        <v>307</v>
      </c>
      <c r="I772" s="580" t="s">
        <v>1546</v>
      </c>
      <c r="J772" s="580">
        <v>1</v>
      </c>
      <c r="K772" s="652" t="s">
        <v>1419</v>
      </c>
      <c r="L772" s="662">
        <v>44287</v>
      </c>
      <c r="M772" s="670">
        <v>6.2300000000000001E-2</v>
      </c>
      <c r="N772" s="652" t="s">
        <v>110</v>
      </c>
      <c r="O772" s="580"/>
      <c r="P772" s="670" t="str">
        <f>VLOOKUP(A772,'[1]Raw data'!$B:$BA,23,FALSE)</f>
        <v>RMB</v>
      </c>
      <c r="Q772" s="652" t="str">
        <f>VLOOKUP(A772,'[1]Raw data'!$B:$Z,2,FALSE)</f>
        <v>C49SZX20200080DY</v>
      </c>
      <c r="R772" s="652" t="str">
        <f>VLOOKUP(A772,'[1]Raw data'!$B:$Z,3,FALSE)</f>
        <v>富源晟</v>
      </c>
      <c r="S772" s="652" t="str">
        <f>VLOOKUP(A772,'[1]Raw data'!$B:$Z,4,FALSE)</f>
        <v>YSM10</v>
      </c>
      <c r="T772" s="652" t="str">
        <f>VLOOKUP(A772,'[1]Raw data'!$B:$Z,8,FALSE)</f>
        <v>L-&gt;R</v>
      </c>
      <c r="U772" s="652" t="str">
        <f>VLOOKUP(A772,'[1]Raw data'!$B:$Z,9,FALSE)</f>
        <v>MVC</v>
      </c>
      <c r="V772" s="572" t="str">
        <f t="shared" si="121"/>
        <v>WRONG</v>
      </c>
      <c r="W772" s="568" t="str">
        <f>VLOOKUP(A772,'[1]Raw data'!$B:$AG,32,FALSE)</f>
        <v>含税到厂</v>
      </c>
      <c r="X772" s="652">
        <f>VLOOKUP(A772,'[1]Raw data'!$B:$BA,31,FALSE)</f>
        <v>44173</v>
      </c>
      <c r="Y772" s="652" t="str">
        <f>VLOOKUP(A772,'[1]Raw data'!$B:$AS,39,FALSE)</f>
        <v>Yes</v>
      </c>
      <c r="Z772" s="664"/>
      <c r="AA772" s="665"/>
      <c r="AB772" s="666"/>
      <c r="AC772" s="652" t="s">
        <v>1421</v>
      </c>
      <c r="AD772" s="667">
        <v>301</v>
      </c>
      <c r="AE772" s="667">
        <v>10</v>
      </c>
      <c r="AF772" s="667"/>
      <c r="AG772" s="667"/>
      <c r="AH772" s="667"/>
      <c r="AI772" s="668"/>
      <c r="AN772" s="547"/>
      <c r="AO772" s="829" t="str">
        <f t="shared" si="122"/>
        <v>Yes</v>
      </c>
      <c r="AP772" s="259" t="str">
        <f t="shared" si="123"/>
        <v>MAY 21</v>
      </c>
      <c r="AQ772" s="547" t="str">
        <f t="shared" si="124"/>
        <v>有定金+有預留客戶</v>
      </c>
      <c r="AR772" s="259" t="str">
        <f t="shared" si="125"/>
        <v>Shipped_Stock</v>
      </c>
      <c r="AS772" s="259" t="str">
        <f t="shared" si="126"/>
        <v/>
      </c>
      <c r="AT772" s="259" t="str">
        <f t="shared" si="127"/>
        <v>富源晟</v>
      </c>
      <c r="AU772" s="259" t="str">
        <f t="shared" si="128"/>
        <v>C49SZX20200080DY</v>
      </c>
      <c r="AV772" s="259" t="str">
        <f t="shared" si="129"/>
        <v>Apr-01</v>
      </c>
    </row>
    <row r="773" spans="1:48" hidden="1">
      <c r="A773" s="564">
        <v>1040</v>
      </c>
      <c r="B773" s="669" t="s">
        <v>1125</v>
      </c>
      <c r="C773" s="669" t="s">
        <v>281</v>
      </c>
      <c r="D773" s="650" t="s">
        <v>1545</v>
      </c>
      <c r="E773" s="568" t="s">
        <v>886</v>
      </c>
      <c r="F773" s="652" t="s">
        <v>241</v>
      </c>
      <c r="G773" s="652" t="s">
        <v>18</v>
      </c>
      <c r="H773" s="652" t="s">
        <v>307</v>
      </c>
      <c r="I773" s="580" t="s">
        <v>1547</v>
      </c>
      <c r="J773" s="580">
        <v>1</v>
      </c>
      <c r="K773" s="652" t="s">
        <v>1419</v>
      </c>
      <c r="L773" s="662">
        <v>44287</v>
      </c>
      <c r="M773" s="670">
        <v>6.2300000000000001E-2</v>
      </c>
      <c r="N773" s="652" t="s">
        <v>90</v>
      </c>
      <c r="O773" s="580"/>
      <c r="P773" s="670" t="str">
        <f>VLOOKUP(A773,'[1]Raw data'!$B:$BA,23,FALSE)</f>
        <v>RMB</v>
      </c>
      <c r="Q773" s="652" t="str">
        <f>VLOOKUP(A773,'[1]Raw data'!$B:$Z,2,FALSE)</f>
        <v>C49SZX20200248SX</v>
      </c>
      <c r="R773" s="652" t="str">
        <f>VLOOKUP(A773,'[1]Raw data'!$B:$Z,3,FALSE)</f>
        <v>悦之彩</v>
      </c>
      <c r="S773" s="652" t="str">
        <f>VLOOKUP(A773,'[1]Raw data'!$B:$Z,4,FALSE)</f>
        <v>YSM10</v>
      </c>
      <c r="T773" s="652" t="str">
        <f>VLOOKUP(A773,'[1]Raw data'!$B:$Z,8,FALSE)</f>
        <v>L-&gt;R</v>
      </c>
      <c r="U773" s="652" t="str">
        <f>VLOOKUP(A773,'[1]Raw data'!$B:$Z,9,FALSE)</f>
        <v>MVC</v>
      </c>
      <c r="V773" s="572" t="str">
        <f t="shared" si="121"/>
        <v>WRONG</v>
      </c>
      <c r="W773" s="568" t="str">
        <f>VLOOKUP(A773,'[1]Raw data'!$B:$AG,32,FALSE)</f>
        <v>含税到厂</v>
      </c>
      <c r="X773" s="652">
        <f>VLOOKUP(A773,'[1]Raw data'!$B:$BA,31,FALSE)</f>
        <v>44183</v>
      </c>
      <c r="Y773" s="652" t="str">
        <f>VLOOKUP(A773,'[1]Raw data'!$B:$AS,39,FALSE)</f>
        <v>Yes</v>
      </c>
      <c r="Z773" s="664"/>
      <c r="AA773" s="665"/>
      <c r="AB773" s="666"/>
      <c r="AC773" s="652" t="s">
        <v>1548</v>
      </c>
      <c r="AD773" s="667">
        <v>301</v>
      </c>
      <c r="AE773" s="667">
        <v>10</v>
      </c>
      <c r="AF773" s="667"/>
      <c r="AG773" s="667"/>
      <c r="AH773" s="667"/>
      <c r="AI773" s="668"/>
      <c r="AN773" s="547"/>
      <c r="AO773" s="829" t="str">
        <f t="shared" si="122"/>
        <v>Yes</v>
      </c>
      <c r="AP773" s="259" t="str">
        <f t="shared" si="123"/>
        <v>APR 21</v>
      </c>
      <c r="AQ773" s="547" t="str">
        <f t="shared" si="124"/>
        <v>有定金+有預留客戶</v>
      </c>
      <c r="AR773" s="259" t="str">
        <f t="shared" si="125"/>
        <v>Shipped_Stock</v>
      </c>
      <c r="AS773" s="259" t="str">
        <f t="shared" si="126"/>
        <v/>
      </c>
      <c r="AT773" s="259" t="str">
        <f t="shared" si="127"/>
        <v>悦之彩</v>
      </c>
      <c r="AU773" s="259" t="str">
        <f t="shared" si="128"/>
        <v>C49SZX20200248SX</v>
      </c>
      <c r="AV773" s="259" t="str">
        <f t="shared" si="129"/>
        <v>Apr-01</v>
      </c>
    </row>
    <row r="774" spans="1:48" ht="14.25" hidden="1">
      <c r="A774" s="564">
        <v>1041</v>
      </c>
      <c r="B774" s="669" t="s">
        <v>1125</v>
      </c>
      <c r="C774" s="669" t="s">
        <v>281</v>
      </c>
      <c r="D774" s="650" t="s">
        <v>1549</v>
      </c>
      <c r="E774" s="568" t="s">
        <v>886</v>
      </c>
      <c r="F774" s="652" t="s">
        <v>241</v>
      </c>
      <c r="G774" s="652" t="s">
        <v>18</v>
      </c>
      <c r="H774" s="652" t="s">
        <v>307</v>
      </c>
      <c r="I774" s="580" t="s">
        <v>1550</v>
      </c>
      <c r="J774" s="580">
        <v>1</v>
      </c>
      <c r="K774" s="652" t="s">
        <v>1419</v>
      </c>
      <c r="L774" s="662">
        <v>44287</v>
      </c>
      <c r="M774" s="670">
        <v>6.2300000000000001E-2</v>
      </c>
      <c r="N774" s="652" t="s">
        <v>90</v>
      </c>
      <c r="O774" s="580"/>
      <c r="P774" s="670" t="str">
        <f>VLOOKUP(A774,'[1]Raw data'!$B:$BA,23,FALSE)</f>
        <v>RMB</v>
      </c>
      <c r="Q774" s="652" t="str">
        <f>VLOOKUP(A774,'[1]Raw data'!$B:$Z,2,FALSE)</f>
        <v>C49SZX20200248SX</v>
      </c>
      <c r="R774" s="652" t="str">
        <f>VLOOKUP(A774,'[1]Raw data'!$B:$Z,3,FALSE)</f>
        <v>悦之彩</v>
      </c>
      <c r="S774" s="652" t="str">
        <f>VLOOKUP(A774,'[1]Raw data'!$B:$Z,4,FALSE)</f>
        <v>YSM10</v>
      </c>
      <c r="T774" s="652" t="str">
        <f>VLOOKUP(A774,'[1]Raw data'!$B:$Z,8,FALSE)</f>
        <v>L-&gt;R</v>
      </c>
      <c r="U774" s="652" t="str">
        <f>VLOOKUP(A774,'[1]Raw data'!$B:$Z,9,FALSE)</f>
        <v>MVC</v>
      </c>
      <c r="V774" s="572" t="str">
        <f t="shared" si="121"/>
        <v>WRONG</v>
      </c>
      <c r="W774" s="568" t="str">
        <f>VLOOKUP(A774,'[1]Raw data'!$B:$AG,32,FALSE)</f>
        <v>含税到厂</v>
      </c>
      <c r="X774" s="652">
        <f>VLOOKUP(A774,'[1]Raw data'!$B:$BA,31,FALSE)</f>
        <v>44183</v>
      </c>
      <c r="Y774" s="652" t="str">
        <f>VLOOKUP(A774,'[1]Raw data'!$B:$AS,39,FALSE)</f>
        <v>Yes</v>
      </c>
      <c r="Z774" s="664"/>
      <c r="AA774" s="665"/>
      <c r="AB774" s="666"/>
      <c r="AC774" s="652" t="s">
        <v>1548</v>
      </c>
      <c r="AD774" s="667">
        <v>301</v>
      </c>
      <c r="AE774" s="667">
        <v>10</v>
      </c>
      <c r="AF774" s="667"/>
      <c r="AG774" s="667"/>
      <c r="AH774" s="667"/>
      <c r="AI774" s="668"/>
      <c r="AN774" s="547"/>
      <c r="AO774" s="829" t="str">
        <f t="shared" si="122"/>
        <v>Yes</v>
      </c>
      <c r="AP774" s="259" t="str">
        <f t="shared" si="123"/>
        <v>APR 21</v>
      </c>
      <c r="AQ774" s="547" t="str">
        <f t="shared" si="124"/>
        <v>有定金+有預留客戶</v>
      </c>
      <c r="AR774" s="259" t="str">
        <f t="shared" si="125"/>
        <v>Shipped_Stock</v>
      </c>
      <c r="AS774" s="259" t="str">
        <f t="shared" si="126"/>
        <v/>
      </c>
      <c r="AT774" s="259" t="str">
        <f t="shared" si="127"/>
        <v>悦之彩</v>
      </c>
      <c r="AU774" s="259" t="str">
        <f t="shared" si="128"/>
        <v>C49SZX20200248SX</v>
      </c>
      <c r="AV774" s="259" t="str">
        <f t="shared" si="129"/>
        <v>Apr-01</v>
      </c>
    </row>
    <row r="775" spans="1:48" hidden="1">
      <c r="A775" s="564">
        <v>739</v>
      </c>
      <c r="B775" s="669" t="s">
        <v>1125</v>
      </c>
      <c r="C775" s="669" t="s">
        <v>281</v>
      </c>
      <c r="D775" s="650">
        <v>110274</v>
      </c>
      <c r="E775" s="651" t="s">
        <v>1214</v>
      </c>
      <c r="F775" s="652" t="s">
        <v>149</v>
      </c>
      <c r="G775" s="652" t="s">
        <v>24</v>
      </c>
      <c r="H775" s="652" t="s">
        <v>26</v>
      </c>
      <c r="I775" s="580" t="s">
        <v>1551</v>
      </c>
      <c r="J775" s="580">
        <v>1</v>
      </c>
      <c r="K775" s="652" t="s">
        <v>78</v>
      </c>
      <c r="L775" s="662">
        <v>44300</v>
      </c>
      <c r="M775" s="670" t="s">
        <v>906</v>
      </c>
      <c r="N775" s="652" t="s">
        <v>90</v>
      </c>
      <c r="O775" s="580"/>
      <c r="P775" s="670" t="str">
        <f>VLOOKUP(A775,'[1]Raw data'!$B:$BA,23,FALSE)</f>
        <v>JPY</v>
      </c>
      <c r="Q775" s="652" t="str">
        <f>VLOOKUP(A775,'[1]Raw data'!$B:$Z,2,FALSE)</f>
        <v>C49SZX20210028DZ</v>
      </c>
      <c r="R775" s="652" t="str">
        <f>VLOOKUP(A775,'[1]Raw data'!$B:$Z,3,FALSE)</f>
        <v>平方兆赫</v>
      </c>
      <c r="S775" s="652" t="str">
        <f>VLOOKUP(A775,'[1]Raw data'!$B:$Z,4,FALSE)</f>
        <v>YSM40R-4</v>
      </c>
      <c r="T775" s="652" t="str">
        <f>VLOOKUP(A775,'[1]Raw data'!$B:$Z,8,FALSE)</f>
        <v>L-&gt;R</v>
      </c>
      <c r="U775" s="652" t="str">
        <f>VLOOKUP(A775,'[1]Raw data'!$B:$Z,9,FALSE)</f>
        <v>No</v>
      </c>
      <c r="V775" s="572" t="str">
        <f t="shared" ref="V775:V785" si="130">IF(G775&amp;H775=T775&amp;U775,"OK","WRONG")</f>
        <v>OK</v>
      </c>
      <c r="W775" s="568" t="str">
        <f>VLOOKUP(A775,'[1]Raw data'!$B:$AG,32,FALSE)</f>
        <v>CIF HK</v>
      </c>
      <c r="X775" s="652">
        <f>VLOOKUP(A775,'[1]Raw data'!$B:$BA,31,FALSE)</f>
        <v>44265</v>
      </c>
      <c r="Y775" s="652" t="str">
        <f>VLOOKUP(A775,'[1]Raw data'!$B:$AS,39,FALSE)</f>
        <v>Yes</v>
      </c>
      <c r="Z775" s="664"/>
      <c r="AA775" s="665"/>
      <c r="AB775" s="666"/>
      <c r="AC775" s="652" t="s">
        <v>1216</v>
      </c>
      <c r="AD775" s="667"/>
      <c r="AE775" s="667"/>
      <c r="AF775" s="667"/>
      <c r="AG775" s="667"/>
      <c r="AH775" s="667"/>
      <c r="AI775" s="668"/>
      <c r="AN775" s="547"/>
      <c r="AO775" s="829" t="str">
        <f t="shared" si="122"/>
        <v>Yes</v>
      </c>
      <c r="AP775" s="259" t="str">
        <f t="shared" si="123"/>
        <v>APR 21</v>
      </c>
      <c r="AQ775" s="547" t="str">
        <f t="shared" si="124"/>
        <v>有定金+有預留客戶</v>
      </c>
      <c r="AR775" s="259" t="str">
        <f t="shared" si="125"/>
        <v>Shipped_Stock</v>
      </c>
      <c r="AS775" s="259" t="str">
        <f t="shared" si="126"/>
        <v/>
      </c>
      <c r="AT775" s="259" t="str">
        <f t="shared" si="127"/>
        <v>平方兆赫</v>
      </c>
      <c r="AU775" s="259" t="str">
        <f t="shared" si="128"/>
        <v>C49SZX20210028DZ</v>
      </c>
      <c r="AV775" s="259" t="str">
        <f t="shared" si="129"/>
        <v>Apr-14</v>
      </c>
    </row>
    <row r="776" spans="1:48" ht="15.6" hidden="1" customHeight="1">
      <c r="A776" s="564">
        <v>1058</v>
      </c>
      <c r="B776" s="669" t="s">
        <v>1125</v>
      </c>
      <c r="C776" s="669" t="s">
        <v>281</v>
      </c>
      <c r="D776" s="650">
        <v>110272</v>
      </c>
      <c r="E776" s="651" t="s">
        <v>1552</v>
      </c>
      <c r="F776" s="652" t="s">
        <v>58</v>
      </c>
      <c r="G776" s="652" t="s">
        <v>24</v>
      </c>
      <c r="H776" s="652" t="s">
        <v>26</v>
      </c>
      <c r="I776" s="580" t="s">
        <v>1553</v>
      </c>
      <c r="J776" s="580">
        <v>1</v>
      </c>
      <c r="K776" s="652" t="s">
        <v>81</v>
      </c>
      <c r="L776" s="662">
        <v>44305</v>
      </c>
      <c r="M776" s="670" t="s">
        <v>906</v>
      </c>
      <c r="N776" s="652" t="s">
        <v>90</v>
      </c>
      <c r="O776" s="580"/>
      <c r="P776" s="670" t="str">
        <f>VLOOKUP(A776,'[1]Raw data'!$B:$BA,23,FALSE)</f>
        <v>JPY</v>
      </c>
      <c r="Q776" s="652" t="str">
        <f>VLOOKUP(A776,'[1]Raw data'!$B:$Z,2,FALSE)</f>
        <v>C49SZX20210002SX</v>
      </c>
      <c r="R776" s="652" t="str">
        <f>VLOOKUP(A776,'[1]Raw data'!$B:$Z,3,FALSE)</f>
        <v>利速达</v>
      </c>
      <c r="S776" s="652" t="str">
        <f>VLOOKUP(A776,'[1]Raw data'!$B:$Z,4,FALSE)</f>
        <v>YSM20R-2</v>
      </c>
      <c r="T776" s="652" t="str">
        <f>VLOOKUP(A776,'[1]Raw data'!$B:$Z,8,FALSE)</f>
        <v>L-&gt;R</v>
      </c>
      <c r="U776" s="652" t="str">
        <f>VLOOKUP(A776,'[1]Raw data'!$B:$Z,9,FALSE)</f>
        <v>No</v>
      </c>
      <c r="V776" s="572" t="str">
        <f t="shared" ref="V776:V781" si="131">IF(G776&amp;H776=T776&amp;U776,"OK","WRONG")</f>
        <v>OK</v>
      </c>
      <c r="W776" s="568" t="str">
        <f>VLOOKUP(A776,'[1]Raw data'!$B:$AG,32,FALSE)</f>
        <v>DAP SZ</v>
      </c>
      <c r="X776" s="652">
        <f>VLOOKUP(A776,'[1]Raw data'!$B:$BA,31,FALSE)</f>
        <v>44200</v>
      </c>
      <c r="Y776" s="652" t="str">
        <f>VLOOKUP(A776,'[1]Raw data'!$B:$AS,39,FALSE)</f>
        <v>Yes</v>
      </c>
      <c r="Z776" s="664"/>
      <c r="AA776" s="665"/>
      <c r="AB776" s="666"/>
      <c r="AC776" s="652" t="s">
        <v>1554</v>
      </c>
      <c r="AD776" s="667">
        <v>301</v>
      </c>
      <c r="AE776" s="667">
        <v>20</v>
      </c>
      <c r="AF776" s="667"/>
      <c r="AG776" s="667"/>
      <c r="AH776" s="667"/>
      <c r="AI776" s="668"/>
      <c r="AN776" s="547"/>
      <c r="AO776" s="829" t="str">
        <f t="shared" si="122"/>
        <v>Yes</v>
      </c>
      <c r="AP776" s="259" t="str">
        <f t="shared" si="123"/>
        <v>APR 21</v>
      </c>
      <c r="AQ776" s="547" t="str">
        <f t="shared" si="124"/>
        <v>有定金+有預留客戶</v>
      </c>
      <c r="AR776" s="259" t="str">
        <f t="shared" si="125"/>
        <v>Shipped_Stock</v>
      </c>
      <c r="AS776" s="259" t="str">
        <f t="shared" si="126"/>
        <v/>
      </c>
      <c r="AT776" s="259" t="str">
        <f t="shared" si="127"/>
        <v>利速达</v>
      </c>
      <c r="AU776" s="259" t="str">
        <f t="shared" si="128"/>
        <v>C49SZX20210002SX</v>
      </c>
      <c r="AV776" s="259" t="str">
        <f t="shared" si="129"/>
        <v>Apr-19</v>
      </c>
    </row>
    <row r="777" spans="1:48" ht="15.6" hidden="1" customHeight="1">
      <c r="A777" s="564">
        <v>1139</v>
      </c>
      <c r="B777" s="669" t="s">
        <v>1125</v>
      </c>
      <c r="C777" s="669" t="s">
        <v>281</v>
      </c>
      <c r="D777" s="650">
        <v>110272</v>
      </c>
      <c r="E777" s="651" t="s">
        <v>1552</v>
      </c>
      <c r="F777" s="652" t="s">
        <v>58</v>
      </c>
      <c r="G777" s="652" t="s">
        <v>24</v>
      </c>
      <c r="H777" s="652" t="s">
        <v>26</v>
      </c>
      <c r="I777" s="580" t="s">
        <v>1555</v>
      </c>
      <c r="J777" s="580">
        <v>1</v>
      </c>
      <c r="K777" s="652" t="s">
        <v>81</v>
      </c>
      <c r="L777" s="662">
        <v>44305</v>
      </c>
      <c r="M777" s="670" t="s">
        <v>906</v>
      </c>
      <c r="N777" s="652" t="s">
        <v>90</v>
      </c>
      <c r="O777" s="580"/>
      <c r="P777" s="670" t="str">
        <f>VLOOKUP(A777,'[1]Raw data'!$B:$BA,23,FALSE)</f>
        <v>JPY</v>
      </c>
      <c r="Q777" s="652" t="str">
        <f>VLOOKUP(A777,'[1]Raw data'!$B:$Z,2,FALSE)</f>
        <v>C49SZX20210126DZ</v>
      </c>
      <c r="R777" s="652" t="str">
        <f>VLOOKUP(A777,'[1]Raw data'!$B:$Z,3,FALSE)</f>
        <v>名商</v>
      </c>
      <c r="S777" s="652" t="str">
        <f>VLOOKUP(A777,'[1]Raw data'!$B:$Z,4,FALSE)</f>
        <v>YSM20R-2</v>
      </c>
      <c r="T777" s="652" t="str">
        <f>VLOOKUP(A777,'[1]Raw data'!$B:$Z,8,FALSE)</f>
        <v>L-&gt;R</v>
      </c>
      <c r="U777" s="652" t="str">
        <f>VLOOKUP(A777,'[1]Raw data'!$B:$Z,9,FALSE)</f>
        <v>No</v>
      </c>
      <c r="V777" s="572" t="str">
        <f t="shared" si="131"/>
        <v>OK</v>
      </c>
      <c r="W777" s="568" t="str">
        <f>VLOOKUP(A777,'[1]Raw data'!$B:$AG,32,FALSE)</f>
        <v>CIF HK</v>
      </c>
      <c r="X777" s="652">
        <f>VLOOKUP(A777,'[1]Raw data'!$B:$BA,31,FALSE)</f>
        <v>44233</v>
      </c>
      <c r="Y777" s="652" t="str">
        <f>VLOOKUP(A777,'[1]Raw data'!$B:$AS,39,FALSE)</f>
        <v>Yes</v>
      </c>
      <c r="Z777" s="664"/>
      <c r="AA777" s="665"/>
      <c r="AB777" s="666"/>
      <c r="AC777" s="652" t="s">
        <v>1525</v>
      </c>
      <c r="AD777" s="667">
        <v>301</v>
      </c>
      <c r="AE777" s="667">
        <v>20</v>
      </c>
      <c r="AF777" s="667"/>
      <c r="AG777" s="667"/>
      <c r="AH777" s="667"/>
      <c r="AI777" s="668"/>
      <c r="AN777" s="547"/>
      <c r="AO777" s="829" t="str">
        <f t="shared" si="122"/>
        <v>Yes</v>
      </c>
      <c r="AP777" s="259" t="str">
        <f t="shared" si="123"/>
        <v>APR 21</v>
      </c>
      <c r="AQ777" s="547" t="str">
        <f t="shared" si="124"/>
        <v>有定金+有預留客戶</v>
      </c>
      <c r="AR777" s="259" t="str">
        <f t="shared" si="125"/>
        <v>Shipped_Stock</v>
      </c>
      <c r="AS777" s="259" t="str">
        <f t="shared" si="126"/>
        <v/>
      </c>
      <c r="AT777" s="259" t="str">
        <f t="shared" si="127"/>
        <v>名商</v>
      </c>
      <c r="AU777" s="259" t="str">
        <f t="shared" si="128"/>
        <v>C49SZX20210126DZ</v>
      </c>
      <c r="AV777" s="259" t="str">
        <f t="shared" si="129"/>
        <v>Apr-19</v>
      </c>
    </row>
    <row r="778" spans="1:48" ht="15.6" hidden="1" customHeight="1">
      <c r="A778" s="564">
        <v>1188</v>
      </c>
      <c r="B778" s="669" t="s">
        <v>1125</v>
      </c>
      <c r="C778" s="669" t="s">
        <v>281</v>
      </c>
      <c r="D778" s="650">
        <v>110272</v>
      </c>
      <c r="E778" s="651" t="s">
        <v>1552</v>
      </c>
      <c r="F778" s="652" t="s">
        <v>58</v>
      </c>
      <c r="G778" s="652" t="s">
        <v>24</v>
      </c>
      <c r="H778" s="652" t="s">
        <v>26</v>
      </c>
      <c r="I778" s="580" t="s">
        <v>173</v>
      </c>
      <c r="J778" s="580">
        <v>1</v>
      </c>
      <c r="K778" s="652" t="s">
        <v>1419</v>
      </c>
      <c r="L778" s="662">
        <v>44305</v>
      </c>
      <c r="M778" s="670" t="s">
        <v>1556</v>
      </c>
      <c r="N778" s="652" t="s">
        <v>96</v>
      </c>
      <c r="O778" s="580"/>
      <c r="P778" s="670" t="str">
        <f>VLOOKUP(A778,'[1]Raw data'!$B:$BA,23,FALSE)</f>
        <v>RMB</v>
      </c>
      <c r="Q778" s="652" t="str">
        <f>VLOOKUP(A778,'[1]Raw data'!$B:$Z,2,FALSE)</f>
        <v>C49SZX20210156DZ</v>
      </c>
      <c r="R778" s="652" t="str">
        <f>VLOOKUP(A778,'[1]Raw data'!$B:$Z,3,FALSE)</f>
        <v>海星</v>
      </c>
      <c r="S778" s="652" t="str">
        <f>VLOOKUP(A778,'[1]Raw data'!$B:$Z,4,FALSE)</f>
        <v>YSM20R-2</v>
      </c>
      <c r="T778" s="652" t="str">
        <f>VLOOKUP(A778,'[1]Raw data'!$B:$Z,8,FALSE)</f>
        <v>L-&gt;R</v>
      </c>
      <c r="U778" s="652" t="str">
        <f>VLOOKUP(A778,'[1]Raw data'!$B:$Z,9,FALSE)</f>
        <v>No</v>
      </c>
      <c r="V778" s="572" t="str">
        <f t="shared" si="131"/>
        <v>OK</v>
      </c>
      <c r="W778" s="568" t="str">
        <f>VLOOKUP(A778,'[1]Raw data'!$B:$AG,32,FALSE)</f>
        <v>DDP SZ</v>
      </c>
      <c r="X778" s="652">
        <f>VLOOKUP(A778,'[1]Raw data'!$B:$BA,31,FALSE)</f>
        <v>44260</v>
      </c>
      <c r="Y778" s="652" t="str">
        <f>VLOOKUP(A778,'[1]Raw data'!$B:$AS,39,FALSE)</f>
        <v>Yes</v>
      </c>
      <c r="Z778" s="664"/>
      <c r="AA778" s="665"/>
      <c r="AB778" s="666"/>
      <c r="AC778" s="652" t="s">
        <v>1557</v>
      </c>
      <c r="AD778" s="667">
        <v>301</v>
      </c>
      <c r="AE778" s="667">
        <v>20</v>
      </c>
      <c r="AF778" s="667"/>
      <c r="AG778" s="667"/>
      <c r="AH778" s="667"/>
      <c r="AI778" s="668"/>
      <c r="AN778" s="547"/>
      <c r="AO778" s="829" t="str">
        <f t="shared" si="122"/>
        <v>Yes</v>
      </c>
      <c r="AP778" s="259" t="str">
        <f t="shared" si="123"/>
        <v>JUN 21</v>
      </c>
      <c r="AQ778" s="547" t="str">
        <f t="shared" si="124"/>
        <v>有定金+有預留客戶</v>
      </c>
      <c r="AR778" s="259" t="str">
        <f t="shared" si="125"/>
        <v>Shipped_Stock</v>
      </c>
      <c r="AS778" s="259" t="str">
        <f t="shared" si="126"/>
        <v/>
      </c>
      <c r="AT778" s="259" t="str">
        <f t="shared" si="127"/>
        <v>海星</v>
      </c>
      <c r="AU778" s="259" t="str">
        <f t="shared" si="128"/>
        <v>C49SZX20210156DZ</v>
      </c>
      <c r="AV778" s="259" t="str">
        <f t="shared" si="129"/>
        <v>Apr-19</v>
      </c>
    </row>
    <row r="779" spans="1:48" ht="15.6" hidden="1" customHeight="1">
      <c r="A779" s="564">
        <v>1134</v>
      </c>
      <c r="B779" s="669" t="s">
        <v>1125</v>
      </c>
      <c r="C779" s="669" t="s">
        <v>281</v>
      </c>
      <c r="D779" s="650">
        <v>110272</v>
      </c>
      <c r="E779" s="651" t="s">
        <v>1552</v>
      </c>
      <c r="F779" s="652" t="s">
        <v>58</v>
      </c>
      <c r="G779" s="652" t="s">
        <v>24</v>
      </c>
      <c r="H779" s="652" t="s">
        <v>26</v>
      </c>
      <c r="I779" s="740" t="s">
        <v>172</v>
      </c>
      <c r="J779" s="580">
        <v>1</v>
      </c>
      <c r="K779" s="652" t="s">
        <v>81</v>
      </c>
      <c r="L779" s="662">
        <v>44305</v>
      </c>
      <c r="M779" s="670" t="s">
        <v>906</v>
      </c>
      <c r="N779" s="652" t="s">
        <v>110</v>
      </c>
      <c r="O779" s="580"/>
      <c r="P779" s="670" t="str">
        <f>VLOOKUP(A779,'[1]Raw data'!$B:$BA,23,FALSE)</f>
        <v>JPY</v>
      </c>
      <c r="Q779" s="652" t="str">
        <f>VLOOKUP(A779,'[1]Raw data'!$B:$Z,2,FALSE)</f>
        <v>C49SZX20210042VG</v>
      </c>
      <c r="R779" s="652" t="str">
        <f>VLOOKUP(A779,'[1]Raw data'!$B:$Z,3,FALSE)</f>
        <v>狂热者</v>
      </c>
      <c r="S779" s="652" t="str">
        <f>VLOOKUP(A779,'[1]Raw data'!$B:$Z,4,FALSE)</f>
        <v>YSM20R-2</v>
      </c>
      <c r="T779" s="652" t="str">
        <f>VLOOKUP(A779,'[1]Raw data'!$B:$Z,8,FALSE)</f>
        <v>L-&gt;R</v>
      </c>
      <c r="U779" s="652" t="str">
        <f>VLOOKUP(A779,'[1]Raw data'!$B:$Z,9,FALSE)</f>
        <v>No</v>
      </c>
      <c r="V779" s="572" t="str">
        <f t="shared" si="131"/>
        <v>OK</v>
      </c>
      <c r="W779" s="568" t="str">
        <f>VLOOKUP(A779,'[1]Raw data'!$B:$AG,32,FALSE)</f>
        <v>DAP SZ</v>
      </c>
      <c r="X779" s="652">
        <f>VLOOKUP(A779,'[1]Raw data'!$B:$BA,31,FALSE)</f>
        <v>44231</v>
      </c>
      <c r="Y779" s="652" t="str">
        <f>VLOOKUP(A779,'[1]Raw data'!$B:$AS,39,FALSE)</f>
        <v>Yes</v>
      </c>
      <c r="Z779" s="664"/>
      <c r="AA779" s="665"/>
      <c r="AB779" s="666"/>
      <c r="AC779" s="652" t="s">
        <v>1558</v>
      </c>
      <c r="AD779" s="667">
        <v>301</v>
      </c>
      <c r="AE779" s="667">
        <v>20</v>
      </c>
      <c r="AF779" s="667"/>
      <c r="AG779" s="667"/>
      <c r="AH779" s="667"/>
      <c r="AI779" s="668"/>
      <c r="AN779" s="547"/>
      <c r="AO779" s="829" t="str">
        <f t="shared" si="122"/>
        <v>Yes</v>
      </c>
      <c r="AP779" s="259" t="str">
        <f t="shared" si="123"/>
        <v>MAY 21</v>
      </c>
      <c r="AQ779" s="547" t="str">
        <f t="shared" si="124"/>
        <v>有定金+有預留客戶</v>
      </c>
      <c r="AR779" s="259" t="str">
        <f t="shared" si="125"/>
        <v>Shipped_Stock</v>
      </c>
      <c r="AS779" s="259" t="str">
        <f t="shared" si="126"/>
        <v/>
      </c>
      <c r="AT779" s="259" t="str">
        <f t="shared" si="127"/>
        <v>狂热者</v>
      </c>
      <c r="AU779" s="259" t="str">
        <f t="shared" si="128"/>
        <v>C49SZX20210042VG</v>
      </c>
      <c r="AV779" s="259" t="str">
        <f t="shared" si="129"/>
        <v>Apr-19</v>
      </c>
    </row>
    <row r="780" spans="1:48" ht="15.6" hidden="1" customHeight="1">
      <c r="A780" s="564">
        <v>1347</v>
      </c>
      <c r="B780" s="669" t="s">
        <v>1125</v>
      </c>
      <c r="C780" s="669" t="s">
        <v>281</v>
      </c>
      <c r="D780" s="650" t="s">
        <v>1559</v>
      </c>
      <c r="E780" s="651" t="s">
        <v>1552</v>
      </c>
      <c r="F780" s="652" t="s">
        <v>58</v>
      </c>
      <c r="G780" s="652" t="s">
        <v>24</v>
      </c>
      <c r="H780" s="652" t="s">
        <v>26</v>
      </c>
      <c r="I780" s="580" t="s">
        <v>1560</v>
      </c>
      <c r="J780" s="580">
        <v>1</v>
      </c>
      <c r="K780" s="652" t="s">
        <v>82</v>
      </c>
      <c r="L780" s="662">
        <v>44305</v>
      </c>
      <c r="M780" s="670">
        <v>6.0600000000000001E-2</v>
      </c>
      <c r="N780" s="652" t="s">
        <v>110</v>
      </c>
      <c r="O780" s="580"/>
      <c r="P780" s="670" t="str">
        <f>VLOOKUP(A780,'[1]Raw data'!$B:$BA,23,FALSE)</f>
        <v>RMB</v>
      </c>
      <c r="Q780" s="652" t="str">
        <f>VLOOKUP(A780,'[1]Raw data'!$B:$Z,2,FALSE)</f>
        <v>C49SZX20210127JL</v>
      </c>
      <c r="R780" s="652" t="str">
        <f>VLOOKUP(A780,'[1]Raw data'!$B:$Z,3,FALSE)</f>
        <v>同基</v>
      </c>
      <c r="S780" s="652" t="str">
        <f>VLOOKUP(A780,'[1]Raw data'!$B:$Z,4,FALSE)</f>
        <v>YSM20R-2</v>
      </c>
      <c r="T780" s="652" t="str">
        <f>VLOOKUP(A780,'[1]Raw data'!$B:$Z,8,FALSE)</f>
        <v>L-&gt;R</v>
      </c>
      <c r="U780" s="652" t="str">
        <f>VLOOKUP(A780,'[1]Raw data'!$B:$Z,9,FALSE)</f>
        <v>No</v>
      </c>
      <c r="V780" s="572" t="str">
        <f t="shared" si="131"/>
        <v>OK</v>
      </c>
      <c r="W780" s="568" t="str">
        <f>VLOOKUP(A780,'[1]Raw data'!$B:$AG,32,FALSE)</f>
        <v>DDP SZ</v>
      </c>
      <c r="X780" s="652">
        <f>VLOOKUP(A780,'[1]Raw data'!$B:$BA,31,FALSE)</f>
        <v>44308</v>
      </c>
      <c r="Y780" s="652" t="str">
        <f>VLOOKUP(A780,'[1]Raw data'!$B:$AS,39,FALSE)</f>
        <v>Yes</v>
      </c>
      <c r="Z780" s="664"/>
      <c r="AA780" s="665"/>
      <c r="AB780" s="666"/>
      <c r="AC780" s="568" t="s">
        <v>540</v>
      </c>
      <c r="AD780" s="667">
        <v>301</v>
      </c>
      <c r="AE780" s="667">
        <v>20</v>
      </c>
      <c r="AF780" s="667"/>
      <c r="AG780" s="667"/>
      <c r="AH780" s="667"/>
      <c r="AI780" s="668"/>
      <c r="AN780" s="547"/>
      <c r="AO780" s="829" t="str">
        <f t="shared" si="122"/>
        <v>Yes</v>
      </c>
      <c r="AP780" s="259" t="str">
        <f t="shared" si="123"/>
        <v>MAY 21</v>
      </c>
      <c r="AQ780" s="547" t="str">
        <f t="shared" si="124"/>
        <v>有定金+有預留客戶</v>
      </c>
      <c r="AR780" s="259" t="str">
        <f t="shared" si="125"/>
        <v>Shipped_Stock</v>
      </c>
      <c r="AS780" s="259" t="str">
        <f t="shared" si="126"/>
        <v/>
      </c>
      <c r="AT780" s="259" t="str">
        <f t="shared" si="127"/>
        <v>同基</v>
      </c>
      <c r="AU780" s="259" t="str">
        <f t="shared" si="128"/>
        <v>C49SZX20210127JL</v>
      </c>
      <c r="AV780" s="259" t="str">
        <f t="shared" si="129"/>
        <v>Apr-19</v>
      </c>
    </row>
    <row r="781" spans="1:48" ht="19.5" hidden="1" customHeight="1">
      <c r="A781" s="564">
        <v>1270</v>
      </c>
      <c r="B781" s="669" t="s">
        <v>1125</v>
      </c>
      <c r="C781" s="669" t="s">
        <v>281</v>
      </c>
      <c r="D781" s="650" t="s">
        <v>1561</v>
      </c>
      <c r="E781" s="651" t="s">
        <v>1552</v>
      </c>
      <c r="F781" s="652" t="s">
        <v>58</v>
      </c>
      <c r="G781" s="652" t="s">
        <v>24</v>
      </c>
      <c r="H781" s="652" t="s">
        <v>26</v>
      </c>
      <c r="I781" s="580" t="s">
        <v>1562</v>
      </c>
      <c r="J781" s="580">
        <v>1</v>
      </c>
      <c r="K781" s="652" t="s">
        <v>85</v>
      </c>
      <c r="L781" s="662">
        <v>44305</v>
      </c>
      <c r="M781" s="683" t="s">
        <v>1563</v>
      </c>
      <c r="N781" s="652" t="s">
        <v>96</v>
      </c>
      <c r="O781" s="580"/>
      <c r="P781" s="670" t="str">
        <f>VLOOKUP(A781,'[1]Raw data'!$B:$BA,23,FALSE)</f>
        <v>JPY</v>
      </c>
      <c r="Q781" s="652" t="str">
        <f>VLOOKUP(A781,'[1]Raw data'!$B:$Z,2,FALSE)</f>
        <v>C49SZX20210089SX</v>
      </c>
      <c r="R781" s="652" t="str">
        <f>VLOOKUP(A781,'[1]Raw data'!$B:$Z,3,FALSE)</f>
        <v>顺弘</v>
      </c>
      <c r="S781" s="652" t="str">
        <f>VLOOKUP(A781,'[1]Raw data'!$B:$Z,4,FALSE)</f>
        <v>YSM20R-2</v>
      </c>
      <c r="T781" s="652" t="str">
        <f>VLOOKUP(A781,'[1]Raw data'!$B:$Z,8,FALSE)</f>
        <v>L-&gt;R</v>
      </c>
      <c r="U781" s="652" t="str">
        <f>VLOOKUP(A781,'[1]Raw data'!$B:$Z,9,FALSE)</f>
        <v>No</v>
      </c>
      <c r="V781" s="572" t="str">
        <f t="shared" si="131"/>
        <v>OK</v>
      </c>
      <c r="W781" s="568" t="str">
        <f>VLOOKUP(A781,'[1]Raw data'!$B:$AG,32,FALSE)</f>
        <v>DAP DG</v>
      </c>
      <c r="X781" s="652">
        <f>VLOOKUP(A781,'[1]Raw data'!$B:$BA,31,FALSE)</f>
        <v>44273</v>
      </c>
      <c r="Y781" s="652" t="str">
        <f>VLOOKUP(A781,'[1]Raw data'!$B:$AS,39,FALSE)</f>
        <v>No</v>
      </c>
      <c r="Z781" s="664"/>
      <c r="AA781" s="665"/>
      <c r="AB781" s="666"/>
      <c r="AC781" s="568" t="s">
        <v>877</v>
      </c>
      <c r="AD781" s="667">
        <v>301</v>
      </c>
      <c r="AE781" s="667">
        <v>20</v>
      </c>
      <c r="AF781" s="667"/>
      <c r="AG781" s="667"/>
      <c r="AH781" s="667"/>
      <c r="AI781" s="668"/>
      <c r="AN781" s="547"/>
      <c r="AO781" s="829" t="str">
        <f t="shared" si="122"/>
        <v>No</v>
      </c>
      <c r="AP781" s="259" t="str">
        <f t="shared" si="123"/>
        <v>JUN 21</v>
      </c>
      <c r="AQ781" s="547" t="str">
        <f t="shared" si="124"/>
        <v>无定金+有預留客戶</v>
      </c>
      <c r="AR781" s="259" t="str">
        <f t="shared" si="125"/>
        <v>Shipped_Stock</v>
      </c>
      <c r="AS781" s="259" t="str">
        <f t="shared" si="126"/>
        <v/>
      </c>
      <c r="AT781" s="259" t="str">
        <f t="shared" si="127"/>
        <v>顺弘</v>
      </c>
      <c r="AU781" s="259" t="str">
        <f t="shared" si="128"/>
        <v>C49SZX20210089SX</v>
      </c>
      <c r="AV781" s="259" t="str">
        <f t="shared" si="129"/>
        <v>Apr-19</v>
      </c>
    </row>
    <row r="782" spans="1:48" ht="15.6" hidden="1" customHeight="1">
      <c r="A782" s="564">
        <v>1094</v>
      </c>
      <c r="B782" s="669" t="s">
        <v>1125</v>
      </c>
      <c r="C782" s="669" t="s">
        <v>15</v>
      </c>
      <c r="D782" s="650">
        <v>110333</v>
      </c>
      <c r="E782" s="741" t="s">
        <v>1564</v>
      </c>
      <c r="F782" s="652" t="s">
        <v>149</v>
      </c>
      <c r="G782" s="652" t="s">
        <v>24</v>
      </c>
      <c r="H782" s="652" t="s">
        <v>307</v>
      </c>
      <c r="I782" s="580" t="s">
        <v>1565</v>
      </c>
      <c r="J782" s="580">
        <v>1</v>
      </c>
      <c r="K782" s="652" t="s">
        <v>82</v>
      </c>
      <c r="L782" s="662">
        <v>44309</v>
      </c>
      <c r="M782" s="670">
        <v>6.2199999999999998E-2</v>
      </c>
      <c r="N782" s="652" t="s">
        <v>110</v>
      </c>
      <c r="O782" s="580"/>
      <c r="P782" s="670" t="str">
        <f>VLOOKUP(A782,'[1]Raw data'!$B:$BA,23,FALSE)</f>
        <v>RMB</v>
      </c>
      <c r="Q782" s="652" t="str">
        <f>VLOOKUP(A782,'[1]Raw data'!$B:$Z,2,FALSE)</f>
        <v>C49SZX20210021SS</v>
      </c>
      <c r="R782" s="652" t="str">
        <f>VLOOKUP(A782,'[1]Raw data'!$B:$Z,3,FALSE)</f>
        <v>龙大光电</v>
      </c>
      <c r="S782" s="652" t="str">
        <f>VLOOKUP(A782,'[1]Raw data'!$B:$Z,4,FALSE)</f>
        <v>YSM40R-4</v>
      </c>
      <c r="T782" s="652" t="str">
        <f>VLOOKUP(A782,'[1]Raw data'!$B:$Z,8,FALSE)</f>
        <v>L-&gt;R</v>
      </c>
      <c r="U782" s="652" t="str">
        <f>VLOOKUP(A782,'[1]Raw data'!$B:$Z,9,FALSE)</f>
        <v>No</v>
      </c>
      <c r="V782" s="572" t="str">
        <f t="shared" si="130"/>
        <v>OK</v>
      </c>
      <c r="W782" s="568" t="str">
        <f>VLOOKUP(A782,'[1]Raw data'!$B:$AG,32,FALSE)</f>
        <v>含税到厂</v>
      </c>
      <c r="X782" s="652">
        <f>VLOOKUP(A782,'[1]Raw data'!$B:$BA,31,FALSE)</f>
        <v>44222</v>
      </c>
      <c r="Y782" s="652" t="str">
        <f>VLOOKUP(A782,'[1]Raw data'!$B:$AS,39,FALSE)</f>
        <v>Yes</v>
      </c>
      <c r="Z782" s="742"/>
      <c r="AA782" s="743"/>
      <c r="AB782" s="744"/>
      <c r="AC782" s="652" t="s">
        <v>1216</v>
      </c>
      <c r="AD782" s="745">
        <v>7203</v>
      </c>
      <c r="AE782" s="745">
        <v>18</v>
      </c>
      <c r="AF782" s="745">
        <v>7205</v>
      </c>
      <c r="AG782" s="745">
        <v>16</v>
      </c>
      <c r="AH782" s="745">
        <v>7207</v>
      </c>
      <c r="AI782" s="746">
        <v>10</v>
      </c>
      <c r="AJ782" s="747">
        <v>7208</v>
      </c>
      <c r="AK782" s="747">
        <v>10</v>
      </c>
      <c r="AL782" s="747" t="s">
        <v>1566</v>
      </c>
      <c r="AM782" s="747">
        <v>18</v>
      </c>
      <c r="AN782" s="748"/>
      <c r="AO782" s="829" t="str">
        <f t="shared" si="122"/>
        <v>Yes</v>
      </c>
      <c r="AP782" s="259" t="str">
        <f t="shared" si="123"/>
        <v>MAY 21</v>
      </c>
      <c r="AQ782" s="547" t="str">
        <f t="shared" si="124"/>
        <v>有定金+有預留客戶</v>
      </c>
      <c r="AR782" s="259" t="str">
        <f t="shared" si="125"/>
        <v>Shipped_Stock</v>
      </c>
      <c r="AS782" s="259" t="str">
        <f t="shared" si="126"/>
        <v/>
      </c>
      <c r="AT782" s="259" t="str">
        <f t="shared" si="127"/>
        <v>龙大光电</v>
      </c>
      <c r="AU782" s="259" t="str">
        <f t="shared" si="128"/>
        <v>C49SZX20210021SS</v>
      </c>
      <c r="AV782" s="259" t="str">
        <f t="shared" si="129"/>
        <v>Apr-23</v>
      </c>
    </row>
    <row r="783" spans="1:48" hidden="1">
      <c r="A783" s="564">
        <v>1095</v>
      </c>
      <c r="B783" s="669" t="s">
        <v>1125</v>
      </c>
      <c r="C783" s="669" t="s">
        <v>15</v>
      </c>
      <c r="D783" s="650">
        <v>110333</v>
      </c>
      <c r="E783" s="741" t="s">
        <v>1564</v>
      </c>
      <c r="F783" s="652" t="s">
        <v>149</v>
      </c>
      <c r="G783" s="652" t="s">
        <v>24</v>
      </c>
      <c r="H783" s="652" t="s">
        <v>307</v>
      </c>
      <c r="I783" s="580" t="s">
        <v>1567</v>
      </c>
      <c r="J783" s="580">
        <v>1</v>
      </c>
      <c r="K783" s="652" t="s">
        <v>82</v>
      </c>
      <c r="L783" s="662">
        <v>44309</v>
      </c>
      <c r="M783" s="670">
        <v>6.2199999999999998E-2</v>
      </c>
      <c r="N783" s="652" t="s">
        <v>110</v>
      </c>
      <c r="O783" s="580"/>
      <c r="P783" s="670" t="str">
        <f>VLOOKUP(A783,'[1]Raw data'!$B:$BA,23,FALSE)</f>
        <v>RMB</v>
      </c>
      <c r="Q783" s="652" t="str">
        <f>VLOOKUP(A783,'[1]Raw data'!$B:$Z,2,FALSE)</f>
        <v>C49SZX20210021SS</v>
      </c>
      <c r="R783" s="652" t="str">
        <f>VLOOKUP(A783,'[1]Raw data'!$B:$Z,3,FALSE)</f>
        <v>龙大光电</v>
      </c>
      <c r="S783" s="652" t="str">
        <f>VLOOKUP(A783,'[1]Raw data'!$B:$Z,4,FALSE)</f>
        <v>YSM40R-4</v>
      </c>
      <c r="T783" s="652" t="str">
        <f>VLOOKUP(A783,'[1]Raw data'!$B:$Z,8,FALSE)</f>
        <v>L-&gt;R</v>
      </c>
      <c r="U783" s="652" t="str">
        <f>VLOOKUP(A783,'[1]Raw data'!$B:$Z,9,FALSE)</f>
        <v>No</v>
      </c>
      <c r="V783" s="572" t="str">
        <f t="shared" si="130"/>
        <v>OK</v>
      </c>
      <c r="W783" s="568" t="str">
        <f>VLOOKUP(A783,'[1]Raw data'!$B:$AG,32,FALSE)</f>
        <v>含税到厂</v>
      </c>
      <c r="X783" s="652">
        <f>VLOOKUP(A783,'[1]Raw data'!$B:$BA,31,FALSE)</f>
        <v>44222</v>
      </c>
      <c r="Y783" s="652" t="str">
        <f>VLOOKUP(A783,'[1]Raw data'!$B:$AS,39,FALSE)</f>
        <v>Yes</v>
      </c>
      <c r="Z783" s="742"/>
      <c r="AA783" s="743"/>
      <c r="AB783" s="744"/>
      <c r="AC783" s="652" t="s">
        <v>1216</v>
      </c>
      <c r="AD783" s="745">
        <v>7204</v>
      </c>
      <c r="AE783" s="745">
        <v>72</v>
      </c>
      <c r="AF783" s="745"/>
      <c r="AG783" s="745"/>
      <c r="AH783" s="745"/>
      <c r="AI783" s="746"/>
      <c r="AJ783" s="747"/>
      <c r="AK783" s="747"/>
      <c r="AL783" s="747"/>
      <c r="AM783" s="747"/>
      <c r="AN783" s="748"/>
      <c r="AO783" s="829" t="str">
        <f t="shared" si="122"/>
        <v>Yes</v>
      </c>
      <c r="AP783" s="259" t="str">
        <f t="shared" si="123"/>
        <v>MAY 21</v>
      </c>
      <c r="AQ783" s="547" t="str">
        <f t="shared" si="124"/>
        <v>有定金+有預留客戶</v>
      </c>
      <c r="AR783" s="259" t="str">
        <f t="shared" si="125"/>
        <v>Shipped_Stock</v>
      </c>
      <c r="AS783" s="259" t="str">
        <f t="shared" si="126"/>
        <v/>
      </c>
      <c r="AT783" s="259" t="str">
        <f t="shared" si="127"/>
        <v>龙大光电</v>
      </c>
      <c r="AU783" s="259" t="str">
        <f t="shared" si="128"/>
        <v>C49SZX20210021SS</v>
      </c>
      <c r="AV783" s="259" t="str">
        <f t="shared" si="129"/>
        <v>Apr-23</v>
      </c>
    </row>
    <row r="784" spans="1:48" hidden="1">
      <c r="A784" s="564">
        <v>1096</v>
      </c>
      <c r="B784" s="669" t="s">
        <v>1125</v>
      </c>
      <c r="C784" s="669" t="s">
        <v>15</v>
      </c>
      <c r="D784" s="650">
        <v>110333</v>
      </c>
      <c r="E784" s="741" t="s">
        <v>1564</v>
      </c>
      <c r="F784" s="652" t="s">
        <v>149</v>
      </c>
      <c r="G784" s="652" t="s">
        <v>24</v>
      </c>
      <c r="H784" s="652" t="s">
        <v>307</v>
      </c>
      <c r="I784" s="580" t="s">
        <v>1568</v>
      </c>
      <c r="J784" s="580">
        <v>1</v>
      </c>
      <c r="K784" s="652" t="s">
        <v>82</v>
      </c>
      <c r="L784" s="662">
        <v>44309</v>
      </c>
      <c r="M784" s="670">
        <v>6.2199999999999998E-2</v>
      </c>
      <c r="N784" s="652" t="s">
        <v>110</v>
      </c>
      <c r="O784" s="580"/>
      <c r="P784" s="670" t="str">
        <f>VLOOKUP(A784,'[1]Raw data'!$B:$BA,23,FALSE)</f>
        <v>RMB</v>
      </c>
      <c r="Q784" s="652" t="str">
        <f>VLOOKUP(A784,'[1]Raw data'!$B:$Z,2,FALSE)</f>
        <v>C49SZX20210021SS</v>
      </c>
      <c r="R784" s="652" t="str">
        <f>VLOOKUP(A784,'[1]Raw data'!$B:$Z,3,FALSE)</f>
        <v>龙大光电</v>
      </c>
      <c r="S784" s="652" t="str">
        <f>VLOOKUP(A784,'[1]Raw data'!$B:$Z,4,FALSE)</f>
        <v>YSM40R-4</v>
      </c>
      <c r="T784" s="652" t="str">
        <f>VLOOKUP(A784,'[1]Raw data'!$B:$Z,8,FALSE)</f>
        <v>L-&gt;R</v>
      </c>
      <c r="U784" s="652" t="str">
        <f>VLOOKUP(A784,'[1]Raw data'!$B:$Z,9,FALSE)</f>
        <v>No</v>
      </c>
      <c r="V784" s="572" t="str">
        <f t="shared" si="130"/>
        <v>OK</v>
      </c>
      <c r="W784" s="568" t="str">
        <f>VLOOKUP(A784,'[1]Raw data'!$B:$AG,32,FALSE)</f>
        <v>含税到厂</v>
      </c>
      <c r="X784" s="652">
        <f>VLOOKUP(A784,'[1]Raw data'!$B:$BA,31,FALSE)</f>
        <v>44222</v>
      </c>
      <c r="Y784" s="652" t="str">
        <f>VLOOKUP(A784,'[1]Raw data'!$B:$AS,39,FALSE)</f>
        <v>Yes</v>
      </c>
      <c r="Z784" s="742"/>
      <c r="AA784" s="743"/>
      <c r="AB784" s="744"/>
      <c r="AC784" s="652" t="s">
        <v>1216</v>
      </c>
      <c r="AD784" s="745" t="s">
        <v>1566</v>
      </c>
      <c r="AE784" s="745">
        <v>72</v>
      </c>
      <c r="AF784" s="745"/>
      <c r="AG784" s="745"/>
      <c r="AH784" s="745"/>
      <c r="AI784" s="746"/>
      <c r="AJ784" s="747"/>
      <c r="AK784" s="747"/>
      <c r="AL784" s="747"/>
      <c r="AM784" s="747"/>
      <c r="AN784" s="748"/>
      <c r="AO784" s="829" t="str">
        <f t="shared" si="122"/>
        <v>Yes</v>
      </c>
      <c r="AP784" s="259" t="str">
        <f t="shared" si="123"/>
        <v>MAY 21</v>
      </c>
      <c r="AQ784" s="547" t="str">
        <f t="shared" si="124"/>
        <v>有定金+有預留客戶</v>
      </c>
      <c r="AR784" s="259" t="str">
        <f t="shared" si="125"/>
        <v>Shipped_Stock</v>
      </c>
      <c r="AS784" s="259" t="str">
        <f t="shared" si="126"/>
        <v/>
      </c>
      <c r="AT784" s="259" t="str">
        <f t="shared" si="127"/>
        <v>龙大光电</v>
      </c>
      <c r="AU784" s="259" t="str">
        <f t="shared" si="128"/>
        <v>C49SZX20210021SS</v>
      </c>
      <c r="AV784" s="259" t="str">
        <f t="shared" si="129"/>
        <v>Apr-23</v>
      </c>
    </row>
    <row r="785" spans="1:48" ht="12" hidden="1" customHeight="1">
      <c r="A785" s="564">
        <v>1097</v>
      </c>
      <c r="B785" s="669" t="s">
        <v>1125</v>
      </c>
      <c r="C785" s="669" t="s">
        <v>15</v>
      </c>
      <c r="D785" s="650">
        <v>110333</v>
      </c>
      <c r="E785" s="741" t="s">
        <v>1564</v>
      </c>
      <c r="F785" s="652" t="s">
        <v>149</v>
      </c>
      <c r="G785" s="652" t="s">
        <v>24</v>
      </c>
      <c r="H785" s="652" t="s">
        <v>307</v>
      </c>
      <c r="I785" s="580" t="s">
        <v>1569</v>
      </c>
      <c r="J785" s="580">
        <v>1</v>
      </c>
      <c r="K785" s="652" t="s">
        <v>82</v>
      </c>
      <c r="L785" s="662">
        <v>44309</v>
      </c>
      <c r="M785" s="670">
        <v>6.2199999999999998E-2</v>
      </c>
      <c r="N785" s="652" t="s">
        <v>110</v>
      </c>
      <c r="O785" s="580"/>
      <c r="P785" s="670" t="str">
        <f>VLOOKUP(A785,'[1]Raw data'!$B:$BA,23,FALSE)</f>
        <v>RMB</v>
      </c>
      <c r="Q785" s="652" t="str">
        <f>VLOOKUP(A785,'[1]Raw data'!$B:$Z,2,FALSE)</f>
        <v>C49SZX20210021SS</v>
      </c>
      <c r="R785" s="652" t="str">
        <f>VLOOKUP(A785,'[1]Raw data'!$B:$Z,3,FALSE)</f>
        <v>龙大光电</v>
      </c>
      <c r="S785" s="652" t="str">
        <f>VLOOKUP(A785,'[1]Raw data'!$B:$Z,4,FALSE)</f>
        <v>YSM40R-4</v>
      </c>
      <c r="T785" s="652" t="str">
        <f>VLOOKUP(A785,'[1]Raw data'!$B:$Z,8,FALSE)</f>
        <v>L-&gt;R</v>
      </c>
      <c r="U785" s="652" t="str">
        <f>VLOOKUP(A785,'[1]Raw data'!$B:$Z,9,FALSE)</f>
        <v>No</v>
      </c>
      <c r="V785" s="572" t="str">
        <f t="shared" si="130"/>
        <v>OK</v>
      </c>
      <c r="W785" s="568" t="str">
        <f>VLOOKUP(A785,'[1]Raw data'!$B:$AG,32,FALSE)</f>
        <v>含税到厂</v>
      </c>
      <c r="X785" s="652">
        <f>VLOOKUP(A785,'[1]Raw data'!$B:$BA,31,FALSE)</f>
        <v>44222</v>
      </c>
      <c r="Y785" s="652" t="str">
        <f>VLOOKUP(A785,'[1]Raw data'!$B:$AS,39,FALSE)</f>
        <v>Yes</v>
      </c>
      <c r="Z785" s="742"/>
      <c r="AA785" s="743"/>
      <c r="AB785" s="744"/>
      <c r="AC785" s="652" t="s">
        <v>1216</v>
      </c>
      <c r="AD785" s="745" t="s">
        <v>1566</v>
      </c>
      <c r="AE785" s="745">
        <v>72</v>
      </c>
      <c r="AF785" s="745"/>
      <c r="AG785" s="745"/>
      <c r="AH785" s="745"/>
      <c r="AI785" s="746"/>
      <c r="AJ785" s="747"/>
      <c r="AK785" s="747"/>
      <c r="AL785" s="747"/>
      <c r="AM785" s="747"/>
      <c r="AN785" s="748"/>
      <c r="AO785" s="829" t="str">
        <f t="shared" si="122"/>
        <v>Yes</v>
      </c>
      <c r="AP785" s="259" t="str">
        <f t="shared" si="123"/>
        <v>MAY 21</v>
      </c>
      <c r="AQ785" s="547" t="str">
        <f t="shared" si="124"/>
        <v>有定金+有預留客戶</v>
      </c>
      <c r="AR785" s="259" t="str">
        <f t="shared" si="125"/>
        <v>Shipped_Stock</v>
      </c>
      <c r="AS785" s="259" t="str">
        <f t="shared" si="126"/>
        <v/>
      </c>
      <c r="AT785" s="259" t="str">
        <f t="shared" si="127"/>
        <v>龙大光电</v>
      </c>
      <c r="AU785" s="259" t="str">
        <f t="shared" si="128"/>
        <v>C49SZX20210021SS</v>
      </c>
      <c r="AV785" s="259" t="str">
        <f t="shared" si="129"/>
        <v>Apr-23</v>
      </c>
    </row>
    <row r="786" spans="1:48" ht="16.5" hidden="1">
      <c r="A786" s="564">
        <v>1127</v>
      </c>
      <c r="B786" s="669" t="s">
        <v>1125</v>
      </c>
      <c r="C786" s="568" t="s">
        <v>4056</v>
      </c>
      <c r="D786" s="650">
        <v>110327</v>
      </c>
      <c r="E786" s="749" t="s">
        <v>1570</v>
      </c>
      <c r="F786" s="652" t="s">
        <v>201</v>
      </c>
      <c r="G786" s="652" t="s">
        <v>24</v>
      </c>
      <c r="H786" s="652" t="s">
        <v>307</v>
      </c>
      <c r="I786" s="580" t="s">
        <v>1571</v>
      </c>
      <c r="J786" s="580">
        <v>1</v>
      </c>
      <c r="K786" s="652" t="s">
        <v>1572</v>
      </c>
      <c r="L786" s="662">
        <v>44309</v>
      </c>
      <c r="M786" s="670" t="s">
        <v>906</v>
      </c>
      <c r="N786" s="652" t="s">
        <v>90</v>
      </c>
      <c r="O786" s="580"/>
      <c r="P786" s="670" t="str">
        <f>VLOOKUP(A786,'[1]Raw data'!$B:$BA,23,FALSE)</f>
        <v>JPY</v>
      </c>
      <c r="Q786" s="652" t="str">
        <f>VLOOKUP(A786,'[1]Raw data'!$B:$Z,2,FALSE)</f>
        <v>C28HKG2021013KC</v>
      </c>
      <c r="R786" s="652" t="str">
        <f>VLOOKUP(A786,'[1]Raw data'!$B:$Z,3,FALSE)</f>
        <v>嘉裕</v>
      </c>
      <c r="S786" s="652" t="str">
        <f>VLOOKUP(A786,'[1]Raw data'!$B:$Z,4,FALSE)</f>
        <v>YSi-V</v>
      </c>
      <c r="T786" s="652" t="str">
        <f>VLOOKUP(A786,'[1]Raw data'!$B:$Z,8,FALSE)</f>
        <v>L-&gt;R</v>
      </c>
      <c r="U786" s="652" t="str">
        <f>VLOOKUP(A786,'[1]Raw data'!$B:$Z,9,FALSE)</f>
        <v>No</v>
      </c>
      <c r="V786" s="572" t="str">
        <f>IF(G786&amp;H786=T786&amp;U786,"OK","WRONG")</f>
        <v>OK</v>
      </c>
      <c r="W786" s="568" t="str">
        <f>VLOOKUP(A786,'[1]Raw data'!$B:$AG,32,FALSE)</f>
        <v>CIF HK</v>
      </c>
      <c r="X786" s="652">
        <f>VLOOKUP(A786,'[1]Raw data'!$B:$BA,31,FALSE)</f>
        <v>44224</v>
      </c>
      <c r="Y786" s="652" t="str">
        <f>VLOOKUP(A786,'[1]Raw data'!$B:$AS,39,FALSE)</f>
        <v>Yes</v>
      </c>
      <c r="Z786" s="667"/>
      <c r="AA786" s="667"/>
      <c r="AB786" s="667"/>
      <c r="AC786" s="580" t="s">
        <v>1216</v>
      </c>
      <c r="AD786" s="667"/>
      <c r="AE786" s="667"/>
      <c r="AF786" s="667"/>
      <c r="AG786" s="667"/>
      <c r="AH786" s="667"/>
      <c r="AI786" s="668"/>
      <c r="AN786" s="547"/>
      <c r="AO786" s="829" t="str">
        <f t="shared" si="122"/>
        <v>Yes</v>
      </c>
      <c r="AP786" s="259" t="str">
        <f t="shared" si="123"/>
        <v>APR 21</v>
      </c>
      <c r="AQ786" s="547" t="str">
        <f t="shared" si="124"/>
        <v>有定金+有預留客戶</v>
      </c>
      <c r="AR786" s="259" t="str">
        <f t="shared" si="125"/>
        <v>Shipped_Stock</v>
      </c>
      <c r="AS786" s="259" t="str">
        <f t="shared" si="126"/>
        <v/>
      </c>
      <c r="AT786" s="259" t="str">
        <f t="shared" si="127"/>
        <v>嘉裕</v>
      </c>
      <c r="AU786" s="259" t="str">
        <f t="shared" si="128"/>
        <v>C28HKG2021013KC</v>
      </c>
      <c r="AV786" s="259" t="str">
        <f t="shared" si="129"/>
        <v>Apr-23</v>
      </c>
    </row>
    <row r="787" spans="1:48" hidden="1">
      <c r="A787" s="564">
        <v>1064</v>
      </c>
      <c r="B787" s="669" t="s">
        <v>1125</v>
      </c>
      <c r="C787" s="669" t="s">
        <v>281</v>
      </c>
      <c r="D787" s="650" t="s">
        <v>1573</v>
      </c>
      <c r="E787" s="568" t="s">
        <v>886</v>
      </c>
      <c r="F787" s="652" t="s">
        <v>58</v>
      </c>
      <c r="G787" s="652" t="s">
        <v>18</v>
      </c>
      <c r="H787" s="652" t="s">
        <v>26</v>
      </c>
      <c r="I787" s="580" t="s">
        <v>199</v>
      </c>
      <c r="J787" s="580">
        <v>1</v>
      </c>
      <c r="K787" s="652" t="s">
        <v>85</v>
      </c>
      <c r="L787" s="662">
        <v>44309</v>
      </c>
      <c r="M787" s="670">
        <v>6.0499999999999998E-2</v>
      </c>
      <c r="N787" s="652" t="s">
        <v>90</v>
      </c>
      <c r="O787" s="580"/>
      <c r="P787" s="670" t="str">
        <f>VLOOKUP(A787,'[1]Raw data'!$B:$BA,23,FALSE)</f>
        <v>RMB</v>
      </c>
      <c r="Q787" s="652" t="str">
        <f>VLOOKUP(A787,'[1]Raw data'!$B:$Z,2,FALSE)</f>
        <v>C49SZX20210007DZ</v>
      </c>
      <c r="R787" s="652" t="str">
        <f>VLOOKUP(A787,'[1]Raw data'!$B:$Z,3,FALSE)</f>
        <v>赛维显示</v>
      </c>
      <c r="S787" s="652" t="str">
        <f>VLOOKUP(A787,'[1]Raw data'!$B:$Z,4,FALSE)</f>
        <v>YSM20R-2</v>
      </c>
      <c r="T787" s="652" t="str">
        <f>VLOOKUP(A787,'[1]Raw data'!$B:$Z,8,FALSE)</f>
        <v>R-&gt;L</v>
      </c>
      <c r="U787" s="652" t="str">
        <f>VLOOKUP(A787,'[1]Raw data'!$B:$Z,9,FALSE)</f>
        <v>No</v>
      </c>
      <c r="V787" s="572" t="str">
        <f t="shared" ref="V787:V792" si="132">IF(G787&amp;H787=T787&amp;U787,"OK","WRONG")</f>
        <v>OK</v>
      </c>
      <c r="W787" s="568" t="str">
        <f>VLOOKUP(A787,'[1]Raw data'!$B:$AG,32,FALSE)</f>
        <v>含税到厂</v>
      </c>
      <c r="X787" s="652">
        <f>VLOOKUP(A787,'[1]Raw data'!$B:$BA,31,FALSE)</f>
        <v>44205</v>
      </c>
      <c r="Y787" s="652" t="str">
        <f>VLOOKUP(A787,'[1]Raw data'!$B:$AS,39,FALSE)</f>
        <v>Yes</v>
      </c>
      <c r="Z787" s="664"/>
      <c r="AA787" s="665"/>
      <c r="AB787" s="666"/>
      <c r="AC787" s="652" t="s">
        <v>1574</v>
      </c>
      <c r="AD787" s="667">
        <v>301</v>
      </c>
      <c r="AE787" s="667">
        <v>10</v>
      </c>
      <c r="AF787" s="667">
        <v>311</v>
      </c>
      <c r="AG787" s="667">
        <v>10</v>
      </c>
      <c r="AH787" s="667"/>
      <c r="AI787" s="668"/>
      <c r="AN787" s="547"/>
      <c r="AO787" s="829" t="str">
        <f t="shared" si="122"/>
        <v>Yes</v>
      </c>
      <c r="AP787" s="259" t="str">
        <f t="shared" si="123"/>
        <v>APR 21</v>
      </c>
      <c r="AQ787" s="547" t="str">
        <f t="shared" si="124"/>
        <v>有定金+有預留客戶</v>
      </c>
      <c r="AR787" s="259" t="str">
        <f t="shared" si="125"/>
        <v>Shipped_Stock</v>
      </c>
      <c r="AS787" s="259" t="str">
        <f t="shared" si="126"/>
        <v/>
      </c>
      <c r="AT787" s="259" t="str">
        <f t="shared" si="127"/>
        <v>赛维显示</v>
      </c>
      <c r="AU787" s="259" t="str">
        <f t="shared" si="128"/>
        <v>C49SZX20210007DZ</v>
      </c>
      <c r="AV787" s="259" t="str">
        <f t="shared" si="129"/>
        <v>Apr-23</v>
      </c>
    </row>
    <row r="788" spans="1:48" hidden="1">
      <c r="A788" s="564">
        <v>1063</v>
      </c>
      <c r="B788" s="669" t="s">
        <v>1125</v>
      </c>
      <c r="C788" s="669" t="s">
        <v>281</v>
      </c>
      <c r="D788" s="650" t="s">
        <v>1573</v>
      </c>
      <c r="E788" s="568" t="s">
        <v>886</v>
      </c>
      <c r="F788" s="652" t="s">
        <v>58</v>
      </c>
      <c r="G788" s="652" t="s">
        <v>18</v>
      </c>
      <c r="H788" s="652" t="s">
        <v>26</v>
      </c>
      <c r="I788" s="580" t="s">
        <v>196</v>
      </c>
      <c r="J788" s="580">
        <v>1</v>
      </c>
      <c r="K788" s="652" t="s">
        <v>85</v>
      </c>
      <c r="L788" s="662">
        <v>44309</v>
      </c>
      <c r="M788" s="670">
        <v>6.0499999999999998E-2</v>
      </c>
      <c r="N788" s="652" t="s">
        <v>90</v>
      </c>
      <c r="O788" s="580"/>
      <c r="P788" s="670" t="str">
        <f>VLOOKUP(A788,'[1]Raw data'!$B:$BA,23,FALSE)</f>
        <v>RMB</v>
      </c>
      <c r="Q788" s="652" t="str">
        <f>VLOOKUP(A788,'[1]Raw data'!$B:$Z,2,FALSE)</f>
        <v>C49SZX20210007DZ</v>
      </c>
      <c r="R788" s="652" t="str">
        <f>VLOOKUP(A788,'[1]Raw data'!$B:$Z,3,FALSE)</f>
        <v>赛维显示</v>
      </c>
      <c r="S788" s="652" t="str">
        <f>VLOOKUP(A788,'[1]Raw data'!$B:$Z,4,FALSE)</f>
        <v>YSM20R-2</v>
      </c>
      <c r="T788" s="652" t="str">
        <f>VLOOKUP(A788,'[1]Raw data'!$B:$Z,8,FALSE)</f>
        <v>R-&gt;L</v>
      </c>
      <c r="U788" s="652" t="str">
        <f>VLOOKUP(A788,'[1]Raw data'!$B:$Z,9,FALSE)</f>
        <v>No</v>
      </c>
      <c r="V788" s="572" t="str">
        <f t="shared" si="132"/>
        <v>OK</v>
      </c>
      <c r="W788" s="568" t="str">
        <f>VLOOKUP(A788,'[1]Raw data'!$B:$AG,32,FALSE)</f>
        <v>含税到厂</v>
      </c>
      <c r="X788" s="652">
        <f>VLOOKUP(A788,'[1]Raw data'!$B:$BA,31,FALSE)</f>
        <v>44205</v>
      </c>
      <c r="Y788" s="652" t="str">
        <f>VLOOKUP(A788,'[1]Raw data'!$B:$AS,39,FALSE)</f>
        <v>Yes</v>
      </c>
      <c r="Z788" s="664"/>
      <c r="AA788" s="665"/>
      <c r="AB788" s="666"/>
      <c r="AC788" s="652" t="s">
        <v>1574</v>
      </c>
      <c r="AD788" s="667">
        <v>301</v>
      </c>
      <c r="AE788" s="667">
        <v>10</v>
      </c>
      <c r="AF788" s="667">
        <v>311</v>
      </c>
      <c r="AG788" s="667">
        <v>10</v>
      </c>
      <c r="AH788" s="667"/>
      <c r="AI788" s="668"/>
      <c r="AN788" s="547"/>
      <c r="AO788" s="829" t="str">
        <f t="shared" si="122"/>
        <v>Yes</v>
      </c>
      <c r="AP788" s="259" t="str">
        <f t="shared" si="123"/>
        <v>APR 21</v>
      </c>
      <c r="AQ788" s="547" t="str">
        <f t="shared" si="124"/>
        <v>有定金+有預留客戶</v>
      </c>
      <c r="AR788" s="259" t="str">
        <f t="shared" si="125"/>
        <v>Shipped_Stock</v>
      </c>
      <c r="AS788" s="259" t="str">
        <f t="shared" si="126"/>
        <v/>
      </c>
      <c r="AT788" s="259" t="str">
        <f t="shared" si="127"/>
        <v>赛维显示</v>
      </c>
      <c r="AU788" s="259" t="str">
        <f t="shared" si="128"/>
        <v>C49SZX20210007DZ</v>
      </c>
      <c r="AV788" s="259" t="str">
        <f t="shared" si="129"/>
        <v>Apr-23</v>
      </c>
    </row>
    <row r="789" spans="1:48" hidden="1">
      <c r="A789" s="564">
        <v>1061</v>
      </c>
      <c r="B789" s="669" t="s">
        <v>1125</v>
      </c>
      <c r="C789" s="669" t="s">
        <v>281</v>
      </c>
      <c r="D789" s="650" t="s">
        <v>1573</v>
      </c>
      <c r="E789" s="568" t="s">
        <v>886</v>
      </c>
      <c r="F789" s="652" t="s">
        <v>58</v>
      </c>
      <c r="G789" s="652" t="s">
        <v>24</v>
      </c>
      <c r="H789" s="652" t="s">
        <v>26</v>
      </c>
      <c r="I789" s="580" t="s">
        <v>195</v>
      </c>
      <c r="J789" s="580">
        <v>1</v>
      </c>
      <c r="K789" s="652" t="s">
        <v>85</v>
      </c>
      <c r="L789" s="662">
        <v>44309</v>
      </c>
      <c r="M789" s="670">
        <v>6.0499999999999998E-2</v>
      </c>
      <c r="N789" s="652" t="s">
        <v>90</v>
      </c>
      <c r="O789" s="580"/>
      <c r="P789" s="670" t="str">
        <f>VLOOKUP(A789,'[1]Raw data'!$B:$BA,23,FALSE)</f>
        <v>RMB</v>
      </c>
      <c r="Q789" s="652" t="str">
        <f>VLOOKUP(A789,'[1]Raw data'!$B:$Z,2,FALSE)</f>
        <v>C49SZX20210007DZ</v>
      </c>
      <c r="R789" s="652" t="str">
        <f>VLOOKUP(A789,'[1]Raw data'!$B:$Z,3,FALSE)</f>
        <v>赛维显示</v>
      </c>
      <c r="S789" s="652" t="str">
        <f>VLOOKUP(A789,'[1]Raw data'!$B:$Z,4,FALSE)</f>
        <v>YSM20R-2</v>
      </c>
      <c r="T789" s="652" t="str">
        <f>VLOOKUP(A789,'[1]Raw data'!$B:$Z,8,FALSE)</f>
        <v>L-&gt;R</v>
      </c>
      <c r="U789" s="652" t="str">
        <f>VLOOKUP(A789,'[1]Raw data'!$B:$Z,9,FALSE)</f>
        <v>No</v>
      </c>
      <c r="V789" s="572" t="str">
        <f t="shared" si="132"/>
        <v>OK</v>
      </c>
      <c r="W789" s="568" t="str">
        <f>VLOOKUP(A789,'[1]Raw data'!$B:$AG,32,FALSE)</f>
        <v>含税到厂</v>
      </c>
      <c r="X789" s="652">
        <f>VLOOKUP(A789,'[1]Raw data'!$B:$BA,31,FALSE)</f>
        <v>44205</v>
      </c>
      <c r="Y789" s="652" t="str">
        <f>VLOOKUP(A789,'[1]Raw data'!$B:$AS,39,FALSE)</f>
        <v>Yes</v>
      </c>
      <c r="Z789" s="664"/>
      <c r="AA789" s="665"/>
      <c r="AB789" s="666"/>
      <c r="AC789" s="652" t="s">
        <v>1574</v>
      </c>
      <c r="AD789" s="667">
        <v>301</v>
      </c>
      <c r="AE789" s="667">
        <v>10</v>
      </c>
      <c r="AF789" s="667">
        <v>303</v>
      </c>
      <c r="AG789" s="667">
        <v>10</v>
      </c>
      <c r="AH789" s="667"/>
      <c r="AI789" s="668"/>
      <c r="AN789" s="547"/>
      <c r="AO789" s="829" t="str">
        <f t="shared" si="122"/>
        <v>Yes</v>
      </c>
      <c r="AP789" s="259" t="str">
        <f t="shared" si="123"/>
        <v>APR 21</v>
      </c>
      <c r="AQ789" s="547" t="str">
        <f t="shared" si="124"/>
        <v>有定金+有預留客戶</v>
      </c>
      <c r="AR789" s="259" t="str">
        <f t="shared" si="125"/>
        <v>Shipped_Stock</v>
      </c>
      <c r="AS789" s="259" t="str">
        <f t="shared" si="126"/>
        <v/>
      </c>
      <c r="AT789" s="259" t="str">
        <f t="shared" si="127"/>
        <v>赛维显示</v>
      </c>
      <c r="AU789" s="259" t="str">
        <f t="shared" si="128"/>
        <v>C49SZX20210007DZ</v>
      </c>
      <c r="AV789" s="259" t="str">
        <f t="shared" si="129"/>
        <v>Apr-23</v>
      </c>
    </row>
    <row r="790" spans="1:48" hidden="1">
      <c r="A790" s="564">
        <v>1062</v>
      </c>
      <c r="B790" s="669" t="s">
        <v>1125</v>
      </c>
      <c r="C790" s="669" t="s">
        <v>281</v>
      </c>
      <c r="D790" s="650" t="s">
        <v>1573</v>
      </c>
      <c r="E790" s="568" t="s">
        <v>886</v>
      </c>
      <c r="F790" s="652" t="s">
        <v>58</v>
      </c>
      <c r="G790" s="652" t="s">
        <v>24</v>
      </c>
      <c r="H790" s="652" t="s">
        <v>26</v>
      </c>
      <c r="I790" s="580" t="s">
        <v>193</v>
      </c>
      <c r="J790" s="580">
        <v>1</v>
      </c>
      <c r="K790" s="652" t="s">
        <v>85</v>
      </c>
      <c r="L790" s="662">
        <v>44309</v>
      </c>
      <c r="M790" s="670">
        <v>6.0499999999999998E-2</v>
      </c>
      <c r="N790" s="652" t="s">
        <v>90</v>
      </c>
      <c r="O790" s="580"/>
      <c r="P790" s="670" t="str">
        <f>VLOOKUP(A790,'[1]Raw data'!$B:$BA,23,FALSE)</f>
        <v>RMB</v>
      </c>
      <c r="Q790" s="652" t="str">
        <f>VLOOKUP(A790,'[1]Raw data'!$B:$Z,2,FALSE)</f>
        <v>C49SZX20210007DZ</v>
      </c>
      <c r="R790" s="652" t="str">
        <f>VLOOKUP(A790,'[1]Raw data'!$B:$Z,3,FALSE)</f>
        <v>赛维显示</v>
      </c>
      <c r="S790" s="652" t="str">
        <f>VLOOKUP(A790,'[1]Raw data'!$B:$Z,4,FALSE)</f>
        <v>YSM20R-2</v>
      </c>
      <c r="T790" s="652" t="str">
        <f>VLOOKUP(A790,'[1]Raw data'!$B:$Z,8,FALSE)</f>
        <v>L-&gt;R</v>
      </c>
      <c r="U790" s="652" t="str">
        <f>VLOOKUP(A790,'[1]Raw data'!$B:$Z,9,FALSE)</f>
        <v>No</v>
      </c>
      <c r="V790" s="572" t="str">
        <f t="shared" si="132"/>
        <v>OK</v>
      </c>
      <c r="W790" s="568" t="str">
        <f>VLOOKUP(A790,'[1]Raw data'!$B:$AG,32,FALSE)</f>
        <v>含税到厂</v>
      </c>
      <c r="X790" s="652">
        <f>VLOOKUP(A790,'[1]Raw data'!$B:$BA,31,FALSE)</f>
        <v>44205</v>
      </c>
      <c r="Y790" s="652" t="str">
        <f>VLOOKUP(A790,'[1]Raw data'!$B:$AS,39,FALSE)</f>
        <v>Yes</v>
      </c>
      <c r="Z790" s="664"/>
      <c r="AA790" s="665"/>
      <c r="AB790" s="666"/>
      <c r="AC790" s="652" t="s">
        <v>1574</v>
      </c>
      <c r="AD790" s="667">
        <v>301</v>
      </c>
      <c r="AE790" s="667">
        <v>10</v>
      </c>
      <c r="AF790" s="667">
        <v>304</v>
      </c>
      <c r="AG790" s="667">
        <v>10</v>
      </c>
      <c r="AH790" s="667"/>
      <c r="AI790" s="668"/>
      <c r="AN790" s="547"/>
      <c r="AO790" s="829" t="str">
        <f t="shared" si="122"/>
        <v>Yes</v>
      </c>
      <c r="AP790" s="259" t="str">
        <f t="shared" si="123"/>
        <v>APR 21</v>
      </c>
      <c r="AQ790" s="547" t="str">
        <f t="shared" si="124"/>
        <v>有定金+有預留客戶</v>
      </c>
      <c r="AR790" s="259" t="str">
        <f t="shared" si="125"/>
        <v>Shipped_Stock</v>
      </c>
      <c r="AS790" s="259" t="str">
        <f t="shared" si="126"/>
        <v/>
      </c>
      <c r="AT790" s="259" t="str">
        <f t="shared" si="127"/>
        <v>赛维显示</v>
      </c>
      <c r="AU790" s="259" t="str">
        <f t="shared" si="128"/>
        <v>C49SZX20210007DZ</v>
      </c>
      <c r="AV790" s="259" t="str">
        <f t="shared" si="129"/>
        <v>Apr-23</v>
      </c>
    </row>
    <row r="791" spans="1:48" hidden="1">
      <c r="A791" s="564">
        <v>1105</v>
      </c>
      <c r="B791" s="669" t="s">
        <v>1125</v>
      </c>
      <c r="C791" s="669" t="s">
        <v>281</v>
      </c>
      <c r="D791" s="650">
        <v>110245</v>
      </c>
      <c r="E791" s="568" t="s">
        <v>886</v>
      </c>
      <c r="F791" s="652" t="s">
        <v>58</v>
      </c>
      <c r="G791" s="652" t="s">
        <v>24</v>
      </c>
      <c r="H791" s="652" t="s">
        <v>26</v>
      </c>
      <c r="I791" s="580" t="s">
        <v>1575</v>
      </c>
      <c r="J791" s="580">
        <v>1</v>
      </c>
      <c r="K791" s="652" t="s">
        <v>78</v>
      </c>
      <c r="L791" s="662">
        <v>44309</v>
      </c>
      <c r="M791" s="670" t="s">
        <v>906</v>
      </c>
      <c r="N791" s="652" t="s">
        <v>90</v>
      </c>
      <c r="O791" s="580"/>
      <c r="P791" s="670" t="str">
        <f>VLOOKUP(A791,'[1]Raw data'!$B:$BA,23,FALSE)</f>
        <v>JPY</v>
      </c>
      <c r="Q791" s="652" t="str">
        <f>VLOOKUP(A791,'[1]Raw data'!$B:$Z,2,FALSE)</f>
        <v>C49SZX20210029DZ</v>
      </c>
      <c r="R791" s="652" t="str">
        <f>VLOOKUP(A791,'[1]Raw data'!$B:$Z,3,FALSE)</f>
        <v>嘉裕</v>
      </c>
      <c r="S791" s="652" t="str">
        <f>VLOOKUP(A791,'[1]Raw data'!$B:$Z,4,FALSE)</f>
        <v>YSM20R-2</v>
      </c>
      <c r="T791" s="652" t="str">
        <f>VLOOKUP(A791,'[1]Raw data'!$B:$Z,8,FALSE)</f>
        <v>L-&gt;R</v>
      </c>
      <c r="U791" s="652" t="str">
        <f>VLOOKUP(A791,'[1]Raw data'!$B:$Z,9,FALSE)</f>
        <v>No</v>
      </c>
      <c r="V791" s="572" t="str">
        <f t="shared" si="132"/>
        <v>OK</v>
      </c>
      <c r="W791" s="568" t="str">
        <f>VLOOKUP(A791,'[1]Raw data'!$B:$AG,32,FALSE)</f>
        <v>CIF HK</v>
      </c>
      <c r="X791" s="652">
        <f>VLOOKUP(A791,'[1]Raw data'!$B:$BA,31,FALSE)</f>
        <v>44224</v>
      </c>
      <c r="Y791" s="652" t="str">
        <f>VLOOKUP(A791,'[1]Raw data'!$B:$AS,39,FALSE)</f>
        <v>Yes</v>
      </c>
      <c r="Z791" s="664"/>
      <c r="AA791" s="665"/>
      <c r="AB791" s="666"/>
      <c r="AC791" s="568" t="s">
        <v>555</v>
      </c>
      <c r="AD791" s="667">
        <v>301</v>
      </c>
      <c r="AE791" s="667">
        <v>10</v>
      </c>
      <c r="AF791" s="667">
        <v>304</v>
      </c>
      <c r="AG791" s="667">
        <v>10</v>
      </c>
      <c r="AH791" s="667"/>
      <c r="AI791" s="668"/>
      <c r="AN791" s="547"/>
      <c r="AO791" s="829" t="str">
        <f t="shared" si="122"/>
        <v>Yes</v>
      </c>
      <c r="AP791" s="259" t="str">
        <f t="shared" si="123"/>
        <v>APR 21</v>
      </c>
      <c r="AQ791" s="547" t="str">
        <f t="shared" si="124"/>
        <v>有定金+有預留客戶</v>
      </c>
      <c r="AR791" s="259" t="str">
        <f t="shared" si="125"/>
        <v>Shipped_Stock</v>
      </c>
      <c r="AS791" s="259" t="str">
        <f t="shared" si="126"/>
        <v/>
      </c>
      <c r="AT791" s="259" t="str">
        <f t="shared" si="127"/>
        <v>嘉裕</v>
      </c>
      <c r="AU791" s="259" t="str">
        <f t="shared" si="128"/>
        <v>C49SZX20210029DZ</v>
      </c>
      <c r="AV791" s="259" t="str">
        <f t="shared" si="129"/>
        <v>Apr-23</v>
      </c>
    </row>
    <row r="792" spans="1:48" hidden="1">
      <c r="A792" s="564">
        <v>1135</v>
      </c>
      <c r="B792" s="669" t="s">
        <v>1125</v>
      </c>
      <c r="C792" s="669" t="s">
        <v>281</v>
      </c>
      <c r="D792" s="650">
        <v>110245</v>
      </c>
      <c r="E792" s="568" t="s">
        <v>886</v>
      </c>
      <c r="F792" s="652" t="s">
        <v>58</v>
      </c>
      <c r="G792" s="652" t="s">
        <v>24</v>
      </c>
      <c r="H792" s="652" t="s">
        <v>26</v>
      </c>
      <c r="I792" s="580" t="s">
        <v>192</v>
      </c>
      <c r="J792" s="580">
        <v>1</v>
      </c>
      <c r="K792" s="652" t="s">
        <v>81</v>
      </c>
      <c r="L792" s="662">
        <v>44309</v>
      </c>
      <c r="M792" s="670" t="s">
        <v>906</v>
      </c>
      <c r="N792" s="652" t="s">
        <v>110</v>
      </c>
      <c r="O792" s="580"/>
      <c r="P792" s="670" t="str">
        <f>VLOOKUP(A792,'[1]Raw data'!$B:$BA,23,FALSE)</f>
        <v>JPY</v>
      </c>
      <c r="Q792" s="652" t="str">
        <f>VLOOKUP(A792,'[1]Raw data'!$B:$Z,2,FALSE)</f>
        <v>C49SZX20210046SS</v>
      </c>
      <c r="R792" s="652" t="str">
        <f>VLOOKUP(A792,'[1]Raw data'!$B:$Z,3,FALSE)</f>
        <v>恒业信</v>
      </c>
      <c r="S792" s="652" t="str">
        <f>VLOOKUP(A792,'[1]Raw data'!$B:$Z,4,FALSE)</f>
        <v>YSM20R-2</v>
      </c>
      <c r="T792" s="652" t="str">
        <f>VLOOKUP(A792,'[1]Raw data'!$B:$Z,8,FALSE)</f>
        <v>L-&gt;R</v>
      </c>
      <c r="U792" s="652" t="str">
        <f>VLOOKUP(A792,'[1]Raw data'!$B:$Z,9,FALSE)</f>
        <v>No</v>
      </c>
      <c r="V792" s="572" t="str">
        <f t="shared" si="132"/>
        <v>OK</v>
      </c>
      <c r="W792" s="568" t="str">
        <f>VLOOKUP(A792,'[1]Raw data'!$B:$AG,32,FALSE)</f>
        <v>DAP SZ</v>
      </c>
      <c r="X792" s="652">
        <f>VLOOKUP(A792,'[1]Raw data'!$B:$BA,31,FALSE)</f>
        <v>44231</v>
      </c>
      <c r="Y792" s="652" t="str">
        <f>VLOOKUP(A792,'[1]Raw data'!$B:$AS,39,FALSE)</f>
        <v>Yes</v>
      </c>
      <c r="Z792" s="664"/>
      <c r="AA792" s="665"/>
      <c r="AB792" s="666"/>
      <c r="AC792" s="652" t="s">
        <v>1576</v>
      </c>
      <c r="AD792" s="667">
        <v>301</v>
      </c>
      <c r="AE792" s="667">
        <v>10</v>
      </c>
      <c r="AF792" s="667">
        <v>302</v>
      </c>
      <c r="AG792" s="667">
        <v>10</v>
      </c>
      <c r="AH792" s="667"/>
      <c r="AI792" s="668"/>
      <c r="AN792" s="547"/>
      <c r="AO792" s="829" t="str">
        <f t="shared" si="122"/>
        <v>Yes</v>
      </c>
      <c r="AP792" s="259" t="str">
        <f t="shared" si="123"/>
        <v>MAY 21</v>
      </c>
      <c r="AQ792" s="547" t="str">
        <f t="shared" si="124"/>
        <v>有定金+有預留客戶</v>
      </c>
      <c r="AR792" s="259" t="str">
        <f t="shared" si="125"/>
        <v>Shipped_Stock</v>
      </c>
      <c r="AS792" s="259" t="str">
        <f t="shared" si="126"/>
        <v/>
      </c>
      <c r="AT792" s="259" t="str">
        <f t="shared" si="127"/>
        <v>恒业信</v>
      </c>
      <c r="AU792" s="259" t="str">
        <f t="shared" si="128"/>
        <v>C49SZX20210046SS</v>
      </c>
      <c r="AV792" s="259" t="str">
        <f t="shared" si="129"/>
        <v>Apr-23</v>
      </c>
    </row>
    <row r="793" spans="1:48" hidden="1">
      <c r="A793" s="564">
        <v>1340</v>
      </c>
      <c r="B793" s="669" t="s">
        <v>1125</v>
      </c>
      <c r="C793" s="669" t="s">
        <v>281</v>
      </c>
      <c r="D793" s="650">
        <v>110245</v>
      </c>
      <c r="E793" s="568" t="s">
        <v>886</v>
      </c>
      <c r="F793" s="652" t="s">
        <v>58</v>
      </c>
      <c r="G793" s="652" t="s">
        <v>24</v>
      </c>
      <c r="H793" s="652" t="s">
        <v>26</v>
      </c>
      <c r="I793" s="580" t="s">
        <v>191</v>
      </c>
      <c r="J793" s="580">
        <v>1</v>
      </c>
      <c r="K793" s="652" t="s">
        <v>81</v>
      </c>
      <c r="L793" s="662">
        <v>44309</v>
      </c>
      <c r="M793" s="670" t="s">
        <v>906</v>
      </c>
      <c r="N793" s="652" t="s">
        <v>110</v>
      </c>
      <c r="O793" s="580"/>
      <c r="P793" s="670" t="str">
        <f>VLOOKUP(A793,'[1]Raw data'!$B:$BA,23,FALSE)</f>
        <v>JPY</v>
      </c>
      <c r="Q793" s="652" t="str">
        <f>VLOOKUP(A793,'[1]Raw data'!$B:$Z,2,FALSE)</f>
        <v>C49SZX20210117JY</v>
      </c>
      <c r="R793" s="652" t="str">
        <f>VLOOKUP(A793,'[1]Raw data'!$B:$Z,3,FALSE)</f>
        <v>精德鸿</v>
      </c>
      <c r="S793" s="652" t="str">
        <f>VLOOKUP(A793,'[1]Raw data'!$B:$Z,4,FALSE)</f>
        <v>YSM20R-2</v>
      </c>
      <c r="T793" s="652" t="str">
        <f>VLOOKUP(A793,'[1]Raw data'!$B:$Z,8,FALSE)</f>
        <v>L-&gt;R</v>
      </c>
      <c r="U793" s="652" t="str">
        <f>VLOOKUP(A793,'[1]Raw data'!$B:$Z,9,FALSE)</f>
        <v>MVC</v>
      </c>
      <c r="V793" s="572" t="str">
        <f t="shared" ref="V793:V796" si="133">IF(G793&amp;H793=T793&amp;U793,"OK","WRONG")</f>
        <v>WRONG</v>
      </c>
      <c r="W793" s="568" t="str">
        <f>VLOOKUP(A793,'[1]Raw data'!$B:$AG,32,FALSE)</f>
        <v>DAP SZ</v>
      </c>
      <c r="X793" s="652">
        <f>VLOOKUP(A793,'[1]Raw data'!$B:$BA,31,FALSE)</f>
        <v>44306</v>
      </c>
      <c r="Y793" s="652" t="str">
        <f>VLOOKUP(A793,'[1]Raw data'!$B:$AS,39,FALSE)</f>
        <v>Yes</v>
      </c>
      <c r="Z793" s="664"/>
      <c r="AA793" s="665"/>
      <c r="AB793" s="666"/>
      <c r="AC793" s="652" t="s">
        <v>1389</v>
      </c>
      <c r="AD793" s="667">
        <v>301</v>
      </c>
      <c r="AE793" s="667">
        <v>10</v>
      </c>
      <c r="AF793" s="667">
        <v>302</v>
      </c>
      <c r="AG793" s="667">
        <v>10</v>
      </c>
      <c r="AH793" s="667"/>
      <c r="AI793" s="668"/>
      <c r="AN793" s="547"/>
      <c r="AO793" s="829" t="str">
        <f t="shared" si="122"/>
        <v>Yes</v>
      </c>
      <c r="AP793" s="259" t="str">
        <f t="shared" si="123"/>
        <v>MAY 21</v>
      </c>
      <c r="AQ793" s="547" t="str">
        <f t="shared" si="124"/>
        <v>有定金+有預留客戶</v>
      </c>
      <c r="AR793" s="259" t="str">
        <f t="shared" si="125"/>
        <v>Shipped_Stock</v>
      </c>
      <c r="AS793" s="259" t="str">
        <f t="shared" si="126"/>
        <v/>
      </c>
      <c r="AT793" s="259" t="str">
        <f t="shared" si="127"/>
        <v>精德鸿</v>
      </c>
      <c r="AU793" s="259" t="str">
        <f t="shared" si="128"/>
        <v>C49SZX20210117JY</v>
      </c>
      <c r="AV793" s="259" t="str">
        <f t="shared" si="129"/>
        <v>Apr-23</v>
      </c>
    </row>
    <row r="794" spans="1:48" hidden="1">
      <c r="A794" s="564">
        <v>1341</v>
      </c>
      <c r="B794" s="669" t="s">
        <v>1125</v>
      </c>
      <c r="C794" s="669" t="s">
        <v>281</v>
      </c>
      <c r="D794" s="650">
        <v>110245</v>
      </c>
      <c r="E794" s="568" t="s">
        <v>886</v>
      </c>
      <c r="F794" s="652" t="s">
        <v>58</v>
      </c>
      <c r="G794" s="652" t="s">
        <v>24</v>
      </c>
      <c r="H794" s="652" t="s">
        <v>26</v>
      </c>
      <c r="I794" s="580" t="s">
        <v>190</v>
      </c>
      <c r="J794" s="580">
        <v>1</v>
      </c>
      <c r="K794" s="652" t="s">
        <v>81</v>
      </c>
      <c r="L794" s="662">
        <v>44309</v>
      </c>
      <c r="M794" s="670" t="s">
        <v>906</v>
      </c>
      <c r="N794" s="652" t="s">
        <v>110</v>
      </c>
      <c r="O794" s="580"/>
      <c r="P794" s="670" t="str">
        <f>VLOOKUP(A794,'[1]Raw data'!$B:$BA,23,FALSE)</f>
        <v>JPY</v>
      </c>
      <c r="Q794" s="652" t="str">
        <f>VLOOKUP(A794,'[1]Raw data'!$B:$Z,2,FALSE)</f>
        <v>C49SZX20210117JY</v>
      </c>
      <c r="R794" s="652" t="str">
        <f>VLOOKUP(A794,'[1]Raw data'!$B:$Z,3,FALSE)</f>
        <v>精德鸿</v>
      </c>
      <c r="S794" s="652" t="str">
        <f>VLOOKUP(A794,'[1]Raw data'!$B:$Z,4,FALSE)</f>
        <v>YSM20R-2</v>
      </c>
      <c r="T794" s="652" t="str">
        <f>VLOOKUP(A794,'[1]Raw data'!$B:$Z,8,FALSE)</f>
        <v>L-&gt;R</v>
      </c>
      <c r="U794" s="652" t="str">
        <f>VLOOKUP(A794,'[1]Raw data'!$B:$Z,9,FALSE)</f>
        <v>No</v>
      </c>
      <c r="V794" s="572" t="str">
        <f t="shared" si="133"/>
        <v>OK</v>
      </c>
      <c r="W794" s="568" t="str">
        <f>VLOOKUP(A794,'[1]Raw data'!$B:$AG,32,FALSE)</f>
        <v>DAP SZ</v>
      </c>
      <c r="X794" s="652">
        <f>VLOOKUP(A794,'[1]Raw data'!$B:$BA,31,FALSE)</f>
        <v>44306</v>
      </c>
      <c r="Y794" s="652" t="str">
        <f>VLOOKUP(A794,'[1]Raw data'!$B:$AS,39,FALSE)</f>
        <v>Yes</v>
      </c>
      <c r="Z794" s="664"/>
      <c r="AA794" s="665"/>
      <c r="AB794" s="666"/>
      <c r="AC794" s="652" t="s">
        <v>1389</v>
      </c>
      <c r="AD794" s="667">
        <v>301</v>
      </c>
      <c r="AE794" s="667">
        <v>10</v>
      </c>
      <c r="AF794" s="667">
        <v>302</v>
      </c>
      <c r="AG794" s="667">
        <v>10</v>
      </c>
      <c r="AH794" s="667"/>
      <c r="AI794" s="668"/>
      <c r="AN794" s="547"/>
      <c r="AO794" s="829" t="str">
        <f t="shared" si="122"/>
        <v>Yes</v>
      </c>
      <c r="AP794" s="259" t="str">
        <f t="shared" si="123"/>
        <v>MAY 21</v>
      </c>
      <c r="AQ794" s="547" t="str">
        <f t="shared" si="124"/>
        <v>有定金+有預留客戶</v>
      </c>
      <c r="AR794" s="259" t="str">
        <f t="shared" si="125"/>
        <v>Shipped_Stock</v>
      </c>
      <c r="AS794" s="259" t="str">
        <f t="shared" si="126"/>
        <v/>
      </c>
      <c r="AT794" s="259" t="str">
        <f t="shared" si="127"/>
        <v>精德鸿</v>
      </c>
      <c r="AU794" s="259" t="str">
        <f t="shared" si="128"/>
        <v>C49SZX20210117JY</v>
      </c>
      <c r="AV794" s="259" t="str">
        <f t="shared" si="129"/>
        <v>Apr-23</v>
      </c>
    </row>
    <row r="795" spans="1:48" ht="12" hidden="1" customHeight="1">
      <c r="A795" s="564">
        <v>1252</v>
      </c>
      <c r="B795" s="669" t="s">
        <v>1125</v>
      </c>
      <c r="C795" s="669" t="s">
        <v>281</v>
      </c>
      <c r="D795" s="650">
        <v>110245</v>
      </c>
      <c r="E795" s="568" t="s">
        <v>886</v>
      </c>
      <c r="F795" s="652" t="s">
        <v>58</v>
      </c>
      <c r="G795" s="652" t="s">
        <v>24</v>
      </c>
      <c r="H795" s="652" t="s">
        <v>26</v>
      </c>
      <c r="I795" s="580" t="s">
        <v>1577</v>
      </c>
      <c r="J795" s="580">
        <v>1</v>
      </c>
      <c r="K795" s="652" t="s">
        <v>81</v>
      </c>
      <c r="L795" s="662">
        <v>44309</v>
      </c>
      <c r="M795" s="670" t="s">
        <v>906</v>
      </c>
      <c r="N795" s="652" t="s">
        <v>110</v>
      </c>
      <c r="O795" s="580"/>
      <c r="P795" s="670" t="str">
        <f>VLOOKUP(A795,'[1]Raw data'!$B:$BA,23,FALSE)</f>
        <v>JPY</v>
      </c>
      <c r="Q795" s="652" t="str">
        <f>VLOOKUP(A795,'[1]Raw data'!$B:$Z,2,FALSE)</f>
        <v>C49SZX20210076JZ</v>
      </c>
      <c r="R795" s="652" t="str">
        <f>VLOOKUP(A795,'[1]Raw data'!$B:$Z,3,FALSE)</f>
        <v>圣亨</v>
      </c>
      <c r="S795" s="652" t="str">
        <f>VLOOKUP(A795,'[1]Raw data'!$B:$Z,4,FALSE)</f>
        <v>YSM20R-2</v>
      </c>
      <c r="T795" s="652" t="str">
        <f>VLOOKUP(A795,'[1]Raw data'!$B:$Z,8,FALSE)</f>
        <v>L-&gt;R</v>
      </c>
      <c r="U795" s="652" t="str">
        <f>VLOOKUP(A795,'[1]Raw data'!$B:$Z,9,FALSE)</f>
        <v>No</v>
      </c>
      <c r="V795" s="572" t="str">
        <f t="shared" si="133"/>
        <v>OK</v>
      </c>
      <c r="W795" s="568" t="str">
        <f>VLOOKUP(A795,'[1]Raw data'!$B:$AG,32,FALSE)</f>
        <v>DAP DG</v>
      </c>
      <c r="X795" s="652">
        <f>VLOOKUP(A795,'[1]Raw data'!$B:$BA,31,FALSE)</f>
        <v>44266</v>
      </c>
      <c r="Y795" s="652" t="str">
        <f>VLOOKUP(A795,'[1]Raw data'!$B:$AS,39,FALSE)</f>
        <v>Yes</v>
      </c>
      <c r="Z795" s="664"/>
      <c r="AA795" s="665"/>
      <c r="AB795" s="666"/>
      <c r="AC795" s="652" t="s">
        <v>1578</v>
      </c>
      <c r="AD795" s="667">
        <v>301</v>
      </c>
      <c r="AE795" s="667">
        <v>10</v>
      </c>
      <c r="AF795" s="667">
        <v>302</v>
      </c>
      <c r="AG795" s="667">
        <v>10</v>
      </c>
      <c r="AH795" s="667"/>
      <c r="AI795" s="668"/>
      <c r="AN795" s="547"/>
      <c r="AO795" s="829" t="str">
        <f t="shared" si="122"/>
        <v>Yes</v>
      </c>
      <c r="AP795" s="259" t="str">
        <f t="shared" si="123"/>
        <v>MAY 21</v>
      </c>
      <c r="AQ795" s="547" t="str">
        <f t="shared" si="124"/>
        <v>有定金+有預留客戶</v>
      </c>
      <c r="AR795" s="259" t="str">
        <f t="shared" si="125"/>
        <v>Shipped_Stock</v>
      </c>
      <c r="AS795" s="259" t="str">
        <f t="shared" si="126"/>
        <v/>
      </c>
      <c r="AT795" s="259" t="str">
        <f t="shared" si="127"/>
        <v>圣亨</v>
      </c>
      <c r="AU795" s="259" t="str">
        <f t="shared" si="128"/>
        <v>C49SZX20210076JZ</v>
      </c>
      <c r="AV795" s="259" t="str">
        <f t="shared" si="129"/>
        <v>Apr-23</v>
      </c>
    </row>
    <row r="796" spans="1:48" ht="11.85" hidden="1" customHeight="1">
      <c r="A796" s="564">
        <v>1152</v>
      </c>
      <c r="B796" s="669" t="s">
        <v>1125</v>
      </c>
      <c r="C796" s="669" t="s">
        <v>281</v>
      </c>
      <c r="D796" s="650">
        <v>110245</v>
      </c>
      <c r="E796" s="568" t="s">
        <v>886</v>
      </c>
      <c r="F796" s="652" t="s">
        <v>58</v>
      </c>
      <c r="G796" s="652" t="s">
        <v>24</v>
      </c>
      <c r="H796" s="652" t="s">
        <v>26</v>
      </c>
      <c r="I796" s="580" t="s">
        <v>189</v>
      </c>
      <c r="J796" s="580">
        <v>1</v>
      </c>
      <c r="K796" s="652"/>
      <c r="L796" s="662">
        <v>44309</v>
      </c>
      <c r="M796" s="670" t="s">
        <v>906</v>
      </c>
      <c r="N796" s="652" t="s">
        <v>90</v>
      </c>
      <c r="O796" s="580"/>
      <c r="P796" s="670" t="str">
        <f>VLOOKUP(A796,'[1]Raw data'!$B:$BA,23,FALSE)</f>
        <v>JPY</v>
      </c>
      <c r="Q796" s="652" t="str">
        <f>VLOOKUP(A796,'[1]Raw data'!$B:$Z,2,FALSE)</f>
        <v>C49SZX20210051JY</v>
      </c>
      <c r="R796" s="652" t="str">
        <f>VLOOKUP(A796,'[1]Raw data'!$B:$Z,3,FALSE)</f>
        <v>络鑫（end user:东莞络鑫）</v>
      </c>
      <c r="S796" s="652" t="str">
        <f>VLOOKUP(A796,'[1]Raw data'!$B:$Z,4,FALSE)</f>
        <v>YSM20R-2</v>
      </c>
      <c r="T796" s="652" t="str">
        <f>VLOOKUP(A796,'[1]Raw data'!$B:$Z,8,FALSE)</f>
        <v>L-&gt;R</v>
      </c>
      <c r="U796" s="652" t="str">
        <f>VLOOKUP(A796,'[1]Raw data'!$B:$Z,9,FALSE)</f>
        <v>No</v>
      </c>
      <c r="V796" s="572" t="str">
        <f t="shared" si="133"/>
        <v>OK</v>
      </c>
      <c r="W796" s="568" t="str">
        <f>VLOOKUP(A796,'[1]Raw data'!$B:$AG,32,FALSE)</f>
        <v>CIF HK</v>
      </c>
      <c r="X796" s="652">
        <f>VLOOKUP(A796,'[1]Raw data'!$B:$BA,31,FALSE)</f>
        <v>44259</v>
      </c>
      <c r="Y796" s="652" t="str">
        <f>VLOOKUP(A796,'[1]Raw data'!$B:$AS,39,FALSE)</f>
        <v>Yes</v>
      </c>
      <c r="Z796" s="664"/>
      <c r="AA796" s="665"/>
      <c r="AB796" s="666"/>
      <c r="AC796" s="652" t="s">
        <v>1390</v>
      </c>
      <c r="AD796" s="667">
        <v>301</v>
      </c>
      <c r="AE796" s="667">
        <v>10</v>
      </c>
      <c r="AF796" s="667">
        <v>302</v>
      </c>
      <c r="AG796" s="667">
        <v>10</v>
      </c>
      <c r="AH796" s="667"/>
      <c r="AI796" s="668"/>
      <c r="AN796" s="547"/>
      <c r="AO796" s="829" t="str">
        <f t="shared" si="122"/>
        <v>Yes</v>
      </c>
      <c r="AP796" s="259" t="str">
        <f t="shared" si="123"/>
        <v>APR 21</v>
      </c>
      <c r="AQ796" s="547" t="str">
        <f t="shared" si="124"/>
        <v>有定金+有預留客戶</v>
      </c>
      <c r="AR796" s="259" t="str">
        <f t="shared" si="125"/>
        <v>Shipped_Stock</v>
      </c>
      <c r="AS796" s="259" t="str">
        <f t="shared" si="126"/>
        <v/>
      </c>
      <c r="AT796" s="259" t="str">
        <f t="shared" si="127"/>
        <v>络鑫（end user:东莞络鑫）</v>
      </c>
      <c r="AU796" s="259" t="str">
        <f t="shared" si="128"/>
        <v>C49SZX20210051JY</v>
      </c>
      <c r="AV796" s="259" t="str">
        <f t="shared" si="129"/>
        <v>Apr-23</v>
      </c>
    </row>
    <row r="797" spans="1:48" hidden="1">
      <c r="A797" s="564">
        <v>1163</v>
      </c>
      <c r="B797" s="669" t="s">
        <v>1125</v>
      </c>
      <c r="C797" s="669" t="s">
        <v>281</v>
      </c>
      <c r="D797" s="650">
        <v>110271</v>
      </c>
      <c r="E797" s="651" t="s">
        <v>1552</v>
      </c>
      <c r="F797" s="652" t="s">
        <v>17</v>
      </c>
      <c r="G797" s="652" t="s">
        <v>18</v>
      </c>
      <c r="H797" s="652" t="s">
        <v>27</v>
      </c>
      <c r="I797" s="580" t="s">
        <v>142</v>
      </c>
      <c r="J797" s="580">
        <v>1</v>
      </c>
      <c r="K797" s="652" t="s">
        <v>78</v>
      </c>
      <c r="L797" s="662">
        <v>44316</v>
      </c>
      <c r="M797" s="670" t="s">
        <v>906</v>
      </c>
      <c r="N797" s="652" t="s">
        <v>110</v>
      </c>
      <c r="O797" s="580"/>
      <c r="P797" s="670" t="str">
        <f>VLOOKUP(A797,'[1]Raw data'!$B:$BA,23,FALSE)</f>
        <v>JPY</v>
      </c>
      <c r="Q797" s="652" t="str">
        <f>VLOOKUP(A797,'[1]Raw data'!$B:$Z,2,FALSE)</f>
        <v>C49SZX20210059EC</v>
      </c>
      <c r="R797" s="652" t="str">
        <f>VLOOKUP(A797,'[1]Raw data'!$B:$Z,3,FALSE)</f>
        <v>骏孚</v>
      </c>
      <c r="S797" s="652" t="str">
        <f>VLOOKUP(A797,'[1]Raw data'!$B:$Z,4,FALSE)</f>
        <v>YSM10</v>
      </c>
      <c r="T797" s="652" t="str">
        <f>VLOOKUP(A797,'[1]Raw data'!$B:$Z,8,FALSE)</f>
        <v>R-&gt;L</v>
      </c>
      <c r="U797" s="652" t="str">
        <f>VLOOKUP(A797,'[1]Raw data'!$B:$Z,9,FALSE)</f>
        <v>MVC</v>
      </c>
      <c r="V797" s="572" t="str">
        <f t="shared" ref="V797:V801" si="134">IF(G797&amp;H797=T797&amp;U797,"OK","WRONG")</f>
        <v>OK</v>
      </c>
      <c r="W797" s="568" t="str">
        <f>VLOOKUP(A797,'[1]Raw data'!$B:$AG,32,FALSE)</f>
        <v>DAP GZ</v>
      </c>
      <c r="X797" s="652">
        <f>VLOOKUP(A797,'[1]Raw data'!$B:$BA,31,FALSE)</f>
        <v>44256</v>
      </c>
      <c r="Y797" s="652" t="str">
        <f>VLOOKUP(A797,'[1]Raw data'!$B:$AS,39,FALSE)</f>
        <v>Yes</v>
      </c>
      <c r="Z797" s="664"/>
      <c r="AA797" s="665"/>
      <c r="AB797" s="666"/>
      <c r="AC797" s="652" t="s">
        <v>1579</v>
      </c>
      <c r="AD797" s="667">
        <v>301</v>
      </c>
      <c r="AE797" s="667">
        <v>10</v>
      </c>
      <c r="AF797" s="667"/>
      <c r="AG797" s="667"/>
      <c r="AH797" s="667"/>
      <c r="AI797" s="668"/>
      <c r="AN797" s="547"/>
      <c r="AO797" s="829" t="str">
        <f t="shared" si="122"/>
        <v>Yes</v>
      </c>
      <c r="AP797" s="259" t="str">
        <f t="shared" si="123"/>
        <v>MAY 21</v>
      </c>
      <c r="AQ797" s="547" t="str">
        <f t="shared" si="124"/>
        <v>有定金+有預留客戶</v>
      </c>
      <c r="AR797" s="259" t="str">
        <f t="shared" si="125"/>
        <v>Shipped_Stock</v>
      </c>
      <c r="AS797" s="259" t="str">
        <f t="shared" si="126"/>
        <v/>
      </c>
      <c r="AT797" s="259" t="str">
        <f t="shared" si="127"/>
        <v>骏孚</v>
      </c>
      <c r="AU797" s="259" t="str">
        <f t="shared" si="128"/>
        <v>C49SZX20210059EC</v>
      </c>
      <c r="AV797" s="259" t="str">
        <f t="shared" si="129"/>
        <v>Apr-30</v>
      </c>
    </row>
    <row r="798" spans="1:48" hidden="1">
      <c r="A798" s="564">
        <v>1076</v>
      </c>
      <c r="B798" s="669" t="s">
        <v>1125</v>
      </c>
      <c r="C798" s="669" t="s">
        <v>281</v>
      </c>
      <c r="D798" s="650">
        <v>110271</v>
      </c>
      <c r="E798" s="651" t="s">
        <v>1552</v>
      </c>
      <c r="F798" s="652" t="s">
        <v>17</v>
      </c>
      <c r="G798" s="652" t="s">
        <v>18</v>
      </c>
      <c r="H798" s="652" t="s">
        <v>27</v>
      </c>
      <c r="I798" s="580" t="s">
        <v>141</v>
      </c>
      <c r="J798" s="580">
        <v>1</v>
      </c>
      <c r="K798" s="652" t="s">
        <v>78</v>
      </c>
      <c r="L798" s="662">
        <v>44316</v>
      </c>
      <c r="M798" s="670" t="s">
        <v>906</v>
      </c>
      <c r="N798" s="652" t="s">
        <v>110</v>
      </c>
      <c r="O798" s="580"/>
      <c r="P798" s="670" t="str">
        <f>VLOOKUP(A798,'[1]Raw data'!$B:$BA,23,FALSE)</f>
        <v>JPY</v>
      </c>
      <c r="Q798" s="652" t="str">
        <f>VLOOKUP(A798,'[1]Raw data'!$B:$Z,2,FALSE)</f>
        <v>C49SZX20210009MZ</v>
      </c>
      <c r="R798" s="652" t="str">
        <f>VLOOKUP(A798,'[1]Raw data'!$B:$Z,3,FALSE)</f>
        <v>奥视通</v>
      </c>
      <c r="S798" s="652" t="str">
        <f>VLOOKUP(A798,'[1]Raw data'!$B:$Z,4,FALSE)</f>
        <v>YSM10</v>
      </c>
      <c r="T798" s="652" t="str">
        <f>VLOOKUP(A798,'[1]Raw data'!$B:$Z,8,FALSE)</f>
        <v>L-&gt;R</v>
      </c>
      <c r="U798" s="652" t="str">
        <f>VLOOKUP(A798,'[1]Raw data'!$B:$Z,9,FALSE)</f>
        <v>MVC</v>
      </c>
      <c r="V798" s="572" t="str">
        <f t="shared" si="134"/>
        <v>WRONG</v>
      </c>
      <c r="W798" s="568" t="str">
        <f>VLOOKUP(A798,'[1]Raw data'!$B:$AG,32,FALSE)</f>
        <v>DAP HZ</v>
      </c>
      <c r="X798" s="652">
        <f>VLOOKUP(A798,'[1]Raw data'!$B:$BA,31,FALSE)</f>
        <v>44215</v>
      </c>
      <c r="Y798" s="652" t="str">
        <f>VLOOKUP(A798,'[1]Raw data'!$B:$AS,39,FALSE)</f>
        <v>Yes</v>
      </c>
      <c r="Z798" s="664"/>
      <c r="AA798" s="665"/>
      <c r="AB798" s="666"/>
      <c r="AC798" s="652" t="s">
        <v>1426</v>
      </c>
      <c r="AD798" s="667">
        <v>301</v>
      </c>
      <c r="AE798" s="667">
        <v>10</v>
      </c>
      <c r="AF798" s="667"/>
      <c r="AG798" s="667"/>
      <c r="AH798" s="667"/>
      <c r="AI798" s="668"/>
      <c r="AN798" s="547"/>
      <c r="AO798" s="829" t="str">
        <f t="shared" si="122"/>
        <v>Yes</v>
      </c>
      <c r="AP798" s="259" t="str">
        <f t="shared" si="123"/>
        <v>MAY 21</v>
      </c>
      <c r="AQ798" s="547" t="str">
        <f t="shared" si="124"/>
        <v>有定金+有預留客戶</v>
      </c>
      <c r="AR798" s="259" t="str">
        <f t="shared" si="125"/>
        <v>Shipped_Stock</v>
      </c>
      <c r="AS798" s="259" t="str">
        <f t="shared" si="126"/>
        <v/>
      </c>
      <c r="AT798" s="259" t="str">
        <f t="shared" si="127"/>
        <v>奥视通</v>
      </c>
      <c r="AU798" s="259" t="str">
        <f t="shared" si="128"/>
        <v>C49SZX20210009MZ</v>
      </c>
      <c r="AV798" s="259" t="str">
        <f t="shared" si="129"/>
        <v>Apr-30</v>
      </c>
    </row>
    <row r="799" spans="1:48" hidden="1">
      <c r="A799" s="564">
        <v>1166</v>
      </c>
      <c r="B799" s="669" t="s">
        <v>1125</v>
      </c>
      <c r="C799" s="669" t="s">
        <v>281</v>
      </c>
      <c r="D799" s="650">
        <v>110271</v>
      </c>
      <c r="E799" s="651" t="s">
        <v>1552</v>
      </c>
      <c r="F799" s="652" t="s">
        <v>17</v>
      </c>
      <c r="G799" s="652" t="s">
        <v>18</v>
      </c>
      <c r="H799" s="652" t="s">
        <v>27</v>
      </c>
      <c r="I799" s="580" t="s">
        <v>140</v>
      </c>
      <c r="J799" s="580">
        <v>1</v>
      </c>
      <c r="K799" s="652" t="s">
        <v>78</v>
      </c>
      <c r="L799" s="662">
        <v>44316</v>
      </c>
      <c r="M799" s="670" t="s">
        <v>906</v>
      </c>
      <c r="N799" s="652" t="s">
        <v>110</v>
      </c>
      <c r="O799" s="580"/>
      <c r="P799" s="670" t="str">
        <f>VLOOKUP(A799,'[1]Raw data'!$B:$BA,23,FALSE)</f>
        <v>JPY</v>
      </c>
      <c r="Q799" s="652" t="str">
        <f>VLOOKUP(A799,'[1]Raw data'!$B:$Z,2,FALSE)</f>
        <v>C49SZX20210060SX</v>
      </c>
      <c r="R799" s="652" t="str">
        <f>VLOOKUP(A799,'[1]Raw data'!$B:$Z,3,FALSE)</f>
        <v>岚新</v>
      </c>
      <c r="S799" s="652" t="str">
        <f>VLOOKUP(A799,'[1]Raw data'!$B:$Z,4,FALSE)</f>
        <v>YSM10</v>
      </c>
      <c r="T799" s="652" t="str">
        <f>VLOOKUP(A799,'[1]Raw data'!$B:$Z,8,FALSE)</f>
        <v>L-&gt;R</v>
      </c>
      <c r="U799" s="652" t="str">
        <f>VLOOKUP(A799,'[1]Raw data'!$B:$Z,9,FALSE)</f>
        <v>MVC</v>
      </c>
      <c r="V799" s="572" t="str">
        <f t="shared" si="134"/>
        <v>WRONG</v>
      </c>
      <c r="W799" s="568" t="str">
        <f>VLOOKUP(A799,'[1]Raw data'!$B:$AG,32,FALSE)</f>
        <v>DAP DG</v>
      </c>
      <c r="X799" s="652">
        <f>VLOOKUP(A799,'[1]Raw data'!$B:$BA,31,FALSE)</f>
        <v>44256</v>
      </c>
      <c r="Y799" s="652" t="str">
        <f>VLOOKUP(A799,'[1]Raw data'!$B:$AS,39,FALSE)</f>
        <v>Yes</v>
      </c>
      <c r="Z799" s="664"/>
      <c r="AA799" s="665"/>
      <c r="AB799" s="666"/>
      <c r="AC799" s="652" t="s">
        <v>1460</v>
      </c>
      <c r="AD799" s="667">
        <v>301</v>
      </c>
      <c r="AE799" s="667">
        <v>10</v>
      </c>
      <c r="AF799" s="667"/>
      <c r="AG799" s="667"/>
      <c r="AH799" s="667"/>
      <c r="AI799" s="668"/>
      <c r="AN799" s="547"/>
      <c r="AO799" s="829" t="str">
        <f t="shared" si="122"/>
        <v>Yes</v>
      </c>
      <c r="AP799" s="259" t="str">
        <f t="shared" si="123"/>
        <v>MAY 21</v>
      </c>
      <c r="AQ799" s="547" t="str">
        <f t="shared" si="124"/>
        <v>有定金+有預留客戶</v>
      </c>
      <c r="AR799" s="259" t="str">
        <f t="shared" si="125"/>
        <v>Shipped_Stock</v>
      </c>
      <c r="AS799" s="259" t="str">
        <f t="shared" si="126"/>
        <v/>
      </c>
      <c r="AT799" s="259" t="str">
        <f t="shared" si="127"/>
        <v>岚新</v>
      </c>
      <c r="AU799" s="259" t="str">
        <f t="shared" si="128"/>
        <v>C49SZX20210060SX</v>
      </c>
      <c r="AV799" s="259" t="str">
        <f t="shared" si="129"/>
        <v>Apr-30</v>
      </c>
    </row>
    <row r="800" spans="1:48" hidden="1">
      <c r="A800" s="564">
        <v>1075</v>
      </c>
      <c r="B800" s="669" t="s">
        <v>1125</v>
      </c>
      <c r="C800" s="669" t="s">
        <v>281</v>
      </c>
      <c r="D800" s="650">
        <v>110271</v>
      </c>
      <c r="E800" s="651" t="s">
        <v>1552</v>
      </c>
      <c r="F800" s="652" t="s">
        <v>17</v>
      </c>
      <c r="G800" s="652" t="s">
        <v>18</v>
      </c>
      <c r="H800" s="652" t="s">
        <v>34</v>
      </c>
      <c r="I800" s="580" t="s">
        <v>139</v>
      </c>
      <c r="J800" s="580">
        <v>1</v>
      </c>
      <c r="K800" s="652" t="s">
        <v>78</v>
      </c>
      <c r="L800" s="662">
        <v>44316</v>
      </c>
      <c r="M800" s="670" t="s">
        <v>906</v>
      </c>
      <c r="N800" s="652" t="s">
        <v>110</v>
      </c>
      <c r="O800" s="580"/>
      <c r="P800" s="670" t="str">
        <f>VLOOKUP(A800,'[1]Raw data'!$B:$BA,23,FALSE)</f>
        <v>JPY</v>
      </c>
      <c r="Q800" s="652" t="str">
        <f>VLOOKUP(A800,'[1]Raw data'!$B:$Z,2,FALSE)</f>
        <v>C49SZX20210009MZ</v>
      </c>
      <c r="R800" s="652" t="str">
        <f>VLOOKUP(A800,'[1]Raw data'!$B:$Z,3,FALSE)</f>
        <v>奥视通</v>
      </c>
      <c r="S800" s="652" t="str">
        <f>VLOOKUP(A800,'[1]Raw data'!$B:$Z,4,FALSE)</f>
        <v>YSM10</v>
      </c>
      <c r="T800" s="652" t="str">
        <f>VLOOKUP(A800,'[1]Raw data'!$B:$Z,8,FALSE)</f>
        <v>L-&gt;R</v>
      </c>
      <c r="U800" s="652" t="str">
        <f>VLOOKUP(A800,'[1]Raw data'!$B:$Z,9,FALSE)</f>
        <v>MVC+ATS15</v>
      </c>
      <c r="V800" s="572" t="str">
        <f t="shared" si="134"/>
        <v>WRONG</v>
      </c>
      <c r="W800" s="568" t="str">
        <f>VLOOKUP(A800,'[1]Raw data'!$B:$AG,32,FALSE)</f>
        <v>DAP HZ</v>
      </c>
      <c r="X800" s="652">
        <f>VLOOKUP(A800,'[1]Raw data'!$B:$BA,31,FALSE)</f>
        <v>44215</v>
      </c>
      <c r="Y800" s="652" t="str">
        <f>VLOOKUP(A800,'[1]Raw data'!$B:$AS,39,FALSE)</f>
        <v>Yes</v>
      </c>
      <c r="Z800" s="664"/>
      <c r="AA800" s="665"/>
      <c r="AB800" s="666"/>
      <c r="AC800" s="652" t="s">
        <v>1426</v>
      </c>
      <c r="AD800" s="667">
        <v>301</v>
      </c>
      <c r="AE800" s="667">
        <v>10</v>
      </c>
      <c r="AF800" s="667"/>
      <c r="AG800" s="667"/>
      <c r="AH800" s="667"/>
      <c r="AI800" s="668"/>
      <c r="AN800" s="547"/>
      <c r="AO800" s="829" t="str">
        <f t="shared" si="122"/>
        <v>Yes</v>
      </c>
      <c r="AP800" s="259" t="str">
        <f t="shared" si="123"/>
        <v>MAY 21</v>
      </c>
      <c r="AQ800" s="547" t="str">
        <f t="shared" si="124"/>
        <v>有定金+有預留客戶</v>
      </c>
      <c r="AR800" s="259" t="str">
        <f t="shared" si="125"/>
        <v>Shipped_Stock</v>
      </c>
      <c r="AS800" s="259" t="str">
        <f t="shared" si="126"/>
        <v/>
      </c>
      <c r="AT800" s="259" t="str">
        <f t="shared" si="127"/>
        <v>奥视通</v>
      </c>
      <c r="AU800" s="259" t="str">
        <f t="shared" si="128"/>
        <v>C49SZX20210009MZ</v>
      </c>
      <c r="AV800" s="259" t="str">
        <f t="shared" si="129"/>
        <v>Apr-30</v>
      </c>
    </row>
    <row r="801" spans="1:48" hidden="1">
      <c r="A801" s="564">
        <v>1069</v>
      </c>
      <c r="B801" s="669" t="s">
        <v>1125</v>
      </c>
      <c r="C801" s="568" t="s">
        <v>4056</v>
      </c>
      <c r="D801" s="650">
        <v>110301</v>
      </c>
      <c r="E801" s="749" t="s">
        <v>1580</v>
      </c>
      <c r="F801" s="652" t="s">
        <v>201</v>
      </c>
      <c r="G801" s="652" t="s">
        <v>24</v>
      </c>
      <c r="H801" s="652" t="s">
        <v>307</v>
      </c>
      <c r="I801" s="580" t="s">
        <v>1581</v>
      </c>
      <c r="J801" s="580">
        <v>1</v>
      </c>
      <c r="K801" s="652" t="s">
        <v>78</v>
      </c>
      <c r="L801" s="662">
        <v>44316</v>
      </c>
      <c r="M801" s="670" t="s">
        <v>906</v>
      </c>
      <c r="N801" s="652" t="s">
        <v>110</v>
      </c>
      <c r="O801" s="580"/>
      <c r="P801" s="670" t="str">
        <f>VLOOKUP(A801,'[1]Raw data'!$B:$BA,23,FALSE)</f>
        <v>JPY</v>
      </c>
      <c r="Q801" s="652" t="str">
        <f>VLOOKUP(A801,'[1]Raw data'!$B:$Z,2,FALSE)</f>
        <v>C28SZX20200127RW</v>
      </c>
      <c r="R801" s="652" t="str">
        <f>VLOOKUP(A801,'[1]Raw data'!$B:$Z,3,FALSE)</f>
        <v>奕东</v>
      </c>
      <c r="S801" s="652" t="str">
        <f>VLOOKUP(A801,'[1]Raw data'!$B:$Z,4,FALSE)</f>
        <v>YSi-V</v>
      </c>
      <c r="T801" s="652" t="str">
        <f>VLOOKUP(A801,'[1]Raw data'!$B:$Z,8,FALSE)</f>
        <v>L-&gt;R</v>
      </c>
      <c r="U801" s="652" t="str">
        <f>VLOOKUP(A801,'[1]Raw data'!$B:$Z,9,FALSE)</f>
        <v>No</v>
      </c>
      <c r="V801" s="572" t="str">
        <f t="shared" si="134"/>
        <v>OK</v>
      </c>
      <c r="W801" s="568" t="str">
        <f>VLOOKUP(A801,'[1]Raw data'!$B:$AG,32,FALSE)</f>
        <v>DAP DG</v>
      </c>
      <c r="X801" s="652">
        <f>VLOOKUP(A801,'[1]Raw data'!$B:$BA,31,FALSE)</f>
        <v>44204</v>
      </c>
      <c r="Y801" s="652" t="str">
        <f>VLOOKUP(A801,'[1]Raw data'!$B:$AS,39,FALSE)</f>
        <v>Yes</v>
      </c>
      <c r="Z801" s="664"/>
      <c r="AA801" s="665"/>
      <c r="AB801" s="666"/>
      <c r="AC801" s="652" t="s">
        <v>1216</v>
      </c>
      <c r="AD801" s="667"/>
      <c r="AE801" s="667"/>
      <c r="AF801" s="667"/>
      <c r="AG801" s="667"/>
      <c r="AH801" s="667"/>
      <c r="AI801" s="668"/>
      <c r="AN801" s="547"/>
      <c r="AO801" s="829" t="str">
        <f t="shared" si="122"/>
        <v>Yes</v>
      </c>
      <c r="AP801" s="259" t="str">
        <f t="shared" si="123"/>
        <v>MAY 21</v>
      </c>
      <c r="AQ801" s="547" t="str">
        <f t="shared" si="124"/>
        <v>有定金+有預留客戶</v>
      </c>
      <c r="AR801" s="259" t="str">
        <f t="shared" si="125"/>
        <v>Shipped_Stock</v>
      </c>
      <c r="AS801" s="259" t="str">
        <f t="shared" si="126"/>
        <v/>
      </c>
      <c r="AT801" s="259" t="str">
        <f t="shared" si="127"/>
        <v>奕东</v>
      </c>
      <c r="AU801" s="259" t="str">
        <f t="shared" si="128"/>
        <v>C28SZX20200127RW</v>
      </c>
      <c r="AV801" s="259" t="str">
        <f t="shared" si="129"/>
        <v>Apr-30</v>
      </c>
    </row>
    <row r="802" spans="1:48" hidden="1">
      <c r="A802" s="564">
        <v>1228</v>
      </c>
      <c r="B802" s="669" t="s">
        <v>1125</v>
      </c>
      <c r="C802" s="669" t="s">
        <v>281</v>
      </c>
      <c r="D802" s="650">
        <v>110346</v>
      </c>
      <c r="E802" s="568" t="s">
        <v>886</v>
      </c>
      <c r="F802" s="652" t="s">
        <v>58</v>
      </c>
      <c r="G802" s="652" t="s">
        <v>24</v>
      </c>
      <c r="H802" s="652" t="s">
        <v>307</v>
      </c>
      <c r="I802" s="580" t="s">
        <v>171</v>
      </c>
      <c r="J802" s="580">
        <v>1</v>
      </c>
      <c r="K802" s="652" t="s">
        <v>81</v>
      </c>
      <c r="L802" s="662">
        <v>44318</v>
      </c>
      <c r="M802" s="670" t="s">
        <v>906</v>
      </c>
      <c r="N802" s="652" t="s">
        <v>96</v>
      </c>
      <c r="O802" s="580"/>
      <c r="P802" s="670" t="str">
        <f>VLOOKUP(A802,'[1]Raw data'!$B:$BA,23,FALSE)</f>
        <v>JPY</v>
      </c>
      <c r="Q802" s="652" t="str">
        <f>VLOOKUP(A802,'[1]Raw data'!$B:$Z,2,FALSE)</f>
        <v>C49SZX20210035SX</v>
      </c>
      <c r="R802" s="652" t="str">
        <f>VLOOKUP(A802,'[1]Raw data'!$B:$Z,3,FALSE)</f>
        <v>巴科</v>
      </c>
      <c r="S802" s="652" t="str">
        <f>VLOOKUP(A802,'[1]Raw data'!$B:$Z,4,FALSE)</f>
        <v>YSM20R-2</v>
      </c>
      <c r="T802" s="652" t="str">
        <f>VLOOKUP(A802,'[1]Raw data'!$B:$Z,8,FALSE)</f>
        <v>L-&gt;R</v>
      </c>
      <c r="U802" s="652" t="str">
        <f>VLOOKUP(A802,'[1]Raw data'!$B:$Z,9,FALSE)</f>
        <v>No</v>
      </c>
      <c r="V802" s="572" t="str">
        <f t="shared" ref="V802:V805" si="135">IF(G802&amp;H802=T802&amp;U802,"OK","WRONG")</f>
        <v>OK</v>
      </c>
      <c r="W802" s="568" t="str">
        <f>VLOOKUP(A802,'[1]Raw data'!$B:$AG,32,FALSE)</f>
        <v>CIF HK</v>
      </c>
      <c r="X802" s="652">
        <f>VLOOKUP(A802,'[1]Raw data'!$B:$BA,31,FALSE)</f>
        <v>44264</v>
      </c>
      <c r="Y802" s="652" t="str">
        <f>VLOOKUP(A802,'[1]Raw data'!$B:$AS,39,FALSE)</f>
        <v>Yes</v>
      </c>
      <c r="Z802" s="664"/>
      <c r="AA802" s="665"/>
      <c r="AB802" s="666"/>
      <c r="AC802" s="652" t="s">
        <v>1582</v>
      </c>
      <c r="AD802" s="667">
        <v>301</v>
      </c>
      <c r="AE802" s="667">
        <v>10</v>
      </c>
      <c r="AF802" s="667">
        <v>304</v>
      </c>
      <c r="AG802" s="667">
        <v>10</v>
      </c>
      <c r="AH802" s="667"/>
      <c r="AI802" s="668"/>
      <c r="AN802" s="547"/>
      <c r="AO802" s="829" t="str">
        <f t="shared" si="122"/>
        <v>Yes</v>
      </c>
      <c r="AP802" s="259" t="str">
        <f t="shared" si="123"/>
        <v>JUN 21</v>
      </c>
      <c r="AQ802" s="547" t="str">
        <f t="shared" si="124"/>
        <v>有定金+有預留客戶</v>
      </c>
      <c r="AR802" s="259" t="str">
        <f t="shared" si="125"/>
        <v>Shipped_Stock</v>
      </c>
      <c r="AS802" s="259" t="str">
        <f t="shared" si="126"/>
        <v/>
      </c>
      <c r="AT802" s="259" t="str">
        <f t="shared" si="127"/>
        <v>巴科</v>
      </c>
      <c r="AU802" s="259" t="str">
        <f t="shared" si="128"/>
        <v>C49SZX20210035SX</v>
      </c>
      <c r="AV802" s="259" t="str">
        <f t="shared" si="129"/>
        <v>May-02</v>
      </c>
    </row>
    <row r="803" spans="1:48" hidden="1">
      <c r="A803" s="564">
        <v>1133</v>
      </c>
      <c r="B803" s="669" t="s">
        <v>1125</v>
      </c>
      <c r="C803" s="669" t="s">
        <v>281</v>
      </c>
      <c r="D803" s="650" t="s">
        <v>1583</v>
      </c>
      <c r="E803" s="568" t="s">
        <v>886</v>
      </c>
      <c r="F803" s="652" t="s">
        <v>58</v>
      </c>
      <c r="G803" s="652" t="s">
        <v>24</v>
      </c>
      <c r="H803" s="652" t="s">
        <v>307</v>
      </c>
      <c r="I803" s="580" t="s">
        <v>170</v>
      </c>
      <c r="J803" s="580">
        <v>1</v>
      </c>
      <c r="K803" s="652" t="s">
        <v>81</v>
      </c>
      <c r="L803" s="662">
        <v>44318</v>
      </c>
      <c r="M803" s="670">
        <v>6.2300000000000001E-2</v>
      </c>
      <c r="N803" s="652" t="s">
        <v>110</v>
      </c>
      <c r="O803" s="580"/>
      <c r="P803" s="670" t="str">
        <f>VLOOKUP(A803,'[1]Raw data'!$B:$BA,23,FALSE)</f>
        <v>JPY</v>
      </c>
      <c r="Q803" s="652" t="str">
        <f>VLOOKUP(A803,'[1]Raw data'!$B:$Z,2,FALSE)</f>
        <v>C49SZX20210042VG</v>
      </c>
      <c r="R803" s="652" t="str">
        <f>VLOOKUP(A803,'[1]Raw data'!$B:$Z,3,FALSE)</f>
        <v>狂热者</v>
      </c>
      <c r="S803" s="652" t="str">
        <f>VLOOKUP(A803,'[1]Raw data'!$B:$Z,4,FALSE)</f>
        <v>YSM20R-2</v>
      </c>
      <c r="T803" s="652" t="str">
        <f>VLOOKUP(A803,'[1]Raw data'!$B:$Z,8,FALSE)</f>
        <v>L-&gt;R</v>
      </c>
      <c r="U803" s="652" t="str">
        <f>VLOOKUP(A803,'[1]Raw data'!$B:$Z,9,FALSE)</f>
        <v>No</v>
      </c>
      <c r="V803" s="572" t="str">
        <f t="shared" si="135"/>
        <v>OK</v>
      </c>
      <c r="W803" s="568" t="str">
        <f>VLOOKUP(A803,'[1]Raw data'!$B:$AG,32,FALSE)</f>
        <v>DAP SZ</v>
      </c>
      <c r="X803" s="652">
        <f>VLOOKUP(A803,'[1]Raw data'!$B:$BA,31,FALSE)</f>
        <v>44231</v>
      </c>
      <c r="Y803" s="652" t="str">
        <f>VLOOKUP(A803,'[1]Raw data'!$B:$AS,39,FALSE)</f>
        <v>Yes</v>
      </c>
      <c r="Z803" s="664"/>
      <c r="AA803" s="665"/>
      <c r="AB803" s="666"/>
      <c r="AC803" s="652" t="s">
        <v>1558</v>
      </c>
      <c r="AD803" s="667">
        <v>302</v>
      </c>
      <c r="AE803" s="667">
        <v>20</v>
      </c>
      <c r="AF803" s="667"/>
      <c r="AG803" s="667"/>
      <c r="AH803" s="667"/>
      <c r="AI803" s="668"/>
      <c r="AN803" s="547"/>
      <c r="AO803" s="829" t="str">
        <f t="shared" si="122"/>
        <v>Yes</v>
      </c>
      <c r="AP803" s="259" t="str">
        <f t="shared" si="123"/>
        <v>MAY 21</v>
      </c>
      <c r="AQ803" s="547" t="str">
        <f t="shared" si="124"/>
        <v>有定金+有預留客戶</v>
      </c>
      <c r="AR803" s="259" t="str">
        <f t="shared" si="125"/>
        <v>Shipped_Stock</v>
      </c>
      <c r="AS803" s="259" t="str">
        <f t="shared" si="126"/>
        <v/>
      </c>
      <c r="AT803" s="259" t="str">
        <f t="shared" si="127"/>
        <v>狂热者</v>
      </c>
      <c r="AU803" s="259" t="str">
        <f t="shared" si="128"/>
        <v>C49SZX20210042VG</v>
      </c>
      <c r="AV803" s="259" t="str">
        <f t="shared" si="129"/>
        <v>May-02</v>
      </c>
    </row>
    <row r="804" spans="1:48" hidden="1">
      <c r="A804" s="564">
        <v>1253</v>
      </c>
      <c r="B804" s="669" t="s">
        <v>1125</v>
      </c>
      <c r="C804" s="669" t="s">
        <v>281</v>
      </c>
      <c r="D804" s="650">
        <v>110346</v>
      </c>
      <c r="E804" s="568" t="s">
        <v>886</v>
      </c>
      <c r="F804" s="652" t="s">
        <v>58</v>
      </c>
      <c r="G804" s="652" t="s">
        <v>24</v>
      </c>
      <c r="H804" s="652" t="s">
        <v>307</v>
      </c>
      <c r="I804" s="580" t="s">
        <v>169</v>
      </c>
      <c r="J804" s="580">
        <v>1</v>
      </c>
      <c r="K804" s="652" t="s">
        <v>81</v>
      </c>
      <c r="L804" s="662">
        <v>44318</v>
      </c>
      <c r="M804" s="670" t="s">
        <v>906</v>
      </c>
      <c r="N804" s="652" t="s">
        <v>110</v>
      </c>
      <c r="O804" s="580"/>
      <c r="P804" s="670" t="str">
        <f>VLOOKUP(A804,'[1]Raw data'!$B:$BA,23,FALSE)</f>
        <v>JPY</v>
      </c>
      <c r="Q804" s="652" t="str">
        <f>VLOOKUP(A804,'[1]Raw data'!$B:$Z,2,FALSE)</f>
        <v>C49SZX20210076JZ</v>
      </c>
      <c r="R804" s="652" t="str">
        <f>VLOOKUP(A804,'[1]Raw data'!$B:$Z,3,FALSE)</f>
        <v>圣亨</v>
      </c>
      <c r="S804" s="652" t="str">
        <f>VLOOKUP(A804,'[1]Raw data'!$B:$Z,4,FALSE)</f>
        <v>YSM20R-2</v>
      </c>
      <c r="T804" s="652" t="str">
        <f>VLOOKUP(A804,'[1]Raw data'!$B:$Z,8,FALSE)</f>
        <v>L-&gt;R</v>
      </c>
      <c r="U804" s="652" t="str">
        <f>VLOOKUP(A804,'[1]Raw data'!$B:$Z,9,FALSE)</f>
        <v>No</v>
      </c>
      <c r="V804" s="572" t="str">
        <f t="shared" si="135"/>
        <v>OK</v>
      </c>
      <c r="W804" s="568" t="str">
        <f>VLOOKUP(A804,'[1]Raw data'!$B:$AG,32,FALSE)</f>
        <v>DAP DG</v>
      </c>
      <c r="X804" s="652">
        <f>VLOOKUP(A804,'[1]Raw data'!$B:$BA,31,FALSE)</f>
        <v>44266</v>
      </c>
      <c r="Y804" s="652" t="str">
        <f>VLOOKUP(A804,'[1]Raw data'!$B:$AS,39,FALSE)</f>
        <v>Yes</v>
      </c>
      <c r="Z804" s="664"/>
      <c r="AA804" s="665"/>
      <c r="AB804" s="666"/>
      <c r="AC804" s="652" t="s">
        <v>1578</v>
      </c>
      <c r="AD804" s="667">
        <v>302</v>
      </c>
      <c r="AE804" s="667">
        <v>20</v>
      </c>
      <c r="AF804" s="667"/>
      <c r="AG804" s="667"/>
      <c r="AH804" s="667"/>
      <c r="AI804" s="668"/>
      <c r="AN804" s="547"/>
      <c r="AO804" s="829" t="str">
        <f t="shared" si="122"/>
        <v>Yes</v>
      </c>
      <c r="AP804" s="259" t="str">
        <f t="shared" si="123"/>
        <v>MAY 21</v>
      </c>
      <c r="AQ804" s="547" t="str">
        <f t="shared" si="124"/>
        <v>有定金+有預留客戶</v>
      </c>
      <c r="AR804" s="259" t="str">
        <f t="shared" si="125"/>
        <v>Shipped_Stock</v>
      </c>
      <c r="AS804" s="259" t="str">
        <f t="shared" si="126"/>
        <v/>
      </c>
      <c r="AT804" s="259" t="str">
        <f t="shared" si="127"/>
        <v>圣亨</v>
      </c>
      <c r="AU804" s="259" t="str">
        <f t="shared" si="128"/>
        <v>C49SZX20210076JZ</v>
      </c>
      <c r="AV804" s="259" t="str">
        <f t="shared" si="129"/>
        <v>May-02</v>
      </c>
    </row>
    <row r="805" spans="1:48" hidden="1">
      <c r="A805" s="564">
        <v>1149</v>
      </c>
      <c r="B805" s="669" t="s">
        <v>1125</v>
      </c>
      <c r="C805" s="669" t="s">
        <v>281</v>
      </c>
      <c r="D805" s="650" t="s">
        <v>1584</v>
      </c>
      <c r="E805" s="568" t="s">
        <v>886</v>
      </c>
      <c r="F805" s="652" t="s">
        <v>58</v>
      </c>
      <c r="G805" s="652" t="s">
        <v>24</v>
      </c>
      <c r="H805" s="652" t="s">
        <v>307</v>
      </c>
      <c r="I805" s="580" t="s">
        <v>168</v>
      </c>
      <c r="J805" s="580">
        <v>1</v>
      </c>
      <c r="K805" s="652" t="s">
        <v>81</v>
      </c>
      <c r="L805" s="662">
        <v>44318</v>
      </c>
      <c r="M805" s="670">
        <v>5.9900000000000002E-2</v>
      </c>
      <c r="N805" s="652" t="s">
        <v>110</v>
      </c>
      <c r="O805" s="580"/>
      <c r="P805" s="670" t="str">
        <f>VLOOKUP(A805,'[1]Raw data'!$B:$BA,23,FALSE)</f>
        <v>RMB</v>
      </c>
      <c r="Q805" s="652" t="str">
        <f>VLOOKUP(A805,'[1]Raw data'!$B:$Z,2,FALSE)</f>
        <v>C49SZX20210055SS</v>
      </c>
      <c r="R805" s="652" t="str">
        <f>VLOOKUP(A805,'[1]Raw data'!$B:$Z,3,FALSE)</f>
        <v>中润互联</v>
      </c>
      <c r="S805" s="652" t="str">
        <f>VLOOKUP(A805,'[1]Raw data'!$B:$Z,4,FALSE)</f>
        <v>YSM20R-2</v>
      </c>
      <c r="T805" s="652" t="str">
        <f>VLOOKUP(A805,'[1]Raw data'!$B:$Z,8,FALSE)</f>
        <v>L-&gt;R</v>
      </c>
      <c r="U805" s="652" t="str">
        <f>VLOOKUP(A805,'[1]Raw data'!$B:$Z,9,FALSE)</f>
        <v>No</v>
      </c>
      <c r="V805" s="572" t="str">
        <f t="shared" si="135"/>
        <v>OK</v>
      </c>
      <c r="W805" s="568" t="str">
        <f>VLOOKUP(A805,'[1]Raw data'!$B:$AG,32,FALSE)</f>
        <v>含税到厂</v>
      </c>
      <c r="X805" s="652">
        <f>VLOOKUP(A805,'[1]Raw data'!$B:$BA,31,FALSE)</f>
        <v>44249</v>
      </c>
      <c r="Y805" s="652" t="str">
        <f>VLOOKUP(A805,'[1]Raw data'!$B:$AS,39,FALSE)</f>
        <v>Yes</v>
      </c>
      <c r="Z805" s="664"/>
      <c r="AA805" s="665"/>
      <c r="AB805" s="666"/>
      <c r="AC805" s="568" t="s">
        <v>936</v>
      </c>
      <c r="AD805" s="667">
        <v>302</v>
      </c>
      <c r="AE805" s="667">
        <v>20</v>
      </c>
      <c r="AF805" s="667"/>
      <c r="AG805" s="667"/>
      <c r="AH805" s="667"/>
      <c r="AI805" s="668"/>
      <c r="AN805" s="547"/>
      <c r="AO805" s="829" t="str">
        <f t="shared" si="122"/>
        <v>Yes</v>
      </c>
      <c r="AP805" s="259" t="str">
        <f t="shared" si="123"/>
        <v>MAY 21</v>
      </c>
      <c r="AQ805" s="547" t="str">
        <f t="shared" si="124"/>
        <v>有定金+有預留客戶</v>
      </c>
      <c r="AR805" s="259" t="str">
        <f t="shared" si="125"/>
        <v>Shipped_Stock</v>
      </c>
      <c r="AS805" s="259" t="str">
        <f t="shared" si="126"/>
        <v/>
      </c>
      <c r="AT805" s="259" t="str">
        <f t="shared" si="127"/>
        <v>中润互联</v>
      </c>
      <c r="AU805" s="259" t="str">
        <f t="shared" si="128"/>
        <v>C49SZX20210055SS</v>
      </c>
      <c r="AV805" s="259" t="str">
        <f t="shared" si="129"/>
        <v>May-02</v>
      </c>
    </row>
    <row r="806" spans="1:48" hidden="1">
      <c r="A806" s="564">
        <v>1324</v>
      </c>
      <c r="B806" s="669" t="s">
        <v>1125</v>
      </c>
      <c r="C806" s="669" t="s">
        <v>281</v>
      </c>
      <c r="D806" s="650">
        <v>110211</v>
      </c>
      <c r="E806" s="568" t="s">
        <v>886</v>
      </c>
      <c r="F806" s="652" t="s">
        <v>241</v>
      </c>
      <c r="G806" s="652" t="s">
        <v>18</v>
      </c>
      <c r="H806" s="652" t="s">
        <v>307</v>
      </c>
      <c r="I806" s="580" t="s">
        <v>125</v>
      </c>
      <c r="J806" s="580">
        <v>1</v>
      </c>
      <c r="K806" s="652" t="s">
        <v>81</v>
      </c>
      <c r="L806" s="662">
        <v>44318</v>
      </c>
      <c r="M806" s="670" t="s">
        <v>906</v>
      </c>
      <c r="N806" s="652" t="s">
        <v>110</v>
      </c>
      <c r="O806" s="580"/>
      <c r="P806" s="670" t="str">
        <f>VLOOKUP(A806,'[1]Raw data'!$B:$BA,23,FALSE)</f>
        <v>JPY</v>
      </c>
      <c r="Q806" s="652" t="str">
        <f>VLOOKUP(A806,'[1]Raw data'!$B:$Z,2,FALSE)</f>
        <v>C49SZX20210066JYR1</v>
      </c>
      <c r="R806" s="652" t="str">
        <f>VLOOKUP(A806,'[1]Raw data'!$B:$Z,3,FALSE)</f>
        <v>旭日伟光</v>
      </c>
      <c r="S806" s="652" t="str">
        <f>VLOOKUP(A806,'[1]Raw data'!$B:$Z,4,FALSE)</f>
        <v>YSM10</v>
      </c>
      <c r="T806" s="652" t="str">
        <f>VLOOKUP(A806,'[1]Raw data'!$B:$Z,8,FALSE)</f>
        <v>L-&gt;R</v>
      </c>
      <c r="U806" s="652" t="str">
        <f>VLOOKUP(A806,'[1]Raw data'!$B:$Z,9,FALSE)</f>
        <v>MVC</v>
      </c>
      <c r="V806" s="572" t="str">
        <f>IF(G806&amp;H806=T806&amp;U806,"OK","WRONG")</f>
        <v>WRONG</v>
      </c>
      <c r="W806" s="568" t="str">
        <f>VLOOKUP(A806,'[1]Raw data'!$B:$AG,32,FALSE)</f>
        <v>DAP SZ</v>
      </c>
      <c r="X806" s="652">
        <f>VLOOKUP(A806,'[1]Raw data'!$B:$BA,31,FALSE)</f>
        <v>44298</v>
      </c>
      <c r="Y806" s="652" t="str">
        <f>VLOOKUP(A806,'[1]Raw data'!$B:$AS,39,FALSE)</f>
        <v>Yes</v>
      </c>
      <c r="Z806" s="664"/>
      <c r="AA806" s="665"/>
      <c r="AB806" s="666"/>
      <c r="AC806" s="568" t="s">
        <v>601</v>
      </c>
      <c r="AD806" s="667">
        <v>301</v>
      </c>
      <c r="AE806" s="667">
        <v>10</v>
      </c>
      <c r="AF806" s="667"/>
      <c r="AG806" s="667"/>
      <c r="AH806" s="667"/>
      <c r="AI806" s="668"/>
      <c r="AN806" s="547"/>
      <c r="AO806" s="829" t="str">
        <f t="shared" si="122"/>
        <v>Yes</v>
      </c>
      <c r="AP806" s="259" t="str">
        <f t="shared" si="123"/>
        <v>MAY 21</v>
      </c>
      <c r="AQ806" s="547" t="str">
        <f t="shared" si="124"/>
        <v>有定金+有預留客戶</v>
      </c>
      <c r="AR806" s="259" t="str">
        <f t="shared" si="125"/>
        <v>Shipped_Stock</v>
      </c>
      <c r="AS806" s="259" t="str">
        <f t="shared" si="126"/>
        <v/>
      </c>
      <c r="AT806" s="259" t="str">
        <f t="shared" si="127"/>
        <v>旭日伟光</v>
      </c>
      <c r="AU806" s="259" t="str">
        <f t="shared" si="128"/>
        <v>C49SZX20210066JYR1</v>
      </c>
      <c r="AV806" s="259" t="str">
        <f t="shared" si="129"/>
        <v>May-02</v>
      </c>
    </row>
    <row r="807" spans="1:48" hidden="1">
      <c r="A807" s="564">
        <v>1132</v>
      </c>
      <c r="B807" s="669" t="s">
        <v>1125</v>
      </c>
      <c r="C807" s="669" t="s">
        <v>281</v>
      </c>
      <c r="D807" s="650">
        <v>110211</v>
      </c>
      <c r="E807" s="568" t="s">
        <v>886</v>
      </c>
      <c r="F807" s="652" t="s">
        <v>241</v>
      </c>
      <c r="G807" s="652" t="s">
        <v>18</v>
      </c>
      <c r="H807" s="652" t="s">
        <v>307</v>
      </c>
      <c r="I807" s="740" t="s">
        <v>123</v>
      </c>
      <c r="J807" s="580">
        <v>1</v>
      </c>
      <c r="K807" s="652" t="s">
        <v>81</v>
      </c>
      <c r="L807" s="662">
        <v>44318</v>
      </c>
      <c r="M807" s="670" t="s">
        <v>906</v>
      </c>
      <c r="N807" s="652" t="s">
        <v>110</v>
      </c>
      <c r="O807" s="580"/>
      <c r="P807" s="670" t="str">
        <f>VLOOKUP(A807,'[1]Raw data'!$B:$BA,23,FALSE)</f>
        <v>JPY</v>
      </c>
      <c r="Q807" s="652" t="str">
        <f>VLOOKUP(A807,'[1]Raw data'!$B:$Z,2,FALSE)</f>
        <v>C49SZX20210042VG</v>
      </c>
      <c r="R807" s="652" t="str">
        <f>VLOOKUP(A807,'[1]Raw data'!$B:$Z,3,FALSE)</f>
        <v>狂热者</v>
      </c>
      <c r="S807" s="652" t="str">
        <f>VLOOKUP(A807,'[1]Raw data'!$B:$Z,4,FALSE)</f>
        <v>YSM10</v>
      </c>
      <c r="T807" s="652" t="str">
        <f>VLOOKUP(A807,'[1]Raw data'!$B:$Z,8,FALSE)</f>
        <v>L-&gt;R</v>
      </c>
      <c r="U807" s="652" t="str">
        <f>VLOOKUP(A807,'[1]Raw data'!$B:$Z,9,FALSE)</f>
        <v>No</v>
      </c>
      <c r="V807" s="572" t="str">
        <f t="shared" ref="V807:V810" si="136">IF(G807&amp;H807=T807&amp;U807,"OK","WRONG")</f>
        <v>WRONG</v>
      </c>
      <c r="W807" s="568" t="str">
        <f>VLOOKUP(A807,'[1]Raw data'!$B:$AG,32,FALSE)</f>
        <v>DAP SZ</v>
      </c>
      <c r="X807" s="652">
        <f>VLOOKUP(A807,'[1]Raw data'!$B:$BA,31,FALSE)</f>
        <v>44231</v>
      </c>
      <c r="Y807" s="652" t="str">
        <f>VLOOKUP(A807,'[1]Raw data'!$B:$AS,39,FALSE)</f>
        <v>Yes</v>
      </c>
      <c r="Z807" s="664"/>
      <c r="AA807" s="665"/>
      <c r="AB807" s="666"/>
      <c r="AC807" s="652" t="s">
        <v>1558</v>
      </c>
      <c r="AD807" s="667">
        <v>302</v>
      </c>
      <c r="AE807" s="667">
        <v>10</v>
      </c>
      <c r="AF807" s="667"/>
      <c r="AG807" s="667"/>
      <c r="AH807" s="667"/>
      <c r="AI807" s="668"/>
      <c r="AN807" s="547"/>
      <c r="AO807" s="829" t="str">
        <f t="shared" si="122"/>
        <v>Yes</v>
      </c>
      <c r="AP807" s="259" t="str">
        <f t="shared" si="123"/>
        <v>MAY 21</v>
      </c>
      <c r="AQ807" s="547" t="str">
        <f t="shared" si="124"/>
        <v>有定金+有預留客戶</v>
      </c>
      <c r="AR807" s="259" t="str">
        <f t="shared" si="125"/>
        <v>Shipped_Stock</v>
      </c>
      <c r="AS807" s="259" t="str">
        <f t="shared" si="126"/>
        <v/>
      </c>
      <c r="AT807" s="259" t="str">
        <f t="shared" si="127"/>
        <v>狂热者</v>
      </c>
      <c r="AU807" s="259" t="str">
        <f t="shared" si="128"/>
        <v>C49SZX20210042VG</v>
      </c>
      <c r="AV807" s="259" t="str">
        <f t="shared" si="129"/>
        <v>May-02</v>
      </c>
    </row>
    <row r="808" spans="1:48" hidden="1">
      <c r="A808" s="564">
        <v>1366</v>
      </c>
      <c r="B808" s="669" t="s">
        <v>1125</v>
      </c>
      <c r="C808" s="669" t="s">
        <v>281</v>
      </c>
      <c r="D808" s="650">
        <v>110211</v>
      </c>
      <c r="E808" s="568" t="s">
        <v>886</v>
      </c>
      <c r="F808" s="652" t="s">
        <v>241</v>
      </c>
      <c r="G808" s="652" t="s">
        <v>18</v>
      </c>
      <c r="H808" s="652" t="s">
        <v>307</v>
      </c>
      <c r="I808" s="580" t="s">
        <v>122</v>
      </c>
      <c r="J808" s="580">
        <v>1</v>
      </c>
      <c r="K808" s="652" t="s">
        <v>81</v>
      </c>
      <c r="L808" s="662">
        <v>44318</v>
      </c>
      <c r="M808" s="670" t="s">
        <v>906</v>
      </c>
      <c r="N808" s="652" t="s">
        <v>110</v>
      </c>
      <c r="O808" s="580"/>
      <c r="P808" s="670" t="str">
        <f>VLOOKUP(A808,'[1]Raw data'!$B:$BA,23,FALSE)</f>
        <v>JPY</v>
      </c>
      <c r="Q808" s="652" t="str">
        <f>VLOOKUP(A808,'[1]Raw data'!$B:$Z,2,FALSE)</f>
        <v>C49SZX20210140DZ</v>
      </c>
      <c r="R808" s="652" t="str">
        <f>VLOOKUP(A808,'[1]Raw data'!$B:$Z,3,FALSE)</f>
        <v>锘铧</v>
      </c>
      <c r="S808" s="652" t="str">
        <f>VLOOKUP(A808,'[1]Raw data'!$B:$Z,4,FALSE)</f>
        <v>YSM10</v>
      </c>
      <c r="T808" s="652" t="str">
        <f>VLOOKUP(A808,'[1]Raw data'!$B:$Z,8,FALSE)</f>
        <v>L-&gt;R</v>
      </c>
      <c r="U808" s="652" t="str">
        <f>VLOOKUP(A808,'[1]Raw data'!$B:$Z,9,FALSE)</f>
        <v>MVC</v>
      </c>
      <c r="V808" s="572" t="str">
        <f t="shared" si="136"/>
        <v>WRONG</v>
      </c>
      <c r="W808" s="568" t="str">
        <f>VLOOKUP(A808,'[1]Raw data'!$B:$AG,32,FALSE)</f>
        <v>DAP GZ</v>
      </c>
      <c r="X808" s="652">
        <f>VLOOKUP(A808,'[1]Raw data'!$B:$BA,31,FALSE)</f>
        <v>44327</v>
      </c>
      <c r="Y808" s="652" t="str">
        <f>VLOOKUP(A808,'[1]Raw data'!$B:$AS,39,FALSE)</f>
        <v>Yes</v>
      </c>
      <c r="Z808" s="664"/>
      <c r="AA808" s="665"/>
      <c r="AB808" s="666"/>
      <c r="AC808" s="568" t="s">
        <v>621</v>
      </c>
      <c r="AD808" s="667">
        <v>312</v>
      </c>
      <c r="AE808" s="667">
        <v>10</v>
      </c>
      <c r="AF808" s="667"/>
      <c r="AG808" s="667"/>
      <c r="AH808" s="667"/>
      <c r="AI808" s="668"/>
      <c r="AN808" s="547"/>
      <c r="AO808" s="829" t="str">
        <f t="shared" si="122"/>
        <v>Yes</v>
      </c>
      <c r="AP808" s="259" t="str">
        <f t="shared" si="123"/>
        <v>MAY 21</v>
      </c>
      <c r="AQ808" s="547" t="str">
        <f t="shared" si="124"/>
        <v>有定金+有預留客戶</v>
      </c>
      <c r="AR808" s="259" t="str">
        <f t="shared" si="125"/>
        <v>Shipped_Stock</v>
      </c>
      <c r="AS808" s="259" t="str">
        <f t="shared" si="126"/>
        <v/>
      </c>
      <c r="AT808" s="259" t="str">
        <f t="shared" si="127"/>
        <v>锘铧</v>
      </c>
      <c r="AU808" s="259" t="str">
        <f t="shared" si="128"/>
        <v>C49SZX20210140DZ</v>
      </c>
      <c r="AV808" s="259" t="str">
        <f t="shared" si="129"/>
        <v>May-02</v>
      </c>
    </row>
    <row r="809" spans="1:48" hidden="1">
      <c r="A809" s="564">
        <v>1088</v>
      </c>
      <c r="B809" s="669" t="s">
        <v>1125</v>
      </c>
      <c r="C809" s="669" t="s">
        <v>281</v>
      </c>
      <c r="D809" s="650">
        <v>110211</v>
      </c>
      <c r="E809" s="568" t="s">
        <v>886</v>
      </c>
      <c r="F809" s="652" t="s">
        <v>241</v>
      </c>
      <c r="G809" s="652" t="s">
        <v>18</v>
      </c>
      <c r="H809" s="652" t="s">
        <v>307</v>
      </c>
      <c r="I809" s="580" t="s">
        <v>1585</v>
      </c>
      <c r="J809" s="580">
        <v>1</v>
      </c>
      <c r="K809" s="652" t="s">
        <v>81</v>
      </c>
      <c r="L809" s="662">
        <v>44318</v>
      </c>
      <c r="M809" s="670" t="s">
        <v>906</v>
      </c>
      <c r="N809" s="652" t="s">
        <v>110</v>
      </c>
      <c r="O809" s="580"/>
      <c r="P809" s="670" t="str">
        <f>VLOOKUP(A809,'[1]Raw data'!$B:$BA,23,FALSE)</f>
        <v>JPY</v>
      </c>
      <c r="Q809" s="652" t="str">
        <f>VLOOKUP(A809,'[1]Raw data'!$B:$Z,2,FALSE)</f>
        <v>C49SZX20210029SS</v>
      </c>
      <c r="R809" s="652" t="str">
        <f>VLOOKUP(A809,'[1]Raw data'!$B:$Z,3,FALSE)</f>
        <v>锂动力</v>
      </c>
      <c r="S809" s="652" t="str">
        <f>VLOOKUP(A809,'[1]Raw data'!$B:$Z,4,FALSE)</f>
        <v>YSM10</v>
      </c>
      <c r="T809" s="652" t="str">
        <f>VLOOKUP(A809,'[1]Raw data'!$B:$Z,8,FALSE)</f>
        <v>R-&gt;L</v>
      </c>
      <c r="U809" s="652" t="str">
        <f>VLOOKUP(A809,'[1]Raw data'!$B:$Z,9,FALSE)</f>
        <v>No</v>
      </c>
      <c r="V809" s="572" t="str">
        <f t="shared" si="136"/>
        <v>OK</v>
      </c>
      <c r="W809" s="568" t="str">
        <f>VLOOKUP(A809,'[1]Raw data'!$B:$AG,32,FALSE)</f>
        <v>DAP FS</v>
      </c>
      <c r="X809" s="652">
        <f>VLOOKUP(A809,'[1]Raw data'!$B:$BA,31,FALSE)</f>
        <v>44222</v>
      </c>
      <c r="Y809" s="652" t="str">
        <f>VLOOKUP(A809,'[1]Raw data'!$B:$AS,39,FALSE)</f>
        <v>Yes</v>
      </c>
      <c r="Z809" s="664"/>
      <c r="AA809" s="665"/>
      <c r="AB809" s="666"/>
      <c r="AC809" s="652" t="s">
        <v>1229</v>
      </c>
      <c r="AD809" s="667">
        <v>312</v>
      </c>
      <c r="AE809" s="667">
        <v>10</v>
      </c>
      <c r="AF809" s="667"/>
      <c r="AG809" s="667"/>
      <c r="AH809" s="667"/>
      <c r="AI809" s="668"/>
      <c r="AN809" s="547"/>
      <c r="AO809" s="829" t="str">
        <f t="shared" si="122"/>
        <v>Yes</v>
      </c>
      <c r="AP809" s="259" t="str">
        <f t="shared" si="123"/>
        <v>MAY 21</v>
      </c>
      <c r="AQ809" s="547" t="str">
        <f t="shared" si="124"/>
        <v>有定金+有預留客戶</v>
      </c>
      <c r="AR809" s="259" t="str">
        <f t="shared" si="125"/>
        <v>Shipped_Stock</v>
      </c>
      <c r="AS809" s="259" t="str">
        <f t="shared" si="126"/>
        <v/>
      </c>
      <c r="AT809" s="259" t="str">
        <f t="shared" si="127"/>
        <v>锂动力</v>
      </c>
      <c r="AU809" s="259" t="str">
        <f t="shared" si="128"/>
        <v>C49SZX20210029SS</v>
      </c>
      <c r="AV809" s="259" t="str">
        <f t="shared" si="129"/>
        <v>May-02</v>
      </c>
    </row>
    <row r="810" spans="1:48" hidden="1">
      <c r="A810" s="564">
        <v>1287</v>
      </c>
      <c r="B810" s="669" t="s">
        <v>1125</v>
      </c>
      <c r="C810" s="669" t="s">
        <v>281</v>
      </c>
      <c r="D810" s="650">
        <v>110211</v>
      </c>
      <c r="E810" s="568" t="s">
        <v>886</v>
      </c>
      <c r="F810" s="652" t="s">
        <v>241</v>
      </c>
      <c r="G810" s="652" t="s">
        <v>18</v>
      </c>
      <c r="H810" s="652" t="s">
        <v>307</v>
      </c>
      <c r="I810" s="580" t="s">
        <v>121</v>
      </c>
      <c r="J810" s="580">
        <v>1</v>
      </c>
      <c r="K810" s="652" t="s">
        <v>81</v>
      </c>
      <c r="L810" s="662">
        <v>44318</v>
      </c>
      <c r="M810" s="670" t="s">
        <v>906</v>
      </c>
      <c r="N810" s="652" t="s">
        <v>110</v>
      </c>
      <c r="O810" s="580"/>
      <c r="P810" s="670" t="str">
        <f>VLOOKUP(A810,'[1]Raw data'!$B:$BA,23,FALSE)</f>
        <v>JPY</v>
      </c>
      <c r="Q810" s="652" t="str">
        <f>VLOOKUP(A810,'[1]Raw data'!$B:$Z,2,FALSE)</f>
        <v>C49SZX20210099VG</v>
      </c>
      <c r="R810" s="652" t="str">
        <f>VLOOKUP(A810,'[1]Raw data'!$B:$Z,3,FALSE)</f>
        <v>鸿翔</v>
      </c>
      <c r="S810" s="652" t="str">
        <f>VLOOKUP(A810,'[1]Raw data'!$B:$Z,4,FALSE)</f>
        <v>YSM10</v>
      </c>
      <c r="T810" s="652" t="str">
        <f>VLOOKUP(A810,'[1]Raw data'!$B:$Z,8,FALSE)</f>
        <v>L-&gt;R</v>
      </c>
      <c r="U810" s="652" t="str">
        <f>VLOOKUP(A810,'[1]Raw data'!$B:$Z,9,FALSE)</f>
        <v>MVC</v>
      </c>
      <c r="V810" s="572" t="str">
        <f t="shared" si="136"/>
        <v>WRONG</v>
      </c>
      <c r="W810" s="568" t="str">
        <f>VLOOKUP(A810,'[1]Raw data'!$B:$AG,32,FALSE)</f>
        <v>DAP SZ</v>
      </c>
      <c r="X810" s="652">
        <f>VLOOKUP(A810,'[1]Raw data'!$B:$BA,31,FALSE)</f>
        <v>44282</v>
      </c>
      <c r="Y810" s="652" t="str">
        <f>VLOOKUP(A810,'[1]Raw data'!$B:$AS,39,FALSE)</f>
        <v>Yes</v>
      </c>
      <c r="Z810" s="664"/>
      <c r="AA810" s="665"/>
      <c r="AB810" s="666"/>
      <c r="AC810" s="652" t="s">
        <v>1586</v>
      </c>
      <c r="AD810" s="667">
        <v>312</v>
      </c>
      <c r="AE810" s="667">
        <v>10</v>
      </c>
      <c r="AF810" s="667"/>
      <c r="AG810" s="667"/>
      <c r="AH810" s="667"/>
      <c r="AI810" s="668"/>
      <c r="AN810" s="547"/>
      <c r="AO810" s="829" t="str">
        <f t="shared" si="122"/>
        <v>Yes</v>
      </c>
      <c r="AP810" s="259" t="str">
        <f t="shared" si="123"/>
        <v>MAY 21</v>
      </c>
      <c r="AQ810" s="547" t="str">
        <f t="shared" si="124"/>
        <v>有定金+有預留客戶</v>
      </c>
      <c r="AR810" s="259" t="str">
        <f t="shared" si="125"/>
        <v>Shipped_Stock</v>
      </c>
      <c r="AS810" s="259" t="str">
        <f t="shared" si="126"/>
        <v/>
      </c>
      <c r="AT810" s="259" t="str">
        <f t="shared" si="127"/>
        <v>鸿翔</v>
      </c>
      <c r="AU810" s="259" t="str">
        <f t="shared" si="128"/>
        <v>C49SZX20210099VG</v>
      </c>
      <c r="AV810" s="259" t="str">
        <f t="shared" si="129"/>
        <v>May-02</v>
      </c>
    </row>
    <row r="811" spans="1:48" hidden="1">
      <c r="A811" s="564">
        <v>1147</v>
      </c>
      <c r="B811" s="669" t="s">
        <v>1125</v>
      </c>
      <c r="C811" s="669" t="s">
        <v>281</v>
      </c>
      <c r="D811" s="650" t="s">
        <v>1587</v>
      </c>
      <c r="E811" s="568" t="s">
        <v>802</v>
      </c>
      <c r="F811" s="652" t="s">
        <v>241</v>
      </c>
      <c r="G811" s="652" t="s">
        <v>18</v>
      </c>
      <c r="H811" s="652" t="s">
        <v>48</v>
      </c>
      <c r="I811" s="580" t="s">
        <v>1588</v>
      </c>
      <c r="J811" s="580">
        <v>1</v>
      </c>
      <c r="K811" s="652" t="s">
        <v>1419</v>
      </c>
      <c r="L811" s="662">
        <v>44318</v>
      </c>
      <c r="M811" s="683" t="s">
        <v>1589</v>
      </c>
      <c r="N811" s="652" t="s">
        <v>110</v>
      </c>
      <c r="O811" s="580"/>
      <c r="P811" s="670" t="str">
        <f>VLOOKUP(A811,'[1]Raw data'!$B:$BA,23,FALSE)</f>
        <v>RMB</v>
      </c>
      <c r="Q811" s="652" t="str">
        <f>VLOOKUP(A811,'[1]Raw data'!$B:$Z,2,FALSE)</f>
        <v>C49SZX20210055SS</v>
      </c>
      <c r="R811" s="652" t="str">
        <f>VLOOKUP(A811,'[1]Raw data'!$B:$Z,3,FALSE)</f>
        <v>中润互联</v>
      </c>
      <c r="S811" s="652" t="str">
        <f>VLOOKUP(A811,'[1]Raw data'!$B:$Z,4,FALSE)</f>
        <v>YSM10</v>
      </c>
      <c r="T811" s="652" t="str">
        <f>VLOOKUP(A811,'[1]Raw data'!$B:$Z,8,FALSE)</f>
        <v>L-&gt;R</v>
      </c>
      <c r="U811" s="652" t="str">
        <f>VLOOKUP(A811,'[1]Raw data'!$B:$Z,9,FALSE)</f>
        <v>MVC+ATS15</v>
      </c>
      <c r="V811" s="572" t="str">
        <f t="shared" ref="V811:V816" si="137">IF(G811&amp;H811=T811&amp;U811,"OK","WRONG")</f>
        <v>WRONG</v>
      </c>
      <c r="W811" s="568" t="str">
        <f>VLOOKUP(A811,'[1]Raw data'!$B:$AG,32,FALSE)</f>
        <v>含税到厂</v>
      </c>
      <c r="X811" s="652">
        <f>VLOOKUP(A811,'[1]Raw data'!$B:$BA,31,FALSE)</f>
        <v>44249</v>
      </c>
      <c r="Y811" s="652" t="str">
        <f>VLOOKUP(A811,'[1]Raw data'!$B:$AS,39,FALSE)</f>
        <v>Yes</v>
      </c>
      <c r="Z811" s="664"/>
      <c r="AA811" s="665"/>
      <c r="AB811" s="666"/>
      <c r="AC811" s="568" t="s">
        <v>936</v>
      </c>
      <c r="AD811" s="667">
        <v>301</v>
      </c>
      <c r="AE811" s="667">
        <v>10</v>
      </c>
      <c r="AF811" s="667"/>
      <c r="AG811" s="667"/>
      <c r="AH811" s="667"/>
      <c r="AI811" s="668"/>
      <c r="AN811" s="547"/>
      <c r="AO811" s="829" t="str">
        <f t="shared" si="122"/>
        <v>Yes</v>
      </c>
      <c r="AP811" s="259" t="str">
        <f t="shared" si="123"/>
        <v>MAY 21</v>
      </c>
      <c r="AQ811" s="547" t="str">
        <f t="shared" si="124"/>
        <v>有定金+有預留客戶</v>
      </c>
      <c r="AR811" s="259" t="str">
        <f t="shared" si="125"/>
        <v>Shipped_Stock</v>
      </c>
      <c r="AS811" s="259" t="str">
        <f t="shared" si="126"/>
        <v/>
      </c>
      <c r="AT811" s="259" t="str">
        <f t="shared" si="127"/>
        <v>中润互联</v>
      </c>
      <c r="AU811" s="259" t="str">
        <f t="shared" si="128"/>
        <v>C49SZX20210055SS</v>
      </c>
      <c r="AV811" s="259" t="str">
        <f t="shared" si="129"/>
        <v>May-02</v>
      </c>
    </row>
    <row r="812" spans="1:48" hidden="1">
      <c r="A812" s="564">
        <v>1148</v>
      </c>
      <c r="B812" s="669" t="s">
        <v>1125</v>
      </c>
      <c r="C812" s="669" t="s">
        <v>281</v>
      </c>
      <c r="D812" s="650" t="s">
        <v>1587</v>
      </c>
      <c r="E812" s="568" t="s">
        <v>802</v>
      </c>
      <c r="F812" s="652" t="s">
        <v>241</v>
      </c>
      <c r="G812" s="652" t="s">
        <v>18</v>
      </c>
      <c r="H812" s="652" t="s">
        <v>48</v>
      </c>
      <c r="I812" s="580" t="s">
        <v>1590</v>
      </c>
      <c r="J812" s="580">
        <v>1</v>
      </c>
      <c r="K812" s="652" t="s">
        <v>1419</v>
      </c>
      <c r="L812" s="662">
        <v>44318</v>
      </c>
      <c r="M812" s="683" t="s">
        <v>1589</v>
      </c>
      <c r="N812" s="652" t="s">
        <v>110</v>
      </c>
      <c r="O812" s="580"/>
      <c r="P812" s="670" t="str">
        <f>VLOOKUP(A812,'[1]Raw data'!$B:$BA,23,FALSE)</f>
        <v>RMB</v>
      </c>
      <c r="Q812" s="652" t="str">
        <f>VLOOKUP(A812,'[1]Raw data'!$B:$Z,2,FALSE)</f>
        <v>C49SZX20210055SS</v>
      </c>
      <c r="R812" s="652" t="str">
        <f>VLOOKUP(A812,'[1]Raw data'!$B:$Z,3,FALSE)</f>
        <v>中润互联</v>
      </c>
      <c r="S812" s="652" t="str">
        <f>VLOOKUP(A812,'[1]Raw data'!$B:$Z,4,FALSE)</f>
        <v>YSM10</v>
      </c>
      <c r="T812" s="652" t="str">
        <f>VLOOKUP(A812,'[1]Raw data'!$B:$Z,8,FALSE)</f>
        <v>R-&gt;L</v>
      </c>
      <c r="U812" s="652" t="str">
        <f>VLOOKUP(A812,'[1]Raw data'!$B:$Z,9,FALSE)</f>
        <v>MVC+ATS15</v>
      </c>
      <c r="V812" s="572" t="str">
        <f t="shared" si="137"/>
        <v>WRONG</v>
      </c>
      <c r="W812" s="568" t="str">
        <f>VLOOKUP(A812,'[1]Raw data'!$B:$AG,32,FALSE)</f>
        <v>含税到厂</v>
      </c>
      <c r="X812" s="652">
        <f>VLOOKUP(A812,'[1]Raw data'!$B:$BA,31,FALSE)</f>
        <v>44249</v>
      </c>
      <c r="Y812" s="652" t="str">
        <f>VLOOKUP(A812,'[1]Raw data'!$B:$AS,39,FALSE)</f>
        <v>Yes</v>
      </c>
      <c r="Z812" s="664"/>
      <c r="AA812" s="665"/>
      <c r="AB812" s="666"/>
      <c r="AC812" s="568" t="s">
        <v>936</v>
      </c>
      <c r="AD812" s="667">
        <v>301</v>
      </c>
      <c r="AE812" s="667">
        <v>10</v>
      </c>
      <c r="AF812" s="667"/>
      <c r="AG812" s="667"/>
      <c r="AH812" s="667"/>
      <c r="AI812" s="668"/>
      <c r="AN812" s="547"/>
      <c r="AO812" s="829" t="str">
        <f t="shared" si="122"/>
        <v>Yes</v>
      </c>
      <c r="AP812" s="259" t="str">
        <f t="shared" si="123"/>
        <v>MAY 21</v>
      </c>
      <c r="AQ812" s="547" t="str">
        <f t="shared" si="124"/>
        <v>有定金+有預留客戶</v>
      </c>
      <c r="AR812" s="259" t="str">
        <f t="shared" si="125"/>
        <v>Shipped_Stock</v>
      </c>
      <c r="AS812" s="259" t="str">
        <f t="shared" si="126"/>
        <v/>
      </c>
      <c r="AT812" s="259" t="str">
        <f t="shared" si="127"/>
        <v>中润互联</v>
      </c>
      <c r="AU812" s="259" t="str">
        <f t="shared" si="128"/>
        <v>C49SZX20210055SS</v>
      </c>
      <c r="AV812" s="259" t="str">
        <f t="shared" si="129"/>
        <v>May-02</v>
      </c>
    </row>
    <row r="813" spans="1:48" ht="18" hidden="1" customHeight="1">
      <c r="A813" s="564">
        <v>1342</v>
      </c>
      <c r="B813" s="669" t="s">
        <v>1125</v>
      </c>
      <c r="C813" s="669" t="s">
        <v>281</v>
      </c>
      <c r="D813" s="650">
        <v>110227</v>
      </c>
      <c r="E813" s="568" t="s">
        <v>802</v>
      </c>
      <c r="F813" s="652" t="s">
        <v>241</v>
      </c>
      <c r="G813" s="652" t="s">
        <v>18</v>
      </c>
      <c r="H813" s="652" t="s">
        <v>48</v>
      </c>
      <c r="I813" s="580" t="s">
        <v>1591</v>
      </c>
      <c r="J813" s="580">
        <v>1</v>
      </c>
      <c r="K813" s="652" t="s">
        <v>1419</v>
      </c>
      <c r="L813" s="662">
        <v>44318</v>
      </c>
      <c r="M813" s="683" t="s">
        <v>1592</v>
      </c>
      <c r="N813" s="652" t="s">
        <v>110</v>
      </c>
      <c r="O813" s="580"/>
      <c r="P813" s="670" t="str">
        <f>VLOOKUP(A813,'[1]Raw data'!$B:$BA,23,FALSE)</f>
        <v>JPY</v>
      </c>
      <c r="Q813" s="652" t="str">
        <f>VLOOKUP(A813,'[1]Raw data'!$B:$Z,2,FALSE)</f>
        <v>C49SZX20210117JY</v>
      </c>
      <c r="R813" s="652" t="str">
        <f>VLOOKUP(A813,'[1]Raw data'!$B:$Z,3,FALSE)</f>
        <v>精德鸿</v>
      </c>
      <c r="S813" s="652" t="str">
        <f>VLOOKUP(A813,'[1]Raw data'!$B:$Z,4,FALSE)</f>
        <v>YSM10</v>
      </c>
      <c r="T813" s="652" t="str">
        <f>VLOOKUP(A813,'[1]Raw data'!$B:$Z,8,FALSE)</f>
        <v>L-&gt;R</v>
      </c>
      <c r="U813" s="652" t="str">
        <f>VLOOKUP(A813,'[1]Raw data'!$B:$Z,9,FALSE)</f>
        <v>MVC+ATS15</v>
      </c>
      <c r="V813" s="572" t="str">
        <f t="shared" si="137"/>
        <v>WRONG</v>
      </c>
      <c r="W813" s="568" t="str">
        <f>VLOOKUP(A813,'[1]Raw data'!$B:$AG,32,FALSE)</f>
        <v>DAP SZ</v>
      </c>
      <c r="X813" s="652">
        <f>VLOOKUP(A813,'[1]Raw data'!$B:$BA,31,FALSE)</f>
        <v>44306</v>
      </c>
      <c r="Y813" s="652" t="str">
        <f>VLOOKUP(A813,'[1]Raw data'!$B:$AS,39,FALSE)</f>
        <v>Yes</v>
      </c>
      <c r="Z813" s="664"/>
      <c r="AA813" s="665"/>
      <c r="AB813" s="666"/>
      <c r="AC813" s="652" t="s">
        <v>1389</v>
      </c>
      <c r="AD813" s="667">
        <v>301</v>
      </c>
      <c r="AE813" s="667">
        <v>10</v>
      </c>
      <c r="AF813" s="667"/>
      <c r="AG813" s="667"/>
      <c r="AH813" s="667"/>
      <c r="AI813" s="668"/>
      <c r="AN813" s="547"/>
      <c r="AO813" s="829" t="str">
        <f t="shared" si="122"/>
        <v>Yes</v>
      </c>
      <c r="AP813" s="259" t="str">
        <f t="shared" si="123"/>
        <v>MAY 21</v>
      </c>
      <c r="AQ813" s="547" t="str">
        <f t="shared" si="124"/>
        <v>有定金+有預留客戶</v>
      </c>
      <c r="AR813" s="259" t="str">
        <f t="shared" si="125"/>
        <v>Shipped_Stock</v>
      </c>
      <c r="AS813" s="259" t="str">
        <f t="shared" si="126"/>
        <v/>
      </c>
      <c r="AT813" s="259" t="str">
        <f t="shared" si="127"/>
        <v>精德鸿</v>
      </c>
      <c r="AU813" s="259" t="str">
        <f t="shared" si="128"/>
        <v>C49SZX20210117JY</v>
      </c>
      <c r="AV813" s="259" t="str">
        <f t="shared" si="129"/>
        <v>May-02</v>
      </c>
    </row>
    <row r="814" spans="1:48" hidden="1">
      <c r="A814" s="564">
        <v>1102</v>
      </c>
      <c r="B814" s="669" t="s">
        <v>1125</v>
      </c>
      <c r="C814" s="669" t="s">
        <v>281</v>
      </c>
      <c r="D814" s="650">
        <v>110403</v>
      </c>
      <c r="E814" s="568" t="s">
        <v>886</v>
      </c>
      <c r="F814" s="652" t="s">
        <v>17</v>
      </c>
      <c r="G814" s="652" t="s">
        <v>18</v>
      </c>
      <c r="H814" s="652" t="s">
        <v>26</v>
      </c>
      <c r="I814" s="580" t="s">
        <v>1593</v>
      </c>
      <c r="J814" s="580">
        <v>1</v>
      </c>
      <c r="K814" s="652" t="s">
        <v>81</v>
      </c>
      <c r="L814" s="662">
        <v>44322</v>
      </c>
      <c r="M814" s="670" t="s">
        <v>906</v>
      </c>
      <c r="N814" s="652" t="s">
        <v>110</v>
      </c>
      <c r="O814" s="580"/>
      <c r="P814" s="670" t="str">
        <f>VLOOKUP(A814,'[1]Raw data'!$B:$BA,23,FALSE)</f>
        <v>JPY</v>
      </c>
      <c r="Q814" s="652" t="str">
        <f>VLOOKUP(A814,'[1]Raw data'!$B:$Z,2,FALSE)</f>
        <v>C49SZX20210019JY</v>
      </c>
      <c r="R814" s="652" t="str">
        <f>VLOOKUP(A814,'[1]Raw data'!$B:$Z,3,FALSE)</f>
        <v>晟锦威</v>
      </c>
      <c r="S814" s="652" t="str">
        <f>VLOOKUP(A814,'[1]Raw data'!$B:$Z,4,FALSE)</f>
        <v>YSM10</v>
      </c>
      <c r="T814" s="652" t="str">
        <f>VLOOKUP(A814,'[1]Raw data'!$B:$Z,8,FALSE)</f>
        <v>R-&gt;L</v>
      </c>
      <c r="U814" s="652" t="str">
        <f>VLOOKUP(A814,'[1]Raw data'!$B:$Z,9,FALSE)</f>
        <v>MVC</v>
      </c>
      <c r="V814" s="572" t="str">
        <f t="shared" si="137"/>
        <v>WRONG</v>
      </c>
      <c r="W814" s="568" t="str">
        <f>VLOOKUP(A814,'[1]Raw data'!$B:$AG,32,FALSE)</f>
        <v>DAP SZ</v>
      </c>
      <c r="X814" s="652">
        <f>VLOOKUP(A814,'[1]Raw data'!$B:$BA,31,FALSE)</f>
        <v>44223</v>
      </c>
      <c r="Y814" s="652" t="str">
        <f>VLOOKUP(A814,'[1]Raw data'!$B:$AS,39,FALSE)</f>
        <v>Yes</v>
      </c>
      <c r="Z814" s="664"/>
      <c r="AA814" s="665"/>
      <c r="AB814" s="666"/>
      <c r="AC814" s="652" t="s">
        <v>1594</v>
      </c>
      <c r="AD814" s="667">
        <v>301</v>
      </c>
      <c r="AE814" s="667">
        <v>10</v>
      </c>
      <c r="AF814" s="667"/>
      <c r="AG814" s="667"/>
      <c r="AH814" s="667"/>
      <c r="AI814" s="668"/>
      <c r="AN814" s="547"/>
      <c r="AO814" s="829" t="str">
        <f t="shared" si="122"/>
        <v>Yes</v>
      </c>
      <c r="AP814" s="259" t="str">
        <f t="shared" si="123"/>
        <v>MAY 21</v>
      </c>
      <c r="AQ814" s="547" t="str">
        <f t="shared" si="124"/>
        <v>有定金+有預留客戶</v>
      </c>
      <c r="AR814" s="259" t="str">
        <f t="shared" si="125"/>
        <v>Shipped_Stock</v>
      </c>
      <c r="AS814" s="259" t="str">
        <f t="shared" si="126"/>
        <v/>
      </c>
      <c r="AT814" s="259" t="str">
        <f t="shared" si="127"/>
        <v>晟锦威</v>
      </c>
      <c r="AU814" s="259" t="str">
        <f t="shared" si="128"/>
        <v>C49SZX20210019JY</v>
      </c>
      <c r="AV814" s="259" t="str">
        <f t="shared" si="129"/>
        <v>May-06</v>
      </c>
    </row>
    <row r="815" spans="1:48" hidden="1">
      <c r="A815" s="564">
        <v>1103</v>
      </c>
      <c r="B815" s="669" t="s">
        <v>1125</v>
      </c>
      <c r="C815" s="669" t="s">
        <v>281</v>
      </c>
      <c r="D815" s="650">
        <v>110403</v>
      </c>
      <c r="E815" s="568" t="s">
        <v>886</v>
      </c>
      <c r="F815" s="652" t="s">
        <v>17</v>
      </c>
      <c r="G815" s="652" t="s">
        <v>18</v>
      </c>
      <c r="H815" s="652" t="s">
        <v>26</v>
      </c>
      <c r="I815" s="580" t="s">
        <v>1595</v>
      </c>
      <c r="J815" s="580">
        <v>1</v>
      </c>
      <c r="K815" s="652" t="s">
        <v>81</v>
      </c>
      <c r="L815" s="662">
        <v>44322</v>
      </c>
      <c r="M815" s="670" t="s">
        <v>906</v>
      </c>
      <c r="N815" s="652" t="s">
        <v>110</v>
      </c>
      <c r="O815" s="580"/>
      <c r="P815" s="670" t="str">
        <f>VLOOKUP(A815,'[1]Raw data'!$B:$BA,23,FALSE)</f>
        <v>JPY</v>
      </c>
      <c r="Q815" s="652" t="str">
        <f>VLOOKUP(A815,'[1]Raw data'!$B:$Z,2,FALSE)</f>
        <v>C49SZX20210019JY</v>
      </c>
      <c r="R815" s="652" t="str">
        <f>VLOOKUP(A815,'[1]Raw data'!$B:$Z,3,FALSE)</f>
        <v>晟锦威</v>
      </c>
      <c r="S815" s="652" t="str">
        <f>VLOOKUP(A815,'[1]Raw data'!$B:$Z,4,FALSE)</f>
        <v>YSM10</v>
      </c>
      <c r="T815" s="652" t="str">
        <f>VLOOKUP(A815,'[1]Raw data'!$B:$Z,8,FALSE)</f>
        <v>R-&gt;L</v>
      </c>
      <c r="U815" s="652" t="str">
        <f>VLOOKUP(A815,'[1]Raw data'!$B:$Z,9,FALSE)</f>
        <v>MVC</v>
      </c>
      <c r="V815" s="572" t="str">
        <f t="shared" si="137"/>
        <v>WRONG</v>
      </c>
      <c r="W815" s="568" t="str">
        <f>VLOOKUP(A815,'[1]Raw data'!$B:$AG,32,FALSE)</f>
        <v>DAP SZ</v>
      </c>
      <c r="X815" s="652">
        <f>VLOOKUP(A815,'[1]Raw data'!$B:$BA,31,FALSE)</f>
        <v>44223</v>
      </c>
      <c r="Y815" s="652" t="str">
        <f>VLOOKUP(A815,'[1]Raw data'!$B:$AS,39,FALSE)</f>
        <v>Yes</v>
      </c>
      <c r="Z815" s="664"/>
      <c r="AA815" s="665"/>
      <c r="AB815" s="666"/>
      <c r="AC815" s="652" t="s">
        <v>1594</v>
      </c>
      <c r="AD815" s="667">
        <v>301</v>
      </c>
      <c r="AE815" s="667">
        <v>10</v>
      </c>
      <c r="AF815" s="667"/>
      <c r="AG815" s="667"/>
      <c r="AH815" s="667"/>
      <c r="AI815" s="668"/>
      <c r="AN815" s="547"/>
      <c r="AO815" s="829" t="str">
        <f t="shared" si="122"/>
        <v>Yes</v>
      </c>
      <c r="AP815" s="259" t="str">
        <f t="shared" si="123"/>
        <v>MAY 21</v>
      </c>
      <c r="AQ815" s="547" t="str">
        <f t="shared" si="124"/>
        <v>有定金+有預留客戶</v>
      </c>
      <c r="AR815" s="259" t="str">
        <f t="shared" si="125"/>
        <v>Shipped_Stock</v>
      </c>
      <c r="AS815" s="259" t="str">
        <f t="shared" si="126"/>
        <v/>
      </c>
      <c r="AT815" s="259" t="str">
        <f t="shared" si="127"/>
        <v>晟锦威</v>
      </c>
      <c r="AU815" s="259" t="str">
        <f t="shared" si="128"/>
        <v>C49SZX20210019JY</v>
      </c>
      <c r="AV815" s="259" t="str">
        <f t="shared" si="129"/>
        <v>May-06</v>
      </c>
    </row>
    <row r="816" spans="1:48" hidden="1">
      <c r="A816" s="564">
        <v>1104</v>
      </c>
      <c r="B816" s="669" t="s">
        <v>1125</v>
      </c>
      <c r="C816" s="669" t="s">
        <v>281</v>
      </c>
      <c r="D816" s="650">
        <v>110403</v>
      </c>
      <c r="E816" s="568" t="s">
        <v>886</v>
      </c>
      <c r="F816" s="652" t="s">
        <v>17</v>
      </c>
      <c r="G816" s="652" t="s">
        <v>18</v>
      </c>
      <c r="H816" s="652" t="s">
        <v>26</v>
      </c>
      <c r="I816" s="580" t="s">
        <v>1596</v>
      </c>
      <c r="J816" s="580">
        <v>1</v>
      </c>
      <c r="K816" s="652" t="s">
        <v>81</v>
      </c>
      <c r="L816" s="662">
        <v>44322</v>
      </c>
      <c r="M816" s="670" t="s">
        <v>906</v>
      </c>
      <c r="N816" s="652" t="s">
        <v>110</v>
      </c>
      <c r="O816" s="580"/>
      <c r="P816" s="670" t="str">
        <f>VLOOKUP(A816,'[1]Raw data'!$B:$BA,23,FALSE)</f>
        <v>JPY</v>
      </c>
      <c r="Q816" s="652" t="str">
        <f>VLOOKUP(A816,'[1]Raw data'!$B:$Z,2,FALSE)</f>
        <v>C49SZX20210019JY</v>
      </c>
      <c r="R816" s="652" t="str">
        <f>VLOOKUP(A816,'[1]Raw data'!$B:$Z,3,FALSE)</f>
        <v>晟锦威</v>
      </c>
      <c r="S816" s="652" t="str">
        <f>VLOOKUP(A816,'[1]Raw data'!$B:$Z,4,FALSE)</f>
        <v>YSM10</v>
      </c>
      <c r="T816" s="652" t="str">
        <f>VLOOKUP(A816,'[1]Raw data'!$B:$Z,8,FALSE)</f>
        <v>R-&gt;L</v>
      </c>
      <c r="U816" s="652" t="str">
        <f>VLOOKUP(A816,'[1]Raw data'!$B:$Z,9,FALSE)</f>
        <v>MVC</v>
      </c>
      <c r="V816" s="572" t="str">
        <f t="shared" si="137"/>
        <v>WRONG</v>
      </c>
      <c r="W816" s="568" t="str">
        <f>VLOOKUP(A816,'[1]Raw data'!$B:$AG,32,FALSE)</f>
        <v>DAP SZ</v>
      </c>
      <c r="X816" s="652">
        <f>VLOOKUP(A816,'[1]Raw data'!$B:$BA,31,FALSE)</f>
        <v>44223</v>
      </c>
      <c r="Y816" s="652" t="str">
        <f>VLOOKUP(A816,'[1]Raw data'!$B:$AS,39,FALSE)</f>
        <v>Yes</v>
      </c>
      <c r="Z816" s="664"/>
      <c r="AA816" s="665"/>
      <c r="AB816" s="666"/>
      <c r="AC816" s="652" t="s">
        <v>1594</v>
      </c>
      <c r="AD816" s="667">
        <v>301</v>
      </c>
      <c r="AE816" s="667">
        <v>10</v>
      </c>
      <c r="AF816" s="667"/>
      <c r="AG816" s="667"/>
      <c r="AH816" s="667"/>
      <c r="AI816" s="668"/>
      <c r="AN816" s="547"/>
      <c r="AO816" s="829" t="str">
        <f t="shared" si="122"/>
        <v>Yes</v>
      </c>
      <c r="AP816" s="259" t="str">
        <f t="shared" si="123"/>
        <v>MAY 21</v>
      </c>
      <c r="AQ816" s="547" t="str">
        <f t="shared" si="124"/>
        <v>有定金+有預留客戶</v>
      </c>
      <c r="AR816" s="259" t="str">
        <f t="shared" si="125"/>
        <v>Shipped_Stock</v>
      </c>
      <c r="AS816" s="259" t="str">
        <f t="shared" si="126"/>
        <v/>
      </c>
      <c r="AT816" s="259" t="str">
        <f t="shared" si="127"/>
        <v>晟锦威</v>
      </c>
      <c r="AU816" s="259" t="str">
        <f t="shared" si="128"/>
        <v>C49SZX20210019JY</v>
      </c>
      <c r="AV816" s="259" t="str">
        <f t="shared" si="129"/>
        <v>May-06</v>
      </c>
    </row>
    <row r="817" spans="1:48" hidden="1">
      <c r="A817" s="564">
        <v>1067</v>
      </c>
      <c r="B817" s="669" t="s">
        <v>1125</v>
      </c>
      <c r="C817" s="669" t="s">
        <v>281</v>
      </c>
      <c r="D817" s="650">
        <v>110244</v>
      </c>
      <c r="E817" s="568" t="s">
        <v>886</v>
      </c>
      <c r="F817" s="652" t="s">
        <v>17</v>
      </c>
      <c r="G817" s="652" t="s">
        <v>18</v>
      </c>
      <c r="H817" s="652" t="s">
        <v>27</v>
      </c>
      <c r="I817" s="580" t="s">
        <v>1597</v>
      </c>
      <c r="J817" s="580">
        <v>1</v>
      </c>
      <c r="K817" s="652" t="s">
        <v>81</v>
      </c>
      <c r="L817" s="662">
        <v>44322</v>
      </c>
      <c r="M817" s="670" t="s">
        <v>906</v>
      </c>
      <c r="N817" s="652" t="s">
        <v>110</v>
      </c>
      <c r="O817" s="580"/>
      <c r="P817" s="670" t="str">
        <f>VLOOKUP(A817,'[1]Raw data'!$B:$BA,23,FALSE)</f>
        <v>JPY</v>
      </c>
      <c r="Q817" s="652" t="str">
        <f>VLOOKUP(A817,'[1]Raw data'!$B:$Z,2,FALSE)</f>
        <v>C49SZX20210013SS</v>
      </c>
      <c r="R817" s="652" t="str">
        <f>VLOOKUP(A817,'[1]Raw data'!$B:$Z,3,FALSE)</f>
        <v>泰润</v>
      </c>
      <c r="S817" s="652" t="str">
        <f>VLOOKUP(A817,'[1]Raw data'!$B:$Z,4,FALSE)</f>
        <v>YSM10</v>
      </c>
      <c r="T817" s="652" t="str">
        <f>VLOOKUP(A817,'[1]Raw data'!$B:$Z,8,FALSE)</f>
        <v>L-&gt;R</v>
      </c>
      <c r="U817" s="652" t="str">
        <f>VLOOKUP(A817,'[1]Raw data'!$B:$Z,9,FALSE)</f>
        <v>MVC</v>
      </c>
      <c r="V817" s="572" t="str">
        <f t="shared" ref="V817:V821" si="138">IF(G817&amp;H817=T817&amp;U817,"OK","WRONG")</f>
        <v>WRONG</v>
      </c>
      <c r="W817" s="568" t="str">
        <f>VLOOKUP(A817,'[1]Raw data'!$B:$AG,32,FALSE)</f>
        <v>DAP SZ</v>
      </c>
      <c r="X817" s="652">
        <f>VLOOKUP(A817,'[1]Raw data'!$B:$BA,31,FALSE)</f>
        <v>44208</v>
      </c>
      <c r="Y817" s="652" t="str">
        <f>VLOOKUP(A817,'[1]Raw data'!$B:$AS,39,FALSE)</f>
        <v>Yes</v>
      </c>
      <c r="Z817" s="664"/>
      <c r="AA817" s="665"/>
      <c r="AB817" s="666"/>
      <c r="AC817" s="652" t="s">
        <v>1598</v>
      </c>
      <c r="AD817" s="667">
        <v>311</v>
      </c>
      <c r="AE817" s="667">
        <v>10</v>
      </c>
      <c r="AF817" s="667"/>
      <c r="AG817" s="667"/>
      <c r="AH817" s="667"/>
      <c r="AI817" s="668"/>
      <c r="AN817" s="547"/>
      <c r="AO817" s="829" t="str">
        <f t="shared" si="122"/>
        <v>Yes</v>
      </c>
      <c r="AP817" s="259" t="str">
        <f t="shared" si="123"/>
        <v>MAY 21</v>
      </c>
      <c r="AQ817" s="547" t="str">
        <f t="shared" si="124"/>
        <v>有定金+有預留客戶</v>
      </c>
      <c r="AR817" s="259" t="str">
        <f t="shared" si="125"/>
        <v>Shipped_Stock</v>
      </c>
      <c r="AS817" s="259" t="str">
        <f t="shared" si="126"/>
        <v/>
      </c>
      <c r="AT817" s="259" t="str">
        <f t="shared" si="127"/>
        <v>泰润</v>
      </c>
      <c r="AU817" s="259" t="str">
        <f t="shared" si="128"/>
        <v>C49SZX20210013SS</v>
      </c>
      <c r="AV817" s="259" t="str">
        <f t="shared" si="129"/>
        <v>May-06</v>
      </c>
    </row>
    <row r="818" spans="1:48" hidden="1">
      <c r="A818" s="564">
        <v>1108</v>
      </c>
      <c r="B818" s="669" t="s">
        <v>1125</v>
      </c>
      <c r="C818" s="669" t="s">
        <v>281</v>
      </c>
      <c r="D818" s="650">
        <v>110244</v>
      </c>
      <c r="E818" s="568" t="s">
        <v>886</v>
      </c>
      <c r="F818" s="652" t="s">
        <v>17</v>
      </c>
      <c r="G818" s="652" t="s">
        <v>18</v>
      </c>
      <c r="H818" s="652" t="s">
        <v>27</v>
      </c>
      <c r="I818" s="580" t="s">
        <v>1599</v>
      </c>
      <c r="J818" s="580">
        <v>1</v>
      </c>
      <c r="K818" s="652" t="s">
        <v>85</v>
      </c>
      <c r="L818" s="662">
        <v>44322</v>
      </c>
      <c r="M818" s="670" t="s">
        <v>906</v>
      </c>
      <c r="N818" s="652" t="s">
        <v>110</v>
      </c>
      <c r="O818" s="580"/>
      <c r="P818" s="670" t="str">
        <f>VLOOKUP(A818,'[1]Raw data'!$B:$BA,23,FALSE)</f>
        <v>JPY</v>
      </c>
      <c r="Q818" s="652" t="str">
        <f>VLOOKUP(A818,'[1]Raw data'!$B:$Z,2,FALSE)</f>
        <v>C49SZX20210030SX</v>
      </c>
      <c r="R818" s="652" t="str">
        <f>VLOOKUP(A818,'[1]Raw data'!$B:$Z,3,FALSE)</f>
        <v>华汛</v>
      </c>
      <c r="S818" s="652" t="str">
        <f>VLOOKUP(A818,'[1]Raw data'!$B:$Z,4,FALSE)</f>
        <v>YSM10</v>
      </c>
      <c r="T818" s="652" t="str">
        <f>VLOOKUP(A818,'[1]Raw data'!$B:$Z,8,FALSE)</f>
        <v>L-&gt;R</v>
      </c>
      <c r="U818" s="652" t="str">
        <f>VLOOKUP(A818,'[1]Raw data'!$B:$Z,9,FALSE)</f>
        <v>MVC</v>
      </c>
      <c r="V818" s="572" t="str">
        <f t="shared" si="138"/>
        <v>WRONG</v>
      </c>
      <c r="W818" s="568" t="str">
        <f>VLOOKUP(A818,'[1]Raw data'!$B:$AG,32,FALSE)</f>
        <v>DAP SZ</v>
      </c>
      <c r="X818" s="652">
        <f>VLOOKUP(A818,'[1]Raw data'!$B:$BA,31,FALSE)</f>
        <v>44222</v>
      </c>
      <c r="Y818" s="652" t="str">
        <f>VLOOKUP(A818,'[1]Raw data'!$B:$AS,39,FALSE)</f>
        <v>Yes</v>
      </c>
      <c r="Z818" s="664"/>
      <c r="AA818" s="665"/>
      <c r="AB818" s="666"/>
      <c r="AC818" s="568" t="s">
        <v>807</v>
      </c>
      <c r="AD818" s="667">
        <v>311</v>
      </c>
      <c r="AE818" s="667">
        <v>10</v>
      </c>
      <c r="AF818" s="667"/>
      <c r="AG818" s="667"/>
      <c r="AH818" s="667"/>
      <c r="AI818" s="668"/>
      <c r="AN818" s="547"/>
      <c r="AO818" s="829" t="str">
        <f t="shared" si="122"/>
        <v>Yes</v>
      </c>
      <c r="AP818" s="259" t="str">
        <f t="shared" si="123"/>
        <v>MAY 21</v>
      </c>
      <c r="AQ818" s="547" t="str">
        <f t="shared" si="124"/>
        <v>有定金+有預留客戶</v>
      </c>
      <c r="AR818" s="259" t="str">
        <f t="shared" si="125"/>
        <v>Shipped_Stock</v>
      </c>
      <c r="AS818" s="259" t="str">
        <f t="shared" si="126"/>
        <v/>
      </c>
      <c r="AT818" s="259" t="str">
        <f t="shared" si="127"/>
        <v>华汛</v>
      </c>
      <c r="AU818" s="259" t="str">
        <f t="shared" si="128"/>
        <v>C49SZX20210030SX</v>
      </c>
      <c r="AV818" s="259" t="str">
        <f t="shared" si="129"/>
        <v>May-06</v>
      </c>
    </row>
    <row r="819" spans="1:48" hidden="1">
      <c r="A819" s="564">
        <v>1361</v>
      </c>
      <c r="B819" s="669" t="s">
        <v>1125</v>
      </c>
      <c r="C819" s="669" t="s">
        <v>281</v>
      </c>
      <c r="D819" s="650">
        <v>110244</v>
      </c>
      <c r="E819" s="568" t="s">
        <v>886</v>
      </c>
      <c r="F819" s="652" t="s">
        <v>17</v>
      </c>
      <c r="G819" s="652" t="s">
        <v>18</v>
      </c>
      <c r="H819" s="652" t="s">
        <v>26</v>
      </c>
      <c r="I819" s="580" t="s">
        <v>1600</v>
      </c>
      <c r="J819" s="580">
        <v>1</v>
      </c>
      <c r="K819" s="652" t="s">
        <v>81</v>
      </c>
      <c r="L819" s="662">
        <v>44322</v>
      </c>
      <c r="M819" s="670" t="s">
        <v>906</v>
      </c>
      <c r="N819" s="652" t="s">
        <v>110</v>
      </c>
      <c r="O819" s="580"/>
      <c r="P819" s="670" t="str">
        <f>VLOOKUP(A819,'[1]Raw data'!$B:$BA,23,FALSE)</f>
        <v>JPY</v>
      </c>
      <c r="Q819" s="652" t="str">
        <f>VLOOKUP(A819,'[1]Raw data'!$B:$Z,2,FALSE)</f>
        <v>C49SZX20210136DZ</v>
      </c>
      <c r="R819" s="652" t="str">
        <f>VLOOKUP(A819,'[1]Raw data'!$B:$Z,3,FALSE)</f>
        <v>兆晖</v>
      </c>
      <c r="S819" s="652" t="str">
        <f>VLOOKUP(A819,'[1]Raw data'!$B:$Z,4,FALSE)</f>
        <v>YSM10</v>
      </c>
      <c r="T819" s="652" t="str">
        <f>VLOOKUP(A819,'[1]Raw data'!$B:$Z,8,FALSE)</f>
        <v>L-&gt;R</v>
      </c>
      <c r="U819" s="652" t="str">
        <f>VLOOKUP(A819,'[1]Raw data'!$B:$Z,9,FALSE)</f>
        <v>MVC</v>
      </c>
      <c r="V819" s="572" t="str">
        <f t="shared" si="138"/>
        <v>WRONG</v>
      </c>
      <c r="W819" s="568" t="str">
        <f>VLOOKUP(A819,'[1]Raw data'!$B:$AG,32,FALSE)</f>
        <v>DAP SZ</v>
      </c>
      <c r="X819" s="652">
        <f>VLOOKUP(A819,'[1]Raw data'!$B:$BA,31,FALSE)</f>
        <v>44316</v>
      </c>
      <c r="Y819" s="652" t="str">
        <f>VLOOKUP(A819,'[1]Raw data'!$B:$AS,39,FALSE)</f>
        <v>Yes</v>
      </c>
      <c r="Z819" s="664"/>
      <c r="AA819" s="665"/>
      <c r="AB819" s="666"/>
      <c r="AC819" s="652" t="s">
        <v>1023</v>
      </c>
      <c r="AD819" s="667">
        <v>301</v>
      </c>
      <c r="AE819" s="667">
        <v>10</v>
      </c>
      <c r="AF819" s="667"/>
      <c r="AG819" s="667"/>
      <c r="AH819" s="667"/>
      <c r="AI819" s="668"/>
      <c r="AN819" s="547"/>
      <c r="AO819" s="829" t="str">
        <f t="shared" si="122"/>
        <v>Yes</v>
      </c>
      <c r="AP819" s="259" t="str">
        <f t="shared" si="123"/>
        <v>MAY 21</v>
      </c>
      <c r="AQ819" s="547" t="str">
        <f t="shared" si="124"/>
        <v>有定金+有預留客戶</v>
      </c>
      <c r="AR819" s="259" t="str">
        <f t="shared" si="125"/>
        <v>Shipped_Stock</v>
      </c>
      <c r="AS819" s="259" t="str">
        <f t="shared" si="126"/>
        <v/>
      </c>
      <c r="AT819" s="259" t="str">
        <f t="shared" si="127"/>
        <v>兆晖</v>
      </c>
      <c r="AU819" s="259" t="str">
        <f t="shared" si="128"/>
        <v>C49SZX20210136DZ</v>
      </c>
      <c r="AV819" s="259" t="str">
        <f t="shared" si="129"/>
        <v>May-06</v>
      </c>
    </row>
    <row r="820" spans="1:48" hidden="1">
      <c r="A820" s="564">
        <v>1362</v>
      </c>
      <c r="B820" s="669" t="s">
        <v>1125</v>
      </c>
      <c r="C820" s="669" t="s">
        <v>281</v>
      </c>
      <c r="D820" s="650">
        <v>110244</v>
      </c>
      <c r="E820" s="568" t="s">
        <v>886</v>
      </c>
      <c r="F820" s="652" t="s">
        <v>17</v>
      </c>
      <c r="G820" s="652" t="s">
        <v>18</v>
      </c>
      <c r="H820" s="652" t="s">
        <v>26</v>
      </c>
      <c r="I820" s="580" t="s">
        <v>1601</v>
      </c>
      <c r="J820" s="580">
        <v>1</v>
      </c>
      <c r="K820" s="652" t="s">
        <v>81</v>
      </c>
      <c r="L820" s="662">
        <v>44322</v>
      </c>
      <c r="M820" s="670" t="s">
        <v>906</v>
      </c>
      <c r="N820" s="652" t="s">
        <v>110</v>
      </c>
      <c r="O820" s="580"/>
      <c r="P820" s="670" t="str">
        <f>VLOOKUP(A820,'[1]Raw data'!$B:$BA,23,FALSE)</f>
        <v>JPY</v>
      </c>
      <c r="Q820" s="652" t="str">
        <f>VLOOKUP(A820,'[1]Raw data'!$B:$Z,2,FALSE)</f>
        <v>C49SZX20210136DZ</v>
      </c>
      <c r="R820" s="652" t="str">
        <f>VLOOKUP(A820,'[1]Raw data'!$B:$Z,3,FALSE)</f>
        <v>兆晖</v>
      </c>
      <c r="S820" s="652" t="str">
        <f>VLOOKUP(A820,'[1]Raw data'!$B:$Z,4,FALSE)</f>
        <v>YSM10</v>
      </c>
      <c r="T820" s="652" t="str">
        <f>VLOOKUP(A820,'[1]Raw data'!$B:$Z,8,FALSE)</f>
        <v>L-&gt;R</v>
      </c>
      <c r="U820" s="652" t="str">
        <f>VLOOKUP(A820,'[1]Raw data'!$B:$Z,9,FALSE)</f>
        <v>MVC</v>
      </c>
      <c r="V820" s="572" t="str">
        <f t="shared" si="138"/>
        <v>WRONG</v>
      </c>
      <c r="W820" s="568" t="str">
        <f>VLOOKUP(A820,'[1]Raw data'!$B:$AG,32,FALSE)</f>
        <v>DAP SZ</v>
      </c>
      <c r="X820" s="652">
        <f>VLOOKUP(A820,'[1]Raw data'!$B:$BA,31,FALSE)</f>
        <v>44316</v>
      </c>
      <c r="Y820" s="652" t="str">
        <f>VLOOKUP(A820,'[1]Raw data'!$B:$AS,39,FALSE)</f>
        <v>Yes</v>
      </c>
      <c r="Z820" s="664"/>
      <c r="AA820" s="665"/>
      <c r="AB820" s="666"/>
      <c r="AC820" s="652" t="s">
        <v>1023</v>
      </c>
      <c r="AD820" s="667">
        <v>301</v>
      </c>
      <c r="AE820" s="667">
        <v>10</v>
      </c>
      <c r="AF820" s="667"/>
      <c r="AG820" s="667"/>
      <c r="AH820" s="667"/>
      <c r="AI820" s="668"/>
      <c r="AN820" s="547"/>
      <c r="AO820" s="829" t="str">
        <f t="shared" si="122"/>
        <v>Yes</v>
      </c>
      <c r="AP820" s="259" t="str">
        <f t="shared" si="123"/>
        <v>MAY 21</v>
      </c>
      <c r="AQ820" s="547" t="str">
        <f t="shared" si="124"/>
        <v>有定金+有預留客戶</v>
      </c>
      <c r="AR820" s="259" t="str">
        <f t="shared" si="125"/>
        <v>Shipped_Stock</v>
      </c>
      <c r="AS820" s="259" t="str">
        <f t="shared" si="126"/>
        <v/>
      </c>
      <c r="AT820" s="259" t="str">
        <f t="shared" si="127"/>
        <v>兆晖</v>
      </c>
      <c r="AU820" s="259" t="str">
        <f t="shared" si="128"/>
        <v>C49SZX20210136DZ</v>
      </c>
      <c r="AV820" s="259" t="str">
        <f t="shared" si="129"/>
        <v>May-06</v>
      </c>
    </row>
    <row r="821" spans="1:48" hidden="1">
      <c r="A821" s="564">
        <v>1352</v>
      </c>
      <c r="B821" s="669" t="s">
        <v>1125</v>
      </c>
      <c r="C821" s="669" t="s">
        <v>281</v>
      </c>
      <c r="D821" s="650">
        <v>110244</v>
      </c>
      <c r="E821" s="568" t="s">
        <v>886</v>
      </c>
      <c r="F821" s="652" t="s">
        <v>17</v>
      </c>
      <c r="G821" s="652" t="s">
        <v>18</v>
      </c>
      <c r="H821" s="652" t="s">
        <v>26</v>
      </c>
      <c r="I821" s="580" t="s">
        <v>1602</v>
      </c>
      <c r="J821" s="580">
        <v>1</v>
      </c>
      <c r="K821" s="652" t="s">
        <v>85</v>
      </c>
      <c r="L821" s="662">
        <v>44322</v>
      </c>
      <c r="M821" s="670" t="s">
        <v>906</v>
      </c>
      <c r="N821" s="652" t="s">
        <v>96</v>
      </c>
      <c r="O821" s="580"/>
      <c r="P821" s="670" t="str">
        <f>VLOOKUP(A821,'[1]Raw data'!$B:$BA,23,FALSE)</f>
        <v>JPY</v>
      </c>
      <c r="Q821" s="652" t="str">
        <f>VLOOKUP(A821,'[1]Raw data'!$B:$Z,2,FALSE)</f>
        <v>C49SZX20210123JY</v>
      </c>
      <c r="R821" s="652" t="str">
        <f>VLOOKUP(A821,'[1]Raw data'!$B:$Z,3,FALSE)</f>
        <v>四方信达</v>
      </c>
      <c r="S821" s="652" t="str">
        <f>VLOOKUP(A821,'[1]Raw data'!$B:$Z,4,FALSE)</f>
        <v>YSM10</v>
      </c>
      <c r="T821" s="652" t="str">
        <f>VLOOKUP(A821,'[1]Raw data'!$B:$Z,8,FALSE)</f>
        <v>L-&gt;R</v>
      </c>
      <c r="U821" s="652" t="str">
        <f>VLOOKUP(A821,'[1]Raw data'!$B:$Z,9,FALSE)</f>
        <v>MVC</v>
      </c>
      <c r="V821" s="572" t="str">
        <f t="shared" si="138"/>
        <v>WRONG</v>
      </c>
      <c r="W821" s="568" t="str">
        <f>VLOOKUP(A821,'[1]Raw data'!$B:$AG,32,FALSE)</f>
        <v>DAP SZ</v>
      </c>
      <c r="X821" s="652">
        <f>VLOOKUP(A821,'[1]Raw data'!$B:$BA,31,FALSE)</f>
        <v>44313</v>
      </c>
      <c r="Y821" s="652" t="str">
        <f>VLOOKUP(A821,'[1]Raw data'!$B:$AS,39,FALSE)</f>
        <v>Yes</v>
      </c>
      <c r="Z821" s="664"/>
      <c r="AA821" s="665"/>
      <c r="AB821" s="666"/>
      <c r="AC821" s="652" t="s">
        <v>1603</v>
      </c>
      <c r="AD821" s="667">
        <v>301</v>
      </c>
      <c r="AE821" s="667">
        <v>10</v>
      </c>
      <c r="AF821" s="667"/>
      <c r="AG821" s="667"/>
      <c r="AH821" s="667"/>
      <c r="AI821" s="668"/>
      <c r="AN821" s="547"/>
      <c r="AO821" s="829" t="str">
        <f t="shared" si="122"/>
        <v>Yes</v>
      </c>
      <c r="AP821" s="259" t="str">
        <f t="shared" si="123"/>
        <v>JUN 21</v>
      </c>
      <c r="AQ821" s="547" t="str">
        <f t="shared" si="124"/>
        <v>有定金+有預留客戶</v>
      </c>
      <c r="AR821" s="259" t="str">
        <f t="shared" si="125"/>
        <v>Shipped_Stock</v>
      </c>
      <c r="AS821" s="259" t="str">
        <f t="shared" si="126"/>
        <v/>
      </c>
      <c r="AT821" s="259" t="str">
        <f t="shared" si="127"/>
        <v>四方信达</v>
      </c>
      <c r="AU821" s="259" t="str">
        <f t="shared" si="128"/>
        <v>C49SZX20210123JY</v>
      </c>
      <c r="AV821" s="259" t="str">
        <f t="shared" si="129"/>
        <v>May-06</v>
      </c>
    </row>
    <row r="822" spans="1:48" hidden="1">
      <c r="A822" s="564">
        <v>1138</v>
      </c>
      <c r="B822" s="669" t="s">
        <v>1125</v>
      </c>
      <c r="C822" s="669" t="s">
        <v>281</v>
      </c>
      <c r="D822" s="650" t="s">
        <v>1604</v>
      </c>
      <c r="E822" s="568" t="s">
        <v>802</v>
      </c>
      <c r="F822" s="652" t="s">
        <v>58</v>
      </c>
      <c r="G822" s="652" t="s">
        <v>18</v>
      </c>
      <c r="H822" s="652" t="s">
        <v>27</v>
      </c>
      <c r="I822" s="580" t="s">
        <v>1605</v>
      </c>
      <c r="J822" s="580">
        <v>1</v>
      </c>
      <c r="K822" s="652" t="s">
        <v>81</v>
      </c>
      <c r="L822" s="662">
        <v>44322</v>
      </c>
      <c r="M822" s="670">
        <v>6.2300000000000001E-2</v>
      </c>
      <c r="N822" s="652" t="s">
        <v>110</v>
      </c>
      <c r="O822" s="580"/>
      <c r="P822" s="670" t="str">
        <f>VLOOKUP(A822,'[1]Raw data'!$B:$BA,23,FALSE)</f>
        <v>JPY</v>
      </c>
      <c r="Q822" s="652" t="str">
        <f>VLOOKUP(A822,'[1]Raw data'!$B:$Z,2,FALSE)</f>
        <v>C49SZX20210016JY</v>
      </c>
      <c r="R822" s="652" t="str">
        <f>VLOOKUP(A822,'[1]Raw data'!$B:$Z,3,FALSE)</f>
        <v>芯联鑫</v>
      </c>
      <c r="S822" s="652" t="str">
        <f>VLOOKUP(A822,'[1]Raw data'!$B:$Z,4,FALSE)</f>
        <v>YSM20R-2</v>
      </c>
      <c r="T822" s="652" t="str">
        <f>VLOOKUP(A822,'[1]Raw data'!$B:$Z,8,FALSE)</f>
        <v>R-&gt;L</v>
      </c>
      <c r="U822" s="652" t="str">
        <f>VLOOKUP(A822,'[1]Raw data'!$B:$Z,9,FALSE)</f>
        <v>MVC</v>
      </c>
      <c r="V822" s="572" t="str">
        <f t="shared" ref="V822:V836" si="139">IF(G822&amp;H822=T822&amp;U822,"OK","WRONG")</f>
        <v>OK</v>
      </c>
      <c r="W822" s="568" t="str">
        <f>VLOOKUP(A822,'[1]Raw data'!$B:$AG,32,FALSE)</f>
        <v>DAP GZ</v>
      </c>
      <c r="X822" s="652">
        <f>VLOOKUP(A822,'[1]Raw data'!$B:$BA,31,FALSE)</f>
        <v>44232</v>
      </c>
      <c r="Y822" s="652" t="str">
        <f>VLOOKUP(A822,'[1]Raw data'!$B:$AS,39,FALSE)</f>
        <v>Yes</v>
      </c>
      <c r="Z822" s="664"/>
      <c r="AA822" s="665"/>
      <c r="AB822" s="666"/>
      <c r="AC822" s="652" t="s">
        <v>1088</v>
      </c>
      <c r="AD822" s="667">
        <v>301</v>
      </c>
      <c r="AE822" s="667">
        <v>20</v>
      </c>
      <c r="AF822" s="667"/>
      <c r="AG822" s="667"/>
      <c r="AH822" s="667"/>
      <c r="AI822" s="668"/>
      <c r="AN822" s="547"/>
      <c r="AO822" s="829" t="str">
        <f t="shared" si="122"/>
        <v>Yes</v>
      </c>
      <c r="AP822" s="259" t="str">
        <f t="shared" si="123"/>
        <v>MAY 21</v>
      </c>
      <c r="AQ822" s="547" t="str">
        <f t="shared" si="124"/>
        <v>有定金+有預留客戶</v>
      </c>
      <c r="AR822" s="259" t="str">
        <f t="shared" si="125"/>
        <v>Shipped_Stock</v>
      </c>
      <c r="AS822" s="259" t="str">
        <f t="shared" si="126"/>
        <v/>
      </c>
      <c r="AT822" s="259" t="str">
        <f t="shared" si="127"/>
        <v>芯联鑫</v>
      </c>
      <c r="AU822" s="259" t="str">
        <f t="shared" si="128"/>
        <v>C49SZX20210016JY</v>
      </c>
      <c r="AV822" s="259" t="str">
        <f t="shared" si="129"/>
        <v>May-06</v>
      </c>
    </row>
    <row r="823" spans="1:48" hidden="1">
      <c r="A823" s="564">
        <v>1150</v>
      </c>
      <c r="B823" s="669" t="s">
        <v>1125</v>
      </c>
      <c r="C823" s="669" t="s">
        <v>281</v>
      </c>
      <c r="D823" s="650" t="s">
        <v>1604</v>
      </c>
      <c r="E823" s="568" t="s">
        <v>802</v>
      </c>
      <c r="F823" s="652" t="s">
        <v>58</v>
      </c>
      <c r="G823" s="652" t="s">
        <v>18</v>
      </c>
      <c r="H823" s="652" t="s">
        <v>27</v>
      </c>
      <c r="I823" s="580" t="s">
        <v>1606</v>
      </c>
      <c r="J823" s="580">
        <v>1</v>
      </c>
      <c r="K823" s="652" t="s">
        <v>81</v>
      </c>
      <c r="L823" s="662">
        <v>44322</v>
      </c>
      <c r="M823" s="670">
        <v>6.2300000000000001E-2</v>
      </c>
      <c r="N823" s="652" t="s">
        <v>110</v>
      </c>
      <c r="O823" s="580"/>
      <c r="P823" s="670" t="str">
        <f>VLOOKUP(A823,'[1]Raw data'!$B:$BA,23,FALSE)</f>
        <v>RMB</v>
      </c>
      <c r="Q823" s="652" t="str">
        <f>VLOOKUP(A823,'[1]Raw data'!$B:$Z,2,FALSE)</f>
        <v>C49SZX20210055SS</v>
      </c>
      <c r="R823" s="652" t="str">
        <f>VLOOKUP(A823,'[1]Raw data'!$B:$Z,3,FALSE)</f>
        <v>中润互联</v>
      </c>
      <c r="S823" s="652" t="str">
        <f>VLOOKUP(A823,'[1]Raw data'!$B:$Z,4,FALSE)</f>
        <v>YSM20R-2</v>
      </c>
      <c r="T823" s="652" t="str">
        <f>VLOOKUP(A823,'[1]Raw data'!$B:$Z,8,FALSE)</f>
        <v>R-&gt;L</v>
      </c>
      <c r="U823" s="652" t="str">
        <f>VLOOKUP(A823,'[1]Raw data'!$B:$Z,9,FALSE)</f>
        <v>No</v>
      </c>
      <c r="V823" s="572" t="str">
        <f t="shared" si="139"/>
        <v>WRONG</v>
      </c>
      <c r="W823" s="568" t="str">
        <f>VLOOKUP(A823,'[1]Raw data'!$B:$AG,32,FALSE)</f>
        <v>含税到厂</v>
      </c>
      <c r="X823" s="652">
        <f>VLOOKUP(A823,'[1]Raw data'!$B:$BA,31,FALSE)</f>
        <v>44249</v>
      </c>
      <c r="Y823" s="652" t="str">
        <f>VLOOKUP(A823,'[1]Raw data'!$B:$AS,39,FALSE)</f>
        <v>Yes</v>
      </c>
      <c r="Z823" s="664"/>
      <c r="AA823" s="665"/>
      <c r="AB823" s="666"/>
      <c r="AC823" s="568" t="s">
        <v>936</v>
      </c>
      <c r="AD823" s="667">
        <v>301</v>
      </c>
      <c r="AE823" s="667">
        <v>20</v>
      </c>
      <c r="AF823" s="667"/>
      <c r="AG823" s="667"/>
      <c r="AH823" s="667"/>
      <c r="AI823" s="668"/>
      <c r="AN823" s="547"/>
      <c r="AO823" s="829" t="str">
        <f t="shared" si="122"/>
        <v>Yes</v>
      </c>
      <c r="AP823" s="259" t="str">
        <f t="shared" si="123"/>
        <v>MAY 21</v>
      </c>
      <c r="AQ823" s="547" t="str">
        <f t="shared" si="124"/>
        <v>有定金+有預留客戶</v>
      </c>
      <c r="AR823" s="259" t="str">
        <f t="shared" si="125"/>
        <v>Shipped_Stock</v>
      </c>
      <c r="AS823" s="259" t="str">
        <f t="shared" si="126"/>
        <v/>
      </c>
      <c r="AT823" s="259" t="str">
        <f t="shared" si="127"/>
        <v>中润互联</v>
      </c>
      <c r="AU823" s="259" t="str">
        <f t="shared" si="128"/>
        <v>C49SZX20210055SS</v>
      </c>
      <c r="AV823" s="259" t="str">
        <f t="shared" si="129"/>
        <v>May-06</v>
      </c>
    </row>
    <row r="824" spans="1:48" hidden="1">
      <c r="A824" s="564">
        <v>1068</v>
      </c>
      <c r="B824" s="669" t="s">
        <v>1125</v>
      </c>
      <c r="C824" s="669" t="s">
        <v>281</v>
      </c>
      <c r="D824" s="650" t="s">
        <v>1604</v>
      </c>
      <c r="E824" s="568" t="s">
        <v>802</v>
      </c>
      <c r="F824" s="652" t="s">
        <v>58</v>
      </c>
      <c r="G824" s="652" t="s">
        <v>24</v>
      </c>
      <c r="H824" s="652" t="s">
        <v>307</v>
      </c>
      <c r="I824" s="580" t="s">
        <v>1607</v>
      </c>
      <c r="J824" s="580">
        <v>1</v>
      </c>
      <c r="K824" s="652" t="s">
        <v>81</v>
      </c>
      <c r="L824" s="662">
        <v>44322</v>
      </c>
      <c r="M824" s="670">
        <v>6.2300000000000001E-2</v>
      </c>
      <c r="N824" s="652" t="s">
        <v>110</v>
      </c>
      <c r="O824" s="580"/>
      <c r="P824" s="670" t="str">
        <f>VLOOKUP(A824,'[1]Raw data'!$B:$BA,23,FALSE)</f>
        <v>JPY</v>
      </c>
      <c r="Q824" s="652" t="str">
        <f>VLOOKUP(A824,'[1]Raw data'!$B:$Z,2,FALSE)</f>
        <v>C49SZX20210013SS</v>
      </c>
      <c r="R824" s="652" t="str">
        <f>VLOOKUP(A824,'[1]Raw data'!$B:$Z,3,FALSE)</f>
        <v>泰润</v>
      </c>
      <c r="S824" s="652" t="str">
        <f>VLOOKUP(A824,'[1]Raw data'!$B:$Z,4,FALSE)</f>
        <v>YSM20R-2</v>
      </c>
      <c r="T824" s="652" t="str">
        <f>VLOOKUP(A824,'[1]Raw data'!$B:$Z,8,FALSE)</f>
        <v>L-&gt;R</v>
      </c>
      <c r="U824" s="652" t="str">
        <f>VLOOKUP(A824,'[1]Raw data'!$B:$Z,9,FALSE)</f>
        <v>MVC</v>
      </c>
      <c r="V824" s="572" t="str">
        <f t="shared" si="139"/>
        <v>WRONG</v>
      </c>
      <c r="W824" s="568" t="str">
        <f>VLOOKUP(A824,'[1]Raw data'!$B:$AG,32,FALSE)</f>
        <v>DAP SZ</v>
      </c>
      <c r="X824" s="652">
        <f>VLOOKUP(A824,'[1]Raw data'!$B:$BA,31,FALSE)</f>
        <v>44208</v>
      </c>
      <c r="Y824" s="652" t="str">
        <f>VLOOKUP(A824,'[1]Raw data'!$B:$AS,39,FALSE)</f>
        <v>Yes</v>
      </c>
      <c r="Z824" s="664"/>
      <c r="AA824" s="665"/>
      <c r="AB824" s="666"/>
      <c r="AC824" s="652" t="s">
        <v>1598</v>
      </c>
      <c r="AD824" s="667">
        <v>301</v>
      </c>
      <c r="AE824" s="667">
        <v>20</v>
      </c>
      <c r="AF824" s="667"/>
      <c r="AG824" s="667"/>
      <c r="AH824" s="667"/>
      <c r="AI824" s="668"/>
      <c r="AN824" s="547"/>
      <c r="AO824" s="829" t="str">
        <f t="shared" si="122"/>
        <v>Yes</v>
      </c>
      <c r="AP824" s="259" t="str">
        <f t="shared" si="123"/>
        <v>MAY 21</v>
      </c>
      <c r="AQ824" s="547" t="str">
        <f t="shared" si="124"/>
        <v>有定金+有預留客戶</v>
      </c>
      <c r="AR824" s="259" t="str">
        <f t="shared" si="125"/>
        <v>Shipped_Stock</v>
      </c>
      <c r="AS824" s="259" t="str">
        <f t="shared" si="126"/>
        <v/>
      </c>
      <c r="AT824" s="259" t="str">
        <f t="shared" si="127"/>
        <v>泰润</v>
      </c>
      <c r="AU824" s="259" t="str">
        <f t="shared" si="128"/>
        <v>C49SZX20210013SS</v>
      </c>
      <c r="AV824" s="259" t="str">
        <f t="shared" si="129"/>
        <v>May-06</v>
      </c>
    </row>
    <row r="825" spans="1:48" hidden="1">
      <c r="A825" s="564">
        <v>1238</v>
      </c>
      <c r="B825" s="669" t="s">
        <v>1125</v>
      </c>
      <c r="C825" s="669" t="s">
        <v>281</v>
      </c>
      <c r="D825" s="650" t="s">
        <v>1604</v>
      </c>
      <c r="E825" s="568" t="s">
        <v>802</v>
      </c>
      <c r="F825" s="652" t="s">
        <v>58</v>
      </c>
      <c r="G825" s="652" t="s">
        <v>24</v>
      </c>
      <c r="H825" s="652" t="s">
        <v>307</v>
      </c>
      <c r="I825" s="750" t="s">
        <v>1608</v>
      </c>
      <c r="J825" s="580">
        <v>1</v>
      </c>
      <c r="K825" s="652" t="s">
        <v>81</v>
      </c>
      <c r="L825" s="662">
        <v>44322</v>
      </c>
      <c r="M825" s="670">
        <v>6.2300000000000001E-2</v>
      </c>
      <c r="N825" s="652" t="s">
        <v>96</v>
      </c>
      <c r="O825" s="580"/>
      <c r="P825" s="670" t="str">
        <f>VLOOKUP(A825,'[1]Raw data'!$B:$BA,23,FALSE)</f>
        <v>JPY</v>
      </c>
      <c r="Q825" s="652" t="str">
        <f>VLOOKUP(A825,'[1]Raw data'!$B:$Z,2,FALSE)</f>
        <v>C49SZX20210035SX</v>
      </c>
      <c r="R825" s="652" t="str">
        <f>VLOOKUP(A825,'[1]Raw data'!$B:$Z,3,FALSE)</f>
        <v>巴科</v>
      </c>
      <c r="S825" s="652" t="str">
        <f>VLOOKUP(A825,'[1]Raw data'!$B:$Z,4,FALSE)</f>
        <v>YSM20R-2</v>
      </c>
      <c r="T825" s="652" t="str">
        <f>VLOOKUP(A825,'[1]Raw data'!$B:$Z,8,FALSE)</f>
        <v>L-&gt;R</v>
      </c>
      <c r="U825" s="652" t="str">
        <f>VLOOKUP(A825,'[1]Raw data'!$B:$Z,9,FALSE)</f>
        <v>No</v>
      </c>
      <c r="V825" s="572" t="str">
        <f t="shared" si="139"/>
        <v>OK</v>
      </c>
      <c r="W825" s="568" t="str">
        <f>VLOOKUP(A825,'[1]Raw data'!$B:$AG,32,FALSE)</f>
        <v>CIF HK</v>
      </c>
      <c r="X825" s="652">
        <f>VLOOKUP(A825,'[1]Raw data'!$B:$BA,31,FALSE)</f>
        <v>44264</v>
      </c>
      <c r="Y825" s="652" t="str">
        <f>VLOOKUP(A825,'[1]Raw data'!$B:$AS,39,FALSE)</f>
        <v>Yes</v>
      </c>
      <c r="Z825" s="664"/>
      <c r="AA825" s="665"/>
      <c r="AB825" s="666"/>
      <c r="AC825" s="652" t="s">
        <v>1609</v>
      </c>
      <c r="AD825" s="667">
        <v>301</v>
      </c>
      <c r="AE825" s="667">
        <v>20</v>
      </c>
      <c r="AF825" s="667"/>
      <c r="AG825" s="667"/>
      <c r="AH825" s="667"/>
      <c r="AI825" s="668"/>
      <c r="AN825" s="547"/>
      <c r="AO825" s="829" t="str">
        <f t="shared" si="122"/>
        <v>Yes</v>
      </c>
      <c r="AP825" s="259" t="str">
        <f t="shared" si="123"/>
        <v>JUN 21</v>
      </c>
      <c r="AQ825" s="547" t="str">
        <f t="shared" si="124"/>
        <v>有定金+有預留客戶</v>
      </c>
      <c r="AR825" s="259" t="str">
        <f t="shared" si="125"/>
        <v>Shipped_Stock</v>
      </c>
      <c r="AS825" s="259" t="str">
        <f t="shared" si="126"/>
        <v/>
      </c>
      <c r="AT825" s="259" t="str">
        <f t="shared" si="127"/>
        <v>巴科</v>
      </c>
      <c r="AU825" s="259" t="str">
        <f t="shared" si="128"/>
        <v>C49SZX20210035SX</v>
      </c>
      <c r="AV825" s="259" t="str">
        <f t="shared" si="129"/>
        <v>May-06</v>
      </c>
    </row>
    <row r="826" spans="1:48" hidden="1">
      <c r="A826" s="564">
        <v>1239</v>
      </c>
      <c r="B826" s="669" t="s">
        <v>1125</v>
      </c>
      <c r="C826" s="669" t="s">
        <v>281</v>
      </c>
      <c r="D826" s="650">
        <v>110228</v>
      </c>
      <c r="E826" s="568" t="s">
        <v>802</v>
      </c>
      <c r="F826" s="652" t="s">
        <v>58</v>
      </c>
      <c r="G826" s="652" t="s">
        <v>24</v>
      </c>
      <c r="H826" s="652" t="s">
        <v>307</v>
      </c>
      <c r="I826" s="750" t="s">
        <v>1610</v>
      </c>
      <c r="J826" s="580">
        <v>1</v>
      </c>
      <c r="K826" s="652" t="s">
        <v>81</v>
      </c>
      <c r="L826" s="662">
        <v>44322</v>
      </c>
      <c r="M826" s="670" t="s">
        <v>906</v>
      </c>
      <c r="N826" s="652" t="s">
        <v>96</v>
      </c>
      <c r="O826" s="580"/>
      <c r="P826" s="670" t="str">
        <f>VLOOKUP(A826,'[1]Raw data'!$B:$BA,23,FALSE)</f>
        <v>JPY</v>
      </c>
      <c r="Q826" s="652" t="str">
        <f>VLOOKUP(A826,'[1]Raw data'!$B:$Z,2,FALSE)</f>
        <v>C49SZX20210035SX</v>
      </c>
      <c r="R826" s="652" t="str">
        <f>VLOOKUP(A826,'[1]Raw data'!$B:$Z,3,FALSE)</f>
        <v>巴科</v>
      </c>
      <c r="S826" s="652" t="str">
        <f>VLOOKUP(A826,'[1]Raw data'!$B:$Z,4,FALSE)</f>
        <v>YSM20R-2</v>
      </c>
      <c r="T826" s="652" t="str">
        <f>VLOOKUP(A826,'[1]Raw data'!$B:$Z,8,FALSE)</f>
        <v>L-&gt;R</v>
      </c>
      <c r="U826" s="652" t="str">
        <f>VLOOKUP(A826,'[1]Raw data'!$B:$Z,9,FALSE)</f>
        <v>No</v>
      </c>
      <c r="V826" s="572" t="str">
        <f t="shared" si="139"/>
        <v>OK</v>
      </c>
      <c r="W826" s="568" t="str">
        <f>VLOOKUP(A826,'[1]Raw data'!$B:$AG,32,FALSE)</f>
        <v>CIF HK</v>
      </c>
      <c r="X826" s="652">
        <f>VLOOKUP(A826,'[1]Raw data'!$B:$BA,31,FALSE)</f>
        <v>44264</v>
      </c>
      <c r="Y826" s="652" t="str">
        <f>VLOOKUP(A826,'[1]Raw data'!$B:$AS,39,FALSE)</f>
        <v>Yes</v>
      </c>
      <c r="Z826" s="664"/>
      <c r="AA826" s="665"/>
      <c r="AB826" s="666"/>
      <c r="AC826" s="652" t="s">
        <v>1609</v>
      </c>
      <c r="AD826" s="667">
        <v>301</v>
      </c>
      <c r="AE826" s="667">
        <v>20</v>
      </c>
      <c r="AF826" s="667"/>
      <c r="AG826" s="667"/>
      <c r="AH826" s="667"/>
      <c r="AI826" s="668"/>
      <c r="AN826" s="547"/>
      <c r="AO826" s="829" t="str">
        <f t="shared" si="122"/>
        <v>Yes</v>
      </c>
      <c r="AP826" s="259" t="str">
        <f t="shared" si="123"/>
        <v>JUN 21</v>
      </c>
      <c r="AQ826" s="547" t="str">
        <f t="shared" si="124"/>
        <v>有定金+有預留客戶</v>
      </c>
      <c r="AR826" s="259" t="str">
        <f t="shared" si="125"/>
        <v>Shipped_Stock</v>
      </c>
      <c r="AS826" s="259" t="str">
        <f t="shared" si="126"/>
        <v/>
      </c>
      <c r="AT826" s="259" t="str">
        <f t="shared" si="127"/>
        <v>巴科</v>
      </c>
      <c r="AU826" s="259" t="str">
        <f t="shared" si="128"/>
        <v>C49SZX20210035SX</v>
      </c>
      <c r="AV826" s="259" t="str">
        <f t="shared" si="129"/>
        <v>May-06</v>
      </c>
    </row>
    <row r="827" spans="1:48" hidden="1">
      <c r="A827" s="564">
        <v>1236</v>
      </c>
      <c r="B827" s="669" t="s">
        <v>1125</v>
      </c>
      <c r="C827" s="669" t="s">
        <v>281</v>
      </c>
      <c r="D827" s="650">
        <v>110228</v>
      </c>
      <c r="E827" s="568" t="s">
        <v>802</v>
      </c>
      <c r="F827" s="652" t="s">
        <v>58</v>
      </c>
      <c r="G827" s="652" t="s">
        <v>24</v>
      </c>
      <c r="H827" s="652" t="s">
        <v>307</v>
      </c>
      <c r="I827" s="750" t="s">
        <v>1611</v>
      </c>
      <c r="J827" s="580">
        <v>1</v>
      </c>
      <c r="K827" s="652" t="s">
        <v>81</v>
      </c>
      <c r="L827" s="662">
        <v>44322</v>
      </c>
      <c r="M827" s="670" t="s">
        <v>906</v>
      </c>
      <c r="N827" s="652" t="s">
        <v>96</v>
      </c>
      <c r="O827" s="580"/>
      <c r="P827" s="670" t="str">
        <f>VLOOKUP(A827,'[1]Raw data'!$B:$BA,23,FALSE)</f>
        <v>JPY</v>
      </c>
      <c r="Q827" s="652" t="str">
        <f>VLOOKUP(A827,'[1]Raw data'!$B:$Z,2,FALSE)</f>
        <v>C49SZX20210035SX</v>
      </c>
      <c r="R827" s="652" t="str">
        <f>VLOOKUP(A827,'[1]Raw data'!$B:$Z,3,FALSE)</f>
        <v>巴科</v>
      </c>
      <c r="S827" s="652" t="str">
        <f>VLOOKUP(A827,'[1]Raw data'!$B:$Z,4,FALSE)</f>
        <v>YSM20R-2</v>
      </c>
      <c r="T827" s="652" t="str">
        <f>VLOOKUP(A827,'[1]Raw data'!$B:$Z,8,FALSE)</f>
        <v>L-&gt;R</v>
      </c>
      <c r="U827" s="652" t="str">
        <f>VLOOKUP(A827,'[1]Raw data'!$B:$Z,9,FALSE)</f>
        <v>No</v>
      </c>
      <c r="V827" s="572" t="str">
        <f t="shared" si="139"/>
        <v>OK</v>
      </c>
      <c r="W827" s="568" t="str">
        <f>VLOOKUP(A827,'[1]Raw data'!$B:$AG,32,FALSE)</f>
        <v>CIF HK</v>
      </c>
      <c r="X827" s="652">
        <f>VLOOKUP(A827,'[1]Raw data'!$B:$BA,31,FALSE)</f>
        <v>44264</v>
      </c>
      <c r="Y827" s="652" t="str">
        <f>VLOOKUP(A827,'[1]Raw data'!$B:$AS,39,FALSE)</f>
        <v>Yes</v>
      </c>
      <c r="Z827" s="664"/>
      <c r="AA827" s="665"/>
      <c r="AB827" s="666"/>
      <c r="AC827" s="652" t="s">
        <v>1609</v>
      </c>
      <c r="AD827" s="667">
        <v>304</v>
      </c>
      <c r="AE827" s="667">
        <v>20</v>
      </c>
      <c r="AF827" s="667"/>
      <c r="AG827" s="667"/>
      <c r="AH827" s="667"/>
      <c r="AI827" s="668"/>
      <c r="AN827" s="547"/>
      <c r="AO827" s="829" t="str">
        <f t="shared" si="122"/>
        <v>Yes</v>
      </c>
      <c r="AP827" s="259" t="str">
        <f t="shared" si="123"/>
        <v>JUN 21</v>
      </c>
      <c r="AQ827" s="547" t="str">
        <f t="shared" si="124"/>
        <v>有定金+有預留客戶</v>
      </c>
      <c r="AR827" s="259" t="str">
        <f t="shared" si="125"/>
        <v>Shipped_Stock</v>
      </c>
      <c r="AS827" s="259" t="str">
        <f t="shared" si="126"/>
        <v/>
      </c>
      <c r="AT827" s="259" t="str">
        <f t="shared" si="127"/>
        <v>巴科</v>
      </c>
      <c r="AU827" s="259" t="str">
        <f t="shared" si="128"/>
        <v>C49SZX20210035SX</v>
      </c>
      <c r="AV827" s="259" t="str">
        <f t="shared" si="129"/>
        <v>May-06</v>
      </c>
    </row>
    <row r="828" spans="1:48" hidden="1">
      <c r="A828" s="564">
        <v>1234</v>
      </c>
      <c r="B828" s="669" t="s">
        <v>1125</v>
      </c>
      <c r="C828" s="669" t="s">
        <v>281</v>
      </c>
      <c r="D828" s="650">
        <v>110228</v>
      </c>
      <c r="E828" s="568" t="s">
        <v>802</v>
      </c>
      <c r="F828" s="652" t="s">
        <v>58</v>
      </c>
      <c r="G828" s="652" t="s">
        <v>24</v>
      </c>
      <c r="H828" s="652" t="s">
        <v>307</v>
      </c>
      <c r="I828" s="750" t="s">
        <v>1612</v>
      </c>
      <c r="J828" s="580">
        <v>1</v>
      </c>
      <c r="K828" s="652" t="s">
        <v>81</v>
      </c>
      <c r="L828" s="662">
        <v>44322</v>
      </c>
      <c r="M828" s="670" t="s">
        <v>1613</v>
      </c>
      <c r="N828" s="652" t="s">
        <v>96</v>
      </c>
      <c r="O828" s="580"/>
      <c r="P828" s="670" t="str">
        <f>VLOOKUP(A828,'[1]Raw data'!$B:$BA,23,FALSE)</f>
        <v>JPY</v>
      </c>
      <c r="Q828" s="652" t="str">
        <f>VLOOKUP(A828,'[1]Raw data'!$B:$Z,2,FALSE)</f>
        <v>C49SZX20210035SX</v>
      </c>
      <c r="R828" s="652" t="str">
        <f>VLOOKUP(A828,'[1]Raw data'!$B:$Z,3,FALSE)</f>
        <v>巴科</v>
      </c>
      <c r="S828" s="652" t="str">
        <f>VLOOKUP(A828,'[1]Raw data'!$B:$Z,4,FALSE)</f>
        <v>YSM20R-2</v>
      </c>
      <c r="T828" s="652" t="str">
        <f>VLOOKUP(A828,'[1]Raw data'!$B:$Z,8,FALSE)</f>
        <v>L-&gt;R</v>
      </c>
      <c r="U828" s="652" t="str">
        <f>VLOOKUP(A828,'[1]Raw data'!$B:$Z,9,FALSE)</f>
        <v>No</v>
      </c>
      <c r="V828" s="572" t="str">
        <f t="shared" si="139"/>
        <v>OK</v>
      </c>
      <c r="W828" s="568" t="str">
        <f>VLOOKUP(A828,'[1]Raw data'!$B:$AG,32,FALSE)</f>
        <v>CIF HK</v>
      </c>
      <c r="X828" s="652">
        <f>VLOOKUP(A828,'[1]Raw data'!$B:$BA,31,FALSE)</f>
        <v>44264</v>
      </c>
      <c r="Y828" s="652" t="str">
        <f>VLOOKUP(A828,'[1]Raw data'!$B:$AS,39,FALSE)</f>
        <v>Yes</v>
      </c>
      <c r="Z828" s="664"/>
      <c r="AA828" s="665"/>
      <c r="AB828" s="666"/>
      <c r="AC828" s="652" t="s">
        <v>1609</v>
      </c>
      <c r="AD828" s="667">
        <v>304</v>
      </c>
      <c r="AE828" s="667">
        <v>20</v>
      </c>
      <c r="AF828" s="667"/>
      <c r="AG828" s="667"/>
      <c r="AH828" s="667"/>
      <c r="AI828" s="668"/>
      <c r="AN828" s="547"/>
      <c r="AO828" s="829" t="str">
        <f t="shared" si="122"/>
        <v>Yes</v>
      </c>
      <c r="AP828" s="259" t="str">
        <f t="shared" si="123"/>
        <v>JUN 21</v>
      </c>
      <c r="AQ828" s="547" t="str">
        <f t="shared" si="124"/>
        <v>有定金+有預留客戶</v>
      </c>
      <c r="AR828" s="259" t="str">
        <f t="shared" si="125"/>
        <v>Shipped_Stock</v>
      </c>
      <c r="AS828" s="259" t="str">
        <f t="shared" si="126"/>
        <v/>
      </c>
      <c r="AT828" s="259" t="str">
        <f t="shared" si="127"/>
        <v>巴科</v>
      </c>
      <c r="AU828" s="259" t="str">
        <f t="shared" si="128"/>
        <v>C49SZX20210035SX</v>
      </c>
      <c r="AV828" s="259" t="str">
        <f t="shared" si="129"/>
        <v>May-06</v>
      </c>
    </row>
    <row r="829" spans="1:48" hidden="1">
      <c r="A829" s="564">
        <v>1227</v>
      </c>
      <c r="B829" s="669" t="s">
        <v>1125</v>
      </c>
      <c r="C829" s="669" t="s">
        <v>281</v>
      </c>
      <c r="D829" s="650" t="s">
        <v>1604</v>
      </c>
      <c r="E829" s="568" t="s">
        <v>802</v>
      </c>
      <c r="F829" s="652" t="s">
        <v>58</v>
      </c>
      <c r="G829" s="652" t="s">
        <v>24</v>
      </c>
      <c r="H829" s="652" t="s">
        <v>307</v>
      </c>
      <c r="I829" s="750" t="s">
        <v>1614</v>
      </c>
      <c r="J829" s="580">
        <v>1</v>
      </c>
      <c r="K829" s="652" t="s">
        <v>81</v>
      </c>
      <c r="L829" s="662">
        <v>44322</v>
      </c>
      <c r="M829" s="670">
        <v>6.2300000000000001E-2</v>
      </c>
      <c r="N829" s="652" t="s">
        <v>96</v>
      </c>
      <c r="O829" s="580"/>
      <c r="P829" s="670" t="str">
        <f>VLOOKUP(A829,'[1]Raw data'!$B:$BA,23,FALSE)</f>
        <v>JPY</v>
      </c>
      <c r="Q829" s="652" t="str">
        <f>VLOOKUP(A829,'[1]Raw data'!$B:$Z,2,FALSE)</f>
        <v>C49SZX20210035SX</v>
      </c>
      <c r="R829" s="652" t="str">
        <f>VLOOKUP(A829,'[1]Raw data'!$B:$Z,3,FALSE)</f>
        <v>巴科</v>
      </c>
      <c r="S829" s="652" t="str">
        <f>VLOOKUP(A829,'[1]Raw data'!$B:$Z,4,FALSE)</f>
        <v>YSM20R-2</v>
      </c>
      <c r="T829" s="652" t="str">
        <f>VLOOKUP(A829,'[1]Raw data'!$B:$Z,8,FALSE)</f>
        <v>L-&gt;R</v>
      </c>
      <c r="U829" s="652" t="str">
        <f>VLOOKUP(A829,'[1]Raw data'!$B:$Z,9,FALSE)</f>
        <v>No</v>
      </c>
      <c r="V829" s="572" t="str">
        <f t="shared" si="139"/>
        <v>OK</v>
      </c>
      <c r="W829" s="568" t="str">
        <f>VLOOKUP(A829,'[1]Raw data'!$B:$AG,32,FALSE)</f>
        <v>CIF HK</v>
      </c>
      <c r="X829" s="652">
        <f>VLOOKUP(A829,'[1]Raw data'!$B:$BA,31,FALSE)</f>
        <v>44264</v>
      </c>
      <c r="Y829" s="652" t="str">
        <f>VLOOKUP(A829,'[1]Raw data'!$B:$AS,39,FALSE)</f>
        <v>Yes</v>
      </c>
      <c r="Z829" s="664"/>
      <c r="AA829" s="665"/>
      <c r="AB829" s="666"/>
      <c r="AC829" s="652" t="s">
        <v>1609</v>
      </c>
      <c r="AD829" s="667">
        <v>312</v>
      </c>
      <c r="AE829" s="667">
        <v>20</v>
      </c>
      <c r="AF829" s="667"/>
      <c r="AG829" s="667"/>
      <c r="AH829" s="667"/>
      <c r="AI829" s="668"/>
      <c r="AN829" s="547"/>
      <c r="AO829" s="829" t="str">
        <f t="shared" si="122"/>
        <v>Yes</v>
      </c>
      <c r="AP829" s="259" t="str">
        <f t="shared" si="123"/>
        <v>JUN 21</v>
      </c>
      <c r="AQ829" s="547" t="str">
        <f t="shared" si="124"/>
        <v>有定金+有預留客戶</v>
      </c>
      <c r="AR829" s="259" t="str">
        <f t="shared" si="125"/>
        <v>Shipped_Stock</v>
      </c>
      <c r="AS829" s="259" t="str">
        <f t="shared" si="126"/>
        <v/>
      </c>
      <c r="AT829" s="259" t="str">
        <f t="shared" si="127"/>
        <v>巴科</v>
      </c>
      <c r="AU829" s="259" t="str">
        <f t="shared" si="128"/>
        <v>C49SZX20210035SX</v>
      </c>
      <c r="AV829" s="259" t="str">
        <f t="shared" si="129"/>
        <v>May-06</v>
      </c>
    </row>
    <row r="830" spans="1:48" hidden="1">
      <c r="A830" s="564">
        <v>1229</v>
      </c>
      <c r="B830" s="669" t="s">
        <v>1125</v>
      </c>
      <c r="C830" s="669" t="s">
        <v>281</v>
      </c>
      <c r="D830" s="650">
        <v>110228</v>
      </c>
      <c r="E830" s="568" t="s">
        <v>802</v>
      </c>
      <c r="F830" s="652" t="s">
        <v>58</v>
      </c>
      <c r="G830" s="652" t="s">
        <v>24</v>
      </c>
      <c r="H830" s="652" t="s">
        <v>307</v>
      </c>
      <c r="I830" s="580" t="s">
        <v>1615</v>
      </c>
      <c r="J830" s="580">
        <v>1</v>
      </c>
      <c r="K830" s="652" t="s">
        <v>81</v>
      </c>
      <c r="L830" s="662">
        <v>44322</v>
      </c>
      <c r="M830" s="670" t="s">
        <v>906</v>
      </c>
      <c r="N830" s="652" t="s">
        <v>96</v>
      </c>
      <c r="O830" s="580"/>
      <c r="P830" s="670" t="str">
        <f>VLOOKUP(A830,'[1]Raw data'!$B:$BA,23,FALSE)</f>
        <v>JPY</v>
      </c>
      <c r="Q830" s="652" t="str">
        <f>VLOOKUP(A830,'[1]Raw data'!$B:$Z,2,FALSE)</f>
        <v>C49SZX20210035SX</v>
      </c>
      <c r="R830" s="652" t="str">
        <f>VLOOKUP(A830,'[1]Raw data'!$B:$Z,3,FALSE)</f>
        <v>巴科</v>
      </c>
      <c r="S830" s="652" t="str">
        <f>VLOOKUP(A830,'[1]Raw data'!$B:$Z,4,FALSE)</f>
        <v>YSM20R-2</v>
      </c>
      <c r="T830" s="652" t="str">
        <f>VLOOKUP(A830,'[1]Raw data'!$B:$Z,8,FALSE)</f>
        <v>L-&gt;R</v>
      </c>
      <c r="U830" s="652" t="str">
        <f>VLOOKUP(A830,'[1]Raw data'!$B:$Z,9,FALSE)</f>
        <v>No</v>
      </c>
      <c r="V830" s="572" t="str">
        <f t="shared" si="139"/>
        <v>OK</v>
      </c>
      <c r="W830" s="568" t="str">
        <f>VLOOKUP(A830,'[1]Raw data'!$B:$AG,32,FALSE)</f>
        <v>CIF HK</v>
      </c>
      <c r="X830" s="652">
        <f>VLOOKUP(A830,'[1]Raw data'!$B:$BA,31,FALSE)</f>
        <v>44264</v>
      </c>
      <c r="Y830" s="652" t="str">
        <f>VLOOKUP(A830,'[1]Raw data'!$B:$AS,39,FALSE)</f>
        <v>Yes</v>
      </c>
      <c r="Z830" s="664"/>
      <c r="AA830" s="665"/>
      <c r="AB830" s="666"/>
      <c r="AC830" s="652" t="s">
        <v>1582</v>
      </c>
      <c r="AD830" s="667">
        <v>313</v>
      </c>
      <c r="AE830" s="667">
        <v>20</v>
      </c>
      <c r="AF830" s="667"/>
      <c r="AG830" s="667"/>
      <c r="AH830" s="667"/>
      <c r="AI830" s="668"/>
      <c r="AN830" s="547"/>
      <c r="AO830" s="829" t="str">
        <f t="shared" si="122"/>
        <v>Yes</v>
      </c>
      <c r="AP830" s="259" t="str">
        <f t="shared" si="123"/>
        <v>JUN 21</v>
      </c>
      <c r="AQ830" s="547" t="str">
        <f t="shared" si="124"/>
        <v>有定金+有預留客戶</v>
      </c>
      <c r="AR830" s="259" t="str">
        <f t="shared" si="125"/>
        <v>Shipped_Stock</v>
      </c>
      <c r="AS830" s="259" t="str">
        <f t="shared" si="126"/>
        <v/>
      </c>
      <c r="AT830" s="259" t="str">
        <f t="shared" si="127"/>
        <v>巴科</v>
      </c>
      <c r="AU830" s="259" t="str">
        <f t="shared" si="128"/>
        <v>C49SZX20210035SX</v>
      </c>
      <c r="AV830" s="259" t="str">
        <f t="shared" si="129"/>
        <v>May-06</v>
      </c>
    </row>
    <row r="831" spans="1:48" ht="14.85" hidden="1" customHeight="1">
      <c r="A831" s="564">
        <v>1240</v>
      </c>
      <c r="B831" s="669" t="s">
        <v>1125</v>
      </c>
      <c r="C831" s="669" t="s">
        <v>281</v>
      </c>
      <c r="D831" s="650">
        <v>110228</v>
      </c>
      <c r="E831" s="568" t="s">
        <v>802</v>
      </c>
      <c r="F831" s="652" t="s">
        <v>58</v>
      </c>
      <c r="G831" s="652" t="s">
        <v>24</v>
      </c>
      <c r="H831" s="652" t="s">
        <v>307</v>
      </c>
      <c r="I831" s="580" t="s">
        <v>1616</v>
      </c>
      <c r="J831" s="580">
        <v>1</v>
      </c>
      <c r="K831" s="652" t="s">
        <v>81</v>
      </c>
      <c r="L831" s="662">
        <v>44322</v>
      </c>
      <c r="M831" s="670" t="s">
        <v>906</v>
      </c>
      <c r="N831" s="652" t="s">
        <v>96</v>
      </c>
      <c r="O831" s="580"/>
      <c r="P831" s="670" t="str">
        <f>VLOOKUP(A831,'[1]Raw data'!$B:$BA,23,FALSE)</f>
        <v>JPY</v>
      </c>
      <c r="Q831" s="652" t="str">
        <f>VLOOKUP(A831,'[1]Raw data'!$B:$Z,2,FALSE)</f>
        <v>C49SZX20210035SX</v>
      </c>
      <c r="R831" s="652" t="str">
        <f>VLOOKUP(A831,'[1]Raw data'!$B:$Z,3,FALSE)</f>
        <v>巴科</v>
      </c>
      <c r="S831" s="652" t="str">
        <f>VLOOKUP(A831,'[1]Raw data'!$B:$Z,4,FALSE)</f>
        <v>YSM20R-2</v>
      </c>
      <c r="T831" s="652" t="str">
        <f>VLOOKUP(A831,'[1]Raw data'!$B:$Z,8,FALSE)</f>
        <v>L-&gt;R</v>
      </c>
      <c r="U831" s="652" t="str">
        <f>VLOOKUP(A831,'[1]Raw data'!$B:$Z,9,FALSE)</f>
        <v>No</v>
      </c>
      <c r="V831" s="572" t="str">
        <f t="shared" si="139"/>
        <v>OK</v>
      </c>
      <c r="W831" s="568" t="str">
        <f>VLOOKUP(A831,'[1]Raw data'!$B:$AG,32,FALSE)</f>
        <v>CIF HK</v>
      </c>
      <c r="X831" s="652">
        <f>VLOOKUP(A831,'[1]Raw data'!$B:$BA,31,FALSE)</f>
        <v>44264</v>
      </c>
      <c r="Y831" s="652" t="str">
        <f>VLOOKUP(A831,'[1]Raw data'!$B:$AS,39,FALSE)</f>
        <v>Yes</v>
      </c>
      <c r="Z831" s="664"/>
      <c r="AA831" s="665"/>
      <c r="AB831" s="666"/>
      <c r="AC831" s="652" t="s">
        <v>1582</v>
      </c>
      <c r="AD831" s="667">
        <v>302</v>
      </c>
      <c r="AE831" s="667">
        <v>10</v>
      </c>
      <c r="AF831" s="667">
        <v>313</v>
      </c>
      <c r="AG831" s="667">
        <v>10</v>
      </c>
      <c r="AH831" s="667"/>
      <c r="AI831" s="668"/>
      <c r="AN831" s="547"/>
      <c r="AO831" s="829" t="str">
        <f t="shared" si="122"/>
        <v>Yes</v>
      </c>
      <c r="AP831" s="259" t="str">
        <f t="shared" si="123"/>
        <v>JUN 21</v>
      </c>
      <c r="AQ831" s="547" t="str">
        <f t="shared" si="124"/>
        <v>有定金+有預留客戶</v>
      </c>
      <c r="AR831" s="259" t="str">
        <f t="shared" si="125"/>
        <v>Shipped_Stock</v>
      </c>
      <c r="AS831" s="259" t="str">
        <f t="shared" si="126"/>
        <v/>
      </c>
      <c r="AT831" s="259" t="str">
        <f t="shared" si="127"/>
        <v>巴科</v>
      </c>
      <c r="AU831" s="259" t="str">
        <f t="shared" si="128"/>
        <v>C49SZX20210035SX</v>
      </c>
      <c r="AV831" s="259" t="str">
        <f t="shared" si="129"/>
        <v>May-06</v>
      </c>
    </row>
    <row r="832" spans="1:48" hidden="1">
      <c r="A832" s="564">
        <v>1241</v>
      </c>
      <c r="B832" s="669" t="s">
        <v>1125</v>
      </c>
      <c r="C832" s="669" t="s">
        <v>281</v>
      </c>
      <c r="D832" s="650">
        <v>110228</v>
      </c>
      <c r="E832" s="568" t="s">
        <v>802</v>
      </c>
      <c r="F832" s="652" t="s">
        <v>58</v>
      </c>
      <c r="G832" s="652" t="s">
        <v>24</v>
      </c>
      <c r="H832" s="652" t="s">
        <v>307</v>
      </c>
      <c r="I832" s="580" t="s">
        <v>1617</v>
      </c>
      <c r="J832" s="580">
        <v>1</v>
      </c>
      <c r="K832" s="652" t="s">
        <v>81</v>
      </c>
      <c r="L832" s="662">
        <v>44322</v>
      </c>
      <c r="M832" s="670" t="s">
        <v>906</v>
      </c>
      <c r="N832" s="652" t="s">
        <v>96</v>
      </c>
      <c r="O832" s="580"/>
      <c r="P832" s="670" t="str">
        <f>VLOOKUP(A832,'[1]Raw data'!$B:$BA,23,FALSE)</f>
        <v>JPY</v>
      </c>
      <c r="Q832" s="652" t="str">
        <f>VLOOKUP(A832,'[1]Raw data'!$B:$Z,2,FALSE)</f>
        <v>C49SZX20210035SX</v>
      </c>
      <c r="R832" s="652" t="str">
        <f>VLOOKUP(A832,'[1]Raw data'!$B:$Z,3,FALSE)</f>
        <v>巴科</v>
      </c>
      <c r="S832" s="652" t="str">
        <f>VLOOKUP(A832,'[1]Raw data'!$B:$Z,4,FALSE)</f>
        <v>YSM20R-2</v>
      </c>
      <c r="T832" s="652" t="str">
        <f>VLOOKUP(A832,'[1]Raw data'!$B:$Z,8,FALSE)</f>
        <v>L-&gt;R</v>
      </c>
      <c r="U832" s="652" t="str">
        <f>VLOOKUP(A832,'[1]Raw data'!$B:$Z,9,FALSE)</f>
        <v>No</v>
      </c>
      <c r="V832" s="572" t="str">
        <f t="shared" si="139"/>
        <v>OK</v>
      </c>
      <c r="W832" s="568" t="str">
        <f>VLOOKUP(A832,'[1]Raw data'!$B:$AG,32,FALSE)</f>
        <v>CIF HK</v>
      </c>
      <c r="X832" s="652">
        <f>VLOOKUP(A832,'[1]Raw data'!$B:$BA,31,FALSE)</f>
        <v>44264</v>
      </c>
      <c r="Y832" s="652" t="str">
        <f>VLOOKUP(A832,'[1]Raw data'!$B:$AS,39,FALSE)</f>
        <v>Yes</v>
      </c>
      <c r="Z832" s="664"/>
      <c r="AA832" s="665"/>
      <c r="AB832" s="666"/>
      <c r="AC832" s="652" t="s">
        <v>1582</v>
      </c>
      <c r="AD832" s="667">
        <v>302</v>
      </c>
      <c r="AE832" s="667">
        <v>10</v>
      </c>
      <c r="AF832" s="667">
        <v>311</v>
      </c>
      <c r="AG832" s="667">
        <v>10</v>
      </c>
      <c r="AH832" s="667"/>
      <c r="AI832" s="668"/>
      <c r="AN832" s="547"/>
      <c r="AO832" s="829" t="str">
        <f t="shared" si="122"/>
        <v>Yes</v>
      </c>
      <c r="AP832" s="259" t="str">
        <f t="shared" si="123"/>
        <v>JUN 21</v>
      </c>
      <c r="AQ832" s="547" t="str">
        <f t="shared" si="124"/>
        <v>有定金+有預留客戶</v>
      </c>
      <c r="AR832" s="259" t="str">
        <f t="shared" si="125"/>
        <v>Shipped_Stock</v>
      </c>
      <c r="AS832" s="259" t="str">
        <f t="shared" si="126"/>
        <v/>
      </c>
      <c r="AT832" s="259" t="str">
        <f t="shared" si="127"/>
        <v>巴科</v>
      </c>
      <c r="AU832" s="259" t="str">
        <f t="shared" si="128"/>
        <v>C49SZX20210035SX</v>
      </c>
      <c r="AV832" s="259" t="str">
        <f t="shared" si="129"/>
        <v>May-06</v>
      </c>
    </row>
    <row r="833" spans="1:48" hidden="1">
      <c r="A833" s="564">
        <v>1242</v>
      </c>
      <c r="B833" s="669" t="s">
        <v>1125</v>
      </c>
      <c r="C833" s="669" t="s">
        <v>281</v>
      </c>
      <c r="D833" s="650">
        <v>110228</v>
      </c>
      <c r="E833" s="568" t="s">
        <v>802</v>
      </c>
      <c r="F833" s="652" t="s">
        <v>58</v>
      </c>
      <c r="G833" s="652" t="s">
        <v>24</v>
      </c>
      <c r="H833" s="652" t="s">
        <v>307</v>
      </c>
      <c r="I833" s="580" t="s">
        <v>1618</v>
      </c>
      <c r="J833" s="580">
        <v>1</v>
      </c>
      <c r="K833" s="652" t="s">
        <v>81</v>
      </c>
      <c r="L833" s="662">
        <v>44322</v>
      </c>
      <c r="M833" s="670" t="s">
        <v>906</v>
      </c>
      <c r="N833" s="652" t="s">
        <v>96</v>
      </c>
      <c r="O833" s="580"/>
      <c r="P833" s="670" t="str">
        <f>VLOOKUP(A833,'[1]Raw data'!$B:$BA,23,FALSE)</f>
        <v>JPY</v>
      </c>
      <c r="Q833" s="652" t="str">
        <f>VLOOKUP(A833,'[1]Raw data'!$B:$Z,2,FALSE)</f>
        <v>C49SZX20210035SX</v>
      </c>
      <c r="R833" s="652" t="str">
        <f>VLOOKUP(A833,'[1]Raw data'!$B:$Z,3,FALSE)</f>
        <v>巴科</v>
      </c>
      <c r="S833" s="652" t="str">
        <f>VLOOKUP(A833,'[1]Raw data'!$B:$Z,4,FALSE)</f>
        <v>YSM20R-2</v>
      </c>
      <c r="T833" s="652" t="str">
        <f>VLOOKUP(A833,'[1]Raw data'!$B:$Z,8,FALSE)</f>
        <v>L-&gt;R</v>
      </c>
      <c r="U833" s="652" t="str">
        <f>VLOOKUP(A833,'[1]Raw data'!$B:$Z,9,FALSE)</f>
        <v>No</v>
      </c>
      <c r="V833" s="572" t="str">
        <f t="shared" si="139"/>
        <v>OK</v>
      </c>
      <c r="W833" s="568" t="str">
        <f>VLOOKUP(A833,'[1]Raw data'!$B:$AG,32,FALSE)</f>
        <v>CIF HK</v>
      </c>
      <c r="X833" s="652">
        <f>VLOOKUP(A833,'[1]Raw data'!$B:$BA,31,FALSE)</f>
        <v>44264</v>
      </c>
      <c r="Y833" s="652" t="str">
        <f>VLOOKUP(A833,'[1]Raw data'!$B:$AS,39,FALSE)</f>
        <v>Yes</v>
      </c>
      <c r="Z833" s="664"/>
      <c r="AA833" s="665"/>
      <c r="AB833" s="666"/>
      <c r="AC833" s="652" t="s">
        <v>1582</v>
      </c>
      <c r="AD833" s="667">
        <v>302</v>
      </c>
      <c r="AE833" s="667">
        <v>10</v>
      </c>
      <c r="AF833" s="667">
        <v>311</v>
      </c>
      <c r="AG833" s="667">
        <v>10</v>
      </c>
      <c r="AH833" s="667"/>
      <c r="AI833" s="668"/>
      <c r="AN833" s="547"/>
      <c r="AO833" s="829" t="str">
        <f t="shared" si="122"/>
        <v>Yes</v>
      </c>
      <c r="AP833" s="259" t="str">
        <f t="shared" si="123"/>
        <v>JUN 21</v>
      </c>
      <c r="AQ833" s="547" t="str">
        <f t="shared" si="124"/>
        <v>有定金+有預留客戶</v>
      </c>
      <c r="AR833" s="259" t="str">
        <f t="shared" si="125"/>
        <v>Shipped_Stock</v>
      </c>
      <c r="AS833" s="259" t="str">
        <f t="shared" si="126"/>
        <v/>
      </c>
      <c r="AT833" s="259" t="str">
        <f t="shared" si="127"/>
        <v>巴科</v>
      </c>
      <c r="AU833" s="259" t="str">
        <f t="shared" si="128"/>
        <v>C49SZX20210035SX</v>
      </c>
      <c r="AV833" s="259" t="str">
        <f t="shared" si="129"/>
        <v>May-06</v>
      </c>
    </row>
    <row r="834" spans="1:48" hidden="1">
      <c r="A834" s="564">
        <v>1230</v>
      </c>
      <c r="B834" s="669" t="s">
        <v>1125</v>
      </c>
      <c r="C834" s="669" t="s">
        <v>281</v>
      </c>
      <c r="D834" s="650">
        <v>110228</v>
      </c>
      <c r="E834" s="568" t="s">
        <v>802</v>
      </c>
      <c r="F834" s="652" t="s">
        <v>58</v>
      </c>
      <c r="G834" s="652" t="s">
        <v>24</v>
      </c>
      <c r="H834" s="652" t="s">
        <v>307</v>
      </c>
      <c r="I834" s="580" t="s">
        <v>1619</v>
      </c>
      <c r="J834" s="580">
        <v>1</v>
      </c>
      <c r="K834" s="652" t="s">
        <v>81</v>
      </c>
      <c r="L834" s="662">
        <v>44322</v>
      </c>
      <c r="M834" s="670" t="s">
        <v>906</v>
      </c>
      <c r="N834" s="652" t="s">
        <v>96</v>
      </c>
      <c r="O834" s="580"/>
      <c r="P834" s="670" t="str">
        <f>VLOOKUP(A834,'[1]Raw data'!$B:$BA,23,FALSE)</f>
        <v>JPY</v>
      </c>
      <c r="Q834" s="652" t="str">
        <f>VLOOKUP(A834,'[1]Raw data'!$B:$Z,2,FALSE)</f>
        <v>C49SZX20210035SX</v>
      </c>
      <c r="R834" s="652" t="str">
        <f>VLOOKUP(A834,'[1]Raw data'!$B:$Z,3,FALSE)</f>
        <v>巴科</v>
      </c>
      <c r="S834" s="652" t="str">
        <f>VLOOKUP(A834,'[1]Raw data'!$B:$Z,4,FALSE)</f>
        <v>YSM20R-2</v>
      </c>
      <c r="T834" s="652" t="str">
        <f>VLOOKUP(A834,'[1]Raw data'!$B:$Z,8,FALSE)</f>
        <v>L-&gt;R</v>
      </c>
      <c r="U834" s="652" t="str">
        <f>VLOOKUP(A834,'[1]Raw data'!$B:$Z,9,FALSE)</f>
        <v>No</v>
      </c>
      <c r="V834" s="572" t="str">
        <f t="shared" si="139"/>
        <v>OK</v>
      </c>
      <c r="W834" s="568" t="str">
        <f>VLOOKUP(A834,'[1]Raw data'!$B:$AG,32,FALSE)</f>
        <v>CIF HK</v>
      </c>
      <c r="X834" s="652">
        <f>VLOOKUP(A834,'[1]Raw data'!$B:$BA,31,FALSE)</f>
        <v>44264</v>
      </c>
      <c r="Y834" s="652" t="str">
        <f>VLOOKUP(A834,'[1]Raw data'!$B:$AS,39,FALSE)</f>
        <v>Yes</v>
      </c>
      <c r="Z834" s="664"/>
      <c r="AA834" s="665"/>
      <c r="AB834" s="666"/>
      <c r="AC834" s="652" t="s">
        <v>1582</v>
      </c>
      <c r="AD834" s="667">
        <v>302</v>
      </c>
      <c r="AE834" s="667">
        <v>10</v>
      </c>
      <c r="AF834" s="667">
        <v>311</v>
      </c>
      <c r="AG834" s="667">
        <v>10</v>
      </c>
      <c r="AH834" s="667"/>
      <c r="AI834" s="668"/>
      <c r="AN834" s="547"/>
      <c r="AO834" s="829" t="str">
        <f t="shared" si="122"/>
        <v>Yes</v>
      </c>
      <c r="AP834" s="259" t="str">
        <f t="shared" si="123"/>
        <v>JUN 21</v>
      </c>
      <c r="AQ834" s="547" t="str">
        <f t="shared" si="124"/>
        <v>有定金+有預留客戶</v>
      </c>
      <c r="AR834" s="259" t="str">
        <f t="shared" si="125"/>
        <v>Shipped_Stock</v>
      </c>
      <c r="AS834" s="259" t="str">
        <f t="shared" si="126"/>
        <v/>
      </c>
      <c r="AT834" s="259" t="str">
        <f t="shared" si="127"/>
        <v>巴科</v>
      </c>
      <c r="AU834" s="259" t="str">
        <f t="shared" si="128"/>
        <v>C49SZX20210035SX</v>
      </c>
      <c r="AV834" s="259" t="str">
        <f t="shared" si="129"/>
        <v>May-06</v>
      </c>
    </row>
    <row r="835" spans="1:48" hidden="1">
      <c r="A835" s="564">
        <v>1231</v>
      </c>
      <c r="B835" s="669" t="s">
        <v>1125</v>
      </c>
      <c r="C835" s="669" t="s">
        <v>281</v>
      </c>
      <c r="D835" s="650">
        <v>110228</v>
      </c>
      <c r="E835" s="568" t="s">
        <v>802</v>
      </c>
      <c r="F835" s="652" t="s">
        <v>58</v>
      </c>
      <c r="G835" s="652" t="s">
        <v>24</v>
      </c>
      <c r="H835" s="652" t="s">
        <v>307</v>
      </c>
      <c r="I835" s="750" t="s">
        <v>1620</v>
      </c>
      <c r="J835" s="580">
        <v>1</v>
      </c>
      <c r="K835" s="652" t="s">
        <v>81</v>
      </c>
      <c r="L835" s="662">
        <v>44322</v>
      </c>
      <c r="M835" s="670" t="s">
        <v>906</v>
      </c>
      <c r="N835" s="652" t="s">
        <v>96</v>
      </c>
      <c r="O835" s="580"/>
      <c r="P835" s="670" t="str">
        <f>VLOOKUP(A835,'[1]Raw data'!$B:$BA,23,FALSE)</f>
        <v>JPY</v>
      </c>
      <c r="Q835" s="652" t="str">
        <f>VLOOKUP(A835,'[1]Raw data'!$B:$Z,2,FALSE)</f>
        <v>C49SZX20210035SX</v>
      </c>
      <c r="R835" s="652" t="str">
        <f>VLOOKUP(A835,'[1]Raw data'!$B:$Z,3,FALSE)</f>
        <v>巴科</v>
      </c>
      <c r="S835" s="652" t="str">
        <f>VLOOKUP(A835,'[1]Raw data'!$B:$Z,4,FALSE)</f>
        <v>YSM20R-2</v>
      </c>
      <c r="T835" s="652" t="str">
        <f>VLOOKUP(A835,'[1]Raw data'!$B:$Z,8,FALSE)</f>
        <v>L-&gt;R</v>
      </c>
      <c r="U835" s="652" t="str">
        <f>VLOOKUP(A835,'[1]Raw data'!$B:$Z,9,FALSE)</f>
        <v>No</v>
      </c>
      <c r="V835" s="572" t="str">
        <f t="shared" si="139"/>
        <v>OK</v>
      </c>
      <c r="W835" s="568" t="str">
        <f>VLOOKUP(A835,'[1]Raw data'!$B:$AG,32,FALSE)</f>
        <v>CIF HK</v>
      </c>
      <c r="X835" s="652">
        <f>VLOOKUP(A835,'[1]Raw data'!$B:$BA,31,FALSE)</f>
        <v>44264</v>
      </c>
      <c r="Y835" s="652" t="str">
        <f>VLOOKUP(A835,'[1]Raw data'!$B:$AS,39,FALSE)</f>
        <v>Yes</v>
      </c>
      <c r="Z835" s="664"/>
      <c r="AA835" s="665"/>
      <c r="AB835" s="666"/>
      <c r="AC835" s="652" t="s">
        <v>1609</v>
      </c>
      <c r="AD835" s="667">
        <v>302</v>
      </c>
      <c r="AE835" s="667">
        <v>10</v>
      </c>
      <c r="AF835" s="667">
        <v>311</v>
      </c>
      <c r="AG835" s="667">
        <v>10</v>
      </c>
      <c r="AH835" s="667"/>
      <c r="AI835" s="668"/>
      <c r="AN835" s="547"/>
      <c r="AO835" s="829" t="str">
        <f t="shared" ref="AO835:AO898" si="140">IFERROR(IF(Y835&lt;&gt;"",Y835,"No"),"No")</f>
        <v>Yes</v>
      </c>
      <c r="AP835" s="259" t="str">
        <f t="shared" ref="AP835:AP898" si="141">IFERROR(IF(N835&lt;&gt;"",N835,"blank"),"NA")</f>
        <v>JUN 21</v>
      </c>
      <c r="AQ835" s="547" t="str">
        <f t="shared" ref="AQ835:AQ898" si="142">IFERROR(IF(AND(AO835="Yes", AP835&lt;&gt;"blank"), "有定金+有預留客戶", IF(AND(AO835="Yes", AP835="blank"), "有定金+无客戶送貨期", IF(AND(OR(AO835="No", ISBLANK(AO835), AO835="NA"), AP835&lt;&gt;"blank"), "无定金+有預留客戶", IF(AND(OR(AO835="No", ISBLANK(AO835), AO835="NA"), AP835="blank"), "无定金+无預留客戶", "")))), "")</f>
        <v>有定金+有預留客戶</v>
      </c>
      <c r="AR835" s="259" t="str">
        <f t="shared" ref="AR835:AR898" si="143">IFERROR(IF(B835="已经到货", "Instock", IF(B835="有交期", "Incoming_Stock_With_YAMAHA_Schedule", IF(B835="TBA.", "Incoming_Stock_No_YAMAHA_Schedule", IF(B835="已发货", "Shipped_Stock", "")))), "")</f>
        <v>Shipped_Stock</v>
      </c>
      <c r="AS835" s="259" t="str">
        <f t="shared" ref="AS835:AS898" si="144">IF(AND(B835="有交期", L835&lt;&gt;""), L835, "")</f>
        <v/>
      </c>
      <c r="AT835" s="259" t="str">
        <f t="shared" ref="AT835:AT898" si="145">IFERROR(IF(R835&lt;&gt;"",R835),"-")</f>
        <v>巴科</v>
      </c>
      <c r="AU835" s="259" t="str">
        <f t="shared" ref="AU835:AU898" si="146">IFERROR(IF(Q835&lt;&gt;"",Q835),"-")</f>
        <v>C49SZX20210035SX</v>
      </c>
      <c r="AV835" s="259" t="str">
        <f t="shared" ref="AV835:AV898" si="147">IF(L835="","-",TEXT(L835,"mmm-dd"))</f>
        <v>May-06</v>
      </c>
    </row>
    <row r="836" spans="1:48" hidden="1">
      <c r="A836" s="564">
        <v>1232</v>
      </c>
      <c r="B836" s="669" t="s">
        <v>1125</v>
      </c>
      <c r="C836" s="669" t="s">
        <v>281</v>
      </c>
      <c r="D836" s="650">
        <v>110228</v>
      </c>
      <c r="E836" s="568" t="s">
        <v>802</v>
      </c>
      <c r="F836" s="652" t="s">
        <v>58</v>
      </c>
      <c r="G836" s="652" t="s">
        <v>24</v>
      </c>
      <c r="H836" s="652" t="s">
        <v>307</v>
      </c>
      <c r="I836" s="750" t="s">
        <v>1621</v>
      </c>
      <c r="J836" s="580">
        <v>1</v>
      </c>
      <c r="K836" s="652" t="s">
        <v>81</v>
      </c>
      <c r="L836" s="662">
        <v>44322</v>
      </c>
      <c r="M836" s="670" t="s">
        <v>906</v>
      </c>
      <c r="N836" s="652" t="s">
        <v>96</v>
      </c>
      <c r="O836" s="580"/>
      <c r="P836" s="670" t="str">
        <f>VLOOKUP(A836,'[1]Raw data'!$B:$BA,23,FALSE)</f>
        <v>JPY</v>
      </c>
      <c r="Q836" s="652" t="str">
        <f>VLOOKUP(A836,'[1]Raw data'!$B:$Z,2,FALSE)</f>
        <v>C49SZX20210035SX</v>
      </c>
      <c r="R836" s="652" t="str">
        <f>VLOOKUP(A836,'[1]Raw data'!$B:$Z,3,FALSE)</f>
        <v>巴科</v>
      </c>
      <c r="S836" s="652" t="str">
        <f>VLOOKUP(A836,'[1]Raw data'!$B:$Z,4,FALSE)</f>
        <v>YSM20R-2</v>
      </c>
      <c r="T836" s="652" t="str">
        <f>VLOOKUP(A836,'[1]Raw data'!$B:$Z,8,FALSE)</f>
        <v>L-&gt;R</v>
      </c>
      <c r="U836" s="652" t="str">
        <f>VLOOKUP(A836,'[1]Raw data'!$B:$Z,9,FALSE)</f>
        <v>No</v>
      </c>
      <c r="V836" s="572" t="str">
        <f t="shared" si="139"/>
        <v>OK</v>
      </c>
      <c r="W836" s="568" t="str">
        <f>VLOOKUP(A836,'[1]Raw data'!$B:$AG,32,FALSE)</f>
        <v>CIF HK</v>
      </c>
      <c r="X836" s="652">
        <f>VLOOKUP(A836,'[1]Raw data'!$B:$BA,31,FALSE)</f>
        <v>44264</v>
      </c>
      <c r="Y836" s="652" t="str">
        <f>VLOOKUP(A836,'[1]Raw data'!$B:$AS,39,FALSE)</f>
        <v>Yes</v>
      </c>
      <c r="Z836" s="664"/>
      <c r="AA836" s="665"/>
      <c r="AB836" s="666"/>
      <c r="AC836" s="652" t="s">
        <v>1609</v>
      </c>
      <c r="AD836" s="667">
        <v>302</v>
      </c>
      <c r="AE836" s="667">
        <v>10</v>
      </c>
      <c r="AF836" s="667">
        <v>311</v>
      </c>
      <c r="AG836" s="667">
        <v>10</v>
      </c>
      <c r="AH836" s="667"/>
      <c r="AI836" s="668"/>
      <c r="AN836" s="547"/>
      <c r="AO836" s="829" t="str">
        <f t="shared" si="140"/>
        <v>Yes</v>
      </c>
      <c r="AP836" s="259" t="str">
        <f t="shared" si="141"/>
        <v>JUN 21</v>
      </c>
      <c r="AQ836" s="547" t="str">
        <f t="shared" si="142"/>
        <v>有定金+有預留客戶</v>
      </c>
      <c r="AR836" s="259" t="str">
        <f t="shared" si="143"/>
        <v>Shipped_Stock</v>
      </c>
      <c r="AS836" s="259" t="str">
        <f t="shared" si="144"/>
        <v/>
      </c>
      <c r="AT836" s="259" t="str">
        <f t="shared" si="145"/>
        <v>巴科</v>
      </c>
      <c r="AU836" s="259" t="str">
        <f t="shared" si="146"/>
        <v>C49SZX20210035SX</v>
      </c>
      <c r="AV836" s="259" t="str">
        <f t="shared" si="147"/>
        <v>May-06</v>
      </c>
    </row>
    <row r="837" spans="1:48" hidden="1">
      <c r="A837" s="564">
        <v>1185</v>
      </c>
      <c r="B837" s="669" t="s">
        <v>1125</v>
      </c>
      <c r="C837" s="669" t="s">
        <v>281</v>
      </c>
      <c r="D837" s="650">
        <v>110416</v>
      </c>
      <c r="E837" s="568" t="s">
        <v>886</v>
      </c>
      <c r="F837" s="652" t="s">
        <v>58</v>
      </c>
      <c r="G837" s="652" t="s">
        <v>18</v>
      </c>
      <c r="H837" s="652" t="s">
        <v>26</v>
      </c>
      <c r="I837" s="580" t="s">
        <v>1622</v>
      </c>
      <c r="J837" s="580">
        <v>1</v>
      </c>
      <c r="K837" s="652" t="s">
        <v>81</v>
      </c>
      <c r="L837" s="662">
        <v>44322</v>
      </c>
      <c r="M837" s="670" t="s">
        <v>906</v>
      </c>
      <c r="N837" s="652" t="s">
        <v>110</v>
      </c>
      <c r="O837" s="580"/>
      <c r="P837" s="670" t="str">
        <f>VLOOKUP(A837,'[1]Raw data'!$B:$BA,23,FALSE)</f>
        <v>JPY</v>
      </c>
      <c r="Q837" s="652" t="str">
        <f>VLOOKUP(A837,'[1]Raw data'!$B:$Z,2,FALSE)</f>
        <v>C49SZX20210063LC</v>
      </c>
      <c r="R837" s="652" t="str">
        <f>VLOOKUP(A837,'[1]Raw data'!$B:$Z,3,FALSE)</f>
        <v>星辰宇</v>
      </c>
      <c r="S837" s="652" t="str">
        <f>VLOOKUP(A837,'[1]Raw data'!$B:$Z,4,FALSE)</f>
        <v>YSM20R-2</v>
      </c>
      <c r="T837" s="652" t="str">
        <f>VLOOKUP(A837,'[1]Raw data'!$B:$Z,8,FALSE)</f>
        <v>R-&gt;L</v>
      </c>
      <c r="U837" s="652" t="str">
        <f>VLOOKUP(A837,'[1]Raw data'!$B:$Z,9,FALSE)</f>
        <v>No</v>
      </c>
      <c r="V837" s="572" t="str">
        <f t="shared" ref="V837" si="148">IF(G837&amp;H837=T837&amp;U837,"OK","WRONG")</f>
        <v>OK</v>
      </c>
      <c r="W837" s="568" t="str">
        <f>VLOOKUP(A837,'[1]Raw data'!$B:$AG,32,FALSE)</f>
        <v>DAP SZ</v>
      </c>
      <c r="X837" s="652">
        <f>VLOOKUP(A837,'[1]Raw data'!$B:$BA,31,FALSE)</f>
        <v>44259</v>
      </c>
      <c r="Y837" s="652" t="str">
        <f>VLOOKUP(A837,'[1]Raw data'!$B:$AS,39,FALSE)</f>
        <v>Yes</v>
      </c>
      <c r="Z837" s="664"/>
      <c r="AA837" s="665"/>
      <c r="AB837" s="666"/>
      <c r="AC837" s="652" t="s">
        <v>1623</v>
      </c>
      <c r="AD837" s="667">
        <v>301</v>
      </c>
      <c r="AE837" s="667">
        <v>10</v>
      </c>
      <c r="AF837" s="667">
        <v>311</v>
      </c>
      <c r="AG837" s="667">
        <v>10</v>
      </c>
      <c r="AH837" s="667"/>
      <c r="AI837" s="668"/>
      <c r="AN837" s="547"/>
      <c r="AO837" s="829" t="str">
        <f t="shared" si="140"/>
        <v>Yes</v>
      </c>
      <c r="AP837" s="259" t="str">
        <f t="shared" si="141"/>
        <v>MAY 21</v>
      </c>
      <c r="AQ837" s="547" t="str">
        <f t="shared" si="142"/>
        <v>有定金+有預留客戶</v>
      </c>
      <c r="AR837" s="259" t="str">
        <f t="shared" si="143"/>
        <v>Shipped_Stock</v>
      </c>
      <c r="AS837" s="259" t="str">
        <f t="shared" si="144"/>
        <v/>
      </c>
      <c r="AT837" s="259" t="str">
        <f t="shared" si="145"/>
        <v>星辰宇</v>
      </c>
      <c r="AU837" s="259" t="str">
        <f t="shared" si="146"/>
        <v>C49SZX20210063LC</v>
      </c>
      <c r="AV837" s="259" t="str">
        <f t="shared" si="147"/>
        <v>May-06</v>
      </c>
    </row>
    <row r="838" spans="1:48" hidden="1">
      <c r="A838" s="564">
        <v>1100</v>
      </c>
      <c r="B838" s="669" t="s">
        <v>1125</v>
      </c>
      <c r="C838" s="669" t="s">
        <v>281</v>
      </c>
      <c r="D838" s="650">
        <v>110416</v>
      </c>
      <c r="E838" s="568" t="s">
        <v>886</v>
      </c>
      <c r="F838" s="652" t="s">
        <v>58</v>
      </c>
      <c r="G838" s="652" t="s">
        <v>18</v>
      </c>
      <c r="H838" s="652" t="s">
        <v>26</v>
      </c>
      <c r="I838" s="580" t="s">
        <v>1624</v>
      </c>
      <c r="J838" s="580">
        <v>1</v>
      </c>
      <c r="K838" s="652" t="s">
        <v>81</v>
      </c>
      <c r="L838" s="662">
        <v>44322</v>
      </c>
      <c r="M838" s="670" t="s">
        <v>906</v>
      </c>
      <c r="N838" s="652" t="s">
        <v>110</v>
      </c>
      <c r="O838" s="580"/>
      <c r="P838" s="670" t="str">
        <f>VLOOKUP(A838,'[1]Raw data'!$B:$BA,23,FALSE)</f>
        <v>JPY</v>
      </c>
      <c r="Q838" s="652" t="str">
        <f>VLOOKUP(A838,'[1]Raw data'!$B:$Z,2,FALSE)</f>
        <v>C49SZX20210019JY</v>
      </c>
      <c r="R838" s="652" t="str">
        <f>VLOOKUP(A838,'[1]Raw data'!$B:$Z,3,FALSE)</f>
        <v>晟锦威</v>
      </c>
      <c r="S838" s="652" t="str">
        <f>VLOOKUP(A838,'[1]Raw data'!$B:$Z,4,FALSE)</f>
        <v>YSM20R-2</v>
      </c>
      <c r="T838" s="652" t="str">
        <f>VLOOKUP(A838,'[1]Raw data'!$B:$Z,8,FALSE)</f>
        <v>R-&gt;L</v>
      </c>
      <c r="U838" s="652" t="str">
        <f>VLOOKUP(A838,'[1]Raw data'!$B:$Z,9,FALSE)</f>
        <v>No</v>
      </c>
      <c r="V838" s="572" t="str">
        <f t="shared" ref="V838:V844" si="149">IF(G838&amp;H838=T838&amp;U838,"OK","WRONG")</f>
        <v>OK</v>
      </c>
      <c r="W838" s="568" t="str">
        <f>VLOOKUP(A838,'[1]Raw data'!$B:$AG,32,FALSE)</f>
        <v>DAP SZ</v>
      </c>
      <c r="X838" s="652">
        <f>VLOOKUP(A838,'[1]Raw data'!$B:$BA,31,FALSE)</f>
        <v>44223</v>
      </c>
      <c r="Y838" s="652" t="str">
        <f>VLOOKUP(A838,'[1]Raw data'!$B:$AS,39,FALSE)</f>
        <v>Yes</v>
      </c>
      <c r="Z838" s="664"/>
      <c r="AA838" s="665"/>
      <c r="AB838" s="666"/>
      <c r="AC838" s="652" t="s">
        <v>1594</v>
      </c>
      <c r="AD838" s="667">
        <v>301</v>
      </c>
      <c r="AE838" s="667">
        <v>10</v>
      </c>
      <c r="AF838" s="667">
        <v>311</v>
      </c>
      <c r="AG838" s="667">
        <v>10</v>
      </c>
      <c r="AH838" s="667"/>
      <c r="AI838" s="668"/>
      <c r="AN838" s="547"/>
      <c r="AO838" s="829" t="str">
        <f t="shared" si="140"/>
        <v>Yes</v>
      </c>
      <c r="AP838" s="259" t="str">
        <f t="shared" si="141"/>
        <v>MAY 21</v>
      </c>
      <c r="AQ838" s="547" t="str">
        <f t="shared" si="142"/>
        <v>有定金+有預留客戶</v>
      </c>
      <c r="AR838" s="259" t="str">
        <f t="shared" si="143"/>
        <v>Shipped_Stock</v>
      </c>
      <c r="AS838" s="259" t="str">
        <f t="shared" si="144"/>
        <v/>
      </c>
      <c r="AT838" s="259" t="str">
        <f t="shared" si="145"/>
        <v>晟锦威</v>
      </c>
      <c r="AU838" s="259" t="str">
        <f t="shared" si="146"/>
        <v>C49SZX20210019JY</v>
      </c>
      <c r="AV838" s="259" t="str">
        <f t="shared" si="147"/>
        <v>May-06</v>
      </c>
    </row>
    <row r="839" spans="1:48" hidden="1">
      <c r="A839" s="564">
        <v>1101</v>
      </c>
      <c r="B839" s="669" t="s">
        <v>1125</v>
      </c>
      <c r="C839" s="669" t="s">
        <v>281</v>
      </c>
      <c r="D839" s="650">
        <v>110416</v>
      </c>
      <c r="E839" s="568" t="s">
        <v>886</v>
      </c>
      <c r="F839" s="652" t="s">
        <v>58</v>
      </c>
      <c r="G839" s="652" t="s">
        <v>18</v>
      </c>
      <c r="H839" s="652" t="s">
        <v>26</v>
      </c>
      <c r="I839" s="580" t="s">
        <v>1625</v>
      </c>
      <c r="J839" s="580">
        <v>1</v>
      </c>
      <c r="K839" s="652" t="s">
        <v>81</v>
      </c>
      <c r="L839" s="662">
        <v>44322</v>
      </c>
      <c r="M839" s="670" t="s">
        <v>906</v>
      </c>
      <c r="N839" s="652" t="s">
        <v>110</v>
      </c>
      <c r="O839" s="580"/>
      <c r="P839" s="670" t="str">
        <f>VLOOKUP(A839,'[1]Raw data'!$B:$BA,23,FALSE)</f>
        <v>JPY</v>
      </c>
      <c r="Q839" s="652" t="str">
        <f>VLOOKUP(A839,'[1]Raw data'!$B:$Z,2,FALSE)</f>
        <v>C49SZX20210019JY</v>
      </c>
      <c r="R839" s="652" t="str">
        <f>VLOOKUP(A839,'[1]Raw data'!$B:$Z,3,FALSE)</f>
        <v>晟锦威</v>
      </c>
      <c r="S839" s="652" t="str">
        <f>VLOOKUP(A839,'[1]Raw data'!$B:$Z,4,FALSE)</f>
        <v>YSM20R-2</v>
      </c>
      <c r="T839" s="652" t="str">
        <f>VLOOKUP(A839,'[1]Raw data'!$B:$Z,8,FALSE)</f>
        <v>R-&gt;L</v>
      </c>
      <c r="U839" s="652" t="str">
        <f>VLOOKUP(A839,'[1]Raw data'!$B:$Z,9,FALSE)</f>
        <v>No</v>
      </c>
      <c r="V839" s="572" t="str">
        <f t="shared" si="149"/>
        <v>OK</v>
      </c>
      <c r="W839" s="568" t="str">
        <f>VLOOKUP(A839,'[1]Raw data'!$B:$AG,32,FALSE)</f>
        <v>DAP SZ</v>
      </c>
      <c r="X839" s="652">
        <f>VLOOKUP(A839,'[1]Raw data'!$B:$BA,31,FALSE)</f>
        <v>44223</v>
      </c>
      <c r="Y839" s="652" t="str">
        <f>VLOOKUP(A839,'[1]Raw data'!$B:$AS,39,FALSE)</f>
        <v>Yes</v>
      </c>
      <c r="Z839" s="664"/>
      <c r="AA839" s="665"/>
      <c r="AB839" s="666"/>
      <c r="AC839" s="652" t="s">
        <v>1594</v>
      </c>
      <c r="AD839" s="667">
        <v>301</v>
      </c>
      <c r="AE839" s="667">
        <v>10</v>
      </c>
      <c r="AF839" s="667">
        <v>303</v>
      </c>
      <c r="AG839" s="667">
        <v>10</v>
      </c>
      <c r="AH839" s="667"/>
      <c r="AI839" s="668"/>
      <c r="AN839" s="547"/>
      <c r="AO839" s="829" t="str">
        <f t="shared" si="140"/>
        <v>Yes</v>
      </c>
      <c r="AP839" s="259" t="str">
        <f t="shared" si="141"/>
        <v>MAY 21</v>
      </c>
      <c r="AQ839" s="547" t="str">
        <f t="shared" si="142"/>
        <v>有定金+有預留客戶</v>
      </c>
      <c r="AR839" s="259" t="str">
        <f t="shared" si="143"/>
        <v>Shipped_Stock</v>
      </c>
      <c r="AS839" s="259" t="str">
        <f t="shared" si="144"/>
        <v/>
      </c>
      <c r="AT839" s="259" t="str">
        <f t="shared" si="145"/>
        <v>晟锦威</v>
      </c>
      <c r="AU839" s="259" t="str">
        <f t="shared" si="146"/>
        <v>C49SZX20210019JY</v>
      </c>
      <c r="AV839" s="259" t="str">
        <f t="shared" si="147"/>
        <v>May-06</v>
      </c>
    </row>
    <row r="840" spans="1:48" hidden="1">
      <c r="A840" s="564">
        <v>1071</v>
      </c>
      <c r="B840" s="669" t="s">
        <v>1125</v>
      </c>
      <c r="C840" s="669" t="s">
        <v>281</v>
      </c>
      <c r="D840" s="650">
        <v>110416</v>
      </c>
      <c r="E840" s="568" t="s">
        <v>886</v>
      </c>
      <c r="F840" s="652" t="s">
        <v>58</v>
      </c>
      <c r="G840" s="652" t="s">
        <v>24</v>
      </c>
      <c r="H840" s="652" t="s">
        <v>26</v>
      </c>
      <c r="I840" s="580" t="s">
        <v>1626</v>
      </c>
      <c r="J840" s="580">
        <v>1</v>
      </c>
      <c r="K840" s="652" t="s">
        <v>81</v>
      </c>
      <c r="L840" s="662">
        <v>44322</v>
      </c>
      <c r="M840" s="670" t="s">
        <v>906</v>
      </c>
      <c r="N840" s="652" t="s">
        <v>110</v>
      </c>
      <c r="O840" s="580"/>
      <c r="P840" s="670" t="str">
        <f>VLOOKUP(A840,'[1]Raw data'!$B:$BA,23,FALSE)</f>
        <v>JPY</v>
      </c>
      <c r="Q840" s="652" t="str">
        <f>VLOOKUP(A840,'[1]Raw data'!$B:$Z,2,FALSE)</f>
        <v>C49SZX20210009MZ</v>
      </c>
      <c r="R840" s="652" t="str">
        <f>VLOOKUP(A840,'[1]Raw data'!$B:$Z,3,FALSE)</f>
        <v>奥视通</v>
      </c>
      <c r="S840" s="652" t="str">
        <f>VLOOKUP(A840,'[1]Raw data'!$B:$Z,4,FALSE)</f>
        <v>YSM20R-2</v>
      </c>
      <c r="T840" s="652" t="str">
        <f>VLOOKUP(A840,'[1]Raw data'!$B:$Z,8,FALSE)</f>
        <v>L-&gt;R</v>
      </c>
      <c r="U840" s="652" t="str">
        <f>VLOOKUP(A840,'[1]Raw data'!$B:$Z,9,FALSE)</f>
        <v>No</v>
      </c>
      <c r="V840" s="572" t="str">
        <f t="shared" si="149"/>
        <v>OK</v>
      </c>
      <c r="W840" s="568" t="str">
        <f>VLOOKUP(A840,'[1]Raw data'!$B:$AG,32,FALSE)</f>
        <v>DAP HZ</v>
      </c>
      <c r="X840" s="652">
        <f>VLOOKUP(A840,'[1]Raw data'!$B:$BA,31,FALSE)</f>
        <v>44215</v>
      </c>
      <c r="Y840" s="652" t="str">
        <f>VLOOKUP(A840,'[1]Raw data'!$B:$AS,39,FALSE)</f>
        <v>Yes</v>
      </c>
      <c r="Z840" s="664"/>
      <c r="AA840" s="665"/>
      <c r="AB840" s="666"/>
      <c r="AC840" s="652" t="s">
        <v>1426</v>
      </c>
      <c r="AD840" s="667">
        <v>303</v>
      </c>
      <c r="AE840" s="667">
        <v>10</v>
      </c>
      <c r="AF840" s="667">
        <v>311</v>
      </c>
      <c r="AG840" s="667">
        <v>10</v>
      </c>
      <c r="AH840" s="667"/>
      <c r="AI840" s="668"/>
      <c r="AN840" s="547"/>
      <c r="AO840" s="829" t="str">
        <f t="shared" si="140"/>
        <v>Yes</v>
      </c>
      <c r="AP840" s="259" t="str">
        <f t="shared" si="141"/>
        <v>MAY 21</v>
      </c>
      <c r="AQ840" s="547" t="str">
        <f t="shared" si="142"/>
        <v>有定金+有預留客戶</v>
      </c>
      <c r="AR840" s="259" t="str">
        <f t="shared" si="143"/>
        <v>Shipped_Stock</v>
      </c>
      <c r="AS840" s="259" t="str">
        <f t="shared" si="144"/>
        <v/>
      </c>
      <c r="AT840" s="259" t="str">
        <f t="shared" si="145"/>
        <v>奥视通</v>
      </c>
      <c r="AU840" s="259" t="str">
        <f t="shared" si="146"/>
        <v>C49SZX20210009MZ</v>
      </c>
      <c r="AV840" s="259" t="str">
        <f t="shared" si="147"/>
        <v>May-06</v>
      </c>
    </row>
    <row r="841" spans="1:48" hidden="1">
      <c r="A841" s="564">
        <v>1072</v>
      </c>
      <c r="B841" s="669" t="s">
        <v>1125</v>
      </c>
      <c r="C841" s="669" t="s">
        <v>281</v>
      </c>
      <c r="D841" s="650">
        <v>110416</v>
      </c>
      <c r="E841" s="568" t="s">
        <v>886</v>
      </c>
      <c r="F841" s="652" t="s">
        <v>58</v>
      </c>
      <c r="G841" s="652" t="s">
        <v>24</v>
      </c>
      <c r="H841" s="652" t="s">
        <v>26</v>
      </c>
      <c r="I841" s="580" t="s">
        <v>1627</v>
      </c>
      <c r="J841" s="580">
        <v>1</v>
      </c>
      <c r="K841" s="652" t="s">
        <v>81</v>
      </c>
      <c r="L841" s="662">
        <v>44322</v>
      </c>
      <c r="M841" s="670" t="s">
        <v>906</v>
      </c>
      <c r="N841" s="652" t="s">
        <v>110</v>
      </c>
      <c r="O841" s="580"/>
      <c r="P841" s="670" t="str">
        <f>VLOOKUP(A841,'[1]Raw data'!$B:$BA,23,FALSE)</f>
        <v>JPY</v>
      </c>
      <c r="Q841" s="652" t="str">
        <f>VLOOKUP(A841,'[1]Raw data'!$B:$Z,2,FALSE)</f>
        <v>C49SZX20210009MZ</v>
      </c>
      <c r="R841" s="652" t="str">
        <f>VLOOKUP(A841,'[1]Raw data'!$B:$Z,3,FALSE)</f>
        <v>奥视通</v>
      </c>
      <c r="S841" s="652" t="str">
        <f>VLOOKUP(A841,'[1]Raw data'!$B:$Z,4,FALSE)</f>
        <v>YSM20R-2</v>
      </c>
      <c r="T841" s="652" t="str">
        <f>VLOOKUP(A841,'[1]Raw data'!$B:$Z,8,FALSE)</f>
        <v>L-&gt;R</v>
      </c>
      <c r="U841" s="652" t="str">
        <f>VLOOKUP(A841,'[1]Raw data'!$B:$Z,9,FALSE)</f>
        <v>No</v>
      </c>
      <c r="V841" s="572" t="str">
        <f t="shared" si="149"/>
        <v>OK</v>
      </c>
      <c r="W841" s="568" t="str">
        <f>VLOOKUP(A841,'[1]Raw data'!$B:$AG,32,FALSE)</f>
        <v>DAP HZ</v>
      </c>
      <c r="X841" s="652">
        <f>VLOOKUP(A841,'[1]Raw data'!$B:$BA,31,FALSE)</f>
        <v>44215</v>
      </c>
      <c r="Y841" s="652" t="str">
        <f>VLOOKUP(A841,'[1]Raw data'!$B:$AS,39,FALSE)</f>
        <v>Yes</v>
      </c>
      <c r="Z841" s="664"/>
      <c r="AA841" s="665"/>
      <c r="AB841" s="666"/>
      <c r="AC841" s="652" t="s">
        <v>1426</v>
      </c>
      <c r="AD841" s="667">
        <v>303</v>
      </c>
      <c r="AE841" s="667">
        <v>10</v>
      </c>
      <c r="AF841" s="667">
        <v>301</v>
      </c>
      <c r="AG841" s="667">
        <v>10</v>
      </c>
      <c r="AH841" s="667"/>
      <c r="AI841" s="668"/>
      <c r="AN841" s="547"/>
      <c r="AO841" s="829" t="str">
        <f t="shared" si="140"/>
        <v>Yes</v>
      </c>
      <c r="AP841" s="259" t="str">
        <f t="shared" si="141"/>
        <v>MAY 21</v>
      </c>
      <c r="AQ841" s="547" t="str">
        <f t="shared" si="142"/>
        <v>有定金+有預留客戶</v>
      </c>
      <c r="AR841" s="259" t="str">
        <f t="shared" si="143"/>
        <v>Shipped_Stock</v>
      </c>
      <c r="AS841" s="259" t="str">
        <f t="shared" si="144"/>
        <v/>
      </c>
      <c r="AT841" s="259" t="str">
        <f t="shared" si="145"/>
        <v>奥视通</v>
      </c>
      <c r="AU841" s="259" t="str">
        <f t="shared" si="146"/>
        <v>C49SZX20210009MZ</v>
      </c>
      <c r="AV841" s="259" t="str">
        <f t="shared" si="147"/>
        <v>May-06</v>
      </c>
    </row>
    <row r="842" spans="1:48" hidden="1">
      <c r="A842" s="564">
        <v>1073</v>
      </c>
      <c r="B842" s="669" t="s">
        <v>1125</v>
      </c>
      <c r="C842" s="669" t="s">
        <v>281</v>
      </c>
      <c r="D842" s="650">
        <v>110416</v>
      </c>
      <c r="E842" s="568" t="s">
        <v>886</v>
      </c>
      <c r="F842" s="652" t="s">
        <v>58</v>
      </c>
      <c r="G842" s="652" t="s">
        <v>24</v>
      </c>
      <c r="H842" s="652" t="s">
        <v>26</v>
      </c>
      <c r="I842" s="580" t="s">
        <v>1628</v>
      </c>
      <c r="J842" s="580">
        <v>1</v>
      </c>
      <c r="K842" s="652" t="s">
        <v>81</v>
      </c>
      <c r="L842" s="662">
        <v>44322</v>
      </c>
      <c r="M842" s="670" t="s">
        <v>906</v>
      </c>
      <c r="N842" s="652" t="s">
        <v>110</v>
      </c>
      <c r="O842" s="580"/>
      <c r="P842" s="670" t="str">
        <f>VLOOKUP(A842,'[1]Raw data'!$B:$BA,23,FALSE)</f>
        <v>JPY</v>
      </c>
      <c r="Q842" s="652" t="str">
        <f>VLOOKUP(A842,'[1]Raw data'!$B:$Z,2,FALSE)</f>
        <v>C49SZX20210009MZ</v>
      </c>
      <c r="R842" s="652" t="str">
        <f>VLOOKUP(A842,'[1]Raw data'!$B:$Z,3,FALSE)</f>
        <v>奥视通</v>
      </c>
      <c r="S842" s="652" t="str">
        <f>VLOOKUP(A842,'[1]Raw data'!$B:$Z,4,FALSE)</f>
        <v>YSM20R-2</v>
      </c>
      <c r="T842" s="652" t="str">
        <f>VLOOKUP(A842,'[1]Raw data'!$B:$Z,8,FALSE)</f>
        <v>L-&gt;R</v>
      </c>
      <c r="U842" s="652" t="str">
        <f>VLOOKUP(A842,'[1]Raw data'!$B:$Z,9,FALSE)</f>
        <v>No</v>
      </c>
      <c r="V842" s="572" t="str">
        <f t="shared" si="149"/>
        <v>OK</v>
      </c>
      <c r="W842" s="568" t="str">
        <f>VLOOKUP(A842,'[1]Raw data'!$B:$AG,32,FALSE)</f>
        <v>DAP HZ</v>
      </c>
      <c r="X842" s="652">
        <f>VLOOKUP(A842,'[1]Raw data'!$B:$BA,31,FALSE)</f>
        <v>44215</v>
      </c>
      <c r="Y842" s="652" t="str">
        <f>VLOOKUP(A842,'[1]Raw data'!$B:$AS,39,FALSE)</f>
        <v>Yes</v>
      </c>
      <c r="Z842" s="664"/>
      <c r="AA842" s="665"/>
      <c r="AB842" s="666"/>
      <c r="AC842" s="652" t="s">
        <v>1426</v>
      </c>
      <c r="AD842" s="667">
        <v>302</v>
      </c>
      <c r="AE842" s="667">
        <v>10</v>
      </c>
      <c r="AF842" s="667">
        <v>301</v>
      </c>
      <c r="AG842" s="667">
        <v>10</v>
      </c>
      <c r="AH842" s="667"/>
      <c r="AI842" s="668"/>
      <c r="AN842" s="547"/>
      <c r="AO842" s="829" t="str">
        <f t="shared" si="140"/>
        <v>Yes</v>
      </c>
      <c r="AP842" s="259" t="str">
        <f t="shared" si="141"/>
        <v>MAY 21</v>
      </c>
      <c r="AQ842" s="547" t="str">
        <f t="shared" si="142"/>
        <v>有定金+有預留客戶</v>
      </c>
      <c r="AR842" s="259" t="str">
        <f t="shared" si="143"/>
        <v>Shipped_Stock</v>
      </c>
      <c r="AS842" s="259" t="str">
        <f t="shared" si="144"/>
        <v/>
      </c>
      <c r="AT842" s="259" t="str">
        <f t="shared" si="145"/>
        <v>奥视通</v>
      </c>
      <c r="AU842" s="259" t="str">
        <f t="shared" si="146"/>
        <v>C49SZX20210009MZ</v>
      </c>
      <c r="AV842" s="259" t="str">
        <f t="shared" si="147"/>
        <v>May-06</v>
      </c>
    </row>
    <row r="843" spans="1:48" hidden="1">
      <c r="A843" s="564">
        <v>1235</v>
      </c>
      <c r="B843" s="669" t="s">
        <v>1125</v>
      </c>
      <c r="C843" s="669" t="s">
        <v>281</v>
      </c>
      <c r="D843" s="650">
        <v>110416</v>
      </c>
      <c r="E843" s="568" t="s">
        <v>886</v>
      </c>
      <c r="F843" s="652" t="s">
        <v>58</v>
      </c>
      <c r="G843" s="652" t="s">
        <v>24</v>
      </c>
      <c r="H843" s="652" t="s">
        <v>26</v>
      </c>
      <c r="I843" s="580" t="s">
        <v>1629</v>
      </c>
      <c r="J843" s="580">
        <v>1</v>
      </c>
      <c r="K843" s="652" t="s">
        <v>81</v>
      </c>
      <c r="L843" s="662">
        <v>44322</v>
      </c>
      <c r="M843" s="670" t="s">
        <v>906</v>
      </c>
      <c r="N843" s="652" t="s">
        <v>96</v>
      </c>
      <c r="O843" s="580"/>
      <c r="P843" s="670" t="str">
        <f>VLOOKUP(A843,'[1]Raw data'!$B:$BA,23,FALSE)</f>
        <v>JPY</v>
      </c>
      <c r="Q843" s="652" t="str">
        <f>VLOOKUP(A843,'[1]Raw data'!$B:$Z,2,FALSE)</f>
        <v>C49SZX20210035SX</v>
      </c>
      <c r="R843" s="652" t="str">
        <f>VLOOKUP(A843,'[1]Raw data'!$B:$Z,3,FALSE)</f>
        <v>巴科</v>
      </c>
      <c r="S843" s="652" t="str">
        <f>VLOOKUP(A843,'[1]Raw data'!$B:$Z,4,FALSE)</f>
        <v>YSM20R-2</v>
      </c>
      <c r="T843" s="652" t="str">
        <f>VLOOKUP(A843,'[1]Raw data'!$B:$Z,8,FALSE)</f>
        <v>L-&gt;R</v>
      </c>
      <c r="U843" s="652" t="str">
        <f>VLOOKUP(A843,'[1]Raw data'!$B:$Z,9,FALSE)</f>
        <v>No</v>
      </c>
      <c r="V843" s="572" t="str">
        <f t="shared" si="149"/>
        <v>OK</v>
      </c>
      <c r="W843" s="568" t="str">
        <f>VLOOKUP(A843,'[1]Raw data'!$B:$AG,32,FALSE)</f>
        <v>CIF HK</v>
      </c>
      <c r="X843" s="652">
        <f>VLOOKUP(A843,'[1]Raw data'!$B:$BA,31,FALSE)</f>
        <v>44264</v>
      </c>
      <c r="Y843" s="652" t="str">
        <f>VLOOKUP(A843,'[1]Raw data'!$B:$AS,39,FALSE)</f>
        <v>Yes</v>
      </c>
      <c r="Z843" s="664"/>
      <c r="AA843" s="665"/>
      <c r="AB843" s="666"/>
      <c r="AC843" s="652" t="s">
        <v>1582</v>
      </c>
      <c r="AD843" s="667">
        <v>302</v>
      </c>
      <c r="AE843" s="667">
        <v>10</v>
      </c>
      <c r="AF843" s="667">
        <v>301</v>
      </c>
      <c r="AG843" s="667">
        <v>10</v>
      </c>
      <c r="AH843" s="667"/>
      <c r="AI843" s="668"/>
      <c r="AN843" s="547"/>
      <c r="AO843" s="829" t="str">
        <f t="shared" si="140"/>
        <v>Yes</v>
      </c>
      <c r="AP843" s="259" t="str">
        <f t="shared" si="141"/>
        <v>JUN 21</v>
      </c>
      <c r="AQ843" s="547" t="str">
        <f t="shared" si="142"/>
        <v>有定金+有預留客戶</v>
      </c>
      <c r="AR843" s="259" t="str">
        <f t="shared" si="143"/>
        <v>Shipped_Stock</v>
      </c>
      <c r="AS843" s="259" t="str">
        <f t="shared" si="144"/>
        <v/>
      </c>
      <c r="AT843" s="259" t="str">
        <f t="shared" si="145"/>
        <v>巴科</v>
      </c>
      <c r="AU843" s="259" t="str">
        <f t="shared" si="146"/>
        <v>C49SZX20210035SX</v>
      </c>
      <c r="AV843" s="259" t="str">
        <f t="shared" si="147"/>
        <v>May-06</v>
      </c>
    </row>
    <row r="844" spans="1:48" hidden="1">
      <c r="A844" s="564">
        <v>1233</v>
      </c>
      <c r="B844" s="669" t="s">
        <v>1125</v>
      </c>
      <c r="C844" s="669" t="s">
        <v>281</v>
      </c>
      <c r="D844" s="650">
        <v>110416</v>
      </c>
      <c r="E844" s="568" t="s">
        <v>886</v>
      </c>
      <c r="F844" s="652" t="s">
        <v>58</v>
      </c>
      <c r="G844" s="652" t="s">
        <v>24</v>
      </c>
      <c r="H844" s="652" t="s">
        <v>26</v>
      </c>
      <c r="I844" s="750" t="s">
        <v>1630</v>
      </c>
      <c r="J844" s="580">
        <v>1</v>
      </c>
      <c r="K844" s="652" t="s">
        <v>81</v>
      </c>
      <c r="L844" s="662">
        <v>44322</v>
      </c>
      <c r="M844" s="670" t="s">
        <v>906</v>
      </c>
      <c r="N844" s="652" t="s">
        <v>96</v>
      </c>
      <c r="O844" s="580"/>
      <c r="P844" s="670" t="str">
        <f>VLOOKUP(A844,'[1]Raw data'!$B:$BA,23,FALSE)</f>
        <v>JPY</v>
      </c>
      <c r="Q844" s="652" t="str">
        <f>VLOOKUP(A844,'[1]Raw data'!$B:$Z,2,FALSE)</f>
        <v>C49SZX20210035SX</v>
      </c>
      <c r="R844" s="652" t="str">
        <f>VLOOKUP(A844,'[1]Raw data'!$B:$Z,3,FALSE)</f>
        <v>巴科</v>
      </c>
      <c r="S844" s="652" t="str">
        <f>VLOOKUP(A844,'[1]Raw data'!$B:$Z,4,FALSE)</f>
        <v>YSM20R-2</v>
      </c>
      <c r="T844" s="652" t="str">
        <f>VLOOKUP(A844,'[1]Raw data'!$B:$Z,8,FALSE)</f>
        <v>L-&gt;R</v>
      </c>
      <c r="U844" s="652" t="str">
        <f>VLOOKUP(A844,'[1]Raw data'!$B:$Z,9,FALSE)</f>
        <v>No</v>
      </c>
      <c r="V844" s="572" t="str">
        <f t="shared" si="149"/>
        <v>OK</v>
      </c>
      <c r="W844" s="568" t="str">
        <f>VLOOKUP(A844,'[1]Raw data'!$B:$AG,32,FALSE)</f>
        <v>CIF HK</v>
      </c>
      <c r="X844" s="652">
        <f>VLOOKUP(A844,'[1]Raw data'!$B:$BA,31,FALSE)</f>
        <v>44264</v>
      </c>
      <c r="Y844" s="652" t="str">
        <f>VLOOKUP(A844,'[1]Raw data'!$B:$AS,39,FALSE)</f>
        <v>Yes</v>
      </c>
      <c r="Z844" s="664"/>
      <c r="AA844" s="665"/>
      <c r="AB844" s="666"/>
      <c r="AC844" s="652" t="s">
        <v>1609</v>
      </c>
      <c r="AD844" s="667">
        <v>302</v>
      </c>
      <c r="AE844" s="667">
        <v>10</v>
      </c>
      <c r="AF844" s="667">
        <v>302</v>
      </c>
      <c r="AG844" s="667">
        <v>10</v>
      </c>
      <c r="AH844" s="667"/>
      <c r="AI844" s="668"/>
      <c r="AN844" s="547"/>
      <c r="AO844" s="829" t="str">
        <f t="shared" si="140"/>
        <v>Yes</v>
      </c>
      <c r="AP844" s="259" t="str">
        <f t="shared" si="141"/>
        <v>JUN 21</v>
      </c>
      <c r="AQ844" s="547" t="str">
        <f t="shared" si="142"/>
        <v>有定金+有預留客戶</v>
      </c>
      <c r="AR844" s="259" t="str">
        <f t="shared" si="143"/>
        <v>Shipped_Stock</v>
      </c>
      <c r="AS844" s="259" t="str">
        <f t="shared" si="144"/>
        <v/>
      </c>
      <c r="AT844" s="259" t="str">
        <f t="shared" si="145"/>
        <v>巴科</v>
      </c>
      <c r="AU844" s="259" t="str">
        <f t="shared" si="146"/>
        <v>C49SZX20210035SX</v>
      </c>
      <c r="AV844" s="259" t="str">
        <f t="shared" si="147"/>
        <v>May-06</v>
      </c>
    </row>
    <row r="845" spans="1:48" hidden="1">
      <c r="A845" s="564">
        <v>1237</v>
      </c>
      <c r="B845" s="669" t="s">
        <v>1125</v>
      </c>
      <c r="C845" s="669" t="s">
        <v>281</v>
      </c>
      <c r="D845" s="650">
        <v>110416</v>
      </c>
      <c r="E845" s="568" t="s">
        <v>886</v>
      </c>
      <c r="F845" s="652" t="s">
        <v>58</v>
      </c>
      <c r="G845" s="652" t="s">
        <v>24</v>
      </c>
      <c r="H845" s="652" t="s">
        <v>26</v>
      </c>
      <c r="I845" s="580" t="s">
        <v>1631</v>
      </c>
      <c r="J845" s="580">
        <v>1</v>
      </c>
      <c r="K845" s="652" t="s">
        <v>81</v>
      </c>
      <c r="L845" s="662">
        <v>44322</v>
      </c>
      <c r="M845" s="670" t="s">
        <v>906</v>
      </c>
      <c r="N845" s="652" t="s">
        <v>96</v>
      </c>
      <c r="O845" s="580"/>
      <c r="P845" s="670" t="str">
        <f>VLOOKUP(A845,'[1]Raw data'!$B:$BA,23,FALSE)</f>
        <v>JPY</v>
      </c>
      <c r="Q845" s="652" t="str">
        <f>VLOOKUP(A845,'[1]Raw data'!$B:$Z,2,FALSE)</f>
        <v>C49SZX20210035SX</v>
      </c>
      <c r="R845" s="652" t="str">
        <f>VLOOKUP(A845,'[1]Raw data'!$B:$Z,3,FALSE)</f>
        <v>巴科</v>
      </c>
      <c r="S845" s="652" t="str">
        <f>VLOOKUP(A845,'[1]Raw data'!$B:$Z,4,FALSE)</f>
        <v>YSM20R-2</v>
      </c>
      <c r="T845" s="652" t="str">
        <f>VLOOKUP(A845,'[1]Raw data'!$B:$Z,8,FALSE)</f>
        <v>L-&gt;R</v>
      </c>
      <c r="U845" s="652" t="str">
        <f>VLOOKUP(A845,'[1]Raw data'!$B:$Z,9,FALSE)</f>
        <v>No</v>
      </c>
      <c r="V845" s="572" t="str">
        <f t="shared" ref="V845" si="150">IF(G845&amp;H845=T845&amp;U845,"OK","WRONG")</f>
        <v>OK</v>
      </c>
      <c r="W845" s="568" t="str">
        <f>VLOOKUP(A845,'[1]Raw data'!$B:$AG,32,FALSE)</f>
        <v>CIF HK</v>
      </c>
      <c r="X845" s="652">
        <f>VLOOKUP(A845,'[1]Raw data'!$B:$BA,31,FALSE)</f>
        <v>44264</v>
      </c>
      <c r="Y845" s="652" t="str">
        <f>VLOOKUP(A845,'[1]Raw data'!$B:$AS,39,FALSE)</f>
        <v>Yes</v>
      </c>
      <c r="Z845" s="664"/>
      <c r="AA845" s="665"/>
      <c r="AB845" s="666"/>
      <c r="AC845" s="652" t="s">
        <v>1582</v>
      </c>
      <c r="AD845" s="667">
        <v>302</v>
      </c>
      <c r="AE845" s="667">
        <v>10</v>
      </c>
      <c r="AF845" s="667">
        <v>301</v>
      </c>
      <c r="AG845" s="667">
        <v>10</v>
      </c>
      <c r="AH845" s="667"/>
      <c r="AI845" s="668"/>
      <c r="AN845" s="547"/>
      <c r="AO845" s="829" t="str">
        <f t="shared" si="140"/>
        <v>Yes</v>
      </c>
      <c r="AP845" s="259" t="str">
        <f t="shared" si="141"/>
        <v>JUN 21</v>
      </c>
      <c r="AQ845" s="547" t="str">
        <f t="shared" si="142"/>
        <v>有定金+有預留客戶</v>
      </c>
      <c r="AR845" s="259" t="str">
        <f t="shared" si="143"/>
        <v>Shipped_Stock</v>
      </c>
      <c r="AS845" s="259" t="str">
        <f t="shared" si="144"/>
        <v/>
      </c>
      <c r="AT845" s="259" t="str">
        <f t="shared" si="145"/>
        <v>巴科</v>
      </c>
      <c r="AU845" s="259" t="str">
        <f t="shared" si="146"/>
        <v>C49SZX20210035SX</v>
      </c>
      <c r="AV845" s="259" t="str">
        <f t="shared" si="147"/>
        <v>May-06</v>
      </c>
    </row>
    <row r="846" spans="1:48" ht="23.25" hidden="1" customHeight="1">
      <c r="A846" s="564">
        <v>1143</v>
      </c>
      <c r="B846" s="669" t="s">
        <v>1125</v>
      </c>
      <c r="C846" s="669" t="s">
        <v>281</v>
      </c>
      <c r="D846" s="650" t="s">
        <v>1632</v>
      </c>
      <c r="E846" s="568" t="s">
        <v>886</v>
      </c>
      <c r="F846" s="652" t="s">
        <v>241</v>
      </c>
      <c r="G846" s="652" t="s">
        <v>18</v>
      </c>
      <c r="H846" s="652" t="s">
        <v>34</v>
      </c>
      <c r="I846" s="580" t="s">
        <v>1633</v>
      </c>
      <c r="J846" s="580">
        <v>1</v>
      </c>
      <c r="K846" s="652" t="s">
        <v>1419</v>
      </c>
      <c r="L846" s="662">
        <v>44331</v>
      </c>
      <c r="M846" s="683" t="s">
        <v>1634</v>
      </c>
      <c r="N846" s="652" t="s">
        <v>96</v>
      </c>
      <c r="O846" s="580"/>
      <c r="P846" s="670" t="str">
        <f>VLOOKUP(A846,'[1]Raw data'!$B:$BA,23,FALSE)</f>
        <v>RMB</v>
      </c>
      <c r="Q846" s="652" t="str">
        <f>VLOOKUP(A846,'[1]Raw data'!$B:$Z,2,FALSE)</f>
        <v>C49SZX20210048SS</v>
      </c>
      <c r="R846" s="652" t="str">
        <f>VLOOKUP(A846,'[1]Raw data'!$B:$Z,3,FALSE)</f>
        <v>美田</v>
      </c>
      <c r="S846" s="652" t="str">
        <f>VLOOKUP(A846,'[1]Raw data'!$B:$Z,4,FALSE)</f>
        <v>YSM10</v>
      </c>
      <c r="T846" s="652" t="str">
        <f>VLOOKUP(A846,'[1]Raw data'!$B:$Z,8,FALSE)</f>
        <v>L-&gt;R</v>
      </c>
      <c r="U846" s="652" t="str">
        <f>VLOOKUP(A846,'[1]Raw data'!$B:$Z,9,FALSE)</f>
        <v>MVC F&amp;R+ATS15</v>
      </c>
      <c r="V846" s="572" t="str">
        <f t="shared" ref="V846:V857" si="151">IF(G846&amp;H846=T846&amp;U846,"OK","WRONG")</f>
        <v>WRONG</v>
      </c>
      <c r="W846" s="568" t="str">
        <f>VLOOKUP(A846,'[1]Raw data'!$B:$AG,32,FALSE)</f>
        <v>含税到厂</v>
      </c>
      <c r="X846" s="652">
        <f>VLOOKUP(A846,'[1]Raw data'!$B:$BA,31,FALSE)</f>
        <v>44236</v>
      </c>
      <c r="Y846" s="652" t="str">
        <f>VLOOKUP(A846,'[1]Raw data'!$B:$AS,39,FALSE)</f>
        <v>Yes</v>
      </c>
      <c r="Z846" s="664"/>
      <c r="AA846" s="665"/>
      <c r="AB846" s="666"/>
      <c r="AC846" s="652" t="s">
        <v>1635</v>
      </c>
      <c r="AD846" s="667">
        <v>302</v>
      </c>
      <c r="AE846" s="667">
        <v>10</v>
      </c>
      <c r="AF846" s="667"/>
      <c r="AG846" s="667"/>
      <c r="AH846" s="667"/>
      <c r="AI846" s="668"/>
      <c r="AN846" s="547"/>
      <c r="AO846" s="829" t="str">
        <f t="shared" si="140"/>
        <v>Yes</v>
      </c>
      <c r="AP846" s="259" t="str">
        <f t="shared" si="141"/>
        <v>JUN 21</v>
      </c>
      <c r="AQ846" s="547" t="str">
        <f t="shared" si="142"/>
        <v>有定金+有預留客戶</v>
      </c>
      <c r="AR846" s="259" t="str">
        <f t="shared" si="143"/>
        <v>Shipped_Stock</v>
      </c>
      <c r="AS846" s="259" t="str">
        <f t="shared" si="144"/>
        <v/>
      </c>
      <c r="AT846" s="259" t="str">
        <f t="shared" si="145"/>
        <v>美田</v>
      </c>
      <c r="AU846" s="259" t="str">
        <f t="shared" si="146"/>
        <v>C49SZX20210048SS</v>
      </c>
      <c r="AV846" s="259" t="str">
        <f t="shared" si="147"/>
        <v>May-15</v>
      </c>
    </row>
    <row r="847" spans="1:48" ht="21" hidden="1" customHeight="1">
      <c r="A847" s="564">
        <v>1144</v>
      </c>
      <c r="B847" s="669" t="s">
        <v>1125</v>
      </c>
      <c r="C847" s="669" t="s">
        <v>281</v>
      </c>
      <c r="D847" s="650" t="s">
        <v>1632</v>
      </c>
      <c r="E847" s="568" t="s">
        <v>886</v>
      </c>
      <c r="F847" s="652" t="s">
        <v>17</v>
      </c>
      <c r="G847" s="652" t="s">
        <v>18</v>
      </c>
      <c r="H847" s="652" t="s">
        <v>34</v>
      </c>
      <c r="I847" s="580" t="s">
        <v>1636</v>
      </c>
      <c r="J847" s="580">
        <v>1</v>
      </c>
      <c r="K847" s="652" t="s">
        <v>1419</v>
      </c>
      <c r="L847" s="662">
        <v>44331</v>
      </c>
      <c r="M847" s="683" t="s">
        <v>1634</v>
      </c>
      <c r="N847" s="652" t="s">
        <v>96</v>
      </c>
      <c r="O847" s="580"/>
      <c r="P847" s="670" t="str">
        <f>VLOOKUP(A847,'[1]Raw data'!$B:$BA,23,FALSE)</f>
        <v>RMB</v>
      </c>
      <c r="Q847" s="652" t="str">
        <f>VLOOKUP(A847,'[1]Raw data'!$B:$Z,2,FALSE)</f>
        <v>C49SZX20210048SS</v>
      </c>
      <c r="R847" s="652" t="str">
        <f>VLOOKUP(A847,'[1]Raw data'!$B:$Z,3,FALSE)</f>
        <v>美田</v>
      </c>
      <c r="S847" s="652" t="str">
        <f>VLOOKUP(A847,'[1]Raw data'!$B:$Z,4,FALSE)</f>
        <v>YSM10</v>
      </c>
      <c r="T847" s="652" t="str">
        <f>VLOOKUP(A847,'[1]Raw data'!$B:$Z,8,FALSE)</f>
        <v>L-&gt;R</v>
      </c>
      <c r="U847" s="652" t="str">
        <f>VLOOKUP(A847,'[1]Raw data'!$B:$Z,9,FALSE)</f>
        <v>MVC F&amp;R+ATS15</v>
      </c>
      <c r="V847" s="572" t="str">
        <f t="shared" si="151"/>
        <v>WRONG</v>
      </c>
      <c r="W847" s="568" t="str">
        <f>VLOOKUP(A847,'[1]Raw data'!$B:$AG,32,FALSE)</f>
        <v>含税到厂</v>
      </c>
      <c r="X847" s="652">
        <f>VLOOKUP(A847,'[1]Raw data'!$B:$BA,31,FALSE)</f>
        <v>44236</v>
      </c>
      <c r="Y847" s="652" t="str">
        <f>VLOOKUP(A847,'[1]Raw data'!$B:$AS,39,FALSE)</f>
        <v>Yes</v>
      </c>
      <c r="Z847" s="664"/>
      <c r="AA847" s="665"/>
      <c r="AB847" s="666"/>
      <c r="AC847" s="652" t="s">
        <v>1635</v>
      </c>
      <c r="AD847" s="667">
        <v>302</v>
      </c>
      <c r="AE847" s="667">
        <v>10</v>
      </c>
      <c r="AF847" s="667"/>
      <c r="AG847" s="667"/>
      <c r="AH847" s="667"/>
      <c r="AI847" s="668"/>
      <c r="AN847" s="547"/>
      <c r="AO847" s="829" t="str">
        <f t="shared" si="140"/>
        <v>Yes</v>
      </c>
      <c r="AP847" s="259" t="str">
        <f t="shared" si="141"/>
        <v>JUN 21</v>
      </c>
      <c r="AQ847" s="547" t="str">
        <f t="shared" si="142"/>
        <v>有定金+有預留客戶</v>
      </c>
      <c r="AR847" s="259" t="str">
        <f t="shared" si="143"/>
        <v>Shipped_Stock</v>
      </c>
      <c r="AS847" s="259" t="str">
        <f t="shared" si="144"/>
        <v/>
      </c>
      <c r="AT847" s="259" t="str">
        <f t="shared" si="145"/>
        <v>美田</v>
      </c>
      <c r="AU847" s="259" t="str">
        <f t="shared" si="146"/>
        <v>C49SZX20210048SS</v>
      </c>
      <c r="AV847" s="259" t="str">
        <f t="shared" si="147"/>
        <v>May-15</v>
      </c>
    </row>
    <row r="848" spans="1:48" hidden="1">
      <c r="A848" s="564">
        <v>1335</v>
      </c>
      <c r="B848" s="669" t="s">
        <v>1125</v>
      </c>
      <c r="C848" s="669" t="s">
        <v>281</v>
      </c>
      <c r="D848" s="650">
        <v>110248</v>
      </c>
      <c r="E848" s="568" t="s">
        <v>886</v>
      </c>
      <c r="F848" s="652" t="s">
        <v>17</v>
      </c>
      <c r="G848" s="652" t="s">
        <v>18</v>
      </c>
      <c r="H848" s="652" t="s">
        <v>34</v>
      </c>
      <c r="I848" s="580" t="s">
        <v>1637</v>
      </c>
      <c r="J848" s="580">
        <v>1</v>
      </c>
      <c r="K848" s="652" t="s">
        <v>85</v>
      </c>
      <c r="L848" s="662">
        <v>44331</v>
      </c>
      <c r="M848" s="670" t="s">
        <v>906</v>
      </c>
      <c r="N848" s="652" t="s">
        <v>96</v>
      </c>
      <c r="O848" s="580"/>
      <c r="P848" s="670" t="str">
        <f>VLOOKUP(A848,'[1]Raw data'!$B:$BA,23,FALSE)</f>
        <v>JPY</v>
      </c>
      <c r="Q848" s="652" t="str">
        <f>VLOOKUP(A848,'[1]Raw data'!$B:$Z,2,FALSE)</f>
        <v>C49SZX20210112JD</v>
      </c>
      <c r="R848" s="652" t="str">
        <f>VLOOKUP(A848,'[1]Raw data'!$B:$Z,3,FALSE)</f>
        <v>贝爱婴童</v>
      </c>
      <c r="S848" s="652" t="str">
        <f>VLOOKUP(A848,'[1]Raw data'!$B:$Z,4,FALSE)</f>
        <v>YSM10</v>
      </c>
      <c r="T848" s="652" t="str">
        <f>VLOOKUP(A848,'[1]Raw data'!$B:$Z,8,FALSE)</f>
        <v>L-&gt;R</v>
      </c>
      <c r="U848" s="652" t="str">
        <f>VLOOKUP(A848,'[1]Raw data'!$B:$Z,9,FALSE)</f>
        <v>MVC+ATS15</v>
      </c>
      <c r="V848" s="572" t="str">
        <f t="shared" si="151"/>
        <v>WRONG</v>
      </c>
      <c r="W848" s="568" t="str">
        <f>VLOOKUP(A848,'[1]Raw data'!$B:$AG,32,FALSE)</f>
        <v>DAP ZS</v>
      </c>
      <c r="X848" s="652">
        <f>VLOOKUP(A848,'[1]Raw data'!$B:$BA,31,FALSE)</f>
        <v>44300</v>
      </c>
      <c r="Y848" s="652" t="str">
        <f>VLOOKUP(A848,'[1]Raw data'!$B:$AS,39,FALSE)</f>
        <v>Yes</v>
      </c>
      <c r="Z848" s="664"/>
      <c r="AA848" s="665"/>
      <c r="AB848" s="666"/>
      <c r="AC848" s="652" t="s">
        <v>1638</v>
      </c>
      <c r="AD848" s="667">
        <v>302</v>
      </c>
      <c r="AE848" s="667">
        <v>10</v>
      </c>
      <c r="AF848" s="667"/>
      <c r="AG848" s="667"/>
      <c r="AH848" s="667"/>
      <c r="AI848" s="668"/>
      <c r="AN848" s="547"/>
      <c r="AO848" s="829" t="str">
        <f t="shared" si="140"/>
        <v>Yes</v>
      </c>
      <c r="AP848" s="259" t="str">
        <f t="shared" si="141"/>
        <v>JUN 21</v>
      </c>
      <c r="AQ848" s="547" t="str">
        <f t="shared" si="142"/>
        <v>有定金+有預留客戶</v>
      </c>
      <c r="AR848" s="259" t="str">
        <f t="shared" si="143"/>
        <v>Shipped_Stock</v>
      </c>
      <c r="AS848" s="259" t="str">
        <f t="shared" si="144"/>
        <v/>
      </c>
      <c r="AT848" s="259" t="str">
        <f t="shared" si="145"/>
        <v>贝爱婴童</v>
      </c>
      <c r="AU848" s="259" t="str">
        <f t="shared" si="146"/>
        <v>C49SZX20210112JD</v>
      </c>
      <c r="AV848" s="259" t="str">
        <f t="shared" si="147"/>
        <v>May-15</v>
      </c>
    </row>
    <row r="849" spans="1:48" hidden="1">
      <c r="A849" s="564">
        <v>1278</v>
      </c>
      <c r="B849" s="669" t="s">
        <v>1125</v>
      </c>
      <c r="C849" s="669" t="s">
        <v>281</v>
      </c>
      <c r="D849" s="650">
        <v>110248</v>
      </c>
      <c r="E849" s="568" t="s">
        <v>886</v>
      </c>
      <c r="F849" s="652" t="s">
        <v>17</v>
      </c>
      <c r="G849" s="652" t="s">
        <v>18</v>
      </c>
      <c r="H849" s="652" t="s">
        <v>27</v>
      </c>
      <c r="I849" s="580" t="s">
        <v>1639</v>
      </c>
      <c r="J849" s="580">
        <v>1</v>
      </c>
      <c r="K849" s="652" t="s">
        <v>85</v>
      </c>
      <c r="L849" s="662">
        <v>44331</v>
      </c>
      <c r="M849" s="670" t="s">
        <v>906</v>
      </c>
      <c r="N849" s="652" t="s">
        <v>96</v>
      </c>
      <c r="O849" s="580"/>
      <c r="P849" s="670" t="str">
        <f>VLOOKUP(A849,'[1]Raw data'!$B:$BA,23,FALSE)</f>
        <v>RMB</v>
      </c>
      <c r="Q849" s="652" t="str">
        <f>VLOOKUP(A849,'[1]Raw data'!$B:$Z,2,FALSE)</f>
        <v>C49SZX20210085JL</v>
      </c>
      <c r="R849" s="652" t="str">
        <f>VLOOKUP(A849,'[1]Raw data'!$B:$Z,3,FALSE)</f>
        <v>欧科讯</v>
      </c>
      <c r="S849" s="652" t="str">
        <f>VLOOKUP(A849,'[1]Raw data'!$B:$Z,4,FALSE)</f>
        <v>YSM10</v>
      </c>
      <c r="T849" s="652" t="str">
        <f>VLOOKUP(A849,'[1]Raw data'!$B:$Z,8,FALSE)</f>
        <v>R-&gt;L</v>
      </c>
      <c r="U849" s="652" t="str">
        <f>VLOOKUP(A849,'[1]Raw data'!$B:$Z,9,FALSE)</f>
        <v>MVC</v>
      </c>
      <c r="V849" s="572" t="str">
        <f t="shared" si="151"/>
        <v>OK</v>
      </c>
      <c r="W849" s="568" t="str">
        <f>VLOOKUP(A849,'[1]Raw data'!$B:$AG,32,FALSE)</f>
        <v>DDP SZ</v>
      </c>
      <c r="X849" s="652">
        <f>VLOOKUP(A849,'[1]Raw data'!$B:$BA,31,FALSE)</f>
        <v>44271</v>
      </c>
      <c r="Y849" s="652" t="str">
        <f>VLOOKUP(A849,'[1]Raw data'!$B:$AS,39,FALSE)</f>
        <v>Yes</v>
      </c>
      <c r="Z849" s="664"/>
      <c r="AA849" s="665"/>
      <c r="AB849" s="666"/>
      <c r="AC849" s="568" t="s">
        <v>805</v>
      </c>
      <c r="AD849" s="667">
        <v>301</v>
      </c>
      <c r="AE849" s="667">
        <v>10</v>
      </c>
      <c r="AF849" s="667"/>
      <c r="AG849" s="667"/>
      <c r="AH849" s="667"/>
      <c r="AI849" s="668"/>
      <c r="AN849" s="547"/>
      <c r="AO849" s="829" t="str">
        <f t="shared" si="140"/>
        <v>Yes</v>
      </c>
      <c r="AP849" s="259" t="str">
        <f t="shared" si="141"/>
        <v>JUN 21</v>
      </c>
      <c r="AQ849" s="547" t="str">
        <f t="shared" si="142"/>
        <v>有定金+有預留客戶</v>
      </c>
      <c r="AR849" s="259" t="str">
        <f t="shared" si="143"/>
        <v>Shipped_Stock</v>
      </c>
      <c r="AS849" s="259" t="str">
        <f t="shared" si="144"/>
        <v/>
      </c>
      <c r="AT849" s="259" t="str">
        <f t="shared" si="145"/>
        <v>欧科讯</v>
      </c>
      <c r="AU849" s="259" t="str">
        <f t="shared" si="146"/>
        <v>C49SZX20210085JL</v>
      </c>
      <c r="AV849" s="259" t="str">
        <f t="shared" si="147"/>
        <v>May-15</v>
      </c>
    </row>
    <row r="850" spans="1:48" hidden="1">
      <c r="A850" s="564">
        <v>1336</v>
      </c>
      <c r="B850" s="669" t="s">
        <v>1125</v>
      </c>
      <c r="C850" s="669" t="s">
        <v>281</v>
      </c>
      <c r="D850" s="650" t="s">
        <v>1640</v>
      </c>
      <c r="E850" s="568" t="s">
        <v>886</v>
      </c>
      <c r="F850" s="652" t="s">
        <v>17</v>
      </c>
      <c r="G850" s="652" t="s">
        <v>18</v>
      </c>
      <c r="H850" s="652" t="s">
        <v>27</v>
      </c>
      <c r="I850" s="580" t="s">
        <v>1641</v>
      </c>
      <c r="J850" s="580">
        <v>1</v>
      </c>
      <c r="K850" s="652" t="s">
        <v>1419</v>
      </c>
      <c r="L850" s="662">
        <v>44331</v>
      </c>
      <c r="M850" s="670">
        <v>5.9499999999999997E-2</v>
      </c>
      <c r="N850" s="652" t="s">
        <v>96</v>
      </c>
      <c r="O850" s="580"/>
      <c r="P850" s="670" t="str">
        <f>VLOOKUP(A850,'[1]Raw data'!$B:$BA,23,FALSE)</f>
        <v>RMB</v>
      </c>
      <c r="Q850" s="652" t="str">
        <f>VLOOKUP(A850,'[1]Raw data'!$B:$Z,2,FALSE)</f>
        <v>C49SZX20210115DY</v>
      </c>
      <c r="R850" s="652" t="str">
        <f>VLOOKUP(A850,'[1]Raw data'!$B:$Z,3,FALSE)</f>
        <v>亮瑞</v>
      </c>
      <c r="S850" s="652" t="str">
        <f>VLOOKUP(A850,'[1]Raw data'!$B:$Z,4,FALSE)</f>
        <v>YSM10</v>
      </c>
      <c r="T850" s="652" t="str">
        <f>VLOOKUP(A850,'[1]Raw data'!$B:$Z,8,FALSE)</f>
        <v>L-&gt;R</v>
      </c>
      <c r="U850" s="652" t="str">
        <f>VLOOKUP(A850,'[1]Raw data'!$B:$Z,9,FALSE)</f>
        <v>MVC</v>
      </c>
      <c r="V850" s="572" t="str">
        <f t="shared" si="151"/>
        <v>WRONG</v>
      </c>
      <c r="W850" s="568" t="str">
        <f>VLOOKUP(A850,'[1]Raw data'!$B:$AG,32,FALSE)</f>
        <v>DDP SZ</v>
      </c>
      <c r="X850" s="652">
        <f>VLOOKUP(A850,'[1]Raw data'!$B:$BA,31,FALSE)</f>
        <v>44300</v>
      </c>
      <c r="Y850" s="652" t="str">
        <f>VLOOKUP(A850,'[1]Raw data'!$B:$AS,39,FALSE)</f>
        <v>Yes</v>
      </c>
      <c r="Z850" s="664"/>
      <c r="AA850" s="665"/>
      <c r="AB850" s="666"/>
      <c r="AC850" s="652" t="s">
        <v>1642</v>
      </c>
      <c r="AD850" s="667">
        <v>301</v>
      </c>
      <c r="AE850" s="667">
        <v>10</v>
      </c>
      <c r="AF850" s="667"/>
      <c r="AG850" s="667"/>
      <c r="AH850" s="667"/>
      <c r="AI850" s="668"/>
      <c r="AN850" s="547"/>
      <c r="AO850" s="829" t="str">
        <f t="shared" si="140"/>
        <v>Yes</v>
      </c>
      <c r="AP850" s="259" t="str">
        <f t="shared" si="141"/>
        <v>JUN 21</v>
      </c>
      <c r="AQ850" s="547" t="str">
        <f t="shared" si="142"/>
        <v>有定金+有預留客戶</v>
      </c>
      <c r="AR850" s="259" t="str">
        <f t="shared" si="143"/>
        <v>Shipped_Stock</v>
      </c>
      <c r="AS850" s="259" t="str">
        <f t="shared" si="144"/>
        <v/>
      </c>
      <c r="AT850" s="259" t="str">
        <f t="shared" si="145"/>
        <v>亮瑞</v>
      </c>
      <c r="AU850" s="259" t="str">
        <f t="shared" si="146"/>
        <v>C49SZX20210115DY</v>
      </c>
      <c r="AV850" s="259" t="str">
        <f t="shared" si="147"/>
        <v>May-15</v>
      </c>
    </row>
    <row r="851" spans="1:48" hidden="1">
      <c r="A851" s="564">
        <v>1370</v>
      </c>
      <c r="B851" s="669" t="s">
        <v>1125</v>
      </c>
      <c r="C851" s="669" t="s">
        <v>281</v>
      </c>
      <c r="D851" s="650">
        <v>110248</v>
      </c>
      <c r="E851" s="568" t="s">
        <v>886</v>
      </c>
      <c r="F851" s="652" t="s">
        <v>17</v>
      </c>
      <c r="G851" s="652" t="s">
        <v>18</v>
      </c>
      <c r="H851" s="652" t="s">
        <v>26</v>
      </c>
      <c r="I851" s="580" t="s">
        <v>1643</v>
      </c>
      <c r="J851" s="580">
        <v>1</v>
      </c>
      <c r="K851" s="652" t="s">
        <v>81</v>
      </c>
      <c r="L851" s="662">
        <v>44331</v>
      </c>
      <c r="M851" s="681" t="s">
        <v>258</v>
      </c>
      <c r="N851" s="652" t="s">
        <v>96</v>
      </c>
      <c r="O851" s="580"/>
      <c r="P851" s="670" t="str">
        <f>VLOOKUP(A851,'[1]Raw data'!$B:$BA,23,FALSE)</f>
        <v>JPY</v>
      </c>
      <c r="Q851" s="652" t="str">
        <f>VLOOKUP(A851,'[1]Raw data'!$B:$Z,2,FALSE)</f>
        <v>C49SZX20210149DY</v>
      </c>
      <c r="R851" s="652" t="str">
        <f>VLOOKUP(A851,'[1]Raw data'!$B:$Z,3,FALSE)</f>
        <v>格隆</v>
      </c>
      <c r="S851" s="652" t="str">
        <f>VLOOKUP(A851,'[1]Raw data'!$B:$Z,4,FALSE)</f>
        <v>YSM10</v>
      </c>
      <c r="T851" s="652" t="str">
        <f>VLOOKUP(A851,'[1]Raw data'!$B:$Z,8,FALSE)</f>
        <v>L-&gt;R</v>
      </c>
      <c r="U851" s="652" t="str">
        <f>VLOOKUP(A851,'[1]Raw data'!$B:$Z,9,FALSE)</f>
        <v>MVC</v>
      </c>
      <c r="V851" s="572" t="str">
        <f t="shared" si="151"/>
        <v>WRONG</v>
      </c>
      <c r="W851" s="568" t="str">
        <f>VLOOKUP(A851,'[1]Raw data'!$B:$AG,32,FALSE)</f>
        <v>CIF HK</v>
      </c>
      <c r="X851" s="652">
        <f>VLOOKUP(A851,'[1]Raw data'!$B:$BA,31,FALSE)</f>
        <v>44330</v>
      </c>
      <c r="Y851" s="652" t="str">
        <f>VLOOKUP(A851,'[1]Raw data'!$B:$AS,39,FALSE)</f>
        <v>Yes</v>
      </c>
      <c r="Z851" s="664"/>
      <c r="AA851" s="665"/>
      <c r="AB851" s="666"/>
      <c r="AC851" s="652" t="s">
        <v>1644</v>
      </c>
      <c r="AD851" s="667">
        <v>312</v>
      </c>
      <c r="AE851" s="667">
        <v>10</v>
      </c>
      <c r="AF851" s="667"/>
      <c r="AG851" s="667"/>
      <c r="AH851" s="667"/>
      <c r="AI851" s="668"/>
      <c r="AN851" s="547"/>
      <c r="AO851" s="829" t="str">
        <f t="shared" si="140"/>
        <v>Yes</v>
      </c>
      <c r="AP851" s="259" t="str">
        <f t="shared" si="141"/>
        <v>JUN 21</v>
      </c>
      <c r="AQ851" s="547" t="str">
        <f t="shared" si="142"/>
        <v>有定金+有預留客戶</v>
      </c>
      <c r="AR851" s="259" t="str">
        <f t="shared" si="143"/>
        <v>Shipped_Stock</v>
      </c>
      <c r="AS851" s="259" t="str">
        <f t="shared" si="144"/>
        <v/>
      </c>
      <c r="AT851" s="259" t="str">
        <f t="shared" si="145"/>
        <v>格隆</v>
      </c>
      <c r="AU851" s="259" t="str">
        <f t="shared" si="146"/>
        <v>C49SZX20210149DY</v>
      </c>
      <c r="AV851" s="259" t="str">
        <f t="shared" si="147"/>
        <v>May-15</v>
      </c>
    </row>
    <row r="852" spans="1:48" hidden="1">
      <c r="A852" s="564">
        <v>1243</v>
      </c>
      <c r="B852" s="669" t="s">
        <v>1125</v>
      </c>
      <c r="C852" s="669" t="s">
        <v>281</v>
      </c>
      <c r="D852" s="650">
        <v>110248</v>
      </c>
      <c r="E852" s="568" t="s">
        <v>886</v>
      </c>
      <c r="F852" s="652" t="s">
        <v>17</v>
      </c>
      <c r="G852" s="652" t="s">
        <v>18</v>
      </c>
      <c r="H852" s="652" t="s">
        <v>26</v>
      </c>
      <c r="I852" s="750" t="s">
        <v>1645</v>
      </c>
      <c r="J852" s="580">
        <v>1</v>
      </c>
      <c r="K852" s="652" t="s">
        <v>81</v>
      </c>
      <c r="L852" s="662">
        <v>44331</v>
      </c>
      <c r="M852" s="670" t="s">
        <v>906</v>
      </c>
      <c r="N852" s="652" t="s">
        <v>96</v>
      </c>
      <c r="O852" s="580"/>
      <c r="P852" s="670" t="str">
        <f>VLOOKUP(A852,'[1]Raw data'!$B:$BA,23,FALSE)</f>
        <v>JPY</v>
      </c>
      <c r="Q852" s="652" t="str">
        <f>VLOOKUP(A852,'[1]Raw data'!$B:$Z,2,FALSE)</f>
        <v>C49SZX20210035SX</v>
      </c>
      <c r="R852" s="652" t="str">
        <f>VLOOKUP(A852,'[1]Raw data'!$B:$Z,3,FALSE)</f>
        <v>巴科</v>
      </c>
      <c r="S852" s="652" t="str">
        <f>VLOOKUP(A852,'[1]Raw data'!$B:$Z,4,FALSE)</f>
        <v>YSM10</v>
      </c>
      <c r="T852" s="652" t="str">
        <f>VLOOKUP(A852,'[1]Raw data'!$B:$Z,8,FALSE)</f>
        <v>L-&gt;R</v>
      </c>
      <c r="U852" s="652" t="str">
        <f>VLOOKUP(A852,'[1]Raw data'!$B:$Z,9,FALSE)</f>
        <v>No</v>
      </c>
      <c r="V852" s="572" t="str">
        <f t="shared" si="151"/>
        <v>WRONG</v>
      </c>
      <c r="W852" s="568" t="str">
        <f>VLOOKUP(A852,'[1]Raw data'!$B:$AG,32,FALSE)</f>
        <v>CIF HK</v>
      </c>
      <c r="X852" s="652">
        <f>VLOOKUP(A852,'[1]Raw data'!$B:$BA,31,FALSE)</f>
        <v>44264</v>
      </c>
      <c r="Y852" s="652" t="str">
        <f>VLOOKUP(A852,'[1]Raw data'!$B:$AS,39,FALSE)</f>
        <v>Yes</v>
      </c>
      <c r="Z852" s="664"/>
      <c r="AA852" s="665"/>
      <c r="AB852" s="666"/>
      <c r="AC852" s="652" t="s">
        <v>1609</v>
      </c>
      <c r="AD852" s="667">
        <v>312</v>
      </c>
      <c r="AE852" s="667">
        <v>10</v>
      </c>
      <c r="AF852" s="667"/>
      <c r="AG852" s="667"/>
      <c r="AH852" s="667"/>
      <c r="AI852" s="668"/>
      <c r="AN852" s="547"/>
      <c r="AO852" s="829" t="str">
        <f t="shared" si="140"/>
        <v>Yes</v>
      </c>
      <c r="AP852" s="259" t="str">
        <f t="shared" si="141"/>
        <v>JUN 21</v>
      </c>
      <c r="AQ852" s="547" t="str">
        <f t="shared" si="142"/>
        <v>有定金+有預留客戶</v>
      </c>
      <c r="AR852" s="259" t="str">
        <f t="shared" si="143"/>
        <v>Shipped_Stock</v>
      </c>
      <c r="AS852" s="259" t="str">
        <f t="shared" si="144"/>
        <v/>
      </c>
      <c r="AT852" s="259" t="str">
        <f t="shared" si="145"/>
        <v>巴科</v>
      </c>
      <c r="AU852" s="259" t="str">
        <f t="shared" si="146"/>
        <v>C49SZX20210035SX</v>
      </c>
      <c r="AV852" s="259" t="str">
        <f t="shared" si="147"/>
        <v>May-15</v>
      </c>
    </row>
    <row r="853" spans="1:48" hidden="1">
      <c r="A853" s="564">
        <v>1378</v>
      </c>
      <c r="B853" s="669" t="s">
        <v>1125</v>
      </c>
      <c r="C853" s="669" t="s">
        <v>281</v>
      </c>
      <c r="D853" s="650">
        <v>110248</v>
      </c>
      <c r="E853" s="568" t="s">
        <v>886</v>
      </c>
      <c r="F853" s="652" t="s">
        <v>17</v>
      </c>
      <c r="G853" s="652" t="s">
        <v>18</v>
      </c>
      <c r="H853" s="652" t="s">
        <v>27</v>
      </c>
      <c r="I853" s="580" t="s">
        <v>1646</v>
      </c>
      <c r="J853" s="580">
        <v>1</v>
      </c>
      <c r="K853" s="652" t="s">
        <v>81</v>
      </c>
      <c r="L853" s="662">
        <v>44331</v>
      </c>
      <c r="M853" s="670" t="s">
        <v>906</v>
      </c>
      <c r="N853" s="652" t="s">
        <v>96</v>
      </c>
      <c r="O853" s="580"/>
      <c r="P853" s="670" t="str">
        <f>VLOOKUP(A853,'[1]Raw data'!$B:$BA,23,FALSE)</f>
        <v>JPY</v>
      </c>
      <c r="Q853" s="652" t="str">
        <f>VLOOKUP(A853,'[1]Raw data'!$B:$Z,2,FALSE)</f>
        <v>C49SZX20210153MZ</v>
      </c>
      <c r="R853" s="652" t="str">
        <f>VLOOKUP(A853,'[1]Raw data'!$B:$Z,3,FALSE)</f>
        <v>巨能</v>
      </c>
      <c r="S853" s="652" t="str">
        <f>VLOOKUP(A853,'[1]Raw data'!$B:$Z,4,FALSE)</f>
        <v>YSM10</v>
      </c>
      <c r="T853" s="652" t="str">
        <f>VLOOKUP(A853,'[1]Raw data'!$B:$Z,8,FALSE)</f>
        <v>L-&gt;R</v>
      </c>
      <c r="U853" s="652" t="str">
        <f>VLOOKUP(A853,'[1]Raw data'!$B:$Z,9,FALSE)</f>
        <v>MVC</v>
      </c>
      <c r="V853" s="572" t="str">
        <f t="shared" si="151"/>
        <v>WRONG</v>
      </c>
      <c r="W853" s="568" t="str">
        <f>VLOOKUP(A853,'[1]Raw data'!$B:$AG,32,FALSE)</f>
        <v>DAP SZ</v>
      </c>
      <c r="X853" s="652">
        <f>VLOOKUP(A853,'[1]Raw data'!$B:$BA,31,FALSE)</f>
        <v>44337</v>
      </c>
      <c r="Y853" s="652" t="str">
        <f>VLOOKUP(A853,'[1]Raw data'!$B:$AS,39,FALSE)</f>
        <v>Yes</v>
      </c>
      <c r="Z853" s="664"/>
      <c r="AA853" s="665"/>
      <c r="AB853" s="666"/>
      <c r="AC853" s="652" t="s">
        <v>1647</v>
      </c>
      <c r="AD853" s="667">
        <v>301</v>
      </c>
      <c r="AE853" s="667">
        <v>10</v>
      </c>
      <c r="AF853" s="667"/>
      <c r="AG853" s="667"/>
      <c r="AH853" s="667"/>
      <c r="AI853" s="668"/>
      <c r="AN853" s="547"/>
      <c r="AO853" s="829" t="str">
        <f t="shared" si="140"/>
        <v>Yes</v>
      </c>
      <c r="AP853" s="259" t="str">
        <f t="shared" si="141"/>
        <v>JUN 21</v>
      </c>
      <c r="AQ853" s="547" t="str">
        <f t="shared" si="142"/>
        <v>有定金+有預留客戶</v>
      </c>
      <c r="AR853" s="259" t="str">
        <f t="shared" si="143"/>
        <v>Shipped_Stock</v>
      </c>
      <c r="AS853" s="259" t="str">
        <f t="shared" si="144"/>
        <v/>
      </c>
      <c r="AT853" s="259" t="str">
        <f t="shared" si="145"/>
        <v>巨能</v>
      </c>
      <c r="AU853" s="259" t="str">
        <f t="shared" si="146"/>
        <v>C49SZX20210153MZ</v>
      </c>
      <c r="AV853" s="259" t="str">
        <f t="shared" si="147"/>
        <v>May-15</v>
      </c>
    </row>
    <row r="854" spans="1:48" hidden="1">
      <c r="A854" s="564">
        <v>1298</v>
      </c>
      <c r="B854" s="669" t="s">
        <v>1125</v>
      </c>
      <c r="C854" s="669" t="s">
        <v>281</v>
      </c>
      <c r="D854" s="650">
        <v>110248</v>
      </c>
      <c r="E854" s="568" t="s">
        <v>886</v>
      </c>
      <c r="F854" s="652" t="s">
        <v>17</v>
      </c>
      <c r="G854" s="652" t="s">
        <v>18</v>
      </c>
      <c r="H854" s="652" t="s">
        <v>27</v>
      </c>
      <c r="I854" s="580" t="s">
        <v>1648</v>
      </c>
      <c r="J854" s="580">
        <v>1</v>
      </c>
      <c r="K854" s="652" t="s">
        <v>81</v>
      </c>
      <c r="L854" s="662">
        <v>44331</v>
      </c>
      <c r="M854" s="670" t="s">
        <v>906</v>
      </c>
      <c r="N854" s="652" t="s">
        <v>110</v>
      </c>
      <c r="O854" s="580"/>
      <c r="P854" s="670" t="str">
        <f>VLOOKUP(A854,'[1]Raw data'!$B:$BA,23,FALSE)</f>
        <v>JPY</v>
      </c>
      <c r="Q854" s="652" t="str">
        <f>VLOOKUP(A854,'[1]Raw data'!$B:$Z,2,FALSE)</f>
        <v>C49SZX20210107SX</v>
      </c>
      <c r="R854" s="652" t="str">
        <f>VLOOKUP(A854,'[1]Raw data'!$B:$Z,3,FALSE)</f>
        <v>君泽</v>
      </c>
      <c r="S854" s="652" t="str">
        <f>VLOOKUP(A854,'[1]Raw data'!$B:$Z,4,FALSE)</f>
        <v>YSM10</v>
      </c>
      <c r="T854" s="652" t="str">
        <f>VLOOKUP(A854,'[1]Raw data'!$B:$Z,8,FALSE)</f>
        <v>R-&gt;L</v>
      </c>
      <c r="U854" s="652" t="str">
        <f>VLOOKUP(A854,'[1]Raw data'!$B:$Z,9,FALSE)</f>
        <v>MVC</v>
      </c>
      <c r="V854" s="572" t="str">
        <f t="shared" si="151"/>
        <v>OK</v>
      </c>
      <c r="W854" s="568" t="str">
        <f>VLOOKUP(A854,'[1]Raw data'!$B:$AG,32,FALSE)</f>
        <v>DAP DG</v>
      </c>
      <c r="X854" s="652">
        <f>VLOOKUP(A854,'[1]Raw data'!$B:$BA,31,FALSE)</f>
        <v>44293</v>
      </c>
      <c r="Y854" s="652" t="str">
        <f>VLOOKUP(A854,'[1]Raw data'!$B:$AS,39,FALSE)</f>
        <v>Yes</v>
      </c>
      <c r="Z854" s="664"/>
      <c r="AA854" s="665"/>
      <c r="AB854" s="666"/>
      <c r="AC854" s="652" t="s">
        <v>1649</v>
      </c>
      <c r="AD854" s="667">
        <v>301</v>
      </c>
      <c r="AE854" s="667">
        <v>10</v>
      </c>
      <c r="AF854" s="667"/>
      <c r="AG854" s="667"/>
      <c r="AH854" s="667"/>
      <c r="AI854" s="668"/>
      <c r="AN854" s="547"/>
      <c r="AO854" s="829" t="str">
        <f t="shared" si="140"/>
        <v>Yes</v>
      </c>
      <c r="AP854" s="259" t="str">
        <f t="shared" si="141"/>
        <v>MAY 21</v>
      </c>
      <c r="AQ854" s="547" t="str">
        <f t="shared" si="142"/>
        <v>有定金+有預留客戶</v>
      </c>
      <c r="AR854" s="259" t="str">
        <f t="shared" si="143"/>
        <v>Shipped_Stock</v>
      </c>
      <c r="AS854" s="259" t="str">
        <f t="shared" si="144"/>
        <v/>
      </c>
      <c r="AT854" s="259" t="str">
        <f t="shared" si="145"/>
        <v>君泽</v>
      </c>
      <c r="AU854" s="259" t="str">
        <f t="shared" si="146"/>
        <v>C49SZX20210107SX</v>
      </c>
      <c r="AV854" s="259" t="str">
        <f t="shared" si="147"/>
        <v>May-15</v>
      </c>
    </row>
    <row r="855" spans="1:48" hidden="1">
      <c r="A855" s="564">
        <v>1297</v>
      </c>
      <c r="B855" s="669" t="s">
        <v>1125</v>
      </c>
      <c r="C855" s="669" t="s">
        <v>281</v>
      </c>
      <c r="D855" s="650">
        <v>110248</v>
      </c>
      <c r="E855" s="568" t="s">
        <v>886</v>
      </c>
      <c r="F855" s="652" t="s">
        <v>17</v>
      </c>
      <c r="G855" s="652" t="s">
        <v>18</v>
      </c>
      <c r="H855" s="652" t="s">
        <v>27</v>
      </c>
      <c r="I855" s="580" t="s">
        <v>1650</v>
      </c>
      <c r="J855" s="580">
        <v>1</v>
      </c>
      <c r="K855" s="652" t="s">
        <v>81</v>
      </c>
      <c r="L855" s="662">
        <v>44331</v>
      </c>
      <c r="M855" s="670" t="s">
        <v>1613</v>
      </c>
      <c r="N855" s="652" t="s">
        <v>110</v>
      </c>
      <c r="O855" s="580"/>
      <c r="P855" s="670" t="str">
        <f>VLOOKUP(A855,'[1]Raw data'!$B:$BA,23,FALSE)</f>
        <v>JPY</v>
      </c>
      <c r="Q855" s="652" t="str">
        <f>VLOOKUP(A855,'[1]Raw data'!$B:$Z,2,FALSE)</f>
        <v>C49SZX20210107SX</v>
      </c>
      <c r="R855" s="652" t="str">
        <f>VLOOKUP(A855,'[1]Raw data'!$B:$Z,3,FALSE)</f>
        <v>君泽</v>
      </c>
      <c r="S855" s="652" t="str">
        <f>VLOOKUP(A855,'[1]Raw data'!$B:$Z,4,FALSE)</f>
        <v>YSM10</v>
      </c>
      <c r="T855" s="652" t="str">
        <f>VLOOKUP(A855,'[1]Raw data'!$B:$Z,8,FALSE)</f>
        <v>L-&gt;R</v>
      </c>
      <c r="U855" s="652" t="str">
        <f>VLOOKUP(A855,'[1]Raw data'!$B:$Z,9,FALSE)</f>
        <v>MVC</v>
      </c>
      <c r="V855" s="572" t="str">
        <f t="shared" si="151"/>
        <v>WRONG</v>
      </c>
      <c r="W855" s="568" t="str">
        <f>VLOOKUP(A855,'[1]Raw data'!$B:$AG,32,FALSE)</f>
        <v>DAP DG</v>
      </c>
      <c r="X855" s="652">
        <f>VLOOKUP(A855,'[1]Raw data'!$B:$BA,31,FALSE)</f>
        <v>44293</v>
      </c>
      <c r="Y855" s="652" t="str">
        <f>VLOOKUP(A855,'[1]Raw data'!$B:$AS,39,FALSE)</f>
        <v>Yes</v>
      </c>
      <c r="Z855" s="664"/>
      <c r="AA855" s="665"/>
      <c r="AB855" s="666"/>
      <c r="AC855" s="652" t="s">
        <v>1649</v>
      </c>
      <c r="AD855" s="667">
        <v>301</v>
      </c>
      <c r="AE855" s="667">
        <v>10</v>
      </c>
      <c r="AF855" s="667"/>
      <c r="AG855" s="667"/>
      <c r="AH855" s="667"/>
      <c r="AI855" s="668"/>
      <c r="AN855" s="547"/>
      <c r="AO855" s="829" t="str">
        <f t="shared" si="140"/>
        <v>Yes</v>
      </c>
      <c r="AP855" s="259" t="str">
        <f t="shared" si="141"/>
        <v>MAY 21</v>
      </c>
      <c r="AQ855" s="547" t="str">
        <f t="shared" si="142"/>
        <v>有定金+有預留客戶</v>
      </c>
      <c r="AR855" s="259" t="str">
        <f t="shared" si="143"/>
        <v>Shipped_Stock</v>
      </c>
      <c r="AS855" s="259" t="str">
        <f t="shared" si="144"/>
        <v/>
      </c>
      <c r="AT855" s="259" t="str">
        <f t="shared" si="145"/>
        <v>君泽</v>
      </c>
      <c r="AU855" s="259" t="str">
        <f t="shared" si="146"/>
        <v>C49SZX20210107SX</v>
      </c>
      <c r="AV855" s="259" t="str">
        <f t="shared" si="147"/>
        <v>May-15</v>
      </c>
    </row>
    <row r="856" spans="1:48" hidden="1">
      <c r="A856" s="564">
        <v>1244</v>
      </c>
      <c r="B856" s="669" t="s">
        <v>1125</v>
      </c>
      <c r="C856" s="669" t="s">
        <v>281</v>
      </c>
      <c r="D856" s="650">
        <v>110248</v>
      </c>
      <c r="E856" s="568" t="s">
        <v>886</v>
      </c>
      <c r="F856" s="652" t="s">
        <v>17</v>
      </c>
      <c r="G856" s="652" t="s">
        <v>18</v>
      </c>
      <c r="H856" s="652" t="s">
        <v>26</v>
      </c>
      <c r="I856" s="580" t="s">
        <v>1651</v>
      </c>
      <c r="J856" s="580">
        <v>1</v>
      </c>
      <c r="K856" s="652" t="s">
        <v>81</v>
      </c>
      <c r="L856" s="662">
        <v>44331</v>
      </c>
      <c r="M856" s="670" t="s">
        <v>906</v>
      </c>
      <c r="N856" s="652" t="s">
        <v>96</v>
      </c>
      <c r="O856" s="580"/>
      <c r="P856" s="670" t="str">
        <f>VLOOKUP(A856,'[1]Raw data'!$B:$BA,23,FALSE)</f>
        <v>JPY</v>
      </c>
      <c r="Q856" s="652" t="str">
        <f>VLOOKUP(A856,'[1]Raw data'!$B:$Z,2,FALSE)</f>
        <v>C49SZX20210035SX</v>
      </c>
      <c r="R856" s="652" t="str">
        <f>VLOOKUP(A856,'[1]Raw data'!$B:$Z,3,FALSE)</f>
        <v>巴科</v>
      </c>
      <c r="S856" s="652" t="str">
        <f>VLOOKUP(A856,'[1]Raw data'!$B:$Z,4,FALSE)</f>
        <v>YSM10</v>
      </c>
      <c r="T856" s="652" t="str">
        <f>VLOOKUP(A856,'[1]Raw data'!$B:$Z,8,FALSE)</f>
        <v>L-&gt;R</v>
      </c>
      <c r="U856" s="652" t="str">
        <f>VLOOKUP(A856,'[1]Raw data'!$B:$Z,9,FALSE)</f>
        <v>No</v>
      </c>
      <c r="V856" s="572" t="str">
        <f t="shared" si="151"/>
        <v>WRONG</v>
      </c>
      <c r="W856" s="568" t="str">
        <f>VLOOKUP(A856,'[1]Raw data'!$B:$AG,32,FALSE)</f>
        <v>CIF HK</v>
      </c>
      <c r="X856" s="652">
        <f>VLOOKUP(A856,'[1]Raw data'!$B:$BA,31,FALSE)</f>
        <v>44264</v>
      </c>
      <c r="Y856" s="652" t="str">
        <f>VLOOKUP(A856,'[1]Raw data'!$B:$AS,39,FALSE)</f>
        <v>Yes</v>
      </c>
      <c r="Z856" s="664"/>
      <c r="AA856" s="665"/>
      <c r="AB856" s="666"/>
      <c r="AC856" s="652" t="s">
        <v>1582</v>
      </c>
      <c r="AD856" s="667">
        <v>301</v>
      </c>
      <c r="AE856" s="667">
        <v>10</v>
      </c>
      <c r="AF856" s="667"/>
      <c r="AG856" s="667"/>
      <c r="AH856" s="667"/>
      <c r="AI856" s="668"/>
      <c r="AN856" s="547"/>
      <c r="AO856" s="829" t="str">
        <f t="shared" si="140"/>
        <v>Yes</v>
      </c>
      <c r="AP856" s="259" t="str">
        <f t="shared" si="141"/>
        <v>JUN 21</v>
      </c>
      <c r="AQ856" s="547" t="str">
        <f t="shared" si="142"/>
        <v>有定金+有預留客戶</v>
      </c>
      <c r="AR856" s="259" t="str">
        <f t="shared" si="143"/>
        <v>Shipped_Stock</v>
      </c>
      <c r="AS856" s="259" t="str">
        <f t="shared" si="144"/>
        <v/>
      </c>
      <c r="AT856" s="259" t="str">
        <f t="shared" si="145"/>
        <v>巴科</v>
      </c>
      <c r="AU856" s="259" t="str">
        <f t="shared" si="146"/>
        <v>C49SZX20210035SX</v>
      </c>
      <c r="AV856" s="259" t="str">
        <f t="shared" si="147"/>
        <v>May-15</v>
      </c>
    </row>
    <row r="857" spans="1:48" hidden="1">
      <c r="A857" s="564">
        <v>1245</v>
      </c>
      <c r="B857" s="669" t="s">
        <v>1125</v>
      </c>
      <c r="C857" s="669" t="s">
        <v>281</v>
      </c>
      <c r="D857" s="650">
        <v>110248</v>
      </c>
      <c r="E857" s="568" t="s">
        <v>886</v>
      </c>
      <c r="F857" s="652" t="s">
        <v>17</v>
      </c>
      <c r="G857" s="652" t="s">
        <v>18</v>
      </c>
      <c r="H857" s="652" t="s">
        <v>26</v>
      </c>
      <c r="I857" s="750" t="s">
        <v>1652</v>
      </c>
      <c r="J857" s="580">
        <v>1</v>
      </c>
      <c r="K857" s="652" t="s">
        <v>81</v>
      </c>
      <c r="L857" s="662">
        <v>44331</v>
      </c>
      <c r="M857" s="670" t="s">
        <v>906</v>
      </c>
      <c r="N857" s="652" t="s">
        <v>96</v>
      </c>
      <c r="O857" s="580"/>
      <c r="P857" s="670" t="str">
        <f>VLOOKUP(A857,'[1]Raw data'!$B:$BA,23,FALSE)</f>
        <v>JPY</v>
      </c>
      <c r="Q857" s="652" t="str">
        <f>VLOOKUP(A857,'[1]Raw data'!$B:$Z,2,FALSE)</f>
        <v>C49SZX20210035SX</v>
      </c>
      <c r="R857" s="652" t="str">
        <f>VLOOKUP(A857,'[1]Raw data'!$B:$Z,3,FALSE)</f>
        <v>巴科</v>
      </c>
      <c r="S857" s="652" t="str">
        <f>VLOOKUP(A857,'[1]Raw data'!$B:$Z,4,FALSE)</f>
        <v>YSM10</v>
      </c>
      <c r="T857" s="652" t="str">
        <f>VLOOKUP(A857,'[1]Raw data'!$B:$Z,8,FALSE)</f>
        <v>L-&gt;R</v>
      </c>
      <c r="U857" s="652" t="str">
        <f>VLOOKUP(A857,'[1]Raw data'!$B:$Z,9,FALSE)</f>
        <v>No</v>
      </c>
      <c r="V857" s="572" t="str">
        <f t="shared" si="151"/>
        <v>WRONG</v>
      </c>
      <c r="W857" s="568" t="str">
        <f>VLOOKUP(A857,'[1]Raw data'!$B:$AG,32,FALSE)</f>
        <v>CIF HK</v>
      </c>
      <c r="X857" s="652">
        <f>VLOOKUP(A857,'[1]Raw data'!$B:$BA,31,FALSE)</f>
        <v>44264</v>
      </c>
      <c r="Y857" s="652" t="str">
        <f>VLOOKUP(A857,'[1]Raw data'!$B:$AS,39,FALSE)</f>
        <v>Yes</v>
      </c>
      <c r="Z857" s="664"/>
      <c r="AA857" s="665"/>
      <c r="AB857" s="666"/>
      <c r="AC857" s="652" t="s">
        <v>1609</v>
      </c>
      <c r="AD857" s="667">
        <v>301</v>
      </c>
      <c r="AE857" s="667">
        <v>10</v>
      </c>
      <c r="AF857" s="667"/>
      <c r="AG857" s="667"/>
      <c r="AH857" s="667"/>
      <c r="AI857" s="668"/>
      <c r="AN857" s="547"/>
      <c r="AO857" s="829" t="str">
        <f t="shared" si="140"/>
        <v>Yes</v>
      </c>
      <c r="AP857" s="259" t="str">
        <f t="shared" si="141"/>
        <v>JUN 21</v>
      </c>
      <c r="AQ857" s="547" t="str">
        <f t="shared" si="142"/>
        <v>有定金+有預留客戶</v>
      </c>
      <c r="AR857" s="259" t="str">
        <f t="shared" si="143"/>
        <v>Shipped_Stock</v>
      </c>
      <c r="AS857" s="259" t="str">
        <f t="shared" si="144"/>
        <v/>
      </c>
      <c r="AT857" s="259" t="str">
        <f t="shared" si="145"/>
        <v>巴科</v>
      </c>
      <c r="AU857" s="259" t="str">
        <f t="shared" si="146"/>
        <v>C49SZX20210035SX</v>
      </c>
      <c r="AV857" s="259" t="str">
        <f t="shared" si="147"/>
        <v>May-15</v>
      </c>
    </row>
    <row r="858" spans="1:48" hidden="1">
      <c r="A858" s="564">
        <v>924</v>
      </c>
      <c r="B858" s="669" t="s">
        <v>1125</v>
      </c>
      <c r="C858" s="568" t="s">
        <v>4056</v>
      </c>
      <c r="D858" s="650">
        <v>110331</v>
      </c>
      <c r="E858" s="749" t="s">
        <v>1653</v>
      </c>
      <c r="F858" s="652" t="s">
        <v>201</v>
      </c>
      <c r="G858" s="652" t="s">
        <v>24</v>
      </c>
      <c r="H858" s="652" t="s">
        <v>307</v>
      </c>
      <c r="I858" s="580" t="s">
        <v>1654</v>
      </c>
      <c r="J858" s="580">
        <v>1</v>
      </c>
      <c r="K858" s="652" t="s">
        <v>1358</v>
      </c>
      <c r="L858" s="662">
        <v>44338</v>
      </c>
      <c r="M858" s="670" t="s">
        <v>258</v>
      </c>
      <c r="N858" s="652" t="s">
        <v>110</v>
      </c>
      <c r="O858" s="580"/>
      <c r="P858" s="670" t="str">
        <f>VLOOKUP(A858,'[1]Raw data'!$B:$BA,23,FALSE)</f>
        <v>RMB</v>
      </c>
      <c r="Q858" s="652" t="str">
        <f>VLOOKUP(A858,'[1]Raw data'!$B:$Z,2,FALSE)</f>
        <v>C28SZX20200081KC</v>
      </c>
      <c r="R858" s="652" t="str">
        <f>VLOOKUP(A858,'[1]Raw data'!$B:$Z,3,FALSE)</f>
        <v>鸿通宇</v>
      </c>
      <c r="S858" s="652" t="str">
        <f>VLOOKUP(A858,'[1]Raw data'!$B:$Z,4,FALSE)</f>
        <v>YSi-V</v>
      </c>
      <c r="T858" s="652" t="str">
        <f>VLOOKUP(A858,'[1]Raw data'!$B:$Z,8,FALSE)</f>
        <v>L-&gt;R</v>
      </c>
      <c r="U858" s="652" t="str">
        <f>VLOOKUP(A858,'[1]Raw data'!$B:$Z,9,FALSE)</f>
        <v>No</v>
      </c>
      <c r="V858" s="572" t="str">
        <f t="shared" ref="V858:V859" si="152">IF(G858&amp;H858=T858&amp;U858,"OK","WRONG")</f>
        <v>OK</v>
      </c>
      <c r="W858" s="568" t="str">
        <f>VLOOKUP(A858,'[1]Raw data'!$B:$AG,32,FALSE)</f>
        <v>含税到厂</v>
      </c>
      <c r="X858" s="652">
        <f>VLOOKUP(A858,'[1]Raw data'!$B:$BA,31,FALSE)</f>
        <v>44140</v>
      </c>
      <c r="Y858" s="652" t="str">
        <f>VLOOKUP(A858,'[1]Raw data'!$B:$AS,39,FALSE)</f>
        <v>Yes</v>
      </c>
      <c r="Z858" s="667"/>
      <c r="AA858" s="667"/>
      <c r="AB858" s="667"/>
      <c r="AC858" s="580" t="s">
        <v>1216</v>
      </c>
      <c r="AD858" s="667"/>
      <c r="AE858" s="667"/>
      <c r="AF858" s="667"/>
      <c r="AG858" s="667"/>
      <c r="AH858" s="667"/>
      <c r="AI858" s="668"/>
      <c r="AN858" s="547"/>
      <c r="AO858" s="829" t="str">
        <f t="shared" si="140"/>
        <v>Yes</v>
      </c>
      <c r="AP858" s="259" t="str">
        <f t="shared" si="141"/>
        <v>MAY 21</v>
      </c>
      <c r="AQ858" s="547" t="str">
        <f t="shared" si="142"/>
        <v>有定金+有預留客戶</v>
      </c>
      <c r="AR858" s="259" t="str">
        <f t="shared" si="143"/>
        <v>Shipped_Stock</v>
      </c>
      <c r="AS858" s="259" t="str">
        <f t="shared" si="144"/>
        <v/>
      </c>
      <c r="AT858" s="259" t="str">
        <f t="shared" si="145"/>
        <v>鸿通宇</v>
      </c>
      <c r="AU858" s="259" t="str">
        <f t="shared" si="146"/>
        <v>C28SZX20200081KC</v>
      </c>
      <c r="AV858" s="259" t="str">
        <f t="shared" si="147"/>
        <v>May-22</v>
      </c>
    </row>
    <row r="859" spans="1:48" hidden="1">
      <c r="A859" s="564">
        <v>925</v>
      </c>
      <c r="B859" s="669" t="s">
        <v>1125</v>
      </c>
      <c r="C859" s="568" t="s">
        <v>4056</v>
      </c>
      <c r="D859" s="650">
        <v>110331</v>
      </c>
      <c r="E859" s="749" t="s">
        <v>1653</v>
      </c>
      <c r="F859" s="652" t="s">
        <v>201</v>
      </c>
      <c r="G859" s="652" t="s">
        <v>24</v>
      </c>
      <c r="H859" s="652" t="s">
        <v>307</v>
      </c>
      <c r="I859" s="580" t="s">
        <v>1655</v>
      </c>
      <c r="J859" s="580">
        <v>1</v>
      </c>
      <c r="K859" s="652" t="s">
        <v>1358</v>
      </c>
      <c r="L859" s="662">
        <v>44338</v>
      </c>
      <c r="M859" s="670" t="s">
        <v>258</v>
      </c>
      <c r="N859" s="652" t="s">
        <v>110</v>
      </c>
      <c r="O859" s="580"/>
      <c r="P859" s="670" t="str">
        <f>VLOOKUP(A859,'[1]Raw data'!$B:$BA,23,FALSE)</f>
        <v>RMB</v>
      </c>
      <c r="Q859" s="652" t="str">
        <f>VLOOKUP(A859,'[1]Raw data'!$B:$Z,2,FALSE)</f>
        <v>C28SZX20200081KC</v>
      </c>
      <c r="R859" s="652" t="str">
        <f>VLOOKUP(A859,'[1]Raw data'!$B:$Z,3,FALSE)</f>
        <v>鸿通宇</v>
      </c>
      <c r="S859" s="652" t="str">
        <f>VLOOKUP(A859,'[1]Raw data'!$B:$Z,4,FALSE)</f>
        <v>YSi-V</v>
      </c>
      <c r="T859" s="652" t="str">
        <f>VLOOKUP(A859,'[1]Raw data'!$B:$Z,8,FALSE)</f>
        <v>L-&gt;R</v>
      </c>
      <c r="U859" s="652" t="str">
        <f>VLOOKUP(A859,'[1]Raw data'!$B:$Z,9,FALSE)</f>
        <v>No</v>
      </c>
      <c r="V859" s="572" t="str">
        <f t="shared" si="152"/>
        <v>OK</v>
      </c>
      <c r="W859" s="568" t="str">
        <f>VLOOKUP(A859,'[1]Raw data'!$B:$AG,32,FALSE)</f>
        <v>含税到厂</v>
      </c>
      <c r="X859" s="652">
        <f>VLOOKUP(A859,'[1]Raw data'!$B:$BA,31,FALSE)</f>
        <v>44140</v>
      </c>
      <c r="Y859" s="652" t="str">
        <f>VLOOKUP(A859,'[1]Raw data'!$B:$AS,39,FALSE)</f>
        <v>Yes</v>
      </c>
      <c r="Z859" s="667"/>
      <c r="AA859" s="667"/>
      <c r="AB859" s="667"/>
      <c r="AC859" s="580" t="s">
        <v>1216</v>
      </c>
      <c r="AD859" s="667"/>
      <c r="AE859" s="667"/>
      <c r="AF859" s="667"/>
      <c r="AG859" s="667"/>
      <c r="AH859" s="667"/>
      <c r="AI859" s="668"/>
      <c r="AN859" s="547"/>
      <c r="AO859" s="829" t="str">
        <f t="shared" si="140"/>
        <v>Yes</v>
      </c>
      <c r="AP859" s="259" t="str">
        <f t="shared" si="141"/>
        <v>MAY 21</v>
      </c>
      <c r="AQ859" s="547" t="str">
        <f t="shared" si="142"/>
        <v>有定金+有預留客戶</v>
      </c>
      <c r="AR859" s="259" t="str">
        <f t="shared" si="143"/>
        <v>Shipped_Stock</v>
      </c>
      <c r="AS859" s="259" t="str">
        <f t="shared" si="144"/>
        <v/>
      </c>
      <c r="AT859" s="259" t="str">
        <f t="shared" si="145"/>
        <v>鸿通宇</v>
      </c>
      <c r="AU859" s="259" t="str">
        <f t="shared" si="146"/>
        <v>C28SZX20200081KC</v>
      </c>
      <c r="AV859" s="259" t="str">
        <f t="shared" si="147"/>
        <v>May-22</v>
      </c>
    </row>
    <row r="860" spans="1:48" hidden="1">
      <c r="A860" s="564">
        <v>1418</v>
      </c>
      <c r="B860" s="669" t="s">
        <v>1125</v>
      </c>
      <c r="C860" s="669" t="s">
        <v>281</v>
      </c>
      <c r="D860" s="650">
        <v>110246</v>
      </c>
      <c r="E860" s="568" t="s">
        <v>886</v>
      </c>
      <c r="F860" s="652" t="s">
        <v>17</v>
      </c>
      <c r="G860" s="652" t="s">
        <v>18</v>
      </c>
      <c r="H860" s="652" t="s">
        <v>34</v>
      </c>
      <c r="I860" s="580" t="s">
        <v>1656</v>
      </c>
      <c r="J860" s="580">
        <v>1</v>
      </c>
      <c r="K860" s="652" t="s">
        <v>78</v>
      </c>
      <c r="L860" s="662">
        <v>44338</v>
      </c>
      <c r="M860" s="681" t="s">
        <v>906</v>
      </c>
      <c r="N860" s="652" t="s">
        <v>96</v>
      </c>
      <c r="O860" s="580"/>
      <c r="P860" s="670" t="str">
        <f>VLOOKUP(A860,'[1]Raw data'!$B:$BA,23,FALSE)</f>
        <v>JPY</v>
      </c>
      <c r="Q860" s="652" t="str">
        <f>VLOOKUP(A860,'[1]Raw data'!$B:$Z,2,FALSE)</f>
        <v>C49SZX20210141VG</v>
      </c>
      <c r="R860" s="652" t="str">
        <f>VLOOKUP(A860,'[1]Raw data'!$B:$Z,3,FALSE)</f>
        <v>狂热者</v>
      </c>
      <c r="S860" s="652" t="str">
        <f>VLOOKUP(A860,'[1]Raw data'!$B:$Z,4,FALSE)</f>
        <v>YSM10</v>
      </c>
      <c r="T860" s="652" t="str">
        <f>VLOOKUP(A860,'[1]Raw data'!$B:$Z,8,FALSE)</f>
        <v>L-&gt;R</v>
      </c>
      <c r="U860" s="652" t="str">
        <f>VLOOKUP(A860,'[1]Raw data'!$B:$Z,9,FALSE)</f>
        <v>MVC+ATS15</v>
      </c>
      <c r="V860" s="572" t="str">
        <f t="shared" ref="V860" si="153">IF(G860&amp;H860=T860&amp;U860,"OK","WRONG")</f>
        <v>WRONG</v>
      </c>
      <c r="W860" s="568" t="str">
        <f>VLOOKUP(A860,'[1]Raw data'!$B:$AG,32,FALSE)</f>
        <v>DAP SZ</v>
      </c>
      <c r="X860" s="652">
        <f>VLOOKUP(A860,'[1]Raw data'!$B:$BA,31,FALSE)</f>
        <v>44358</v>
      </c>
      <c r="Y860" s="652" t="str">
        <f>VLOOKUP(A860,'[1]Raw data'!$B:$AS,39,FALSE)</f>
        <v>Yes</v>
      </c>
      <c r="Z860" s="664"/>
      <c r="AA860" s="665"/>
      <c r="AB860" s="666"/>
      <c r="AC860" s="652" t="s">
        <v>1558</v>
      </c>
      <c r="AD860" s="667">
        <v>311</v>
      </c>
      <c r="AE860" s="667">
        <v>10</v>
      </c>
      <c r="AF860" s="667"/>
      <c r="AG860" s="667"/>
      <c r="AH860" s="667"/>
      <c r="AI860" s="668"/>
      <c r="AN860" s="547"/>
      <c r="AO860" s="829" t="str">
        <f t="shared" si="140"/>
        <v>Yes</v>
      </c>
      <c r="AP860" s="259" t="str">
        <f t="shared" si="141"/>
        <v>JUN 21</v>
      </c>
      <c r="AQ860" s="547" t="str">
        <f t="shared" si="142"/>
        <v>有定金+有預留客戶</v>
      </c>
      <c r="AR860" s="259" t="str">
        <f t="shared" si="143"/>
        <v>Shipped_Stock</v>
      </c>
      <c r="AS860" s="259" t="str">
        <f t="shared" si="144"/>
        <v/>
      </c>
      <c r="AT860" s="259" t="str">
        <f t="shared" si="145"/>
        <v>狂热者</v>
      </c>
      <c r="AU860" s="259" t="str">
        <f t="shared" si="146"/>
        <v>C49SZX20210141VG</v>
      </c>
      <c r="AV860" s="259" t="str">
        <f t="shared" si="147"/>
        <v>May-22</v>
      </c>
    </row>
    <row r="861" spans="1:48" hidden="1">
      <c r="A861" s="564">
        <v>1165</v>
      </c>
      <c r="B861" s="669" t="s">
        <v>1125</v>
      </c>
      <c r="C861" s="669" t="s">
        <v>281</v>
      </c>
      <c r="D861" s="650">
        <v>110246</v>
      </c>
      <c r="E861" s="568" t="s">
        <v>886</v>
      </c>
      <c r="F861" s="652" t="s">
        <v>17</v>
      </c>
      <c r="G861" s="652" t="s">
        <v>18</v>
      </c>
      <c r="H861" s="652" t="s">
        <v>27</v>
      </c>
      <c r="I861" s="580" t="s">
        <v>1657</v>
      </c>
      <c r="J861" s="580">
        <v>1</v>
      </c>
      <c r="K861" s="652" t="s">
        <v>78</v>
      </c>
      <c r="L861" s="662">
        <v>44338</v>
      </c>
      <c r="M861" s="670" t="s">
        <v>906</v>
      </c>
      <c r="N861" s="652" t="s">
        <v>110</v>
      </c>
      <c r="O861" s="580"/>
      <c r="P861" s="670" t="str">
        <f>VLOOKUP(A861,'[1]Raw data'!$B:$BA,23,FALSE)</f>
        <v>JPY</v>
      </c>
      <c r="Q861" s="652" t="str">
        <f>VLOOKUP(A861,'[1]Raw data'!$B:$Z,2,FALSE)</f>
        <v>C49SZX20210056JL</v>
      </c>
      <c r="R861" s="652" t="str">
        <f>VLOOKUP(A861,'[1]Raw data'!$B:$Z,3,FALSE)</f>
        <v>瑞福联</v>
      </c>
      <c r="S861" s="652" t="str">
        <f>VLOOKUP(A861,'[1]Raw data'!$B:$Z,4,FALSE)</f>
        <v>YSM10</v>
      </c>
      <c r="T861" s="652" t="str">
        <f>VLOOKUP(A861,'[1]Raw data'!$B:$Z,8,FALSE)</f>
        <v>L-&gt;R</v>
      </c>
      <c r="U861" s="652" t="str">
        <f>VLOOKUP(A861,'[1]Raw data'!$B:$Z,9,FALSE)</f>
        <v>MVC</v>
      </c>
      <c r="V861" s="572" t="str">
        <f t="shared" ref="V861:V863" si="154">IF(G861&amp;H861=T861&amp;U861,"OK","WRONG")</f>
        <v>WRONG</v>
      </c>
      <c r="W861" s="568" t="str">
        <f>VLOOKUP(A861,'[1]Raw data'!$B:$AG,32,FALSE)</f>
        <v>CIF HK</v>
      </c>
      <c r="X861" s="652">
        <f>VLOOKUP(A861,'[1]Raw data'!$B:$BA,31,FALSE)</f>
        <v>44251</v>
      </c>
      <c r="Y861" s="652" t="str">
        <f>VLOOKUP(A861,'[1]Raw data'!$B:$AS,39,FALSE)</f>
        <v>Yes</v>
      </c>
      <c r="Z861" s="664"/>
      <c r="AA861" s="665"/>
      <c r="AB861" s="666"/>
      <c r="AC861" s="652" t="s">
        <v>1115</v>
      </c>
      <c r="AD861" s="667">
        <v>301</v>
      </c>
      <c r="AE861" s="667">
        <v>10</v>
      </c>
      <c r="AF861" s="667"/>
      <c r="AG861" s="667"/>
      <c r="AH861" s="667"/>
      <c r="AI861" s="668"/>
      <c r="AN861" s="547"/>
      <c r="AO861" s="829" t="str">
        <f t="shared" si="140"/>
        <v>Yes</v>
      </c>
      <c r="AP861" s="259" t="str">
        <f t="shared" si="141"/>
        <v>MAY 21</v>
      </c>
      <c r="AQ861" s="547" t="str">
        <f t="shared" si="142"/>
        <v>有定金+有預留客戶</v>
      </c>
      <c r="AR861" s="259" t="str">
        <f t="shared" si="143"/>
        <v>Shipped_Stock</v>
      </c>
      <c r="AS861" s="259" t="str">
        <f t="shared" si="144"/>
        <v/>
      </c>
      <c r="AT861" s="259" t="str">
        <f t="shared" si="145"/>
        <v>瑞福联</v>
      </c>
      <c r="AU861" s="259" t="str">
        <f t="shared" si="146"/>
        <v>C49SZX20210056JL</v>
      </c>
      <c r="AV861" s="259" t="str">
        <f t="shared" si="147"/>
        <v>May-22</v>
      </c>
    </row>
    <row r="862" spans="1:48" hidden="1">
      <c r="A862" s="564">
        <v>1384</v>
      </c>
      <c r="B862" s="669" t="s">
        <v>1125</v>
      </c>
      <c r="C862" s="669" t="s">
        <v>281</v>
      </c>
      <c r="D862" s="650">
        <v>110246</v>
      </c>
      <c r="E862" s="568" t="s">
        <v>886</v>
      </c>
      <c r="F862" s="652" t="s">
        <v>17</v>
      </c>
      <c r="G862" s="652" t="s">
        <v>18</v>
      </c>
      <c r="H862" s="652" t="s">
        <v>27</v>
      </c>
      <c r="I862" s="580" t="s">
        <v>1658</v>
      </c>
      <c r="J862" s="580">
        <v>1</v>
      </c>
      <c r="K862" s="652" t="s">
        <v>78</v>
      </c>
      <c r="L862" s="662">
        <v>44338</v>
      </c>
      <c r="M862" s="670" t="s">
        <v>906</v>
      </c>
      <c r="N862" s="652" t="s">
        <v>97</v>
      </c>
      <c r="O862" s="580"/>
      <c r="P862" s="670" t="str">
        <f>VLOOKUP(A862,'[1]Raw data'!$B:$BA,23,FALSE)</f>
        <v>JPY</v>
      </c>
      <c r="Q862" s="652" t="str">
        <f>VLOOKUP(A862,'[1]Raw data'!$B:$Z,2,FALSE)</f>
        <v>C49SZX20220057DZ</v>
      </c>
      <c r="R862" s="652" t="str">
        <f>VLOOKUP(A862,'[1]Raw data'!$B:$Z,3,FALSE)</f>
        <v>广恒创新（enduser:深圳比尔乔）</v>
      </c>
      <c r="S862" s="652" t="str">
        <f>VLOOKUP(A862,'[1]Raw data'!$B:$Z,4,FALSE)</f>
        <v>YSM10</v>
      </c>
      <c r="T862" s="652" t="str">
        <f>VLOOKUP(A862,'[1]Raw data'!$B:$Z,8,FALSE)</f>
        <v>R-&gt;L</v>
      </c>
      <c r="U862" s="652" t="str">
        <f>VLOOKUP(A862,'[1]Raw data'!$B:$Z,9,FALSE)</f>
        <v>MVC</v>
      </c>
      <c r="V862" s="572" t="str">
        <f t="shared" si="154"/>
        <v>OK</v>
      </c>
      <c r="W862" s="568" t="str">
        <f>VLOOKUP(A862,'[1]Raw data'!$B:$AG,32,FALSE)</f>
        <v>CIF HK</v>
      </c>
      <c r="X862" s="652">
        <f>VLOOKUP(A862,'[1]Raw data'!$B:$BA,31,FALSE)</f>
        <v>44340</v>
      </c>
      <c r="Y862" s="652" t="str">
        <f>VLOOKUP(A862,'[1]Raw data'!$B:$AS,39,FALSE)</f>
        <v>Yes</v>
      </c>
      <c r="Z862" s="664"/>
      <c r="AA862" s="665"/>
      <c r="AB862" s="666"/>
      <c r="AC862" s="652" t="s">
        <v>1659</v>
      </c>
      <c r="AD862" s="667">
        <v>301</v>
      </c>
      <c r="AE862" s="667">
        <v>10</v>
      </c>
      <c r="AF862" s="667"/>
      <c r="AG862" s="667"/>
      <c r="AH862" s="667"/>
      <c r="AI862" s="668"/>
      <c r="AN862" s="547"/>
      <c r="AO862" s="829" t="str">
        <f t="shared" si="140"/>
        <v>Yes</v>
      </c>
      <c r="AP862" s="259" t="str">
        <f t="shared" si="141"/>
        <v>JUL 21</v>
      </c>
      <c r="AQ862" s="547" t="str">
        <f t="shared" si="142"/>
        <v>有定金+有預留客戶</v>
      </c>
      <c r="AR862" s="259" t="str">
        <f t="shared" si="143"/>
        <v>Shipped_Stock</v>
      </c>
      <c r="AS862" s="259" t="str">
        <f t="shared" si="144"/>
        <v/>
      </c>
      <c r="AT862" s="259" t="str">
        <f t="shared" si="145"/>
        <v>广恒创新（enduser:深圳比尔乔）</v>
      </c>
      <c r="AU862" s="259" t="str">
        <f t="shared" si="146"/>
        <v>C49SZX20220057DZ</v>
      </c>
      <c r="AV862" s="259" t="str">
        <f t="shared" si="147"/>
        <v>May-22</v>
      </c>
    </row>
    <row r="863" spans="1:48" hidden="1">
      <c r="A863" s="564">
        <v>1365</v>
      </c>
      <c r="B863" s="669" t="s">
        <v>1125</v>
      </c>
      <c r="C863" s="669" t="s">
        <v>281</v>
      </c>
      <c r="D863" s="650">
        <v>110246</v>
      </c>
      <c r="E863" s="568" t="s">
        <v>886</v>
      </c>
      <c r="F863" s="652" t="s">
        <v>17</v>
      </c>
      <c r="G863" s="652" t="s">
        <v>18</v>
      </c>
      <c r="H863" s="652" t="s">
        <v>27</v>
      </c>
      <c r="I863" s="580" t="s">
        <v>1660</v>
      </c>
      <c r="J863" s="580">
        <v>1</v>
      </c>
      <c r="K863" s="652" t="s">
        <v>1419</v>
      </c>
      <c r="L863" s="662">
        <v>44338</v>
      </c>
      <c r="M863" s="681" t="s">
        <v>906</v>
      </c>
      <c r="N863" s="652" t="s">
        <v>110</v>
      </c>
      <c r="O863" s="580"/>
      <c r="P863" s="670" t="str">
        <f>VLOOKUP(A863,'[1]Raw data'!$B:$BA,23,FALSE)</f>
        <v>RMB</v>
      </c>
      <c r="Q863" s="652" t="str">
        <f>VLOOKUP(A863,'[1]Raw data'!$B:$Z,2,FALSE)</f>
        <v>C49SZX20210145SX</v>
      </c>
      <c r="R863" s="652" t="str">
        <f>VLOOKUP(A863,'[1]Raw data'!$B:$Z,3,FALSE)</f>
        <v>东陆</v>
      </c>
      <c r="S863" s="652" t="str">
        <f>VLOOKUP(A863,'[1]Raw data'!$B:$Z,4,FALSE)</f>
        <v>YSM10</v>
      </c>
      <c r="T863" s="652" t="str">
        <f>VLOOKUP(A863,'[1]Raw data'!$B:$Z,8,FALSE)</f>
        <v>L-&gt;R</v>
      </c>
      <c r="U863" s="652" t="str">
        <f>VLOOKUP(A863,'[1]Raw data'!$B:$Z,9,FALSE)</f>
        <v>MVC</v>
      </c>
      <c r="V863" s="572" t="str">
        <f t="shared" si="154"/>
        <v>WRONG</v>
      </c>
      <c r="W863" s="568" t="str">
        <f>VLOOKUP(A863,'[1]Raw data'!$B:$AG,32,FALSE)</f>
        <v>DDP SZ</v>
      </c>
      <c r="X863" s="652">
        <f>VLOOKUP(A863,'[1]Raw data'!$B:$BA,31,FALSE)</f>
        <v>44327</v>
      </c>
      <c r="Y863" s="652" t="str">
        <f>VLOOKUP(A863,'[1]Raw data'!$B:$AS,39,FALSE)</f>
        <v>Yes</v>
      </c>
      <c r="Z863" s="664"/>
      <c r="AA863" s="665"/>
      <c r="AB863" s="666"/>
      <c r="AC863" s="652" t="s">
        <v>575</v>
      </c>
      <c r="AD863" s="667">
        <v>301</v>
      </c>
      <c r="AE863" s="667">
        <v>10</v>
      </c>
      <c r="AF863" s="667"/>
      <c r="AG863" s="667"/>
      <c r="AH863" s="667"/>
      <c r="AI863" s="668"/>
      <c r="AN863" s="547"/>
      <c r="AO863" s="829" t="str">
        <f t="shared" si="140"/>
        <v>Yes</v>
      </c>
      <c r="AP863" s="259" t="str">
        <f t="shared" si="141"/>
        <v>MAY 21</v>
      </c>
      <c r="AQ863" s="547" t="str">
        <f t="shared" si="142"/>
        <v>有定金+有預留客戶</v>
      </c>
      <c r="AR863" s="259" t="str">
        <f t="shared" si="143"/>
        <v>Shipped_Stock</v>
      </c>
      <c r="AS863" s="259" t="str">
        <f t="shared" si="144"/>
        <v/>
      </c>
      <c r="AT863" s="259" t="str">
        <f t="shared" si="145"/>
        <v>东陆</v>
      </c>
      <c r="AU863" s="259" t="str">
        <f t="shared" si="146"/>
        <v>C49SZX20210145SX</v>
      </c>
      <c r="AV863" s="259" t="str">
        <f t="shared" si="147"/>
        <v>May-22</v>
      </c>
    </row>
    <row r="864" spans="1:48" hidden="1">
      <c r="A864" s="564">
        <v>1177</v>
      </c>
      <c r="B864" s="669" t="s">
        <v>1125</v>
      </c>
      <c r="C864" s="669" t="s">
        <v>281</v>
      </c>
      <c r="D864" s="650">
        <v>110236</v>
      </c>
      <c r="E864" s="568" t="s">
        <v>1490</v>
      </c>
      <c r="F864" s="652" t="s">
        <v>58</v>
      </c>
      <c r="G864" s="652" t="s">
        <v>18</v>
      </c>
      <c r="H864" s="652" t="s">
        <v>307</v>
      </c>
      <c r="I864" s="580" t="s">
        <v>1661</v>
      </c>
      <c r="J864" s="580">
        <v>1</v>
      </c>
      <c r="K864" s="652" t="s">
        <v>78</v>
      </c>
      <c r="L864" s="662">
        <v>44338</v>
      </c>
      <c r="M864" s="670" t="s">
        <v>906</v>
      </c>
      <c r="N864" s="652" t="s">
        <v>97</v>
      </c>
      <c r="O864" s="580"/>
      <c r="P864" s="670" t="str">
        <f>VLOOKUP(A864,'[1]Raw data'!$B:$BA,23,FALSE)</f>
        <v>JPY</v>
      </c>
      <c r="Q864" s="652" t="str">
        <f>VLOOKUP(A864,'[1]Raw data'!$B:$Z,2,FALSE)</f>
        <v>C49SZX20210057DZ</v>
      </c>
      <c r="R864" s="652" t="str">
        <f>VLOOKUP(A864,'[1]Raw data'!$B:$Z,3,FALSE)</f>
        <v>优品</v>
      </c>
      <c r="S864" s="652" t="str">
        <f>VLOOKUP(A864,'[1]Raw data'!$B:$Z,4,FALSE)</f>
        <v>YSM20R-2</v>
      </c>
      <c r="T864" s="652" t="str">
        <f>VLOOKUP(A864,'[1]Raw data'!$B:$Z,8,FALSE)</f>
        <v>R-&gt;L</v>
      </c>
      <c r="U864" s="652" t="str">
        <f>VLOOKUP(A864,'[1]Raw data'!$B:$Z,9,FALSE)</f>
        <v>MVC</v>
      </c>
      <c r="V864" s="572" t="str">
        <f t="shared" ref="V864:V873" si="155">IF(G864&amp;H864=T864&amp;U864,"OK","WRONG")</f>
        <v>WRONG</v>
      </c>
      <c r="W864" s="568" t="str">
        <f>VLOOKUP(A864,'[1]Raw data'!$B:$AG,32,FALSE)</f>
        <v>CIF HK</v>
      </c>
      <c r="X864" s="652">
        <f>VLOOKUP(A864,'[1]Raw data'!$B:$BA,31,FALSE)</f>
        <v>44257</v>
      </c>
      <c r="Y864" s="652" t="str">
        <f>VLOOKUP(A864,'[1]Raw data'!$B:$AS,39,FALSE)</f>
        <v>Yes</v>
      </c>
      <c r="Z864" s="664"/>
      <c r="AA864" s="665"/>
      <c r="AB864" s="666"/>
      <c r="AC864" s="652" t="s">
        <v>1662</v>
      </c>
      <c r="AD864" s="667">
        <v>301</v>
      </c>
      <c r="AE864" s="667">
        <v>20</v>
      </c>
      <c r="AF864" s="667"/>
      <c r="AG864" s="667"/>
      <c r="AH864" s="667"/>
      <c r="AI864" s="668"/>
      <c r="AN864" s="547"/>
      <c r="AO864" s="829" t="str">
        <f t="shared" si="140"/>
        <v>Yes</v>
      </c>
      <c r="AP864" s="259" t="str">
        <f t="shared" si="141"/>
        <v>JUL 21</v>
      </c>
      <c r="AQ864" s="547" t="str">
        <f t="shared" si="142"/>
        <v>有定金+有預留客戶</v>
      </c>
      <c r="AR864" s="259" t="str">
        <f t="shared" si="143"/>
        <v>Shipped_Stock</v>
      </c>
      <c r="AS864" s="259" t="str">
        <f t="shared" si="144"/>
        <v/>
      </c>
      <c r="AT864" s="259" t="str">
        <f t="shared" si="145"/>
        <v>优品</v>
      </c>
      <c r="AU864" s="259" t="str">
        <f t="shared" si="146"/>
        <v>C49SZX20210057DZ</v>
      </c>
      <c r="AV864" s="259" t="str">
        <f t="shared" si="147"/>
        <v>May-22</v>
      </c>
    </row>
    <row r="865" spans="1:48" hidden="1">
      <c r="A865" s="564">
        <v>1296</v>
      </c>
      <c r="B865" s="669" t="s">
        <v>1125</v>
      </c>
      <c r="C865" s="669" t="s">
        <v>281</v>
      </c>
      <c r="D865" s="650">
        <v>110236</v>
      </c>
      <c r="E865" s="568" t="s">
        <v>1490</v>
      </c>
      <c r="F865" s="652" t="s">
        <v>58</v>
      </c>
      <c r="G865" s="652" t="s">
        <v>18</v>
      </c>
      <c r="H865" s="652" t="s">
        <v>307</v>
      </c>
      <c r="I865" s="580" t="s">
        <v>1663</v>
      </c>
      <c r="J865" s="580">
        <v>1</v>
      </c>
      <c r="K865" s="652" t="s">
        <v>78</v>
      </c>
      <c r="L865" s="662">
        <v>44338</v>
      </c>
      <c r="M865" s="670" t="s">
        <v>258</v>
      </c>
      <c r="N865" s="652" t="s">
        <v>110</v>
      </c>
      <c r="O865" s="580"/>
      <c r="P865" s="670" t="str">
        <f>VLOOKUP(A865,'[1]Raw data'!$B:$BA,23,FALSE)</f>
        <v>JPY</v>
      </c>
      <c r="Q865" s="652" t="str">
        <f>VLOOKUP(A865,'[1]Raw data'!$B:$Z,2,FALSE)</f>
        <v>C49SZX20210107SX</v>
      </c>
      <c r="R865" s="652" t="str">
        <f>VLOOKUP(A865,'[1]Raw data'!$B:$Z,3,FALSE)</f>
        <v>君泽</v>
      </c>
      <c r="S865" s="652" t="str">
        <f>VLOOKUP(A865,'[1]Raw data'!$B:$Z,4,FALSE)</f>
        <v>YSM20R-2</v>
      </c>
      <c r="T865" s="652" t="str">
        <f>VLOOKUP(A865,'[1]Raw data'!$B:$Z,8,FALSE)</f>
        <v>R-&gt;L</v>
      </c>
      <c r="U865" s="652" t="str">
        <f>VLOOKUP(A865,'[1]Raw data'!$B:$Z,9,FALSE)</f>
        <v>No</v>
      </c>
      <c r="V865" s="572" t="str">
        <f t="shared" si="155"/>
        <v>OK</v>
      </c>
      <c r="W865" s="568" t="str">
        <f>VLOOKUP(A865,'[1]Raw data'!$B:$AG,32,FALSE)</f>
        <v>DAP DG</v>
      </c>
      <c r="X865" s="652">
        <f>VLOOKUP(A865,'[1]Raw data'!$B:$BA,31,FALSE)</f>
        <v>44293</v>
      </c>
      <c r="Y865" s="652" t="str">
        <f>VLOOKUP(A865,'[1]Raw data'!$B:$AS,39,FALSE)</f>
        <v>Yes</v>
      </c>
      <c r="Z865" s="664"/>
      <c r="AA865" s="665"/>
      <c r="AB865" s="666"/>
      <c r="AC865" s="652" t="s">
        <v>1649</v>
      </c>
      <c r="AD865" s="667">
        <v>301</v>
      </c>
      <c r="AE865" s="667">
        <v>20</v>
      </c>
      <c r="AF865" s="667"/>
      <c r="AG865" s="667"/>
      <c r="AH865" s="667"/>
      <c r="AI865" s="668"/>
      <c r="AN865" s="547"/>
      <c r="AO865" s="829" t="str">
        <f t="shared" si="140"/>
        <v>Yes</v>
      </c>
      <c r="AP865" s="259" t="str">
        <f t="shared" si="141"/>
        <v>MAY 21</v>
      </c>
      <c r="AQ865" s="547" t="str">
        <f t="shared" si="142"/>
        <v>有定金+有預留客戶</v>
      </c>
      <c r="AR865" s="259" t="str">
        <f t="shared" si="143"/>
        <v>Shipped_Stock</v>
      </c>
      <c r="AS865" s="259" t="str">
        <f t="shared" si="144"/>
        <v/>
      </c>
      <c r="AT865" s="259" t="str">
        <f t="shared" si="145"/>
        <v>君泽</v>
      </c>
      <c r="AU865" s="259" t="str">
        <f t="shared" si="146"/>
        <v>C49SZX20210107SX</v>
      </c>
      <c r="AV865" s="259" t="str">
        <f t="shared" si="147"/>
        <v>May-22</v>
      </c>
    </row>
    <row r="866" spans="1:48" hidden="1">
      <c r="A866" s="564">
        <v>1175</v>
      </c>
      <c r="B866" s="669" t="s">
        <v>1125</v>
      </c>
      <c r="C866" s="669" t="s">
        <v>281</v>
      </c>
      <c r="D866" s="650">
        <v>110236</v>
      </c>
      <c r="E866" s="568" t="s">
        <v>1490</v>
      </c>
      <c r="F866" s="652" t="s">
        <v>58</v>
      </c>
      <c r="G866" s="652" t="s">
        <v>24</v>
      </c>
      <c r="H866" s="652" t="s">
        <v>307</v>
      </c>
      <c r="I866" s="580" t="s">
        <v>1664</v>
      </c>
      <c r="J866" s="580">
        <v>1</v>
      </c>
      <c r="K866" s="652" t="s">
        <v>78</v>
      </c>
      <c r="L866" s="662">
        <v>44338</v>
      </c>
      <c r="M866" s="670" t="s">
        <v>906</v>
      </c>
      <c r="N866" s="652" t="s">
        <v>110</v>
      </c>
      <c r="O866" s="580"/>
      <c r="P866" s="670" t="str">
        <f>VLOOKUP(A866,'[1]Raw data'!$B:$BA,23,FALSE)</f>
        <v>JPY</v>
      </c>
      <c r="Q866" s="652" t="str">
        <f>VLOOKUP(A866,'[1]Raw data'!$B:$Z,2,FALSE)</f>
        <v>C49SZX20210049MX</v>
      </c>
      <c r="R866" s="652" t="str">
        <f>VLOOKUP(A866,'[1]Raw data'!$B:$Z,3,FALSE)</f>
        <v>智序</v>
      </c>
      <c r="S866" s="652" t="str">
        <f>VLOOKUP(A866,'[1]Raw data'!$B:$Z,4,FALSE)</f>
        <v>YSM20R-2</v>
      </c>
      <c r="T866" s="652" t="str">
        <f>VLOOKUP(A866,'[1]Raw data'!$B:$Z,8,FALSE)</f>
        <v>L-&gt;R</v>
      </c>
      <c r="U866" s="652" t="str">
        <f>VLOOKUP(A866,'[1]Raw data'!$B:$Z,9,FALSE)</f>
        <v>No</v>
      </c>
      <c r="V866" s="572" t="str">
        <f t="shared" si="155"/>
        <v>OK</v>
      </c>
      <c r="W866" s="568" t="str">
        <f>VLOOKUP(A866,'[1]Raw data'!$B:$AG,32,FALSE)</f>
        <v>DAP SZ</v>
      </c>
      <c r="X866" s="652">
        <f>VLOOKUP(A866,'[1]Raw data'!$B:$BA,31,FALSE)</f>
        <v>44256</v>
      </c>
      <c r="Y866" s="652" t="str">
        <f>VLOOKUP(A866,'[1]Raw data'!$B:$AS,39,FALSE)</f>
        <v>Yes</v>
      </c>
      <c r="Z866" s="664"/>
      <c r="AA866" s="665"/>
      <c r="AB866" s="666"/>
      <c r="AC866" s="652" t="s">
        <v>1521</v>
      </c>
      <c r="AD866" s="667">
        <v>301</v>
      </c>
      <c r="AE866" s="667">
        <v>20</v>
      </c>
      <c r="AF866" s="667"/>
      <c r="AG866" s="667"/>
      <c r="AH866" s="667"/>
      <c r="AI866" s="668"/>
      <c r="AN866" s="547"/>
      <c r="AO866" s="829" t="str">
        <f t="shared" si="140"/>
        <v>Yes</v>
      </c>
      <c r="AP866" s="259" t="str">
        <f t="shared" si="141"/>
        <v>MAY 21</v>
      </c>
      <c r="AQ866" s="547" t="str">
        <f t="shared" si="142"/>
        <v>有定金+有預留客戶</v>
      </c>
      <c r="AR866" s="259" t="str">
        <f t="shared" si="143"/>
        <v>Shipped_Stock</v>
      </c>
      <c r="AS866" s="259" t="str">
        <f t="shared" si="144"/>
        <v/>
      </c>
      <c r="AT866" s="259" t="str">
        <f t="shared" si="145"/>
        <v>智序</v>
      </c>
      <c r="AU866" s="259" t="str">
        <f t="shared" si="146"/>
        <v>C49SZX20210049MX</v>
      </c>
      <c r="AV866" s="259" t="str">
        <f t="shared" si="147"/>
        <v>May-22</v>
      </c>
    </row>
    <row r="867" spans="1:48" hidden="1">
      <c r="A867" s="564">
        <v>1176</v>
      </c>
      <c r="B867" s="669" t="s">
        <v>1125</v>
      </c>
      <c r="C867" s="669" t="s">
        <v>281</v>
      </c>
      <c r="D867" s="650">
        <v>110236</v>
      </c>
      <c r="E867" s="568" t="s">
        <v>1490</v>
      </c>
      <c r="F867" s="652" t="s">
        <v>58</v>
      </c>
      <c r="G867" s="652" t="s">
        <v>24</v>
      </c>
      <c r="H867" s="652" t="s">
        <v>307</v>
      </c>
      <c r="I867" s="580" t="s">
        <v>1665</v>
      </c>
      <c r="J867" s="580">
        <v>1</v>
      </c>
      <c r="K867" s="652" t="s">
        <v>78</v>
      </c>
      <c r="L867" s="662">
        <v>44338</v>
      </c>
      <c r="M867" s="670" t="s">
        <v>906</v>
      </c>
      <c r="N867" s="652" t="s">
        <v>110</v>
      </c>
      <c r="O867" s="580"/>
      <c r="P867" s="670" t="str">
        <f>VLOOKUP(A867,'[1]Raw data'!$B:$BA,23,FALSE)</f>
        <v>JPY</v>
      </c>
      <c r="Q867" s="652" t="str">
        <f>VLOOKUP(A867,'[1]Raw data'!$B:$Z,2,FALSE)</f>
        <v>C49SZX20210049MX</v>
      </c>
      <c r="R867" s="652" t="str">
        <f>VLOOKUP(A867,'[1]Raw data'!$B:$Z,3,FALSE)</f>
        <v>智序</v>
      </c>
      <c r="S867" s="652" t="str">
        <f>VLOOKUP(A867,'[1]Raw data'!$B:$Z,4,FALSE)</f>
        <v>YSM20R-2</v>
      </c>
      <c r="T867" s="652" t="str">
        <f>VLOOKUP(A867,'[1]Raw data'!$B:$Z,8,FALSE)</f>
        <v>L-&gt;R</v>
      </c>
      <c r="U867" s="652" t="str">
        <f>VLOOKUP(A867,'[1]Raw data'!$B:$Z,9,FALSE)</f>
        <v>No</v>
      </c>
      <c r="V867" s="572" t="str">
        <f t="shared" si="155"/>
        <v>OK</v>
      </c>
      <c r="W867" s="568" t="str">
        <f>VLOOKUP(A867,'[1]Raw data'!$B:$AG,32,FALSE)</f>
        <v>DAP SZ</v>
      </c>
      <c r="X867" s="652">
        <f>VLOOKUP(A867,'[1]Raw data'!$B:$BA,31,FALSE)</f>
        <v>44256</v>
      </c>
      <c r="Y867" s="652" t="str">
        <f>VLOOKUP(A867,'[1]Raw data'!$B:$AS,39,FALSE)</f>
        <v>Yes</v>
      </c>
      <c r="Z867" s="664"/>
      <c r="AA867" s="665"/>
      <c r="AB867" s="666"/>
      <c r="AC867" s="652" t="s">
        <v>1521</v>
      </c>
      <c r="AD867" s="667">
        <v>301</v>
      </c>
      <c r="AE867" s="667">
        <v>20</v>
      </c>
      <c r="AF867" s="667"/>
      <c r="AG867" s="667"/>
      <c r="AH867" s="667"/>
      <c r="AI867" s="668"/>
      <c r="AN867" s="547"/>
      <c r="AO867" s="829" t="str">
        <f t="shared" si="140"/>
        <v>Yes</v>
      </c>
      <c r="AP867" s="259" t="str">
        <f t="shared" si="141"/>
        <v>MAY 21</v>
      </c>
      <c r="AQ867" s="547" t="str">
        <f t="shared" si="142"/>
        <v>有定金+有預留客戶</v>
      </c>
      <c r="AR867" s="259" t="str">
        <f t="shared" si="143"/>
        <v>Shipped_Stock</v>
      </c>
      <c r="AS867" s="259" t="str">
        <f t="shared" si="144"/>
        <v/>
      </c>
      <c r="AT867" s="259" t="str">
        <f t="shared" si="145"/>
        <v>智序</v>
      </c>
      <c r="AU867" s="259" t="str">
        <f t="shared" si="146"/>
        <v>C49SZX20210049MX</v>
      </c>
      <c r="AV867" s="259" t="str">
        <f t="shared" si="147"/>
        <v>May-22</v>
      </c>
    </row>
    <row r="868" spans="1:48" hidden="1">
      <c r="A868" s="564">
        <v>1306</v>
      </c>
      <c r="B868" s="669" t="s">
        <v>1125</v>
      </c>
      <c r="C868" s="669" t="s">
        <v>281</v>
      </c>
      <c r="D868" s="650">
        <v>110236</v>
      </c>
      <c r="E868" s="568" t="s">
        <v>1490</v>
      </c>
      <c r="F868" s="652" t="s">
        <v>58</v>
      </c>
      <c r="G868" s="652" t="s">
        <v>24</v>
      </c>
      <c r="H868" s="652" t="s">
        <v>307</v>
      </c>
      <c r="I868" s="580" t="s">
        <v>1666</v>
      </c>
      <c r="J868" s="580">
        <v>1</v>
      </c>
      <c r="K868" s="652" t="s">
        <v>78</v>
      </c>
      <c r="L868" s="662">
        <v>44338</v>
      </c>
      <c r="M868" s="670" t="s">
        <v>258</v>
      </c>
      <c r="N868" s="652" t="s">
        <v>96</v>
      </c>
      <c r="O868" s="580"/>
      <c r="P868" s="670" t="str">
        <f>VLOOKUP(A868,'[1]Raw data'!$B:$BA,23,FALSE)</f>
        <v>JPY</v>
      </c>
      <c r="Q868" s="652" t="str">
        <f>VLOOKUP(A868,'[1]Raw data'!$B:$Z,2,FALSE)</f>
        <v>C49SZX20210096JL</v>
      </c>
      <c r="R868" s="652" t="str">
        <f>VLOOKUP(A868,'[1]Raw data'!$B:$Z,3,FALSE)</f>
        <v>杉川</v>
      </c>
      <c r="S868" s="652" t="str">
        <f>VLOOKUP(A868,'[1]Raw data'!$B:$Z,4,FALSE)</f>
        <v>YSM20R-2</v>
      </c>
      <c r="T868" s="652" t="str">
        <f>VLOOKUP(A868,'[1]Raw data'!$B:$Z,8,FALSE)</f>
        <v>L-&gt;R</v>
      </c>
      <c r="U868" s="652" t="str">
        <f>VLOOKUP(A868,'[1]Raw data'!$B:$Z,9,FALSE)</f>
        <v>No</v>
      </c>
      <c r="V868" s="572" t="str">
        <f t="shared" si="155"/>
        <v>OK</v>
      </c>
      <c r="W868" s="568" t="str">
        <f>VLOOKUP(A868,'[1]Raw data'!$B:$AG,32,FALSE)</f>
        <v>DAP SZ</v>
      </c>
      <c r="X868" s="652">
        <f>VLOOKUP(A868,'[1]Raw data'!$B:$BA,31,FALSE)</f>
        <v>44288</v>
      </c>
      <c r="Y868" s="652" t="str">
        <f>VLOOKUP(A868,'[1]Raw data'!$B:$AS,39,FALSE)</f>
        <v>Yes</v>
      </c>
      <c r="Z868" s="664"/>
      <c r="AA868" s="665"/>
      <c r="AB868" s="666"/>
      <c r="AC868" s="652" t="s">
        <v>1667</v>
      </c>
      <c r="AD868" s="667">
        <v>301</v>
      </c>
      <c r="AE868" s="667">
        <v>20</v>
      </c>
      <c r="AF868" s="667"/>
      <c r="AG868" s="667"/>
      <c r="AH868" s="667"/>
      <c r="AI868" s="668"/>
      <c r="AN868" s="547"/>
      <c r="AO868" s="829" t="str">
        <f t="shared" si="140"/>
        <v>Yes</v>
      </c>
      <c r="AP868" s="259" t="str">
        <f t="shared" si="141"/>
        <v>JUN 21</v>
      </c>
      <c r="AQ868" s="547" t="str">
        <f t="shared" si="142"/>
        <v>有定金+有預留客戶</v>
      </c>
      <c r="AR868" s="259" t="str">
        <f t="shared" si="143"/>
        <v>Shipped_Stock</v>
      </c>
      <c r="AS868" s="259" t="str">
        <f t="shared" si="144"/>
        <v/>
      </c>
      <c r="AT868" s="259" t="str">
        <f t="shared" si="145"/>
        <v>杉川</v>
      </c>
      <c r="AU868" s="259" t="str">
        <f t="shared" si="146"/>
        <v>C49SZX20210096JL</v>
      </c>
      <c r="AV868" s="259" t="str">
        <f t="shared" si="147"/>
        <v>May-22</v>
      </c>
    </row>
    <row r="869" spans="1:48" hidden="1">
      <c r="A869" s="564">
        <v>1452</v>
      </c>
      <c r="B869" s="669" t="s">
        <v>1125</v>
      </c>
      <c r="C869" s="669" t="s">
        <v>281</v>
      </c>
      <c r="D869" s="650" t="s">
        <v>1668</v>
      </c>
      <c r="E869" s="568" t="s">
        <v>1490</v>
      </c>
      <c r="F869" s="652" t="s">
        <v>58</v>
      </c>
      <c r="G869" s="652" t="s">
        <v>24</v>
      </c>
      <c r="H869" s="669" t="s">
        <v>27</v>
      </c>
      <c r="I869" s="751" t="s">
        <v>1669</v>
      </c>
      <c r="J869" s="689">
        <v>1</v>
      </c>
      <c r="K869" s="652" t="s">
        <v>78</v>
      </c>
      <c r="L869" s="662">
        <v>44338</v>
      </c>
      <c r="M869" s="670">
        <v>6.0499999999999998E-2</v>
      </c>
      <c r="N869" s="652" t="s">
        <v>97</v>
      </c>
      <c r="O869" s="580"/>
      <c r="P869" s="670" t="str">
        <f>VLOOKUP(A869,'[1]Raw data'!$B:$BA,23,FALSE)</f>
        <v>JPY</v>
      </c>
      <c r="Q869" s="652" t="str">
        <f>VLOOKUP(A869,'[1]Raw data'!$B:$Z,2,FALSE)</f>
        <v>HKFR-ESE-2021071301</v>
      </c>
      <c r="R869" s="652" t="str">
        <f>VLOOKUP(A869,'[1]Raw data'!$B:$Z,3,FALSE)</f>
        <v>富洛</v>
      </c>
      <c r="S869" s="652" t="str">
        <f>VLOOKUP(A869,'[1]Raw data'!$B:$Z,4,FALSE)</f>
        <v>YSM20R-2</v>
      </c>
      <c r="T869" s="652" t="str">
        <f>VLOOKUP(A869,'[1]Raw data'!$B:$Z,8,FALSE)</f>
        <v>L-&gt;R</v>
      </c>
      <c r="U869" s="652" t="str">
        <f>VLOOKUP(A869,'[1]Raw data'!$B:$Z,9,FALSE)</f>
        <v>MVC</v>
      </c>
      <c r="V869" s="572" t="str">
        <f t="shared" si="155"/>
        <v>OK</v>
      </c>
      <c r="W869" s="568" t="str">
        <f>VLOOKUP(A869,'[1]Raw data'!$B:$AG,32,FALSE)</f>
        <v>CIF HK</v>
      </c>
      <c r="X869" s="652">
        <f>VLOOKUP(A869,'[1]Raw data'!$B:$BA,31,FALSE)</f>
        <v>44391</v>
      </c>
      <c r="Y869" s="652" t="str">
        <f>VLOOKUP(A869,'[1]Raw data'!$B:$AS,39,FALSE)</f>
        <v>Yes</v>
      </c>
      <c r="Z869" s="664"/>
      <c r="AA869" s="665"/>
      <c r="AB869" s="666"/>
      <c r="AC869" s="652" t="s">
        <v>1670</v>
      </c>
      <c r="AD869" s="667">
        <v>301</v>
      </c>
      <c r="AE869" s="667">
        <v>10</v>
      </c>
      <c r="AF869" s="667">
        <v>303</v>
      </c>
      <c r="AG869" s="667">
        <v>10</v>
      </c>
      <c r="AH869" s="667"/>
      <c r="AI869" s="668"/>
      <c r="AN869" s="547"/>
      <c r="AO869" s="829" t="str">
        <f t="shared" si="140"/>
        <v>Yes</v>
      </c>
      <c r="AP869" s="259" t="str">
        <f t="shared" si="141"/>
        <v>JUL 21</v>
      </c>
      <c r="AQ869" s="547" t="str">
        <f t="shared" si="142"/>
        <v>有定金+有預留客戶</v>
      </c>
      <c r="AR869" s="259" t="str">
        <f t="shared" si="143"/>
        <v>Shipped_Stock</v>
      </c>
      <c r="AS869" s="259" t="str">
        <f t="shared" si="144"/>
        <v/>
      </c>
      <c r="AT869" s="259" t="str">
        <f t="shared" si="145"/>
        <v>富洛</v>
      </c>
      <c r="AU869" s="259" t="str">
        <f t="shared" si="146"/>
        <v>HKFR-ESE-2021071301</v>
      </c>
      <c r="AV869" s="259" t="str">
        <f t="shared" si="147"/>
        <v>May-22</v>
      </c>
    </row>
    <row r="870" spans="1:48" hidden="1">
      <c r="A870" s="564">
        <v>1146</v>
      </c>
      <c r="B870" s="669" t="s">
        <v>1125</v>
      </c>
      <c r="C870" s="669" t="s">
        <v>281</v>
      </c>
      <c r="D870" s="650" t="s">
        <v>1668</v>
      </c>
      <c r="E870" s="568" t="s">
        <v>1490</v>
      </c>
      <c r="F870" s="652" t="s">
        <v>58</v>
      </c>
      <c r="G870" s="652" t="s">
        <v>24</v>
      </c>
      <c r="H870" s="669" t="s">
        <v>27</v>
      </c>
      <c r="I870" s="752" t="s">
        <v>1671</v>
      </c>
      <c r="J870" s="689">
        <v>1</v>
      </c>
      <c r="K870" s="652" t="s">
        <v>85</v>
      </c>
      <c r="L870" s="662">
        <v>44338</v>
      </c>
      <c r="M870" s="670">
        <v>6.0499999999999998E-2</v>
      </c>
      <c r="N870" s="652" t="s">
        <v>96</v>
      </c>
      <c r="O870" s="580"/>
      <c r="P870" s="670" t="str">
        <f>VLOOKUP(A870,'[1]Raw data'!$B:$BA,23,FALSE)</f>
        <v>RMB</v>
      </c>
      <c r="Q870" s="652" t="str">
        <f>VLOOKUP(A870,'[1]Raw data'!$B:$Z,2,FALSE)</f>
        <v>C49SZX20210048SS</v>
      </c>
      <c r="R870" s="652" t="str">
        <f>VLOOKUP(A870,'[1]Raw data'!$B:$Z,3,FALSE)</f>
        <v>美田</v>
      </c>
      <c r="S870" s="652" t="str">
        <f>VLOOKUP(A870,'[1]Raw data'!$B:$Z,4,FALSE)</f>
        <v>YSM20R-2</v>
      </c>
      <c r="T870" s="652" t="str">
        <f>VLOOKUP(A870,'[1]Raw data'!$B:$Z,8,FALSE)</f>
        <v>L-&gt;R</v>
      </c>
      <c r="U870" s="652" t="str">
        <f>VLOOKUP(A870,'[1]Raw data'!$B:$Z,9,FALSE)</f>
        <v>MVC</v>
      </c>
      <c r="V870" s="572" t="str">
        <f t="shared" si="155"/>
        <v>OK</v>
      </c>
      <c r="W870" s="568" t="str">
        <f>VLOOKUP(A870,'[1]Raw data'!$B:$AG,32,FALSE)</f>
        <v>含税到厂</v>
      </c>
      <c r="X870" s="652">
        <f>VLOOKUP(A870,'[1]Raw data'!$B:$BA,31,FALSE)</f>
        <v>44236</v>
      </c>
      <c r="Y870" s="652" t="str">
        <f>VLOOKUP(A870,'[1]Raw data'!$B:$AS,39,FALSE)</f>
        <v>Yes</v>
      </c>
      <c r="Z870" s="664"/>
      <c r="AA870" s="665"/>
      <c r="AB870" s="666"/>
      <c r="AC870" s="652" t="s">
        <v>1635</v>
      </c>
      <c r="AD870" s="667">
        <v>301</v>
      </c>
      <c r="AE870" s="667">
        <v>10</v>
      </c>
      <c r="AF870" s="667">
        <v>303</v>
      </c>
      <c r="AG870" s="667">
        <v>10</v>
      </c>
      <c r="AH870" s="667"/>
      <c r="AI870" s="668"/>
      <c r="AN870" s="547"/>
      <c r="AO870" s="829" t="str">
        <f t="shared" si="140"/>
        <v>Yes</v>
      </c>
      <c r="AP870" s="259" t="str">
        <f t="shared" si="141"/>
        <v>JUN 21</v>
      </c>
      <c r="AQ870" s="547" t="str">
        <f t="shared" si="142"/>
        <v>有定金+有預留客戶</v>
      </c>
      <c r="AR870" s="259" t="str">
        <f t="shared" si="143"/>
        <v>Shipped_Stock</v>
      </c>
      <c r="AS870" s="259" t="str">
        <f t="shared" si="144"/>
        <v/>
      </c>
      <c r="AT870" s="259" t="str">
        <f t="shared" si="145"/>
        <v>美田</v>
      </c>
      <c r="AU870" s="259" t="str">
        <f t="shared" si="146"/>
        <v>C49SZX20210048SS</v>
      </c>
      <c r="AV870" s="259" t="str">
        <f t="shared" si="147"/>
        <v>May-22</v>
      </c>
    </row>
    <row r="871" spans="1:48" hidden="1">
      <c r="A871" s="564">
        <v>1256</v>
      </c>
      <c r="B871" s="669" t="s">
        <v>1125</v>
      </c>
      <c r="C871" s="669" t="s">
        <v>281</v>
      </c>
      <c r="D871" s="650">
        <v>110236</v>
      </c>
      <c r="E871" s="568" t="s">
        <v>1490</v>
      </c>
      <c r="F871" s="652" t="s">
        <v>58</v>
      </c>
      <c r="G871" s="652" t="s">
        <v>24</v>
      </c>
      <c r="H871" s="669" t="s">
        <v>27</v>
      </c>
      <c r="I871" s="752" t="s">
        <v>1672</v>
      </c>
      <c r="J871" s="689">
        <v>1</v>
      </c>
      <c r="K871" s="652" t="s">
        <v>81</v>
      </c>
      <c r="L871" s="662">
        <v>44338</v>
      </c>
      <c r="M871" s="670" t="s">
        <v>906</v>
      </c>
      <c r="N871" s="652" t="s">
        <v>96</v>
      </c>
      <c r="O871" s="580"/>
      <c r="P871" s="670" t="str">
        <f>VLOOKUP(A871,'[1]Raw data'!$B:$BA,23,FALSE)</f>
        <v>JPY</v>
      </c>
      <c r="Q871" s="652" t="str">
        <f>VLOOKUP(A871,'[1]Raw data'!$B:$Z,2,FALSE)</f>
        <v>C49SZX20210081MZ</v>
      </c>
      <c r="R871" s="652" t="str">
        <f>VLOOKUP(A871,'[1]Raw data'!$B:$Z,3,FALSE)</f>
        <v>崧盛</v>
      </c>
      <c r="S871" s="652" t="str">
        <f>VLOOKUP(A871,'[1]Raw data'!$B:$Z,4,FALSE)</f>
        <v>YSM20R-2</v>
      </c>
      <c r="T871" s="652" t="str">
        <f>VLOOKUP(A871,'[1]Raw data'!$B:$Z,8,FALSE)</f>
        <v>L-&gt;R</v>
      </c>
      <c r="U871" s="652" t="str">
        <f>VLOOKUP(A871,'[1]Raw data'!$B:$Z,9,FALSE)</f>
        <v>No</v>
      </c>
      <c r="V871" s="572" t="str">
        <f t="shared" si="155"/>
        <v>WRONG</v>
      </c>
      <c r="W871" s="568" t="str">
        <f>VLOOKUP(A871,'[1]Raw data'!$B:$AG,32,FALSE)</f>
        <v>CIF HK</v>
      </c>
      <c r="X871" s="652">
        <f>VLOOKUP(A871,'[1]Raw data'!$B:$BA,31,FALSE)</f>
        <v>44268</v>
      </c>
      <c r="Y871" s="652" t="str">
        <f>VLOOKUP(A871,'[1]Raw data'!$B:$AS,39,FALSE)</f>
        <v>Yes</v>
      </c>
      <c r="Z871" s="664"/>
      <c r="AA871" s="665"/>
      <c r="AB871" s="666"/>
      <c r="AC871" s="652" t="s">
        <v>1537</v>
      </c>
      <c r="AD871" s="667">
        <v>312</v>
      </c>
      <c r="AE871" s="667">
        <v>10</v>
      </c>
      <c r="AF871" s="667">
        <v>311</v>
      </c>
      <c r="AG871" s="667">
        <v>10</v>
      </c>
      <c r="AH871" s="667"/>
      <c r="AI871" s="668"/>
      <c r="AN871" s="547"/>
      <c r="AO871" s="829" t="str">
        <f t="shared" si="140"/>
        <v>Yes</v>
      </c>
      <c r="AP871" s="259" t="str">
        <f t="shared" si="141"/>
        <v>JUN 21</v>
      </c>
      <c r="AQ871" s="547" t="str">
        <f t="shared" si="142"/>
        <v>有定金+有預留客戶</v>
      </c>
      <c r="AR871" s="259" t="str">
        <f t="shared" si="143"/>
        <v>Shipped_Stock</v>
      </c>
      <c r="AS871" s="259" t="str">
        <f t="shared" si="144"/>
        <v/>
      </c>
      <c r="AT871" s="259" t="str">
        <f t="shared" si="145"/>
        <v>崧盛</v>
      </c>
      <c r="AU871" s="259" t="str">
        <f t="shared" si="146"/>
        <v>C49SZX20210081MZ</v>
      </c>
      <c r="AV871" s="259" t="str">
        <f t="shared" si="147"/>
        <v>May-22</v>
      </c>
    </row>
    <row r="872" spans="1:48" hidden="1">
      <c r="A872" s="564">
        <v>1257</v>
      </c>
      <c r="B872" s="669" t="s">
        <v>1125</v>
      </c>
      <c r="C872" s="669" t="s">
        <v>281</v>
      </c>
      <c r="D872" s="650">
        <v>110236</v>
      </c>
      <c r="E872" s="568" t="s">
        <v>1490</v>
      </c>
      <c r="F872" s="652" t="s">
        <v>58</v>
      </c>
      <c r="G872" s="652" t="s">
        <v>24</v>
      </c>
      <c r="H872" s="669" t="s">
        <v>27</v>
      </c>
      <c r="I872" s="752" t="s">
        <v>1673</v>
      </c>
      <c r="J872" s="689">
        <v>1</v>
      </c>
      <c r="K872" s="652" t="s">
        <v>81</v>
      </c>
      <c r="L872" s="662">
        <v>44338</v>
      </c>
      <c r="M872" s="670" t="s">
        <v>906</v>
      </c>
      <c r="N872" s="652" t="s">
        <v>96</v>
      </c>
      <c r="O872" s="580"/>
      <c r="P872" s="670" t="str">
        <f>VLOOKUP(A872,'[1]Raw data'!$B:$BA,23,FALSE)</f>
        <v>JPY</v>
      </c>
      <c r="Q872" s="652" t="str">
        <f>VLOOKUP(A872,'[1]Raw data'!$B:$Z,2,FALSE)</f>
        <v>C49SZX20210081MZ</v>
      </c>
      <c r="R872" s="652" t="str">
        <f>VLOOKUP(A872,'[1]Raw data'!$B:$Z,3,FALSE)</f>
        <v>崧盛</v>
      </c>
      <c r="S872" s="652" t="str">
        <f>VLOOKUP(A872,'[1]Raw data'!$B:$Z,4,FALSE)</f>
        <v>YSM20R-2</v>
      </c>
      <c r="T872" s="652" t="str">
        <f>VLOOKUP(A872,'[1]Raw data'!$B:$Z,8,FALSE)</f>
        <v>L-&gt;R</v>
      </c>
      <c r="U872" s="652" t="str">
        <f>VLOOKUP(A872,'[1]Raw data'!$B:$Z,9,FALSE)</f>
        <v>No</v>
      </c>
      <c r="V872" s="572" t="str">
        <f t="shared" si="155"/>
        <v>WRONG</v>
      </c>
      <c r="W872" s="568" t="str">
        <f>VLOOKUP(A872,'[1]Raw data'!$B:$AG,32,FALSE)</f>
        <v>CIF HK</v>
      </c>
      <c r="X872" s="652">
        <f>VLOOKUP(A872,'[1]Raw data'!$B:$BA,31,FALSE)</f>
        <v>44268</v>
      </c>
      <c r="Y872" s="652" t="str">
        <f>VLOOKUP(A872,'[1]Raw data'!$B:$AS,39,FALSE)</f>
        <v>Yes</v>
      </c>
      <c r="Z872" s="664"/>
      <c r="AA872" s="665"/>
      <c r="AB872" s="666"/>
      <c r="AC872" s="652" t="s">
        <v>1537</v>
      </c>
      <c r="AD872" s="667">
        <v>312</v>
      </c>
      <c r="AE872" s="667">
        <v>10</v>
      </c>
      <c r="AF872" s="667">
        <v>311</v>
      </c>
      <c r="AG872" s="667">
        <v>10</v>
      </c>
      <c r="AH872" s="667"/>
      <c r="AI872" s="668"/>
      <c r="AN872" s="547"/>
      <c r="AO872" s="829" t="str">
        <f t="shared" si="140"/>
        <v>Yes</v>
      </c>
      <c r="AP872" s="259" t="str">
        <f t="shared" si="141"/>
        <v>JUN 21</v>
      </c>
      <c r="AQ872" s="547" t="str">
        <f t="shared" si="142"/>
        <v>有定金+有預留客戶</v>
      </c>
      <c r="AR872" s="259" t="str">
        <f t="shared" si="143"/>
        <v>Shipped_Stock</v>
      </c>
      <c r="AS872" s="259" t="str">
        <f t="shared" si="144"/>
        <v/>
      </c>
      <c r="AT872" s="259" t="str">
        <f t="shared" si="145"/>
        <v>崧盛</v>
      </c>
      <c r="AU872" s="259" t="str">
        <f t="shared" si="146"/>
        <v>C49SZX20210081MZ</v>
      </c>
      <c r="AV872" s="259" t="str">
        <f t="shared" si="147"/>
        <v>May-22</v>
      </c>
    </row>
    <row r="873" spans="1:48" ht="13.5" hidden="1" thickBot="1">
      <c r="A873" s="564">
        <v>1145</v>
      </c>
      <c r="B873" s="669" t="s">
        <v>1125</v>
      </c>
      <c r="C873" s="669" t="s">
        <v>281</v>
      </c>
      <c r="D873" s="650" t="s">
        <v>1674</v>
      </c>
      <c r="E873" s="568" t="s">
        <v>1490</v>
      </c>
      <c r="F873" s="652" t="s">
        <v>58</v>
      </c>
      <c r="G873" s="652" t="s">
        <v>24</v>
      </c>
      <c r="H873" s="669" t="s">
        <v>27</v>
      </c>
      <c r="I873" s="578" t="s">
        <v>1675</v>
      </c>
      <c r="J873" s="689">
        <v>1</v>
      </c>
      <c r="K873" s="652" t="s">
        <v>81</v>
      </c>
      <c r="L873" s="662">
        <v>44338</v>
      </c>
      <c r="M873" s="670">
        <v>5.9299999999999999E-2</v>
      </c>
      <c r="N873" s="652" t="s">
        <v>96</v>
      </c>
      <c r="O873" s="580"/>
      <c r="P873" s="670" t="str">
        <f>VLOOKUP(A873,'[1]Raw data'!$B:$BA,23,FALSE)</f>
        <v>RMB</v>
      </c>
      <c r="Q873" s="652" t="str">
        <f>VLOOKUP(A873,'[1]Raw data'!$B:$Z,2,FALSE)</f>
        <v>C49SZX20210048SS</v>
      </c>
      <c r="R873" s="652" t="str">
        <f>VLOOKUP(A873,'[1]Raw data'!$B:$Z,3,FALSE)</f>
        <v>美田</v>
      </c>
      <c r="S873" s="652" t="str">
        <f>VLOOKUP(A873,'[1]Raw data'!$B:$Z,4,FALSE)</f>
        <v>YSM20R-2</v>
      </c>
      <c r="T873" s="652" t="str">
        <f>VLOOKUP(A873,'[1]Raw data'!$B:$Z,8,FALSE)</f>
        <v>L-&gt;R</v>
      </c>
      <c r="U873" s="652" t="str">
        <f>VLOOKUP(A873,'[1]Raw data'!$B:$Z,9,FALSE)</f>
        <v>MVC</v>
      </c>
      <c r="V873" s="572" t="str">
        <f t="shared" si="155"/>
        <v>OK</v>
      </c>
      <c r="W873" s="568" t="str">
        <f>VLOOKUP(A873,'[1]Raw data'!$B:$AG,32,FALSE)</f>
        <v>含税到厂</v>
      </c>
      <c r="X873" s="652">
        <f>VLOOKUP(A873,'[1]Raw data'!$B:$BA,31,FALSE)</f>
        <v>44236</v>
      </c>
      <c r="Y873" s="652" t="str">
        <f>VLOOKUP(A873,'[1]Raw data'!$B:$AS,39,FALSE)</f>
        <v>Yes</v>
      </c>
      <c r="Z873" s="664"/>
      <c r="AA873" s="665"/>
      <c r="AB873" s="666"/>
      <c r="AC873" s="652" t="s">
        <v>1676</v>
      </c>
      <c r="AD873" s="667">
        <v>312</v>
      </c>
      <c r="AE873" s="667">
        <v>10</v>
      </c>
      <c r="AF873" s="667">
        <v>311</v>
      </c>
      <c r="AG873" s="667">
        <v>10</v>
      </c>
      <c r="AH873" s="667"/>
      <c r="AI873" s="668"/>
      <c r="AN873" s="547"/>
      <c r="AO873" s="829" t="str">
        <f t="shared" si="140"/>
        <v>Yes</v>
      </c>
      <c r="AP873" s="259" t="str">
        <f t="shared" si="141"/>
        <v>JUN 21</v>
      </c>
      <c r="AQ873" s="547" t="str">
        <f t="shared" si="142"/>
        <v>有定金+有預留客戶</v>
      </c>
      <c r="AR873" s="259" t="str">
        <f t="shared" si="143"/>
        <v>Shipped_Stock</v>
      </c>
      <c r="AS873" s="259" t="str">
        <f t="shared" si="144"/>
        <v/>
      </c>
      <c r="AT873" s="259" t="str">
        <f t="shared" si="145"/>
        <v>美田</v>
      </c>
      <c r="AU873" s="259" t="str">
        <f t="shared" si="146"/>
        <v>C49SZX20210048SS</v>
      </c>
      <c r="AV873" s="259" t="str">
        <f t="shared" si="147"/>
        <v>May-22</v>
      </c>
    </row>
    <row r="874" spans="1:48" hidden="1">
      <c r="A874" s="564">
        <v>1189</v>
      </c>
      <c r="B874" s="669" t="s">
        <v>1125</v>
      </c>
      <c r="C874" s="669" t="s">
        <v>281</v>
      </c>
      <c r="D874" s="650">
        <v>110437</v>
      </c>
      <c r="E874" s="568" t="s">
        <v>886</v>
      </c>
      <c r="F874" s="652" t="s">
        <v>58</v>
      </c>
      <c r="G874" s="652" t="s">
        <v>24</v>
      </c>
      <c r="H874" s="652" t="s">
        <v>26</v>
      </c>
      <c r="I874" s="698" t="s">
        <v>1677</v>
      </c>
      <c r="J874" s="580">
        <v>1</v>
      </c>
      <c r="K874" s="652" t="s">
        <v>1419</v>
      </c>
      <c r="L874" s="662">
        <v>44338</v>
      </c>
      <c r="M874" s="670">
        <v>5.9299999999999999E-2</v>
      </c>
      <c r="N874" s="652" t="s">
        <v>96</v>
      </c>
      <c r="O874" s="580"/>
      <c r="P874" s="670" t="str">
        <f>VLOOKUP(A874,'[1]Raw data'!$B:$BA,23,FALSE)</f>
        <v>RMB</v>
      </c>
      <c r="Q874" s="652" t="str">
        <f>VLOOKUP(A874,'[1]Raw data'!$B:$Z,2,FALSE)</f>
        <v>C49SZX20210156DZ</v>
      </c>
      <c r="R874" s="652" t="str">
        <f>VLOOKUP(A874,'[1]Raw data'!$B:$Z,3,FALSE)</f>
        <v>海星</v>
      </c>
      <c r="S874" s="652" t="str">
        <f>VLOOKUP(A874,'[1]Raw data'!$B:$Z,4,FALSE)</f>
        <v>YSM20R-2</v>
      </c>
      <c r="T874" s="652" t="str">
        <f>VLOOKUP(A874,'[1]Raw data'!$B:$Z,8,FALSE)</f>
        <v>L-&gt;R</v>
      </c>
      <c r="U874" s="652" t="str">
        <f>VLOOKUP(A874,'[1]Raw data'!$B:$Z,9,FALSE)</f>
        <v>No</v>
      </c>
      <c r="V874" s="572" t="str">
        <f t="shared" ref="V874:V880" si="156">IF(G874&amp;H874=T874&amp;U874,"OK","WRONG")</f>
        <v>OK</v>
      </c>
      <c r="W874" s="568" t="str">
        <f>VLOOKUP(A874,'[1]Raw data'!$B:$AG,32,FALSE)</f>
        <v>DDP SZ</v>
      </c>
      <c r="X874" s="652">
        <f>VLOOKUP(A874,'[1]Raw data'!$B:$BA,31,FALSE)</f>
        <v>44260</v>
      </c>
      <c r="Y874" s="652" t="str">
        <f>VLOOKUP(A874,'[1]Raw data'!$B:$AS,39,FALSE)</f>
        <v>Yes</v>
      </c>
      <c r="Z874" s="664"/>
      <c r="AA874" s="665"/>
      <c r="AB874" s="666"/>
      <c r="AC874" s="652" t="s">
        <v>1557</v>
      </c>
      <c r="AD874" s="667">
        <v>302</v>
      </c>
      <c r="AE874" s="667">
        <v>10</v>
      </c>
      <c r="AF874" s="667">
        <v>301</v>
      </c>
      <c r="AG874" s="667">
        <v>10</v>
      </c>
      <c r="AH874" s="667"/>
      <c r="AI874" s="668"/>
      <c r="AN874" s="547"/>
      <c r="AO874" s="829" t="str">
        <f t="shared" si="140"/>
        <v>Yes</v>
      </c>
      <c r="AP874" s="259" t="str">
        <f t="shared" si="141"/>
        <v>JUN 21</v>
      </c>
      <c r="AQ874" s="547" t="str">
        <f t="shared" si="142"/>
        <v>有定金+有預留客戶</v>
      </c>
      <c r="AR874" s="259" t="str">
        <f t="shared" si="143"/>
        <v>Shipped_Stock</v>
      </c>
      <c r="AS874" s="259" t="str">
        <f t="shared" si="144"/>
        <v/>
      </c>
      <c r="AT874" s="259" t="str">
        <f t="shared" si="145"/>
        <v>海星</v>
      </c>
      <c r="AU874" s="259" t="str">
        <f t="shared" si="146"/>
        <v>C49SZX20210156DZ</v>
      </c>
      <c r="AV874" s="259" t="str">
        <f t="shared" si="147"/>
        <v>May-22</v>
      </c>
    </row>
    <row r="875" spans="1:48" hidden="1">
      <c r="A875" s="564">
        <v>1131</v>
      </c>
      <c r="B875" s="669" t="s">
        <v>1125</v>
      </c>
      <c r="C875" s="669" t="s">
        <v>281</v>
      </c>
      <c r="D875" s="650" t="s">
        <v>1678</v>
      </c>
      <c r="E875" s="568" t="s">
        <v>886</v>
      </c>
      <c r="F875" s="652" t="s">
        <v>58</v>
      </c>
      <c r="G875" s="652" t="s">
        <v>24</v>
      </c>
      <c r="H875" s="652" t="s">
        <v>26</v>
      </c>
      <c r="I875" s="580" t="s">
        <v>1679</v>
      </c>
      <c r="J875" s="580">
        <v>1</v>
      </c>
      <c r="K875" s="652" t="s">
        <v>1419</v>
      </c>
      <c r="L875" s="662">
        <v>44338</v>
      </c>
      <c r="M875" s="670">
        <v>5.9900000000000002E-2</v>
      </c>
      <c r="N875" s="652" t="s">
        <v>96</v>
      </c>
      <c r="O875" s="580"/>
      <c r="P875" s="670" t="str">
        <f>VLOOKUP(A875,'[1]Raw data'!$B:$BA,23,FALSE)</f>
        <v>RMB</v>
      </c>
      <c r="Q875" s="652" t="str">
        <f>VLOOKUP(A875,'[1]Raw data'!$B:$Z,2,FALSE)</f>
        <v>C49SZX20210040DY</v>
      </c>
      <c r="R875" s="652" t="str">
        <f>VLOOKUP(A875,'[1]Raw data'!$B:$Z,3,FALSE)</f>
        <v>惠宇</v>
      </c>
      <c r="S875" s="652" t="str">
        <f>VLOOKUP(A875,'[1]Raw data'!$B:$Z,4,FALSE)</f>
        <v>YSM20R-2</v>
      </c>
      <c r="T875" s="652" t="str">
        <f>VLOOKUP(A875,'[1]Raw data'!$B:$Z,8,FALSE)</f>
        <v>L-&gt;R</v>
      </c>
      <c r="U875" s="652" t="str">
        <f>VLOOKUP(A875,'[1]Raw data'!$B:$Z,9,FALSE)</f>
        <v>No</v>
      </c>
      <c r="V875" s="572" t="str">
        <f t="shared" si="156"/>
        <v>OK</v>
      </c>
      <c r="W875" s="568" t="str">
        <f>VLOOKUP(A875,'[1]Raw data'!$B:$AG,32,FALSE)</f>
        <v>含税到厂</v>
      </c>
      <c r="X875" s="652">
        <f>VLOOKUP(A875,'[1]Raw data'!$B:$BA,31,FALSE)</f>
        <v>44230</v>
      </c>
      <c r="Y875" s="652" t="str">
        <f>VLOOKUP(A875,'[1]Raw data'!$B:$AS,39,FALSE)</f>
        <v>Yes</v>
      </c>
      <c r="Z875" s="664"/>
      <c r="AA875" s="665"/>
      <c r="AB875" s="666"/>
      <c r="AC875" s="652" t="s">
        <v>1680</v>
      </c>
      <c r="AD875" s="667">
        <v>302</v>
      </c>
      <c r="AE875" s="667">
        <v>10</v>
      </c>
      <c r="AF875" s="667">
        <v>302</v>
      </c>
      <c r="AG875" s="667">
        <v>10</v>
      </c>
      <c r="AH875" s="667"/>
      <c r="AI875" s="668"/>
      <c r="AN875" s="547"/>
      <c r="AO875" s="829" t="str">
        <f t="shared" si="140"/>
        <v>Yes</v>
      </c>
      <c r="AP875" s="259" t="str">
        <f t="shared" si="141"/>
        <v>JUN 21</v>
      </c>
      <c r="AQ875" s="547" t="str">
        <f t="shared" si="142"/>
        <v>有定金+有預留客戶</v>
      </c>
      <c r="AR875" s="259" t="str">
        <f t="shared" si="143"/>
        <v>Shipped_Stock</v>
      </c>
      <c r="AS875" s="259" t="str">
        <f t="shared" si="144"/>
        <v/>
      </c>
      <c r="AT875" s="259" t="str">
        <f t="shared" si="145"/>
        <v>惠宇</v>
      </c>
      <c r="AU875" s="259" t="str">
        <f t="shared" si="146"/>
        <v>C49SZX20210040DY</v>
      </c>
      <c r="AV875" s="259" t="str">
        <f t="shared" si="147"/>
        <v>May-22</v>
      </c>
    </row>
    <row r="876" spans="1:48" hidden="1">
      <c r="A876" s="564">
        <v>1169</v>
      </c>
      <c r="B876" s="669" t="s">
        <v>1125</v>
      </c>
      <c r="C876" s="669" t="s">
        <v>281</v>
      </c>
      <c r="D876" s="650" t="s">
        <v>1681</v>
      </c>
      <c r="E876" s="568" t="s">
        <v>886</v>
      </c>
      <c r="F876" s="652" t="s">
        <v>58</v>
      </c>
      <c r="G876" s="652" t="s">
        <v>24</v>
      </c>
      <c r="H876" s="652" t="s">
        <v>26</v>
      </c>
      <c r="I876" s="580" t="s">
        <v>1682</v>
      </c>
      <c r="J876" s="580">
        <v>1</v>
      </c>
      <c r="K876" s="652" t="s">
        <v>1419</v>
      </c>
      <c r="L876" s="662">
        <v>44338</v>
      </c>
      <c r="M876" s="670" t="s">
        <v>1683</v>
      </c>
      <c r="N876" s="652" t="s">
        <v>110</v>
      </c>
      <c r="O876" s="580"/>
      <c r="P876" s="670" t="str">
        <f>VLOOKUP(A876,'[1]Raw data'!$B:$BA,23,FALSE)</f>
        <v>JPY</v>
      </c>
      <c r="Q876" s="652" t="str">
        <f>VLOOKUP(A876,'[1]Raw data'!$B:$Z,2,FALSE)</f>
        <v>C49SZX20210049MX</v>
      </c>
      <c r="R876" s="652" t="str">
        <f>VLOOKUP(A876,'[1]Raw data'!$B:$Z,3,FALSE)</f>
        <v>智序</v>
      </c>
      <c r="S876" s="652" t="str">
        <f>VLOOKUP(A876,'[1]Raw data'!$B:$Z,4,FALSE)</f>
        <v>YSM20R-2</v>
      </c>
      <c r="T876" s="652" t="str">
        <f>VLOOKUP(A876,'[1]Raw data'!$B:$Z,8,FALSE)</f>
        <v>L-&gt;R</v>
      </c>
      <c r="U876" s="652" t="str">
        <f>VLOOKUP(A876,'[1]Raw data'!$B:$Z,9,FALSE)</f>
        <v>No</v>
      </c>
      <c r="V876" s="572" t="str">
        <f t="shared" si="156"/>
        <v>OK</v>
      </c>
      <c r="W876" s="568" t="str">
        <f>VLOOKUP(A876,'[1]Raw data'!$B:$AG,32,FALSE)</f>
        <v>DAP SZ</v>
      </c>
      <c r="X876" s="652">
        <f>VLOOKUP(A876,'[1]Raw data'!$B:$BA,31,FALSE)</f>
        <v>44256</v>
      </c>
      <c r="Y876" s="652" t="str">
        <f>VLOOKUP(A876,'[1]Raw data'!$B:$AS,39,FALSE)</f>
        <v>Yes</v>
      </c>
      <c r="Z876" s="664"/>
      <c r="AA876" s="665"/>
      <c r="AB876" s="666"/>
      <c r="AC876" s="652" t="s">
        <v>1521</v>
      </c>
      <c r="AD876" s="667">
        <v>302</v>
      </c>
      <c r="AE876" s="667">
        <v>10</v>
      </c>
      <c r="AF876" s="667">
        <v>302</v>
      </c>
      <c r="AG876" s="667">
        <v>10</v>
      </c>
      <c r="AH876" s="667"/>
      <c r="AI876" s="668"/>
      <c r="AN876" s="547"/>
      <c r="AO876" s="829" t="str">
        <f t="shared" si="140"/>
        <v>Yes</v>
      </c>
      <c r="AP876" s="259" t="str">
        <f t="shared" si="141"/>
        <v>MAY 21</v>
      </c>
      <c r="AQ876" s="547" t="str">
        <f t="shared" si="142"/>
        <v>有定金+有預留客戶</v>
      </c>
      <c r="AR876" s="259" t="str">
        <f t="shared" si="143"/>
        <v>Shipped_Stock</v>
      </c>
      <c r="AS876" s="259" t="str">
        <f t="shared" si="144"/>
        <v/>
      </c>
      <c r="AT876" s="259" t="str">
        <f t="shared" si="145"/>
        <v>智序</v>
      </c>
      <c r="AU876" s="259" t="str">
        <f t="shared" si="146"/>
        <v>C49SZX20210049MX</v>
      </c>
      <c r="AV876" s="259" t="str">
        <f t="shared" si="147"/>
        <v>May-22</v>
      </c>
    </row>
    <row r="877" spans="1:48" hidden="1">
      <c r="A877" s="564">
        <v>1180</v>
      </c>
      <c r="B877" s="669" t="s">
        <v>1125</v>
      </c>
      <c r="C877" s="669" t="s">
        <v>281</v>
      </c>
      <c r="D877" s="650" t="s">
        <v>1684</v>
      </c>
      <c r="E877" s="568" t="s">
        <v>886</v>
      </c>
      <c r="F877" s="652" t="s">
        <v>58</v>
      </c>
      <c r="G877" s="652" t="s">
        <v>24</v>
      </c>
      <c r="H877" s="652" t="s">
        <v>26</v>
      </c>
      <c r="I877" s="580" t="s">
        <v>1685</v>
      </c>
      <c r="J877" s="580">
        <v>1</v>
      </c>
      <c r="K877" s="652" t="s">
        <v>1419</v>
      </c>
      <c r="L877" s="662">
        <v>44338</v>
      </c>
      <c r="M877" s="670">
        <v>6.0499999999999998E-2</v>
      </c>
      <c r="N877" s="652" t="s">
        <v>96</v>
      </c>
      <c r="O877" s="580"/>
      <c r="P877" s="670" t="str">
        <f>VLOOKUP(A877,'[1]Raw data'!$B:$BA,23,FALSE)</f>
        <v>JPY</v>
      </c>
      <c r="Q877" s="652" t="str">
        <f>VLOOKUP(A877,'[1]Raw data'!$B:$Z,2,FALSE)</f>
        <v>C49SZX20210065JD</v>
      </c>
      <c r="R877" s="652" t="str">
        <f>VLOOKUP(A877,'[1]Raw data'!$B:$Z,3,FALSE)</f>
        <v>贝爱婴童</v>
      </c>
      <c r="S877" s="652" t="str">
        <f>VLOOKUP(A877,'[1]Raw data'!$B:$Z,4,FALSE)</f>
        <v>YSM20R-2</v>
      </c>
      <c r="T877" s="652" t="str">
        <f>VLOOKUP(A877,'[1]Raw data'!$B:$Z,8,FALSE)</f>
        <v>L-&gt;R</v>
      </c>
      <c r="U877" s="652" t="str">
        <f>VLOOKUP(A877,'[1]Raw data'!$B:$Z,9,FALSE)</f>
        <v>No</v>
      </c>
      <c r="V877" s="572" t="str">
        <f t="shared" si="156"/>
        <v>OK</v>
      </c>
      <c r="W877" s="568" t="str">
        <f>VLOOKUP(A877,'[1]Raw data'!$B:$AG,32,FALSE)</f>
        <v>DAP ZS</v>
      </c>
      <c r="X877" s="652">
        <f>VLOOKUP(A877,'[1]Raw data'!$B:$BA,31,FALSE)</f>
        <v>44258</v>
      </c>
      <c r="Y877" s="652" t="str">
        <f>VLOOKUP(A877,'[1]Raw data'!$B:$AS,39,FALSE)</f>
        <v>Yes</v>
      </c>
      <c r="Z877" s="664"/>
      <c r="AA877" s="665"/>
      <c r="AB877" s="666"/>
      <c r="AC877" s="652" t="s">
        <v>1638</v>
      </c>
      <c r="AD877" s="667">
        <v>302</v>
      </c>
      <c r="AE877" s="667">
        <v>10</v>
      </c>
      <c r="AF877" s="667">
        <v>302</v>
      </c>
      <c r="AG877" s="667">
        <v>10</v>
      </c>
      <c r="AH877" s="667"/>
      <c r="AI877" s="668"/>
      <c r="AN877" s="547"/>
      <c r="AO877" s="829" t="str">
        <f t="shared" si="140"/>
        <v>Yes</v>
      </c>
      <c r="AP877" s="259" t="str">
        <f t="shared" si="141"/>
        <v>JUN 21</v>
      </c>
      <c r="AQ877" s="547" t="str">
        <f t="shared" si="142"/>
        <v>有定金+有預留客戶</v>
      </c>
      <c r="AR877" s="259" t="str">
        <f t="shared" si="143"/>
        <v>Shipped_Stock</v>
      </c>
      <c r="AS877" s="259" t="str">
        <f t="shared" si="144"/>
        <v/>
      </c>
      <c r="AT877" s="259" t="str">
        <f t="shared" si="145"/>
        <v>贝爱婴童</v>
      </c>
      <c r="AU877" s="259" t="str">
        <f t="shared" si="146"/>
        <v>C49SZX20210065JD</v>
      </c>
      <c r="AV877" s="259" t="str">
        <f t="shared" si="147"/>
        <v>May-22</v>
      </c>
    </row>
    <row r="878" spans="1:48" hidden="1">
      <c r="A878" s="564">
        <v>1307</v>
      </c>
      <c r="B878" s="669" t="s">
        <v>1125</v>
      </c>
      <c r="C878" s="669" t="s">
        <v>281</v>
      </c>
      <c r="D878" s="650">
        <v>110397</v>
      </c>
      <c r="E878" s="741" t="s">
        <v>1686</v>
      </c>
      <c r="F878" s="652" t="s">
        <v>154</v>
      </c>
      <c r="G878" s="652" t="s">
        <v>24</v>
      </c>
      <c r="H878" s="652" t="s">
        <v>1687</v>
      </c>
      <c r="I878" s="580" t="s">
        <v>1688</v>
      </c>
      <c r="J878" s="580">
        <v>1</v>
      </c>
      <c r="K878" s="652" t="s">
        <v>78</v>
      </c>
      <c r="L878" s="662">
        <v>44340</v>
      </c>
      <c r="M878" s="670"/>
      <c r="N878" s="652" t="s">
        <v>96</v>
      </c>
      <c r="O878" s="580"/>
      <c r="P878" s="670" t="str">
        <f>VLOOKUP(A878,'[1]Raw data'!$B:$BA,23,FALSE)</f>
        <v>JPY</v>
      </c>
      <c r="Q878" s="652" t="str">
        <f>VLOOKUP(A878,'[1]Raw data'!$B:$Z,2,FALSE)</f>
        <v>C49SZX20210096JL</v>
      </c>
      <c r="R878" s="652" t="str">
        <f>VLOOKUP(A878,'[1]Raw data'!$B:$Z,3,FALSE)</f>
        <v>杉川</v>
      </c>
      <c r="S878" s="652" t="str">
        <f>VLOOKUP(A878,'[1]Raw data'!$B:$Z,4,FALSE)</f>
        <v>YSM20WR-2</v>
      </c>
      <c r="T878" s="652" t="str">
        <f>VLOOKUP(A878,'[1]Raw data'!$B:$Z,8,FALSE)</f>
        <v>L-&gt;R</v>
      </c>
      <c r="U878" s="652" t="str">
        <f>VLOOKUP(A878,'[1]Raw data'!$B:$Z,9,FALSE)</f>
        <v>cATS10+MVC+Feeder Carriage</v>
      </c>
      <c r="V878" s="572" t="str">
        <f t="shared" si="156"/>
        <v>WRONG</v>
      </c>
      <c r="W878" s="568" t="str">
        <f>VLOOKUP(A878,'[1]Raw data'!$B:$AG,32,FALSE)</f>
        <v>DAP SZ</v>
      </c>
      <c r="X878" s="652">
        <f>VLOOKUP(A878,'[1]Raw data'!$B:$BA,31,FALSE)</f>
        <v>44288</v>
      </c>
      <c r="Y878" s="652" t="str">
        <f>VLOOKUP(A878,'[1]Raw data'!$B:$AS,39,FALSE)</f>
        <v>Yes</v>
      </c>
      <c r="Z878" s="664"/>
      <c r="AA878" s="665"/>
      <c r="AB878" s="666"/>
      <c r="AC878" s="652" t="s">
        <v>1216</v>
      </c>
      <c r="AD878" s="667"/>
      <c r="AE878" s="667"/>
      <c r="AF878" s="667"/>
      <c r="AG878" s="667"/>
      <c r="AH878" s="667"/>
      <c r="AI878" s="668"/>
      <c r="AN878" s="547"/>
      <c r="AO878" s="829" t="str">
        <f t="shared" si="140"/>
        <v>Yes</v>
      </c>
      <c r="AP878" s="259" t="str">
        <f t="shared" si="141"/>
        <v>JUN 21</v>
      </c>
      <c r="AQ878" s="547" t="str">
        <f t="shared" si="142"/>
        <v>有定金+有預留客戶</v>
      </c>
      <c r="AR878" s="259" t="str">
        <f t="shared" si="143"/>
        <v>Shipped_Stock</v>
      </c>
      <c r="AS878" s="259" t="str">
        <f t="shared" si="144"/>
        <v/>
      </c>
      <c r="AT878" s="259" t="str">
        <f t="shared" si="145"/>
        <v>杉川</v>
      </c>
      <c r="AU878" s="259" t="str">
        <f t="shared" si="146"/>
        <v>C49SZX20210096JL</v>
      </c>
      <c r="AV878" s="259" t="str">
        <f t="shared" si="147"/>
        <v>May-24</v>
      </c>
    </row>
    <row r="879" spans="1:48" hidden="1">
      <c r="A879" s="564">
        <v>1318</v>
      </c>
      <c r="B879" s="669" t="s">
        <v>1125</v>
      </c>
      <c r="C879" s="669" t="s">
        <v>281</v>
      </c>
      <c r="D879" s="650">
        <v>110397</v>
      </c>
      <c r="E879" s="741" t="s">
        <v>1686</v>
      </c>
      <c r="F879" s="652" t="s">
        <v>154</v>
      </c>
      <c r="G879" s="652" t="s">
        <v>24</v>
      </c>
      <c r="H879" s="652" t="s">
        <v>26</v>
      </c>
      <c r="I879" s="580" t="s">
        <v>1689</v>
      </c>
      <c r="J879" s="580">
        <v>1</v>
      </c>
      <c r="K879" s="652" t="s">
        <v>78</v>
      </c>
      <c r="L879" s="662">
        <v>44340</v>
      </c>
      <c r="M879" s="670"/>
      <c r="N879" s="652" t="s">
        <v>96</v>
      </c>
      <c r="O879" s="580"/>
      <c r="P879" s="670" t="str">
        <f>VLOOKUP(A879,'[1]Raw data'!$B:$BA,23,FALSE)</f>
        <v>JPY</v>
      </c>
      <c r="Q879" s="652" t="str">
        <f>VLOOKUP(A879,'[1]Raw data'!$B:$Z,2,FALSE)</f>
        <v>C49SZX20210096JL</v>
      </c>
      <c r="R879" s="652" t="str">
        <f>VLOOKUP(A879,'[1]Raw data'!$B:$Z,3,FALSE)</f>
        <v>杉川</v>
      </c>
      <c r="S879" s="652" t="str">
        <f>VLOOKUP(A879,'[1]Raw data'!$B:$Z,4,FALSE)</f>
        <v>YSM20WR-2</v>
      </c>
      <c r="T879" s="652" t="str">
        <f>VLOOKUP(A879,'[1]Raw data'!$B:$Z,8,FALSE)</f>
        <v>L-&gt;R</v>
      </c>
      <c r="U879" s="652" t="str">
        <f>VLOOKUP(A879,'[1]Raw data'!$B:$Z,9,FALSE)</f>
        <v>No</v>
      </c>
      <c r="V879" s="572" t="str">
        <f t="shared" si="156"/>
        <v>OK</v>
      </c>
      <c r="W879" s="568" t="str">
        <f>VLOOKUP(A879,'[1]Raw data'!$B:$AG,32,FALSE)</f>
        <v>DAP SZ</v>
      </c>
      <c r="X879" s="652">
        <f>VLOOKUP(A879,'[1]Raw data'!$B:$BA,31,FALSE)</f>
        <v>44288</v>
      </c>
      <c r="Y879" s="652" t="str">
        <f>VLOOKUP(A879,'[1]Raw data'!$B:$AS,39,FALSE)</f>
        <v>Yes</v>
      </c>
      <c r="Z879" s="664"/>
      <c r="AA879" s="665"/>
      <c r="AB879" s="666"/>
      <c r="AC879" s="652" t="s">
        <v>1216</v>
      </c>
      <c r="AD879" s="667"/>
      <c r="AE879" s="667"/>
      <c r="AF879" s="667"/>
      <c r="AG879" s="667"/>
      <c r="AH879" s="667"/>
      <c r="AI879" s="668"/>
      <c r="AN879" s="547"/>
      <c r="AO879" s="829" t="str">
        <f t="shared" si="140"/>
        <v>Yes</v>
      </c>
      <c r="AP879" s="259" t="str">
        <f t="shared" si="141"/>
        <v>JUN 21</v>
      </c>
      <c r="AQ879" s="547" t="str">
        <f t="shared" si="142"/>
        <v>有定金+有預留客戶</v>
      </c>
      <c r="AR879" s="259" t="str">
        <f t="shared" si="143"/>
        <v>Shipped_Stock</v>
      </c>
      <c r="AS879" s="259" t="str">
        <f t="shared" si="144"/>
        <v/>
      </c>
      <c r="AT879" s="259" t="str">
        <f t="shared" si="145"/>
        <v>杉川</v>
      </c>
      <c r="AU879" s="259" t="str">
        <f t="shared" si="146"/>
        <v>C49SZX20210096JL</v>
      </c>
      <c r="AV879" s="259" t="str">
        <f t="shared" si="147"/>
        <v>May-24</v>
      </c>
    </row>
    <row r="880" spans="1:48" hidden="1">
      <c r="A880" s="564">
        <v>1311</v>
      </c>
      <c r="B880" s="669" t="s">
        <v>1125</v>
      </c>
      <c r="C880" s="669" t="s">
        <v>281</v>
      </c>
      <c r="D880" s="650">
        <v>110397</v>
      </c>
      <c r="E880" s="741" t="s">
        <v>1686</v>
      </c>
      <c r="F880" s="652" t="s">
        <v>154</v>
      </c>
      <c r="G880" s="652" t="s">
        <v>24</v>
      </c>
      <c r="H880" s="652" t="s">
        <v>26</v>
      </c>
      <c r="I880" s="580" t="s">
        <v>1690</v>
      </c>
      <c r="J880" s="580">
        <v>1</v>
      </c>
      <c r="K880" s="652" t="s">
        <v>78</v>
      </c>
      <c r="L880" s="662">
        <v>44340</v>
      </c>
      <c r="M880" s="670"/>
      <c r="N880" s="652" t="s">
        <v>96</v>
      </c>
      <c r="O880" s="580"/>
      <c r="P880" s="670" t="str">
        <f>VLOOKUP(A880,'[1]Raw data'!$B:$BA,23,FALSE)</f>
        <v>JPY</v>
      </c>
      <c r="Q880" s="652" t="str">
        <f>VLOOKUP(A880,'[1]Raw data'!$B:$Z,2,FALSE)</f>
        <v>C49SZX20210096JL</v>
      </c>
      <c r="R880" s="652" t="str">
        <f>VLOOKUP(A880,'[1]Raw data'!$B:$Z,3,FALSE)</f>
        <v>杉川</v>
      </c>
      <c r="S880" s="652" t="str">
        <f>VLOOKUP(A880,'[1]Raw data'!$B:$Z,4,FALSE)</f>
        <v>YSM20WR-2</v>
      </c>
      <c r="T880" s="652" t="str">
        <f>VLOOKUP(A880,'[1]Raw data'!$B:$Z,8,FALSE)</f>
        <v>L-&gt;R</v>
      </c>
      <c r="U880" s="652" t="str">
        <f>VLOOKUP(A880,'[1]Raw data'!$B:$Z,9,FALSE)</f>
        <v>MVC</v>
      </c>
      <c r="V880" s="569" t="str">
        <f t="shared" si="156"/>
        <v>WRONG</v>
      </c>
      <c r="W880" s="568" t="str">
        <f>VLOOKUP(A880,'[1]Raw data'!$B:$AG,32,FALSE)</f>
        <v>DAP SZ</v>
      </c>
      <c r="X880" s="652">
        <f>VLOOKUP(A880,'[1]Raw data'!$B:$BA,31,FALSE)</f>
        <v>44288</v>
      </c>
      <c r="Y880" s="652" t="str">
        <f>VLOOKUP(A880,'[1]Raw data'!$B:$AS,39,FALSE)</f>
        <v>Yes</v>
      </c>
      <c r="Z880" s="547"/>
      <c r="AA880" s="547"/>
      <c r="AB880" s="547"/>
      <c r="AC880" s="652" t="s">
        <v>1216</v>
      </c>
      <c r="AD880" s="547"/>
      <c r="AE880" s="547"/>
      <c r="AF880" s="547"/>
      <c r="AG880" s="547"/>
      <c r="AH880" s="547"/>
      <c r="AI880" s="547"/>
      <c r="AJ880" s="547"/>
      <c r="AK880" s="547"/>
      <c r="AL880" s="547"/>
      <c r="AM880" s="547"/>
      <c r="AN880" s="547"/>
      <c r="AO880" s="829" t="str">
        <f t="shared" si="140"/>
        <v>Yes</v>
      </c>
      <c r="AP880" s="259" t="str">
        <f t="shared" si="141"/>
        <v>JUN 21</v>
      </c>
      <c r="AQ880" s="547" t="str">
        <f t="shared" si="142"/>
        <v>有定金+有預留客戶</v>
      </c>
      <c r="AR880" s="259" t="str">
        <f t="shared" si="143"/>
        <v>Shipped_Stock</v>
      </c>
      <c r="AS880" s="259" t="str">
        <f t="shared" si="144"/>
        <v/>
      </c>
      <c r="AT880" s="259" t="str">
        <f t="shared" si="145"/>
        <v>杉川</v>
      </c>
      <c r="AU880" s="259" t="str">
        <f t="shared" si="146"/>
        <v>C49SZX20210096JL</v>
      </c>
      <c r="AV880" s="259" t="str">
        <f t="shared" si="147"/>
        <v>May-24</v>
      </c>
    </row>
    <row r="881" spans="1:48" hidden="1">
      <c r="A881" s="564">
        <v>945</v>
      </c>
      <c r="B881" s="669" t="s">
        <v>1125</v>
      </c>
      <c r="C881" s="669" t="s">
        <v>281</v>
      </c>
      <c r="D881" s="650">
        <v>110384</v>
      </c>
      <c r="E881" s="741" t="s">
        <v>1691</v>
      </c>
      <c r="F881" s="652" t="s">
        <v>58</v>
      </c>
      <c r="G881" s="652" t="s">
        <v>24</v>
      </c>
      <c r="H881" s="652" t="s">
        <v>26</v>
      </c>
      <c r="I881" s="580" t="s">
        <v>1692</v>
      </c>
      <c r="J881" s="580">
        <v>1</v>
      </c>
      <c r="K881" s="652" t="s">
        <v>78</v>
      </c>
      <c r="L881" s="662">
        <v>44346</v>
      </c>
      <c r="M881" s="670" t="s">
        <v>906</v>
      </c>
      <c r="N881" s="652" t="s">
        <v>96</v>
      </c>
      <c r="O881" s="580"/>
      <c r="P881" s="670" t="str">
        <f>VLOOKUP(A881,'[1]Raw data'!$B:$BA,23,FALSE)</f>
        <v>JPY</v>
      </c>
      <c r="Q881" s="652" t="str">
        <f>VLOOKUP(A881,'[1]Raw data'!$B:$Z,2,FALSE)</f>
        <v>C49SZX20200213MX</v>
      </c>
      <c r="R881" s="652" t="str">
        <f>VLOOKUP(A881,'[1]Raw data'!$B:$Z,3,FALSE)</f>
        <v>音品（End user:鸿翔）</v>
      </c>
      <c r="S881" s="652" t="str">
        <f>VLOOKUP(A881,'[1]Raw data'!$B:$Z,4,FALSE)</f>
        <v>YSM20R-2</v>
      </c>
      <c r="T881" s="652" t="str">
        <f>VLOOKUP(A881,'[1]Raw data'!$B:$Z,8,FALSE)</f>
        <v>L-&gt;R</v>
      </c>
      <c r="U881" s="652" t="str">
        <f>VLOOKUP(A881,'[1]Raw data'!$B:$Z,9,FALSE)</f>
        <v>No</v>
      </c>
      <c r="V881" s="572" t="str">
        <f t="shared" ref="V881:V887" si="157">IF(G881&amp;H881=T881&amp;U881,"OK","WRONG")</f>
        <v>OK</v>
      </c>
      <c r="W881" s="568" t="str">
        <f>VLOOKUP(A881,'[1]Raw data'!$B:$AG,32,FALSE)</f>
        <v>DAP SZ</v>
      </c>
      <c r="X881" s="652">
        <f>VLOOKUP(A881,'[1]Raw data'!$B:$BA,31,FALSE)</f>
        <v>44153</v>
      </c>
      <c r="Y881" s="652" t="str">
        <f>VLOOKUP(A881,'[1]Raw data'!$B:$AS,39,FALSE)</f>
        <v>Yes</v>
      </c>
      <c r="Z881" s="664"/>
      <c r="AA881" s="665"/>
      <c r="AB881" s="666"/>
      <c r="AC881" s="652" t="s">
        <v>1693</v>
      </c>
      <c r="AD881" s="667">
        <v>301</v>
      </c>
      <c r="AE881" s="667">
        <v>10</v>
      </c>
      <c r="AF881" s="667">
        <v>311</v>
      </c>
      <c r="AG881" s="667">
        <v>10</v>
      </c>
      <c r="AH881" s="667"/>
      <c r="AI881" s="668"/>
      <c r="AN881" s="547"/>
      <c r="AO881" s="829" t="str">
        <f t="shared" si="140"/>
        <v>Yes</v>
      </c>
      <c r="AP881" s="259" t="str">
        <f t="shared" si="141"/>
        <v>JUN 21</v>
      </c>
      <c r="AQ881" s="547" t="str">
        <f t="shared" si="142"/>
        <v>有定金+有預留客戶</v>
      </c>
      <c r="AR881" s="259" t="str">
        <f t="shared" si="143"/>
        <v>Shipped_Stock</v>
      </c>
      <c r="AS881" s="259" t="str">
        <f t="shared" si="144"/>
        <v/>
      </c>
      <c r="AT881" s="259" t="str">
        <f t="shared" si="145"/>
        <v>音品（End user:鸿翔）</v>
      </c>
      <c r="AU881" s="259" t="str">
        <f t="shared" si="146"/>
        <v>C49SZX20200213MX</v>
      </c>
      <c r="AV881" s="259" t="str">
        <f t="shared" si="147"/>
        <v>May-30</v>
      </c>
    </row>
    <row r="882" spans="1:48" hidden="1">
      <c r="A882" s="564">
        <v>853</v>
      </c>
      <c r="B882" s="669" t="s">
        <v>1125</v>
      </c>
      <c r="C882" s="669" t="s">
        <v>281</v>
      </c>
      <c r="D882" s="650">
        <v>110384</v>
      </c>
      <c r="E882" s="741" t="s">
        <v>1691</v>
      </c>
      <c r="F882" s="652" t="s">
        <v>58</v>
      </c>
      <c r="G882" s="652" t="s">
        <v>24</v>
      </c>
      <c r="H882" s="652" t="s">
        <v>26</v>
      </c>
      <c r="I882" s="580" t="s">
        <v>1694</v>
      </c>
      <c r="J882" s="580">
        <v>1</v>
      </c>
      <c r="K882" s="652" t="s">
        <v>78</v>
      </c>
      <c r="L882" s="662">
        <v>44346</v>
      </c>
      <c r="M882" s="670" t="s">
        <v>906</v>
      </c>
      <c r="N882" s="652" t="s">
        <v>97</v>
      </c>
      <c r="O882" s="580"/>
      <c r="P882" s="670" t="str">
        <f>VLOOKUP(A882,'[1]Raw data'!$B:$BA,23,FALSE)</f>
        <v>JPY</v>
      </c>
      <c r="Q882" s="652" t="str">
        <f>VLOOKUP(A882,'[1]Raw data'!$B:$Z,2,FALSE)</f>
        <v>C49SZX20200176SX</v>
      </c>
      <c r="R882" s="652" t="str">
        <f>VLOOKUP(A882,'[1]Raw data'!$B:$Z,3,FALSE)</f>
        <v>兴开泰</v>
      </c>
      <c r="S882" s="652" t="str">
        <f>VLOOKUP(A882,'[1]Raw data'!$B:$Z,4,FALSE)</f>
        <v>YSM20R-2</v>
      </c>
      <c r="T882" s="652" t="str">
        <f>VLOOKUP(A882,'[1]Raw data'!$B:$Z,8,FALSE)</f>
        <v>L-&gt;R</v>
      </c>
      <c r="U882" s="652" t="str">
        <f>VLOOKUP(A882,'[1]Raw data'!$B:$Z,9,FALSE)</f>
        <v>No</v>
      </c>
      <c r="V882" s="572" t="str">
        <f t="shared" si="157"/>
        <v>OK</v>
      </c>
      <c r="W882" s="568" t="str">
        <f>VLOOKUP(A882,'[1]Raw data'!$B:$AG,32,FALSE)</f>
        <v>DAP DG</v>
      </c>
      <c r="X882" s="652">
        <f>VLOOKUP(A882,'[1]Raw data'!$B:$BA,31,FALSE)</f>
        <v>44098</v>
      </c>
      <c r="Y882" s="652" t="str">
        <f>VLOOKUP(A882,'[1]Raw data'!$B:$AS,39,FALSE)</f>
        <v>Yes</v>
      </c>
      <c r="Z882" s="664"/>
      <c r="AA882" s="665"/>
      <c r="AB882" s="666"/>
      <c r="AC882" s="652" t="s">
        <v>1695</v>
      </c>
      <c r="AD882" s="667">
        <v>301</v>
      </c>
      <c r="AE882" s="667">
        <v>10</v>
      </c>
      <c r="AF882" s="667">
        <v>311</v>
      </c>
      <c r="AG882" s="667">
        <v>10</v>
      </c>
      <c r="AH882" s="667"/>
      <c r="AI882" s="668"/>
      <c r="AN882" s="547"/>
      <c r="AO882" s="829" t="str">
        <f t="shared" si="140"/>
        <v>Yes</v>
      </c>
      <c r="AP882" s="259" t="str">
        <f t="shared" si="141"/>
        <v>JUL 21</v>
      </c>
      <c r="AQ882" s="547" t="str">
        <f t="shared" si="142"/>
        <v>有定金+有預留客戶</v>
      </c>
      <c r="AR882" s="259" t="str">
        <f t="shared" si="143"/>
        <v>Shipped_Stock</v>
      </c>
      <c r="AS882" s="259" t="str">
        <f t="shared" si="144"/>
        <v/>
      </c>
      <c r="AT882" s="259" t="str">
        <f t="shared" si="145"/>
        <v>兴开泰</v>
      </c>
      <c r="AU882" s="259" t="str">
        <f t="shared" si="146"/>
        <v>C49SZX20200176SX</v>
      </c>
      <c r="AV882" s="259" t="str">
        <f t="shared" si="147"/>
        <v>May-30</v>
      </c>
    </row>
    <row r="883" spans="1:48" hidden="1">
      <c r="A883" s="564">
        <v>1179</v>
      </c>
      <c r="B883" s="669" t="s">
        <v>1125</v>
      </c>
      <c r="C883" s="669" t="s">
        <v>281</v>
      </c>
      <c r="D883" s="650">
        <v>110384</v>
      </c>
      <c r="E883" s="741" t="s">
        <v>1691</v>
      </c>
      <c r="F883" s="652" t="s">
        <v>58</v>
      </c>
      <c r="G883" s="652" t="s">
        <v>24</v>
      </c>
      <c r="H883" s="652" t="s">
        <v>26</v>
      </c>
      <c r="I883" s="580" t="s">
        <v>1696</v>
      </c>
      <c r="J883" s="580">
        <v>1</v>
      </c>
      <c r="K883" s="652" t="s">
        <v>78</v>
      </c>
      <c r="L883" s="662">
        <v>44346</v>
      </c>
      <c r="M883" s="670" t="s">
        <v>906</v>
      </c>
      <c r="N883" s="652" t="s">
        <v>96</v>
      </c>
      <c r="O883" s="580"/>
      <c r="P883" s="670" t="str">
        <f>VLOOKUP(A883,'[1]Raw data'!$B:$BA,23,FALSE)</f>
        <v>JPY</v>
      </c>
      <c r="Q883" s="652" t="str">
        <f>VLOOKUP(A883,'[1]Raw data'!$B:$Z,2,FALSE)</f>
        <v>C49SZX20210062JY</v>
      </c>
      <c r="R883" s="652" t="str">
        <f>VLOOKUP(A883,'[1]Raw data'!$B:$Z,3,FALSE)</f>
        <v>海松微</v>
      </c>
      <c r="S883" s="652" t="str">
        <f>VLOOKUP(A883,'[1]Raw data'!$B:$Z,4,FALSE)</f>
        <v>YSM20R-2</v>
      </c>
      <c r="T883" s="652" t="str">
        <f>VLOOKUP(A883,'[1]Raw data'!$B:$Z,8,FALSE)</f>
        <v>L-&gt;R</v>
      </c>
      <c r="U883" s="652" t="str">
        <f>VLOOKUP(A883,'[1]Raw data'!$B:$Z,9,FALSE)</f>
        <v>No</v>
      </c>
      <c r="V883" s="572" t="str">
        <f t="shared" si="157"/>
        <v>OK</v>
      </c>
      <c r="W883" s="568" t="str">
        <f>VLOOKUP(A883,'[1]Raw data'!$B:$AG,32,FALSE)</f>
        <v>DAP SZ</v>
      </c>
      <c r="X883" s="652">
        <f>VLOOKUP(A883,'[1]Raw data'!$B:$BA,31,FALSE)</f>
        <v>44257</v>
      </c>
      <c r="Y883" s="652" t="str">
        <f>VLOOKUP(A883,'[1]Raw data'!$B:$AS,39,FALSE)</f>
        <v>Yes</v>
      </c>
      <c r="Z883" s="664"/>
      <c r="AA883" s="665"/>
      <c r="AB883" s="666"/>
      <c r="AC883" s="568" t="s">
        <v>662</v>
      </c>
      <c r="AD883" s="667">
        <v>301</v>
      </c>
      <c r="AE883" s="667">
        <v>10</v>
      </c>
      <c r="AF883" s="667">
        <v>303</v>
      </c>
      <c r="AG883" s="667">
        <v>10</v>
      </c>
      <c r="AH883" s="667"/>
      <c r="AI883" s="668"/>
      <c r="AN883" s="547"/>
      <c r="AO883" s="829" t="str">
        <f t="shared" si="140"/>
        <v>Yes</v>
      </c>
      <c r="AP883" s="259" t="str">
        <f t="shared" si="141"/>
        <v>JUN 21</v>
      </c>
      <c r="AQ883" s="547" t="str">
        <f t="shared" si="142"/>
        <v>有定金+有預留客戶</v>
      </c>
      <c r="AR883" s="259" t="str">
        <f t="shared" si="143"/>
        <v>Shipped_Stock</v>
      </c>
      <c r="AS883" s="259" t="str">
        <f t="shared" si="144"/>
        <v/>
      </c>
      <c r="AT883" s="259" t="str">
        <f t="shared" si="145"/>
        <v>海松微</v>
      </c>
      <c r="AU883" s="259" t="str">
        <f t="shared" si="146"/>
        <v>C49SZX20210062JY</v>
      </c>
      <c r="AV883" s="259" t="str">
        <f t="shared" si="147"/>
        <v>May-30</v>
      </c>
    </row>
    <row r="884" spans="1:48" hidden="1">
      <c r="A884" s="564">
        <v>1412</v>
      </c>
      <c r="B884" s="669" t="s">
        <v>1125</v>
      </c>
      <c r="C884" s="669" t="s">
        <v>281</v>
      </c>
      <c r="D884" s="650">
        <v>110384</v>
      </c>
      <c r="E884" s="741" t="s">
        <v>1691</v>
      </c>
      <c r="F884" s="652" t="s">
        <v>58</v>
      </c>
      <c r="G884" s="652" t="s">
        <v>24</v>
      </c>
      <c r="H884" s="652" t="s">
        <v>26</v>
      </c>
      <c r="I884" s="580" t="s">
        <v>1697</v>
      </c>
      <c r="J884" s="580">
        <v>1</v>
      </c>
      <c r="K884" s="652" t="s">
        <v>78</v>
      </c>
      <c r="L884" s="662">
        <v>44346</v>
      </c>
      <c r="M884" s="670" t="s">
        <v>906</v>
      </c>
      <c r="N884" s="652" t="s">
        <v>97</v>
      </c>
      <c r="O884" s="580"/>
      <c r="P884" s="670" t="str">
        <f>VLOOKUP(A884,'[1]Raw data'!$B:$BA,23,FALSE)</f>
        <v>JPY</v>
      </c>
      <c r="Q884" s="652" t="str">
        <f>VLOOKUP(A884,'[1]Raw data'!$B:$Z,2,FALSE)</f>
        <v>C49SZX20210095JL</v>
      </c>
      <c r="R884" s="652" t="str">
        <f>VLOOKUP(A884,'[1]Raw data'!$B:$Z,3,FALSE)</f>
        <v>伟盛贸易(富洛）/晶科</v>
      </c>
      <c r="S884" s="652" t="str">
        <f>VLOOKUP(A884,'[1]Raw data'!$B:$Z,4,FALSE)</f>
        <v>YSM20R-2</v>
      </c>
      <c r="T884" s="652" t="str">
        <f>VLOOKUP(A884,'[1]Raw data'!$B:$Z,8,FALSE)</f>
        <v>L-&gt;R</v>
      </c>
      <c r="U884" s="652" t="str">
        <f>VLOOKUP(A884,'[1]Raw data'!$B:$Z,9,FALSE)</f>
        <v>No</v>
      </c>
      <c r="V884" s="572" t="str">
        <f t="shared" si="157"/>
        <v>OK</v>
      </c>
      <c r="W884" s="568" t="str">
        <f>VLOOKUP(A884,'[1]Raw data'!$B:$AG,32,FALSE)</f>
        <v>CIF HK</v>
      </c>
      <c r="X884" s="652">
        <f>VLOOKUP(A884,'[1]Raw data'!$B:$BA,31,FALSE)</f>
        <v>44355</v>
      </c>
      <c r="Y884" s="652" t="str">
        <f>VLOOKUP(A884,'[1]Raw data'!$B:$AS,39,FALSE)</f>
        <v>Yes</v>
      </c>
      <c r="Z884" s="664"/>
      <c r="AA884" s="665"/>
      <c r="AB884" s="666"/>
      <c r="AC884" s="652" t="s">
        <v>1698</v>
      </c>
      <c r="AD884" s="667">
        <v>301</v>
      </c>
      <c r="AE884" s="667">
        <v>10</v>
      </c>
      <c r="AF884" s="667">
        <v>303</v>
      </c>
      <c r="AG884" s="667">
        <v>10</v>
      </c>
      <c r="AH884" s="667"/>
      <c r="AI884" s="668"/>
      <c r="AN884" s="547"/>
      <c r="AO884" s="829" t="str">
        <f t="shared" si="140"/>
        <v>Yes</v>
      </c>
      <c r="AP884" s="259" t="str">
        <f t="shared" si="141"/>
        <v>JUL 21</v>
      </c>
      <c r="AQ884" s="547" t="str">
        <f t="shared" si="142"/>
        <v>有定金+有預留客戶</v>
      </c>
      <c r="AR884" s="259" t="str">
        <f t="shared" si="143"/>
        <v>Shipped_Stock</v>
      </c>
      <c r="AS884" s="259" t="str">
        <f t="shared" si="144"/>
        <v/>
      </c>
      <c r="AT884" s="259" t="str">
        <f t="shared" si="145"/>
        <v>伟盛贸易(富洛）/晶科</v>
      </c>
      <c r="AU884" s="259" t="str">
        <f t="shared" si="146"/>
        <v>C49SZX20210095JL</v>
      </c>
      <c r="AV884" s="259" t="str">
        <f t="shared" si="147"/>
        <v>May-30</v>
      </c>
    </row>
    <row r="885" spans="1:48" hidden="1">
      <c r="A885" s="564">
        <v>1413</v>
      </c>
      <c r="B885" s="669" t="s">
        <v>1125</v>
      </c>
      <c r="C885" s="669" t="s">
        <v>281</v>
      </c>
      <c r="D885" s="650">
        <v>110384</v>
      </c>
      <c r="E885" s="741" t="s">
        <v>1691</v>
      </c>
      <c r="F885" s="652" t="s">
        <v>58</v>
      </c>
      <c r="G885" s="652" t="s">
        <v>24</v>
      </c>
      <c r="H885" s="652" t="s">
        <v>26</v>
      </c>
      <c r="I885" s="580" t="s">
        <v>1699</v>
      </c>
      <c r="J885" s="580">
        <v>1</v>
      </c>
      <c r="K885" s="652" t="s">
        <v>78</v>
      </c>
      <c r="L885" s="662">
        <v>44346</v>
      </c>
      <c r="M885" s="670" t="s">
        <v>906</v>
      </c>
      <c r="N885" s="652" t="s">
        <v>97</v>
      </c>
      <c r="O885" s="580"/>
      <c r="P885" s="670" t="str">
        <f>VLOOKUP(A885,'[1]Raw data'!$B:$BA,23,FALSE)</f>
        <v>JPY</v>
      </c>
      <c r="Q885" s="652" t="str">
        <f>VLOOKUP(A885,'[1]Raw data'!$B:$Z,2,FALSE)</f>
        <v>C49SZX20210095JL</v>
      </c>
      <c r="R885" s="652" t="str">
        <f>VLOOKUP(A885,'[1]Raw data'!$B:$Z,3,FALSE)</f>
        <v>伟盛贸易(富洛）/晶科</v>
      </c>
      <c r="S885" s="652" t="str">
        <f>VLOOKUP(A885,'[1]Raw data'!$B:$Z,4,FALSE)</f>
        <v>YSM20R-2</v>
      </c>
      <c r="T885" s="652" t="str">
        <f>VLOOKUP(A885,'[1]Raw data'!$B:$Z,8,FALSE)</f>
        <v>L-&gt;R</v>
      </c>
      <c r="U885" s="652" t="str">
        <f>VLOOKUP(A885,'[1]Raw data'!$B:$Z,9,FALSE)</f>
        <v>No</v>
      </c>
      <c r="V885" s="572" t="str">
        <f t="shared" si="157"/>
        <v>OK</v>
      </c>
      <c r="W885" s="568" t="str">
        <f>VLOOKUP(A885,'[1]Raw data'!$B:$AG,32,FALSE)</f>
        <v>CIF HK</v>
      </c>
      <c r="X885" s="652">
        <f>VLOOKUP(A885,'[1]Raw data'!$B:$BA,31,FALSE)</f>
        <v>44355</v>
      </c>
      <c r="Y885" s="652" t="str">
        <f>VLOOKUP(A885,'[1]Raw data'!$B:$AS,39,FALSE)</f>
        <v>Yes</v>
      </c>
      <c r="Z885" s="664"/>
      <c r="AA885" s="665"/>
      <c r="AB885" s="666"/>
      <c r="AC885" s="652" t="s">
        <v>1698</v>
      </c>
      <c r="AD885" s="667">
        <v>301</v>
      </c>
      <c r="AE885" s="667">
        <v>10</v>
      </c>
      <c r="AF885" s="667">
        <v>303</v>
      </c>
      <c r="AG885" s="667">
        <v>10</v>
      </c>
      <c r="AH885" s="667"/>
      <c r="AI885" s="668"/>
      <c r="AN885" s="547"/>
      <c r="AO885" s="829" t="str">
        <f t="shared" si="140"/>
        <v>Yes</v>
      </c>
      <c r="AP885" s="259" t="str">
        <f t="shared" si="141"/>
        <v>JUL 21</v>
      </c>
      <c r="AQ885" s="547" t="str">
        <f t="shared" si="142"/>
        <v>有定金+有預留客戶</v>
      </c>
      <c r="AR885" s="259" t="str">
        <f t="shared" si="143"/>
        <v>Shipped_Stock</v>
      </c>
      <c r="AS885" s="259" t="str">
        <f t="shared" si="144"/>
        <v/>
      </c>
      <c r="AT885" s="259" t="str">
        <f t="shared" si="145"/>
        <v>伟盛贸易(富洛）/晶科</v>
      </c>
      <c r="AU885" s="259" t="str">
        <f t="shared" si="146"/>
        <v>C49SZX20210095JL</v>
      </c>
      <c r="AV885" s="259" t="str">
        <f t="shared" si="147"/>
        <v>May-30</v>
      </c>
    </row>
    <row r="886" spans="1:48" hidden="1">
      <c r="A886" s="564">
        <v>1264</v>
      </c>
      <c r="B886" s="669" t="s">
        <v>1125</v>
      </c>
      <c r="C886" s="669" t="s">
        <v>281</v>
      </c>
      <c r="D886" s="650">
        <v>110384</v>
      </c>
      <c r="E886" s="741" t="s">
        <v>1691</v>
      </c>
      <c r="F886" s="652" t="s">
        <v>58</v>
      </c>
      <c r="G886" s="652" t="s">
        <v>24</v>
      </c>
      <c r="H886" s="652" t="s">
        <v>26</v>
      </c>
      <c r="I886" s="580" t="s">
        <v>1700</v>
      </c>
      <c r="J886" s="580">
        <v>1</v>
      </c>
      <c r="K886" s="652" t="s">
        <v>78</v>
      </c>
      <c r="L886" s="662">
        <v>44346</v>
      </c>
      <c r="M886" s="670" t="s">
        <v>906</v>
      </c>
      <c r="N886" s="652" t="s">
        <v>97</v>
      </c>
      <c r="O886" s="580"/>
      <c r="P886" s="670" t="str">
        <f>VLOOKUP(A886,'[1]Raw data'!$B:$BA,23,FALSE)</f>
        <v>JPY</v>
      </c>
      <c r="Q886" s="652" t="str">
        <f>VLOOKUP(A886,'[1]Raw data'!$B:$Z,2,FALSE)</f>
        <v>C49SZX20210087SX</v>
      </c>
      <c r="R886" s="652" t="str">
        <f>VLOOKUP(A886,'[1]Raw data'!$B:$Z,3,FALSE)</f>
        <v>特斯浦</v>
      </c>
      <c r="S886" s="652" t="str">
        <f>VLOOKUP(A886,'[1]Raw data'!$B:$Z,4,FALSE)</f>
        <v>YSM20R-2</v>
      </c>
      <c r="T886" s="652" t="str">
        <f>VLOOKUP(A886,'[1]Raw data'!$B:$Z,8,FALSE)</f>
        <v>L-&gt;R</v>
      </c>
      <c r="U886" s="652" t="str">
        <f>VLOOKUP(A886,'[1]Raw data'!$B:$Z,9,FALSE)</f>
        <v>No</v>
      </c>
      <c r="V886" s="572" t="str">
        <f t="shared" si="157"/>
        <v>OK</v>
      </c>
      <c r="W886" s="568" t="str">
        <f>VLOOKUP(A886,'[1]Raw data'!$B:$AG,32,FALSE)</f>
        <v>DAP DG</v>
      </c>
      <c r="X886" s="652">
        <f>VLOOKUP(A886,'[1]Raw data'!$B:$BA,31,FALSE)</f>
        <v>44271</v>
      </c>
      <c r="Y886" s="652" t="str">
        <f>VLOOKUP(A886,'[1]Raw data'!$B:$AS,39,FALSE)</f>
        <v>Yes</v>
      </c>
      <c r="Z886" s="664"/>
      <c r="AA886" s="665"/>
      <c r="AB886" s="666"/>
      <c r="AC886" s="652" t="s">
        <v>1701</v>
      </c>
      <c r="AD886" s="667">
        <v>301</v>
      </c>
      <c r="AE886" s="667">
        <v>10</v>
      </c>
      <c r="AF886" s="667">
        <v>303</v>
      </c>
      <c r="AG886" s="667">
        <v>10</v>
      </c>
      <c r="AH886" s="667"/>
      <c r="AI886" s="668"/>
      <c r="AN886" s="547"/>
      <c r="AO886" s="829" t="str">
        <f t="shared" si="140"/>
        <v>Yes</v>
      </c>
      <c r="AP886" s="259" t="str">
        <f t="shared" si="141"/>
        <v>JUL 21</v>
      </c>
      <c r="AQ886" s="547" t="str">
        <f t="shared" si="142"/>
        <v>有定金+有預留客戶</v>
      </c>
      <c r="AR886" s="259" t="str">
        <f t="shared" si="143"/>
        <v>Shipped_Stock</v>
      </c>
      <c r="AS886" s="259" t="str">
        <f t="shared" si="144"/>
        <v/>
      </c>
      <c r="AT886" s="259" t="str">
        <f t="shared" si="145"/>
        <v>特斯浦</v>
      </c>
      <c r="AU886" s="259" t="str">
        <f t="shared" si="146"/>
        <v>C49SZX20210087SX</v>
      </c>
      <c r="AV886" s="259" t="str">
        <f t="shared" si="147"/>
        <v>May-30</v>
      </c>
    </row>
    <row r="887" spans="1:48" hidden="1">
      <c r="A887" s="564">
        <v>854</v>
      </c>
      <c r="B887" s="669" t="s">
        <v>1125</v>
      </c>
      <c r="C887" s="669" t="s">
        <v>281</v>
      </c>
      <c r="D887" s="650">
        <v>110384</v>
      </c>
      <c r="E887" s="741" t="s">
        <v>1691</v>
      </c>
      <c r="F887" s="652" t="s">
        <v>58</v>
      </c>
      <c r="G887" s="652" t="s">
        <v>18</v>
      </c>
      <c r="H887" s="652" t="s">
        <v>26</v>
      </c>
      <c r="I887" s="580" t="s">
        <v>1702</v>
      </c>
      <c r="J887" s="580">
        <v>1</v>
      </c>
      <c r="K887" s="652" t="s">
        <v>78</v>
      </c>
      <c r="L887" s="662">
        <v>44346</v>
      </c>
      <c r="M887" s="670" t="s">
        <v>906</v>
      </c>
      <c r="N887" s="652" t="s">
        <v>97</v>
      </c>
      <c r="O887" s="580"/>
      <c r="P887" s="670" t="str">
        <f>VLOOKUP(A887,'[1]Raw data'!$B:$BA,23,FALSE)</f>
        <v>JPY</v>
      </c>
      <c r="Q887" s="652" t="str">
        <f>VLOOKUP(A887,'[1]Raw data'!$B:$Z,2,FALSE)</f>
        <v>C49SZX20200176SX</v>
      </c>
      <c r="R887" s="652" t="str">
        <f>VLOOKUP(A887,'[1]Raw data'!$B:$Z,3,FALSE)</f>
        <v>兴开泰</v>
      </c>
      <c r="S887" s="652" t="str">
        <f>VLOOKUP(A887,'[1]Raw data'!$B:$Z,4,FALSE)</f>
        <v>YSM20R-2</v>
      </c>
      <c r="T887" s="652" t="str">
        <f>VLOOKUP(A887,'[1]Raw data'!$B:$Z,8,FALSE)</f>
        <v>R-&gt;L</v>
      </c>
      <c r="U887" s="652" t="str">
        <f>VLOOKUP(A887,'[1]Raw data'!$B:$Z,9,FALSE)</f>
        <v>No</v>
      </c>
      <c r="V887" s="572" t="str">
        <f t="shared" si="157"/>
        <v>OK</v>
      </c>
      <c r="W887" s="568" t="str">
        <f>VLOOKUP(A887,'[1]Raw data'!$B:$AG,32,FALSE)</f>
        <v>DAP DG</v>
      </c>
      <c r="X887" s="652">
        <f>VLOOKUP(A887,'[1]Raw data'!$B:$BA,31,FALSE)</f>
        <v>44098</v>
      </c>
      <c r="Y887" s="652" t="str">
        <f>VLOOKUP(A887,'[1]Raw data'!$B:$AS,39,FALSE)</f>
        <v>Yes</v>
      </c>
      <c r="Z887" s="664"/>
      <c r="AA887" s="665"/>
      <c r="AB887" s="666"/>
      <c r="AC887" s="652" t="s">
        <v>1695</v>
      </c>
      <c r="AD887" s="667">
        <v>301</v>
      </c>
      <c r="AE887" s="667">
        <v>10</v>
      </c>
      <c r="AF887" s="667">
        <v>303</v>
      </c>
      <c r="AG887" s="667">
        <v>10</v>
      </c>
      <c r="AH887" s="667"/>
      <c r="AI887" s="668"/>
      <c r="AN887" s="547"/>
      <c r="AO887" s="829" t="str">
        <f t="shared" si="140"/>
        <v>Yes</v>
      </c>
      <c r="AP887" s="259" t="str">
        <f t="shared" si="141"/>
        <v>JUL 21</v>
      </c>
      <c r="AQ887" s="547" t="str">
        <f t="shared" si="142"/>
        <v>有定金+有預留客戶</v>
      </c>
      <c r="AR887" s="259" t="str">
        <f t="shared" si="143"/>
        <v>Shipped_Stock</v>
      </c>
      <c r="AS887" s="259" t="str">
        <f t="shared" si="144"/>
        <v/>
      </c>
      <c r="AT887" s="259" t="str">
        <f t="shared" si="145"/>
        <v>兴开泰</v>
      </c>
      <c r="AU887" s="259" t="str">
        <f t="shared" si="146"/>
        <v>C49SZX20200176SX</v>
      </c>
      <c r="AV887" s="259" t="str">
        <f t="shared" si="147"/>
        <v>May-30</v>
      </c>
    </row>
    <row r="888" spans="1:48" hidden="1">
      <c r="A888" s="564">
        <v>1268</v>
      </c>
      <c r="B888" s="669" t="s">
        <v>1125</v>
      </c>
      <c r="C888" s="669" t="s">
        <v>15</v>
      </c>
      <c r="D888" s="650">
        <v>110450</v>
      </c>
      <c r="E888" s="568" t="s">
        <v>886</v>
      </c>
      <c r="F888" s="652" t="s">
        <v>17</v>
      </c>
      <c r="G888" s="652" t="s">
        <v>18</v>
      </c>
      <c r="H888" s="652" t="s">
        <v>27</v>
      </c>
      <c r="I888" s="580" t="s">
        <v>1703</v>
      </c>
      <c r="J888" s="580">
        <v>1</v>
      </c>
      <c r="K888" s="652" t="s">
        <v>78</v>
      </c>
      <c r="L888" s="662">
        <v>44346</v>
      </c>
      <c r="M888" s="670" t="s">
        <v>906</v>
      </c>
      <c r="N888" s="652" t="s">
        <v>96</v>
      </c>
      <c r="O888" s="580"/>
      <c r="P888" s="670" t="str">
        <f>VLOOKUP(A888,'[1]Raw data'!$B:$BA,23,FALSE)</f>
        <v>JPY</v>
      </c>
      <c r="Q888" s="652" t="str">
        <f>VLOOKUP(A888,'[1]Raw data'!$B:$Z,2,FALSE)</f>
        <v>C49SZX20210075JL</v>
      </c>
      <c r="R888" s="652" t="str">
        <f>VLOOKUP(A888,'[1]Raw data'!$B:$Z,3,FALSE)</f>
        <v>伯莱科</v>
      </c>
      <c r="S888" s="652" t="str">
        <f>VLOOKUP(A888,'[1]Raw data'!$B:$Z,4,FALSE)</f>
        <v>YSM10</v>
      </c>
      <c r="T888" s="652" t="str">
        <f>VLOOKUP(A888,'[1]Raw data'!$B:$Z,8,FALSE)</f>
        <v>L-&gt;R</v>
      </c>
      <c r="U888" s="652" t="str">
        <f>VLOOKUP(A888,'[1]Raw data'!$B:$Z,9,FALSE)</f>
        <v>MVC</v>
      </c>
      <c r="V888" s="572" t="str">
        <f t="shared" ref="V888:V896" si="158">IF(G888&amp;H888=T888&amp;U888,"OK","WRONG")</f>
        <v>WRONG</v>
      </c>
      <c r="W888" s="568" t="str">
        <f>VLOOKUP(A888,'[1]Raw data'!$B:$AG,32,FALSE)</f>
        <v>DAP SZ</v>
      </c>
      <c r="X888" s="652">
        <f>VLOOKUP(A888,'[1]Raw data'!$B:$BA,31,FALSE)</f>
        <v>44266</v>
      </c>
      <c r="Y888" s="652" t="str">
        <f>VLOOKUP(A888,'[1]Raw data'!$B:$AS,39,FALSE)</f>
        <v>Yes</v>
      </c>
      <c r="Z888" s="667"/>
      <c r="AA888" s="667"/>
      <c r="AB888" s="667"/>
      <c r="AC888" s="580" t="s">
        <v>1109</v>
      </c>
      <c r="AD888" s="667">
        <v>311</v>
      </c>
      <c r="AE888" s="667">
        <v>10</v>
      </c>
      <c r="AF888" s="667"/>
      <c r="AG888" s="667"/>
      <c r="AH888" s="667"/>
      <c r="AI888" s="668"/>
      <c r="AN888" s="547"/>
      <c r="AO888" s="829" t="str">
        <f t="shared" si="140"/>
        <v>Yes</v>
      </c>
      <c r="AP888" s="259" t="str">
        <f t="shared" si="141"/>
        <v>JUN 21</v>
      </c>
      <c r="AQ888" s="547" t="str">
        <f t="shared" si="142"/>
        <v>有定金+有預留客戶</v>
      </c>
      <c r="AR888" s="259" t="str">
        <f t="shared" si="143"/>
        <v>Shipped_Stock</v>
      </c>
      <c r="AS888" s="259" t="str">
        <f t="shared" si="144"/>
        <v/>
      </c>
      <c r="AT888" s="259" t="str">
        <f t="shared" si="145"/>
        <v>伯莱科</v>
      </c>
      <c r="AU888" s="259" t="str">
        <f t="shared" si="146"/>
        <v>C49SZX20210075JL</v>
      </c>
      <c r="AV888" s="259" t="str">
        <f t="shared" si="147"/>
        <v>May-30</v>
      </c>
    </row>
    <row r="889" spans="1:48" hidden="1">
      <c r="A889" s="564">
        <v>1269</v>
      </c>
      <c r="B889" s="669" t="s">
        <v>1125</v>
      </c>
      <c r="C889" s="669" t="s">
        <v>15</v>
      </c>
      <c r="D889" s="650">
        <v>110450</v>
      </c>
      <c r="E889" s="568" t="s">
        <v>886</v>
      </c>
      <c r="F889" s="652" t="s">
        <v>17</v>
      </c>
      <c r="G889" s="652" t="s">
        <v>18</v>
      </c>
      <c r="H889" s="652" t="s">
        <v>27</v>
      </c>
      <c r="I889" s="580" t="s">
        <v>1704</v>
      </c>
      <c r="J889" s="580">
        <v>1</v>
      </c>
      <c r="K889" s="652" t="s">
        <v>78</v>
      </c>
      <c r="L889" s="662">
        <v>44346</v>
      </c>
      <c r="M889" s="670" t="s">
        <v>906</v>
      </c>
      <c r="N889" s="652" t="s">
        <v>96</v>
      </c>
      <c r="O889" s="580"/>
      <c r="P889" s="670" t="str">
        <f>VLOOKUP(A889,'[1]Raw data'!$B:$BA,23,FALSE)</f>
        <v>JPY</v>
      </c>
      <c r="Q889" s="652" t="str">
        <f>VLOOKUP(A889,'[1]Raw data'!$B:$Z,2,FALSE)</f>
        <v>C49SZX20210075JL</v>
      </c>
      <c r="R889" s="652" t="str">
        <f>VLOOKUP(A889,'[1]Raw data'!$B:$Z,3,FALSE)</f>
        <v>伯莱科</v>
      </c>
      <c r="S889" s="652" t="str">
        <f>VLOOKUP(A889,'[1]Raw data'!$B:$Z,4,FALSE)</f>
        <v>YSM10</v>
      </c>
      <c r="T889" s="652" t="str">
        <f>VLOOKUP(A889,'[1]Raw data'!$B:$Z,8,FALSE)</f>
        <v>L-&gt;R</v>
      </c>
      <c r="U889" s="652" t="str">
        <f>VLOOKUP(A889,'[1]Raw data'!$B:$Z,9,FALSE)</f>
        <v>MVC</v>
      </c>
      <c r="V889" s="572" t="str">
        <f t="shared" si="158"/>
        <v>WRONG</v>
      </c>
      <c r="W889" s="568" t="str">
        <f>VLOOKUP(A889,'[1]Raw data'!$B:$AG,32,FALSE)</f>
        <v>DAP SZ</v>
      </c>
      <c r="X889" s="652">
        <f>VLOOKUP(A889,'[1]Raw data'!$B:$BA,31,FALSE)</f>
        <v>44266</v>
      </c>
      <c r="Y889" s="652" t="str">
        <f>VLOOKUP(A889,'[1]Raw data'!$B:$AS,39,FALSE)</f>
        <v>Yes</v>
      </c>
      <c r="Z889" s="667"/>
      <c r="AA889" s="667"/>
      <c r="AB889" s="667"/>
      <c r="AC889" s="580" t="s">
        <v>1109</v>
      </c>
      <c r="AD889" s="667">
        <v>311</v>
      </c>
      <c r="AE889" s="667">
        <v>10</v>
      </c>
      <c r="AF889" s="667"/>
      <c r="AG889" s="667"/>
      <c r="AH889" s="667"/>
      <c r="AI889" s="668"/>
      <c r="AN889" s="547"/>
      <c r="AO889" s="829" t="str">
        <f t="shared" si="140"/>
        <v>Yes</v>
      </c>
      <c r="AP889" s="259" t="str">
        <f t="shared" si="141"/>
        <v>JUN 21</v>
      </c>
      <c r="AQ889" s="547" t="str">
        <f t="shared" si="142"/>
        <v>有定金+有預留客戶</v>
      </c>
      <c r="AR889" s="259" t="str">
        <f t="shared" si="143"/>
        <v>Shipped_Stock</v>
      </c>
      <c r="AS889" s="259" t="str">
        <f t="shared" si="144"/>
        <v/>
      </c>
      <c r="AT889" s="259" t="str">
        <f t="shared" si="145"/>
        <v>伯莱科</v>
      </c>
      <c r="AU889" s="259" t="str">
        <f t="shared" si="146"/>
        <v>C49SZX20210075JL</v>
      </c>
      <c r="AV889" s="259" t="str">
        <f t="shared" si="147"/>
        <v>May-30</v>
      </c>
    </row>
    <row r="890" spans="1:48" hidden="1">
      <c r="A890" s="564">
        <v>1350</v>
      </c>
      <c r="B890" s="669" t="s">
        <v>1125</v>
      </c>
      <c r="C890" s="669" t="s">
        <v>15</v>
      </c>
      <c r="D890" s="650">
        <v>110450</v>
      </c>
      <c r="E890" s="568" t="s">
        <v>886</v>
      </c>
      <c r="F890" s="652" t="s">
        <v>17</v>
      </c>
      <c r="G890" s="652" t="s">
        <v>18</v>
      </c>
      <c r="H890" s="652" t="s">
        <v>27</v>
      </c>
      <c r="I890" s="580" t="s">
        <v>1705</v>
      </c>
      <c r="J890" s="580">
        <v>1</v>
      </c>
      <c r="K890" s="652" t="s">
        <v>78</v>
      </c>
      <c r="L890" s="662">
        <v>44346</v>
      </c>
      <c r="M890" s="670" t="s">
        <v>906</v>
      </c>
      <c r="N890" s="652" t="s">
        <v>96</v>
      </c>
      <c r="O890" s="580"/>
      <c r="P890" s="670" t="str">
        <f>VLOOKUP(A890,'[1]Raw data'!$B:$BA,23,FALSE)</f>
        <v>JPY</v>
      </c>
      <c r="Q890" s="652" t="str">
        <f>VLOOKUP(A890,'[1]Raw data'!$B:$Z,2,FALSE)</f>
        <v>C49SZX20210124JL</v>
      </c>
      <c r="R890" s="652" t="str">
        <f>VLOOKUP(A890,'[1]Raw data'!$B:$Z,3,FALSE)</f>
        <v>小婉牛</v>
      </c>
      <c r="S890" s="652" t="str">
        <f>VLOOKUP(A890,'[1]Raw data'!$B:$Z,4,FALSE)</f>
        <v>YSM10</v>
      </c>
      <c r="T890" s="652" t="str">
        <f>VLOOKUP(A890,'[1]Raw data'!$B:$Z,8,FALSE)</f>
        <v>L-&gt;R</v>
      </c>
      <c r="U890" s="652" t="str">
        <f>VLOOKUP(A890,'[1]Raw data'!$B:$Z,9,FALSE)</f>
        <v>MVC</v>
      </c>
      <c r="V890" s="572" t="str">
        <f t="shared" si="158"/>
        <v>WRONG</v>
      </c>
      <c r="W890" s="568" t="str">
        <f>VLOOKUP(A890,'[1]Raw data'!$B:$AG,32,FALSE)</f>
        <v>DAP SZ</v>
      </c>
      <c r="X890" s="652">
        <f>VLOOKUP(A890,'[1]Raw data'!$B:$BA,31,FALSE)</f>
        <v>44308</v>
      </c>
      <c r="Y890" s="652" t="str">
        <f>VLOOKUP(A890,'[1]Raw data'!$B:$AS,39,FALSE)</f>
        <v>Yes</v>
      </c>
      <c r="Z890" s="667"/>
      <c r="AA890" s="667"/>
      <c r="AB890" s="667"/>
      <c r="AC890" s="580" t="s">
        <v>1706</v>
      </c>
      <c r="AD890" s="667">
        <v>311</v>
      </c>
      <c r="AE890" s="667">
        <v>10</v>
      </c>
      <c r="AF890" s="667"/>
      <c r="AG890" s="667"/>
      <c r="AH890" s="667"/>
      <c r="AI890" s="668"/>
      <c r="AN890" s="547"/>
      <c r="AO890" s="829" t="str">
        <f t="shared" si="140"/>
        <v>Yes</v>
      </c>
      <c r="AP890" s="259" t="str">
        <f t="shared" si="141"/>
        <v>JUN 21</v>
      </c>
      <c r="AQ890" s="547" t="str">
        <f t="shared" si="142"/>
        <v>有定金+有預留客戶</v>
      </c>
      <c r="AR890" s="259" t="str">
        <f t="shared" si="143"/>
        <v>Shipped_Stock</v>
      </c>
      <c r="AS890" s="259" t="str">
        <f t="shared" si="144"/>
        <v/>
      </c>
      <c r="AT890" s="259" t="str">
        <f t="shared" si="145"/>
        <v>小婉牛</v>
      </c>
      <c r="AU890" s="259" t="str">
        <f t="shared" si="146"/>
        <v>C49SZX20210124JL</v>
      </c>
      <c r="AV890" s="259" t="str">
        <f t="shared" si="147"/>
        <v>May-30</v>
      </c>
    </row>
    <row r="891" spans="1:48" hidden="1">
      <c r="A891" s="564">
        <v>1385</v>
      </c>
      <c r="B891" s="669" t="s">
        <v>1125</v>
      </c>
      <c r="C891" s="669" t="s">
        <v>15</v>
      </c>
      <c r="D891" s="650" t="s">
        <v>1707</v>
      </c>
      <c r="E891" s="568" t="s">
        <v>886</v>
      </c>
      <c r="F891" s="652" t="s">
        <v>17</v>
      </c>
      <c r="G891" s="652" t="s">
        <v>18</v>
      </c>
      <c r="H891" s="652" t="s">
        <v>27</v>
      </c>
      <c r="I891" s="580" t="s">
        <v>1708</v>
      </c>
      <c r="J891" s="580">
        <v>1</v>
      </c>
      <c r="K891" s="652" t="s">
        <v>78</v>
      </c>
      <c r="L891" s="662">
        <v>44346</v>
      </c>
      <c r="M891" s="683" t="s">
        <v>1709</v>
      </c>
      <c r="N891" s="652" t="s">
        <v>97</v>
      </c>
      <c r="O891" s="580"/>
      <c r="P891" s="670" t="str">
        <f>VLOOKUP(A891,'[1]Raw data'!$B:$BA,23,FALSE)</f>
        <v>JPY</v>
      </c>
      <c r="Q891" s="652" t="str">
        <f>VLOOKUP(A891,'[1]Raw data'!$B:$Z,2,FALSE)</f>
        <v>C49SZX20220057DZ</v>
      </c>
      <c r="R891" s="652" t="str">
        <f>VLOOKUP(A891,'[1]Raw data'!$B:$Z,3,FALSE)</f>
        <v>广恒创新（enduser:深圳比尔乔）</v>
      </c>
      <c r="S891" s="652" t="str">
        <f>VLOOKUP(A891,'[1]Raw data'!$B:$Z,4,FALSE)</f>
        <v>YSM10</v>
      </c>
      <c r="T891" s="652" t="str">
        <f>VLOOKUP(A891,'[1]Raw data'!$B:$Z,8,FALSE)</f>
        <v>R-&gt;L</v>
      </c>
      <c r="U891" s="652" t="str">
        <f>VLOOKUP(A891,'[1]Raw data'!$B:$Z,9,FALSE)</f>
        <v>MVC</v>
      </c>
      <c r="V891" s="572" t="str">
        <f t="shared" si="158"/>
        <v>OK</v>
      </c>
      <c r="W891" s="568" t="str">
        <f>VLOOKUP(A891,'[1]Raw data'!$B:$AG,32,FALSE)</f>
        <v>CIF HK</v>
      </c>
      <c r="X891" s="652">
        <f>VLOOKUP(A891,'[1]Raw data'!$B:$BA,31,FALSE)</f>
        <v>44340</v>
      </c>
      <c r="Y891" s="652" t="str">
        <f>VLOOKUP(A891,'[1]Raw data'!$B:$AS,39,FALSE)</f>
        <v>Yes</v>
      </c>
      <c r="Z891" s="667"/>
      <c r="AA891" s="667"/>
      <c r="AB891" s="667"/>
      <c r="AC891" s="580" t="s">
        <v>1659</v>
      </c>
      <c r="AD891" s="667">
        <v>301</v>
      </c>
      <c r="AE891" s="667">
        <v>10</v>
      </c>
      <c r="AF891" s="667"/>
      <c r="AG891" s="667"/>
      <c r="AH891" s="667"/>
      <c r="AI891" s="668"/>
      <c r="AN891" s="547"/>
      <c r="AO891" s="829" t="str">
        <f t="shared" si="140"/>
        <v>Yes</v>
      </c>
      <c r="AP891" s="259" t="str">
        <f t="shared" si="141"/>
        <v>JUL 21</v>
      </c>
      <c r="AQ891" s="547" t="str">
        <f t="shared" si="142"/>
        <v>有定金+有預留客戶</v>
      </c>
      <c r="AR891" s="259" t="str">
        <f t="shared" si="143"/>
        <v>Shipped_Stock</v>
      </c>
      <c r="AS891" s="259" t="str">
        <f t="shared" si="144"/>
        <v/>
      </c>
      <c r="AT891" s="259" t="str">
        <f t="shared" si="145"/>
        <v>广恒创新（enduser:深圳比尔乔）</v>
      </c>
      <c r="AU891" s="259" t="str">
        <f t="shared" si="146"/>
        <v>C49SZX20220057DZ</v>
      </c>
      <c r="AV891" s="259" t="str">
        <f t="shared" si="147"/>
        <v>May-30</v>
      </c>
    </row>
    <row r="892" spans="1:48" hidden="1">
      <c r="A892" s="564">
        <v>1386</v>
      </c>
      <c r="B892" s="669" t="s">
        <v>1125</v>
      </c>
      <c r="C892" s="669" t="s">
        <v>15</v>
      </c>
      <c r="D892" s="650" t="s">
        <v>1710</v>
      </c>
      <c r="E892" s="568" t="s">
        <v>886</v>
      </c>
      <c r="F892" s="652" t="s">
        <v>17</v>
      </c>
      <c r="G892" s="652" t="s">
        <v>18</v>
      </c>
      <c r="H892" s="652" t="s">
        <v>27</v>
      </c>
      <c r="I892" s="580" t="s">
        <v>1711</v>
      </c>
      <c r="J892" s="580">
        <v>1</v>
      </c>
      <c r="K892" s="652" t="s">
        <v>78</v>
      </c>
      <c r="L892" s="662">
        <v>44346</v>
      </c>
      <c r="M892" s="670">
        <v>6.0600000000000001E-2</v>
      </c>
      <c r="N892" s="652" t="s">
        <v>97</v>
      </c>
      <c r="O892" s="580"/>
      <c r="P892" s="670" t="str">
        <f>VLOOKUP(A892,'[1]Raw data'!$B:$BA,23,FALSE)</f>
        <v>JPY</v>
      </c>
      <c r="Q892" s="652" t="str">
        <f>VLOOKUP(A892,'[1]Raw data'!$B:$Z,2,FALSE)</f>
        <v>C49SZX20220057DZ</v>
      </c>
      <c r="R892" s="652" t="str">
        <f>VLOOKUP(A892,'[1]Raw data'!$B:$Z,3,FALSE)</f>
        <v>广恒创新（enduser:深圳比尔乔）</v>
      </c>
      <c r="S892" s="652" t="str">
        <f>VLOOKUP(A892,'[1]Raw data'!$B:$Z,4,FALSE)</f>
        <v>YSM10</v>
      </c>
      <c r="T892" s="652" t="str">
        <f>VLOOKUP(A892,'[1]Raw data'!$B:$Z,8,FALSE)</f>
        <v>R-&gt;L</v>
      </c>
      <c r="U892" s="652" t="str">
        <f>VLOOKUP(A892,'[1]Raw data'!$B:$Z,9,FALSE)</f>
        <v>MVC</v>
      </c>
      <c r="V892" s="572" t="str">
        <f t="shared" si="158"/>
        <v>OK</v>
      </c>
      <c r="W892" s="568" t="str">
        <f>VLOOKUP(A892,'[1]Raw data'!$B:$AG,32,FALSE)</f>
        <v>CIF HK</v>
      </c>
      <c r="X892" s="652">
        <f>VLOOKUP(A892,'[1]Raw data'!$B:$BA,31,FALSE)</f>
        <v>44340</v>
      </c>
      <c r="Y892" s="652" t="str">
        <f>VLOOKUP(A892,'[1]Raw data'!$B:$AS,39,FALSE)</f>
        <v>Yes</v>
      </c>
      <c r="Z892" s="667"/>
      <c r="AA892" s="667"/>
      <c r="AB892" s="667"/>
      <c r="AC892" s="580" t="s">
        <v>1659</v>
      </c>
      <c r="AD892" s="667">
        <v>301</v>
      </c>
      <c r="AE892" s="667">
        <v>10</v>
      </c>
      <c r="AF892" s="667"/>
      <c r="AG892" s="667"/>
      <c r="AH892" s="667"/>
      <c r="AI892" s="668"/>
      <c r="AN892" s="547"/>
      <c r="AO892" s="829" t="str">
        <f t="shared" si="140"/>
        <v>Yes</v>
      </c>
      <c r="AP892" s="259" t="str">
        <f t="shared" si="141"/>
        <v>JUL 21</v>
      </c>
      <c r="AQ892" s="547" t="str">
        <f t="shared" si="142"/>
        <v>有定金+有預留客戶</v>
      </c>
      <c r="AR892" s="259" t="str">
        <f t="shared" si="143"/>
        <v>Shipped_Stock</v>
      </c>
      <c r="AS892" s="259" t="str">
        <f t="shared" si="144"/>
        <v/>
      </c>
      <c r="AT892" s="259" t="str">
        <f t="shared" si="145"/>
        <v>广恒创新（enduser:深圳比尔乔）</v>
      </c>
      <c r="AU892" s="259" t="str">
        <f t="shared" si="146"/>
        <v>C49SZX20220057DZ</v>
      </c>
      <c r="AV892" s="259" t="str">
        <f t="shared" si="147"/>
        <v>May-30</v>
      </c>
    </row>
    <row r="893" spans="1:48" hidden="1">
      <c r="A893" s="564">
        <v>1271</v>
      </c>
      <c r="B893" s="669" t="s">
        <v>1125</v>
      </c>
      <c r="C893" s="669" t="s">
        <v>281</v>
      </c>
      <c r="D893" s="650">
        <v>110449</v>
      </c>
      <c r="E893" s="568" t="s">
        <v>886</v>
      </c>
      <c r="F893" s="652" t="s">
        <v>17</v>
      </c>
      <c r="G893" s="652" t="s">
        <v>18</v>
      </c>
      <c r="H893" s="652" t="s">
        <v>26</v>
      </c>
      <c r="I893" s="580" t="s">
        <v>1712</v>
      </c>
      <c r="J893" s="580">
        <v>1</v>
      </c>
      <c r="K893" s="652" t="s">
        <v>78</v>
      </c>
      <c r="L893" s="662">
        <v>44346</v>
      </c>
      <c r="M893" s="670" t="s">
        <v>906</v>
      </c>
      <c r="N893" s="652" t="s">
        <v>96</v>
      </c>
      <c r="O893" s="580"/>
      <c r="P893" s="670" t="str">
        <f>VLOOKUP(A893,'[1]Raw data'!$B:$BA,23,FALSE)</f>
        <v>JPY</v>
      </c>
      <c r="Q893" s="652" t="str">
        <f>VLOOKUP(A893,'[1]Raw data'!$B:$Z,2,FALSE)</f>
        <v>C49SZX20210086JL</v>
      </c>
      <c r="R893" s="652" t="str">
        <f>VLOOKUP(A893,'[1]Raw data'!$B:$Z,3,FALSE)</f>
        <v>鹏鑫达（end user：晶昌鸿业）</v>
      </c>
      <c r="S893" s="652" t="str">
        <f>VLOOKUP(A893,'[1]Raw data'!$B:$Z,4,FALSE)</f>
        <v>YSM10</v>
      </c>
      <c r="T893" s="652" t="str">
        <f>VLOOKUP(A893,'[1]Raw data'!$B:$Z,8,FALSE)</f>
        <v>L-&gt;R</v>
      </c>
      <c r="U893" s="652" t="str">
        <f>VLOOKUP(A893,'[1]Raw data'!$B:$Z,9,FALSE)</f>
        <v>MVC</v>
      </c>
      <c r="V893" s="572" t="str">
        <f t="shared" si="158"/>
        <v>WRONG</v>
      </c>
      <c r="W893" s="568" t="str">
        <f>VLOOKUP(A893,'[1]Raw data'!$B:$AG,32,FALSE)</f>
        <v>DAP SZ</v>
      </c>
      <c r="X893" s="652">
        <f>VLOOKUP(A893,'[1]Raw data'!$B:$BA,31,FALSE)</f>
        <v>44274</v>
      </c>
      <c r="Y893" s="652" t="str">
        <f>VLOOKUP(A893,'[1]Raw data'!$B:$AS,39,FALSE)</f>
        <v>Yes</v>
      </c>
      <c r="Z893" s="664"/>
      <c r="AA893" s="665"/>
      <c r="AB893" s="666"/>
      <c r="AC893" s="652" t="s">
        <v>1713</v>
      </c>
      <c r="AD893" s="667">
        <v>301</v>
      </c>
      <c r="AE893" s="667">
        <v>10</v>
      </c>
      <c r="AF893" s="667"/>
      <c r="AG893" s="667"/>
      <c r="AH893" s="667"/>
      <c r="AI893" s="668"/>
      <c r="AN893" s="547"/>
      <c r="AO893" s="829" t="str">
        <f t="shared" si="140"/>
        <v>Yes</v>
      </c>
      <c r="AP893" s="259" t="str">
        <f t="shared" si="141"/>
        <v>JUN 21</v>
      </c>
      <c r="AQ893" s="547" t="str">
        <f t="shared" si="142"/>
        <v>有定金+有預留客戶</v>
      </c>
      <c r="AR893" s="259" t="str">
        <f t="shared" si="143"/>
        <v>Shipped_Stock</v>
      </c>
      <c r="AS893" s="259" t="str">
        <f t="shared" si="144"/>
        <v/>
      </c>
      <c r="AT893" s="259" t="str">
        <f t="shared" si="145"/>
        <v>鹏鑫达（end user：晶昌鸿业）</v>
      </c>
      <c r="AU893" s="259" t="str">
        <f t="shared" si="146"/>
        <v>C49SZX20210086JL</v>
      </c>
      <c r="AV893" s="259" t="str">
        <f t="shared" si="147"/>
        <v>May-30</v>
      </c>
    </row>
    <row r="894" spans="1:48" hidden="1">
      <c r="A894" s="564">
        <v>1272</v>
      </c>
      <c r="B894" s="669" t="s">
        <v>1125</v>
      </c>
      <c r="C894" s="669" t="s">
        <v>281</v>
      </c>
      <c r="D894" s="650">
        <v>110449</v>
      </c>
      <c r="E894" s="568" t="s">
        <v>886</v>
      </c>
      <c r="F894" s="652" t="s">
        <v>17</v>
      </c>
      <c r="G894" s="652" t="s">
        <v>18</v>
      </c>
      <c r="H894" s="652" t="s">
        <v>26</v>
      </c>
      <c r="I894" s="580" t="s">
        <v>1714</v>
      </c>
      <c r="J894" s="580">
        <v>1</v>
      </c>
      <c r="K894" s="652" t="s">
        <v>78</v>
      </c>
      <c r="L894" s="662">
        <v>44346</v>
      </c>
      <c r="M894" s="670" t="s">
        <v>906</v>
      </c>
      <c r="N894" s="652" t="s">
        <v>96</v>
      </c>
      <c r="O894" s="580"/>
      <c r="P894" s="670" t="str">
        <f>VLOOKUP(A894,'[1]Raw data'!$B:$BA,23,FALSE)</f>
        <v>JPY</v>
      </c>
      <c r="Q894" s="652" t="str">
        <f>VLOOKUP(A894,'[1]Raw data'!$B:$Z,2,FALSE)</f>
        <v>C49SZX20210086JL</v>
      </c>
      <c r="R894" s="652" t="str">
        <f>VLOOKUP(A894,'[1]Raw data'!$B:$Z,3,FALSE)</f>
        <v>鹏鑫达（end user：晶昌鸿业）</v>
      </c>
      <c r="S894" s="652" t="str">
        <f>VLOOKUP(A894,'[1]Raw data'!$B:$Z,4,FALSE)</f>
        <v>YSM10</v>
      </c>
      <c r="T894" s="652" t="str">
        <f>VLOOKUP(A894,'[1]Raw data'!$B:$Z,8,FALSE)</f>
        <v>L-&gt;R</v>
      </c>
      <c r="U894" s="652" t="str">
        <f>VLOOKUP(A894,'[1]Raw data'!$B:$Z,9,FALSE)</f>
        <v>MVC</v>
      </c>
      <c r="V894" s="572" t="str">
        <f t="shared" si="158"/>
        <v>WRONG</v>
      </c>
      <c r="W894" s="568" t="str">
        <f>VLOOKUP(A894,'[1]Raw data'!$B:$AG,32,FALSE)</f>
        <v>DAP SZ</v>
      </c>
      <c r="X894" s="652">
        <f>VLOOKUP(A894,'[1]Raw data'!$B:$BA,31,FALSE)</f>
        <v>44274</v>
      </c>
      <c r="Y894" s="652" t="str">
        <f>VLOOKUP(A894,'[1]Raw data'!$B:$AS,39,FALSE)</f>
        <v>Yes</v>
      </c>
      <c r="Z894" s="664"/>
      <c r="AA894" s="665"/>
      <c r="AB894" s="666"/>
      <c r="AC894" s="652" t="s">
        <v>1713</v>
      </c>
      <c r="AD894" s="667">
        <v>301</v>
      </c>
      <c r="AE894" s="667">
        <v>10</v>
      </c>
      <c r="AF894" s="667"/>
      <c r="AG894" s="667"/>
      <c r="AH894" s="667"/>
      <c r="AI894" s="668"/>
      <c r="AN894" s="547"/>
      <c r="AO894" s="829" t="str">
        <f t="shared" si="140"/>
        <v>Yes</v>
      </c>
      <c r="AP894" s="259" t="str">
        <f t="shared" si="141"/>
        <v>JUN 21</v>
      </c>
      <c r="AQ894" s="547" t="str">
        <f t="shared" si="142"/>
        <v>有定金+有預留客戶</v>
      </c>
      <c r="AR894" s="259" t="str">
        <f t="shared" si="143"/>
        <v>Shipped_Stock</v>
      </c>
      <c r="AS894" s="259" t="str">
        <f t="shared" si="144"/>
        <v/>
      </c>
      <c r="AT894" s="259" t="str">
        <f t="shared" si="145"/>
        <v>鹏鑫达（end user：晶昌鸿业）</v>
      </c>
      <c r="AU894" s="259" t="str">
        <f t="shared" si="146"/>
        <v>C49SZX20210086JL</v>
      </c>
      <c r="AV894" s="259" t="str">
        <f t="shared" si="147"/>
        <v>May-30</v>
      </c>
    </row>
    <row r="895" spans="1:48" hidden="1">
      <c r="A895" s="564">
        <v>1375</v>
      </c>
      <c r="B895" s="669" t="s">
        <v>1125</v>
      </c>
      <c r="C895" s="669" t="s">
        <v>281</v>
      </c>
      <c r="D895" s="650">
        <v>110449</v>
      </c>
      <c r="E895" s="568" t="s">
        <v>886</v>
      </c>
      <c r="F895" s="652" t="s">
        <v>17</v>
      </c>
      <c r="G895" s="652" t="s">
        <v>18</v>
      </c>
      <c r="H895" s="652" t="s">
        <v>104</v>
      </c>
      <c r="I895" s="580" t="s">
        <v>1715</v>
      </c>
      <c r="J895" s="580">
        <v>1</v>
      </c>
      <c r="K895" s="652" t="s">
        <v>78</v>
      </c>
      <c r="L895" s="662">
        <v>44346</v>
      </c>
      <c r="M895" s="670" t="s">
        <v>906</v>
      </c>
      <c r="N895" s="652" t="s">
        <v>96</v>
      </c>
      <c r="O895" s="580"/>
      <c r="P895" s="670" t="str">
        <f>VLOOKUP(A895,'[1]Raw data'!$B:$BA,23,FALSE)</f>
        <v>JPY</v>
      </c>
      <c r="Q895" s="652" t="str">
        <f>VLOOKUP(A895,'[1]Raw data'!$B:$Z,2,FALSE)</f>
        <v>C49SZX20210138JL</v>
      </c>
      <c r="R895" s="652" t="str">
        <f>VLOOKUP(A895,'[1]Raw data'!$B:$Z,3,FALSE)</f>
        <v>力通威</v>
      </c>
      <c r="S895" s="652" t="str">
        <f>VLOOKUP(A895,'[1]Raw data'!$B:$Z,4,FALSE)</f>
        <v>YSM10</v>
      </c>
      <c r="T895" s="652" t="str">
        <f>VLOOKUP(A895,'[1]Raw data'!$B:$Z,8,FALSE)</f>
        <v>L-&gt;R</v>
      </c>
      <c r="U895" s="652" t="str">
        <f>VLOOKUP(A895,'[1]Raw data'!$B:$Z,9,FALSE)</f>
        <v xml:space="preserve">MVC+96 FEEDER PLATE (YSM10) </v>
      </c>
      <c r="V895" s="572" t="str">
        <f t="shared" si="158"/>
        <v>WRONG</v>
      </c>
      <c r="W895" s="568" t="str">
        <f>VLOOKUP(A895,'[1]Raw data'!$B:$AG,32,FALSE)</f>
        <v>CIF HK</v>
      </c>
      <c r="X895" s="652">
        <f>VLOOKUP(A895,'[1]Raw data'!$B:$BA,31,FALSE)</f>
        <v>44333</v>
      </c>
      <c r="Y895" s="652" t="str">
        <f>VLOOKUP(A895,'[1]Raw data'!$B:$AS,39,FALSE)</f>
        <v>Yes</v>
      </c>
      <c r="Z895" s="664"/>
      <c r="AA895" s="665"/>
      <c r="AB895" s="666"/>
      <c r="AC895" s="652" t="s">
        <v>1716</v>
      </c>
      <c r="AD895" s="667">
        <v>301</v>
      </c>
      <c r="AE895" s="667">
        <v>10</v>
      </c>
      <c r="AF895" s="667"/>
      <c r="AG895" s="667"/>
      <c r="AH895" s="667"/>
      <c r="AI895" s="668"/>
      <c r="AN895" s="547"/>
      <c r="AO895" s="829" t="str">
        <f t="shared" si="140"/>
        <v>Yes</v>
      </c>
      <c r="AP895" s="259" t="str">
        <f t="shared" si="141"/>
        <v>JUN 21</v>
      </c>
      <c r="AQ895" s="547" t="str">
        <f t="shared" si="142"/>
        <v>有定金+有預留客戶</v>
      </c>
      <c r="AR895" s="259" t="str">
        <f t="shared" si="143"/>
        <v>Shipped_Stock</v>
      </c>
      <c r="AS895" s="259" t="str">
        <f t="shared" si="144"/>
        <v/>
      </c>
      <c r="AT895" s="259" t="str">
        <f t="shared" si="145"/>
        <v>力通威</v>
      </c>
      <c r="AU895" s="259" t="str">
        <f t="shared" si="146"/>
        <v>C49SZX20210138JL</v>
      </c>
      <c r="AV895" s="259" t="str">
        <f t="shared" si="147"/>
        <v>May-30</v>
      </c>
    </row>
    <row r="896" spans="1:48" hidden="1">
      <c r="A896" s="564">
        <v>1351</v>
      </c>
      <c r="B896" s="669" t="s">
        <v>1125</v>
      </c>
      <c r="C896" s="669" t="s">
        <v>281</v>
      </c>
      <c r="D896" s="650">
        <v>110449</v>
      </c>
      <c r="E896" s="568" t="s">
        <v>886</v>
      </c>
      <c r="F896" s="652" t="s">
        <v>17</v>
      </c>
      <c r="G896" s="652" t="s">
        <v>18</v>
      </c>
      <c r="H896" s="652" t="s">
        <v>27</v>
      </c>
      <c r="I896" s="580" t="s">
        <v>1717</v>
      </c>
      <c r="J896" s="580">
        <v>1</v>
      </c>
      <c r="K896" s="652" t="s">
        <v>78</v>
      </c>
      <c r="L896" s="662">
        <v>44346</v>
      </c>
      <c r="M896" s="670" t="s">
        <v>258</v>
      </c>
      <c r="N896" s="652" t="s">
        <v>96</v>
      </c>
      <c r="O896" s="580"/>
      <c r="P896" s="670" t="str">
        <f>VLOOKUP(A896,'[1]Raw data'!$B:$BA,23,FALSE)</f>
        <v>JPY</v>
      </c>
      <c r="Q896" s="652" t="str">
        <f>VLOOKUP(A896,'[1]Raw data'!$B:$Z,2,FALSE)</f>
        <v>C49SZX20210123JY</v>
      </c>
      <c r="R896" s="652" t="str">
        <f>VLOOKUP(A896,'[1]Raw data'!$B:$Z,3,FALSE)</f>
        <v>四方信达</v>
      </c>
      <c r="S896" s="652" t="str">
        <f>VLOOKUP(A896,'[1]Raw data'!$B:$Z,4,FALSE)</f>
        <v>YSM10</v>
      </c>
      <c r="T896" s="652" t="str">
        <f>VLOOKUP(A896,'[1]Raw data'!$B:$Z,8,FALSE)</f>
        <v>L-&gt;R</v>
      </c>
      <c r="U896" s="652" t="str">
        <f>VLOOKUP(A896,'[1]Raw data'!$B:$Z,9,FALSE)</f>
        <v>MVC</v>
      </c>
      <c r="V896" s="572" t="str">
        <f t="shared" si="158"/>
        <v>WRONG</v>
      </c>
      <c r="W896" s="568" t="str">
        <f>VLOOKUP(A896,'[1]Raw data'!$B:$AG,32,FALSE)</f>
        <v>DAP SZ</v>
      </c>
      <c r="X896" s="652">
        <f>VLOOKUP(A896,'[1]Raw data'!$B:$BA,31,FALSE)</f>
        <v>44313</v>
      </c>
      <c r="Y896" s="652" t="str">
        <f>VLOOKUP(A896,'[1]Raw data'!$B:$AS,39,FALSE)</f>
        <v>Yes</v>
      </c>
      <c r="Z896" s="664"/>
      <c r="AA896" s="665"/>
      <c r="AB896" s="666"/>
      <c r="AC896" s="652" t="s">
        <v>1603</v>
      </c>
      <c r="AD896" s="667">
        <v>301</v>
      </c>
      <c r="AE896" s="667">
        <v>10</v>
      </c>
      <c r="AF896" s="667"/>
      <c r="AG896" s="667"/>
      <c r="AH896" s="667"/>
      <c r="AI896" s="668"/>
      <c r="AN896" s="547"/>
      <c r="AO896" s="829" t="str">
        <f t="shared" si="140"/>
        <v>Yes</v>
      </c>
      <c r="AP896" s="259" t="str">
        <f t="shared" si="141"/>
        <v>JUN 21</v>
      </c>
      <c r="AQ896" s="547" t="str">
        <f t="shared" si="142"/>
        <v>有定金+有預留客戶</v>
      </c>
      <c r="AR896" s="259" t="str">
        <f t="shared" si="143"/>
        <v>Shipped_Stock</v>
      </c>
      <c r="AS896" s="259" t="str">
        <f t="shared" si="144"/>
        <v/>
      </c>
      <c r="AT896" s="259" t="str">
        <f t="shared" si="145"/>
        <v>四方信达</v>
      </c>
      <c r="AU896" s="259" t="str">
        <f t="shared" si="146"/>
        <v>C49SZX20210123JY</v>
      </c>
      <c r="AV896" s="259" t="str">
        <f t="shared" si="147"/>
        <v>May-30</v>
      </c>
    </row>
    <row r="897" spans="1:48" hidden="1">
      <c r="A897" s="564">
        <v>1151</v>
      </c>
      <c r="B897" s="669" t="s">
        <v>1125</v>
      </c>
      <c r="C897" s="669" t="s">
        <v>281</v>
      </c>
      <c r="D897" s="650">
        <v>110352</v>
      </c>
      <c r="E897" s="749" t="s">
        <v>1718</v>
      </c>
      <c r="F897" s="652" t="s">
        <v>339</v>
      </c>
      <c r="G897" s="652" t="s">
        <v>24</v>
      </c>
      <c r="H897" s="652" t="s">
        <v>26</v>
      </c>
      <c r="I897" s="580" t="s">
        <v>1719</v>
      </c>
      <c r="J897" s="580">
        <v>1</v>
      </c>
      <c r="K897" s="652" t="s">
        <v>78</v>
      </c>
      <c r="L897" s="662">
        <v>44353</v>
      </c>
      <c r="M897" s="670" t="s">
        <v>906</v>
      </c>
      <c r="N897" s="652" t="s">
        <v>96</v>
      </c>
      <c r="O897" s="580"/>
      <c r="P897" s="670" t="str">
        <f>VLOOKUP(A897,'[1]Raw data'!$B:$BA,23,FALSE)</f>
        <v>JPY</v>
      </c>
      <c r="Q897" s="652" t="str">
        <f>VLOOKUP(A897,'[1]Raw data'!$B:$Z,2,FALSE)</f>
        <v>C49SZX20210219KW</v>
      </c>
      <c r="R897" s="652" t="str">
        <f>VLOOKUP(A897,'[1]Raw data'!$B:$Z,3,FALSE)</f>
        <v>伟盛贸易(富洛）/晶科</v>
      </c>
      <c r="S897" s="652" t="str">
        <f>VLOOKUP(A897,'[1]Raw data'!$B:$Z,4,FALSE)</f>
        <v>SIGMA G5S2</v>
      </c>
      <c r="T897" s="652" t="str">
        <f>VLOOKUP(A897,'[1]Raw data'!$B:$Z,8,FALSE)</f>
        <v>No</v>
      </c>
      <c r="U897" s="652" t="str">
        <f>VLOOKUP(A897,'[1]Raw data'!$B:$Z,9,FALSE)</f>
        <v>No</v>
      </c>
      <c r="V897" s="572" t="str">
        <f>IF(G897&amp;H897=T897&amp;U897,"OK","WRONG")</f>
        <v>WRONG</v>
      </c>
      <c r="W897" s="568" t="str">
        <f>VLOOKUP(A897,'[1]Raw data'!$B:$AG,32,FALSE)</f>
        <v>CIF HK</v>
      </c>
      <c r="X897" s="652">
        <f>VLOOKUP(A897,'[1]Raw data'!$B:$BA,31,FALSE)</f>
        <v>44252</v>
      </c>
      <c r="Y897" s="652" t="str">
        <f>VLOOKUP(A897,'[1]Raw data'!$B:$AS,39,FALSE)</f>
        <v>Yes</v>
      </c>
      <c r="Z897" s="664"/>
      <c r="AA897" s="665"/>
      <c r="AB897" s="666"/>
      <c r="AC897" s="568" t="s">
        <v>678</v>
      </c>
      <c r="AD897" s="667"/>
      <c r="AE897" s="667"/>
      <c r="AF897" s="667"/>
      <c r="AG897" s="667"/>
      <c r="AH897" s="667"/>
      <c r="AI897" s="668"/>
      <c r="AN897" s="547"/>
      <c r="AO897" s="829" t="str">
        <f t="shared" si="140"/>
        <v>Yes</v>
      </c>
      <c r="AP897" s="259" t="str">
        <f t="shared" si="141"/>
        <v>JUN 21</v>
      </c>
      <c r="AQ897" s="547" t="str">
        <f t="shared" si="142"/>
        <v>有定金+有預留客戶</v>
      </c>
      <c r="AR897" s="259" t="str">
        <f t="shared" si="143"/>
        <v>Shipped_Stock</v>
      </c>
      <c r="AS897" s="259" t="str">
        <f t="shared" si="144"/>
        <v/>
      </c>
      <c r="AT897" s="259" t="str">
        <f t="shared" si="145"/>
        <v>伟盛贸易(富洛）/晶科</v>
      </c>
      <c r="AU897" s="259" t="str">
        <f t="shared" si="146"/>
        <v>C49SZX20210219KW</v>
      </c>
      <c r="AV897" s="259" t="str">
        <f t="shared" si="147"/>
        <v>Jun-06</v>
      </c>
    </row>
    <row r="898" spans="1:48" hidden="1">
      <c r="A898" s="564">
        <v>1186</v>
      </c>
      <c r="B898" s="669" t="s">
        <v>1125</v>
      </c>
      <c r="C898" s="669" t="s">
        <v>281</v>
      </c>
      <c r="D898" s="650">
        <v>110380</v>
      </c>
      <c r="E898" s="749" t="s">
        <v>1570</v>
      </c>
      <c r="F898" s="652" t="s">
        <v>58</v>
      </c>
      <c r="G898" s="652" t="s">
        <v>24</v>
      </c>
      <c r="H898" s="652" t="s">
        <v>163</v>
      </c>
      <c r="I898" s="580" t="s">
        <v>1720</v>
      </c>
      <c r="J898" s="580">
        <v>1</v>
      </c>
      <c r="K898" s="652" t="s">
        <v>78</v>
      </c>
      <c r="L898" s="662">
        <v>44353</v>
      </c>
      <c r="M898" s="670" t="s">
        <v>906</v>
      </c>
      <c r="N898" s="652" t="s">
        <v>96</v>
      </c>
      <c r="O898" s="580"/>
      <c r="P898" s="670" t="str">
        <f>VLOOKUP(A898,'[1]Raw data'!$B:$BA,23,FALSE)</f>
        <v>JPY</v>
      </c>
      <c r="Q898" s="652" t="str">
        <f>VLOOKUP(A898,'[1]Raw data'!$B:$Z,2,FALSE)</f>
        <v>C49SZX20210161DZ</v>
      </c>
      <c r="R898" s="652" t="str">
        <f>VLOOKUP(A898,'[1]Raw data'!$B:$Z,3,FALSE)</f>
        <v>嘉裕</v>
      </c>
      <c r="S898" s="652" t="str">
        <f>VLOOKUP(A898,'[1]Raw data'!$B:$Z,4,FALSE)</f>
        <v>YSM20R-2</v>
      </c>
      <c r="T898" s="652" t="str">
        <f>VLOOKUP(A898,'[1]Raw data'!$B:$Z,8,FALSE)</f>
        <v>L-&gt;R</v>
      </c>
      <c r="U898" s="652" t="str">
        <f>VLOOKUP(A898,'[1]Raw data'!$B:$Z,9,FALSE)</f>
        <v>cATS30+MVC(F&amp;R)+10pallet for cATS30+交换台车</v>
      </c>
      <c r="V898" s="572" t="str">
        <f>IF(G898&amp;H898=T898&amp;U898,"OK","WRONG")</f>
        <v>OK</v>
      </c>
      <c r="W898" s="568" t="str">
        <f>VLOOKUP(A898,'[1]Raw data'!$B:$AG,32,FALSE)</f>
        <v>CIF HK</v>
      </c>
      <c r="X898" s="652">
        <f>VLOOKUP(A898,'[1]Raw data'!$B:$BA,31,FALSE)</f>
        <v>44260</v>
      </c>
      <c r="Y898" s="652" t="str">
        <f>VLOOKUP(A898,'[1]Raw data'!$B:$AS,39,FALSE)</f>
        <v>Yes</v>
      </c>
      <c r="Z898" s="664"/>
      <c r="AA898" s="665"/>
      <c r="AB898" s="666"/>
      <c r="AC898" s="580" t="s">
        <v>1216</v>
      </c>
      <c r="AD898" s="667"/>
      <c r="AE898" s="667"/>
      <c r="AF898" s="667"/>
      <c r="AG898" s="667"/>
      <c r="AH898" s="667"/>
      <c r="AI898" s="668"/>
      <c r="AN898" s="547"/>
      <c r="AO898" s="829" t="str">
        <f t="shared" si="140"/>
        <v>Yes</v>
      </c>
      <c r="AP898" s="259" t="str">
        <f t="shared" si="141"/>
        <v>JUN 21</v>
      </c>
      <c r="AQ898" s="547" t="str">
        <f t="shared" si="142"/>
        <v>有定金+有預留客戶</v>
      </c>
      <c r="AR898" s="259" t="str">
        <f t="shared" si="143"/>
        <v>Shipped_Stock</v>
      </c>
      <c r="AS898" s="259" t="str">
        <f t="shared" si="144"/>
        <v/>
      </c>
      <c r="AT898" s="259" t="str">
        <f t="shared" si="145"/>
        <v>嘉裕</v>
      </c>
      <c r="AU898" s="259" t="str">
        <f t="shared" si="146"/>
        <v>C49SZX20210161DZ</v>
      </c>
      <c r="AV898" s="259" t="str">
        <f t="shared" si="147"/>
        <v>Jun-06</v>
      </c>
    </row>
    <row r="899" spans="1:48" hidden="1">
      <c r="A899" s="564">
        <v>1187</v>
      </c>
      <c r="B899" s="669" t="s">
        <v>1125</v>
      </c>
      <c r="C899" s="669" t="s">
        <v>281</v>
      </c>
      <c r="D899" s="650">
        <v>110380</v>
      </c>
      <c r="E899" s="749" t="s">
        <v>1570</v>
      </c>
      <c r="F899" s="652" t="s">
        <v>58</v>
      </c>
      <c r="G899" s="652" t="s">
        <v>24</v>
      </c>
      <c r="H899" s="652" t="s">
        <v>161</v>
      </c>
      <c r="I899" s="580" t="s">
        <v>1721</v>
      </c>
      <c r="J899" s="580">
        <v>1</v>
      </c>
      <c r="K899" s="652" t="s">
        <v>78</v>
      </c>
      <c r="L899" s="662">
        <v>44353</v>
      </c>
      <c r="M899" s="670" t="s">
        <v>906</v>
      </c>
      <c r="N899" s="652" t="s">
        <v>96</v>
      </c>
      <c r="O899" s="580"/>
      <c r="P899" s="670" t="str">
        <f>VLOOKUP(A899,'[1]Raw data'!$B:$BA,23,FALSE)</f>
        <v>JPY</v>
      </c>
      <c r="Q899" s="652" t="str">
        <f>VLOOKUP(A899,'[1]Raw data'!$B:$Z,2,FALSE)</f>
        <v>C49SZX20210161DZ</v>
      </c>
      <c r="R899" s="652" t="str">
        <f>VLOOKUP(A899,'[1]Raw data'!$B:$Z,3,FALSE)</f>
        <v>嘉裕</v>
      </c>
      <c r="S899" s="652" t="str">
        <f>VLOOKUP(A899,'[1]Raw data'!$B:$Z,4,FALSE)</f>
        <v>YSM20R-2</v>
      </c>
      <c r="T899" s="652" t="str">
        <f>VLOOKUP(A899,'[1]Raw data'!$B:$Z,8,FALSE)</f>
        <v>L-&gt;R</v>
      </c>
      <c r="U899" s="652" t="str">
        <f>VLOOKUP(A899,'[1]Raw data'!$B:$Z,9,FALSE)</f>
        <v>MVC(F&amp;R)+10pallet for cATS10+交换台车</v>
      </c>
      <c r="V899" s="572" t="str">
        <f>IF(G899&amp;H899=T899&amp;U899,"OK","WRONG")</f>
        <v>OK</v>
      </c>
      <c r="W899" s="568" t="str">
        <f>VLOOKUP(A899,'[1]Raw data'!$B:$AG,32,FALSE)</f>
        <v>CIF HK</v>
      </c>
      <c r="X899" s="652">
        <f>VLOOKUP(A899,'[1]Raw data'!$B:$BA,31,FALSE)</f>
        <v>44260</v>
      </c>
      <c r="Y899" s="652" t="str">
        <f>VLOOKUP(A899,'[1]Raw data'!$B:$AS,39,FALSE)</f>
        <v>Yes</v>
      </c>
      <c r="Z899" s="664"/>
      <c r="AA899" s="665"/>
      <c r="AB899" s="666"/>
      <c r="AC899" s="580" t="s">
        <v>1216</v>
      </c>
      <c r="AD899" s="667"/>
      <c r="AE899" s="667"/>
      <c r="AF899" s="667"/>
      <c r="AG899" s="667"/>
      <c r="AH899" s="667"/>
      <c r="AI899" s="668"/>
      <c r="AN899" s="547"/>
      <c r="AO899" s="829" t="str">
        <f t="shared" ref="AO899:AO962" si="159">IFERROR(IF(Y899&lt;&gt;"",Y899,"No"),"No")</f>
        <v>Yes</v>
      </c>
      <c r="AP899" s="259" t="str">
        <f t="shared" ref="AP899:AP962" si="160">IFERROR(IF(N899&lt;&gt;"",N899,"blank"),"NA")</f>
        <v>JUN 21</v>
      </c>
      <c r="AQ899" s="547" t="str">
        <f t="shared" ref="AQ899:AQ962" si="161">IFERROR(IF(AND(AO899="Yes", AP899&lt;&gt;"blank"), "有定金+有預留客戶", IF(AND(AO899="Yes", AP899="blank"), "有定金+无客戶送貨期", IF(AND(OR(AO899="No", ISBLANK(AO899), AO899="NA"), AP899&lt;&gt;"blank"), "无定金+有預留客戶", IF(AND(OR(AO899="No", ISBLANK(AO899), AO899="NA"), AP899="blank"), "无定金+无預留客戶", "")))), "")</f>
        <v>有定金+有預留客戶</v>
      </c>
      <c r="AR899" s="259" t="str">
        <f t="shared" ref="AR899:AR962" si="162">IFERROR(IF(B899="已经到货", "Instock", IF(B899="有交期", "Incoming_Stock_With_YAMAHA_Schedule", IF(B899="TBA.", "Incoming_Stock_No_YAMAHA_Schedule", IF(B899="已发货", "Shipped_Stock", "")))), "")</f>
        <v>Shipped_Stock</v>
      </c>
      <c r="AS899" s="259" t="str">
        <f t="shared" ref="AS899:AS962" si="163">IF(AND(B899="有交期", L899&lt;&gt;""), L899, "")</f>
        <v/>
      </c>
      <c r="AT899" s="259" t="str">
        <f t="shared" ref="AT899:AT962" si="164">IFERROR(IF(R899&lt;&gt;"",R899),"-")</f>
        <v>嘉裕</v>
      </c>
      <c r="AU899" s="259" t="str">
        <f t="shared" ref="AU899:AU962" si="165">IFERROR(IF(Q899&lt;&gt;"",Q899),"-")</f>
        <v>C49SZX20210161DZ</v>
      </c>
      <c r="AV899" s="259" t="str">
        <f t="shared" ref="AV899:AV962" si="166">IF(L899="","-",TEXT(L899,"mmm-dd"))</f>
        <v>Jun-06</v>
      </c>
    </row>
    <row r="900" spans="1:48" hidden="1">
      <c r="A900" s="564">
        <v>1266</v>
      </c>
      <c r="B900" s="669" t="s">
        <v>1125</v>
      </c>
      <c r="C900" s="669" t="s">
        <v>281</v>
      </c>
      <c r="D900" s="650">
        <v>110481</v>
      </c>
      <c r="E900" s="568" t="s">
        <v>886</v>
      </c>
      <c r="F900" s="652" t="s">
        <v>17</v>
      </c>
      <c r="G900" s="652" t="s">
        <v>18</v>
      </c>
      <c r="H900" s="652" t="s">
        <v>34</v>
      </c>
      <c r="I900" s="580" t="s">
        <v>1722</v>
      </c>
      <c r="J900" s="580">
        <v>1</v>
      </c>
      <c r="K900" s="652" t="s">
        <v>82</v>
      </c>
      <c r="L900" s="680">
        <v>44366</v>
      </c>
      <c r="M900" s="670" t="s">
        <v>258</v>
      </c>
      <c r="N900" s="652" t="s">
        <v>97</v>
      </c>
      <c r="O900" s="580"/>
      <c r="P900" s="670" t="str">
        <f>VLOOKUP(A900,'[1]Raw data'!$B:$BA,23,FALSE)</f>
        <v>JPY</v>
      </c>
      <c r="Q900" s="652" t="str">
        <f>VLOOKUP(A900,'[1]Raw data'!$B:$Z,2,FALSE)</f>
        <v>C49SZX20210088SX</v>
      </c>
      <c r="R900" s="652" t="str">
        <f>VLOOKUP(A900,'[1]Raw data'!$B:$Z,3,FALSE)</f>
        <v>恒越通</v>
      </c>
      <c r="S900" s="652" t="str">
        <f>VLOOKUP(A900,'[1]Raw data'!$B:$Z,4,FALSE)</f>
        <v>YSM10</v>
      </c>
      <c r="T900" s="652" t="str">
        <f>VLOOKUP(A900,'[1]Raw data'!$B:$Z,8,FALSE)</f>
        <v>L-&gt;R</v>
      </c>
      <c r="U900" s="652" t="str">
        <f>VLOOKUP(A900,'[1]Raw data'!$B:$Z,9,FALSE)</f>
        <v>MVC+ATS15</v>
      </c>
      <c r="V900" s="572" t="str">
        <f>IF(G900&amp;H900=T900&amp;U900,"OK","WRONG")</f>
        <v>WRONG</v>
      </c>
      <c r="W900" s="568" t="str">
        <f>VLOOKUP(A900,'[1]Raw data'!$B:$AG,32,FALSE)</f>
        <v>DAP SZ</v>
      </c>
      <c r="X900" s="652">
        <f>VLOOKUP(A900,'[1]Raw data'!$B:$BA,31,FALSE)</f>
        <v>44272</v>
      </c>
      <c r="Y900" s="652" t="str">
        <f>VLOOKUP(A900,'[1]Raw data'!$B:$AS,39,FALSE)</f>
        <v>Yes</v>
      </c>
      <c r="Z900" s="664"/>
      <c r="AA900" s="665"/>
      <c r="AB900" s="666"/>
      <c r="AC900" s="652" t="s">
        <v>1723</v>
      </c>
      <c r="AD900" s="667">
        <v>311</v>
      </c>
      <c r="AE900" s="667">
        <v>10</v>
      </c>
      <c r="AF900" s="667"/>
      <c r="AG900" s="667"/>
      <c r="AH900" s="667"/>
      <c r="AI900" s="668"/>
      <c r="AN900" s="547"/>
      <c r="AO900" s="829" t="str">
        <f t="shared" si="159"/>
        <v>Yes</v>
      </c>
      <c r="AP900" s="259" t="str">
        <f t="shared" si="160"/>
        <v>JUL 21</v>
      </c>
      <c r="AQ900" s="547" t="str">
        <f t="shared" si="161"/>
        <v>有定金+有預留客戶</v>
      </c>
      <c r="AR900" s="259" t="str">
        <f t="shared" si="162"/>
        <v>Shipped_Stock</v>
      </c>
      <c r="AS900" s="259" t="str">
        <f t="shared" si="163"/>
        <v/>
      </c>
      <c r="AT900" s="259" t="str">
        <f t="shared" si="164"/>
        <v>恒越通</v>
      </c>
      <c r="AU900" s="259" t="str">
        <f t="shared" si="165"/>
        <v>C49SZX20210088SX</v>
      </c>
      <c r="AV900" s="259" t="str">
        <f t="shared" si="166"/>
        <v>Jun-19</v>
      </c>
    </row>
    <row r="901" spans="1:48" ht="12" hidden="1" customHeight="1">
      <c r="A901" s="564">
        <v>1247</v>
      </c>
      <c r="B901" s="669" t="s">
        <v>1125</v>
      </c>
      <c r="C901" s="669" t="s">
        <v>281</v>
      </c>
      <c r="D901" s="650">
        <v>110479</v>
      </c>
      <c r="E901" s="568" t="s">
        <v>886</v>
      </c>
      <c r="F901" s="652" t="s">
        <v>58</v>
      </c>
      <c r="G901" s="652" t="s">
        <v>24</v>
      </c>
      <c r="H901" s="652" t="s">
        <v>159</v>
      </c>
      <c r="I901" s="580" t="s">
        <v>1724</v>
      </c>
      <c r="J901" s="580">
        <v>1</v>
      </c>
      <c r="K901" s="652" t="s">
        <v>78</v>
      </c>
      <c r="L901" s="680">
        <v>44366</v>
      </c>
      <c r="M901" s="670" t="s">
        <v>906</v>
      </c>
      <c r="N901" s="652" t="s">
        <v>97</v>
      </c>
      <c r="O901" s="580"/>
      <c r="P901" s="670" t="str">
        <f>VLOOKUP(A901,'[1]Raw data'!$B:$BA,23,FALSE)</f>
        <v>JPY</v>
      </c>
      <c r="Q901" s="652" t="str">
        <f>VLOOKUP(A901,'[1]Raw data'!$B:$Z,2,FALSE)</f>
        <v>C49SZX20210061SX</v>
      </c>
      <c r="R901" s="652" t="str">
        <f>VLOOKUP(A901,'[1]Raw data'!$B:$Z,3,FALSE)</f>
        <v>嘉普达</v>
      </c>
      <c r="S901" s="652" t="str">
        <f>VLOOKUP(A901,'[1]Raw data'!$B:$Z,4,FALSE)</f>
        <v>YSM20R-2</v>
      </c>
      <c r="T901" s="652" t="str">
        <f>VLOOKUP(A901,'[1]Raw data'!$B:$Z,8,FALSE)</f>
        <v>L-&gt;R</v>
      </c>
      <c r="U901" s="652" t="str">
        <f>VLOOKUP(A901,'[1]Raw data'!$B:$Z,9,FALSE)</f>
        <v>cATS10+MVC+special layout</v>
      </c>
      <c r="V901" s="572" t="str">
        <f>IF(G901&amp;H901=T901&amp;U901,"OK","WRONG")</f>
        <v>OK</v>
      </c>
      <c r="W901" s="568" t="str">
        <f>VLOOKUP(A901,'[1]Raw data'!$B:$AG,32,FALSE)</f>
        <v>DAP SZ</v>
      </c>
      <c r="X901" s="652">
        <f>VLOOKUP(A901,'[1]Raw data'!$B:$BA,31,FALSE)</f>
        <v>44265</v>
      </c>
      <c r="Y901" s="652" t="str">
        <f>VLOOKUP(A901,'[1]Raw data'!$B:$AS,39,FALSE)</f>
        <v>Yes</v>
      </c>
      <c r="Z901" s="664"/>
      <c r="AA901" s="665"/>
      <c r="AB901" s="666"/>
      <c r="AC901" s="652" t="s">
        <v>1155</v>
      </c>
      <c r="AD901" s="667">
        <v>303</v>
      </c>
      <c r="AE901" s="667">
        <v>10</v>
      </c>
      <c r="AF901" s="667">
        <v>311</v>
      </c>
      <c r="AG901" s="667">
        <v>10</v>
      </c>
      <c r="AH901" s="667"/>
      <c r="AI901" s="668"/>
      <c r="AN901" s="547"/>
      <c r="AO901" s="829" t="str">
        <f t="shared" si="159"/>
        <v>Yes</v>
      </c>
      <c r="AP901" s="259" t="str">
        <f t="shared" si="160"/>
        <v>JUL 21</v>
      </c>
      <c r="AQ901" s="547" t="str">
        <f t="shared" si="161"/>
        <v>有定金+有預留客戶</v>
      </c>
      <c r="AR901" s="259" t="str">
        <f t="shared" si="162"/>
        <v>Shipped_Stock</v>
      </c>
      <c r="AS901" s="259" t="str">
        <f t="shared" si="163"/>
        <v/>
      </c>
      <c r="AT901" s="259" t="str">
        <f t="shared" si="164"/>
        <v>嘉普达</v>
      </c>
      <c r="AU901" s="259" t="str">
        <f t="shared" si="165"/>
        <v>C49SZX20210061SX</v>
      </c>
      <c r="AV901" s="259" t="str">
        <f t="shared" si="166"/>
        <v>Jun-19</v>
      </c>
    </row>
    <row r="902" spans="1:48" hidden="1">
      <c r="A902" s="564">
        <v>1249</v>
      </c>
      <c r="B902" s="669" t="s">
        <v>1125</v>
      </c>
      <c r="C902" s="669" t="s">
        <v>281</v>
      </c>
      <c r="D902" s="650">
        <v>110452</v>
      </c>
      <c r="E902" s="568" t="s">
        <v>886</v>
      </c>
      <c r="F902" s="652" t="s">
        <v>58</v>
      </c>
      <c r="G902" s="652" t="s">
        <v>24</v>
      </c>
      <c r="H902" s="652" t="s">
        <v>26</v>
      </c>
      <c r="I902" s="580" t="s">
        <v>1725</v>
      </c>
      <c r="J902" s="580">
        <v>1</v>
      </c>
      <c r="K902" s="652" t="s">
        <v>78</v>
      </c>
      <c r="L902" s="662">
        <v>44366</v>
      </c>
      <c r="M902" s="670" t="s">
        <v>906</v>
      </c>
      <c r="N902" s="652" t="s">
        <v>97</v>
      </c>
      <c r="O902" s="580"/>
      <c r="P902" s="670" t="str">
        <f>VLOOKUP(A902,'[1]Raw data'!$B:$BA,23,FALSE)</f>
        <v>JPY</v>
      </c>
      <c r="Q902" s="652" t="str">
        <f>VLOOKUP(A902,'[1]Raw data'!$B:$Z,2,FALSE)</f>
        <v>C49SZX20210071SS</v>
      </c>
      <c r="R902" s="652" t="str">
        <f>VLOOKUP(A902,'[1]Raw data'!$B:$Z,3,FALSE)</f>
        <v>泓凯</v>
      </c>
      <c r="S902" s="652" t="str">
        <f>VLOOKUP(A902,'[1]Raw data'!$B:$Z,4,FALSE)</f>
        <v>YSM20R-2</v>
      </c>
      <c r="T902" s="652" t="str">
        <f>VLOOKUP(A902,'[1]Raw data'!$B:$Z,8,FALSE)</f>
        <v>L-&gt;R</v>
      </c>
      <c r="U902" s="652" t="str">
        <f>VLOOKUP(A902,'[1]Raw data'!$B:$Z,9,FALSE)</f>
        <v>No</v>
      </c>
      <c r="V902" s="572" t="str">
        <f t="shared" ref="V902:V905" si="167">IF(G902&amp;H902=T902&amp;U902,"OK","WRONG")</f>
        <v>OK</v>
      </c>
      <c r="W902" s="568" t="str">
        <f>VLOOKUP(A902,'[1]Raw data'!$B:$AG,32,FALSE)</f>
        <v>DAP SZ</v>
      </c>
      <c r="X902" s="652">
        <f>VLOOKUP(A902,'[1]Raw data'!$B:$BA,31,FALSE)</f>
        <v>44261</v>
      </c>
      <c r="Y902" s="652" t="str">
        <f>VLOOKUP(A902,'[1]Raw data'!$B:$AS,39,FALSE)</f>
        <v>Yes</v>
      </c>
      <c r="Z902" s="664"/>
      <c r="AA902" s="665"/>
      <c r="AB902" s="666"/>
      <c r="AC902" s="652" t="s">
        <v>1726</v>
      </c>
      <c r="AD902" s="667">
        <v>301</v>
      </c>
      <c r="AE902" s="667">
        <v>10</v>
      </c>
      <c r="AF902" s="667">
        <v>311</v>
      </c>
      <c r="AG902" s="667">
        <v>10</v>
      </c>
      <c r="AH902" s="667"/>
      <c r="AI902" s="668"/>
      <c r="AN902" s="547"/>
      <c r="AO902" s="829" t="str">
        <f t="shared" si="159"/>
        <v>Yes</v>
      </c>
      <c r="AP902" s="259" t="str">
        <f t="shared" si="160"/>
        <v>JUL 21</v>
      </c>
      <c r="AQ902" s="547" t="str">
        <f t="shared" si="161"/>
        <v>有定金+有預留客戶</v>
      </c>
      <c r="AR902" s="259" t="str">
        <f t="shared" si="162"/>
        <v>Shipped_Stock</v>
      </c>
      <c r="AS902" s="259" t="str">
        <f t="shared" si="163"/>
        <v/>
      </c>
      <c r="AT902" s="259" t="str">
        <f t="shared" si="164"/>
        <v>泓凯</v>
      </c>
      <c r="AU902" s="259" t="str">
        <f t="shared" si="165"/>
        <v>C49SZX20210071SS</v>
      </c>
      <c r="AV902" s="259" t="str">
        <f t="shared" si="166"/>
        <v>Jun-19</v>
      </c>
    </row>
    <row r="903" spans="1:48" hidden="1">
      <c r="A903" s="564">
        <v>1453</v>
      </c>
      <c r="B903" s="669" t="s">
        <v>1125</v>
      </c>
      <c r="C903" s="669" t="s">
        <v>281</v>
      </c>
      <c r="D903" s="650">
        <v>110452</v>
      </c>
      <c r="E903" s="568" t="s">
        <v>886</v>
      </c>
      <c r="F903" s="652" t="s">
        <v>58</v>
      </c>
      <c r="G903" s="652" t="s">
        <v>24</v>
      </c>
      <c r="H903" s="652" t="s">
        <v>27</v>
      </c>
      <c r="I903" s="580" t="s">
        <v>1727</v>
      </c>
      <c r="J903" s="580">
        <v>1</v>
      </c>
      <c r="K903" s="652" t="s">
        <v>78</v>
      </c>
      <c r="L903" s="662">
        <v>44366</v>
      </c>
      <c r="M903" s="670" t="s">
        <v>906</v>
      </c>
      <c r="N903" s="652" t="s">
        <v>97</v>
      </c>
      <c r="O903" s="580"/>
      <c r="P903" s="670" t="str">
        <f>VLOOKUP(A903,'[1]Raw data'!$B:$BA,23,FALSE)</f>
        <v>JPY</v>
      </c>
      <c r="Q903" s="652" t="str">
        <f>VLOOKUP(A903,'[1]Raw data'!$B:$Z,2,FALSE)</f>
        <v>HKFR-ESE-2021071301</v>
      </c>
      <c r="R903" s="652" t="str">
        <f>VLOOKUP(A903,'[1]Raw data'!$B:$Z,3,FALSE)</f>
        <v>富洛</v>
      </c>
      <c r="S903" s="652" t="str">
        <f>VLOOKUP(A903,'[1]Raw data'!$B:$Z,4,FALSE)</f>
        <v>YSM20R-2</v>
      </c>
      <c r="T903" s="652" t="str">
        <f>VLOOKUP(A903,'[1]Raw data'!$B:$Z,8,FALSE)</f>
        <v>L-&gt;R</v>
      </c>
      <c r="U903" s="652" t="str">
        <f>VLOOKUP(A903,'[1]Raw data'!$B:$Z,9,FALSE)</f>
        <v>MVC</v>
      </c>
      <c r="V903" s="572" t="str">
        <f t="shared" si="167"/>
        <v>OK</v>
      </c>
      <c r="W903" s="568" t="str">
        <f>VLOOKUP(A903,'[1]Raw data'!$B:$AG,32,FALSE)</f>
        <v>CIF HK</v>
      </c>
      <c r="X903" s="652">
        <f>VLOOKUP(A903,'[1]Raw data'!$B:$BA,31,FALSE)</f>
        <v>44391</v>
      </c>
      <c r="Y903" s="652" t="str">
        <f>VLOOKUP(A903,'[1]Raw data'!$B:$AS,39,FALSE)</f>
        <v>Yes</v>
      </c>
      <c r="Z903" s="664"/>
      <c r="AA903" s="665"/>
      <c r="AB903" s="666"/>
      <c r="AC903" s="652" t="s">
        <v>1670</v>
      </c>
      <c r="AD903" s="667">
        <v>301</v>
      </c>
      <c r="AE903" s="667">
        <v>10</v>
      </c>
      <c r="AF903" s="667">
        <v>311</v>
      </c>
      <c r="AG903" s="667">
        <v>10</v>
      </c>
      <c r="AH903" s="667"/>
      <c r="AI903" s="668"/>
      <c r="AN903" s="547"/>
      <c r="AO903" s="829" t="str">
        <f t="shared" si="159"/>
        <v>Yes</v>
      </c>
      <c r="AP903" s="259" t="str">
        <f t="shared" si="160"/>
        <v>JUL 21</v>
      </c>
      <c r="AQ903" s="547" t="str">
        <f t="shared" si="161"/>
        <v>有定金+有預留客戶</v>
      </c>
      <c r="AR903" s="259" t="str">
        <f t="shared" si="162"/>
        <v>Shipped_Stock</v>
      </c>
      <c r="AS903" s="259" t="str">
        <f t="shared" si="163"/>
        <v/>
      </c>
      <c r="AT903" s="259" t="str">
        <f t="shared" si="164"/>
        <v>富洛</v>
      </c>
      <c r="AU903" s="259" t="str">
        <f t="shared" si="165"/>
        <v>HKFR-ESE-2021071301</v>
      </c>
      <c r="AV903" s="259" t="str">
        <f t="shared" si="166"/>
        <v>Jun-19</v>
      </c>
    </row>
    <row r="904" spans="1:48" hidden="1">
      <c r="A904" s="564">
        <v>1329</v>
      </c>
      <c r="B904" s="669" t="s">
        <v>1125</v>
      </c>
      <c r="C904" s="669" t="s">
        <v>281</v>
      </c>
      <c r="D904" s="650">
        <v>110452</v>
      </c>
      <c r="E904" s="568" t="s">
        <v>886</v>
      </c>
      <c r="F904" s="652" t="s">
        <v>58</v>
      </c>
      <c r="G904" s="652" t="s">
        <v>24</v>
      </c>
      <c r="H904" s="652" t="s">
        <v>26</v>
      </c>
      <c r="I904" s="580" t="s">
        <v>1728</v>
      </c>
      <c r="J904" s="580">
        <v>1</v>
      </c>
      <c r="K904" s="652" t="s">
        <v>78</v>
      </c>
      <c r="L904" s="662">
        <v>44366</v>
      </c>
      <c r="M904" s="670" t="s">
        <v>906</v>
      </c>
      <c r="N904" s="652" t="s">
        <v>1337</v>
      </c>
      <c r="O904" s="580"/>
      <c r="P904" s="670" t="str">
        <f>VLOOKUP(A904,'[1]Raw data'!$B:$BA,23,FALSE)</f>
        <v>JPY</v>
      </c>
      <c r="Q904" s="652" t="str">
        <f>VLOOKUP(A904,'[1]Raw data'!$B:$Z,2,FALSE)</f>
        <v>C49SZX20210178JY</v>
      </c>
      <c r="R904" s="652" t="str">
        <f>VLOOKUP(A904,'[1]Raw data'!$B:$Z,3,FALSE)</f>
        <v>毅诚科达</v>
      </c>
      <c r="S904" s="652" t="str">
        <f>VLOOKUP(A904,'[1]Raw data'!$B:$Z,4,FALSE)</f>
        <v>YSM20R-2</v>
      </c>
      <c r="T904" s="652" t="str">
        <f>VLOOKUP(A904,'[1]Raw data'!$B:$Z,8,FALSE)</f>
        <v>L-&gt;R</v>
      </c>
      <c r="U904" s="652" t="str">
        <f>VLOOKUP(A904,'[1]Raw data'!$B:$Z,9,FALSE)</f>
        <v>No</v>
      </c>
      <c r="V904" s="572" t="str">
        <f t="shared" si="167"/>
        <v>OK</v>
      </c>
      <c r="W904" s="568" t="str">
        <f>VLOOKUP(A904,'[1]Raw data'!$B:$AG,32,FALSE)</f>
        <v>DAP SZ</v>
      </c>
      <c r="X904" s="652">
        <f>VLOOKUP(A904,'[1]Raw data'!$B:$BA,31,FALSE)</f>
        <v>44300</v>
      </c>
      <c r="Y904" s="652" t="str">
        <f>VLOOKUP(A904,'[1]Raw data'!$B:$AS,39,FALSE)</f>
        <v>Yes</v>
      </c>
      <c r="Z904" s="664"/>
      <c r="AA904" s="665"/>
      <c r="AB904" s="666"/>
      <c r="AC904" s="652" t="s">
        <v>1729</v>
      </c>
      <c r="AD904" s="667">
        <v>301</v>
      </c>
      <c r="AE904" s="667">
        <v>10</v>
      </c>
      <c r="AF904" s="667">
        <v>311</v>
      </c>
      <c r="AG904" s="667">
        <v>10</v>
      </c>
      <c r="AH904" s="667"/>
      <c r="AI904" s="668"/>
      <c r="AN904" s="547"/>
      <c r="AO904" s="829" t="str">
        <f t="shared" si="159"/>
        <v>Yes</v>
      </c>
      <c r="AP904" s="259" t="str">
        <f t="shared" si="160"/>
        <v>AUG 21</v>
      </c>
      <c r="AQ904" s="547" t="str">
        <f t="shared" si="161"/>
        <v>有定金+有預留客戶</v>
      </c>
      <c r="AR904" s="259" t="str">
        <f t="shared" si="162"/>
        <v>Shipped_Stock</v>
      </c>
      <c r="AS904" s="259" t="str">
        <f t="shared" si="163"/>
        <v/>
      </c>
      <c r="AT904" s="259" t="str">
        <f t="shared" si="164"/>
        <v>毅诚科达</v>
      </c>
      <c r="AU904" s="259" t="str">
        <f t="shared" si="165"/>
        <v>C49SZX20210178JY</v>
      </c>
      <c r="AV904" s="259" t="str">
        <f t="shared" si="166"/>
        <v>Jun-19</v>
      </c>
    </row>
    <row r="905" spans="1:48" hidden="1">
      <c r="A905" s="564">
        <v>1265</v>
      </c>
      <c r="B905" s="669" t="s">
        <v>1125</v>
      </c>
      <c r="C905" s="669" t="s">
        <v>281</v>
      </c>
      <c r="D905" s="650">
        <v>110452</v>
      </c>
      <c r="E905" s="568" t="s">
        <v>886</v>
      </c>
      <c r="F905" s="652" t="s">
        <v>58</v>
      </c>
      <c r="G905" s="652" t="s">
        <v>24</v>
      </c>
      <c r="H905" s="652" t="s">
        <v>26</v>
      </c>
      <c r="I905" s="580" t="s">
        <v>1730</v>
      </c>
      <c r="J905" s="580">
        <v>1</v>
      </c>
      <c r="K905" s="652" t="s">
        <v>82</v>
      </c>
      <c r="L905" s="662">
        <v>44366</v>
      </c>
      <c r="M905" s="670" t="s">
        <v>906</v>
      </c>
      <c r="N905" s="652" t="s">
        <v>97</v>
      </c>
      <c r="O905" s="580"/>
      <c r="P905" s="670" t="str">
        <f>VLOOKUP(A905,'[1]Raw data'!$B:$BA,23,FALSE)</f>
        <v>JPY</v>
      </c>
      <c r="Q905" s="652" t="str">
        <f>VLOOKUP(A905,'[1]Raw data'!$B:$Z,2,FALSE)</f>
        <v>C49SZX20210088SX</v>
      </c>
      <c r="R905" s="652" t="str">
        <f>VLOOKUP(A905,'[1]Raw data'!$B:$Z,3,FALSE)</f>
        <v>恒越通</v>
      </c>
      <c r="S905" s="652" t="str">
        <f>VLOOKUP(A905,'[1]Raw data'!$B:$Z,4,FALSE)</f>
        <v>YSM20R-2</v>
      </c>
      <c r="T905" s="652" t="str">
        <f>VLOOKUP(A905,'[1]Raw data'!$B:$Z,8,FALSE)</f>
        <v>L-&gt;R</v>
      </c>
      <c r="U905" s="652" t="str">
        <f>VLOOKUP(A905,'[1]Raw data'!$B:$Z,9,FALSE)</f>
        <v>No</v>
      </c>
      <c r="V905" s="572" t="str">
        <f t="shared" si="167"/>
        <v>OK</v>
      </c>
      <c r="W905" s="568" t="str">
        <f>VLOOKUP(A905,'[1]Raw data'!$B:$AG,32,FALSE)</f>
        <v>DAP SZ</v>
      </c>
      <c r="X905" s="652">
        <f>VLOOKUP(A905,'[1]Raw data'!$B:$BA,31,FALSE)</f>
        <v>44272</v>
      </c>
      <c r="Y905" s="652" t="str">
        <f>VLOOKUP(A905,'[1]Raw data'!$B:$AS,39,FALSE)</f>
        <v>Yes</v>
      </c>
      <c r="Z905" s="664"/>
      <c r="AA905" s="665"/>
      <c r="AB905" s="666"/>
      <c r="AC905" s="652" t="s">
        <v>1723</v>
      </c>
      <c r="AD905" s="667">
        <v>301</v>
      </c>
      <c r="AE905" s="667">
        <v>10</v>
      </c>
      <c r="AF905" s="667">
        <v>311</v>
      </c>
      <c r="AG905" s="667">
        <v>10</v>
      </c>
      <c r="AH905" s="667"/>
      <c r="AI905" s="668"/>
      <c r="AN905" s="547"/>
      <c r="AO905" s="829" t="str">
        <f t="shared" si="159"/>
        <v>Yes</v>
      </c>
      <c r="AP905" s="259" t="str">
        <f t="shared" si="160"/>
        <v>JUL 21</v>
      </c>
      <c r="AQ905" s="547" t="str">
        <f t="shared" si="161"/>
        <v>有定金+有預留客戶</v>
      </c>
      <c r="AR905" s="259" t="str">
        <f t="shared" si="162"/>
        <v>Shipped_Stock</v>
      </c>
      <c r="AS905" s="259" t="str">
        <f t="shared" si="163"/>
        <v/>
      </c>
      <c r="AT905" s="259" t="str">
        <f t="shared" si="164"/>
        <v>恒越通</v>
      </c>
      <c r="AU905" s="259" t="str">
        <f t="shared" si="165"/>
        <v>C49SZX20210088SX</v>
      </c>
      <c r="AV905" s="259" t="str">
        <f t="shared" si="166"/>
        <v>Jun-19</v>
      </c>
    </row>
    <row r="906" spans="1:48" hidden="1">
      <c r="A906" s="564">
        <v>1303</v>
      </c>
      <c r="B906" s="669" t="s">
        <v>1125</v>
      </c>
      <c r="C906" s="669" t="s">
        <v>281</v>
      </c>
      <c r="D906" s="650">
        <v>110402</v>
      </c>
      <c r="E906" s="741" t="s">
        <v>1686</v>
      </c>
      <c r="F906" s="652" t="s">
        <v>149</v>
      </c>
      <c r="G906" s="652" t="s">
        <v>24</v>
      </c>
      <c r="H906" s="652" t="s">
        <v>26</v>
      </c>
      <c r="I906" s="580" t="s">
        <v>1731</v>
      </c>
      <c r="J906" s="580">
        <v>1</v>
      </c>
      <c r="K906" s="652" t="s">
        <v>1732</v>
      </c>
      <c r="L906" s="662">
        <v>44375</v>
      </c>
      <c r="M906" s="670" t="s">
        <v>906</v>
      </c>
      <c r="N906" s="652" t="s">
        <v>97</v>
      </c>
      <c r="O906" s="580"/>
      <c r="P906" s="670" t="str">
        <f>VLOOKUP(A906,'[1]Raw data'!$B:$BA,23,FALSE)</f>
        <v>JPY</v>
      </c>
      <c r="Q906" s="652" t="str">
        <f>VLOOKUP(A906,'[1]Raw data'!$B:$Z,2,FALSE)</f>
        <v>C49SZX20210096JL</v>
      </c>
      <c r="R906" s="652" t="str">
        <f>VLOOKUP(A906,'[1]Raw data'!$B:$Z,3,FALSE)</f>
        <v>杉川</v>
      </c>
      <c r="S906" s="652" t="str">
        <f>VLOOKUP(A906,'[1]Raw data'!$B:$Z,4,FALSE)</f>
        <v>YSM40R-4</v>
      </c>
      <c r="T906" s="652" t="str">
        <f>VLOOKUP(A906,'[1]Raw data'!$B:$Z,8,FALSE)</f>
        <v>L-&gt;R</v>
      </c>
      <c r="U906" s="652" t="str">
        <f>VLOOKUP(A906,'[1]Raw data'!$B:$Z,9,FALSE)</f>
        <v>No</v>
      </c>
      <c r="V906" s="572" t="str">
        <f>IF(G906&amp;H906=T906&amp;U906,"OK","WRONG")</f>
        <v>OK</v>
      </c>
      <c r="W906" s="568" t="str">
        <f>VLOOKUP(A906,'[1]Raw data'!$B:$AG,32,FALSE)</f>
        <v>DAP SZ</v>
      </c>
      <c r="X906" s="652">
        <f>VLOOKUP(A906,'[1]Raw data'!$B:$BA,31,FALSE)</f>
        <v>44288</v>
      </c>
      <c r="Y906" s="652" t="str">
        <f>VLOOKUP(A906,'[1]Raw data'!$B:$AS,39,FALSE)</f>
        <v>Yes</v>
      </c>
      <c r="Z906" s="664"/>
      <c r="AA906" s="665"/>
      <c r="AB906" s="666"/>
      <c r="AC906" s="652" t="s">
        <v>678</v>
      </c>
      <c r="AD906" s="667"/>
      <c r="AE906" s="667"/>
      <c r="AF906" s="667"/>
      <c r="AG906" s="667"/>
      <c r="AH906" s="667"/>
      <c r="AI906" s="668"/>
      <c r="AN906" s="547"/>
      <c r="AO906" s="829" t="str">
        <f t="shared" si="159"/>
        <v>Yes</v>
      </c>
      <c r="AP906" s="259" t="str">
        <f t="shared" si="160"/>
        <v>JUL 21</v>
      </c>
      <c r="AQ906" s="547" t="str">
        <f t="shared" si="161"/>
        <v>有定金+有預留客戶</v>
      </c>
      <c r="AR906" s="259" t="str">
        <f t="shared" si="162"/>
        <v>Shipped_Stock</v>
      </c>
      <c r="AS906" s="259" t="str">
        <f t="shared" si="163"/>
        <v/>
      </c>
      <c r="AT906" s="259" t="str">
        <f t="shared" si="164"/>
        <v>杉川</v>
      </c>
      <c r="AU906" s="259" t="str">
        <f t="shared" si="165"/>
        <v>C49SZX20210096JL</v>
      </c>
      <c r="AV906" s="259" t="str">
        <f t="shared" si="166"/>
        <v>Jun-28</v>
      </c>
    </row>
    <row r="907" spans="1:48" hidden="1">
      <c r="A907" s="564">
        <v>1304</v>
      </c>
      <c r="B907" s="669" t="s">
        <v>1125</v>
      </c>
      <c r="C907" s="669" t="s">
        <v>281</v>
      </c>
      <c r="D907" s="650">
        <v>110402</v>
      </c>
      <c r="E907" s="741" t="s">
        <v>1686</v>
      </c>
      <c r="F907" s="652" t="s">
        <v>149</v>
      </c>
      <c r="G907" s="652" t="s">
        <v>24</v>
      </c>
      <c r="H907" s="652" t="s">
        <v>26</v>
      </c>
      <c r="I907" s="580" t="s">
        <v>1733</v>
      </c>
      <c r="J907" s="580">
        <v>1</v>
      </c>
      <c r="K907" s="652" t="s">
        <v>1732</v>
      </c>
      <c r="L907" s="662">
        <v>44375</v>
      </c>
      <c r="M907" s="670" t="s">
        <v>906</v>
      </c>
      <c r="N907" s="652" t="s">
        <v>1337</v>
      </c>
      <c r="O907" s="580"/>
      <c r="P907" s="670" t="str">
        <f>VLOOKUP(A907,'[1]Raw data'!$B:$BA,23,FALSE)</f>
        <v>JPY</v>
      </c>
      <c r="Q907" s="652" t="str">
        <f>VLOOKUP(A907,'[1]Raw data'!$B:$Z,2,FALSE)</f>
        <v>C49SZX20210096JL</v>
      </c>
      <c r="R907" s="652" t="str">
        <f>VLOOKUP(A907,'[1]Raw data'!$B:$Z,3,FALSE)</f>
        <v>杉川</v>
      </c>
      <c r="S907" s="652" t="str">
        <f>VLOOKUP(A907,'[1]Raw data'!$B:$Z,4,FALSE)</f>
        <v>YSM40R-4</v>
      </c>
      <c r="T907" s="652" t="str">
        <f>VLOOKUP(A907,'[1]Raw data'!$B:$Z,8,FALSE)</f>
        <v>L-&gt;R</v>
      </c>
      <c r="U907" s="652" t="str">
        <f>VLOOKUP(A907,'[1]Raw data'!$B:$Z,9,FALSE)</f>
        <v>No</v>
      </c>
      <c r="V907" s="572" t="str">
        <f>IF(G907&amp;H907=T907&amp;U907,"OK","WRONG")</f>
        <v>OK</v>
      </c>
      <c r="W907" s="568" t="str">
        <f>VLOOKUP(A907,'[1]Raw data'!$B:$AG,32,FALSE)</f>
        <v>DAP SZ</v>
      </c>
      <c r="X907" s="652">
        <f>VLOOKUP(A907,'[1]Raw data'!$B:$BA,31,FALSE)</f>
        <v>44288</v>
      </c>
      <c r="Y907" s="652" t="str">
        <f>VLOOKUP(A907,'[1]Raw data'!$B:$AS,39,FALSE)</f>
        <v>Yes</v>
      </c>
      <c r="Z907" s="664"/>
      <c r="AA907" s="665"/>
      <c r="AB907" s="666"/>
      <c r="AC907" s="652" t="s">
        <v>678</v>
      </c>
      <c r="AD907" s="667"/>
      <c r="AE907" s="667"/>
      <c r="AF907" s="667"/>
      <c r="AG907" s="667"/>
      <c r="AH907" s="667"/>
      <c r="AI907" s="668"/>
      <c r="AN907" s="547"/>
      <c r="AO907" s="829" t="str">
        <f t="shared" si="159"/>
        <v>Yes</v>
      </c>
      <c r="AP907" s="259" t="str">
        <f t="shared" si="160"/>
        <v>AUG 21</v>
      </c>
      <c r="AQ907" s="547" t="str">
        <f t="shared" si="161"/>
        <v>有定金+有預留客戶</v>
      </c>
      <c r="AR907" s="259" t="str">
        <f t="shared" si="162"/>
        <v>Shipped_Stock</v>
      </c>
      <c r="AS907" s="259" t="str">
        <f t="shared" si="163"/>
        <v/>
      </c>
      <c r="AT907" s="259" t="str">
        <f t="shared" si="164"/>
        <v>杉川</v>
      </c>
      <c r="AU907" s="259" t="str">
        <f t="shared" si="165"/>
        <v>C49SZX20210096JL</v>
      </c>
      <c r="AV907" s="259" t="str">
        <f t="shared" si="166"/>
        <v>Jun-28</v>
      </c>
    </row>
    <row r="908" spans="1:48" hidden="1">
      <c r="A908" s="564">
        <v>1305</v>
      </c>
      <c r="B908" s="669" t="s">
        <v>1125</v>
      </c>
      <c r="C908" s="669" t="s">
        <v>281</v>
      </c>
      <c r="D908" s="650">
        <v>110402</v>
      </c>
      <c r="E908" s="741" t="s">
        <v>1686</v>
      </c>
      <c r="F908" s="652" t="s">
        <v>149</v>
      </c>
      <c r="G908" s="652" t="s">
        <v>24</v>
      </c>
      <c r="H908" s="652" t="s">
        <v>26</v>
      </c>
      <c r="I908" s="580" t="s">
        <v>1734</v>
      </c>
      <c r="J908" s="580">
        <v>1</v>
      </c>
      <c r="K908" s="652" t="s">
        <v>1732</v>
      </c>
      <c r="L908" s="662">
        <v>44375</v>
      </c>
      <c r="M908" s="670" t="s">
        <v>906</v>
      </c>
      <c r="N908" s="652" t="s">
        <v>1337</v>
      </c>
      <c r="O908" s="580"/>
      <c r="P908" s="670" t="str">
        <f>VLOOKUP(A908,'[1]Raw data'!$B:$BA,23,FALSE)</f>
        <v>JPY</v>
      </c>
      <c r="Q908" s="652" t="str">
        <f>VLOOKUP(A908,'[1]Raw data'!$B:$Z,2,FALSE)</f>
        <v>C49SZX20210096JL</v>
      </c>
      <c r="R908" s="652" t="str">
        <f>VLOOKUP(A908,'[1]Raw data'!$B:$Z,3,FALSE)</f>
        <v>杉川</v>
      </c>
      <c r="S908" s="652" t="str">
        <f>VLOOKUP(A908,'[1]Raw data'!$B:$Z,4,FALSE)</f>
        <v>YSM40R-4</v>
      </c>
      <c r="T908" s="652" t="str">
        <f>VLOOKUP(A908,'[1]Raw data'!$B:$Z,8,FALSE)</f>
        <v>L-&gt;R</v>
      </c>
      <c r="U908" s="652" t="str">
        <f>VLOOKUP(A908,'[1]Raw data'!$B:$Z,9,FALSE)</f>
        <v>No</v>
      </c>
      <c r="V908" s="572" t="str">
        <f>IF(G908&amp;H908=T908&amp;U908,"OK","WRONG")</f>
        <v>OK</v>
      </c>
      <c r="W908" s="568" t="str">
        <f>VLOOKUP(A908,'[1]Raw data'!$B:$AG,32,FALSE)</f>
        <v>DAP SZ</v>
      </c>
      <c r="X908" s="652">
        <f>VLOOKUP(A908,'[1]Raw data'!$B:$BA,31,FALSE)</f>
        <v>44288</v>
      </c>
      <c r="Y908" s="652" t="str">
        <f>VLOOKUP(A908,'[1]Raw data'!$B:$AS,39,FALSE)</f>
        <v>Yes</v>
      </c>
      <c r="Z908" s="664"/>
      <c r="AA908" s="665"/>
      <c r="AB908" s="666"/>
      <c r="AC908" s="652" t="s">
        <v>678</v>
      </c>
      <c r="AD908" s="667"/>
      <c r="AE908" s="667"/>
      <c r="AF908" s="667"/>
      <c r="AG908" s="667"/>
      <c r="AH908" s="667"/>
      <c r="AI908" s="668"/>
      <c r="AN908" s="547"/>
      <c r="AO908" s="829" t="str">
        <f t="shared" si="159"/>
        <v>Yes</v>
      </c>
      <c r="AP908" s="259" t="str">
        <f t="shared" si="160"/>
        <v>AUG 21</v>
      </c>
      <c r="AQ908" s="547" t="str">
        <f t="shared" si="161"/>
        <v>有定金+有預留客戶</v>
      </c>
      <c r="AR908" s="259" t="str">
        <f t="shared" si="162"/>
        <v>Shipped_Stock</v>
      </c>
      <c r="AS908" s="259" t="str">
        <f t="shared" si="163"/>
        <v/>
      </c>
      <c r="AT908" s="259" t="str">
        <f t="shared" si="164"/>
        <v>杉川</v>
      </c>
      <c r="AU908" s="259" t="str">
        <f t="shared" si="165"/>
        <v>C49SZX20210096JL</v>
      </c>
      <c r="AV908" s="259" t="str">
        <f t="shared" si="166"/>
        <v>Jun-28</v>
      </c>
    </row>
    <row r="909" spans="1:48" hidden="1">
      <c r="A909" s="564">
        <v>1479</v>
      </c>
      <c r="B909" s="669" t="s">
        <v>1125</v>
      </c>
      <c r="C909" s="669" t="s">
        <v>281</v>
      </c>
      <c r="D909" s="650">
        <v>110402</v>
      </c>
      <c r="E909" s="741" t="s">
        <v>1686</v>
      </c>
      <c r="F909" s="652" t="s">
        <v>149</v>
      </c>
      <c r="G909" s="652" t="s">
        <v>24</v>
      </c>
      <c r="H909" s="652" t="s">
        <v>26</v>
      </c>
      <c r="I909" s="580" t="s">
        <v>1735</v>
      </c>
      <c r="J909" s="580">
        <v>1</v>
      </c>
      <c r="K909" s="652" t="s">
        <v>1732</v>
      </c>
      <c r="L909" s="662">
        <v>44375</v>
      </c>
      <c r="M909" s="670" t="s">
        <v>906</v>
      </c>
      <c r="N909" s="652" t="s">
        <v>1736</v>
      </c>
      <c r="O909" s="580"/>
      <c r="P909" s="670" t="str">
        <f>VLOOKUP(A909,'[1]Raw data'!$B:$BA,23,FALSE)</f>
        <v>JPY</v>
      </c>
      <c r="Q909" s="652" t="str">
        <f>VLOOKUP(A909,'[1]Raw data'!$B:$Z,2,FALSE)</f>
        <v>C49SZX20210193SX</v>
      </c>
      <c r="R909" s="652" t="str">
        <f>VLOOKUP(A909,'[1]Raw data'!$B:$Z,3,FALSE)</f>
        <v>锐诚</v>
      </c>
      <c r="S909" s="652" t="str">
        <f>VLOOKUP(A909,'[1]Raw data'!$B:$Z,4,FALSE)</f>
        <v>YSM40R-4</v>
      </c>
      <c r="T909" s="652" t="str">
        <f>VLOOKUP(A909,'[1]Raw data'!$B:$Z,8,FALSE)</f>
        <v>L-&gt;R</v>
      </c>
      <c r="U909" s="652" t="str">
        <f>VLOOKUP(A909,'[1]Raw data'!$B:$Z,9,FALSE)</f>
        <v>No</v>
      </c>
      <c r="V909" s="572" t="str">
        <f>IF(G909&amp;H909=T909&amp;U909,"OK","WRONG")</f>
        <v>OK</v>
      </c>
      <c r="W909" s="568" t="str">
        <f>VLOOKUP(A909,'[1]Raw data'!$B:$AG,32,FALSE)</f>
        <v>DAP HZ</v>
      </c>
      <c r="X909" s="652">
        <f>VLOOKUP(A909,'[1]Raw data'!$B:$BA,31,FALSE)</f>
        <v>44457</v>
      </c>
      <c r="Y909" s="652" t="str">
        <f>VLOOKUP(A909,'[1]Raw data'!$B:$AS,39,FALSE)</f>
        <v>Yes</v>
      </c>
      <c r="Z909" s="664"/>
      <c r="AA909" s="665"/>
      <c r="AB909" s="666"/>
      <c r="AC909" s="652" t="s">
        <v>563</v>
      </c>
      <c r="AD909" s="667"/>
      <c r="AE909" s="667"/>
      <c r="AF909" s="667"/>
      <c r="AG909" s="667"/>
      <c r="AH909" s="667"/>
      <c r="AI909" s="668"/>
      <c r="AN909" s="547"/>
      <c r="AO909" s="829" t="str">
        <f t="shared" si="159"/>
        <v>Yes</v>
      </c>
      <c r="AP909" s="259" t="str">
        <f t="shared" si="160"/>
        <v>OCT 21</v>
      </c>
      <c r="AQ909" s="547" t="str">
        <f t="shared" si="161"/>
        <v>有定金+有預留客戶</v>
      </c>
      <c r="AR909" s="259" t="str">
        <f t="shared" si="162"/>
        <v>Shipped_Stock</v>
      </c>
      <c r="AS909" s="259" t="str">
        <f t="shared" si="163"/>
        <v/>
      </c>
      <c r="AT909" s="259" t="str">
        <f t="shared" si="164"/>
        <v>锐诚</v>
      </c>
      <c r="AU909" s="259" t="str">
        <f t="shared" si="165"/>
        <v>C49SZX20210193SX</v>
      </c>
      <c r="AV909" s="259" t="str">
        <f t="shared" si="166"/>
        <v>Jun-28</v>
      </c>
    </row>
    <row r="910" spans="1:48" hidden="1">
      <c r="A910" s="604">
        <v>1136</v>
      </c>
      <c r="B910" s="669" t="s">
        <v>1125</v>
      </c>
      <c r="C910" s="568" t="s">
        <v>4056</v>
      </c>
      <c r="D910" s="650">
        <v>110342</v>
      </c>
      <c r="E910" s="651" t="s">
        <v>236</v>
      </c>
      <c r="F910" s="652" t="s">
        <v>1737</v>
      </c>
      <c r="G910" s="652" t="s">
        <v>283</v>
      </c>
      <c r="H910" s="652" t="s">
        <v>26</v>
      </c>
      <c r="I910" s="580">
        <v>6825</v>
      </c>
      <c r="J910" s="580">
        <v>1</v>
      </c>
      <c r="K910" s="652" t="s">
        <v>1381</v>
      </c>
      <c r="L910" s="662">
        <v>44166</v>
      </c>
      <c r="M910" s="670">
        <v>7.8</v>
      </c>
      <c r="N910" s="652" t="s">
        <v>110</v>
      </c>
      <c r="O910" s="580"/>
      <c r="P910" s="670" t="str">
        <f>VLOOKUP(A910,'[1]Raw data'!$B:$BA,23,FALSE)</f>
        <v>JPY</v>
      </c>
      <c r="Q910" s="652" t="str">
        <f>VLOOKUP(A910,'[1]Raw data'!$B:$Z,2,FALSE)</f>
        <v>C49SZX20210045SX</v>
      </c>
      <c r="R910" s="652" t="str">
        <f>VLOOKUP(A910,'[1]Raw data'!$B:$Z,3,FALSE)</f>
        <v>百益晟</v>
      </c>
      <c r="S910" s="652" t="str">
        <f>VLOOKUP(A910,'[1]Raw data'!$B:$Z,4,FALSE)</f>
        <v>YSM10</v>
      </c>
      <c r="T910" s="652" t="str">
        <f>VLOOKUP(A910,'[1]Raw data'!$B:$Z,8,FALSE)</f>
        <v>L-&gt;R</v>
      </c>
      <c r="U910" s="652" t="str">
        <f>VLOOKUP(A910,'[1]Raw data'!$B:$Z,9,FALSE)</f>
        <v>MVC</v>
      </c>
      <c r="V910" s="572" t="str">
        <f t="shared" ref="V910" si="168">IF(G910&amp;H910=T910&amp;U910,"OK","WRONG")</f>
        <v>WRONG</v>
      </c>
      <c r="W910" s="568" t="str">
        <f>VLOOKUP(A910,'[1]Raw data'!$B:$AG,32,FALSE)</f>
        <v>DAP SZ</v>
      </c>
      <c r="X910" s="652">
        <f>VLOOKUP(A910,'[1]Raw data'!$B:$BA,31,FALSE)</f>
        <v>44231</v>
      </c>
      <c r="Y910" s="652" t="str">
        <f>VLOOKUP(A910,'[1]Raw data'!$B:$AS,39,FALSE)</f>
        <v>Yes</v>
      </c>
      <c r="Z910" s="664"/>
      <c r="AA910" s="665"/>
      <c r="AB910" s="666"/>
      <c r="AC910" s="652" t="s">
        <v>1216</v>
      </c>
      <c r="AD910" s="580"/>
      <c r="AE910" s="580"/>
      <c r="AF910" s="580"/>
      <c r="AG910" s="580"/>
      <c r="AH910" s="580"/>
      <c r="AI910" s="684"/>
      <c r="AJ910" s="569"/>
      <c r="AK910" s="569"/>
      <c r="AL910" s="569"/>
      <c r="AM910" s="569"/>
      <c r="AN910" s="619"/>
      <c r="AO910" s="829" t="str">
        <f t="shared" si="159"/>
        <v>Yes</v>
      </c>
      <c r="AP910" s="259" t="str">
        <f t="shared" si="160"/>
        <v>MAY 21</v>
      </c>
      <c r="AQ910" s="547" t="str">
        <f t="shared" si="161"/>
        <v>有定金+有預留客戶</v>
      </c>
      <c r="AR910" s="259" t="str">
        <f t="shared" si="162"/>
        <v>Shipped_Stock</v>
      </c>
      <c r="AS910" s="259" t="str">
        <f t="shared" si="163"/>
        <v/>
      </c>
      <c r="AT910" s="259" t="str">
        <f t="shared" si="164"/>
        <v>百益晟</v>
      </c>
      <c r="AU910" s="259" t="str">
        <f t="shared" si="165"/>
        <v>C49SZX20210045SX</v>
      </c>
      <c r="AV910" s="259" t="str">
        <f t="shared" si="166"/>
        <v>Dec-01</v>
      </c>
    </row>
    <row r="911" spans="1:48" hidden="1">
      <c r="A911" s="564">
        <v>1472</v>
      </c>
      <c r="B911" s="669" t="s">
        <v>1125</v>
      </c>
      <c r="C911" s="568" t="s">
        <v>4056</v>
      </c>
      <c r="D911" s="650">
        <v>110342</v>
      </c>
      <c r="E911" s="651" t="s">
        <v>236</v>
      </c>
      <c r="F911" s="652" t="s">
        <v>1738</v>
      </c>
      <c r="G911" s="652" t="s">
        <v>283</v>
      </c>
      <c r="H911" s="652" t="s">
        <v>26</v>
      </c>
      <c r="I911" s="580">
        <v>6826</v>
      </c>
      <c r="J911" s="580">
        <v>1</v>
      </c>
      <c r="K911" s="652" t="s">
        <v>1381</v>
      </c>
      <c r="L911" s="662">
        <v>44166</v>
      </c>
      <c r="M911" s="670">
        <v>7.8</v>
      </c>
      <c r="N911" s="652"/>
      <c r="O911" s="580"/>
      <c r="P911" s="670" t="str">
        <f>VLOOKUP(A911,'[1]Raw data'!$B:$BA,23,FALSE)</f>
        <v>RMB</v>
      </c>
      <c r="Q911" s="652" t="str">
        <f>VLOOKUP(A911,'[1]Raw data'!$B:$Z,2,FALSE)</f>
        <v>C28SZX2021044KC</v>
      </c>
      <c r="R911" s="652" t="str">
        <f>VLOOKUP(A911,'[1]Raw data'!$B:$Z,3,FALSE)</f>
        <v>小婉牛</v>
      </c>
      <c r="S911" s="652" t="str">
        <f>VLOOKUP(A911,'[1]Raw data'!$B:$Z,4,FALSE)</f>
        <v>SolderStar R-0625L</v>
      </c>
      <c r="T911" s="652" t="str">
        <f>VLOOKUP(A911,'[1]Raw data'!$B:$Z,8,FALSE)</f>
        <v>No</v>
      </c>
      <c r="U911" s="652" t="str">
        <f>VLOOKUP(A911,'[1]Raw data'!$B:$Z,9,FALSE)</f>
        <v>No</v>
      </c>
      <c r="V911" s="572" t="str">
        <f t="shared" ref="V911" si="169">IF(G911&amp;H911=T911&amp;U911,"OK","WRONG")</f>
        <v>OK</v>
      </c>
      <c r="W911" s="568" t="str">
        <f>VLOOKUP(A911,'[1]Raw data'!$B:$AG,32,FALSE)</f>
        <v>含税到厂</v>
      </c>
      <c r="X911" s="652">
        <f>VLOOKUP(A911,'[1]Raw data'!$B:$BA,31,FALSE)</f>
        <v>44434</v>
      </c>
      <c r="Y911" s="652" t="str">
        <f>VLOOKUP(A911,'[1]Raw data'!$B:$AS,39,FALSE)</f>
        <v>Yes</v>
      </c>
      <c r="Z911" s="664"/>
      <c r="AA911" s="665"/>
      <c r="AB911" s="666"/>
      <c r="AC911" s="652" t="s">
        <v>1739</v>
      </c>
      <c r="AD911" s="667"/>
      <c r="AE911" s="667"/>
      <c r="AF911" s="667"/>
      <c r="AG911" s="667"/>
      <c r="AH911" s="667"/>
      <c r="AI911" s="668"/>
      <c r="AN911" s="547"/>
      <c r="AO911" s="829" t="str">
        <f t="shared" si="159"/>
        <v>Yes</v>
      </c>
      <c r="AP911" s="259" t="str">
        <f t="shared" si="160"/>
        <v>blank</v>
      </c>
      <c r="AQ911" s="547" t="str">
        <f t="shared" si="161"/>
        <v>有定金+无客戶送貨期</v>
      </c>
      <c r="AR911" s="259" t="str">
        <f t="shared" si="162"/>
        <v>Shipped_Stock</v>
      </c>
      <c r="AS911" s="259" t="str">
        <f t="shared" si="163"/>
        <v/>
      </c>
      <c r="AT911" s="259" t="str">
        <f t="shared" si="164"/>
        <v>小婉牛</v>
      </c>
      <c r="AU911" s="259" t="str">
        <f t="shared" si="165"/>
        <v>C28SZX2021044KC</v>
      </c>
      <c r="AV911" s="259" t="str">
        <f t="shared" si="166"/>
        <v>Dec-01</v>
      </c>
    </row>
    <row r="912" spans="1:48" hidden="1">
      <c r="A912" s="564">
        <v>1308</v>
      </c>
      <c r="B912" s="669" t="s">
        <v>1125</v>
      </c>
      <c r="C912" s="669" t="s">
        <v>281</v>
      </c>
      <c r="D912" s="650">
        <v>110402</v>
      </c>
      <c r="E912" s="741" t="s">
        <v>1686</v>
      </c>
      <c r="F912" s="652" t="s">
        <v>154</v>
      </c>
      <c r="G912" s="652" t="s">
        <v>24</v>
      </c>
      <c r="H912" s="652" t="s">
        <v>1740</v>
      </c>
      <c r="I912" s="580" t="s">
        <v>1741</v>
      </c>
      <c r="J912" s="580">
        <v>1</v>
      </c>
      <c r="K912" s="652" t="s">
        <v>1732</v>
      </c>
      <c r="L912" s="662">
        <v>44375</v>
      </c>
      <c r="M912" s="670" t="s">
        <v>906</v>
      </c>
      <c r="N912" s="652" t="s">
        <v>97</v>
      </c>
      <c r="O912" s="580"/>
      <c r="P912" s="670" t="str">
        <f>VLOOKUP(A912,'[1]Raw data'!$B:$BA,23,FALSE)</f>
        <v>JPY</v>
      </c>
      <c r="Q912" s="652" t="str">
        <f>VLOOKUP(A912,'[1]Raw data'!$B:$Z,2,FALSE)</f>
        <v>C49SZX20210096JL</v>
      </c>
      <c r="R912" s="652" t="str">
        <f>VLOOKUP(A912,'[1]Raw data'!$B:$Z,3,FALSE)</f>
        <v>杉川</v>
      </c>
      <c r="S912" s="652" t="str">
        <f>VLOOKUP(A912,'[1]Raw data'!$B:$Z,4,FALSE)</f>
        <v>YSM20WR-2</v>
      </c>
      <c r="T912" s="652" t="str">
        <f>VLOOKUP(A912,'[1]Raw data'!$B:$Z,8,FALSE)</f>
        <v>L-&gt;R</v>
      </c>
      <c r="U912" s="652" t="str">
        <f>VLOOKUP(A912,'[1]Raw data'!$B:$Z,9,FALSE)</f>
        <v>cATS10+MVC+Feeder Carriage</v>
      </c>
      <c r="V912" s="572" t="str">
        <f t="shared" ref="V912:V914" si="170">IF(G912&amp;H912=T912&amp;U912,"OK","WRONG")</f>
        <v>WRONG</v>
      </c>
      <c r="W912" s="568" t="str">
        <f>VLOOKUP(A912,'[1]Raw data'!$B:$AG,32,FALSE)</f>
        <v>DAP SZ</v>
      </c>
      <c r="X912" s="652">
        <f>VLOOKUP(A912,'[1]Raw data'!$B:$BA,31,FALSE)</f>
        <v>44288</v>
      </c>
      <c r="Y912" s="652" t="str">
        <f>VLOOKUP(A912,'[1]Raw data'!$B:$AS,39,FALSE)</f>
        <v>Yes</v>
      </c>
      <c r="Z912" s="664"/>
      <c r="AA912" s="665"/>
      <c r="AB912" s="666"/>
      <c r="AC912" s="652" t="s">
        <v>678</v>
      </c>
      <c r="AD912" s="667"/>
      <c r="AE912" s="667"/>
      <c r="AF912" s="667"/>
      <c r="AG912" s="667"/>
      <c r="AH912" s="667"/>
      <c r="AI912" s="668"/>
      <c r="AN912" s="547"/>
      <c r="AO912" s="829" t="str">
        <f t="shared" si="159"/>
        <v>Yes</v>
      </c>
      <c r="AP912" s="259" t="str">
        <f t="shared" si="160"/>
        <v>JUL 21</v>
      </c>
      <c r="AQ912" s="547" t="str">
        <f t="shared" si="161"/>
        <v>有定金+有預留客戶</v>
      </c>
      <c r="AR912" s="259" t="str">
        <f t="shared" si="162"/>
        <v>Shipped_Stock</v>
      </c>
      <c r="AS912" s="259" t="str">
        <f t="shared" si="163"/>
        <v/>
      </c>
      <c r="AT912" s="259" t="str">
        <f t="shared" si="164"/>
        <v>杉川</v>
      </c>
      <c r="AU912" s="259" t="str">
        <f t="shared" si="165"/>
        <v>C49SZX20210096JL</v>
      </c>
      <c r="AV912" s="259" t="str">
        <f t="shared" si="166"/>
        <v>Jun-28</v>
      </c>
    </row>
    <row r="913" spans="1:48" hidden="1">
      <c r="A913" s="564">
        <v>1312</v>
      </c>
      <c r="B913" s="669" t="s">
        <v>1125</v>
      </c>
      <c r="C913" s="669" t="s">
        <v>281</v>
      </c>
      <c r="D913" s="650">
        <v>110402</v>
      </c>
      <c r="E913" s="741" t="s">
        <v>1686</v>
      </c>
      <c r="F913" s="652" t="s">
        <v>154</v>
      </c>
      <c r="G913" s="652" t="s">
        <v>24</v>
      </c>
      <c r="H913" s="652" t="s">
        <v>26</v>
      </c>
      <c r="I913" s="580" t="s">
        <v>1742</v>
      </c>
      <c r="J913" s="580">
        <v>1</v>
      </c>
      <c r="K913" s="652" t="s">
        <v>1732</v>
      </c>
      <c r="L913" s="662">
        <v>44375</v>
      </c>
      <c r="M913" s="670" t="s">
        <v>906</v>
      </c>
      <c r="N913" s="652" t="s">
        <v>97</v>
      </c>
      <c r="O913" s="580"/>
      <c r="P913" s="670" t="str">
        <f>VLOOKUP(A913,'[1]Raw data'!$B:$BA,23,FALSE)</f>
        <v>JPY</v>
      </c>
      <c r="Q913" s="652" t="str">
        <f>VLOOKUP(A913,'[1]Raw data'!$B:$Z,2,FALSE)</f>
        <v>C49SZX20210096JL</v>
      </c>
      <c r="R913" s="652" t="str">
        <f>VLOOKUP(A913,'[1]Raw data'!$B:$Z,3,FALSE)</f>
        <v>杉川</v>
      </c>
      <c r="S913" s="652" t="str">
        <f>VLOOKUP(A913,'[1]Raw data'!$B:$Z,4,FALSE)</f>
        <v>YSM20WR-2</v>
      </c>
      <c r="T913" s="652" t="str">
        <f>VLOOKUP(A913,'[1]Raw data'!$B:$Z,8,FALSE)</f>
        <v>L-&gt;R</v>
      </c>
      <c r="U913" s="652" t="str">
        <f>VLOOKUP(A913,'[1]Raw data'!$B:$Z,9,FALSE)</f>
        <v>MVC</v>
      </c>
      <c r="V913" s="572" t="str">
        <f t="shared" si="170"/>
        <v>WRONG</v>
      </c>
      <c r="W913" s="568" t="str">
        <f>VLOOKUP(A913,'[1]Raw data'!$B:$AG,32,FALSE)</f>
        <v>DAP SZ</v>
      </c>
      <c r="X913" s="652">
        <f>VLOOKUP(A913,'[1]Raw data'!$B:$BA,31,FALSE)</f>
        <v>44288</v>
      </c>
      <c r="Y913" s="652" t="str">
        <f>VLOOKUP(A913,'[1]Raw data'!$B:$AS,39,FALSE)</f>
        <v>Yes</v>
      </c>
      <c r="Z913" s="664"/>
      <c r="AA913" s="665"/>
      <c r="AB913" s="666"/>
      <c r="AC913" s="652" t="s">
        <v>678</v>
      </c>
      <c r="AD913" s="667"/>
      <c r="AE913" s="667"/>
      <c r="AF913" s="667"/>
      <c r="AG913" s="667"/>
      <c r="AH913" s="667"/>
      <c r="AI913" s="668"/>
      <c r="AN913" s="547"/>
      <c r="AO913" s="829" t="str">
        <f t="shared" si="159"/>
        <v>Yes</v>
      </c>
      <c r="AP913" s="259" t="str">
        <f t="shared" si="160"/>
        <v>JUL 21</v>
      </c>
      <c r="AQ913" s="547" t="str">
        <f t="shared" si="161"/>
        <v>有定金+有預留客戶</v>
      </c>
      <c r="AR913" s="259" t="str">
        <f t="shared" si="162"/>
        <v>Shipped_Stock</v>
      </c>
      <c r="AS913" s="259" t="str">
        <f t="shared" si="163"/>
        <v/>
      </c>
      <c r="AT913" s="259" t="str">
        <f t="shared" si="164"/>
        <v>杉川</v>
      </c>
      <c r="AU913" s="259" t="str">
        <f t="shared" si="165"/>
        <v>C49SZX20210096JL</v>
      </c>
      <c r="AV913" s="259" t="str">
        <f t="shared" si="166"/>
        <v>Jun-28</v>
      </c>
    </row>
    <row r="914" spans="1:48" hidden="1">
      <c r="A914" s="564">
        <v>1313</v>
      </c>
      <c r="B914" s="669" t="s">
        <v>1125</v>
      </c>
      <c r="C914" s="669" t="s">
        <v>281</v>
      </c>
      <c r="D914" s="650">
        <v>110402</v>
      </c>
      <c r="E914" s="741" t="s">
        <v>1686</v>
      </c>
      <c r="F914" s="652" t="s">
        <v>154</v>
      </c>
      <c r="G914" s="652" t="s">
        <v>24</v>
      </c>
      <c r="H914" s="652" t="s">
        <v>26</v>
      </c>
      <c r="I914" s="580" t="s">
        <v>1743</v>
      </c>
      <c r="J914" s="580">
        <v>1</v>
      </c>
      <c r="K914" s="652" t="s">
        <v>1732</v>
      </c>
      <c r="L914" s="662">
        <v>44375</v>
      </c>
      <c r="M914" s="670" t="s">
        <v>906</v>
      </c>
      <c r="N914" s="652" t="s">
        <v>97</v>
      </c>
      <c r="O914" s="580"/>
      <c r="P914" s="670" t="str">
        <f>VLOOKUP(A914,'[1]Raw data'!$B:$BA,23,FALSE)</f>
        <v>JPY</v>
      </c>
      <c r="Q914" s="652" t="str">
        <f>VLOOKUP(A914,'[1]Raw data'!$B:$Z,2,FALSE)</f>
        <v>C49SZX20210096JL</v>
      </c>
      <c r="R914" s="652" t="str">
        <f>VLOOKUP(A914,'[1]Raw data'!$B:$Z,3,FALSE)</f>
        <v>杉川</v>
      </c>
      <c r="S914" s="652" t="str">
        <f>VLOOKUP(A914,'[1]Raw data'!$B:$Z,4,FALSE)</f>
        <v>YSM20WR-2</v>
      </c>
      <c r="T914" s="652" t="str">
        <f>VLOOKUP(A914,'[1]Raw data'!$B:$Z,8,FALSE)</f>
        <v>L-&gt;R</v>
      </c>
      <c r="U914" s="652" t="str">
        <f>VLOOKUP(A914,'[1]Raw data'!$B:$Z,9,FALSE)</f>
        <v>MVC</v>
      </c>
      <c r="V914" s="572" t="str">
        <f t="shared" si="170"/>
        <v>WRONG</v>
      </c>
      <c r="W914" s="568" t="str">
        <f>VLOOKUP(A914,'[1]Raw data'!$B:$AG,32,FALSE)</f>
        <v>DAP SZ</v>
      </c>
      <c r="X914" s="652">
        <f>VLOOKUP(A914,'[1]Raw data'!$B:$BA,31,FALSE)</f>
        <v>44288</v>
      </c>
      <c r="Y914" s="652" t="str">
        <f>VLOOKUP(A914,'[1]Raw data'!$B:$AS,39,FALSE)</f>
        <v>Yes</v>
      </c>
      <c r="Z914" s="664"/>
      <c r="AA914" s="665"/>
      <c r="AB914" s="666"/>
      <c r="AC914" s="652" t="s">
        <v>678</v>
      </c>
      <c r="AD914" s="667"/>
      <c r="AE914" s="667"/>
      <c r="AF914" s="667"/>
      <c r="AG914" s="667"/>
      <c r="AH914" s="667"/>
      <c r="AI914" s="668"/>
      <c r="AN914" s="547"/>
      <c r="AO914" s="829" t="str">
        <f t="shared" si="159"/>
        <v>Yes</v>
      </c>
      <c r="AP914" s="259" t="str">
        <f t="shared" si="160"/>
        <v>JUL 21</v>
      </c>
      <c r="AQ914" s="547" t="str">
        <f t="shared" si="161"/>
        <v>有定金+有預留客戶</v>
      </c>
      <c r="AR914" s="259" t="str">
        <f t="shared" si="162"/>
        <v>Shipped_Stock</v>
      </c>
      <c r="AS914" s="259" t="str">
        <f t="shared" si="163"/>
        <v/>
      </c>
      <c r="AT914" s="259" t="str">
        <f t="shared" si="164"/>
        <v>杉川</v>
      </c>
      <c r="AU914" s="259" t="str">
        <f t="shared" si="165"/>
        <v>C49SZX20210096JL</v>
      </c>
      <c r="AV914" s="259" t="str">
        <f t="shared" si="166"/>
        <v>Jun-28</v>
      </c>
    </row>
    <row r="915" spans="1:48" hidden="1">
      <c r="A915" s="564">
        <v>1436</v>
      </c>
      <c r="B915" s="669" t="s">
        <v>1125</v>
      </c>
      <c r="C915" s="669" t="s">
        <v>15</v>
      </c>
      <c r="D915" s="650" t="s">
        <v>1744</v>
      </c>
      <c r="E915" s="749" t="s">
        <v>1745</v>
      </c>
      <c r="F915" s="652" t="s">
        <v>1746</v>
      </c>
      <c r="G915" s="652" t="s">
        <v>24</v>
      </c>
      <c r="H915" s="652" t="s">
        <v>26</v>
      </c>
      <c r="I915" s="580" t="s">
        <v>1747</v>
      </c>
      <c r="J915" s="580">
        <v>1</v>
      </c>
      <c r="K915" s="662" t="s">
        <v>1748</v>
      </c>
      <c r="L915" s="570">
        <v>44387</v>
      </c>
      <c r="M915" s="670" t="s">
        <v>906</v>
      </c>
      <c r="N915" s="652" t="s">
        <v>1337</v>
      </c>
      <c r="O915" s="580"/>
      <c r="P915" s="670" t="str">
        <f>VLOOKUP(A915,'[1]Raw data'!$B:$BA,23,FALSE)</f>
        <v>RMB</v>
      </c>
      <c r="Q915" s="652" t="str">
        <f>VLOOKUP(A915,'[1]Raw data'!$B:$Z,2,FALSE)</f>
        <v>C49SZX20210175SX</v>
      </c>
      <c r="R915" s="652" t="str">
        <f>VLOOKUP(A915,'[1]Raw data'!$B:$Z,3,FALSE)</f>
        <v>拓新伟业</v>
      </c>
      <c r="S915" s="652" t="str">
        <f>VLOOKUP(A915,'[1]Raw data'!$B:$Z,4,FALSE)</f>
        <v>YSM40R-4</v>
      </c>
      <c r="T915" s="652" t="str">
        <f>VLOOKUP(A915,'[1]Raw data'!$B:$Z,8,FALSE)</f>
        <v>L-&gt;R</v>
      </c>
      <c r="U915" s="652" t="str">
        <f>VLOOKUP(A915,'[1]Raw data'!$B:$Z,9,FALSE)</f>
        <v>No</v>
      </c>
      <c r="V915" s="572" t="str">
        <f>IF(G915&amp;H915=T915&amp;U915,"OK","WRONG")</f>
        <v>OK</v>
      </c>
      <c r="W915" s="568" t="str">
        <f>VLOOKUP(A915,'[1]Raw data'!$B:$AG,32,FALSE)</f>
        <v>DDP SZ</v>
      </c>
      <c r="X915" s="652">
        <f>VLOOKUP(A915,'[1]Raw data'!$B:$BA,31,FALSE)</f>
        <v>44370</v>
      </c>
      <c r="Y915" s="652" t="str">
        <f>VLOOKUP(A915,'[1]Raw data'!$B:$AS,39,FALSE)</f>
        <v>Yes</v>
      </c>
      <c r="Z915" s="664"/>
      <c r="AA915" s="665"/>
      <c r="AB915" s="666"/>
      <c r="AC915" s="652" t="s">
        <v>678</v>
      </c>
      <c r="AD915" s="667"/>
      <c r="AE915" s="667"/>
      <c r="AF915" s="667"/>
      <c r="AG915" s="667"/>
      <c r="AH915" s="667"/>
      <c r="AI915" s="668"/>
      <c r="AN915" s="547"/>
      <c r="AO915" s="829" t="str">
        <f t="shared" si="159"/>
        <v>Yes</v>
      </c>
      <c r="AP915" s="259" t="str">
        <f t="shared" si="160"/>
        <v>AUG 21</v>
      </c>
      <c r="AQ915" s="547" t="str">
        <f t="shared" si="161"/>
        <v>有定金+有預留客戶</v>
      </c>
      <c r="AR915" s="259" t="str">
        <f t="shared" si="162"/>
        <v>Shipped_Stock</v>
      </c>
      <c r="AS915" s="259" t="str">
        <f t="shared" si="163"/>
        <v/>
      </c>
      <c r="AT915" s="259" t="str">
        <f t="shared" si="164"/>
        <v>拓新伟业</v>
      </c>
      <c r="AU915" s="259" t="str">
        <f t="shared" si="165"/>
        <v>C49SZX20210175SX</v>
      </c>
      <c r="AV915" s="259" t="str">
        <f t="shared" si="166"/>
        <v>Jul-10</v>
      </c>
    </row>
    <row r="916" spans="1:48" hidden="1">
      <c r="A916" s="564">
        <v>1437</v>
      </c>
      <c r="B916" s="669" t="s">
        <v>1125</v>
      </c>
      <c r="C916" s="669" t="s">
        <v>15</v>
      </c>
      <c r="D916" s="650" t="s">
        <v>1744</v>
      </c>
      <c r="E916" s="749" t="s">
        <v>1745</v>
      </c>
      <c r="F916" s="652" t="s">
        <v>1746</v>
      </c>
      <c r="G916" s="652" t="s">
        <v>24</v>
      </c>
      <c r="H916" s="652" t="s">
        <v>26</v>
      </c>
      <c r="I916" s="580" t="s">
        <v>1749</v>
      </c>
      <c r="J916" s="580">
        <v>1</v>
      </c>
      <c r="K916" s="662" t="s">
        <v>1748</v>
      </c>
      <c r="L916" s="570">
        <v>44387</v>
      </c>
      <c r="M916" s="670" t="s">
        <v>906</v>
      </c>
      <c r="N916" s="652" t="s">
        <v>1337</v>
      </c>
      <c r="O916" s="580"/>
      <c r="P916" s="670" t="str">
        <f>VLOOKUP(A916,'[1]Raw data'!$B:$BA,23,FALSE)</f>
        <v>RMB</v>
      </c>
      <c r="Q916" s="652" t="str">
        <f>VLOOKUP(A916,'[1]Raw data'!$B:$Z,2,FALSE)</f>
        <v>C49SZX20210175SX</v>
      </c>
      <c r="R916" s="652" t="str">
        <f>VLOOKUP(A916,'[1]Raw data'!$B:$Z,3,FALSE)</f>
        <v>拓新伟业</v>
      </c>
      <c r="S916" s="652" t="str">
        <f>VLOOKUP(A916,'[1]Raw data'!$B:$Z,4,FALSE)</f>
        <v>YSM40R-4</v>
      </c>
      <c r="T916" s="652" t="str">
        <f>VLOOKUP(A916,'[1]Raw data'!$B:$Z,8,FALSE)</f>
        <v>L-&gt;R</v>
      </c>
      <c r="U916" s="652" t="str">
        <f>VLOOKUP(A916,'[1]Raw data'!$B:$Z,9,FALSE)</f>
        <v>No</v>
      </c>
      <c r="V916" s="572" t="str">
        <f>IF(G916&amp;H916=T916&amp;U916,"OK","WRONG")</f>
        <v>OK</v>
      </c>
      <c r="W916" s="568" t="str">
        <f>VLOOKUP(A916,'[1]Raw data'!$B:$AG,32,FALSE)</f>
        <v>DDP SZ</v>
      </c>
      <c r="X916" s="652">
        <f>VLOOKUP(A916,'[1]Raw data'!$B:$BA,31,FALSE)</f>
        <v>44370</v>
      </c>
      <c r="Y916" s="652" t="str">
        <f>VLOOKUP(A916,'[1]Raw data'!$B:$AS,39,FALSE)</f>
        <v>Yes</v>
      </c>
      <c r="Z916" s="664"/>
      <c r="AA916" s="665"/>
      <c r="AB916" s="666"/>
      <c r="AC916" s="652" t="s">
        <v>678</v>
      </c>
      <c r="AD916" s="667"/>
      <c r="AE916" s="667"/>
      <c r="AF916" s="667"/>
      <c r="AG916" s="667"/>
      <c r="AH916" s="667"/>
      <c r="AI916" s="668"/>
      <c r="AN916" s="547"/>
      <c r="AO916" s="829" t="str">
        <f t="shared" si="159"/>
        <v>Yes</v>
      </c>
      <c r="AP916" s="259" t="str">
        <f t="shared" si="160"/>
        <v>AUG 21</v>
      </c>
      <c r="AQ916" s="547" t="str">
        <f t="shared" si="161"/>
        <v>有定金+有預留客戶</v>
      </c>
      <c r="AR916" s="259" t="str">
        <f t="shared" si="162"/>
        <v>Shipped_Stock</v>
      </c>
      <c r="AS916" s="259" t="str">
        <f t="shared" si="163"/>
        <v/>
      </c>
      <c r="AT916" s="259" t="str">
        <f t="shared" si="164"/>
        <v>拓新伟业</v>
      </c>
      <c r="AU916" s="259" t="str">
        <f t="shared" si="165"/>
        <v>C49SZX20210175SX</v>
      </c>
      <c r="AV916" s="259" t="str">
        <f t="shared" si="166"/>
        <v>Jul-10</v>
      </c>
    </row>
    <row r="917" spans="1:48" hidden="1">
      <c r="A917" s="564">
        <v>1438</v>
      </c>
      <c r="B917" s="669" t="s">
        <v>1125</v>
      </c>
      <c r="C917" s="669" t="s">
        <v>15</v>
      </c>
      <c r="D917" s="650" t="s">
        <v>1744</v>
      </c>
      <c r="E917" s="749" t="s">
        <v>1745</v>
      </c>
      <c r="F917" s="652" t="s">
        <v>1746</v>
      </c>
      <c r="G917" s="652" t="s">
        <v>24</v>
      </c>
      <c r="H917" s="652" t="s">
        <v>26</v>
      </c>
      <c r="I917" s="580" t="s">
        <v>1750</v>
      </c>
      <c r="J917" s="580">
        <v>1</v>
      </c>
      <c r="K917" s="662" t="s">
        <v>1748</v>
      </c>
      <c r="L917" s="570">
        <v>44387</v>
      </c>
      <c r="M917" s="670" t="s">
        <v>906</v>
      </c>
      <c r="N917" s="652" t="s">
        <v>1337</v>
      </c>
      <c r="O917" s="580"/>
      <c r="P917" s="670" t="str">
        <f>VLOOKUP(A917,'[1]Raw data'!$B:$BA,23,FALSE)</f>
        <v>RMB</v>
      </c>
      <c r="Q917" s="652" t="str">
        <f>VLOOKUP(A917,'[1]Raw data'!$B:$Z,2,FALSE)</f>
        <v>C49SZX20210175SX</v>
      </c>
      <c r="R917" s="652" t="str">
        <f>VLOOKUP(A917,'[1]Raw data'!$B:$Z,3,FALSE)</f>
        <v>拓新伟业</v>
      </c>
      <c r="S917" s="652" t="str">
        <f>VLOOKUP(A917,'[1]Raw data'!$B:$Z,4,FALSE)</f>
        <v>YSM40R-4</v>
      </c>
      <c r="T917" s="652" t="str">
        <f>VLOOKUP(A917,'[1]Raw data'!$B:$Z,8,FALSE)</f>
        <v>L-&gt;R</v>
      </c>
      <c r="U917" s="652" t="str">
        <f>VLOOKUP(A917,'[1]Raw data'!$B:$Z,9,FALSE)</f>
        <v>No</v>
      </c>
      <c r="V917" s="572" t="str">
        <f>IF(G917&amp;H917=T917&amp;U917,"OK","WRONG")</f>
        <v>OK</v>
      </c>
      <c r="W917" s="568" t="str">
        <f>VLOOKUP(A917,'[1]Raw data'!$B:$AG,32,FALSE)</f>
        <v>DDP SZ</v>
      </c>
      <c r="X917" s="652">
        <f>VLOOKUP(A917,'[1]Raw data'!$B:$BA,31,FALSE)</f>
        <v>44370</v>
      </c>
      <c r="Y917" s="652" t="str">
        <f>VLOOKUP(A917,'[1]Raw data'!$B:$AS,39,FALSE)</f>
        <v>Yes</v>
      </c>
      <c r="Z917" s="664"/>
      <c r="AA917" s="665"/>
      <c r="AB917" s="666"/>
      <c r="AC917" s="652" t="s">
        <v>678</v>
      </c>
      <c r="AD917" s="667"/>
      <c r="AE917" s="667"/>
      <c r="AF917" s="667"/>
      <c r="AG917" s="667"/>
      <c r="AH917" s="667"/>
      <c r="AI917" s="668"/>
      <c r="AN917" s="547"/>
      <c r="AO917" s="829" t="str">
        <f t="shared" si="159"/>
        <v>Yes</v>
      </c>
      <c r="AP917" s="259" t="str">
        <f t="shared" si="160"/>
        <v>AUG 21</v>
      </c>
      <c r="AQ917" s="547" t="str">
        <f t="shared" si="161"/>
        <v>有定金+有預留客戶</v>
      </c>
      <c r="AR917" s="259" t="str">
        <f t="shared" si="162"/>
        <v>Shipped_Stock</v>
      </c>
      <c r="AS917" s="259" t="str">
        <f t="shared" si="163"/>
        <v/>
      </c>
      <c r="AT917" s="259" t="str">
        <f t="shared" si="164"/>
        <v>拓新伟业</v>
      </c>
      <c r="AU917" s="259" t="str">
        <f t="shared" si="165"/>
        <v>C49SZX20210175SX</v>
      </c>
      <c r="AV917" s="259" t="str">
        <f t="shared" si="166"/>
        <v>Jul-10</v>
      </c>
    </row>
    <row r="918" spans="1:48" hidden="1">
      <c r="A918" s="564">
        <v>1259</v>
      </c>
      <c r="B918" s="669" t="s">
        <v>1125</v>
      </c>
      <c r="C918" s="669" t="s">
        <v>281</v>
      </c>
      <c r="D918" s="650">
        <v>110550</v>
      </c>
      <c r="E918" s="753" t="s">
        <v>1751</v>
      </c>
      <c r="F918" s="652" t="s">
        <v>17</v>
      </c>
      <c r="G918" s="652" t="s">
        <v>18</v>
      </c>
      <c r="H918" s="652" t="s">
        <v>27</v>
      </c>
      <c r="I918" s="580" t="s">
        <v>1752</v>
      </c>
      <c r="J918" s="580">
        <v>1</v>
      </c>
      <c r="K918" s="652" t="s">
        <v>78</v>
      </c>
      <c r="L918" s="754" t="s">
        <v>3988</v>
      </c>
      <c r="M918" s="670" t="s">
        <v>906</v>
      </c>
      <c r="N918" s="652" t="s">
        <v>97</v>
      </c>
      <c r="O918" s="580"/>
      <c r="P918" s="670" t="str">
        <f>VLOOKUP(A918,'[1]Raw data'!$B:$BA,23,FALSE)</f>
        <v>JPY</v>
      </c>
      <c r="Q918" s="652" t="str">
        <f>VLOOKUP(A918,'[1]Raw data'!$B:$Z,2,FALSE)</f>
        <v>C49SZX20210081MZ</v>
      </c>
      <c r="R918" s="652" t="str">
        <f>VLOOKUP(A918,'[1]Raw data'!$B:$Z,3,FALSE)</f>
        <v>崧盛</v>
      </c>
      <c r="S918" s="652" t="str">
        <f>VLOOKUP(A918,'[1]Raw data'!$B:$Z,4,FALSE)</f>
        <v>YSM10</v>
      </c>
      <c r="T918" s="652" t="str">
        <f>VLOOKUP(A918,'[1]Raw data'!$B:$Z,8,FALSE)</f>
        <v>L-&gt;R</v>
      </c>
      <c r="U918" s="652" t="str">
        <f>VLOOKUP(A918,'[1]Raw data'!$B:$Z,9,FALSE)</f>
        <v>MVC</v>
      </c>
      <c r="V918" s="572" t="str">
        <f>IF(G918&amp;H918=T918&amp;U918,"OK","WRONG")</f>
        <v>WRONG</v>
      </c>
      <c r="W918" s="568" t="str">
        <f>VLOOKUP(A918,'[1]Raw data'!$B:$AG,32,FALSE)</f>
        <v>CIF HK</v>
      </c>
      <c r="X918" s="652">
        <f>VLOOKUP(A918,'[1]Raw data'!$B:$BA,31,FALSE)</f>
        <v>44268</v>
      </c>
      <c r="Y918" s="652" t="str">
        <f>VLOOKUP(A918,'[1]Raw data'!$B:$AS,39,FALSE)</f>
        <v>Yes</v>
      </c>
      <c r="Z918" s="664"/>
      <c r="AA918" s="665"/>
      <c r="AB918" s="666"/>
      <c r="AC918" s="652" t="s">
        <v>1753</v>
      </c>
      <c r="AD918" s="667"/>
      <c r="AE918" s="667"/>
      <c r="AF918" s="667"/>
      <c r="AG918" s="667"/>
      <c r="AH918" s="667"/>
      <c r="AI918" s="668"/>
      <c r="AN918" s="547"/>
      <c r="AO918" s="829" t="str">
        <f t="shared" si="159"/>
        <v>Yes</v>
      </c>
      <c r="AP918" s="259" t="str">
        <f t="shared" si="160"/>
        <v>JUL 21</v>
      </c>
      <c r="AQ918" s="547" t="str">
        <f t="shared" si="161"/>
        <v>有定金+有預留客戶</v>
      </c>
      <c r="AR918" s="259" t="str">
        <f t="shared" si="162"/>
        <v>Shipped_Stock</v>
      </c>
      <c r="AS918" s="259" t="str">
        <f t="shared" si="163"/>
        <v/>
      </c>
      <c r="AT918" s="259" t="str">
        <f t="shared" si="164"/>
        <v>崧盛</v>
      </c>
      <c r="AU918" s="259" t="str">
        <f t="shared" si="165"/>
        <v>C49SZX20210081MZ</v>
      </c>
      <c r="AV918" s="259" t="str">
        <f t="shared" si="166"/>
        <v>2021-7-21富洛HK仓库</v>
      </c>
    </row>
    <row r="919" spans="1:48" hidden="1">
      <c r="A919" s="564">
        <v>1250</v>
      </c>
      <c r="B919" s="669" t="s">
        <v>1125</v>
      </c>
      <c r="C919" s="669" t="s">
        <v>281</v>
      </c>
      <c r="D919" s="650">
        <v>110550</v>
      </c>
      <c r="E919" s="753" t="s">
        <v>1751</v>
      </c>
      <c r="F919" s="652" t="s">
        <v>17</v>
      </c>
      <c r="G919" s="652" t="s">
        <v>18</v>
      </c>
      <c r="H919" s="652" t="s">
        <v>27</v>
      </c>
      <c r="I919" s="580" t="s">
        <v>1754</v>
      </c>
      <c r="J919" s="580">
        <v>1</v>
      </c>
      <c r="K919" s="652" t="s">
        <v>78</v>
      </c>
      <c r="L919" s="754" t="s">
        <v>3988</v>
      </c>
      <c r="M919" s="670" t="s">
        <v>906</v>
      </c>
      <c r="N919" s="652" t="s">
        <v>97</v>
      </c>
      <c r="O919" s="580"/>
      <c r="P919" s="670" t="str">
        <f>VLOOKUP(A919,'[1]Raw data'!$B:$BA,23,FALSE)</f>
        <v>JPY</v>
      </c>
      <c r="Q919" s="652" t="str">
        <f>VLOOKUP(A919,'[1]Raw data'!$B:$Z,2,FALSE)</f>
        <v>C49SZX20210071SS</v>
      </c>
      <c r="R919" s="652" t="str">
        <f>VLOOKUP(A919,'[1]Raw data'!$B:$Z,3,FALSE)</f>
        <v>泓凯</v>
      </c>
      <c r="S919" s="652" t="str">
        <f>VLOOKUP(A919,'[1]Raw data'!$B:$Z,4,FALSE)</f>
        <v>YSM10</v>
      </c>
      <c r="T919" s="652" t="str">
        <f>VLOOKUP(A919,'[1]Raw data'!$B:$Z,8,FALSE)</f>
        <v>L-&gt;R</v>
      </c>
      <c r="U919" s="652" t="str">
        <f>VLOOKUP(A919,'[1]Raw data'!$B:$Z,9,FALSE)</f>
        <v>MVC</v>
      </c>
      <c r="V919" s="572" t="str">
        <f t="shared" ref="V919" si="171">IF(G919&amp;H919=T919&amp;U919,"OK","WRONG")</f>
        <v>WRONG</v>
      </c>
      <c r="W919" s="568" t="str">
        <f>VLOOKUP(A919,'[1]Raw data'!$B:$AG,32,FALSE)</f>
        <v>DAP SZ</v>
      </c>
      <c r="X919" s="652">
        <f>VLOOKUP(A919,'[1]Raw data'!$B:$BA,31,FALSE)</f>
        <v>44261</v>
      </c>
      <c r="Y919" s="652" t="str">
        <f>VLOOKUP(A919,'[1]Raw data'!$B:$AS,39,FALSE)</f>
        <v>Yes</v>
      </c>
      <c r="Z919" s="664"/>
      <c r="AA919" s="665"/>
      <c r="AB919" s="666"/>
      <c r="AC919" s="652" t="s">
        <v>1726</v>
      </c>
      <c r="AD919" s="667"/>
      <c r="AE919" s="667"/>
      <c r="AF919" s="667"/>
      <c r="AG919" s="667"/>
      <c r="AH919" s="667"/>
      <c r="AI919" s="668"/>
      <c r="AN919" s="547"/>
      <c r="AO919" s="829" t="str">
        <f t="shared" si="159"/>
        <v>Yes</v>
      </c>
      <c r="AP919" s="259" t="str">
        <f t="shared" si="160"/>
        <v>JUL 21</v>
      </c>
      <c r="AQ919" s="547" t="str">
        <f t="shared" si="161"/>
        <v>有定金+有預留客戶</v>
      </c>
      <c r="AR919" s="259" t="str">
        <f t="shared" si="162"/>
        <v>Shipped_Stock</v>
      </c>
      <c r="AS919" s="259" t="str">
        <f t="shared" si="163"/>
        <v/>
      </c>
      <c r="AT919" s="259" t="str">
        <f t="shared" si="164"/>
        <v>泓凯</v>
      </c>
      <c r="AU919" s="259" t="str">
        <f t="shared" si="165"/>
        <v>C49SZX20210071SS</v>
      </c>
      <c r="AV919" s="259" t="str">
        <f t="shared" si="166"/>
        <v>2021-7-21富洛HK仓库</v>
      </c>
    </row>
    <row r="920" spans="1:48" hidden="1">
      <c r="A920" s="564">
        <v>929</v>
      </c>
      <c r="B920" s="669" t="s">
        <v>1125</v>
      </c>
      <c r="C920" s="669" t="s">
        <v>281</v>
      </c>
      <c r="D920" s="650">
        <v>110441</v>
      </c>
      <c r="E920" s="741" t="s">
        <v>1691</v>
      </c>
      <c r="F920" s="652" t="s">
        <v>58</v>
      </c>
      <c r="G920" s="652" t="s">
        <v>18</v>
      </c>
      <c r="H920" s="652" t="s">
        <v>26</v>
      </c>
      <c r="I920" s="580" t="s">
        <v>1755</v>
      </c>
      <c r="J920" s="580">
        <v>1</v>
      </c>
      <c r="K920" s="652" t="s">
        <v>85</v>
      </c>
      <c r="L920" s="662">
        <v>44397</v>
      </c>
      <c r="M920" s="670" t="s">
        <v>906</v>
      </c>
      <c r="N920" s="652" t="s">
        <v>1337</v>
      </c>
      <c r="O920" s="580"/>
      <c r="P920" s="670" t="str">
        <f>VLOOKUP(A920,'[1]Raw data'!$B:$BA,23,FALSE)</f>
        <v>JPY</v>
      </c>
      <c r="Q920" s="652" t="str">
        <f>VLOOKUP(A920,'[1]Raw data'!$B:$Z,2,FALSE)</f>
        <v>C49SZX20200210RSX</v>
      </c>
      <c r="R920" s="652" t="str">
        <f>VLOOKUP(A920,'[1]Raw data'!$B:$Z,3,FALSE)</f>
        <v>众鑫科</v>
      </c>
      <c r="S920" s="652" t="str">
        <f>VLOOKUP(A920,'[1]Raw data'!$B:$Z,4,FALSE)</f>
        <v>YSM20R-2</v>
      </c>
      <c r="T920" s="652" t="str">
        <f>VLOOKUP(A920,'[1]Raw data'!$B:$Z,8,FALSE)</f>
        <v>R-&gt;L</v>
      </c>
      <c r="U920" s="652" t="str">
        <f>VLOOKUP(A920,'[1]Raw data'!$B:$Z,9,FALSE)</f>
        <v>No</v>
      </c>
      <c r="V920" s="572" t="str">
        <f t="shared" ref="V920:V926" si="172">IF(G920&amp;H920=T920&amp;U920,"OK","WRONG")</f>
        <v>OK</v>
      </c>
      <c r="W920" s="568" t="str">
        <f>VLOOKUP(A920,'[1]Raw data'!$B:$AG,32,FALSE)</f>
        <v>DAP HZ</v>
      </c>
      <c r="X920" s="652">
        <f>VLOOKUP(A920,'[1]Raw data'!$B:$BA,31,FALSE)</f>
        <v>44147</v>
      </c>
      <c r="Y920" s="652" t="str">
        <f>VLOOKUP(A920,'[1]Raw data'!$B:$AS,39,FALSE)</f>
        <v>Yes</v>
      </c>
      <c r="Z920" s="664"/>
      <c r="AA920" s="665"/>
      <c r="AB920" s="666"/>
      <c r="AC920" s="652" t="s">
        <v>1756</v>
      </c>
      <c r="AD920" s="667">
        <v>301</v>
      </c>
      <c r="AE920" s="667">
        <v>10</v>
      </c>
      <c r="AF920" s="667">
        <v>303</v>
      </c>
      <c r="AG920" s="667">
        <v>10</v>
      </c>
      <c r="AH920" s="667"/>
      <c r="AI920" s="668"/>
      <c r="AN920" s="547"/>
      <c r="AO920" s="829" t="str">
        <f t="shared" si="159"/>
        <v>Yes</v>
      </c>
      <c r="AP920" s="259" t="str">
        <f t="shared" si="160"/>
        <v>AUG 21</v>
      </c>
      <c r="AQ920" s="547" t="str">
        <f t="shared" si="161"/>
        <v>有定金+有預留客戶</v>
      </c>
      <c r="AR920" s="259" t="str">
        <f t="shared" si="162"/>
        <v>Shipped_Stock</v>
      </c>
      <c r="AS920" s="259" t="str">
        <f t="shared" si="163"/>
        <v/>
      </c>
      <c r="AT920" s="259" t="str">
        <f t="shared" si="164"/>
        <v>众鑫科</v>
      </c>
      <c r="AU920" s="259" t="str">
        <f t="shared" si="165"/>
        <v>C49SZX20200210RSX</v>
      </c>
      <c r="AV920" s="259" t="str">
        <f t="shared" si="166"/>
        <v>Jul-20</v>
      </c>
    </row>
    <row r="921" spans="1:48" hidden="1">
      <c r="A921" s="564">
        <v>1398</v>
      </c>
      <c r="B921" s="669" t="s">
        <v>1125</v>
      </c>
      <c r="C921" s="669" t="s">
        <v>281</v>
      </c>
      <c r="D921" s="650">
        <v>110441</v>
      </c>
      <c r="E921" s="741" t="s">
        <v>1691</v>
      </c>
      <c r="F921" s="652" t="s">
        <v>58</v>
      </c>
      <c r="G921" s="652" t="s">
        <v>24</v>
      </c>
      <c r="H921" s="652" t="s">
        <v>307</v>
      </c>
      <c r="I921" s="580" t="s">
        <v>1757</v>
      </c>
      <c r="J921" s="580">
        <v>1</v>
      </c>
      <c r="K921" s="652" t="s">
        <v>1732</v>
      </c>
      <c r="L921" s="662">
        <v>44397</v>
      </c>
      <c r="M921" s="670" t="s">
        <v>906</v>
      </c>
      <c r="N921" s="652" t="s">
        <v>97</v>
      </c>
      <c r="O921" s="580"/>
      <c r="P921" s="670" t="str">
        <f>VLOOKUP(A921,'[1]Raw data'!$B:$BA,23,FALSE)</f>
        <v>JPY</v>
      </c>
      <c r="Q921" s="652" t="str">
        <f>VLOOKUP(A921,'[1]Raw data'!$B:$Z,2,FALSE)</f>
        <v>C49SZX20210144VG</v>
      </c>
      <c r="R921" s="652" t="str">
        <f>VLOOKUP(A921,'[1]Raw data'!$B:$Z,3,FALSE)</f>
        <v>鑫华锋</v>
      </c>
      <c r="S921" s="652" t="str">
        <f>VLOOKUP(A921,'[1]Raw data'!$B:$Z,4,FALSE)</f>
        <v>YSM20R-2</v>
      </c>
      <c r="T921" s="652" t="str">
        <f>VLOOKUP(A921,'[1]Raw data'!$B:$Z,8,FALSE)</f>
        <v>L-&gt;R</v>
      </c>
      <c r="U921" s="652" t="str">
        <f>VLOOKUP(A921,'[1]Raw data'!$B:$Z,9,FALSE)</f>
        <v>No</v>
      </c>
      <c r="V921" s="572" t="str">
        <f t="shared" si="172"/>
        <v>OK</v>
      </c>
      <c r="W921" s="568" t="str">
        <f>VLOOKUP(A921,'[1]Raw data'!$B:$AG,32,FALSE)</f>
        <v>DAP SZ</v>
      </c>
      <c r="X921" s="652">
        <f>VLOOKUP(A921,'[1]Raw data'!$B:$BA,31,FALSE)</f>
        <v>44344</v>
      </c>
      <c r="Y921" s="652" t="str">
        <f>VLOOKUP(A921,'[1]Raw data'!$B:$AS,39,FALSE)</f>
        <v>Yes</v>
      </c>
      <c r="Z921" s="664"/>
      <c r="AA921" s="665"/>
      <c r="AB921" s="666"/>
      <c r="AC921" s="652" t="s">
        <v>1518</v>
      </c>
      <c r="AD921" s="667">
        <v>312</v>
      </c>
      <c r="AE921" s="667">
        <v>10</v>
      </c>
      <c r="AF921" s="667">
        <v>301</v>
      </c>
      <c r="AG921" s="667">
        <v>10</v>
      </c>
      <c r="AH921" s="667"/>
      <c r="AI921" s="668"/>
      <c r="AN921" s="547"/>
      <c r="AO921" s="829" t="str">
        <f t="shared" si="159"/>
        <v>Yes</v>
      </c>
      <c r="AP921" s="259" t="str">
        <f t="shared" si="160"/>
        <v>JUL 21</v>
      </c>
      <c r="AQ921" s="547" t="str">
        <f t="shared" si="161"/>
        <v>有定金+有預留客戶</v>
      </c>
      <c r="AR921" s="259" t="str">
        <f t="shared" si="162"/>
        <v>Shipped_Stock</v>
      </c>
      <c r="AS921" s="259" t="str">
        <f t="shared" si="163"/>
        <v/>
      </c>
      <c r="AT921" s="259" t="str">
        <f t="shared" si="164"/>
        <v>鑫华锋</v>
      </c>
      <c r="AU921" s="259" t="str">
        <f t="shared" si="165"/>
        <v>C49SZX20210144VG</v>
      </c>
      <c r="AV921" s="259" t="str">
        <f t="shared" si="166"/>
        <v>Jul-20</v>
      </c>
    </row>
    <row r="922" spans="1:48" hidden="1">
      <c r="A922" s="564">
        <v>1379</v>
      </c>
      <c r="B922" s="669" t="s">
        <v>1125</v>
      </c>
      <c r="C922" s="669" t="s">
        <v>281</v>
      </c>
      <c r="D922" s="650">
        <v>110441</v>
      </c>
      <c r="E922" s="741" t="s">
        <v>1691</v>
      </c>
      <c r="F922" s="652" t="s">
        <v>58</v>
      </c>
      <c r="G922" s="652" t="s">
        <v>24</v>
      </c>
      <c r="H922" s="652" t="s">
        <v>26</v>
      </c>
      <c r="I922" s="580" t="s">
        <v>1758</v>
      </c>
      <c r="J922" s="580">
        <v>1</v>
      </c>
      <c r="K922" s="652" t="s">
        <v>1732</v>
      </c>
      <c r="L922" s="662">
        <v>44397</v>
      </c>
      <c r="M922" s="670" t="s">
        <v>906</v>
      </c>
      <c r="N922" s="652" t="s">
        <v>1337</v>
      </c>
      <c r="O922" s="580"/>
      <c r="P922" s="670" t="str">
        <f>VLOOKUP(A922,'[1]Raw data'!$B:$BA,23,FALSE)</f>
        <v>JPY</v>
      </c>
      <c r="Q922" s="652" t="str">
        <f>VLOOKUP(A922,'[1]Raw data'!$B:$Z,2,FALSE)</f>
        <v>C49SZX20210154MZ</v>
      </c>
      <c r="R922" s="652" t="str">
        <f>VLOOKUP(A922,'[1]Raw data'!$B:$Z,3,FALSE)</f>
        <v>巨能</v>
      </c>
      <c r="S922" s="652" t="str">
        <f>VLOOKUP(A922,'[1]Raw data'!$B:$Z,4,FALSE)</f>
        <v>YSM20R-2</v>
      </c>
      <c r="T922" s="652" t="str">
        <f>VLOOKUP(A922,'[1]Raw data'!$B:$Z,8,FALSE)</f>
        <v>L-&gt;R</v>
      </c>
      <c r="U922" s="652" t="str">
        <f>VLOOKUP(A922,'[1]Raw data'!$B:$Z,9,FALSE)</f>
        <v>No</v>
      </c>
      <c r="V922" s="572" t="str">
        <f t="shared" si="172"/>
        <v>OK</v>
      </c>
      <c r="W922" s="568" t="str">
        <f>VLOOKUP(A922,'[1]Raw data'!$B:$AG,32,FALSE)</f>
        <v>DAP SZ</v>
      </c>
      <c r="X922" s="652">
        <f>VLOOKUP(A922,'[1]Raw data'!$B:$BA,31,FALSE)</f>
        <v>44337</v>
      </c>
      <c r="Y922" s="652" t="str">
        <f>VLOOKUP(A922,'[1]Raw data'!$B:$AS,39,FALSE)</f>
        <v>Yes</v>
      </c>
      <c r="Z922" s="664"/>
      <c r="AA922" s="665"/>
      <c r="AB922" s="666"/>
      <c r="AC922" s="652" t="s">
        <v>1647</v>
      </c>
      <c r="AD922" s="667">
        <v>312</v>
      </c>
      <c r="AE922" s="667">
        <v>10</v>
      </c>
      <c r="AF922" s="667">
        <v>301</v>
      </c>
      <c r="AG922" s="667">
        <v>10</v>
      </c>
      <c r="AH922" s="667"/>
      <c r="AI922" s="668"/>
      <c r="AN922" s="547"/>
      <c r="AO922" s="829" t="str">
        <f t="shared" si="159"/>
        <v>Yes</v>
      </c>
      <c r="AP922" s="259" t="str">
        <f t="shared" si="160"/>
        <v>AUG 21</v>
      </c>
      <c r="AQ922" s="547" t="str">
        <f t="shared" si="161"/>
        <v>有定金+有預留客戶</v>
      </c>
      <c r="AR922" s="259" t="str">
        <f t="shared" si="162"/>
        <v>Shipped_Stock</v>
      </c>
      <c r="AS922" s="259" t="str">
        <f t="shared" si="163"/>
        <v/>
      </c>
      <c r="AT922" s="259" t="str">
        <f t="shared" si="164"/>
        <v>巨能</v>
      </c>
      <c r="AU922" s="259" t="str">
        <f t="shared" si="165"/>
        <v>C49SZX20210154MZ</v>
      </c>
      <c r="AV922" s="259" t="str">
        <f t="shared" si="166"/>
        <v>Jul-20</v>
      </c>
    </row>
    <row r="923" spans="1:48" hidden="1">
      <c r="A923" s="564">
        <v>1260</v>
      </c>
      <c r="B923" s="669" t="s">
        <v>1125</v>
      </c>
      <c r="C923" s="669" t="s">
        <v>281</v>
      </c>
      <c r="D923" s="650">
        <v>110441</v>
      </c>
      <c r="E923" s="741" t="s">
        <v>1691</v>
      </c>
      <c r="F923" s="652" t="s">
        <v>58</v>
      </c>
      <c r="G923" s="652" t="s">
        <v>24</v>
      </c>
      <c r="H923" s="652" t="s">
        <v>26</v>
      </c>
      <c r="I923" s="580" t="s">
        <v>1759</v>
      </c>
      <c r="J923" s="580">
        <v>1</v>
      </c>
      <c r="K923" s="652" t="s">
        <v>1732</v>
      </c>
      <c r="L923" s="662">
        <v>44397</v>
      </c>
      <c r="M923" s="670" t="s">
        <v>906</v>
      </c>
      <c r="N923" s="652" t="s">
        <v>97</v>
      </c>
      <c r="O923" s="580"/>
      <c r="P923" s="670" t="str">
        <f>VLOOKUP(A923,'[1]Raw data'!$B:$BA,23,FALSE)</f>
        <v>JPY</v>
      </c>
      <c r="Q923" s="652" t="str">
        <f>VLOOKUP(A923,'[1]Raw data'!$B:$Z,2,FALSE)</f>
        <v>C49SZX20210082MZ</v>
      </c>
      <c r="R923" s="652" t="str">
        <f>VLOOKUP(A923,'[1]Raw data'!$B:$Z,3,FALSE)</f>
        <v>崧盛</v>
      </c>
      <c r="S923" s="652" t="str">
        <f>VLOOKUP(A923,'[1]Raw data'!$B:$Z,4,FALSE)</f>
        <v>YSM20R-2</v>
      </c>
      <c r="T923" s="652" t="str">
        <f>VLOOKUP(A923,'[1]Raw data'!$B:$Z,8,FALSE)</f>
        <v>L-&gt;R</v>
      </c>
      <c r="U923" s="652" t="str">
        <f>VLOOKUP(A923,'[1]Raw data'!$B:$Z,9,FALSE)</f>
        <v>No</v>
      </c>
      <c r="V923" s="572" t="str">
        <f t="shared" si="172"/>
        <v>OK</v>
      </c>
      <c r="W923" s="568" t="str">
        <f>VLOOKUP(A923,'[1]Raw data'!$B:$AG,32,FALSE)</f>
        <v>CIF HK</v>
      </c>
      <c r="X923" s="652">
        <f>VLOOKUP(A923,'[1]Raw data'!$B:$BA,31,FALSE)</f>
        <v>44268</v>
      </c>
      <c r="Y923" s="652" t="str">
        <f>VLOOKUP(A923,'[1]Raw data'!$B:$AS,39,FALSE)</f>
        <v>Yes</v>
      </c>
      <c r="Z923" s="664"/>
      <c r="AA923" s="665"/>
      <c r="AB923" s="666"/>
      <c r="AC923" s="652" t="s">
        <v>1753</v>
      </c>
      <c r="AD923" s="667">
        <v>311</v>
      </c>
      <c r="AE923" s="667">
        <v>10</v>
      </c>
      <c r="AF923" s="667">
        <v>301</v>
      </c>
      <c r="AG923" s="667">
        <v>10</v>
      </c>
      <c r="AH923" s="667"/>
      <c r="AI923" s="668"/>
      <c r="AN923" s="547"/>
      <c r="AO923" s="829" t="str">
        <f t="shared" si="159"/>
        <v>Yes</v>
      </c>
      <c r="AP923" s="259" t="str">
        <f t="shared" si="160"/>
        <v>JUL 21</v>
      </c>
      <c r="AQ923" s="547" t="str">
        <f t="shared" si="161"/>
        <v>有定金+有預留客戶</v>
      </c>
      <c r="AR923" s="259" t="str">
        <f t="shared" si="162"/>
        <v>Shipped_Stock</v>
      </c>
      <c r="AS923" s="259" t="str">
        <f t="shared" si="163"/>
        <v/>
      </c>
      <c r="AT923" s="259" t="str">
        <f t="shared" si="164"/>
        <v>崧盛</v>
      </c>
      <c r="AU923" s="259" t="str">
        <f t="shared" si="165"/>
        <v>C49SZX20210082MZ</v>
      </c>
      <c r="AV923" s="259" t="str">
        <f t="shared" si="166"/>
        <v>Jul-20</v>
      </c>
    </row>
    <row r="924" spans="1:48" hidden="1">
      <c r="A924" s="564">
        <v>1261</v>
      </c>
      <c r="B924" s="669" t="s">
        <v>1125</v>
      </c>
      <c r="C924" s="669" t="s">
        <v>281</v>
      </c>
      <c r="D924" s="650">
        <v>110441</v>
      </c>
      <c r="E924" s="741" t="s">
        <v>1691</v>
      </c>
      <c r="F924" s="652" t="s">
        <v>58</v>
      </c>
      <c r="G924" s="652" t="s">
        <v>24</v>
      </c>
      <c r="H924" s="652" t="s">
        <v>26</v>
      </c>
      <c r="I924" s="580" t="s">
        <v>1760</v>
      </c>
      <c r="J924" s="580">
        <v>1</v>
      </c>
      <c r="K924" s="652" t="s">
        <v>1732</v>
      </c>
      <c r="L924" s="662">
        <v>44397</v>
      </c>
      <c r="M924" s="670" t="s">
        <v>906</v>
      </c>
      <c r="N924" s="652" t="s">
        <v>97</v>
      </c>
      <c r="O924" s="580"/>
      <c r="P924" s="670" t="str">
        <f>VLOOKUP(A924,'[1]Raw data'!$B:$BA,23,FALSE)</f>
        <v>JPY</v>
      </c>
      <c r="Q924" s="652" t="str">
        <f>VLOOKUP(A924,'[1]Raw data'!$B:$Z,2,FALSE)</f>
        <v>C49SZX20210082MZ</v>
      </c>
      <c r="R924" s="652" t="str">
        <f>VLOOKUP(A924,'[1]Raw data'!$B:$Z,3,FALSE)</f>
        <v>崧盛</v>
      </c>
      <c r="S924" s="652" t="str">
        <f>VLOOKUP(A924,'[1]Raw data'!$B:$Z,4,FALSE)</f>
        <v>YSM20R-2</v>
      </c>
      <c r="T924" s="652" t="str">
        <f>VLOOKUP(A924,'[1]Raw data'!$B:$Z,8,FALSE)</f>
        <v>L-&gt;R</v>
      </c>
      <c r="U924" s="652" t="str">
        <f>VLOOKUP(A924,'[1]Raw data'!$B:$Z,9,FALSE)</f>
        <v>No</v>
      </c>
      <c r="V924" s="572" t="str">
        <f t="shared" si="172"/>
        <v>OK</v>
      </c>
      <c r="W924" s="568" t="str">
        <f>VLOOKUP(A924,'[1]Raw data'!$B:$AG,32,FALSE)</f>
        <v>CIF HK</v>
      </c>
      <c r="X924" s="652">
        <f>VLOOKUP(A924,'[1]Raw data'!$B:$BA,31,FALSE)</f>
        <v>44268</v>
      </c>
      <c r="Y924" s="652" t="str">
        <f>VLOOKUP(A924,'[1]Raw data'!$B:$AS,39,FALSE)</f>
        <v>Yes</v>
      </c>
      <c r="Z924" s="664"/>
      <c r="AA924" s="665"/>
      <c r="AB924" s="666"/>
      <c r="AC924" s="652" t="s">
        <v>1753</v>
      </c>
      <c r="AD924" s="667">
        <v>311</v>
      </c>
      <c r="AE924" s="667">
        <v>10</v>
      </c>
      <c r="AF924" s="667">
        <v>301</v>
      </c>
      <c r="AG924" s="667">
        <v>10</v>
      </c>
      <c r="AH924" s="667"/>
      <c r="AI924" s="668"/>
      <c r="AN924" s="547"/>
      <c r="AO924" s="829" t="str">
        <f t="shared" si="159"/>
        <v>Yes</v>
      </c>
      <c r="AP924" s="259" t="str">
        <f t="shared" si="160"/>
        <v>JUL 21</v>
      </c>
      <c r="AQ924" s="547" t="str">
        <f t="shared" si="161"/>
        <v>有定金+有預留客戶</v>
      </c>
      <c r="AR924" s="259" t="str">
        <f t="shared" si="162"/>
        <v>Shipped_Stock</v>
      </c>
      <c r="AS924" s="259" t="str">
        <f t="shared" si="163"/>
        <v/>
      </c>
      <c r="AT924" s="259" t="str">
        <f t="shared" si="164"/>
        <v>崧盛</v>
      </c>
      <c r="AU924" s="259" t="str">
        <f t="shared" si="165"/>
        <v>C49SZX20210082MZ</v>
      </c>
      <c r="AV924" s="259" t="str">
        <f t="shared" si="166"/>
        <v>Jul-20</v>
      </c>
    </row>
    <row r="925" spans="1:48" hidden="1">
      <c r="A925" s="564">
        <v>1263</v>
      </c>
      <c r="B925" s="669" t="s">
        <v>1125</v>
      </c>
      <c r="C925" s="669" t="s">
        <v>281</v>
      </c>
      <c r="D925" s="650">
        <v>110441</v>
      </c>
      <c r="E925" s="741" t="s">
        <v>1691</v>
      </c>
      <c r="F925" s="652" t="s">
        <v>58</v>
      </c>
      <c r="G925" s="652" t="s">
        <v>24</v>
      </c>
      <c r="H925" s="652" t="s">
        <v>26</v>
      </c>
      <c r="I925" s="580" t="s">
        <v>1761</v>
      </c>
      <c r="J925" s="580">
        <v>1</v>
      </c>
      <c r="K925" s="652" t="s">
        <v>1732</v>
      </c>
      <c r="L925" s="662">
        <v>44397</v>
      </c>
      <c r="M925" s="670" t="s">
        <v>906</v>
      </c>
      <c r="N925" s="652" t="s">
        <v>97</v>
      </c>
      <c r="O925" s="580"/>
      <c r="P925" s="670" t="str">
        <f>VLOOKUP(A925,'[1]Raw data'!$B:$BA,23,FALSE)</f>
        <v>JPY</v>
      </c>
      <c r="Q925" s="652" t="str">
        <f>VLOOKUP(A925,'[1]Raw data'!$B:$Z,2,FALSE)</f>
        <v>C49SZX20210082MZ</v>
      </c>
      <c r="R925" s="652" t="str">
        <f>VLOOKUP(A925,'[1]Raw data'!$B:$Z,3,FALSE)</f>
        <v>崧盛</v>
      </c>
      <c r="S925" s="652" t="str">
        <f>VLOOKUP(A925,'[1]Raw data'!$B:$Z,4,FALSE)</f>
        <v>YSM20R-2</v>
      </c>
      <c r="T925" s="652" t="str">
        <f>VLOOKUP(A925,'[1]Raw data'!$B:$Z,8,FALSE)</f>
        <v>L-&gt;R</v>
      </c>
      <c r="U925" s="652" t="str">
        <f>VLOOKUP(A925,'[1]Raw data'!$B:$Z,9,FALSE)</f>
        <v>No</v>
      </c>
      <c r="V925" s="572" t="str">
        <f t="shared" si="172"/>
        <v>OK</v>
      </c>
      <c r="W925" s="568" t="str">
        <f>VLOOKUP(A925,'[1]Raw data'!$B:$AG,32,FALSE)</f>
        <v>CIF HK</v>
      </c>
      <c r="X925" s="652">
        <f>VLOOKUP(A925,'[1]Raw data'!$B:$BA,31,FALSE)</f>
        <v>44268</v>
      </c>
      <c r="Y925" s="652" t="str">
        <f>VLOOKUP(A925,'[1]Raw data'!$B:$AS,39,FALSE)</f>
        <v>Yes</v>
      </c>
      <c r="Z925" s="664"/>
      <c r="AA925" s="665"/>
      <c r="AB925" s="666"/>
      <c r="AC925" s="652" t="s">
        <v>1753</v>
      </c>
      <c r="AD925" s="667">
        <v>311</v>
      </c>
      <c r="AE925" s="667">
        <v>10</v>
      </c>
      <c r="AF925" s="667">
        <v>301</v>
      </c>
      <c r="AG925" s="667">
        <v>10</v>
      </c>
      <c r="AH925" s="667"/>
      <c r="AI925" s="668"/>
      <c r="AN925" s="547"/>
      <c r="AO925" s="829" t="str">
        <f t="shared" si="159"/>
        <v>Yes</v>
      </c>
      <c r="AP925" s="259" t="str">
        <f t="shared" si="160"/>
        <v>JUL 21</v>
      </c>
      <c r="AQ925" s="547" t="str">
        <f t="shared" si="161"/>
        <v>有定金+有預留客戶</v>
      </c>
      <c r="AR925" s="259" t="str">
        <f t="shared" si="162"/>
        <v>Shipped_Stock</v>
      </c>
      <c r="AS925" s="259" t="str">
        <f t="shared" si="163"/>
        <v/>
      </c>
      <c r="AT925" s="259" t="str">
        <f t="shared" si="164"/>
        <v>崧盛</v>
      </c>
      <c r="AU925" s="259" t="str">
        <f t="shared" si="165"/>
        <v>C49SZX20210082MZ</v>
      </c>
      <c r="AV925" s="259" t="str">
        <f t="shared" si="166"/>
        <v>Jul-20</v>
      </c>
    </row>
    <row r="926" spans="1:48" hidden="1">
      <c r="A926" s="564">
        <v>1262</v>
      </c>
      <c r="B926" s="669" t="s">
        <v>1125</v>
      </c>
      <c r="C926" s="669" t="s">
        <v>281</v>
      </c>
      <c r="D926" s="650">
        <v>110441</v>
      </c>
      <c r="E926" s="741" t="s">
        <v>1691</v>
      </c>
      <c r="F926" s="652" t="s">
        <v>58</v>
      </c>
      <c r="G926" s="652" t="s">
        <v>24</v>
      </c>
      <c r="H926" s="652" t="s">
        <v>26</v>
      </c>
      <c r="I926" s="580" t="s">
        <v>1762</v>
      </c>
      <c r="J926" s="580">
        <v>1</v>
      </c>
      <c r="K926" s="652" t="s">
        <v>1732</v>
      </c>
      <c r="L926" s="662">
        <v>44397</v>
      </c>
      <c r="M926" s="670" t="s">
        <v>906</v>
      </c>
      <c r="N926" s="652" t="s">
        <v>97</v>
      </c>
      <c r="O926" s="580"/>
      <c r="P926" s="670" t="str">
        <f>VLOOKUP(A926,'[1]Raw data'!$B:$BA,23,FALSE)</f>
        <v>JPY</v>
      </c>
      <c r="Q926" s="652" t="str">
        <f>VLOOKUP(A926,'[1]Raw data'!$B:$Z,2,FALSE)</f>
        <v>C49SZX20210082MZ</v>
      </c>
      <c r="R926" s="652" t="str">
        <f>VLOOKUP(A926,'[1]Raw data'!$B:$Z,3,FALSE)</f>
        <v>崧盛</v>
      </c>
      <c r="S926" s="652" t="str">
        <f>VLOOKUP(A926,'[1]Raw data'!$B:$Z,4,FALSE)</f>
        <v>YSM20R-2</v>
      </c>
      <c r="T926" s="652" t="str">
        <f>VLOOKUP(A926,'[1]Raw data'!$B:$Z,8,FALSE)</f>
        <v>L-&gt;R</v>
      </c>
      <c r="U926" s="652" t="str">
        <f>VLOOKUP(A926,'[1]Raw data'!$B:$Z,9,FALSE)</f>
        <v>No</v>
      </c>
      <c r="V926" s="572" t="str">
        <f t="shared" si="172"/>
        <v>OK</v>
      </c>
      <c r="W926" s="568" t="str">
        <f>VLOOKUP(A926,'[1]Raw data'!$B:$AG,32,FALSE)</f>
        <v>CIF HK</v>
      </c>
      <c r="X926" s="652">
        <f>VLOOKUP(A926,'[1]Raw data'!$B:$BA,31,FALSE)</f>
        <v>44268</v>
      </c>
      <c r="Y926" s="652" t="str">
        <f>VLOOKUP(A926,'[1]Raw data'!$B:$AS,39,FALSE)</f>
        <v>Yes</v>
      </c>
      <c r="Z926" s="664"/>
      <c r="AA926" s="665"/>
      <c r="AB926" s="666"/>
      <c r="AC926" s="652" t="s">
        <v>1753</v>
      </c>
      <c r="AD926" s="667">
        <v>311</v>
      </c>
      <c r="AE926" s="667">
        <v>10</v>
      </c>
      <c r="AF926" s="667">
        <v>301</v>
      </c>
      <c r="AG926" s="667">
        <v>10</v>
      </c>
      <c r="AH926" s="667"/>
      <c r="AI926" s="668"/>
      <c r="AN926" s="547"/>
      <c r="AO926" s="829" t="str">
        <f t="shared" si="159"/>
        <v>Yes</v>
      </c>
      <c r="AP926" s="259" t="str">
        <f t="shared" si="160"/>
        <v>JUL 21</v>
      </c>
      <c r="AQ926" s="547" t="str">
        <f t="shared" si="161"/>
        <v>有定金+有預留客戶</v>
      </c>
      <c r="AR926" s="259" t="str">
        <f t="shared" si="162"/>
        <v>Shipped_Stock</v>
      </c>
      <c r="AS926" s="259" t="str">
        <f t="shared" si="163"/>
        <v/>
      </c>
      <c r="AT926" s="259" t="str">
        <f t="shared" si="164"/>
        <v>崧盛</v>
      </c>
      <c r="AU926" s="259" t="str">
        <f t="shared" si="165"/>
        <v>C49SZX20210082MZ</v>
      </c>
      <c r="AV926" s="259" t="str">
        <f t="shared" si="166"/>
        <v>Jul-20</v>
      </c>
    </row>
    <row r="927" spans="1:48" hidden="1">
      <c r="A927" s="564">
        <v>1323</v>
      </c>
      <c r="B927" s="669" t="s">
        <v>1125</v>
      </c>
      <c r="C927" s="669" t="s">
        <v>281</v>
      </c>
      <c r="D927" s="650">
        <v>110247</v>
      </c>
      <c r="E927" s="568" t="s">
        <v>886</v>
      </c>
      <c r="F927" s="652" t="s">
        <v>58</v>
      </c>
      <c r="G927" s="652" t="s">
        <v>24</v>
      </c>
      <c r="H927" s="652" t="s">
        <v>26</v>
      </c>
      <c r="I927" s="580" t="s">
        <v>1763</v>
      </c>
      <c r="J927" s="580">
        <v>1</v>
      </c>
      <c r="K927" s="652" t="s">
        <v>1732</v>
      </c>
      <c r="L927" s="662">
        <v>44397</v>
      </c>
      <c r="M927" s="670" t="s">
        <v>906</v>
      </c>
      <c r="N927" s="652" t="s">
        <v>1337</v>
      </c>
      <c r="O927" s="580"/>
      <c r="P927" s="670" t="str">
        <f>VLOOKUP(A927,'[1]Raw data'!$B:$BA,23,FALSE)</f>
        <v>JPY</v>
      </c>
      <c r="Q927" s="652" t="str">
        <f>VLOOKUP(A927,'[1]Raw data'!$B:$Z,2,FALSE)</f>
        <v>C49SZX20210108MZ</v>
      </c>
      <c r="R927" s="652" t="str">
        <f>VLOOKUP(A927,'[1]Raw data'!$B:$Z,3,FALSE)</f>
        <v>捷盛达</v>
      </c>
      <c r="S927" s="652" t="str">
        <f>VLOOKUP(A927,'[1]Raw data'!$B:$Z,4,FALSE)</f>
        <v>YSM20R-2</v>
      </c>
      <c r="T927" s="652" t="str">
        <f>VLOOKUP(A927,'[1]Raw data'!$B:$Z,8,FALSE)</f>
        <v>L-&gt;R</v>
      </c>
      <c r="U927" s="652" t="str">
        <f>VLOOKUP(A927,'[1]Raw data'!$B:$Z,9,FALSE)</f>
        <v>No</v>
      </c>
      <c r="V927" s="572" t="str">
        <f t="shared" ref="V927" si="173">IF(G927&amp;H927=T927&amp;U927,"OK","WRONG")</f>
        <v>OK</v>
      </c>
      <c r="W927" s="568" t="str">
        <f>VLOOKUP(A927,'[1]Raw data'!$B:$AG,32,FALSE)</f>
        <v>DAP SZ</v>
      </c>
      <c r="X927" s="652">
        <f>VLOOKUP(A927,'[1]Raw data'!$B:$BA,31,FALSE)</f>
        <v>44294</v>
      </c>
      <c r="Y927" s="652" t="str">
        <f>VLOOKUP(A927,'[1]Raw data'!$B:$AS,39,FALSE)</f>
        <v>Yes</v>
      </c>
      <c r="Z927" s="664"/>
      <c r="AA927" s="665"/>
      <c r="AB927" s="666"/>
      <c r="AC927" s="652" t="s">
        <v>1764</v>
      </c>
      <c r="AD927" s="667">
        <v>302</v>
      </c>
      <c r="AE927" s="667">
        <v>10</v>
      </c>
      <c r="AF927" s="667">
        <v>302</v>
      </c>
      <c r="AG927" s="667">
        <v>10</v>
      </c>
      <c r="AH927" s="667"/>
      <c r="AI927" s="668"/>
      <c r="AN927" s="547"/>
      <c r="AO927" s="829" t="str">
        <f t="shared" si="159"/>
        <v>Yes</v>
      </c>
      <c r="AP927" s="259" t="str">
        <f t="shared" si="160"/>
        <v>AUG 21</v>
      </c>
      <c r="AQ927" s="547" t="str">
        <f t="shared" si="161"/>
        <v>有定金+有預留客戶</v>
      </c>
      <c r="AR927" s="259" t="str">
        <f t="shared" si="162"/>
        <v>Shipped_Stock</v>
      </c>
      <c r="AS927" s="259" t="str">
        <f t="shared" si="163"/>
        <v/>
      </c>
      <c r="AT927" s="259" t="str">
        <f t="shared" si="164"/>
        <v>捷盛达</v>
      </c>
      <c r="AU927" s="259" t="str">
        <f t="shared" si="165"/>
        <v>C49SZX20210108MZ</v>
      </c>
      <c r="AV927" s="259" t="str">
        <f t="shared" si="166"/>
        <v>Jul-20</v>
      </c>
    </row>
    <row r="928" spans="1:48" hidden="1">
      <c r="A928" s="564">
        <v>1309</v>
      </c>
      <c r="B928" s="669" t="s">
        <v>1125</v>
      </c>
      <c r="C928" s="669" t="s">
        <v>281</v>
      </c>
      <c r="D928" s="650">
        <v>110413</v>
      </c>
      <c r="E928" s="741" t="s">
        <v>1686</v>
      </c>
      <c r="F928" s="652" t="s">
        <v>154</v>
      </c>
      <c r="G928" s="652" t="s">
        <v>24</v>
      </c>
      <c r="H928" s="652" t="s">
        <v>1740</v>
      </c>
      <c r="I928" s="580" t="s">
        <v>1765</v>
      </c>
      <c r="J928" s="580">
        <v>1</v>
      </c>
      <c r="K928" s="652" t="s">
        <v>1732</v>
      </c>
      <c r="L928" s="662">
        <v>44399</v>
      </c>
      <c r="M928" s="670" t="s">
        <v>906</v>
      </c>
      <c r="N928" s="652" t="s">
        <v>1337</v>
      </c>
      <c r="O928" s="580"/>
      <c r="P928" s="670" t="str">
        <f>VLOOKUP(A928,'[1]Raw data'!$B:$BA,23,FALSE)</f>
        <v>JPY</v>
      </c>
      <c r="Q928" s="652" t="str">
        <f>VLOOKUP(A928,'[1]Raw data'!$B:$Z,2,FALSE)</f>
        <v>C49SZX20210096JL</v>
      </c>
      <c r="R928" s="652" t="str">
        <f>VLOOKUP(A928,'[1]Raw data'!$B:$Z,3,FALSE)</f>
        <v>杉川</v>
      </c>
      <c r="S928" s="652" t="str">
        <f>VLOOKUP(A928,'[1]Raw data'!$B:$Z,4,FALSE)</f>
        <v>YSM20WR-2</v>
      </c>
      <c r="T928" s="652" t="str">
        <f>VLOOKUP(A928,'[1]Raw data'!$B:$Z,8,FALSE)</f>
        <v>L-&gt;R</v>
      </c>
      <c r="U928" s="652" t="str">
        <f>VLOOKUP(A928,'[1]Raw data'!$B:$Z,9,FALSE)</f>
        <v>cATS10+MVC+Feeder Carriage</v>
      </c>
      <c r="V928" s="572" t="str">
        <f t="shared" ref="V928:V933" si="174">IF(G928&amp;H928=T928&amp;U928,"OK","WRONG")</f>
        <v>WRONG</v>
      </c>
      <c r="W928" s="568" t="str">
        <f>VLOOKUP(A928,'[1]Raw data'!$B:$AG,32,FALSE)</f>
        <v>DAP SZ</v>
      </c>
      <c r="X928" s="652">
        <f>VLOOKUP(A928,'[1]Raw data'!$B:$BA,31,FALSE)</f>
        <v>44288</v>
      </c>
      <c r="Y928" s="652" t="str">
        <f>VLOOKUP(A928,'[1]Raw data'!$B:$AS,39,FALSE)</f>
        <v>Yes</v>
      </c>
      <c r="Z928" s="664"/>
      <c r="AA928" s="665"/>
      <c r="AB928" s="666"/>
      <c r="AC928" s="652" t="s">
        <v>678</v>
      </c>
      <c r="AD928" s="667"/>
      <c r="AE928" s="667"/>
      <c r="AF928" s="667"/>
      <c r="AG928" s="667"/>
      <c r="AH928" s="667"/>
      <c r="AI928" s="668"/>
      <c r="AN928" s="547"/>
      <c r="AO928" s="829" t="str">
        <f t="shared" si="159"/>
        <v>Yes</v>
      </c>
      <c r="AP928" s="259" t="str">
        <f t="shared" si="160"/>
        <v>AUG 21</v>
      </c>
      <c r="AQ928" s="547" t="str">
        <f t="shared" si="161"/>
        <v>有定金+有預留客戶</v>
      </c>
      <c r="AR928" s="259" t="str">
        <f t="shared" si="162"/>
        <v>Shipped_Stock</v>
      </c>
      <c r="AS928" s="259" t="str">
        <f t="shared" si="163"/>
        <v/>
      </c>
      <c r="AT928" s="259" t="str">
        <f t="shared" si="164"/>
        <v>杉川</v>
      </c>
      <c r="AU928" s="259" t="str">
        <f t="shared" si="165"/>
        <v>C49SZX20210096JL</v>
      </c>
      <c r="AV928" s="259" t="str">
        <f t="shared" si="166"/>
        <v>Jul-22</v>
      </c>
    </row>
    <row r="929" spans="1:48" hidden="1">
      <c r="A929" s="564">
        <v>1310</v>
      </c>
      <c r="B929" s="669" t="s">
        <v>1125</v>
      </c>
      <c r="C929" s="669" t="s">
        <v>281</v>
      </c>
      <c r="D929" s="650">
        <v>110413</v>
      </c>
      <c r="E929" s="741" t="s">
        <v>1686</v>
      </c>
      <c r="F929" s="652" t="s">
        <v>154</v>
      </c>
      <c r="G929" s="652" t="s">
        <v>24</v>
      </c>
      <c r="H929" s="652" t="s">
        <v>1740</v>
      </c>
      <c r="I929" s="580" t="s">
        <v>1766</v>
      </c>
      <c r="J929" s="580">
        <v>1</v>
      </c>
      <c r="K929" s="652" t="s">
        <v>1732</v>
      </c>
      <c r="L929" s="662">
        <v>44399</v>
      </c>
      <c r="M929" s="670" t="s">
        <v>906</v>
      </c>
      <c r="N929" s="652" t="s">
        <v>1337</v>
      </c>
      <c r="O929" s="580"/>
      <c r="P929" s="670" t="str">
        <f>VLOOKUP(A929,'[1]Raw data'!$B:$BA,23,FALSE)</f>
        <v>JPY</v>
      </c>
      <c r="Q929" s="652" t="str">
        <f>VLOOKUP(A929,'[1]Raw data'!$B:$Z,2,FALSE)</f>
        <v>C49SZX20210096JL</v>
      </c>
      <c r="R929" s="652" t="str">
        <f>VLOOKUP(A929,'[1]Raw data'!$B:$Z,3,FALSE)</f>
        <v>杉川</v>
      </c>
      <c r="S929" s="652" t="str">
        <f>VLOOKUP(A929,'[1]Raw data'!$B:$Z,4,FALSE)</f>
        <v>YSM20WR-2</v>
      </c>
      <c r="T929" s="652" t="str">
        <f>VLOOKUP(A929,'[1]Raw data'!$B:$Z,8,FALSE)</f>
        <v>L-&gt;R</v>
      </c>
      <c r="U929" s="652" t="str">
        <f>VLOOKUP(A929,'[1]Raw data'!$B:$Z,9,FALSE)</f>
        <v>cATS10+MVC+Feeder Carriage</v>
      </c>
      <c r="V929" s="572" t="str">
        <f t="shared" si="174"/>
        <v>WRONG</v>
      </c>
      <c r="W929" s="568" t="str">
        <f>VLOOKUP(A929,'[1]Raw data'!$B:$AG,32,FALSE)</f>
        <v>DAP SZ</v>
      </c>
      <c r="X929" s="652">
        <f>VLOOKUP(A929,'[1]Raw data'!$B:$BA,31,FALSE)</f>
        <v>44288</v>
      </c>
      <c r="Y929" s="652" t="str">
        <f>VLOOKUP(A929,'[1]Raw data'!$B:$AS,39,FALSE)</f>
        <v>Yes</v>
      </c>
      <c r="Z929" s="664"/>
      <c r="AA929" s="665"/>
      <c r="AB929" s="666"/>
      <c r="AC929" s="652" t="s">
        <v>678</v>
      </c>
      <c r="AD929" s="667"/>
      <c r="AE929" s="667"/>
      <c r="AF929" s="667"/>
      <c r="AG929" s="667"/>
      <c r="AH929" s="667"/>
      <c r="AI929" s="668"/>
      <c r="AN929" s="547"/>
      <c r="AO929" s="829" t="str">
        <f t="shared" si="159"/>
        <v>Yes</v>
      </c>
      <c r="AP929" s="259" t="str">
        <f t="shared" si="160"/>
        <v>AUG 21</v>
      </c>
      <c r="AQ929" s="547" t="str">
        <f t="shared" si="161"/>
        <v>有定金+有預留客戶</v>
      </c>
      <c r="AR929" s="259" t="str">
        <f t="shared" si="162"/>
        <v>Shipped_Stock</v>
      </c>
      <c r="AS929" s="259" t="str">
        <f t="shared" si="163"/>
        <v/>
      </c>
      <c r="AT929" s="259" t="str">
        <f t="shared" si="164"/>
        <v>杉川</v>
      </c>
      <c r="AU929" s="259" t="str">
        <f t="shared" si="165"/>
        <v>C49SZX20210096JL</v>
      </c>
      <c r="AV929" s="259" t="str">
        <f t="shared" si="166"/>
        <v>Jul-22</v>
      </c>
    </row>
    <row r="930" spans="1:48" hidden="1">
      <c r="A930" s="564">
        <v>1314</v>
      </c>
      <c r="B930" s="669" t="s">
        <v>1125</v>
      </c>
      <c r="C930" s="669" t="s">
        <v>281</v>
      </c>
      <c r="D930" s="650">
        <v>110413</v>
      </c>
      <c r="E930" s="741" t="s">
        <v>1686</v>
      </c>
      <c r="F930" s="652" t="s">
        <v>154</v>
      </c>
      <c r="G930" s="652" t="s">
        <v>24</v>
      </c>
      <c r="H930" s="652" t="s">
        <v>26</v>
      </c>
      <c r="I930" s="580" t="s">
        <v>1767</v>
      </c>
      <c r="J930" s="580">
        <v>1</v>
      </c>
      <c r="K930" s="652" t="s">
        <v>1732</v>
      </c>
      <c r="L930" s="662">
        <v>44399</v>
      </c>
      <c r="M930" s="670" t="s">
        <v>906</v>
      </c>
      <c r="N930" s="652" t="s">
        <v>1337</v>
      </c>
      <c r="O930" s="580"/>
      <c r="P930" s="670" t="str">
        <f>VLOOKUP(A930,'[1]Raw data'!$B:$BA,23,FALSE)</f>
        <v>JPY</v>
      </c>
      <c r="Q930" s="652" t="str">
        <f>VLOOKUP(A930,'[1]Raw data'!$B:$Z,2,FALSE)</f>
        <v>C49SZX20210096JL</v>
      </c>
      <c r="R930" s="652" t="str">
        <f>VLOOKUP(A930,'[1]Raw data'!$B:$Z,3,FALSE)</f>
        <v>杉川</v>
      </c>
      <c r="S930" s="652" t="str">
        <f>VLOOKUP(A930,'[1]Raw data'!$B:$Z,4,FALSE)</f>
        <v>YSM20WR-2</v>
      </c>
      <c r="T930" s="652" t="str">
        <f>VLOOKUP(A930,'[1]Raw data'!$B:$Z,8,FALSE)</f>
        <v>L-&gt;R</v>
      </c>
      <c r="U930" s="652" t="str">
        <f>VLOOKUP(A930,'[1]Raw data'!$B:$Z,9,FALSE)</f>
        <v>MVC</v>
      </c>
      <c r="V930" s="572" t="str">
        <f t="shared" si="174"/>
        <v>WRONG</v>
      </c>
      <c r="W930" s="568" t="str">
        <f>VLOOKUP(A930,'[1]Raw data'!$B:$AG,32,FALSE)</f>
        <v>DAP SZ</v>
      </c>
      <c r="X930" s="652">
        <f>VLOOKUP(A930,'[1]Raw data'!$B:$BA,31,FALSE)</f>
        <v>44288</v>
      </c>
      <c r="Y930" s="652" t="str">
        <f>VLOOKUP(A930,'[1]Raw data'!$B:$AS,39,FALSE)</f>
        <v>Yes</v>
      </c>
      <c r="Z930" s="664"/>
      <c r="AA930" s="665"/>
      <c r="AB930" s="666"/>
      <c r="AC930" s="652" t="s">
        <v>678</v>
      </c>
      <c r="AD930" s="667"/>
      <c r="AE930" s="667"/>
      <c r="AF930" s="667"/>
      <c r="AG930" s="667"/>
      <c r="AH930" s="667"/>
      <c r="AI930" s="668"/>
      <c r="AN930" s="547"/>
      <c r="AO930" s="829" t="str">
        <f t="shared" si="159"/>
        <v>Yes</v>
      </c>
      <c r="AP930" s="259" t="str">
        <f t="shared" si="160"/>
        <v>AUG 21</v>
      </c>
      <c r="AQ930" s="547" t="str">
        <f t="shared" si="161"/>
        <v>有定金+有預留客戶</v>
      </c>
      <c r="AR930" s="259" t="str">
        <f t="shared" si="162"/>
        <v>Shipped_Stock</v>
      </c>
      <c r="AS930" s="259" t="str">
        <f t="shared" si="163"/>
        <v/>
      </c>
      <c r="AT930" s="259" t="str">
        <f t="shared" si="164"/>
        <v>杉川</v>
      </c>
      <c r="AU930" s="259" t="str">
        <f t="shared" si="165"/>
        <v>C49SZX20210096JL</v>
      </c>
      <c r="AV930" s="259" t="str">
        <f t="shared" si="166"/>
        <v>Jul-22</v>
      </c>
    </row>
    <row r="931" spans="1:48" hidden="1">
      <c r="A931" s="564">
        <v>1315</v>
      </c>
      <c r="B931" s="669" t="s">
        <v>1125</v>
      </c>
      <c r="C931" s="669" t="s">
        <v>281</v>
      </c>
      <c r="D931" s="650">
        <v>110413</v>
      </c>
      <c r="E931" s="741" t="s">
        <v>1686</v>
      </c>
      <c r="F931" s="652" t="s">
        <v>154</v>
      </c>
      <c r="G931" s="652" t="s">
        <v>24</v>
      </c>
      <c r="H931" s="652" t="s">
        <v>26</v>
      </c>
      <c r="I931" s="580" t="s">
        <v>1768</v>
      </c>
      <c r="J931" s="580">
        <v>1</v>
      </c>
      <c r="K931" s="652" t="s">
        <v>1732</v>
      </c>
      <c r="L931" s="662">
        <v>44399</v>
      </c>
      <c r="M931" s="670" t="s">
        <v>906</v>
      </c>
      <c r="N931" s="652" t="s">
        <v>1337</v>
      </c>
      <c r="O931" s="580"/>
      <c r="P931" s="670" t="str">
        <f>VLOOKUP(A931,'[1]Raw data'!$B:$BA,23,FALSE)</f>
        <v>JPY</v>
      </c>
      <c r="Q931" s="652" t="str">
        <f>VLOOKUP(A931,'[1]Raw data'!$B:$Z,2,FALSE)</f>
        <v>C49SZX20210096JL</v>
      </c>
      <c r="R931" s="652" t="str">
        <f>VLOOKUP(A931,'[1]Raw data'!$B:$Z,3,FALSE)</f>
        <v>杉川</v>
      </c>
      <c r="S931" s="652" t="str">
        <f>VLOOKUP(A931,'[1]Raw data'!$B:$Z,4,FALSE)</f>
        <v>YSM20WR-2</v>
      </c>
      <c r="T931" s="652" t="str">
        <f>VLOOKUP(A931,'[1]Raw data'!$B:$Z,8,FALSE)</f>
        <v>L-&gt;R</v>
      </c>
      <c r="U931" s="652" t="str">
        <f>VLOOKUP(A931,'[1]Raw data'!$B:$Z,9,FALSE)</f>
        <v>MVC</v>
      </c>
      <c r="V931" s="569" t="str">
        <f t="shared" si="174"/>
        <v>WRONG</v>
      </c>
      <c r="W931" s="568" t="str">
        <f>VLOOKUP(A931,'[1]Raw data'!$B:$AG,32,FALSE)</f>
        <v>DAP SZ</v>
      </c>
      <c r="X931" s="652">
        <f>VLOOKUP(A931,'[1]Raw data'!$B:$BA,31,FALSE)</f>
        <v>44288</v>
      </c>
      <c r="Y931" s="652" t="str">
        <f>VLOOKUP(A931,'[1]Raw data'!$B:$AS,39,FALSE)</f>
        <v>Yes</v>
      </c>
      <c r="Z931" s="547"/>
      <c r="AA931" s="547"/>
      <c r="AB931" s="547"/>
      <c r="AC931" s="652" t="s">
        <v>678</v>
      </c>
      <c r="AD931" s="547"/>
      <c r="AE931" s="547"/>
      <c r="AF931" s="547"/>
      <c r="AG931" s="547"/>
      <c r="AH931" s="547"/>
      <c r="AI931" s="547"/>
      <c r="AJ931" s="547"/>
      <c r="AK931" s="547"/>
      <c r="AL931" s="547"/>
      <c r="AM931" s="547"/>
      <c r="AN931" s="547"/>
      <c r="AO931" s="829" t="str">
        <f t="shared" si="159"/>
        <v>Yes</v>
      </c>
      <c r="AP931" s="259" t="str">
        <f t="shared" si="160"/>
        <v>AUG 21</v>
      </c>
      <c r="AQ931" s="547" t="str">
        <f t="shared" si="161"/>
        <v>有定金+有預留客戶</v>
      </c>
      <c r="AR931" s="259" t="str">
        <f t="shared" si="162"/>
        <v>Shipped_Stock</v>
      </c>
      <c r="AS931" s="259" t="str">
        <f t="shared" si="163"/>
        <v/>
      </c>
      <c r="AT931" s="259" t="str">
        <f t="shared" si="164"/>
        <v>杉川</v>
      </c>
      <c r="AU931" s="259" t="str">
        <f t="shared" si="165"/>
        <v>C49SZX20210096JL</v>
      </c>
      <c r="AV931" s="259" t="str">
        <f t="shared" si="166"/>
        <v>Jul-22</v>
      </c>
    </row>
    <row r="932" spans="1:48" hidden="1">
      <c r="A932" s="564">
        <v>1316</v>
      </c>
      <c r="B932" s="669" t="s">
        <v>1125</v>
      </c>
      <c r="C932" s="669" t="s">
        <v>281</v>
      </c>
      <c r="D932" s="650">
        <v>110413</v>
      </c>
      <c r="E932" s="741" t="s">
        <v>1686</v>
      </c>
      <c r="F932" s="652" t="s">
        <v>154</v>
      </c>
      <c r="G932" s="652" t="s">
        <v>24</v>
      </c>
      <c r="H932" s="652" t="s">
        <v>26</v>
      </c>
      <c r="I932" s="580" t="s">
        <v>1769</v>
      </c>
      <c r="J932" s="580">
        <v>1</v>
      </c>
      <c r="K932" s="652" t="s">
        <v>1732</v>
      </c>
      <c r="L932" s="662">
        <v>44399</v>
      </c>
      <c r="M932" s="670" t="s">
        <v>906</v>
      </c>
      <c r="N932" s="652" t="s">
        <v>1337</v>
      </c>
      <c r="O932" s="580"/>
      <c r="P932" s="670" t="str">
        <f>VLOOKUP(A932,'[1]Raw data'!$B:$BA,23,FALSE)</f>
        <v>JPY</v>
      </c>
      <c r="Q932" s="652" t="str">
        <f>VLOOKUP(A932,'[1]Raw data'!$B:$Z,2,FALSE)</f>
        <v>C49SZX20210096JL</v>
      </c>
      <c r="R932" s="652" t="str">
        <f>VLOOKUP(A932,'[1]Raw data'!$B:$Z,3,FALSE)</f>
        <v>杉川</v>
      </c>
      <c r="S932" s="652" t="str">
        <f>VLOOKUP(A932,'[1]Raw data'!$B:$Z,4,FALSE)</f>
        <v>YSM20WR-2</v>
      </c>
      <c r="T932" s="652" t="str">
        <f>VLOOKUP(A932,'[1]Raw data'!$B:$Z,8,FALSE)</f>
        <v>L-&gt;R</v>
      </c>
      <c r="U932" s="652" t="str">
        <f>VLOOKUP(A932,'[1]Raw data'!$B:$Z,9,FALSE)</f>
        <v>MVC</v>
      </c>
      <c r="V932" s="572" t="str">
        <f t="shared" si="174"/>
        <v>WRONG</v>
      </c>
      <c r="W932" s="568" t="str">
        <f>VLOOKUP(A932,'[1]Raw data'!$B:$AG,32,FALSE)</f>
        <v>DAP SZ</v>
      </c>
      <c r="X932" s="652">
        <f>VLOOKUP(A932,'[1]Raw data'!$B:$BA,31,FALSE)</f>
        <v>44288</v>
      </c>
      <c r="Y932" s="652" t="str">
        <f>VLOOKUP(A932,'[1]Raw data'!$B:$AS,39,FALSE)</f>
        <v>Yes</v>
      </c>
      <c r="Z932" s="664"/>
      <c r="AA932" s="665"/>
      <c r="AB932" s="666"/>
      <c r="AC932" s="652" t="s">
        <v>678</v>
      </c>
      <c r="AD932" s="667"/>
      <c r="AE932" s="667"/>
      <c r="AF932" s="667"/>
      <c r="AG932" s="667"/>
      <c r="AH932" s="667"/>
      <c r="AI932" s="668"/>
      <c r="AN932" s="547"/>
      <c r="AO932" s="829" t="str">
        <f t="shared" si="159"/>
        <v>Yes</v>
      </c>
      <c r="AP932" s="259" t="str">
        <f t="shared" si="160"/>
        <v>AUG 21</v>
      </c>
      <c r="AQ932" s="547" t="str">
        <f t="shared" si="161"/>
        <v>有定金+有預留客戶</v>
      </c>
      <c r="AR932" s="259" t="str">
        <f t="shared" si="162"/>
        <v>Shipped_Stock</v>
      </c>
      <c r="AS932" s="259" t="str">
        <f t="shared" si="163"/>
        <v/>
      </c>
      <c r="AT932" s="259" t="str">
        <f t="shared" si="164"/>
        <v>杉川</v>
      </c>
      <c r="AU932" s="259" t="str">
        <f t="shared" si="165"/>
        <v>C49SZX20210096JL</v>
      </c>
      <c r="AV932" s="259" t="str">
        <f t="shared" si="166"/>
        <v>Jul-22</v>
      </c>
    </row>
    <row r="933" spans="1:48" hidden="1">
      <c r="A933" s="564">
        <v>1317</v>
      </c>
      <c r="B933" s="669" t="s">
        <v>1125</v>
      </c>
      <c r="C933" s="669" t="s">
        <v>281</v>
      </c>
      <c r="D933" s="650">
        <v>110413</v>
      </c>
      <c r="E933" s="741" t="s">
        <v>1686</v>
      </c>
      <c r="F933" s="652" t="s">
        <v>154</v>
      </c>
      <c r="G933" s="652" t="s">
        <v>24</v>
      </c>
      <c r="H933" s="652" t="s">
        <v>26</v>
      </c>
      <c r="I933" s="580" t="s">
        <v>1770</v>
      </c>
      <c r="J933" s="580">
        <v>1</v>
      </c>
      <c r="K933" s="652" t="s">
        <v>1732</v>
      </c>
      <c r="L933" s="662">
        <v>44399</v>
      </c>
      <c r="M933" s="670" t="s">
        <v>906</v>
      </c>
      <c r="N933" s="652" t="s">
        <v>1337</v>
      </c>
      <c r="O933" s="580"/>
      <c r="P933" s="670" t="str">
        <f>VLOOKUP(A933,'[1]Raw data'!$B:$BA,23,FALSE)</f>
        <v>JPY</v>
      </c>
      <c r="Q933" s="652" t="str">
        <f>VLOOKUP(A933,'[1]Raw data'!$B:$Z,2,FALSE)</f>
        <v>C49SZX20210096JL</v>
      </c>
      <c r="R933" s="652" t="str">
        <f>VLOOKUP(A933,'[1]Raw data'!$B:$Z,3,FALSE)</f>
        <v>杉川</v>
      </c>
      <c r="S933" s="652" t="str">
        <f>VLOOKUP(A933,'[1]Raw data'!$B:$Z,4,FALSE)</f>
        <v>YSM20WR-2</v>
      </c>
      <c r="T933" s="652" t="str">
        <f>VLOOKUP(A933,'[1]Raw data'!$B:$Z,8,FALSE)</f>
        <v>L-&gt;R</v>
      </c>
      <c r="U933" s="652" t="str">
        <f>VLOOKUP(A933,'[1]Raw data'!$B:$Z,9,FALSE)</f>
        <v>No</v>
      </c>
      <c r="V933" s="572" t="str">
        <f t="shared" si="174"/>
        <v>OK</v>
      </c>
      <c r="W933" s="568" t="str">
        <f>VLOOKUP(A933,'[1]Raw data'!$B:$AG,32,FALSE)</f>
        <v>DAP SZ</v>
      </c>
      <c r="X933" s="652">
        <f>VLOOKUP(A933,'[1]Raw data'!$B:$BA,31,FALSE)</f>
        <v>44288</v>
      </c>
      <c r="Y933" s="652" t="str">
        <f>VLOOKUP(A933,'[1]Raw data'!$B:$AS,39,FALSE)</f>
        <v>Yes</v>
      </c>
      <c r="Z933" s="664"/>
      <c r="AA933" s="665"/>
      <c r="AB933" s="666"/>
      <c r="AC933" s="652" t="s">
        <v>678</v>
      </c>
      <c r="AD933" s="667"/>
      <c r="AE933" s="667"/>
      <c r="AF933" s="667"/>
      <c r="AG933" s="667"/>
      <c r="AH933" s="667"/>
      <c r="AI933" s="668"/>
      <c r="AN933" s="547"/>
      <c r="AO933" s="829" t="str">
        <f t="shared" si="159"/>
        <v>Yes</v>
      </c>
      <c r="AP933" s="259" t="str">
        <f t="shared" si="160"/>
        <v>AUG 21</v>
      </c>
      <c r="AQ933" s="547" t="str">
        <f t="shared" si="161"/>
        <v>有定金+有預留客戶</v>
      </c>
      <c r="AR933" s="259" t="str">
        <f t="shared" si="162"/>
        <v>Shipped_Stock</v>
      </c>
      <c r="AS933" s="259" t="str">
        <f t="shared" si="163"/>
        <v/>
      </c>
      <c r="AT933" s="259" t="str">
        <f t="shared" si="164"/>
        <v>杉川</v>
      </c>
      <c r="AU933" s="259" t="str">
        <f t="shared" si="165"/>
        <v>C49SZX20210096JL</v>
      </c>
      <c r="AV933" s="259" t="str">
        <f t="shared" si="166"/>
        <v>Jul-22</v>
      </c>
    </row>
    <row r="934" spans="1:48" hidden="1">
      <c r="A934" s="564">
        <v>926</v>
      </c>
      <c r="B934" s="669" t="s">
        <v>1125</v>
      </c>
      <c r="C934" s="669" t="s">
        <v>281</v>
      </c>
      <c r="D934" s="650">
        <v>110383</v>
      </c>
      <c r="E934" s="741" t="s">
        <v>1691</v>
      </c>
      <c r="F934" s="652" t="s">
        <v>17</v>
      </c>
      <c r="G934" s="652" t="s">
        <v>18</v>
      </c>
      <c r="H934" s="652" t="s">
        <v>34</v>
      </c>
      <c r="I934" s="580" t="s">
        <v>1771</v>
      </c>
      <c r="J934" s="580">
        <v>1</v>
      </c>
      <c r="K934" s="652" t="s">
        <v>85</v>
      </c>
      <c r="L934" s="662">
        <v>44400</v>
      </c>
      <c r="M934" s="670" t="s">
        <v>906</v>
      </c>
      <c r="N934" s="652" t="s">
        <v>1337</v>
      </c>
      <c r="O934" s="580"/>
      <c r="P934" s="670" t="str">
        <f>VLOOKUP(A934,'[1]Raw data'!$B:$BA,23,FALSE)</f>
        <v>JPY</v>
      </c>
      <c r="Q934" s="652" t="str">
        <f>VLOOKUP(A934,'[1]Raw data'!$B:$Z,2,FALSE)</f>
        <v>C49SZX20200210RSX</v>
      </c>
      <c r="R934" s="652" t="str">
        <f>VLOOKUP(A934,'[1]Raw data'!$B:$Z,3,FALSE)</f>
        <v>众鑫科</v>
      </c>
      <c r="S934" s="652" t="str">
        <f>VLOOKUP(A934,'[1]Raw data'!$B:$Z,4,FALSE)</f>
        <v>YSM10</v>
      </c>
      <c r="T934" s="652" t="str">
        <f>VLOOKUP(A934,'[1]Raw data'!$B:$Z,8,FALSE)</f>
        <v>L-&gt;R</v>
      </c>
      <c r="U934" s="652" t="str">
        <f>VLOOKUP(A934,'[1]Raw data'!$B:$Z,9,FALSE)</f>
        <v>MVC+ATS15</v>
      </c>
      <c r="V934" s="572" t="str">
        <f t="shared" ref="V934:V939" si="175">IF(G934&amp;H934=T934&amp;U934,"OK","WRONG")</f>
        <v>WRONG</v>
      </c>
      <c r="W934" s="568" t="str">
        <f>VLOOKUP(A934,'[1]Raw data'!$B:$AG,32,FALSE)</f>
        <v>DAP HZ</v>
      </c>
      <c r="X934" s="652">
        <f>VLOOKUP(A934,'[1]Raw data'!$B:$BA,31,FALSE)</f>
        <v>44147</v>
      </c>
      <c r="Y934" s="652" t="str">
        <f>VLOOKUP(A934,'[1]Raw data'!$B:$AS,39,FALSE)</f>
        <v>Yes</v>
      </c>
      <c r="Z934" s="664"/>
      <c r="AA934" s="665"/>
      <c r="AB934" s="666"/>
      <c r="AC934" s="652" t="s">
        <v>1756</v>
      </c>
      <c r="AD934" s="667">
        <v>302</v>
      </c>
      <c r="AE934" s="667">
        <v>10</v>
      </c>
      <c r="AF934" s="667"/>
      <c r="AG934" s="667"/>
      <c r="AH934" s="667"/>
      <c r="AI934" s="668"/>
      <c r="AN934" s="547"/>
      <c r="AO934" s="829" t="str">
        <f t="shared" si="159"/>
        <v>Yes</v>
      </c>
      <c r="AP934" s="259" t="str">
        <f t="shared" si="160"/>
        <v>AUG 21</v>
      </c>
      <c r="AQ934" s="547" t="str">
        <f t="shared" si="161"/>
        <v>有定金+有預留客戶</v>
      </c>
      <c r="AR934" s="259" t="str">
        <f t="shared" si="162"/>
        <v>Shipped_Stock</v>
      </c>
      <c r="AS934" s="259" t="str">
        <f t="shared" si="163"/>
        <v/>
      </c>
      <c r="AT934" s="259" t="str">
        <f t="shared" si="164"/>
        <v>众鑫科</v>
      </c>
      <c r="AU934" s="259" t="str">
        <f t="shared" si="165"/>
        <v>C49SZX20200210RSX</v>
      </c>
      <c r="AV934" s="259" t="str">
        <f t="shared" si="166"/>
        <v>Jul-23</v>
      </c>
    </row>
    <row r="935" spans="1:48" hidden="1">
      <c r="A935" s="564">
        <v>1160</v>
      </c>
      <c r="B935" s="669" t="s">
        <v>1125</v>
      </c>
      <c r="C935" s="669" t="s">
        <v>281</v>
      </c>
      <c r="D935" s="650">
        <v>110383</v>
      </c>
      <c r="E935" s="741" t="s">
        <v>1691</v>
      </c>
      <c r="F935" s="652" t="s">
        <v>17</v>
      </c>
      <c r="G935" s="652" t="s">
        <v>18</v>
      </c>
      <c r="H935" s="652" t="s">
        <v>34</v>
      </c>
      <c r="I935" s="580" t="s">
        <v>1772</v>
      </c>
      <c r="J935" s="580">
        <v>1</v>
      </c>
      <c r="K935" s="652" t="s">
        <v>1732</v>
      </c>
      <c r="L935" s="662">
        <v>44400</v>
      </c>
      <c r="M935" s="670" t="s">
        <v>906</v>
      </c>
      <c r="N935" s="652" t="s">
        <v>1736</v>
      </c>
      <c r="O935" s="580"/>
      <c r="P935" s="670" t="str">
        <f>VLOOKUP(A935,'[1]Raw data'!$B:$BA,23,FALSE)</f>
        <v>JPY</v>
      </c>
      <c r="Q935" s="652" t="str">
        <f>VLOOKUP(A935,'[1]Raw data'!$B:$Z,2,FALSE)</f>
        <v>C49SZX20210052JY</v>
      </c>
      <c r="R935" s="652" t="str">
        <f>VLOOKUP(A935,'[1]Raw data'!$B:$Z,3,FALSE)</f>
        <v>江西络鑫</v>
      </c>
      <c r="S935" s="652" t="str">
        <f>VLOOKUP(A935,'[1]Raw data'!$B:$Z,4,FALSE)</f>
        <v>YSM10</v>
      </c>
      <c r="T935" s="652" t="str">
        <f>VLOOKUP(A935,'[1]Raw data'!$B:$Z,8,FALSE)</f>
        <v>L-&gt;R</v>
      </c>
      <c r="U935" s="652" t="str">
        <f>VLOOKUP(A935,'[1]Raw data'!$B:$Z,9,FALSE)</f>
        <v>MVC+ATS15</v>
      </c>
      <c r="V935" s="569" t="str">
        <f t="shared" si="175"/>
        <v>WRONG</v>
      </c>
      <c r="W935" s="568" t="str">
        <f>VLOOKUP(A935,'[1]Raw data'!$B:$AG,32,FALSE)</f>
        <v>CIF HK</v>
      </c>
      <c r="X935" s="652">
        <f>VLOOKUP(A935,'[1]Raw data'!$B:$BA,31,FALSE)</f>
        <v>44259</v>
      </c>
      <c r="Y935" s="652" t="str">
        <f>VLOOKUP(A935,'[1]Raw data'!$B:$AS,39,FALSE)</f>
        <v>Yes</v>
      </c>
      <c r="Z935" s="547"/>
      <c r="AA935" s="547"/>
      <c r="AB935" s="547"/>
      <c r="AC935" s="619" t="s">
        <v>1773</v>
      </c>
      <c r="AD935" s="580">
        <v>301</v>
      </c>
      <c r="AE935" s="580">
        <v>10</v>
      </c>
      <c r="AF935" s="619"/>
      <c r="AG935" s="619"/>
      <c r="AH935" s="619"/>
      <c r="AI935" s="619"/>
      <c r="AJ935" s="619"/>
      <c r="AK935" s="619"/>
      <c r="AL935" s="619"/>
      <c r="AM935" s="619"/>
      <c r="AN935" s="619"/>
      <c r="AO935" s="829" t="str">
        <f t="shared" si="159"/>
        <v>Yes</v>
      </c>
      <c r="AP935" s="259" t="str">
        <f t="shared" si="160"/>
        <v>OCT 21</v>
      </c>
      <c r="AQ935" s="547" t="str">
        <f t="shared" si="161"/>
        <v>有定金+有預留客戶</v>
      </c>
      <c r="AR935" s="259" t="str">
        <f t="shared" si="162"/>
        <v>Shipped_Stock</v>
      </c>
      <c r="AS935" s="259" t="str">
        <f t="shared" si="163"/>
        <v/>
      </c>
      <c r="AT935" s="259" t="str">
        <f t="shared" si="164"/>
        <v>江西络鑫</v>
      </c>
      <c r="AU935" s="259" t="str">
        <f t="shared" si="165"/>
        <v>C49SZX20210052JY</v>
      </c>
      <c r="AV935" s="259" t="str">
        <f t="shared" si="166"/>
        <v>Jul-23</v>
      </c>
    </row>
    <row r="936" spans="1:48" hidden="1">
      <c r="A936" s="564">
        <v>1426</v>
      </c>
      <c r="B936" s="669" t="s">
        <v>1125</v>
      </c>
      <c r="C936" s="669" t="s">
        <v>281</v>
      </c>
      <c r="D936" s="650">
        <v>110383</v>
      </c>
      <c r="E936" s="741" t="s">
        <v>1691</v>
      </c>
      <c r="F936" s="652" t="s">
        <v>17</v>
      </c>
      <c r="G936" s="652" t="s">
        <v>18</v>
      </c>
      <c r="H936" s="652" t="s">
        <v>34</v>
      </c>
      <c r="I936" s="580" t="s">
        <v>1774</v>
      </c>
      <c r="J936" s="580">
        <v>1</v>
      </c>
      <c r="K936" s="652" t="s">
        <v>1732</v>
      </c>
      <c r="L936" s="662">
        <v>44400</v>
      </c>
      <c r="M936" s="670" t="s">
        <v>906</v>
      </c>
      <c r="N936" s="652" t="s">
        <v>1337</v>
      </c>
      <c r="O936" s="580"/>
      <c r="P936" s="670" t="str">
        <f>VLOOKUP(A936,'[1]Raw data'!$B:$BA,23,FALSE)</f>
        <v>JPY</v>
      </c>
      <c r="Q936" s="652" t="str">
        <f>VLOOKUP(A936,'[1]Raw data'!$B:$Z,2,FALSE)</f>
        <v>C49SZX20210152SX</v>
      </c>
      <c r="R936" s="652" t="str">
        <f>VLOOKUP(A936,'[1]Raw data'!$B:$Z,3,FALSE)</f>
        <v>太美亚</v>
      </c>
      <c r="S936" s="652" t="str">
        <f>VLOOKUP(A936,'[1]Raw data'!$B:$Z,4,FALSE)</f>
        <v>YSM10</v>
      </c>
      <c r="T936" s="652" t="str">
        <f>VLOOKUP(A936,'[1]Raw data'!$B:$Z,8,FALSE)</f>
        <v>L-&gt;R</v>
      </c>
      <c r="U936" s="652" t="str">
        <f>VLOOKUP(A936,'[1]Raw data'!$B:$Z,9,FALSE)</f>
        <v>MVC+ATS15</v>
      </c>
      <c r="V936" s="572" t="str">
        <f t="shared" si="175"/>
        <v>WRONG</v>
      </c>
      <c r="W936" s="568" t="str">
        <f>VLOOKUP(A936,'[1]Raw data'!$B:$AG,32,FALSE)</f>
        <v>DAP SZ</v>
      </c>
      <c r="X936" s="652">
        <f>VLOOKUP(A936,'[1]Raw data'!$B:$BA,31,FALSE)</f>
        <v>44351</v>
      </c>
      <c r="Y936" s="652" t="str">
        <f>VLOOKUP(A936,'[1]Raw data'!$B:$AS,39,FALSE)</f>
        <v>Yes</v>
      </c>
      <c r="Z936" s="664"/>
      <c r="AA936" s="665"/>
      <c r="AB936" s="666"/>
      <c r="AC936" s="652" t="s">
        <v>476</v>
      </c>
      <c r="AD936" s="667">
        <v>302</v>
      </c>
      <c r="AE936" s="667">
        <v>10</v>
      </c>
      <c r="AF936" s="667"/>
      <c r="AG936" s="667"/>
      <c r="AH936" s="667"/>
      <c r="AI936" s="668"/>
      <c r="AN936" s="547"/>
      <c r="AO936" s="829" t="str">
        <f t="shared" si="159"/>
        <v>Yes</v>
      </c>
      <c r="AP936" s="259" t="str">
        <f t="shared" si="160"/>
        <v>AUG 21</v>
      </c>
      <c r="AQ936" s="547" t="str">
        <f t="shared" si="161"/>
        <v>有定金+有預留客戶</v>
      </c>
      <c r="AR936" s="259" t="str">
        <f t="shared" si="162"/>
        <v>Shipped_Stock</v>
      </c>
      <c r="AS936" s="259" t="str">
        <f t="shared" si="163"/>
        <v/>
      </c>
      <c r="AT936" s="259" t="str">
        <f t="shared" si="164"/>
        <v>太美亚</v>
      </c>
      <c r="AU936" s="259" t="str">
        <f t="shared" si="165"/>
        <v>C49SZX20210152SX</v>
      </c>
      <c r="AV936" s="259" t="str">
        <f t="shared" si="166"/>
        <v>Jul-23</v>
      </c>
    </row>
    <row r="937" spans="1:48" hidden="1">
      <c r="A937" s="564">
        <v>855</v>
      </c>
      <c r="B937" s="669" t="s">
        <v>1125</v>
      </c>
      <c r="C937" s="669" t="s">
        <v>281</v>
      </c>
      <c r="D937" s="650">
        <v>110383</v>
      </c>
      <c r="E937" s="741" t="s">
        <v>1691</v>
      </c>
      <c r="F937" s="652" t="s">
        <v>17</v>
      </c>
      <c r="G937" s="652" t="s">
        <v>18</v>
      </c>
      <c r="H937" s="652" t="s">
        <v>26</v>
      </c>
      <c r="I937" s="580" t="s">
        <v>1775</v>
      </c>
      <c r="J937" s="580">
        <v>1</v>
      </c>
      <c r="K937" s="652" t="s">
        <v>1732</v>
      </c>
      <c r="L937" s="662">
        <v>44400</v>
      </c>
      <c r="M937" s="670" t="s">
        <v>906</v>
      </c>
      <c r="N937" s="652" t="s">
        <v>97</v>
      </c>
      <c r="O937" s="580"/>
      <c r="P937" s="670" t="str">
        <f>VLOOKUP(A937,'[1]Raw data'!$B:$BA,23,FALSE)</f>
        <v>JPY</v>
      </c>
      <c r="Q937" s="652" t="str">
        <f>VLOOKUP(A937,'[1]Raw data'!$B:$Z,2,FALSE)</f>
        <v>C49SZX20200176SX</v>
      </c>
      <c r="R937" s="652" t="str">
        <f>VLOOKUP(A937,'[1]Raw data'!$B:$Z,3,FALSE)</f>
        <v>兴开泰（合同吸嘴已发）</v>
      </c>
      <c r="S937" s="652" t="str">
        <f>VLOOKUP(A937,'[1]Raw data'!$B:$Z,4,FALSE)</f>
        <v>YSM10</v>
      </c>
      <c r="T937" s="652" t="str">
        <f>VLOOKUP(A937,'[1]Raw data'!$B:$Z,8,FALSE)</f>
        <v>L-&gt;R</v>
      </c>
      <c r="U937" s="652" t="str">
        <f>VLOOKUP(A937,'[1]Raw data'!$B:$Z,9,FALSE)</f>
        <v>MVC</v>
      </c>
      <c r="V937" s="572" t="str">
        <f t="shared" si="175"/>
        <v>WRONG</v>
      </c>
      <c r="W937" s="568" t="str">
        <f>VLOOKUP(A937,'[1]Raw data'!$B:$AG,32,FALSE)</f>
        <v>DAP DG</v>
      </c>
      <c r="X937" s="652">
        <f>VLOOKUP(A937,'[1]Raw data'!$B:$BA,31,FALSE)</f>
        <v>44098</v>
      </c>
      <c r="Y937" s="652" t="str">
        <f>VLOOKUP(A937,'[1]Raw data'!$B:$AS,39,FALSE)</f>
        <v>Yes</v>
      </c>
      <c r="Z937" s="664"/>
      <c r="AA937" s="665"/>
      <c r="AB937" s="666"/>
      <c r="AC937" s="652" t="s">
        <v>1776</v>
      </c>
      <c r="AD937" s="667">
        <v>302</v>
      </c>
      <c r="AE937" s="667">
        <v>10</v>
      </c>
      <c r="AF937" s="667"/>
      <c r="AG937" s="667"/>
      <c r="AH937" s="667"/>
      <c r="AI937" s="668"/>
      <c r="AN937" s="547"/>
      <c r="AO937" s="829" t="str">
        <f t="shared" si="159"/>
        <v>Yes</v>
      </c>
      <c r="AP937" s="259" t="str">
        <f t="shared" si="160"/>
        <v>JUL 21</v>
      </c>
      <c r="AQ937" s="547" t="str">
        <f t="shared" si="161"/>
        <v>有定金+有預留客戶</v>
      </c>
      <c r="AR937" s="259" t="str">
        <f t="shared" si="162"/>
        <v>Shipped_Stock</v>
      </c>
      <c r="AS937" s="259" t="str">
        <f t="shared" si="163"/>
        <v/>
      </c>
      <c r="AT937" s="259" t="str">
        <f t="shared" si="164"/>
        <v>兴开泰（合同吸嘴已发）</v>
      </c>
      <c r="AU937" s="259" t="str">
        <f t="shared" si="165"/>
        <v>C49SZX20200176SX</v>
      </c>
      <c r="AV937" s="259" t="str">
        <f t="shared" si="166"/>
        <v>Jul-23</v>
      </c>
    </row>
    <row r="938" spans="1:48" hidden="1">
      <c r="A938" s="564">
        <v>1089</v>
      </c>
      <c r="B938" s="669" t="s">
        <v>1125</v>
      </c>
      <c r="C938" s="669" t="s">
        <v>281</v>
      </c>
      <c r="D938" s="650" t="s">
        <v>1777</v>
      </c>
      <c r="E938" s="741" t="s">
        <v>1691</v>
      </c>
      <c r="F938" s="652" t="s">
        <v>17</v>
      </c>
      <c r="G938" s="652" t="s">
        <v>18</v>
      </c>
      <c r="H938" s="652" t="s">
        <v>26</v>
      </c>
      <c r="I938" s="580" t="s">
        <v>1778</v>
      </c>
      <c r="J938" s="580">
        <v>1</v>
      </c>
      <c r="K938" s="652" t="s">
        <v>1732</v>
      </c>
      <c r="L938" s="662">
        <v>44400</v>
      </c>
      <c r="M938" s="670">
        <v>5.9900000000000002E-2</v>
      </c>
      <c r="N938" s="652" t="s">
        <v>97</v>
      </c>
      <c r="O938" s="580"/>
      <c r="P938" s="670" t="str">
        <f>VLOOKUP(A938,'[1]Raw data'!$B:$BA,23,FALSE)</f>
        <v>RMB</v>
      </c>
      <c r="Q938" s="652" t="str">
        <f>VLOOKUP(A938,'[1]Raw data'!$B:$Z,2,FALSE)</f>
        <v>C49SZX20210015SS</v>
      </c>
      <c r="R938" s="652" t="str">
        <f>VLOOKUP(A938,'[1]Raw data'!$B:$Z,3,FALSE)</f>
        <v>保凌</v>
      </c>
      <c r="S938" s="652" t="str">
        <f>VLOOKUP(A938,'[1]Raw data'!$B:$Z,4,FALSE)</f>
        <v>YSM10</v>
      </c>
      <c r="T938" s="652" t="str">
        <f>VLOOKUP(A938,'[1]Raw data'!$B:$Z,8,FALSE)</f>
        <v>R-&gt;L</v>
      </c>
      <c r="U938" s="652" t="str">
        <f>VLOOKUP(A938,'[1]Raw data'!$B:$Z,9,FALSE)</f>
        <v>No</v>
      </c>
      <c r="V938" s="572" t="str">
        <f t="shared" si="175"/>
        <v>OK</v>
      </c>
      <c r="W938" s="568" t="str">
        <f>VLOOKUP(A938,'[1]Raw data'!$B:$AG,32,FALSE)</f>
        <v>含税到厂</v>
      </c>
      <c r="X938" s="652">
        <f>VLOOKUP(A938,'[1]Raw data'!$B:$BA,31,FALSE)</f>
        <v>44221</v>
      </c>
      <c r="Y938" s="652" t="str">
        <f>VLOOKUP(A938,'[1]Raw data'!$B:$AS,39,FALSE)</f>
        <v>Yes</v>
      </c>
      <c r="Z938" s="664"/>
      <c r="AA938" s="665"/>
      <c r="AB938" s="666"/>
      <c r="AC938" s="652" t="s">
        <v>1779</v>
      </c>
      <c r="AD938" s="667">
        <v>302</v>
      </c>
      <c r="AE938" s="667">
        <v>10</v>
      </c>
      <c r="AF938" s="667"/>
      <c r="AG938" s="667"/>
      <c r="AH938" s="667"/>
      <c r="AI938" s="668"/>
      <c r="AN938" s="547"/>
      <c r="AO938" s="829" t="str">
        <f t="shared" si="159"/>
        <v>Yes</v>
      </c>
      <c r="AP938" s="259" t="str">
        <f t="shared" si="160"/>
        <v>JUL 21</v>
      </c>
      <c r="AQ938" s="547" t="str">
        <f t="shared" si="161"/>
        <v>有定金+有預留客戶</v>
      </c>
      <c r="AR938" s="259" t="str">
        <f t="shared" si="162"/>
        <v>Shipped_Stock</v>
      </c>
      <c r="AS938" s="259" t="str">
        <f t="shared" si="163"/>
        <v/>
      </c>
      <c r="AT938" s="259" t="str">
        <f t="shared" si="164"/>
        <v>保凌</v>
      </c>
      <c r="AU938" s="259" t="str">
        <f t="shared" si="165"/>
        <v>C49SZX20210015SS</v>
      </c>
      <c r="AV938" s="259" t="str">
        <f t="shared" si="166"/>
        <v>Jul-23</v>
      </c>
    </row>
    <row r="939" spans="1:48" hidden="1">
      <c r="A939" s="564">
        <v>1322</v>
      </c>
      <c r="B939" s="669" t="s">
        <v>1125</v>
      </c>
      <c r="C939" s="669" t="s">
        <v>281</v>
      </c>
      <c r="D939" s="650">
        <v>110431</v>
      </c>
      <c r="E939" s="568" t="s">
        <v>886</v>
      </c>
      <c r="F939" s="652" t="s">
        <v>58</v>
      </c>
      <c r="G939" s="652" t="s">
        <v>24</v>
      </c>
      <c r="H939" s="652" t="s">
        <v>26</v>
      </c>
      <c r="I939" s="580" t="s">
        <v>1780</v>
      </c>
      <c r="J939" s="580">
        <v>1</v>
      </c>
      <c r="K939" s="652" t="s">
        <v>78</v>
      </c>
      <c r="L939" s="662">
        <v>44400</v>
      </c>
      <c r="M939" s="670">
        <v>6.0600000000000001E-2</v>
      </c>
      <c r="N939" s="652" t="s">
        <v>1337</v>
      </c>
      <c r="O939" s="580"/>
      <c r="P939" s="670" t="str">
        <f>VLOOKUP(A939,'[1]Raw data'!$B:$BA,23,FALSE)</f>
        <v>RMB</v>
      </c>
      <c r="Q939" s="652" t="str">
        <f>VLOOKUP(A939,'[1]Raw data'!$B:$Z,2,FALSE)</f>
        <v>C49SZX20210110SS</v>
      </c>
      <c r="R939" s="652" t="str">
        <f>VLOOKUP(A939,'[1]Raw data'!$B:$Z,3,FALSE)</f>
        <v>蓝泰翔</v>
      </c>
      <c r="S939" s="652" t="str">
        <f>VLOOKUP(A939,'[1]Raw data'!$B:$Z,4,FALSE)</f>
        <v>YSM20R-2</v>
      </c>
      <c r="T939" s="652" t="str">
        <f>VLOOKUP(A939,'[1]Raw data'!$B:$Z,8,FALSE)</f>
        <v>L-&gt;R</v>
      </c>
      <c r="U939" s="652" t="str">
        <f>VLOOKUP(A939,'[1]Raw data'!$B:$Z,9,FALSE)</f>
        <v>No</v>
      </c>
      <c r="V939" s="572" t="str">
        <f t="shared" si="175"/>
        <v>OK</v>
      </c>
      <c r="W939" s="568" t="str">
        <f>VLOOKUP(A939,'[1]Raw data'!$B:$AG,32,FALSE)</f>
        <v>DDP SZ</v>
      </c>
      <c r="X939" s="652">
        <f>VLOOKUP(A939,'[1]Raw data'!$B:$BA,31,FALSE)</f>
        <v>44296</v>
      </c>
      <c r="Y939" s="652" t="str">
        <f>VLOOKUP(A939,'[1]Raw data'!$B:$AS,39,FALSE)</f>
        <v>Yes</v>
      </c>
      <c r="Z939" s="664"/>
      <c r="AA939" s="665"/>
      <c r="AB939" s="666"/>
      <c r="AC939" s="652" t="s">
        <v>1781</v>
      </c>
      <c r="AD939" s="667">
        <v>301</v>
      </c>
      <c r="AE939" s="667">
        <v>10</v>
      </c>
      <c r="AF939" s="667">
        <v>311</v>
      </c>
      <c r="AG939" s="667">
        <v>10</v>
      </c>
      <c r="AH939" s="667"/>
      <c r="AI939" s="668"/>
      <c r="AN939" s="547"/>
      <c r="AO939" s="829" t="str">
        <f t="shared" si="159"/>
        <v>Yes</v>
      </c>
      <c r="AP939" s="259" t="str">
        <f t="shared" si="160"/>
        <v>AUG 21</v>
      </c>
      <c r="AQ939" s="547" t="str">
        <f t="shared" si="161"/>
        <v>有定金+有預留客戶</v>
      </c>
      <c r="AR939" s="259" t="str">
        <f t="shared" si="162"/>
        <v>Shipped_Stock</v>
      </c>
      <c r="AS939" s="259" t="str">
        <f t="shared" si="163"/>
        <v/>
      </c>
      <c r="AT939" s="259" t="str">
        <f t="shared" si="164"/>
        <v>蓝泰翔</v>
      </c>
      <c r="AU939" s="259" t="str">
        <f t="shared" si="165"/>
        <v>C49SZX20210110SS</v>
      </c>
      <c r="AV939" s="259" t="str">
        <f t="shared" si="166"/>
        <v>Jul-23</v>
      </c>
    </row>
    <row r="940" spans="1:48" hidden="1">
      <c r="A940" s="564">
        <v>1210</v>
      </c>
      <c r="B940" s="669" t="s">
        <v>1125</v>
      </c>
      <c r="C940" s="669" t="s">
        <v>15</v>
      </c>
      <c r="D940" s="650">
        <v>110314</v>
      </c>
      <c r="E940" s="755" t="s">
        <v>101</v>
      </c>
      <c r="F940" s="652" t="s">
        <v>58</v>
      </c>
      <c r="G940" s="652" t="s">
        <v>24</v>
      </c>
      <c r="H940" s="652" t="s">
        <v>307</v>
      </c>
      <c r="I940" s="580" t="s">
        <v>1782</v>
      </c>
      <c r="J940" s="580">
        <v>1</v>
      </c>
      <c r="K940" s="652" t="s">
        <v>1732</v>
      </c>
      <c r="L940" s="662">
        <v>44421</v>
      </c>
      <c r="M940" s="670" t="s">
        <v>906</v>
      </c>
      <c r="N940" s="652" t="s">
        <v>1337</v>
      </c>
      <c r="O940" s="580"/>
      <c r="P940" s="670" t="str">
        <f>VLOOKUP(A940,'[1]Raw data'!$B:$BA,23,FALSE)</f>
        <v>JPY</v>
      </c>
      <c r="Q940" s="652" t="str">
        <f>VLOOKUP(A940,'[1]Raw data'!$B:$Z,2,FALSE)</f>
        <v>C49SZX20210125DZ</v>
      </c>
      <c r="R940" s="652" t="str">
        <f>VLOOKUP(A940,'[1]Raw data'!$B:$Z,3,FALSE)</f>
        <v>斯迈电子</v>
      </c>
      <c r="S940" s="652" t="str">
        <f>VLOOKUP(A940,'[1]Raw data'!$B:$Z,4,FALSE)</f>
        <v>YSM20R-2</v>
      </c>
      <c r="T940" s="652" t="str">
        <f>VLOOKUP(A940,'[1]Raw data'!$B:$Z,8,FALSE)</f>
        <v>L-&gt;R</v>
      </c>
      <c r="U940" s="652" t="str">
        <f>VLOOKUP(A940,'[1]Raw data'!$B:$Z,9,FALSE)</f>
        <v>MVC</v>
      </c>
      <c r="V940" s="572" t="str">
        <f t="shared" ref="V940" si="176">IF(G940&amp;H940=T940&amp;U940,"OK","WRONG")</f>
        <v>WRONG</v>
      </c>
      <c r="W940" s="568" t="str">
        <f>VLOOKUP(A940,'[1]Raw data'!$B:$AG,32,FALSE)</f>
        <v>DAP GZ</v>
      </c>
      <c r="X940" s="652">
        <f>VLOOKUP(A940,'[1]Raw data'!$B:$BA,31,FALSE)</f>
        <v>44260</v>
      </c>
      <c r="Y940" s="652" t="str">
        <f>VLOOKUP(A940,'[1]Raw data'!$B:$AS,39,FALSE)</f>
        <v>Yes</v>
      </c>
      <c r="Z940" s="667"/>
      <c r="AA940" s="667"/>
      <c r="AB940" s="667"/>
      <c r="AC940" s="580" t="s">
        <v>1783</v>
      </c>
      <c r="AD940" s="667">
        <v>301</v>
      </c>
      <c r="AE940" s="667">
        <v>20</v>
      </c>
      <c r="AF940" s="667"/>
      <c r="AG940" s="667"/>
      <c r="AH940" s="667"/>
      <c r="AI940" s="668"/>
      <c r="AN940" s="547"/>
      <c r="AO940" s="829" t="str">
        <f t="shared" si="159"/>
        <v>Yes</v>
      </c>
      <c r="AP940" s="259" t="str">
        <f t="shared" si="160"/>
        <v>AUG 21</v>
      </c>
      <c r="AQ940" s="547" t="str">
        <f t="shared" si="161"/>
        <v>有定金+有預留客戶</v>
      </c>
      <c r="AR940" s="259" t="str">
        <f t="shared" si="162"/>
        <v>Shipped_Stock</v>
      </c>
      <c r="AS940" s="259" t="str">
        <f t="shared" si="163"/>
        <v/>
      </c>
      <c r="AT940" s="259" t="str">
        <f t="shared" si="164"/>
        <v>斯迈电子</v>
      </c>
      <c r="AU940" s="259" t="str">
        <f t="shared" si="165"/>
        <v>C49SZX20210125DZ</v>
      </c>
      <c r="AV940" s="259" t="str">
        <f t="shared" si="166"/>
        <v>Aug-13</v>
      </c>
    </row>
    <row r="941" spans="1:48" hidden="1">
      <c r="A941" s="564">
        <v>1212</v>
      </c>
      <c r="B941" s="669" t="s">
        <v>1125</v>
      </c>
      <c r="C941" s="669" t="s">
        <v>15</v>
      </c>
      <c r="D941" s="650">
        <v>110314</v>
      </c>
      <c r="E941" s="755" t="s">
        <v>101</v>
      </c>
      <c r="F941" s="652" t="s">
        <v>58</v>
      </c>
      <c r="G941" s="652" t="s">
        <v>24</v>
      </c>
      <c r="H941" s="652" t="s">
        <v>307</v>
      </c>
      <c r="I941" s="580" t="s">
        <v>1784</v>
      </c>
      <c r="J941" s="580">
        <v>1</v>
      </c>
      <c r="K941" s="652" t="s">
        <v>1732</v>
      </c>
      <c r="L941" s="662">
        <v>44421</v>
      </c>
      <c r="M941" s="670" t="s">
        <v>906</v>
      </c>
      <c r="N941" s="652" t="s">
        <v>1337</v>
      </c>
      <c r="O941" s="580"/>
      <c r="P941" s="670" t="str">
        <f>VLOOKUP(A941,'[1]Raw data'!$B:$BA,23,FALSE)</f>
        <v>JPY</v>
      </c>
      <c r="Q941" s="652" t="str">
        <f>VLOOKUP(A941,'[1]Raw data'!$B:$Z,2,FALSE)</f>
        <v>C49SZX20210125DZ</v>
      </c>
      <c r="R941" s="652" t="str">
        <f>VLOOKUP(A941,'[1]Raw data'!$B:$Z,3,FALSE)</f>
        <v>斯迈电子</v>
      </c>
      <c r="S941" s="652" t="str">
        <f>VLOOKUP(A941,'[1]Raw data'!$B:$Z,4,FALSE)</f>
        <v>YSM20R-2</v>
      </c>
      <c r="T941" s="652" t="str">
        <f>VLOOKUP(A941,'[1]Raw data'!$B:$Z,8,FALSE)</f>
        <v>L-&gt;R</v>
      </c>
      <c r="U941" s="652" t="str">
        <f>VLOOKUP(A941,'[1]Raw data'!$B:$Z,9,FALSE)</f>
        <v>No</v>
      </c>
      <c r="V941" s="572" t="str">
        <f t="shared" ref="V941:V946" si="177">IF(G941&amp;H941=T941&amp;U941,"OK","WRONG")</f>
        <v>OK</v>
      </c>
      <c r="W941" s="568" t="str">
        <f>VLOOKUP(A941,'[1]Raw data'!$B:$AG,32,FALSE)</f>
        <v>DAP GZ</v>
      </c>
      <c r="X941" s="652">
        <f>VLOOKUP(A941,'[1]Raw data'!$B:$BA,31,FALSE)</f>
        <v>44260</v>
      </c>
      <c r="Y941" s="652" t="str">
        <f>VLOOKUP(A941,'[1]Raw data'!$B:$AS,39,FALSE)</f>
        <v>Yes</v>
      </c>
      <c r="Z941" s="667"/>
      <c r="AA941" s="667"/>
      <c r="AB941" s="667"/>
      <c r="AC941" s="580" t="s">
        <v>1783</v>
      </c>
      <c r="AD941" s="667">
        <v>301</v>
      </c>
      <c r="AE941" s="667">
        <v>10</v>
      </c>
      <c r="AF941" s="667">
        <v>311</v>
      </c>
      <c r="AG941" s="667">
        <v>10</v>
      </c>
      <c r="AH941" s="667"/>
      <c r="AI941" s="668"/>
      <c r="AN941" s="547"/>
      <c r="AO941" s="829" t="str">
        <f t="shared" si="159"/>
        <v>Yes</v>
      </c>
      <c r="AP941" s="259" t="str">
        <f t="shared" si="160"/>
        <v>AUG 21</v>
      </c>
      <c r="AQ941" s="547" t="str">
        <f t="shared" si="161"/>
        <v>有定金+有預留客戶</v>
      </c>
      <c r="AR941" s="259" t="str">
        <f t="shared" si="162"/>
        <v>Shipped_Stock</v>
      </c>
      <c r="AS941" s="259" t="str">
        <f t="shared" si="163"/>
        <v/>
      </c>
      <c r="AT941" s="259" t="str">
        <f t="shared" si="164"/>
        <v>斯迈电子</v>
      </c>
      <c r="AU941" s="259" t="str">
        <f t="shared" si="165"/>
        <v>C49SZX20210125DZ</v>
      </c>
      <c r="AV941" s="259" t="str">
        <f t="shared" si="166"/>
        <v>Aug-13</v>
      </c>
    </row>
    <row r="942" spans="1:48" hidden="1">
      <c r="A942" s="564">
        <v>1214</v>
      </c>
      <c r="B942" s="669" t="s">
        <v>1125</v>
      </c>
      <c r="C942" s="669" t="s">
        <v>15</v>
      </c>
      <c r="D942" s="650">
        <v>110314</v>
      </c>
      <c r="E942" s="755" t="s">
        <v>101</v>
      </c>
      <c r="F942" s="652" t="s">
        <v>58</v>
      </c>
      <c r="G942" s="652" t="s">
        <v>24</v>
      </c>
      <c r="H942" s="652" t="s">
        <v>307</v>
      </c>
      <c r="I942" s="580" t="s">
        <v>1785</v>
      </c>
      <c r="J942" s="580">
        <v>1</v>
      </c>
      <c r="K942" s="652" t="s">
        <v>1732</v>
      </c>
      <c r="L942" s="662">
        <v>44421</v>
      </c>
      <c r="M942" s="670" t="s">
        <v>906</v>
      </c>
      <c r="N942" s="652" t="s">
        <v>1337</v>
      </c>
      <c r="O942" s="580"/>
      <c r="P942" s="670" t="str">
        <f>VLOOKUP(A942,'[1]Raw data'!$B:$BA,23,FALSE)</f>
        <v>JPY</v>
      </c>
      <c r="Q942" s="652" t="str">
        <f>VLOOKUP(A942,'[1]Raw data'!$B:$Z,2,FALSE)</f>
        <v>C49SZX20210125DZ</v>
      </c>
      <c r="R942" s="652" t="str">
        <f>VLOOKUP(A942,'[1]Raw data'!$B:$Z,3,FALSE)</f>
        <v>斯迈电子</v>
      </c>
      <c r="S942" s="652" t="str">
        <f>VLOOKUP(A942,'[1]Raw data'!$B:$Z,4,FALSE)</f>
        <v>YSM20R-2</v>
      </c>
      <c r="T942" s="652" t="str">
        <f>VLOOKUP(A942,'[1]Raw data'!$B:$Z,8,FALSE)</f>
        <v>L-&gt;R</v>
      </c>
      <c r="U942" s="652" t="str">
        <f>VLOOKUP(A942,'[1]Raw data'!$B:$Z,9,FALSE)</f>
        <v>No</v>
      </c>
      <c r="V942" s="572" t="str">
        <f t="shared" si="177"/>
        <v>OK</v>
      </c>
      <c r="W942" s="568" t="str">
        <f>VLOOKUP(A942,'[1]Raw data'!$B:$AG,32,FALSE)</f>
        <v>DAP GZ</v>
      </c>
      <c r="X942" s="652">
        <f>VLOOKUP(A942,'[1]Raw data'!$B:$BA,31,FALSE)</f>
        <v>44260</v>
      </c>
      <c r="Y942" s="652" t="str">
        <f>VLOOKUP(A942,'[1]Raw data'!$B:$AS,39,FALSE)</f>
        <v>Yes</v>
      </c>
      <c r="Z942" s="667"/>
      <c r="AA942" s="667"/>
      <c r="AB942" s="667"/>
      <c r="AC942" s="580" t="s">
        <v>1783</v>
      </c>
      <c r="AD942" s="667">
        <v>301</v>
      </c>
      <c r="AE942" s="667">
        <v>10</v>
      </c>
      <c r="AF942" s="667">
        <v>312</v>
      </c>
      <c r="AG942" s="667">
        <v>10</v>
      </c>
      <c r="AH942" s="667"/>
      <c r="AI942" s="668"/>
      <c r="AN942" s="547"/>
      <c r="AO942" s="829" t="str">
        <f t="shared" si="159"/>
        <v>Yes</v>
      </c>
      <c r="AP942" s="259" t="str">
        <f t="shared" si="160"/>
        <v>AUG 21</v>
      </c>
      <c r="AQ942" s="547" t="str">
        <f t="shared" si="161"/>
        <v>有定金+有預留客戶</v>
      </c>
      <c r="AR942" s="259" t="str">
        <f t="shared" si="162"/>
        <v>Shipped_Stock</v>
      </c>
      <c r="AS942" s="259" t="str">
        <f t="shared" si="163"/>
        <v/>
      </c>
      <c r="AT942" s="259" t="str">
        <f t="shared" si="164"/>
        <v>斯迈电子</v>
      </c>
      <c r="AU942" s="259" t="str">
        <f t="shared" si="165"/>
        <v>C49SZX20210125DZ</v>
      </c>
      <c r="AV942" s="259" t="str">
        <f t="shared" si="166"/>
        <v>Aug-13</v>
      </c>
    </row>
    <row r="943" spans="1:48" hidden="1">
      <c r="A943" s="564">
        <v>1346</v>
      </c>
      <c r="B943" s="669" t="s">
        <v>1125</v>
      </c>
      <c r="C943" s="669" t="s">
        <v>15</v>
      </c>
      <c r="D943" s="650">
        <v>110314</v>
      </c>
      <c r="E943" s="755" t="s">
        <v>101</v>
      </c>
      <c r="F943" s="652" t="s">
        <v>58</v>
      </c>
      <c r="G943" s="652" t="s">
        <v>24</v>
      </c>
      <c r="H943" s="652" t="s">
        <v>307</v>
      </c>
      <c r="I943" s="580" t="s">
        <v>1786</v>
      </c>
      <c r="J943" s="580">
        <v>1</v>
      </c>
      <c r="K943" s="652" t="s">
        <v>1732</v>
      </c>
      <c r="L943" s="662">
        <v>44421</v>
      </c>
      <c r="M943" s="670" t="s">
        <v>906</v>
      </c>
      <c r="N943" s="652" t="s">
        <v>1337</v>
      </c>
      <c r="O943" s="580"/>
      <c r="P943" s="670" t="str">
        <f>VLOOKUP(A943,'[1]Raw data'!$B:$BA,23,FALSE)</f>
        <v>JPY</v>
      </c>
      <c r="Q943" s="652" t="str">
        <f>VLOOKUP(A943,'[1]Raw data'!$B:$Z,2,FALSE)</f>
        <v>C49SZX20210120R1JY</v>
      </c>
      <c r="R943" s="652" t="str">
        <f>VLOOKUP(A943,'[1]Raw data'!$B:$Z,3,FALSE)</f>
        <v>海松微(此相机是C49SZX20210062JY相机）</v>
      </c>
      <c r="S943" s="652" t="str">
        <f>VLOOKUP(A943,'[1]Raw data'!$B:$Z,4,FALSE)</f>
        <v>YSM20R-2</v>
      </c>
      <c r="T943" s="652" t="str">
        <f>VLOOKUP(A943,'[1]Raw data'!$B:$Z,8,FALSE)</f>
        <v>L-&gt;R</v>
      </c>
      <c r="U943" s="652" t="str">
        <f>VLOOKUP(A943,'[1]Raw data'!$B:$Z,9,FALSE)</f>
        <v>No</v>
      </c>
      <c r="V943" s="572" t="str">
        <f t="shared" si="177"/>
        <v>OK</v>
      </c>
      <c r="W943" s="568" t="str">
        <f>VLOOKUP(A943,'[1]Raw data'!$B:$AG,32,FALSE)</f>
        <v>DAP SZ</v>
      </c>
      <c r="X943" s="652">
        <f>VLOOKUP(A943,'[1]Raw data'!$B:$BA,31,FALSE)</f>
        <v>44306</v>
      </c>
      <c r="Y943" s="652" t="str">
        <f>VLOOKUP(A943,'[1]Raw data'!$B:$AS,39,FALSE)</f>
        <v>Yes</v>
      </c>
      <c r="Z943" s="667"/>
      <c r="AA943" s="667"/>
      <c r="AB943" s="667"/>
      <c r="AC943" s="568" t="s">
        <v>662</v>
      </c>
      <c r="AD943" s="667">
        <v>301</v>
      </c>
      <c r="AE943" s="667">
        <v>10</v>
      </c>
      <c r="AF943" s="667">
        <v>311</v>
      </c>
      <c r="AG943" s="667">
        <v>10</v>
      </c>
      <c r="AH943" s="667"/>
      <c r="AI943" s="668"/>
      <c r="AN943" s="547"/>
      <c r="AO943" s="829" t="str">
        <f t="shared" si="159"/>
        <v>Yes</v>
      </c>
      <c r="AP943" s="259" t="str">
        <f t="shared" si="160"/>
        <v>AUG 21</v>
      </c>
      <c r="AQ943" s="547" t="str">
        <f t="shared" si="161"/>
        <v>有定金+有預留客戶</v>
      </c>
      <c r="AR943" s="259" t="str">
        <f t="shared" si="162"/>
        <v>Shipped_Stock</v>
      </c>
      <c r="AS943" s="259" t="str">
        <f t="shared" si="163"/>
        <v/>
      </c>
      <c r="AT943" s="259" t="str">
        <f t="shared" si="164"/>
        <v>海松微(此相机是C49SZX20210062JY相机）</v>
      </c>
      <c r="AU943" s="259" t="str">
        <f t="shared" si="165"/>
        <v>C49SZX20210120R1JY</v>
      </c>
      <c r="AV943" s="259" t="str">
        <f t="shared" si="166"/>
        <v>Aug-13</v>
      </c>
    </row>
    <row r="944" spans="1:48" hidden="1">
      <c r="A944" s="564">
        <v>1419</v>
      </c>
      <c r="B944" s="669" t="s">
        <v>1125</v>
      </c>
      <c r="C944" s="669" t="s">
        <v>15</v>
      </c>
      <c r="D944" s="650">
        <v>110314</v>
      </c>
      <c r="E944" s="755" t="s">
        <v>101</v>
      </c>
      <c r="F944" s="652" t="s">
        <v>58</v>
      </c>
      <c r="G944" s="652" t="s">
        <v>24</v>
      </c>
      <c r="H944" s="652" t="s">
        <v>307</v>
      </c>
      <c r="I944" s="580" t="s">
        <v>1787</v>
      </c>
      <c r="J944" s="580">
        <v>1</v>
      </c>
      <c r="K944" s="652" t="s">
        <v>1732</v>
      </c>
      <c r="L944" s="662">
        <v>44421</v>
      </c>
      <c r="M944" s="670" t="s">
        <v>906</v>
      </c>
      <c r="N944" s="652" t="s">
        <v>1337</v>
      </c>
      <c r="O944" s="580"/>
      <c r="P944" s="670" t="str">
        <f>VLOOKUP(A944,'[1]Raw data'!$B:$BA,23,FALSE)</f>
        <v>JPY</v>
      </c>
      <c r="Q944" s="652" t="str">
        <f>VLOOKUP(A944,'[1]Raw data'!$B:$Z,2,FALSE)</f>
        <v>C49SZX20210152SX</v>
      </c>
      <c r="R944" s="652" t="str">
        <f>VLOOKUP(A944,'[1]Raw data'!$B:$Z,3,FALSE)</f>
        <v>太美亚</v>
      </c>
      <c r="S944" s="652" t="str">
        <f>VLOOKUP(A944,'[1]Raw data'!$B:$Z,4,FALSE)</f>
        <v>YSM20R-2</v>
      </c>
      <c r="T944" s="652" t="str">
        <f>VLOOKUP(A944,'[1]Raw data'!$B:$Z,8,FALSE)</f>
        <v>L-&gt;R</v>
      </c>
      <c r="U944" s="652" t="str">
        <f>VLOOKUP(A944,'[1]Raw data'!$B:$Z,9,FALSE)</f>
        <v>No</v>
      </c>
      <c r="V944" s="572" t="str">
        <f t="shared" si="177"/>
        <v>OK</v>
      </c>
      <c r="W944" s="568" t="str">
        <f>VLOOKUP(A944,'[1]Raw data'!$B:$AG,32,FALSE)</f>
        <v>DAP SZ</v>
      </c>
      <c r="X944" s="652">
        <f>VLOOKUP(A944,'[1]Raw data'!$B:$BA,31,FALSE)</f>
        <v>44351</v>
      </c>
      <c r="Y944" s="652" t="str">
        <f>VLOOKUP(A944,'[1]Raw data'!$B:$AS,39,FALSE)</f>
        <v>Yes</v>
      </c>
      <c r="Z944" s="667"/>
      <c r="AA944" s="667"/>
      <c r="AB944" s="667"/>
      <c r="AC944" s="580" t="s">
        <v>476</v>
      </c>
      <c r="AD944" s="667">
        <v>301</v>
      </c>
      <c r="AE944" s="667">
        <v>10</v>
      </c>
      <c r="AF944" s="667">
        <v>311</v>
      </c>
      <c r="AG944" s="667">
        <v>10</v>
      </c>
      <c r="AH944" s="667"/>
      <c r="AI944" s="668"/>
      <c r="AN944" s="547"/>
      <c r="AO944" s="829" t="str">
        <f t="shared" si="159"/>
        <v>Yes</v>
      </c>
      <c r="AP944" s="259" t="str">
        <f t="shared" si="160"/>
        <v>AUG 21</v>
      </c>
      <c r="AQ944" s="547" t="str">
        <f t="shared" si="161"/>
        <v>有定金+有預留客戶</v>
      </c>
      <c r="AR944" s="259" t="str">
        <f t="shared" si="162"/>
        <v>Shipped_Stock</v>
      </c>
      <c r="AS944" s="259" t="str">
        <f t="shared" si="163"/>
        <v/>
      </c>
      <c r="AT944" s="259" t="str">
        <f t="shared" si="164"/>
        <v>太美亚</v>
      </c>
      <c r="AU944" s="259" t="str">
        <f t="shared" si="165"/>
        <v>C49SZX20210152SX</v>
      </c>
      <c r="AV944" s="259" t="str">
        <f t="shared" si="166"/>
        <v>Aug-13</v>
      </c>
    </row>
    <row r="945" spans="1:48" hidden="1">
      <c r="A945" s="564">
        <v>1420</v>
      </c>
      <c r="B945" s="669" t="s">
        <v>1125</v>
      </c>
      <c r="C945" s="669" t="s">
        <v>281</v>
      </c>
      <c r="D945" s="650">
        <v>110500</v>
      </c>
      <c r="E945" s="741" t="s">
        <v>1691</v>
      </c>
      <c r="F945" s="652" t="s">
        <v>58</v>
      </c>
      <c r="G945" s="652" t="s">
        <v>24</v>
      </c>
      <c r="H945" s="652" t="s">
        <v>26</v>
      </c>
      <c r="I945" s="580" t="s">
        <v>1788</v>
      </c>
      <c r="J945" s="580">
        <v>1</v>
      </c>
      <c r="K945" s="652" t="s">
        <v>1358</v>
      </c>
      <c r="L945" s="662">
        <v>44434</v>
      </c>
      <c r="M945" s="670" t="s">
        <v>906</v>
      </c>
      <c r="N945" s="652" t="s">
        <v>1337</v>
      </c>
      <c r="O945" s="580"/>
      <c r="P945" s="670" t="str">
        <f>VLOOKUP(A945,'[1]Raw data'!$B:$BA,23,FALSE)</f>
        <v>JPY</v>
      </c>
      <c r="Q945" s="652" t="str">
        <f>VLOOKUP(A945,'[1]Raw data'!$B:$Z,2,FALSE)</f>
        <v>C49SZX20210152SX</v>
      </c>
      <c r="R945" s="652" t="str">
        <f>VLOOKUP(A945,'[1]Raw data'!$B:$Z,3,FALSE)</f>
        <v>太美亚</v>
      </c>
      <c r="S945" s="652" t="str">
        <f>VLOOKUP(A945,'[1]Raw data'!$B:$Z,4,FALSE)</f>
        <v>YSM20R-2</v>
      </c>
      <c r="T945" s="652" t="str">
        <f>VLOOKUP(A945,'[1]Raw data'!$B:$Z,8,FALSE)</f>
        <v>L-&gt;R</v>
      </c>
      <c r="U945" s="652" t="str">
        <f>VLOOKUP(A945,'[1]Raw data'!$B:$Z,9,FALSE)</f>
        <v>MVC</v>
      </c>
      <c r="V945" s="572" t="str">
        <f t="shared" si="177"/>
        <v>WRONG</v>
      </c>
      <c r="W945" s="568" t="str">
        <f>VLOOKUP(A945,'[1]Raw data'!$B:$AG,32,FALSE)</f>
        <v>DAP SZ</v>
      </c>
      <c r="X945" s="652">
        <f>VLOOKUP(A945,'[1]Raw data'!$B:$BA,31,FALSE)</f>
        <v>44351</v>
      </c>
      <c r="Y945" s="652" t="str">
        <f>VLOOKUP(A945,'[1]Raw data'!$B:$AS,39,FALSE)</f>
        <v>Yes</v>
      </c>
      <c r="Z945" s="664"/>
      <c r="AA945" s="665"/>
      <c r="AB945" s="666"/>
      <c r="AC945" s="652" t="s">
        <v>476</v>
      </c>
      <c r="AD945" s="667">
        <v>311</v>
      </c>
      <c r="AE945" s="667">
        <v>10</v>
      </c>
      <c r="AF945" s="667">
        <v>301</v>
      </c>
      <c r="AG945" s="667">
        <v>10</v>
      </c>
      <c r="AH945" s="667"/>
      <c r="AI945" s="668"/>
      <c r="AN945" s="547"/>
      <c r="AO945" s="829" t="str">
        <f t="shared" si="159"/>
        <v>Yes</v>
      </c>
      <c r="AP945" s="259" t="str">
        <f t="shared" si="160"/>
        <v>AUG 21</v>
      </c>
      <c r="AQ945" s="547" t="str">
        <f t="shared" si="161"/>
        <v>有定金+有預留客戶</v>
      </c>
      <c r="AR945" s="259" t="str">
        <f t="shared" si="162"/>
        <v>Shipped_Stock</v>
      </c>
      <c r="AS945" s="259" t="str">
        <f t="shared" si="163"/>
        <v/>
      </c>
      <c r="AT945" s="259" t="str">
        <f t="shared" si="164"/>
        <v>太美亚</v>
      </c>
      <c r="AU945" s="259" t="str">
        <f t="shared" si="165"/>
        <v>C49SZX20210152SX</v>
      </c>
      <c r="AV945" s="259" t="str">
        <f t="shared" si="166"/>
        <v>Aug-26</v>
      </c>
    </row>
    <row r="946" spans="1:48" hidden="1">
      <c r="A946" s="564">
        <v>1421</v>
      </c>
      <c r="B946" s="669" t="s">
        <v>1125</v>
      </c>
      <c r="C946" s="669" t="s">
        <v>281</v>
      </c>
      <c r="D946" s="650">
        <v>110500</v>
      </c>
      <c r="E946" s="741" t="s">
        <v>1691</v>
      </c>
      <c r="F946" s="652" t="s">
        <v>58</v>
      </c>
      <c r="G946" s="652" t="s">
        <v>24</v>
      </c>
      <c r="H946" s="652" t="s">
        <v>26</v>
      </c>
      <c r="I946" s="580" t="s">
        <v>1789</v>
      </c>
      <c r="J946" s="580">
        <v>1</v>
      </c>
      <c r="K946" s="652" t="s">
        <v>1358</v>
      </c>
      <c r="L946" s="662">
        <v>44434</v>
      </c>
      <c r="M946" s="670" t="s">
        <v>906</v>
      </c>
      <c r="N946" s="652" t="s">
        <v>1337</v>
      </c>
      <c r="O946" s="580"/>
      <c r="P946" s="670" t="str">
        <f>VLOOKUP(A946,'[1]Raw data'!$B:$BA,23,FALSE)</f>
        <v>JPY</v>
      </c>
      <c r="Q946" s="652" t="str">
        <f>VLOOKUP(A946,'[1]Raw data'!$B:$Z,2,FALSE)</f>
        <v>C49SZX20210152SX</v>
      </c>
      <c r="R946" s="652" t="str">
        <f>VLOOKUP(A946,'[1]Raw data'!$B:$Z,3,FALSE)</f>
        <v>太美亚</v>
      </c>
      <c r="S946" s="652" t="str">
        <f>VLOOKUP(A946,'[1]Raw data'!$B:$Z,4,FALSE)</f>
        <v>YSM20R-2</v>
      </c>
      <c r="T946" s="652" t="str">
        <f>VLOOKUP(A946,'[1]Raw data'!$B:$Z,8,FALSE)</f>
        <v>L-&gt;R</v>
      </c>
      <c r="U946" s="652" t="str">
        <f>VLOOKUP(A946,'[1]Raw data'!$B:$Z,9,FALSE)</f>
        <v>MVC</v>
      </c>
      <c r="V946" s="572" t="str">
        <f t="shared" si="177"/>
        <v>WRONG</v>
      </c>
      <c r="W946" s="568" t="str">
        <f>VLOOKUP(A946,'[1]Raw data'!$B:$AG,32,FALSE)</f>
        <v>DAP SZ</v>
      </c>
      <c r="X946" s="652">
        <f>VLOOKUP(A946,'[1]Raw data'!$B:$BA,31,FALSE)</f>
        <v>44351</v>
      </c>
      <c r="Y946" s="652" t="str">
        <f>VLOOKUP(A946,'[1]Raw data'!$B:$AS,39,FALSE)</f>
        <v>Yes</v>
      </c>
      <c r="Z946" s="664"/>
      <c r="AA946" s="665"/>
      <c r="AB946" s="666"/>
      <c r="AC946" s="652" t="s">
        <v>476</v>
      </c>
      <c r="AD946" s="667">
        <v>302</v>
      </c>
      <c r="AE946" s="667">
        <v>10</v>
      </c>
      <c r="AF946" s="667">
        <v>302</v>
      </c>
      <c r="AG946" s="667">
        <v>10</v>
      </c>
      <c r="AH946" s="667"/>
      <c r="AI946" s="668"/>
      <c r="AN946" s="547"/>
      <c r="AO946" s="829" t="str">
        <f t="shared" si="159"/>
        <v>Yes</v>
      </c>
      <c r="AP946" s="259" t="str">
        <f t="shared" si="160"/>
        <v>AUG 21</v>
      </c>
      <c r="AQ946" s="547" t="str">
        <f t="shared" si="161"/>
        <v>有定金+有預留客戶</v>
      </c>
      <c r="AR946" s="259" t="str">
        <f t="shared" si="162"/>
        <v>Shipped_Stock</v>
      </c>
      <c r="AS946" s="259" t="str">
        <f t="shared" si="163"/>
        <v/>
      </c>
      <c r="AT946" s="259" t="str">
        <f t="shared" si="164"/>
        <v>太美亚</v>
      </c>
      <c r="AU946" s="259" t="str">
        <f t="shared" si="165"/>
        <v>C49SZX20210152SX</v>
      </c>
      <c r="AV946" s="259" t="str">
        <f t="shared" si="166"/>
        <v>Aug-26</v>
      </c>
    </row>
    <row r="947" spans="1:48" ht="49.5" hidden="1">
      <c r="A947" s="564">
        <v>1338</v>
      </c>
      <c r="B947" s="669" t="s">
        <v>1125</v>
      </c>
      <c r="C947" s="669" t="s">
        <v>281</v>
      </c>
      <c r="D947" s="650">
        <v>110557</v>
      </c>
      <c r="E947" s="568" t="s">
        <v>886</v>
      </c>
      <c r="F947" s="652" t="s">
        <v>58</v>
      </c>
      <c r="G947" s="652" t="s">
        <v>24</v>
      </c>
      <c r="H947" s="652" t="s">
        <v>26</v>
      </c>
      <c r="I947" s="756" t="s">
        <v>1790</v>
      </c>
      <c r="J947" s="580">
        <v>1</v>
      </c>
      <c r="K947" s="652" t="s">
        <v>1419</v>
      </c>
      <c r="L947" s="662">
        <v>44445</v>
      </c>
      <c r="M947" s="670" t="s">
        <v>906</v>
      </c>
      <c r="N947" s="652" t="s">
        <v>1736</v>
      </c>
      <c r="O947" s="580"/>
      <c r="P947" s="670" t="str">
        <f>VLOOKUP(A947,'[1]Raw data'!$B:$BA,23,FALSE)</f>
        <v>JPY</v>
      </c>
      <c r="Q947" s="652" t="str">
        <f>VLOOKUP(A947,'[1]Raw data'!$B:$Z,2,FALSE)</f>
        <v>C49SZX20210119JY</v>
      </c>
      <c r="R947" s="652" t="str">
        <f>VLOOKUP(A947,'[1]Raw data'!$B:$Z,3,FALSE)</f>
        <v>百纳海</v>
      </c>
      <c r="S947" s="652" t="str">
        <f>VLOOKUP(A947,'[1]Raw data'!$B:$Z,4,FALSE)</f>
        <v>YSM20R-2</v>
      </c>
      <c r="T947" s="652" t="str">
        <f>VLOOKUP(A947,'[1]Raw data'!$B:$Z,8,FALSE)</f>
        <v>L-&gt;R</v>
      </c>
      <c r="U947" s="652" t="str">
        <f>VLOOKUP(A947,'[1]Raw data'!$B:$Z,9,FALSE)</f>
        <v>No</v>
      </c>
      <c r="V947" s="572" t="str">
        <f t="shared" ref="V947:V951" si="178">IF(G947&amp;H947=T947&amp;U947,"OK","WRONG")</f>
        <v>OK</v>
      </c>
      <c r="W947" s="568" t="str">
        <f>VLOOKUP(A947,'[1]Raw data'!$B:$AG,32,FALSE)</f>
        <v>DAP SZ</v>
      </c>
      <c r="X947" s="652">
        <f>VLOOKUP(A947,'[1]Raw data'!$B:$BA,31,FALSE)</f>
        <v>44306</v>
      </c>
      <c r="Y947" s="652" t="str">
        <f>VLOOKUP(A947,'[1]Raw data'!$B:$AS,39,FALSE)</f>
        <v>Yes</v>
      </c>
      <c r="Z947" s="664"/>
      <c r="AA947" s="665"/>
      <c r="AB947" s="666"/>
      <c r="AC947" s="652" t="s">
        <v>1015</v>
      </c>
      <c r="AD947" s="667">
        <v>301</v>
      </c>
      <c r="AE947" s="667">
        <v>10</v>
      </c>
      <c r="AF947" s="667">
        <v>311</v>
      </c>
      <c r="AG947" s="667">
        <v>10</v>
      </c>
      <c r="AH947" s="667"/>
      <c r="AI947" s="668"/>
      <c r="AN947" s="547"/>
      <c r="AO947" s="829" t="str">
        <f t="shared" si="159"/>
        <v>Yes</v>
      </c>
      <c r="AP947" s="259" t="str">
        <f t="shared" si="160"/>
        <v>OCT 21</v>
      </c>
      <c r="AQ947" s="547" t="str">
        <f t="shared" si="161"/>
        <v>有定金+有預留客戶</v>
      </c>
      <c r="AR947" s="259" t="str">
        <f t="shared" si="162"/>
        <v>Shipped_Stock</v>
      </c>
      <c r="AS947" s="259" t="str">
        <f t="shared" si="163"/>
        <v/>
      </c>
      <c r="AT947" s="259" t="str">
        <f t="shared" si="164"/>
        <v>百纳海</v>
      </c>
      <c r="AU947" s="259" t="str">
        <f t="shared" si="165"/>
        <v>C49SZX20210119JY</v>
      </c>
      <c r="AV947" s="259" t="str">
        <f t="shared" si="166"/>
        <v>Sep-06</v>
      </c>
    </row>
    <row r="948" spans="1:48" hidden="1">
      <c r="A948" s="564">
        <v>1267</v>
      </c>
      <c r="B948" s="669" t="s">
        <v>1125</v>
      </c>
      <c r="C948" s="669" t="s">
        <v>281</v>
      </c>
      <c r="D948" s="650">
        <v>110557</v>
      </c>
      <c r="E948" s="568" t="s">
        <v>886</v>
      </c>
      <c r="F948" s="652" t="s">
        <v>58</v>
      </c>
      <c r="G948" s="652" t="s">
        <v>24</v>
      </c>
      <c r="H948" s="652" t="s">
        <v>27</v>
      </c>
      <c r="I948" s="580" t="s">
        <v>1791</v>
      </c>
      <c r="J948" s="580">
        <v>1</v>
      </c>
      <c r="K948" s="652" t="s">
        <v>1732</v>
      </c>
      <c r="L948" s="662">
        <v>44445</v>
      </c>
      <c r="M948" s="670" t="s">
        <v>906</v>
      </c>
      <c r="N948" s="652" t="s">
        <v>1736</v>
      </c>
      <c r="O948" s="580"/>
      <c r="P948" s="670" t="str">
        <f>VLOOKUP(A948,'[1]Raw data'!$B:$BA,23,FALSE)</f>
        <v>JPY</v>
      </c>
      <c r="Q948" s="652" t="str">
        <f>VLOOKUP(A948,'[1]Raw data'!$B:$Z,2,FALSE)</f>
        <v>C49SZX20210017R1JY</v>
      </c>
      <c r="R948" s="652" t="str">
        <f>VLOOKUP(A948,'[1]Raw data'!$B:$Z,3,FALSE)</f>
        <v>拓步</v>
      </c>
      <c r="S948" s="652" t="str">
        <f>VLOOKUP(A948,'[1]Raw data'!$B:$Z,4,FALSE)</f>
        <v>YSM20R-2</v>
      </c>
      <c r="T948" s="652" t="str">
        <f>VLOOKUP(A948,'[1]Raw data'!$B:$Z,8,FALSE)</f>
        <v>L-&gt;R</v>
      </c>
      <c r="U948" s="652" t="str">
        <f>VLOOKUP(A948,'[1]Raw data'!$B:$Z,9,FALSE)</f>
        <v>MVC</v>
      </c>
      <c r="V948" s="572" t="str">
        <f t="shared" si="178"/>
        <v>OK</v>
      </c>
      <c r="W948" s="568" t="str">
        <f>VLOOKUP(A948,'[1]Raw data'!$B:$AG,32,FALSE)</f>
        <v>DAP GZ</v>
      </c>
      <c r="X948" s="652">
        <f>VLOOKUP(A948,'[1]Raw data'!$B:$BA,31,FALSE)</f>
        <v>44272</v>
      </c>
      <c r="Y948" s="652" t="str">
        <f>VLOOKUP(A948,'[1]Raw data'!$B:$AS,39,FALSE)</f>
        <v>Yes</v>
      </c>
      <c r="Z948" s="664"/>
      <c r="AA948" s="665"/>
      <c r="AB948" s="666"/>
      <c r="AC948" s="652" t="s">
        <v>1792</v>
      </c>
      <c r="AD948" s="667">
        <v>301</v>
      </c>
      <c r="AE948" s="667">
        <v>10</v>
      </c>
      <c r="AF948" s="667">
        <v>311</v>
      </c>
      <c r="AG948" s="667">
        <v>10</v>
      </c>
      <c r="AH948" s="667"/>
      <c r="AI948" s="668"/>
      <c r="AN948" s="547"/>
      <c r="AO948" s="829" t="str">
        <f t="shared" si="159"/>
        <v>Yes</v>
      </c>
      <c r="AP948" s="259" t="str">
        <f t="shared" si="160"/>
        <v>OCT 21</v>
      </c>
      <c r="AQ948" s="547" t="str">
        <f t="shared" si="161"/>
        <v>有定金+有預留客戶</v>
      </c>
      <c r="AR948" s="259" t="str">
        <f t="shared" si="162"/>
        <v>Shipped_Stock</v>
      </c>
      <c r="AS948" s="259" t="str">
        <f t="shared" si="163"/>
        <v/>
      </c>
      <c r="AT948" s="259" t="str">
        <f t="shared" si="164"/>
        <v>拓步</v>
      </c>
      <c r="AU948" s="259" t="str">
        <f t="shared" si="165"/>
        <v>C49SZX20210017R1JY</v>
      </c>
      <c r="AV948" s="259" t="str">
        <f t="shared" si="166"/>
        <v>Sep-06</v>
      </c>
    </row>
    <row r="949" spans="1:48" hidden="1">
      <c r="A949" s="564">
        <v>1155</v>
      </c>
      <c r="B949" s="669" t="s">
        <v>1125</v>
      </c>
      <c r="C949" s="669" t="s">
        <v>281</v>
      </c>
      <c r="D949" s="650">
        <v>110558</v>
      </c>
      <c r="E949" s="568" t="s">
        <v>886</v>
      </c>
      <c r="F949" s="652" t="s">
        <v>58</v>
      </c>
      <c r="G949" s="652" t="s">
        <v>24</v>
      </c>
      <c r="H949" s="652" t="s">
        <v>26</v>
      </c>
      <c r="I949" s="580" t="s">
        <v>1793</v>
      </c>
      <c r="J949" s="580">
        <v>1</v>
      </c>
      <c r="K949" s="652" t="s">
        <v>1732</v>
      </c>
      <c r="L949" s="710">
        <v>44448</v>
      </c>
      <c r="M949" s="670" t="s">
        <v>906</v>
      </c>
      <c r="N949" s="652" t="s">
        <v>1736</v>
      </c>
      <c r="O949" s="580"/>
      <c r="P949" s="670" t="str">
        <f>VLOOKUP(A949,'[1]Raw data'!$B:$BA,23,FALSE)</f>
        <v>JPY</v>
      </c>
      <c r="Q949" s="652" t="str">
        <f>VLOOKUP(A949,'[1]Raw data'!$B:$Z,2,FALSE)</f>
        <v>C49SZX20210052JY</v>
      </c>
      <c r="R949" s="652" t="str">
        <f>VLOOKUP(A949,'[1]Raw data'!$B:$Z,3,FALSE)</f>
        <v>江西络鑫</v>
      </c>
      <c r="S949" s="652" t="str">
        <f>VLOOKUP(A949,'[1]Raw data'!$B:$Z,4,FALSE)</f>
        <v>YSM20R-2</v>
      </c>
      <c r="T949" s="652" t="str">
        <f>VLOOKUP(A949,'[1]Raw data'!$B:$Z,8,FALSE)</f>
        <v>L-&gt;R</v>
      </c>
      <c r="U949" s="652" t="str">
        <f>VLOOKUP(A949,'[1]Raw data'!$B:$Z,9,FALSE)</f>
        <v>No</v>
      </c>
      <c r="V949" s="572" t="str">
        <f t="shared" si="178"/>
        <v>OK</v>
      </c>
      <c r="W949" s="568" t="str">
        <f>VLOOKUP(A949,'[1]Raw data'!$B:$AG,32,FALSE)</f>
        <v>CIF HK</v>
      </c>
      <c r="X949" s="652">
        <f>VLOOKUP(A949,'[1]Raw data'!$B:$BA,31,FALSE)</f>
        <v>44259</v>
      </c>
      <c r="Y949" s="652" t="str">
        <f>VLOOKUP(A949,'[1]Raw data'!$B:$AS,39,FALSE)</f>
        <v>Yes</v>
      </c>
      <c r="Z949" s="664"/>
      <c r="AA949" s="665"/>
      <c r="AB949" s="666"/>
      <c r="AC949" s="652" t="s">
        <v>1773</v>
      </c>
      <c r="AD949" s="580">
        <v>302</v>
      </c>
      <c r="AE949" s="580">
        <v>10</v>
      </c>
      <c r="AF949" s="580">
        <v>303</v>
      </c>
      <c r="AG949" s="580">
        <v>10</v>
      </c>
      <c r="AH949" s="580"/>
      <c r="AI949" s="684"/>
      <c r="AJ949" s="569"/>
      <c r="AK949" s="569"/>
      <c r="AL949" s="569"/>
      <c r="AM949" s="569"/>
      <c r="AN949" s="619"/>
      <c r="AO949" s="829" t="str">
        <f t="shared" si="159"/>
        <v>Yes</v>
      </c>
      <c r="AP949" s="259" t="str">
        <f t="shared" si="160"/>
        <v>OCT 21</v>
      </c>
      <c r="AQ949" s="547" t="str">
        <f t="shared" si="161"/>
        <v>有定金+有預留客戶</v>
      </c>
      <c r="AR949" s="259" t="str">
        <f t="shared" si="162"/>
        <v>Shipped_Stock</v>
      </c>
      <c r="AS949" s="259" t="str">
        <f t="shared" si="163"/>
        <v/>
      </c>
      <c r="AT949" s="259" t="str">
        <f t="shared" si="164"/>
        <v>江西络鑫</v>
      </c>
      <c r="AU949" s="259" t="str">
        <f t="shared" si="165"/>
        <v>C49SZX20210052JY</v>
      </c>
      <c r="AV949" s="259" t="str">
        <f t="shared" si="166"/>
        <v>Sep-09</v>
      </c>
    </row>
    <row r="950" spans="1:48" hidden="1">
      <c r="A950" s="564">
        <v>1156</v>
      </c>
      <c r="B950" s="669" t="s">
        <v>1125</v>
      </c>
      <c r="C950" s="669" t="s">
        <v>281</v>
      </c>
      <c r="D950" s="650">
        <v>110558</v>
      </c>
      <c r="E950" s="568" t="s">
        <v>886</v>
      </c>
      <c r="F950" s="652" t="s">
        <v>58</v>
      </c>
      <c r="G950" s="652" t="s">
        <v>24</v>
      </c>
      <c r="H950" s="652" t="s">
        <v>26</v>
      </c>
      <c r="I950" s="580" t="s">
        <v>1794</v>
      </c>
      <c r="J950" s="580">
        <v>1</v>
      </c>
      <c r="K950" s="652" t="s">
        <v>1732</v>
      </c>
      <c r="L950" s="710">
        <v>44448</v>
      </c>
      <c r="M950" s="670" t="s">
        <v>906</v>
      </c>
      <c r="N950" s="652" t="s">
        <v>1736</v>
      </c>
      <c r="O950" s="580"/>
      <c r="P950" s="670" t="str">
        <f>VLOOKUP(A950,'[1]Raw data'!$B:$BA,23,FALSE)</f>
        <v>JPY</v>
      </c>
      <c r="Q950" s="652" t="str">
        <f>VLOOKUP(A950,'[1]Raw data'!$B:$Z,2,FALSE)</f>
        <v>C49SZX20210052JY</v>
      </c>
      <c r="R950" s="652" t="str">
        <f>VLOOKUP(A950,'[1]Raw data'!$B:$Z,3,FALSE)</f>
        <v>江西络鑫</v>
      </c>
      <c r="S950" s="652" t="str">
        <f>VLOOKUP(A950,'[1]Raw data'!$B:$Z,4,FALSE)</f>
        <v>YSM20R-2</v>
      </c>
      <c r="T950" s="652" t="str">
        <f>VLOOKUP(A950,'[1]Raw data'!$B:$Z,8,FALSE)</f>
        <v>L-&gt;R</v>
      </c>
      <c r="U950" s="652" t="str">
        <f>VLOOKUP(A950,'[1]Raw data'!$B:$Z,9,FALSE)</f>
        <v>No</v>
      </c>
      <c r="V950" s="572" t="str">
        <f t="shared" si="178"/>
        <v>OK</v>
      </c>
      <c r="W950" s="568" t="str">
        <f>VLOOKUP(A950,'[1]Raw data'!$B:$AG,32,FALSE)</f>
        <v>CIF HK</v>
      </c>
      <c r="X950" s="652">
        <f>VLOOKUP(A950,'[1]Raw data'!$B:$BA,31,FALSE)</f>
        <v>44259</v>
      </c>
      <c r="Y950" s="652" t="str">
        <f>VLOOKUP(A950,'[1]Raw data'!$B:$AS,39,FALSE)</f>
        <v>Yes</v>
      </c>
      <c r="Z950" s="664"/>
      <c r="AA950" s="665"/>
      <c r="AB950" s="666"/>
      <c r="AC950" s="652" t="s">
        <v>1773</v>
      </c>
      <c r="AD950" s="580">
        <v>302</v>
      </c>
      <c r="AE950" s="580">
        <v>10</v>
      </c>
      <c r="AF950" s="580">
        <v>303</v>
      </c>
      <c r="AG950" s="580">
        <v>10</v>
      </c>
      <c r="AH950" s="580"/>
      <c r="AI950" s="684"/>
      <c r="AJ950" s="569"/>
      <c r="AK950" s="569"/>
      <c r="AL950" s="569"/>
      <c r="AM950" s="569"/>
      <c r="AN950" s="619"/>
      <c r="AO950" s="829" t="str">
        <f t="shared" si="159"/>
        <v>Yes</v>
      </c>
      <c r="AP950" s="259" t="str">
        <f t="shared" si="160"/>
        <v>OCT 21</v>
      </c>
      <c r="AQ950" s="547" t="str">
        <f t="shared" si="161"/>
        <v>有定金+有預留客戶</v>
      </c>
      <c r="AR950" s="259" t="str">
        <f t="shared" si="162"/>
        <v>Shipped_Stock</v>
      </c>
      <c r="AS950" s="259" t="str">
        <f t="shared" si="163"/>
        <v/>
      </c>
      <c r="AT950" s="259" t="str">
        <f t="shared" si="164"/>
        <v>江西络鑫</v>
      </c>
      <c r="AU950" s="259" t="str">
        <f t="shared" si="165"/>
        <v>C49SZX20210052JY</v>
      </c>
      <c r="AV950" s="259" t="str">
        <f t="shared" si="166"/>
        <v>Sep-09</v>
      </c>
    </row>
    <row r="951" spans="1:48" hidden="1">
      <c r="A951" s="564">
        <v>1319</v>
      </c>
      <c r="B951" s="669" t="s">
        <v>1125</v>
      </c>
      <c r="C951" s="669" t="s">
        <v>281</v>
      </c>
      <c r="D951" s="650">
        <v>110558</v>
      </c>
      <c r="E951" s="568" t="s">
        <v>886</v>
      </c>
      <c r="F951" s="652" t="s">
        <v>58</v>
      </c>
      <c r="G951" s="652" t="s">
        <v>24</v>
      </c>
      <c r="H951" s="652" t="s">
        <v>26</v>
      </c>
      <c r="I951" s="580" t="s">
        <v>1795</v>
      </c>
      <c r="J951" s="580">
        <v>1</v>
      </c>
      <c r="K951" s="652" t="s">
        <v>1732</v>
      </c>
      <c r="L951" s="710">
        <v>44448</v>
      </c>
      <c r="M951" s="670" t="s">
        <v>906</v>
      </c>
      <c r="N951" s="652" t="s">
        <v>1736</v>
      </c>
      <c r="O951" s="580"/>
      <c r="P951" s="670" t="str">
        <f>VLOOKUP(A951,'[1]Raw data'!$B:$BA,23,FALSE)</f>
        <v>JPY</v>
      </c>
      <c r="Q951" s="652" t="str">
        <f>VLOOKUP(A951,'[1]Raw data'!$B:$Z,2,FALSE)</f>
        <v>C49SZX20210111DZ</v>
      </c>
      <c r="R951" s="652" t="str">
        <f>VLOOKUP(A951,'[1]Raw data'!$B:$Z,3,FALSE)</f>
        <v>恒创兴</v>
      </c>
      <c r="S951" s="652" t="str">
        <f>VLOOKUP(A951,'[1]Raw data'!$B:$Z,4,FALSE)</f>
        <v>YSM20R-2</v>
      </c>
      <c r="T951" s="652" t="str">
        <f>VLOOKUP(A951,'[1]Raw data'!$B:$Z,8,FALSE)</f>
        <v>L-&gt;R</v>
      </c>
      <c r="U951" s="652" t="str">
        <f>VLOOKUP(A951,'[1]Raw data'!$B:$Z,9,FALSE)</f>
        <v>No</v>
      </c>
      <c r="V951" s="572" t="str">
        <f t="shared" si="178"/>
        <v>OK</v>
      </c>
      <c r="W951" s="568" t="str">
        <f>VLOOKUP(A951,'[1]Raw data'!$B:$AG,32,FALSE)</f>
        <v>CIF HK</v>
      </c>
      <c r="X951" s="652">
        <f>VLOOKUP(A951,'[1]Raw data'!$B:$BA,31,FALSE)</f>
        <v>44295</v>
      </c>
      <c r="Y951" s="652" t="str">
        <f>VLOOKUP(A951,'[1]Raw data'!$B:$AS,39,FALSE)</f>
        <v>Yes</v>
      </c>
      <c r="Z951" s="664"/>
      <c r="AA951" s="665"/>
      <c r="AB951" s="666"/>
      <c r="AC951" s="652" t="s">
        <v>1796</v>
      </c>
      <c r="AD951" s="667">
        <v>302</v>
      </c>
      <c r="AE951" s="667">
        <v>10</v>
      </c>
      <c r="AF951" s="667">
        <v>303</v>
      </c>
      <c r="AG951" s="667">
        <v>10</v>
      </c>
      <c r="AH951" s="667"/>
      <c r="AI951" s="668"/>
      <c r="AN951" s="547"/>
      <c r="AO951" s="829" t="str">
        <f t="shared" si="159"/>
        <v>Yes</v>
      </c>
      <c r="AP951" s="259" t="str">
        <f t="shared" si="160"/>
        <v>OCT 21</v>
      </c>
      <c r="AQ951" s="547" t="str">
        <f t="shared" si="161"/>
        <v>有定金+有預留客戶</v>
      </c>
      <c r="AR951" s="259" t="str">
        <f t="shared" si="162"/>
        <v>Shipped_Stock</v>
      </c>
      <c r="AS951" s="259" t="str">
        <f t="shared" si="163"/>
        <v/>
      </c>
      <c r="AT951" s="259" t="str">
        <f t="shared" si="164"/>
        <v>恒创兴</v>
      </c>
      <c r="AU951" s="259" t="str">
        <f t="shared" si="165"/>
        <v>C49SZX20210111DZ</v>
      </c>
      <c r="AV951" s="259" t="str">
        <f t="shared" si="166"/>
        <v>Sep-09</v>
      </c>
    </row>
    <row r="952" spans="1:48" hidden="1">
      <c r="A952" s="564">
        <v>1178</v>
      </c>
      <c r="B952" s="669" t="s">
        <v>1125</v>
      </c>
      <c r="C952" s="669" t="s">
        <v>281</v>
      </c>
      <c r="D952" s="650">
        <v>110562</v>
      </c>
      <c r="E952" s="568" t="s">
        <v>886</v>
      </c>
      <c r="F952" s="652" t="s">
        <v>58</v>
      </c>
      <c r="G952" s="652" t="s">
        <v>18</v>
      </c>
      <c r="H952" s="652" t="s">
        <v>26</v>
      </c>
      <c r="I952" s="580" t="s">
        <v>1797</v>
      </c>
      <c r="J952" s="580">
        <v>1</v>
      </c>
      <c r="K952" s="652" t="s">
        <v>78</v>
      </c>
      <c r="L952" s="710">
        <v>44448</v>
      </c>
      <c r="M952" s="670" t="s">
        <v>906</v>
      </c>
      <c r="N952" s="652" t="s">
        <v>1798</v>
      </c>
      <c r="O952" s="580"/>
      <c r="P952" s="670" t="str">
        <f>VLOOKUP(A952,'[1]Raw data'!$B:$BA,23,FALSE)</f>
        <v>JPY</v>
      </c>
      <c r="Q952" s="652" t="str">
        <f>VLOOKUP(A952,'[1]Raw data'!$B:$Z,2,FALSE)</f>
        <v>C49SZX20210057DZ</v>
      </c>
      <c r="R952" s="652" t="str">
        <f>VLOOKUP(A952,'[1]Raw data'!$B:$Z,3,FALSE)</f>
        <v>优品</v>
      </c>
      <c r="S952" s="652" t="str">
        <f>VLOOKUP(A952,'[1]Raw data'!$B:$Z,4,FALSE)</f>
        <v>YSM20R-2</v>
      </c>
      <c r="T952" s="652" t="str">
        <f>VLOOKUP(A952,'[1]Raw data'!$B:$Z,8,FALSE)</f>
        <v>R-&gt;L</v>
      </c>
      <c r="U952" s="652" t="str">
        <f>VLOOKUP(A952,'[1]Raw data'!$B:$Z,9,FALSE)</f>
        <v>MVC</v>
      </c>
      <c r="V952" s="572" t="str">
        <f t="shared" ref="V952:V958" si="179">IF(G952&amp;H952=T952&amp;U952,"OK","WRONG")</f>
        <v>WRONG</v>
      </c>
      <c r="W952" s="568" t="str">
        <f>VLOOKUP(A952,'[1]Raw data'!$B:$AG,32,FALSE)</f>
        <v>CIF HK</v>
      </c>
      <c r="X952" s="652">
        <f>VLOOKUP(A952,'[1]Raw data'!$B:$BA,31,FALSE)</f>
        <v>44257</v>
      </c>
      <c r="Y952" s="652" t="str">
        <f>VLOOKUP(A952,'[1]Raw data'!$B:$AS,39,FALSE)</f>
        <v>Yes</v>
      </c>
      <c r="Z952" s="664"/>
      <c r="AA952" s="665"/>
      <c r="AB952" s="666"/>
      <c r="AC952" s="652" t="s">
        <v>1662</v>
      </c>
      <c r="AD952" s="667">
        <v>301</v>
      </c>
      <c r="AE952" s="667">
        <v>10</v>
      </c>
      <c r="AF952" s="667">
        <v>311</v>
      </c>
      <c r="AG952" s="667">
        <v>10</v>
      </c>
      <c r="AH952" s="667"/>
      <c r="AI952" s="668"/>
      <c r="AN952" s="547"/>
      <c r="AO952" s="829" t="str">
        <f t="shared" si="159"/>
        <v>Yes</v>
      </c>
      <c r="AP952" s="259" t="str">
        <f t="shared" si="160"/>
        <v>SEP 21</v>
      </c>
      <c r="AQ952" s="547" t="str">
        <f t="shared" si="161"/>
        <v>有定金+有預留客戶</v>
      </c>
      <c r="AR952" s="259" t="str">
        <f t="shared" si="162"/>
        <v>Shipped_Stock</v>
      </c>
      <c r="AS952" s="259" t="str">
        <f t="shared" si="163"/>
        <v/>
      </c>
      <c r="AT952" s="259" t="str">
        <f t="shared" si="164"/>
        <v>优品</v>
      </c>
      <c r="AU952" s="259" t="str">
        <f t="shared" si="165"/>
        <v>C49SZX20210057DZ</v>
      </c>
      <c r="AV952" s="259" t="str">
        <f t="shared" si="166"/>
        <v>Sep-09</v>
      </c>
    </row>
    <row r="953" spans="1:48" hidden="1">
      <c r="A953" s="564">
        <v>1330</v>
      </c>
      <c r="B953" s="669" t="s">
        <v>1125</v>
      </c>
      <c r="C953" s="669" t="s">
        <v>281</v>
      </c>
      <c r="D953" s="650">
        <v>110562</v>
      </c>
      <c r="E953" s="568" t="s">
        <v>886</v>
      </c>
      <c r="F953" s="652" t="s">
        <v>58</v>
      </c>
      <c r="G953" s="652" t="s">
        <v>18</v>
      </c>
      <c r="H953" s="652" t="s">
        <v>26</v>
      </c>
      <c r="I953" s="580" t="s">
        <v>1799</v>
      </c>
      <c r="J953" s="580">
        <v>1</v>
      </c>
      <c r="K953" s="652" t="s">
        <v>1732</v>
      </c>
      <c r="L953" s="710">
        <v>44448</v>
      </c>
      <c r="M953" s="670" t="s">
        <v>906</v>
      </c>
      <c r="N953" s="652" t="s">
        <v>1798</v>
      </c>
      <c r="O953" s="580"/>
      <c r="P953" s="670" t="str">
        <f>VLOOKUP(A953,'[1]Raw data'!$B:$BA,23,FALSE)</f>
        <v>JPY</v>
      </c>
      <c r="Q953" s="652" t="str">
        <f>VLOOKUP(A953,'[1]Raw data'!$B:$Z,2,FALSE)</f>
        <v>C49SZX20210178JY</v>
      </c>
      <c r="R953" s="652" t="str">
        <f>VLOOKUP(A953,'[1]Raw data'!$B:$Z,3,FALSE)</f>
        <v>毅诚科达</v>
      </c>
      <c r="S953" s="652" t="str">
        <f>VLOOKUP(A953,'[1]Raw data'!$B:$Z,4,FALSE)</f>
        <v>YSM20R-2</v>
      </c>
      <c r="T953" s="652" t="str">
        <f>VLOOKUP(A953,'[1]Raw data'!$B:$Z,8,FALSE)</f>
        <v>R-&gt;L</v>
      </c>
      <c r="U953" s="652" t="str">
        <f>VLOOKUP(A953,'[1]Raw data'!$B:$Z,9,FALSE)</f>
        <v>No</v>
      </c>
      <c r="V953" s="572" t="str">
        <f t="shared" si="179"/>
        <v>OK</v>
      </c>
      <c r="W953" s="568" t="str">
        <f>VLOOKUP(A953,'[1]Raw data'!$B:$AG,32,FALSE)</f>
        <v>DAP SZ</v>
      </c>
      <c r="X953" s="652">
        <f>VLOOKUP(A953,'[1]Raw data'!$B:$BA,31,FALSE)</f>
        <v>44300</v>
      </c>
      <c r="Y953" s="652" t="str">
        <f>VLOOKUP(A953,'[1]Raw data'!$B:$AS,39,FALSE)</f>
        <v>Yes</v>
      </c>
      <c r="Z953" s="664"/>
      <c r="AA953" s="665"/>
      <c r="AB953" s="666"/>
      <c r="AC953" s="652" t="s">
        <v>1800</v>
      </c>
      <c r="AD953" s="667">
        <v>301</v>
      </c>
      <c r="AE953" s="667">
        <v>10</v>
      </c>
      <c r="AF953" s="667">
        <v>311</v>
      </c>
      <c r="AG953" s="667">
        <v>10</v>
      </c>
      <c r="AH953" s="667"/>
      <c r="AI953" s="668"/>
      <c r="AN953" s="547"/>
      <c r="AO953" s="829" t="str">
        <f t="shared" si="159"/>
        <v>Yes</v>
      </c>
      <c r="AP953" s="259" t="str">
        <f t="shared" si="160"/>
        <v>SEP 21</v>
      </c>
      <c r="AQ953" s="547" t="str">
        <f t="shared" si="161"/>
        <v>有定金+有預留客戶</v>
      </c>
      <c r="AR953" s="259" t="str">
        <f t="shared" si="162"/>
        <v>Shipped_Stock</v>
      </c>
      <c r="AS953" s="259" t="str">
        <f t="shared" si="163"/>
        <v/>
      </c>
      <c r="AT953" s="259" t="str">
        <f t="shared" si="164"/>
        <v>毅诚科达</v>
      </c>
      <c r="AU953" s="259" t="str">
        <f t="shared" si="165"/>
        <v>C49SZX20210178JY</v>
      </c>
      <c r="AV953" s="259" t="str">
        <f t="shared" si="166"/>
        <v>Sep-09</v>
      </c>
    </row>
    <row r="954" spans="1:48" hidden="1">
      <c r="A954" s="564">
        <v>1161</v>
      </c>
      <c r="B954" s="669" t="s">
        <v>1125</v>
      </c>
      <c r="C954" s="669" t="s">
        <v>281</v>
      </c>
      <c r="D954" s="650">
        <v>110593</v>
      </c>
      <c r="E954" s="651" t="s">
        <v>1801</v>
      </c>
      <c r="F954" s="652" t="s">
        <v>17</v>
      </c>
      <c r="G954" s="652" t="s">
        <v>24</v>
      </c>
      <c r="H954" s="652" t="s">
        <v>48</v>
      </c>
      <c r="I954" s="580" t="s">
        <v>1802</v>
      </c>
      <c r="J954" s="580">
        <v>1</v>
      </c>
      <c r="K954" s="652" t="s">
        <v>1732</v>
      </c>
      <c r="L954" s="662">
        <v>44458</v>
      </c>
      <c r="M954" s="670" t="s">
        <v>906</v>
      </c>
      <c r="N954" s="652" t="s">
        <v>1736</v>
      </c>
      <c r="O954" s="580"/>
      <c r="P954" s="670" t="str">
        <f>VLOOKUP(A954,'[1]Raw data'!$B:$BA,23,FALSE)</f>
        <v>JPY</v>
      </c>
      <c r="Q954" s="652" t="str">
        <f>VLOOKUP(A954,'[1]Raw data'!$B:$Z,2,FALSE)</f>
        <v>C49SZX20210052JY</v>
      </c>
      <c r="R954" s="652" t="str">
        <f>VLOOKUP(A954,'[1]Raw data'!$B:$Z,3,FALSE)</f>
        <v>江西络鑫</v>
      </c>
      <c r="S954" s="652" t="str">
        <f>VLOOKUP(A954,'[1]Raw data'!$B:$Z,4,FALSE)</f>
        <v>YSM10</v>
      </c>
      <c r="T954" s="652" t="str">
        <f>VLOOKUP(A954,'[1]Raw data'!$B:$Z,8,FALSE)</f>
        <v>L-&gt;R</v>
      </c>
      <c r="U954" s="652" t="str">
        <f>VLOOKUP(A954,'[1]Raw data'!$B:$Z,9,FALSE)</f>
        <v>MVC+ATS15</v>
      </c>
      <c r="V954" s="572" t="str">
        <f>IF(G954&amp;H954=T954&amp;U954,"OK","WRONG")</f>
        <v>WRONG</v>
      </c>
      <c r="W954" s="568" t="str">
        <f>VLOOKUP(A954,'[1]Raw data'!$B:$AG,32,FALSE)</f>
        <v>CIF HK</v>
      </c>
      <c r="X954" s="652">
        <f>VLOOKUP(A954,'[1]Raw data'!$B:$BA,31,FALSE)</f>
        <v>44259</v>
      </c>
      <c r="Y954" s="652" t="str">
        <f>VLOOKUP(A954,'[1]Raw data'!$B:$AS,39,FALSE)</f>
        <v>Yes</v>
      </c>
      <c r="Z954" s="664"/>
      <c r="AA954" s="665"/>
      <c r="AB954" s="666"/>
      <c r="AC954" s="652" t="s">
        <v>1803</v>
      </c>
      <c r="AD954" s="580">
        <v>302</v>
      </c>
      <c r="AE954" s="580">
        <v>10</v>
      </c>
      <c r="AF954" s="580"/>
      <c r="AG954" s="580"/>
      <c r="AH954" s="580"/>
      <c r="AI954" s="684"/>
      <c r="AJ954" s="569"/>
      <c r="AK954" s="569"/>
      <c r="AL954" s="569"/>
      <c r="AM954" s="569"/>
      <c r="AN954" s="619"/>
      <c r="AO954" s="829" t="str">
        <f t="shared" si="159"/>
        <v>Yes</v>
      </c>
      <c r="AP954" s="259" t="str">
        <f t="shared" si="160"/>
        <v>OCT 21</v>
      </c>
      <c r="AQ954" s="547" t="str">
        <f t="shared" si="161"/>
        <v>有定金+有預留客戶</v>
      </c>
      <c r="AR954" s="259" t="str">
        <f t="shared" si="162"/>
        <v>Shipped_Stock</v>
      </c>
      <c r="AS954" s="259" t="str">
        <f t="shared" si="163"/>
        <v/>
      </c>
      <c r="AT954" s="259" t="str">
        <f t="shared" si="164"/>
        <v>江西络鑫</v>
      </c>
      <c r="AU954" s="259" t="str">
        <f t="shared" si="165"/>
        <v>C49SZX20210052JY</v>
      </c>
      <c r="AV954" s="259" t="str">
        <f t="shared" si="166"/>
        <v>Sep-19</v>
      </c>
    </row>
    <row r="955" spans="1:48" hidden="1">
      <c r="A955" s="564">
        <v>1461</v>
      </c>
      <c r="B955" s="669" t="s">
        <v>1125</v>
      </c>
      <c r="C955" s="669" t="s">
        <v>281</v>
      </c>
      <c r="D955" s="650" t="s">
        <v>1804</v>
      </c>
      <c r="E955" s="749" t="s">
        <v>1580</v>
      </c>
      <c r="F955" s="652" t="s">
        <v>17</v>
      </c>
      <c r="G955" s="652" t="s">
        <v>18</v>
      </c>
      <c r="H955" s="652" t="s">
        <v>26</v>
      </c>
      <c r="I955" s="580" t="s">
        <v>1805</v>
      </c>
      <c r="J955" s="580">
        <v>1</v>
      </c>
      <c r="K955" s="652" t="s">
        <v>1806</v>
      </c>
      <c r="L955" s="754" t="s">
        <v>3984</v>
      </c>
      <c r="M955" s="670" t="s">
        <v>1807</v>
      </c>
      <c r="N955" s="652" t="s">
        <v>1798</v>
      </c>
      <c r="O955" s="580"/>
      <c r="P955" s="670" t="str">
        <f>VLOOKUP(A955,'[1]Raw data'!$B:$BA,23,FALSE)</f>
        <v>RMB</v>
      </c>
      <c r="Q955" s="652" t="str">
        <f>VLOOKUP(A955,'[1]Raw data'!$B:$Z,2,FALSE)</f>
        <v>C49SZX20210183SX</v>
      </c>
      <c r="R955" s="652" t="str">
        <f>VLOOKUP(A955,'[1]Raw data'!$B:$Z,3,FALSE)</f>
        <v>奕东</v>
      </c>
      <c r="S955" s="652" t="str">
        <f>VLOOKUP(A955,'[1]Raw data'!$B:$Z,4,FALSE)</f>
        <v>YSM10</v>
      </c>
      <c r="T955" s="652" t="str">
        <f>VLOOKUP(A955,'[1]Raw data'!$B:$Z,8,FALSE)</f>
        <v>L-&gt;R</v>
      </c>
      <c r="U955" s="652" t="str">
        <f>VLOOKUP(A955,'[1]Raw data'!$B:$Z,9,FALSE)</f>
        <v>MVC</v>
      </c>
      <c r="V955" s="572" t="str">
        <f t="shared" si="179"/>
        <v>WRONG</v>
      </c>
      <c r="W955" s="568" t="str">
        <f>VLOOKUP(A955,'[1]Raw data'!$B:$AG,32,FALSE)</f>
        <v>DDP DG</v>
      </c>
      <c r="X955" s="652">
        <f>VLOOKUP(A955,'[1]Raw data'!$B:$BA,31,FALSE)</f>
        <v>44403</v>
      </c>
      <c r="Y955" s="652" t="str">
        <f>VLOOKUP(A955,'[1]Raw data'!$B:$AS,39,FALSE)</f>
        <v>Yes</v>
      </c>
      <c r="Z955" s="664"/>
      <c r="AA955" s="665"/>
      <c r="AB955" s="666"/>
      <c r="AC955" s="652" t="s">
        <v>678</v>
      </c>
      <c r="AD955" s="667"/>
      <c r="AE955" s="667"/>
      <c r="AF955" s="667"/>
      <c r="AG955" s="667"/>
      <c r="AH955" s="667"/>
      <c r="AI955" s="668"/>
      <c r="AN955" s="547"/>
      <c r="AO955" s="829" t="str">
        <f t="shared" si="159"/>
        <v>Yes</v>
      </c>
      <c r="AP955" s="259" t="str">
        <f t="shared" si="160"/>
        <v>SEP 21</v>
      </c>
      <c r="AQ955" s="547" t="str">
        <f t="shared" si="161"/>
        <v>有定金+有預留客戶</v>
      </c>
      <c r="AR955" s="259" t="str">
        <f t="shared" si="162"/>
        <v>Shipped_Stock</v>
      </c>
      <c r="AS955" s="259" t="str">
        <f t="shared" si="163"/>
        <v/>
      </c>
      <c r="AT955" s="259" t="str">
        <f t="shared" si="164"/>
        <v>奕东</v>
      </c>
      <c r="AU955" s="259" t="str">
        <f t="shared" si="165"/>
        <v>C49SZX20210183SX</v>
      </c>
      <c r="AV955" s="259" t="str">
        <f t="shared" si="166"/>
        <v>2021- 9月中下旬苏州仓库</v>
      </c>
    </row>
    <row r="956" spans="1:48" hidden="1">
      <c r="A956" s="564">
        <v>1462</v>
      </c>
      <c r="B956" s="669" t="s">
        <v>1125</v>
      </c>
      <c r="C956" s="669" t="s">
        <v>281</v>
      </c>
      <c r="D956" s="650" t="s">
        <v>1804</v>
      </c>
      <c r="E956" s="749" t="s">
        <v>1580</v>
      </c>
      <c r="F956" s="652" t="s">
        <v>17</v>
      </c>
      <c r="G956" s="652" t="s">
        <v>18</v>
      </c>
      <c r="H956" s="652" t="s">
        <v>26</v>
      </c>
      <c r="I956" s="580" t="s">
        <v>1808</v>
      </c>
      <c r="J956" s="580">
        <v>1</v>
      </c>
      <c r="K956" s="652" t="s">
        <v>1806</v>
      </c>
      <c r="L956" s="754" t="s">
        <v>3984</v>
      </c>
      <c r="M956" s="670" t="s">
        <v>1807</v>
      </c>
      <c r="N956" s="652" t="s">
        <v>1798</v>
      </c>
      <c r="O956" s="580"/>
      <c r="P956" s="670" t="str">
        <f>VLOOKUP(A956,'[1]Raw data'!$B:$BA,23,FALSE)</f>
        <v>RMB</v>
      </c>
      <c r="Q956" s="652" t="str">
        <f>VLOOKUP(A956,'[1]Raw data'!$B:$Z,2,FALSE)</f>
        <v>C49SZX20210183SX</v>
      </c>
      <c r="R956" s="652" t="str">
        <f>VLOOKUP(A956,'[1]Raw data'!$B:$Z,3,FALSE)</f>
        <v>奕东</v>
      </c>
      <c r="S956" s="652" t="str">
        <f>VLOOKUP(A956,'[1]Raw data'!$B:$Z,4,FALSE)</f>
        <v>YSM10</v>
      </c>
      <c r="T956" s="652" t="str">
        <f>VLOOKUP(A956,'[1]Raw data'!$B:$Z,8,FALSE)</f>
        <v>L-&gt;R</v>
      </c>
      <c r="U956" s="652" t="str">
        <f>VLOOKUP(A956,'[1]Raw data'!$B:$Z,9,FALSE)</f>
        <v>MVC</v>
      </c>
      <c r="V956" s="572" t="str">
        <f t="shared" si="179"/>
        <v>WRONG</v>
      </c>
      <c r="W956" s="568" t="str">
        <f>VLOOKUP(A956,'[1]Raw data'!$B:$AG,32,FALSE)</f>
        <v>DDP DG</v>
      </c>
      <c r="X956" s="652">
        <f>VLOOKUP(A956,'[1]Raw data'!$B:$BA,31,FALSE)</f>
        <v>44403</v>
      </c>
      <c r="Y956" s="652" t="str">
        <f>VLOOKUP(A956,'[1]Raw data'!$B:$AS,39,FALSE)</f>
        <v>Yes</v>
      </c>
      <c r="Z956" s="664"/>
      <c r="AA956" s="665"/>
      <c r="AB956" s="666"/>
      <c r="AC956" s="652" t="s">
        <v>678</v>
      </c>
      <c r="AD956" s="667"/>
      <c r="AE956" s="667"/>
      <c r="AF956" s="667"/>
      <c r="AG956" s="667"/>
      <c r="AH956" s="667"/>
      <c r="AI956" s="668"/>
      <c r="AN956" s="547"/>
      <c r="AO956" s="829" t="str">
        <f t="shared" si="159"/>
        <v>Yes</v>
      </c>
      <c r="AP956" s="259" t="str">
        <f t="shared" si="160"/>
        <v>SEP 21</v>
      </c>
      <c r="AQ956" s="547" t="str">
        <f t="shared" si="161"/>
        <v>有定金+有預留客戶</v>
      </c>
      <c r="AR956" s="259" t="str">
        <f t="shared" si="162"/>
        <v>Shipped_Stock</v>
      </c>
      <c r="AS956" s="259" t="str">
        <f t="shared" si="163"/>
        <v/>
      </c>
      <c r="AT956" s="259" t="str">
        <f t="shared" si="164"/>
        <v>奕东</v>
      </c>
      <c r="AU956" s="259" t="str">
        <f t="shared" si="165"/>
        <v>C49SZX20210183SX</v>
      </c>
      <c r="AV956" s="259" t="str">
        <f t="shared" si="166"/>
        <v>2021- 9月中下旬苏州仓库</v>
      </c>
    </row>
    <row r="957" spans="1:48" hidden="1">
      <c r="A957" s="564">
        <v>1463</v>
      </c>
      <c r="B957" s="669" t="s">
        <v>1125</v>
      </c>
      <c r="C957" s="669" t="s">
        <v>281</v>
      </c>
      <c r="D957" s="650" t="s">
        <v>1804</v>
      </c>
      <c r="E957" s="749" t="s">
        <v>1580</v>
      </c>
      <c r="F957" s="652" t="s">
        <v>17</v>
      </c>
      <c r="G957" s="652" t="s">
        <v>18</v>
      </c>
      <c r="H957" s="652" t="s">
        <v>26</v>
      </c>
      <c r="I957" s="580" t="s">
        <v>1809</v>
      </c>
      <c r="J957" s="580">
        <v>1</v>
      </c>
      <c r="K957" s="652" t="s">
        <v>1806</v>
      </c>
      <c r="L957" s="754" t="s">
        <v>3984</v>
      </c>
      <c r="M957" s="670" t="s">
        <v>1807</v>
      </c>
      <c r="N957" s="652" t="s">
        <v>1798</v>
      </c>
      <c r="O957" s="580"/>
      <c r="P957" s="670" t="str">
        <f>VLOOKUP(A957,'[1]Raw data'!$B:$BA,23,FALSE)</f>
        <v>RMB</v>
      </c>
      <c r="Q957" s="652" t="str">
        <f>VLOOKUP(A957,'[1]Raw data'!$B:$Z,2,FALSE)</f>
        <v>C49SZX20210183SX</v>
      </c>
      <c r="R957" s="652" t="str">
        <f>VLOOKUP(A957,'[1]Raw data'!$B:$Z,3,FALSE)</f>
        <v>奕东</v>
      </c>
      <c r="S957" s="652" t="str">
        <f>VLOOKUP(A957,'[1]Raw data'!$B:$Z,4,FALSE)</f>
        <v>YSM10</v>
      </c>
      <c r="T957" s="652" t="str">
        <f>VLOOKUP(A957,'[1]Raw data'!$B:$Z,8,FALSE)</f>
        <v>L-&gt;R</v>
      </c>
      <c r="U957" s="652" t="str">
        <f>VLOOKUP(A957,'[1]Raw data'!$B:$Z,9,FALSE)</f>
        <v>MVC</v>
      </c>
      <c r="V957" s="572" t="str">
        <f t="shared" si="179"/>
        <v>WRONG</v>
      </c>
      <c r="W957" s="568" t="str">
        <f>VLOOKUP(A957,'[1]Raw data'!$B:$AG,32,FALSE)</f>
        <v>DDP DG</v>
      </c>
      <c r="X957" s="652">
        <f>VLOOKUP(A957,'[1]Raw data'!$B:$BA,31,FALSE)</f>
        <v>44403</v>
      </c>
      <c r="Y957" s="652" t="str">
        <f>VLOOKUP(A957,'[1]Raw data'!$B:$AS,39,FALSE)</f>
        <v>Yes</v>
      </c>
      <c r="Z957" s="664"/>
      <c r="AA957" s="665"/>
      <c r="AB957" s="666"/>
      <c r="AC957" s="652" t="s">
        <v>678</v>
      </c>
      <c r="AD957" s="667"/>
      <c r="AE957" s="667"/>
      <c r="AF957" s="667"/>
      <c r="AG957" s="667"/>
      <c r="AH957" s="667"/>
      <c r="AI957" s="668"/>
      <c r="AN957" s="547"/>
      <c r="AO957" s="829" t="str">
        <f t="shared" si="159"/>
        <v>Yes</v>
      </c>
      <c r="AP957" s="259" t="str">
        <f t="shared" si="160"/>
        <v>SEP 21</v>
      </c>
      <c r="AQ957" s="547" t="str">
        <f t="shared" si="161"/>
        <v>有定金+有預留客戶</v>
      </c>
      <c r="AR957" s="259" t="str">
        <f t="shared" si="162"/>
        <v>Shipped_Stock</v>
      </c>
      <c r="AS957" s="259" t="str">
        <f t="shared" si="163"/>
        <v/>
      </c>
      <c r="AT957" s="259" t="str">
        <f t="shared" si="164"/>
        <v>奕东</v>
      </c>
      <c r="AU957" s="259" t="str">
        <f t="shared" si="165"/>
        <v>C49SZX20210183SX</v>
      </c>
      <c r="AV957" s="259" t="str">
        <f t="shared" si="166"/>
        <v>2021- 9月中下旬苏州仓库</v>
      </c>
    </row>
    <row r="958" spans="1:48" hidden="1">
      <c r="A958" s="564">
        <v>1464</v>
      </c>
      <c r="B958" s="669" t="s">
        <v>1125</v>
      </c>
      <c r="C958" s="669" t="s">
        <v>281</v>
      </c>
      <c r="D958" s="650" t="s">
        <v>1804</v>
      </c>
      <c r="E958" s="749" t="s">
        <v>1580</v>
      </c>
      <c r="F958" s="652" t="s">
        <v>17</v>
      </c>
      <c r="G958" s="652" t="s">
        <v>18</v>
      </c>
      <c r="H958" s="652" t="s">
        <v>26</v>
      </c>
      <c r="I958" s="580" t="s">
        <v>1810</v>
      </c>
      <c r="J958" s="580">
        <v>1</v>
      </c>
      <c r="K958" s="652" t="s">
        <v>1806</v>
      </c>
      <c r="L958" s="754" t="s">
        <v>3984</v>
      </c>
      <c r="M958" s="670" t="s">
        <v>1807</v>
      </c>
      <c r="N958" s="652" t="s">
        <v>1798</v>
      </c>
      <c r="O958" s="580"/>
      <c r="P958" s="670" t="str">
        <f>VLOOKUP(A958,'[1]Raw data'!$B:$BA,23,FALSE)</f>
        <v>RMB</v>
      </c>
      <c r="Q958" s="652" t="str">
        <f>VLOOKUP(A958,'[1]Raw data'!$B:$Z,2,FALSE)</f>
        <v>C49SZX20210183SX</v>
      </c>
      <c r="R958" s="652" t="str">
        <f>VLOOKUP(A958,'[1]Raw data'!$B:$Z,3,FALSE)</f>
        <v>奕东</v>
      </c>
      <c r="S958" s="652" t="str">
        <f>VLOOKUP(A958,'[1]Raw data'!$B:$Z,4,FALSE)</f>
        <v>YSM10</v>
      </c>
      <c r="T958" s="652" t="str">
        <f>VLOOKUP(A958,'[1]Raw data'!$B:$Z,8,FALSE)</f>
        <v>L-&gt;R</v>
      </c>
      <c r="U958" s="652" t="str">
        <f>VLOOKUP(A958,'[1]Raw data'!$B:$Z,9,FALSE)</f>
        <v>MVC</v>
      </c>
      <c r="V958" s="572" t="str">
        <f t="shared" si="179"/>
        <v>WRONG</v>
      </c>
      <c r="W958" s="568" t="str">
        <f>VLOOKUP(A958,'[1]Raw data'!$B:$AG,32,FALSE)</f>
        <v>DDP DG</v>
      </c>
      <c r="X958" s="652">
        <f>VLOOKUP(A958,'[1]Raw data'!$B:$BA,31,FALSE)</f>
        <v>44403</v>
      </c>
      <c r="Y958" s="652" t="str">
        <f>VLOOKUP(A958,'[1]Raw data'!$B:$AS,39,FALSE)</f>
        <v>Yes</v>
      </c>
      <c r="Z958" s="664"/>
      <c r="AA958" s="665"/>
      <c r="AB958" s="666"/>
      <c r="AC958" s="652" t="s">
        <v>678</v>
      </c>
      <c r="AD958" s="667"/>
      <c r="AE958" s="667"/>
      <c r="AF958" s="667"/>
      <c r="AG958" s="667"/>
      <c r="AH958" s="667"/>
      <c r="AI958" s="668"/>
      <c r="AN958" s="547"/>
      <c r="AO958" s="829" t="str">
        <f t="shared" si="159"/>
        <v>Yes</v>
      </c>
      <c r="AP958" s="259" t="str">
        <f t="shared" si="160"/>
        <v>SEP 21</v>
      </c>
      <c r="AQ958" s="547" t="str">
        <f t="shared" si="161"/>
        <v>有定金+有預留客戶</v>
      </c>
      <c r="AR958" s="259" t="str">
        <f t="shared" si="162"/>
        <v>Shipped_Stock</v>
      </c>
      <c r="AS958" s="259" t="str">
        <f t="shared" si="163"/>
        <v/>
      </c>
      <c r="AT958" s="259" t="str">
        <f t="shared" si="164"/>
        <v>奕东</v>
      </c>
      <c r="AU958" s="259" t="str">
        <f t="shared" si="165"/>
        <v>C49SZX20210183SX</v>
      </c>
      <c r="AV958" s="259" t="str">
        <f t="shared" si="166"/>
        <v>2021- 9月中下旬苏州仓库</v>
      </c>
    </row>
    <row r="959" spans="1:48" hidden="1">
      <c r="A959" s="564">
        <v>1358</v>
      </c>
      <c r="B959" s="669" t="s">
        <v>1125</v>
      </c>
      <c r="C959" s="669" t="s">
        <v>281</v>
      </c>
      <c r="D959" s="650">
        <v>110556</v>
      </c>
      <c r="E959" s="749" t="s">
        <v>1811</v>
      </c>
      <c r="F959" s="652" t="s">
        <v>58</v>
      </c>
      <c r="G959" s="652" t="s">
        <v>18</v>
      </c>
      <c r="H959" s="652" t="s">
        <v>26</v>
      </c>
      <c r="I959" s="580" t="s">
        <v>1812</v>
      </c>
      <c r="J959" s="580">
        <v>1</v>
      </c>
      <c r="K959" s="652" t="s">
        <v>85</v>
      </c>
      <c r="L959" s="662">
        <v>44486</v>
      </c>
      <c r="M959" s="670"/>
      <c r="N959" s="652" t="s">
        <v>1736</v>
      </c>
      <c r="O959" s="580"/>
      <c r="P959" s="670" t="str">
        <f>VLOOKUP(A959,'[1]Raw data'!$B:$BA,23,FALSE)</f>
        <v>JPY</v>
      </c>
      <c r="Q959" s="652" t="str">
        <f>VLOOKUP(A959,'[1]Raw data'!$B:$Z,2,FALSE)</f>
        <v>C49SZX20210122DZ</v>
      </c>
      <c r="R959" s="652" t="str">
        <f>VLOOKUP(A959,'[1]Raw data'!$B:$Z,3,FALSE)</f>
        <v>深圳健科</v>
      </c>
      <c r="S959" s="652" t="str">
        <f>VLOOKUP(A959,'[1]Raw data'!$B:$Z,4,FALSE)</f>
        <v>YSM20R-2</v>
      </c>
      <c r="T959" s="652" t="str">
        <f>VLOOKUP(A959,'[1]Raw data'!$B:$Z,8,FALSE)</f>
        <v>R-&gt;L</v>
      </c>
      <c r="U959" s="652" t="str">
        <f>VLOOKUP(A959,'[1]Raw data'!$B:$Z,9,FALSE)</f>
        <v>No</v>
      </c>
      <c r="V959" s="572" t="str">
        <f t="shared" ref="V959:V960" si="180">IF(G959&amp;H959=T959&amp;U959,"OK","WRONG")</f>
        <v>OK</v>
      </c>
      <c r="W959" s="568" t="str">
        <f>VLOOKUP(A959,'[1]Raw data'!$B:$AG,32,FALSE)</f>
        <v>DAP SZ</v>
      </c>
      <c r="X959" s="652">
        <f>VLOOKUP(A959,'[1]Raw data'!$B:$BA,31,FALSE)</f>
        <v>44314</v>
      </c>
      <c r="Y959" s="652" t="str">
        <f>VLOOKUP(A959,'[1]Raw data'!$B:$AS,39,FALSE)</f>
        <v>Yes</v>
      </c>
      <c r="Z959" s="664"/>
      <c r="AA959" s="665"/>
      <c r="AB959" s="666"/>
      <c r="AC959" s="568" t="s">
        <v>678</v>
      </c>
      <c r="AD959" s="667">
        <v>301</v>
      </c>
      <c r="AE959" s="667">
        <v>10</v>
      </c>
      <c r="AF959" s="667">
        <v>311</v>
      </c>
      <c r="AG959" s="667">
        <v>10</v>
      </c>
      <c r="AH959" s="667"/>
      <c r="AI959" s="668"/>
      <c r="AN959" s="547"/>
      <c r="AO959" s="829" t="str">
        <f t="shared" si="159"/>
        <v>Yes</v>
      </c>
      <c r="AP959" s="259" t="str">
        <f t="shared" si="160"/>
        <v>OCT 21</v>
      </c>
      <c r="AQ959" s="547" t="str">
        <f t="shared" si="161"/>
        <v>有定金+有預留客戶</v>
      </c>
      <c r="AR959" s="259" t="str">
        <f t="shared" si="162"/>
        <v>Shipped_Stock</v>
      </c>
      <c r="AS959" s="259" t="str">
        <f t="shared" si="163"/>
        <v/>
      </c>
      <c r="AT959" s="259" t="str">
        <f t="shared" si="164"/>
        <v>深圳健科</v>
      </c>
      <c r="AU959" s="259" t="str">
        <f t="shared" si="165"/>
        <v>C49SZX20210122DZ</v>
      </c>
      <c r="AV959" s="259" t="str">
        <f t="shared" si="166"/>
        <v>Oct-17</v>
      </c>
    </row>
    <row r="960" spans="1:48" hidden="1">
      <c r="A960" s="564">
        <v>1359</v>
      </c>
      <c r="B960" s="669" t="s">
        <v>1125</v>
      </c>
      <c r="C960" s="669" t="s">
        <v>281</v>
      </c>
      <c r="D960" s="650">
        <v>110556</v>
      </c>
      <c r="E960" s="749" t="s">
        <v>1811</v>
      </c>
      <c r="F960" s="652" t="s">
        <v>58</v>
      </c>
      <c r="G960" s="652" t="s">
        <v>18</v>
      </c>
      <c r="H960" s="652" t="s">
        <v>26</v>
      </c>
      <c r="I960" s="580" t="s">
        <v>1813</v>
      </c>
      <c r="J960" s="580">
        <v>1</v>
      </c>
      <c r="K960" s="652" t="s">
        <v>85</v>
      </c>
      <c r="L960" s="662">
        <v>44486</v>
      </c>
      <c r="M960" s="670"/>
      <c r="N960" s="652" t="s">
        <v>1736</v>
      </c>
      <c r="O960" s="580"/>
      <c r="P960" s="670" t="str">
        <f>VLOOKUP(A960,'[1]Raw data'!$B:$BA,23,FALSE)</f>
        <v>JPY</v>
      </c>
      <c r="Q960" s="652" t="str">
        <f>VLOOKUP(A960,'[1]Raw data'!$B:$Z,2,FALSE)</f>
        <v>C49SZX20210122DZ</v>
      </c>
      <c r="R960" s="652" t="str">
        <f>VLOOKUP(A960,'[1]Raw data'!$B:$Z,3,FALSE)</f>
        <v>深圳健科</v>
      </c>
      <c r="S960" s="652" t="str">
        <f>VLOOKUP(A960,'[1]Raw data'!$B:$Z,4,FALSE)</f>
        <v>YSM20R-2</v>
      </c>
      <c r="T960" s="652" t="str">
        <f>VLOOKUP(A960,'[1]Raw data'!$B:$Z,8,FALSE)</f>
        <v>R-&gt;L</v>
      </c>
      <c r="U960" s="652" t="str">
        <f>VLOOKUP(A960,'[1]Raw data'!$B:$Z,9,FALSE)</f>
        <v>MVC</v>
      </c>
      <c r="V960" s="572" t="str">
        <f t="shared" si="180"/>
        <v>WRONG</v>
      </c>
      <c r="W960" s="568" t="str">
        <f>VLOOKUP(A960,'[1]Raw data'!$B:$AG,32,FALSE)</f>
        <v>DAP SZ</v>
      </c>
      <c r="X960" s="652">
        <f>VLOOKUP(A960,'[1]Raw data'!$B:$BA,31,FALSE)</f>
        <v>44314</v>
      </c>
      <c r="Y960" s="652" t="str">
        <f>VLOOKUP(A960,'[1]Raw data'!$B:$AS,39,FALSE)</f>
        <v>Yes</v>
      </c>
      <c r="Z960" s="664"/>
      <c r="AA960" s="665"/>
      <c r="AB960" s="666"/>
      <c r="AC960" s="568" t="s">
        <v>678</v>
      </c>
      <c r="AD960" s="667">
        <v>301</v>
      </c>
      <c r="AE960" s="667">
        <v>10</v>
      </c>
      <c r="AF960" s="667">
        <v>311</v>
      </c>
      <c r="AG960" s="667">
        <v>10</v>
      </c>
      <c r="AH960" s="667"/>
      <c r="AI960" s="668"/>
      <c r="AN960" s="547"/>
      <c r="AO960" s="829" t="str">
        <f t="shared" si="159"/>
        <v>Yes</v>
      </c>
      <c r="AP960" s="259" t="str">
        <f t="shared" si="160"/>
        <v>OCT 21</v>
      </c>
      <c r="AQ960" s="547" t="str">
        <f t="shared" si="161"/>
        <v>有定金+有預留客戶</v>
      </c>
      <c r="AR960" s="259" t="str">
        <f t="shared" si="162"/>
        <v>Shipped_Stock</v>
      </c>
      <c r="AS960" s="259" t="str">
        <f t="shared" si="163"/>
        <v/>
      </c>
      <c r="AT960" s="259" t="str">
        <f t="shared" si="164"/>
        <v>深圳健科</v>
      </c>
      <c r="AU960" s="259" t="str">
        <f t="shared" si="165"/>
        <v>C49SZX20210122DZ</v>
      </c>
      <c r="AV960" s="259" t="str">
        <f t="shared" si="166"/>
        <v>Oct-17</v>
      </c>
    </row>
    <row r="961" spans="1:48" hidden="1">
      <c r="A961" s="564">
        <v>1397</v>
      </c>
      <c r="B961" s="669" t="s">
        <v>1125</v>
      </c>
      <c r="C961" s="669" t="s">
        <v>281</v>
      </c>
      <c r="D961" s="650">
        <v>110578</v>
      </c>
      <c r="E961" s="749" t="s">
        <v>1814</v>
      </c>
      <c r="F961" s="652" t="s">
        <v>58</v>
      </c>
      <c r="G961" s="652" t="s">
        <v>1516</v>
      </c>
      <c r="H961" s="652" t="s">
        <v>307</v>
      </c>
      <c r="I961" s="670" t="s">
        <v>1815</v>
      </c>
      <c r="J961" s="580">
        <v>1</v>
      </c>
      <c r="K961" s="652" t="s">
        <v>1732</v>
      </c>
      <c r="L961" s="662">
        <v>44486</v>
      </c>
      <c r="M961" s="670" t="s">
        <v>906</v>
      </c>
      <c r="N961" s="652" t="s">
        <v>1816</v>
      </c>
      <c r="O961" s="580"/>
      <c r="P961" s="670" t="str">
        <f>VLOOKUP(A961,'[1]Raw data'!$B:$BA,23,FALSE)</f>
        <v>JPY</v>
      </c>
      <c r="Q961" s="652" t="str">
        <f>VLOOKUP(A961,'[1]Raw data'!$B:$Z,2,FALSE)</f>
        <v>C49SZX20210158SS</v>
      </c>
      <c r="R961" s="652" t="str">
        <f>VLOOKUP(A961,'[1]Raw data'!$B:$Z,3,FALSE)</f>
        <v>弛瑞</v>
      </c>
      <c r="S961" s="652" t="str">
        <f>VLOOKUP(A961,'[1]Raw data'!$B:$Z,4,FALSE)</f>
        <v>YSM20R-2</v>
      </c>
      <c r="T961" s="652" t="str">
        <f>VLOOKUP(A961,'[1]Raw data'!$B:$Z,8,FALSE)</f>
        <v>L-&gt;R</v>
      </c>
      <c r="U961" s="652" t="str">
        <f>VLOOKUP(A961,'[1]Raw data'!$B:$Z,9,FALSE)</f>
        <v>MVC</v>
      </c>
      <c r="V961" s="572" t="str">
        <f>IF(G961&amp;H961=T961&amp;U961,"OK","WRONG")</f>
        <v>WRONG</v>
      </c>
      <c r="W961" s="568" t="str">
        <f>VLOOKUP(A961,'[1]Raw data'!$B:$AG,32,FALSE)</f>
        <v>DAP SZ</v>
      </c>
      <c r="X961" s="652">
        <f>VLOOKUP(A961,'[1]Raw data'!$B:$BA,31,FALSE)</f>
        <v>44344</v>
      </c>
      <c r="Y961" s="652" t="str">
        <f>VLOOKUP(A961,'[1]Raw data'!$B:$AS,39,FALSE)</f>
        <v>Yes</v>
      </c>
      <c r="Z961" s="664"/>
      <c r="AA961" s="665"/>
      <c r="AB961" s="666"/>
      <c r="AC961" s="652" t="s">
        <v>1817</v>
      </c>
      <c r="AD961" s="667">
        <v>301</v>
      </c>
      <c r="AE961" s="667">
        <v>10</v>
      </c>
      <c r="AF961" s="667">
        <v>304</v>
      </c>
      <c r="AG961" s="667">
        <v>10</v>
      </c>
      <c r="AH961" s="667"/>
      <c r="AI961" s="668"/>
      <c r="AN961" s="547"/>
      <c r="AO961" s="829" t="str">
        <f t="shared" si="159"/>
        <v>Yes</v>
      </c>
      <c r="AP961" s="259" t="str">
        <f t="shared" si="160"/>
        <v>NOV 21</v>
      </c>
      <c r="AQ961" s="547" t="str">
        <f t="shared" si="161"/>
        <v>有定金+有預留客戶</v>
      </c>
      <c r="AR961" s="259" t="str">
        <f t="shared" si="162"/>
        <v>Shipped_Stock</v>
      </c>
      <c r="AS961" s="259" t="str">
        <f t="shared" si="163"/>
        <v/>
      </c>
      <c r="AT961" s="259" t="str">
        <f t="shared" si="164"/>
        <v>弛瑞</v>
      </c>
      <c r="AU961" s="259" t="str">
        <f t="shared" si="165"/>
        <v>C49SZX20210158SS</v>
      </c>
      <c r="AV961" s="259" t="str">
        <f t="shared" si="166"/>
        <v>Oct-17</v>
      </c>
    </row>
    <row r="962" spans="1:48" hidden="1">
      <c r="A962" s="564">
        <v>1467</v>
      </c>
      <c r="B962" s="669" t="s">
        <v>1125</v>
      </c>
      <c r="C962" s="669" t="s">
        <v>281</v>
      </c>
      <c r="D962" s="650">
        <v>110578</v>
      </c>
      <c r="E962" s="749" t="s">
        <v>1814</v>
      </c>
      <c r="F962" s="652" t="s">
        <v>58</v>
      </c>
      <c r="G962" s="652" t="s">
        <v>18</v>
      </c>
      <c r="H962" s="652" t="s">
        <v>307</v>
      </c>
      <c r="I962" s="580" t="s">
        <v>1818</v>
      </c>
      <c r="J962" s="580">
        <v>1</v>
      </c>
      <c r="K962" s="652" t="s">
        <v>85</v>
      </c>
      <c r="L962" s="662">
        <v>44486</v>
      </c>
      <c r="M962" s="670" t="s">
        <v>906</v>
      </c>
      <c r="N962" s="652" t="s">
        <v>1819</v>
      </c>
      <c r="O962" s="580"/>
      <c r="P962" s="670" t="str">
        <f>VLOOKUP(A962,'[1]Raw data'!$B:$BA,23,FALSE)</f>
        <v>JPY</v>
      </c>
      <c r="Q962" s="652" t="str">
        <f>VLOOKUP(A962,'[1]Raw data'!$B:$Z,2,FALSE)</f>
        <v>C49SZX20210186SS</v>
      </c>
      <c r="R962" s="652" t="str">
        <f>VLOOKUP(A962,'[1]Raw data'!$B:$Z,3,FALSE)</f>
        <v>恒业信</v>
      </c>
      <c r="S962" s="652" t="str">
        <f>VLOOKUP(A962,'[1]Raw data'!$B:$Z,4,FALSE)</f>
        <v>YSM20R-2</v>
      </c>
      <c r="T962" s="652" t="str">
        <f>VLOOKUP(A962,'[1]Raw data'!$B:$Z,8,FALSE)</f>
        <v>R-&gt;L</v>
      </c>
      <c r="U962" s="652" t="str">
        <f>VLOOKUP(A962,'[1]Raw data'!$B:$Z,9,FALSE)</f>
        <v>No</v>
      </c>
      <c r="V962" s="572" t="str">
        <f>IF(G962&amp;H962=T962&amp;U962,"OK","WRONG")</f>
        <v>OK</v>
      </c>
      <c r="W962" s="568" t="str">
        <f>VLOOKUP(A962,'[1]Raw data'!$B:$AG,32,FALSE)</f>
        <v>DAP SZ</v>
      </c>
      <c r="X962" s="652">
        <f>VLOOKUP(A962,'[1]Raw data'!$B:$BA,31,FALSE)</f>
        <v>44411</v>
      </c>
      <c r="Y962" s="652" t="str">
        <f>VLOOKUP(A962,'[1]Raw data'!$B:$AS,39,FALSE)</f>
        <v>Yes</v>
      </c>
      <c r="Z962" s="664"/>
      <c r="AA962" s="665"/>
      <c r="AB962" s="666"/>
      <c r="AC962" s="652" t="s">
        <v>1820</v>
      </c>
      <c r="AD962" s="667">
        <v>301</v>
      </c>
      <c r="AE962" s="667">
        <v>10</v>
      </c>
      <c r="AF962" s="667">
        <v>304</v>
      </c>
      <c r="AG962" s="667">
        <v>10</v>
      </c>
      <c r="AH962" s="667"/>
      <c r="AI962" s="668"/>
      <c r="AN962" s="547"/>
      <c r="AO962" s="829" t="str">
        <f t="shared" si="159"/>
        <v>Yes</v>
      </c>
      <c r="AP962" s="259" t="str">
        <f t="shared" si="160"/>
        <v>DEC 21</v>
      </c>
      <c r="AQ962" s="547" t="str">
        <f t="shared" si="161"/>
        <v>有定金+有預留客戶</v>
      </c>
      <c r="AR962" s="259" t="str">
        <f t="shared" si="162"/>
        <v>Shipped_Stock</v>
      </c>
      <c r="AS962" s="259" t="str">
        <f t="shared" si="163"/>
        <v/>
      </c>
      <c r="AT962" s="259" t="str">
        <f t="shared" si="164"/>
        <v>恒业信</v>
      </c>
      <c r="AU962" s="259" t="str">
        <f t="shared" si="165"/>
        <v>C49SZX20210186SS</v>
      </c>
      <c r="AV962" s="259" t="str">
        <f t="shared" si="166"/>
        <v>Oct-17</v>
      </c>
    </row>
    <row r="963" spans="1:48" hidden="1">
      <c r="A963" s="564">
        <v>1465</v>
      </c>
      <c r="B963" s="669" t="s">
        <v>1125</v>
      </c>
      <c r="C963" s="669" t="s">
        <v>281</v>
      </c>
      <c r="D963" s="604">
        <v>110576</v>
      </c>
      <c r="E963" s="749" t="s">
        <v>1811</v>
      </c>
      <c r="F963" s="652" t="s">
        <v>1163</v>
      </c>
      <c r="G963" s="652" t="s">
        <v>24</v>
      </c>
      <c r="H963" s="652" t="s">
        <v>1821</v>
      </c>
      <c r="I963" s="580" t="s">
        <v>1822</v>
      </c>
      <c r="J963" s="580">
        <v>1</v>
      </c>
      <c r="K963" s="652" t="s">
        <v>1732</v>
      </c>
      <c r="L963" s="662">
        <v>44486</v>
      </c>
      <c r="M963" s="670" t="s">
        <v>906</v>
      </c>
      <c r="N963" s="652" t="s">
        <v>1816</v>
      </c>
      <c r="O963" s="580"/>
      <c r="P963" s="670" t="str">
        <f>VLOOKUP(A963,'[1]Raw data'!$B:$BA,23,FALSE)</f>
        <v>JPY</v>
      </c>
      <c r="Q963" s="652" t="str">
        <f>VLOOKUP(A963,'[1]Raw data'!$B:$Z,2,FALSE)</f>
        <v>C49SZX20210184DZ</v>
      </c>
      <c r="R963" s="652" t="str">
        <f>VLOOKUP(A963,'[1]Raw data'!$B:$Z,3,FALSE)</f>
        <v>长沙健科</v>
      </c>
      <c r="S963" s="652" t="str">
        <f>VLOOKUP(A963,'[1]Raw data'!$B:$Z,4,FALSE)</f>
        <v>YSM20R-2</v>
      </c>
      <c r="T963" s="652" t="str">
        <f>VLOOKUP(A963,'[1]Raw data'!$B:$Z,8,FALSE)</f>
        <v>L-&gt;R</v>
      </c>
      <c r="U963" s="652" t="str">
        <f>VLOOKUP(A963,'[1]Raw data'!$B:$Z,9,FALSE)</f>
        <v>MVC+Feeder Carriage</v>
      </c>
      <c r="V963" s="572" t="str">
        <f t="shared" ref="V963:V967" si="181">IF(G963&amp;H963=T963&amp;U963,"OK","WRONG")</f>
        <v>WRONG</v>
      </c>
      <c r="W963" s="568" t="str">
        <f>VLOOKUP(A963,'[1]Raw data'!$B:$AG,32,FALSE)</f>
        <v>DAP CS</v>
      </c>
      <c r="X963" s="652">
        <f>VLOOKUP(A963,'[1]Raw data'!$B:$BA,31,FALSE)</f>
        <v>44408</v>
      </c>
      <c r="Y963" s="652" t="str">
        <f>VLOOKUP(A963,'[1]Raw data'!$B:$AS,39,FALSE)</f>
        <v>Yes</v>
      </c>
      <c r="Z963" s="671"/>
      <c r="AA963" s="672"/>
      <c r="AB963" s="673"/>
      <c r="AC963" s="568" t="s">
        <v>678</v>
      </c>
      <c r="AD963" s="667">
        <v>302</v>
      </c>
      <c r="AE963" s="667">
        <v>20</v>
      </c>
      <c r="AF963" s="667"/>
      <c r="AG963" s="667"/>
      <c r="AH963" s="667"/>
      <c r="AI963" s="668"/>
      <c r="AN963" s="547"/>
      <c r="AO963" s="829" t="str">
        <f t="shared" ref="AO963:AO1026" si="182">IFERROR(IF(Y963&lt;&gt;"",Y963,"No"),"No")</f>
        <v>Yes</v>
      </c>
      <c r="AP963" s="259" t="str">
        <f t="shared" ref="AP963:AP1026" si="183">IFERROR(IF(N963&lt;&gt;"",N963,"blank"),"NA")</f>
        <v>NOV 21</v>
      </c>
      <c r="AQ963" s="547" t="str">
        <f t="shared" ref="AQ963:AQ1026" si="184">IFERROR(IF(AND(AO963="Yes", AP963&lt;&gt;"blank"), "有定金+有預留客戶", IF(AND(AO963="Yes", AP963="blank"), "有定金+无客戶送貨期", IF(AND(OR(AO963="No", ISBLANK(AO963), AO963="NA"), AP963&lt;&gt;"blank"), "无定金+有預留客戶", IF(AND(OR(AO963="No", ISBLANK(AO963), AO963="NA"), AP963="blank"), "无定金+无預留客戶", "")))), "")</f>
        <v>有定金+有預留客戶</v>
      </c>
      <c r="AR963" s="259" t="str">
        <f t="shared" ref="AR963:AR1026" si="185">IFERROR(IF(B963="已经到货", "Instock", IF(B963="有交期", "Incoming_Stock_With_YAMAHA_Schedule", IF(B963="TBA.", "Incoming_Stock_No_YAMAHA_Schedule", IF(B963="已发货", "Shipped_Stock", "")))), "")</f>
        <v>Shipped_Stock</v>
      </c>
      <c r="AS963" s="259" t="str">
        <f t="shared" ref="AS963:AS1026" si="186">IF(AND(B963="有交期", L963&lt;&gt;""), L963, "")</f>
        <v/>
      </c>
      <c r="AT963" s="259" t="str">
        <f t="shared" ref="AT963:AT1026" si="187">IFERROR(IF(R963&lt;&gt;"",R963),"-")</f>
        <v>长沙健科</v>
      </c>
      <c r="AU963" s="259" t="str">
        <f t="shared" ref="AU963:AU1026" si="188">IFERROR(IF(Q963&lt;&gt;"",Q963),"-")</f>
        <v>C49SZX20210184DZ</v>
      </c>
      <c r="AV963" s="259" t="str">
        <f t="shared" ref="AV963:AV1026" si="189">IF(L963="","-",TEXT(L963,"mmm-dd"))</f>
        <v>Oct-17</v>
      </c>
    </row>
    <row r="964" spans="1:48" hidden="1">
      <c r="A964" s="564">
        <v>1466</v>
      </c>
      <c r="B964" s="669" t="s">
        <v>1125</v>
      </c>
      <c r="C964" s="669" t="s">
        <v>281</v>
      </c>
      <c r="D964" s="604">
        <v>110576</v>
      </c>
      <c r="E964" s="749" t="s">
        <v>1811</v>
      </c>
      <c r="F964" s="652" t="s">
        <v>1163</v>
      </c>
      <c r="G964" s="652" t="s">
        <v>24</v>
      </c>
      <c r="H964" s="652" t="s">
        <v>1823</v>
      </c>
      <c r="I964" s="580" t="s">
        <v>1824</v>
      </c>
      <c r="J964" s="580">
        <v>1</v>
      </c>
      <c r="K964" s="652" t="s">
        <v>1732</v>
      </c>
      <c r="L964" s="662">
        <v>44486</v>
      </c>
      <c r="M964" s="670" t="s">
        <v>906</v>
      </c>
      <c r="N964" s="652" t="s">
        <v>1816</v>
      </c>
      <c r="O964" s="580"/>
      <c r="P964" s="670" t="str">
        <f>VLOOKUP(A964,'[1]Raw data'!$B:$BA,23,FALSE)</f>
        <v>JPY</v>
      </c>
      <c r="Q964" s="652" t="str">
        <f>VLOOKUP(A964,'[1]Raw data'!$B:$Z,2,FALSE)</f>
        <v>C49SZX20210184DZ</v>
      </c>
      <c r="R964" s="652" t="str">
        <f>VLOOKUP(A964,'[1]Raw data'!$B:$Z,3,FALSE)</f>
        <v>长沙健科</v>
      </c>
      <c r="S964" s="652" t="str">
        <f>VLOOKUP(A964,'[1]Raw data'!$B:$Z,4,FALSE)</f>
        <v>YSM20R-2</v>
      </c>
      <c r="T964" s="652" t="str">
        <f>VLOOKUP(A964,'[1]Raw data'!$B:$Z,8,FALSE)</f>
        <v>L-&gt;R</v>
      </c>
      <c r="U964" s="652" t="str">
        <f>VLOOKUP(A964,'[1]Raw data'!$B:$Z,9,FALSE)</f>
        <v>Feeder Carriage</v>
      </c>
      <c r="V964" s="572" t="str">
        <f t="shared" si="181"/>
        <v>OK</v>
      </c>
      <c r="W964" s="568" t="str">
        <f>VLOOKUP(A964,'[1]Raw data'!$B:$AG,32,FALSE)</f>
        <v>DAP CS</v>
      </c>
      <c r="X964" s="652">
        <f>VLOOKUP(A964,'[1]Raw data'!$B:$BA,31,FALSE)</f>
        <v>44408</v>
      </c>
      <c r="Y964" s="652" t="str">
        <f>VLOOKUP(A964,'[1]Raw data'!$B:$AS,39,FALSE)</f>
        <v>Yes</v>
      </c>
      <c r="Z964" s="671"/>
      <c r="AA964" s="672"/>
      <c r="AB964" s="673"/>
      <c r="AC964" s="568" t="s">
        <v>678</v>
      </c>
      <c r="AD964" s="667">
        <v>302</v>
      </c>
      <c r="AE964" s="667">
        <v>20</v>
      </c>
      <c r="AF964" s="667"/>
      <c r="AG964" s="667"/>
      <c r="AH964" s="667"/>
      <c r="AI964" s="668"/>
      <c r="AN964" s="547"/>
      <c r="AO964" s="829" t="str">
        <f t="shared" si="182"/>
        <v>Yes</v>
      </c>
      <c r="AP964" s="259" t="str">
        <f t="shared" si="183"/>
        <v>NOV 21</v>
      </c>
      <c r="AQ964" s="547" t="str">
        <f t="shared" si="184"/>
        <v>有定金+有預留客戶</v>
      </c>
      <c r="AR964" s="259" t="str">
        <f t="shared" si="185"/>
        <v>Shipped_Stock</v>
      </c>
      <c r="AS964" s="259" t="str">
        <f t="shared" si="186"/>
        <v/>
      </c>
      <c r="AT964" s="259" t="str">
        <f t="shared" si="187"/>
        <v>长沙健科</v>
      </c>
      <c r="AU964" s="259" t="str">
        <f t="shared" si="188"/>
        <v>C49SZX20210184DZ</v>
      </c>
      <c r="AV964" s="259" t="str">
        <f t="shared" si="189"/>
        <v>Oct-17</v>
      </c>
    </row>
    <row r="965" spans="1:48" hidden="1">
      <c r="A965" s="564">
        <v>1403</v>
      </c>
      <c r="B965" s="669" t="s">
        <v>1125</v>
      </c>
      <c r="C965" s="669" t="s">
        <v>281</v>
      </c>
      <c r="D965" s="604">
        <v>110580</v>
      </c>
      <c r="E965" s="749" t="s">
        <v>1825</v>
      </c>
      <c r="F965" s="652" t="s">
        <v>58</v>
      </c>
      <c r="G965" s="652" t="s">
        <v>24</v>
      </c>
      <c r="H965" s="652" t="s">
        <v>307</v>
      </c>
      <c r="I965" s="580" t="s">
        <v>1826</v>
      </c>
      <c r="J965" s="580">
        <v>1</v>
      </c>
      <c r="K965" s="652" t="s">
        <v>85</v>
      </c>
      <c r="L965" s="662">
        <v>44486</v>
      </c>
      <c r="M965" s="670" t="s">
        <v>906</v>
      </c>
      <c r="N965" s="652" t="s">
        <v>1816</v>
      </c>
      <c r="O965" s="580"/>
      <c r="P965" s="670" t="str">
        <f>VLOOKUP(A965,'[1]Raw data'!$B:$BA,23,FALSE)</f>
        <v>JPY</v>
      </c>
      <c r="Q965" s="652" t="str">
        <f>VLOOKUP(A965,'[1]Raw data'!$B:$Z,2,FALSE)</f>
        <v>C49SZX20210164SS</v>
      </c>
      <c r="R965" s="652" t="str">
        <f>VLOOKUP(A965,'[1]Raw data'!$B:$Z,3,FALSE)</f>
        <v>派勤</v>
      </c>
      <c r="S965" s="652" t="str">
        <f>VLOOKUP(A965,'[1]Raw data'!$B:$Z,4,FALSE)</f>
        <v>YSM20R-2</v>
      </c>
      <c r="T965" s="652" t="str">
        <f>VLOOKUP(A965,'[1]Raw data'!$B:$Z,8,FALSE)</f>
        <v>L-&gt;R</v>
      </c>
      <c r="U965" s="652" t="str">
        <f>VLOOKUP(A965,'[1]Raw data'!$B:$Z,9,FALSE)</f>
        <v>No</v>
      </c>
      <c r="V965" s="572" t="str">
        <f t="shared" si="181"/>
        <v>OK</v>
      </c>
      <c r="W965" s="568" t="str">
        <f>VLOOKUP(A965,'[1]Raw data'!$B:$AG,32,FALSE)</f>
        <v>DAP SZ</v>
      </c>
      <c r="X965" s="652">
        <f>VLOOKUP(A965,'[1]Raw data'!$B:$BA,31,FALSE)</f>
        <v>44350</v>
      </c>
      <c r="Y965" s="652" t="str">
        <f>VLOOKUP(A965,'[1]Raw data'!$B:$AS,39,FALSE)</f>
        <v>Yes</v>
      </c>
      <c r="Z965" s="664"/>
      <c r="AA965" s="665"/>
      <c r="AB965" s="666"/>
      <c r="AC965" s="652" t="s">
        <v>1297</v>
      </c>
      <c r="AD965" s="667">
        <v>302</v>
      </c>
      <c r="AE965" s="667">
        <v>10</v>
      </c>
      <c r="AF965" s="667">
        <v>302</v>
      </c>
      <c r="AG965" s="667">
        <v>10</v>
      </c>
      <c r="AH965" s="667"/>
      <c r="AI965" s="668"/>
      <c r="AN965" s="547"/>
      <c r="AO965" s="829" t="str">
        <f t="shared" si="182"/>
        <v>Yes</v>
      </c>
      <c r="AP965" s="259" t="str">
        <f t="shared" si="183"/>
        <v>NOV 21</v>
      </c>
      <c r="AQ965" s="547" t="str">
        <f t="shared" si="184"/>
        <v>有定金+有預留客戶</v>
      </c>
      <c r="AR965" s="259" t="str">
        <f t="shared" si="185"/>
        <v>Shipped_Stock</v>
      </c>
      <c r="AS965" s="259" t="str">
        <f t="shared" si="186"/>
        <v/>
      </c>
      <c r="AT965" s="259" t="str">
        <f t="shared" si="187"/>
        <v>派勤</v>
      </c>
      <c r="AU965" s="259" t="str">
        <f t="shared" si="188"/>
        <v>C49SZX20210164SS</v>
      </c>
      <c r="AV965" s="259" t="str">
        <f t="shared" si="189"/>
        <v>Oct-17</v>
      </c>
    </row>
    <row r="966" spans="1:48" hidden="1">
      <c r="A966" s="564">
        <v>1505</v>
      </c>
      <c r="B966" s="669" t="s">
        <v>1125</v>
      </c>
      <c r="C966" s="669" t="s">
        <v>281</v>
      </c>
      <c r="D966" s="604">
        <v>110580</v>
      </c>
      <c r="E966" s="749" t="s">
        <v>1825</v>
      </c>
      <c r="F966" s="652" t="s">
        <v>1163</v>
      </c>
      <c r="G966" s="652" t="s">
        <v>24</v>
      </c>
      <c r="H966" s="652" t="s">
        <v>307</v>
      </c>
      <c r="I966" s="756" t="s">
        <v>1827</v>
      </c>
      <c r="J966" s="580">
        <v>1</v>
      </c>
      <c r="K966" s="652" t="s">
        <v>1732</v>
      </c>
      <c r="L966" s="662">
        <v>44486</v>
      </c>
      <c r="M966" s="670" t="s">
        <v>906</v>
      </c>
      <c r="N966" s="652" t="s">
        <v>1828</v>
      </c>
      <c r="O966" s="580"/>
      <c r="P966" s="670" t="str">
        <f>VLOOKUP(A966,'[1]Raw data'!$B:$BA,23,FALSE)</f>
        <v>JPY</v>
      </c>
      <c r="Q966" s="652" t="str">
        <f>VLOOKUP(A966,'[1]Raw data'!$B:$Z,2,FALSE)</f>
        <v>C49SZX20210103MZ</v>
      </c>
      <c r="R966" s="652" t="str">
        <f>VLOOKUP(A966,'[1]Raw data'!$B:$Z,3,FALSE)</f>
        <v>河南融创</v>
      </c>
      <c r="S966" s="652" t="str">
        <f>VLOOKUP(A966,'[1]Raw data'!$B:$Z,4,FALSE)</f>
        <v>YSM20R-2</v>
      </c>
      <c r="T966" s="652" t="str">
        <f>VLOOKUP(A966,'[1]Raw data'!$B:$Z,8,FALSE)</f>
        <v>L-&gt;R</v>
      </c>
      <c r="U966" s="652" t="str">
        <f>VLOOKUP(A966,'[1]Raw data'!$B:$Z,9,FALSE)</f>
        <v>No</v>
      </c>
      <c r="V966" s="572" t="str">
        <f t="shared" si="181"/>
        <v>OK</v>
      </c>
      <c r="W966" s="568" t="str">
        <f>VLOOKUP(A966,'[1]Raw data'!$B:$AG,32,FALSE)</f>
        <v>CIF HK</v>
      </c>
      <c r="X966" s="652">
        <f>VLOOKUP(A966,'[1]Raw data'!$B:$BA,31,FALSE)</f>
        <v>44524</v>
      </c>
      <c r="Y966" s="652" t="str">
        <f>VLOOKUP(A966,'[1]Raw data'!$B:$AS,39,FALSE)</f>
        <v>Yes</v>
      </c>
      <c r="Z966" s="664"/>
      <c r="AA966" s="665"/>
      <c r="AB966" s="666"/>
      <c r="AC966" s="652" t="s">
        <v>1829</v>
      </c>
      <c r="AD966" s="667">
        <v>302</v>
      </c>
      <c r="AE966" s="667">
        <v>10</v>
      </c>
      <c r="AF966" s="667">
        <v>302</v>
      </c>
      <c r="AG966" s="667">
        <v>10</v>
      </c>
      <c r="AH966" s="667"/>
      <c r="AI966" s="668"/>
      <c r="AN966" s="547"/>
      <c r="AO966" s="829" t="str">
        <f t="shared" si="182"/>
        <v>Yes</v>
      </c>
      <c r="AP966" s="259" t="str">
        <f t="shared" si="183"/>
        <v>MAR 22</v>
      </c>
      <c r="AQ966" s="547" t="str">
        <f t="shared" si="184"/>
        <v>有定金+有預留客戶</v>
      </c>
      <c r="AR966" s="259" t="str">
        <f t="shared" si="185"/>
        <v>Shipped_Stock</v>
      </c>
      <c r="AS966" s="259" t="str">
        <f t="shared" si="186"/>
        <v/>
      </c>
      <c r="AT966" s="259" t="str">
        <f t="shared" si="187"/>
        <v>河南融创</v>
      </c>
      <c r="AU966" s="259" t="str">
        <f t="shared" si="188"/>
        <v>C49SZX20210103MZ</v>
      </c>
      <c r="AV966" s="259" t="str">
        <f t="shared" si="189"/>
        <v>Oct-17</v>
      </c>
    </row>
    <row r="967" spans="1:48" hidden="1">
      <c r="A967" s="564">
        <v>1372</v>
      </c>
      <c r="B967" s="669" t="s">
        <v>1125</v>
      </c>
      <c r="C967" s="669" t="s">
        <v>281</v>
      </c>
      <c r="D967" s="695">
        <v>110579</v>
      </c>
      <c r="E967" s="749" t="s">
        <v>1830</v>
      </c>
      <c r="F967" s="652" t="s">
        <v>58</v>
      </c>
      <c r="G967" s="652" t="s">
        <v>24</v>
      </c>
      <c r="H967" s="652" t="s">
        <v>307</v>
      </c>
      <c r="I967" s="580" t="s">
        <v>1831</v>
      </c>
      <c r="J967" s="580">
        <v>1</v>
      </c>
      <c r="K967" s="652" t="s">
        <v>1732</v>
      </c>
      <c r="L967" s="662">
        <v>44486</v>
      </c>
      <c r="M967" s="670" t="s">
        <v>906</v>
      </c>
      <c r="N967" s="652" t="s">
        <v>1816</v>
      </c>
      <c r="O967" s="580"/>
      <c r="P967" s="670" t="str">
        <f>VLOOKUP(A967,'[1]Raw data'!$B:$BA,23,FALSE)</f>
        <v>JPY</v>
      </c>
      <c r="Q967" s="652" t="str">
        <f>VLOOKUP(A967,'[1]Raw data'!$B:$Z,2,FALSE)</f>
        <v>C49SZX20210147DY</v>
      </c>
      <c r="R967" s="652" t="str">
        <f>VLOOKUP(A967,'[1]Raw data'!$B:$Z,3,FALSE)</f>
        <v>朗迅</v>
      </c>
      <c r="S967" s="652" t="str">
        <f>VLOOKUP(A967,'[1]Raw data'!$B:$Z,4,FALSE)</f>
        <v>YSM20R-2</v>
      </c>
      <c r="T967" s="652" t="str">
        <f>VLOOKUP(A967,'[1]Raw data'!$B:$Z,8,FALSE)</f>
        <v>L-&gt;R</v>
      </c>
      <c r="U967" s="652" t="str">
        <f>VLOOKUP(A967,'[1]Raw data'!$B:$Z,9,FALSE)</f>
        <v>No</v>
      </c>
      <c r="V967" s="572" t="str">
        <f t="shared" si="181"/>
        <v>OK</v>
      </c>
      <c r="W967" s="568" t="str">
        <f>VLOOKUP(A967,'[1]Raw data'!$B:$AG,32,FALSE)</f>
        <v>DAP HZ</v>
      </c>
      <c r="X967" s="652">
        <f>VLOOKUP(A967,'[1]Raw data'!$B:$BA,31,FALSE)</f>
        <v>44333</v>
      </c>
      <c r="Y967" s="652" t="str">
        <f>VLOOKUP(A967,'[1]Raw data'!$B:$AS,39,FALSE)</f>
        <v>Yes</v>
      </c>
      <c r="Z967" s="664"/>
      <c r="AA967" s="665"/>
      <c r="AB967" s="666"/>
      <c r="AC967" s="652" t="s">
        <v>1832</v>
      </c>
      <c r="AD967" s="667">
        <v>302</v>
      </c>
      <c r="AE967" s="667">
        <v>10</v>
      </c>
      <c r="AF967" s="667">
        <v>302</v>
      </c>
      <c r="AG967" s="667">
        <v>10</v>
      </c>
      <c r="AH967" s="667"/>
      <c r="AI967" s="668"/>
      <c r="AN967" s="547"/>
      <c r="AO967" s="829" t="str">
        <f t="shared" si="182"/>
        <v>Yes</v>
      </c>
      <c r="AP967" s="259" t="str">
        <f t="shared" si="183"/>
        <v>NOV 21</v>
      </c>
      <c r="AQ967" s="547" t="str">
        <f t="shared" si="184"/>
        <v>有定金+有預留客戶</v>
      </c>
      <c r="AR967" s="259" t="str">
        <f t="shared" si="185"/>
        <v>Shipped_Stock</v>
      </c>
      <c r="AS967" s="259" t="str">
        <f t="shared" si="186"/>
        <v/>
      </c>
      <c r="AT967" s="259" t="str">
        <f t="shared" si="187"/>
        <v>朗迅</v>
      </c>
      <c r="AU967" s="259" t="str">
        <f t="shared" si="188"/>
        <v>C49SZX20210147DY</v>
      </c>
      <c r="AV967" s="259" t="str">
        <f t="shared" si="189"/>
        <v>Oct-17</v>
      </c>
    </row>
    <row r="968" spans="1:48" hidden="1">
      <c r="A968" s="564">
        <v>1404</v>
      </c>
      <c r="B968" s="669" t="s">
        <v>1125</v>
      </c>
      <c r="C968" s="669" t="s">
        <v>281</v>
      </c>
      <c r="D968" s="650">
        <v>110598</v>
      </c>
      <c r="E968" s="651" t="s">
        <v>1801</v>
      </c>
      <c r="F968" s="652" t="s">
        <v>17</v>
      </c>
      <c r="G968" s="652" t="s">
        <v>24</v>
      </c>
      <c r="H968" s="652" t="s">
        <v>1833</v>
      </c>
      <c r="I968" s="580" t="s">
        <v>1834</v>
      </c>
      <c r="J968" s="580">
        <v>1</v>
      </c>
      <c r="K968" s="652" t="s">
        <v>85</v>
      </c>
      <c r="L968" s="662">
        <v>44486</v>
      </c>
      <c r="M968" s="670" t="s">
        <v>906</v>
      </c>
      <c r="N968" s="652" t="s">
        <v>1816</v>
      </c>
      <c r="O968" s="580"/>
      <c r="P968" s="670" t="str">
        <f>VLOOKUP(A968,'[1]Raw data'!$B:$BA,23,FALSE)</f>
        <v>JPY</v>
      </c>
      <c r="Q968" s="652" t="str">
        <f>VLOOKUP(A968,'[1]Raw data'!$B:$Z,2,FALSE)</f>
        <v>C49SZX20210164SS</v>
      </c>
      <c r="R968" s="652" t="str">
        <f>VLOOKUP(A968,'[1]Raw data'!$B:$Z,3,FALSE)</f>
        <v>派勤</v>
      </c>
      <c r="S968" s="652" t="str">
        <f>VLOOKUP(A968,'[1]Raw data'!$B:$Z,4,FALSE)</f>
        <v>YSM10</v>
      </c>
      <c r="T968" s="652" t="str">
        <f>VLOOKUP(A968,'[1]Raw data'!$B:$Z,8,FALSE)</f>
        <v>L-&gt;R</v>
      </c>
      <c r="U968" s="652" t="str">
        <f>VLOOKUP(A968,'[1]Raw data'!$B:$Z,9,FALSE)</f>
        <v>MVC+ATS15</v>
      </c>
      <c r="V968" s="572" t="str">
        <f>IF(G968&amp;H968=T968&amp;U968,"OK","WRONG")</f>
        <v>WRONG</v>
      </c>
      <c r="W968" s="568" t="str">
        <f>VLOOKUP(A968,'[1]Raw data'!$B:$AG,32,FALSE)</f>
        <v>DAP SZ</v>
      </c>
      <c r="X968" s="652">
        <f>VLOOKUP(A968,'[1]Raw data'!$B:$BA,31,FALSE)</f>
        <v>44350</v>
      </c>
      <c r="Y968" s="652" t="str">
        <f>VLOOKUP(A968,'[1]Raw data'!$B:$AS,39,FALSE)</f>
        <v>Yes</v>
      </c>
      <c r="Z968" s="664"/>
      <c r="AA968" s="665"/>
      <c r="AB968" s="666"/>
      <c r="AC968" s="652" t="s">
        <v>1297</v>
      </c>
      <c r="AD968" s="667">
        <v>302</v>
      </c>
      <c r="AE968" s="667">
        <v>10</v>
      </c>
      <c r="AF968" s="667"/>
      <c r="AG968" s="667"/>
      <c r="AH968" s="667"/>
      <c r="AI968" s="668"/>
      <c r="AN968" s="547"/>
      <c r="AO968" s="829" t="str">
        <f t="shared" si="182"/>
        <v>Yes</v>
      </c>
      <c r="AP968" s="259" t="str">
        <f t="shared" si="183"/>
        <v>NOV 21</v>
      </c>
      <c r="AQ968" s="547" t="str">
        <f t="shared" si="184"/>
        <v>有定金+有預留客戶</v>
      </c>
      <c r="AR968" s="259" t="str">
        <f t="shared" si="185"/>
        <v>Shipped_Stock</v>
      </c>
      <c r="AS968" s="259" t="str">
        <f t="shared" si="186"/>
        <v/>
      </c>
      <c r="AT968" s="259" t="str">
        <f t="shared" si="187"/>
        <v>派勤</v>
      </c>
      <c r="AU968" s="259" t="str">
        <f t="shared" si="188"/>
        <v>C49SZX20210164SS</v>
      </c>
      <c r="AV968" s="259" t="str">
        <f t="shared" si="189"/>
        <v>Oct-17</v>
      </c>
    </row>
    <row r="969" spans="1:48" hidden="1">
      <c r="A969" s="564">
        <v>1455</v>
      </c>
      <c r="B969" s="669" t="s">
        <v>1125</v>
      </c>
      <c r="C969" s="669" t="s">
        <v>281</v>
      </c>
      <c r="D969" s="650">
        <v>110582</v>
      </c>
      <c r="E969" s="749" t="s">
        <v>1835</v>
      </c>
      <c r="F969" s="652" t="s">
        <v>17</v>
      </c>
      <c r="G969" s="652" t="s">
        <v>18</v>
      </c>
      <c r="H969" s="652" t="s">
        <v>77</v>
      </c>
      <c r="I969" s="580" t="s">
        <v>1836</v>
      </c>
      <c r="J969" s="580">
        <v>1</v>
      </c>
      <c r="K969" s="652" t="s">
        <v>1732</v>
      </c>
      <c r="L969" s="662">
        <v>44494</v>
      </c>
      <c r="M969" s="670" t="s">
        <v>906</v>
      </c>
      <c r="N969" s="652" t="s">
        <v>1736</v>
      </c>
      <c r="O969" s="580"/>
      <c r="P969" s="670" t="str">
        <f>VLOOKUP(A969,'[1]Raw data'!$B:$BA,23,FALSE)</f>
        <v>JPY</v>
      </c>
      <c r="Q969" s="652" t="str">
        <f>VLOOKUP(A969,'[1]Raw data'!$B:$Z,2,FALSE)</f>
        <v>C49SZX20210160EC</v>
      </c>
      <c r="R969" s="652" t="str">
        <f>VLOOKUP(A969,'[1]Raw data'!$B:$Z,3,FALSE)</f>
        <v>新明海</v>
      </c>
      <c r="S969" s="652" t="str">
        <f>VLOOKUP(A969,'[1]Raw data'!$B:$Z,4,FALSE)</f>
        <v>YSM10</v>
      </c>
      <c r="T969" s="652" t="str">
        <f>VLOOKUP(A969,'[1]Raw data'!$B:$Z,8,FALSE)</f>
        <v>R-&gt;L</v>
      </c>
      <c r="U969" s="652" t="str">
        <f>VLOOKUP(A969,'[1]Raw data'!$B:$Z,9,FALSE)</f>
        <v>MVC+Rear 站位</v>
      </c>
      <c r="V969" s="572" t="str">
        <f>IF(G969&amp;H969=T969&amp;U969,"OK","WRONG")</f>
        <v>WRONG</v>
      </c>
      <c r="W969" s="568" t="str">
        <f>VLOOKUP(A969,'[1]Raw data'!$B:$AG,32,FALSE)</f>
        <v>DAP HZ</v>
      </c>
      <c r="X969" s="652">
        <f>VLOOKUP(A969,'[1]Raw data'!$B:$BA,31,FALSE)</f>
        <v>44382</v>
      </c>
      <c r="Y969" s="652" t="str">
        <f>VLOOKUP(A969,'[1]Raw data'!$B:$AS,39,FALSE)</f>
        <v>Yes</v>
      </c>
      <c r="Z969" s="664"/>
      <c r="AA969" s="665"/>
      <c r="AB969" s="666"/>
      <c r="AC969" s="652" t="s">
        <v>678</v>
      </c>
      <c r="AD969" s="667">
        <v>302</v>
      </c>
      <c r="AE969" s="667">
        <v>10</v>
      </c>
      <c r="AF969" s="667"/>
      <c r="AG969" s="667"/>
      <c r="AH969" s="667"/>
      <c r="AI969" s="668"/>
      <c r="AN969" s="547"/>
      <c r="AO969" s="829" t="str">
        <f t="shared" si="182"/>
        <v>Yes</v>
      </c>
      <c r="AP969" s="259" t="str">
        <f t="shared" si="183"/>
        <v>OCT 21</v>
      </c>
      <c r="AQ969" s="547" t="str">
        <f t="shared" si="184"/>
        <v>有定金+有預留客戶</v>
      </c>
      <c r="AR969" s="259" t="str">
        <f t="shared" si="185"/>
        <v>Shipped_Stock</v>
      </c>
      <c r="AS969" s="259" t="str">
        <f t="shared" si="186"/>
        <v/>
      </c>
      <c r="AT969" s="259" t="str">
        <f t="shared" si="187"/>
        <v>新明海</v>
      </c>
      <c r="AU969" s="259" t="str">
        <f t="shared" si="188"/>
        <v>C49SZX20210160EC</v>
      </c>
      <c r="AV969" s="259" t="str">
        <f t="shared" si="189"/>
        <v>Oct-25</v>
      </c>
    </row>
    <row r="970" spans="1:48" hidden="1">
      <c r="A970" s="564">
        <v>1485</v>
      </c>
      <c r="B970" s="669" t="s">
        <v>1125</v>
      </c>
      <c r="C970" s="669" t="s">
        <v>281</v>
      </c>
      <c r="D970" s="650">
        <v>110582</v>
      </c>
      <c r="E970" s="749" t="s">
        <v>1835</v>
      </c>
      <c r="F970" s="652" t="s">
        <v>17</v>
      </c>
      <c r="G970" s="652" t="s">
        <v>18</v>
      </c>
      <c r="H970" s="652" t="s">
        <v>77</v>
      </c>
      <c r="I970" s="580" t="s">
        <v>1837</v>
      </c>
      <c r="J970" s="580">
        <v>1</v>
      </c>
      <c r="K970" s="652" t="s">
        <v>1732</v>
      </c>
      <c r="L970" s="662">
        <v>44494</v>
      </c>
      <c r="M970" s="670" t="s">
        <v>906</v>
      </c>
      <c r="N970" s="652" t="s">
        <v>1816</v>
      </c>
      <c r="O970" s="580"/>
      <c r="P970" s="670" t="str">
        <f>VLOOKUP(A970,'[1]Raw data'!$B:$BA,23,FALSE)</f>
        <v>JPY</v>
      </c>
      <c r="Q970" s="652" t="str">
        <f>VLOOKUP(A970,'[1]Raw data'!$B:$Z,2,FALSE)</f>
        <v>C49SZX20210195JL</v>
      </c>
      <c r="R970" s="652" t="str">
        <f>VLOOKUP(A970,'[1]Raw data'!$B:$Z,3,FALSE)</f>
        <v>力通威</v>
      </c>
      <c r="S970" s="652" t="str">
        <f>VLOOKUP(A970,'[1]Raw data'!$B:$Z,4,FALSE)</f>
        <v>YSM10</v>
      </c>
      <c r="T970" s="652" t="str">
        <f>VLOOKUP(A970,'[1]Raw data'!$B:$Z,8,FALSE)</f>
        <v>L-&gt;R</v>
      </c>
      <c r="U970" s="652" t="str">
        <f>VLOOKUP(A970,'[1]Raw data'!$B:$Z,9,FALSE)</f>
        <v xml:space="preserve">MVC+96 FEEDER PLATE (YSM10) </v>
      </c>
      <c r="V970" s="572" t="str">
        <f>IF(G970&amp;H970=T970&amp;U970,"OK","WRONG")</f>
        <v>WRONG</v>
      </c>
      <c r="W970" s="568" t="str">
        <f>VLOOKUP(A970,'[1]Raw data'!$B:$AG,32,FALSE)</f>
        <v>DAP DG</v>
      </c>
      <c r="X970" s="652">
        <f>VLOOKUP(A970,'[1]Raw data'!$B:$BA,31,FALSE)</f>
        <v>44491</v>
      </c>
      <c r="Y970" s="652" t="str">
        <f>VLOOKUP(A970,'[1]Raw data'!$B:$AS,39,FALSE)</f>
        <v>Yes</v>
      </c>
      <c r="Z970" s="664"/>
      <c r="AA970" s="665"/>
      <c r="AB970" s="666"/>
      <c r="AC970" s="652" t="s">
        <v>1838</v>
      </c>
      <c r="AD970" s="667">
        <v>302</v>
      </c>
      <c r="AE970" s="667">
        <v>10</v>
      </c>
      <c r="AF970" s="667"/>
      <c r="AG970" s="667"/>
      <c r="AH970" s="667"/>
      <c r="AI970" s="668"/>
      <c r="AN970" s="547"/>
      <c r="AO970" s="829" t="str">
        <f t="shared" si="182"/>
        <v>Yes</v>
      </c>
      <c r="AP970" s="259" t="str">
        <f t="shared" si="183"/>
        <v>NOV 21</v>
      </c>
      <c r="AQ970" s="547" t="str">
        <f t="shared" si="184"/>
        <v>有定金+有預留客戶</v>
      </c>
      <c r="AR970" s="259" t="str">
        <f t="shared" si="185"/>
        <v>Shipped_Stock</v>
      </c>
      <c r="AS970" s="259" t="str">
        <f t="shared" si="186"/>
        <v/>
      </c>
      <c r="AT970" s="259" t="str">
        <f t="shared" si="187"/>
        <v>力通威</v>
      </c>
      <c r="AU970" s="259" t="str">
        <f t="shared" si="188"/>
        <v>C49SZX20210195JL</v>
      </c>
      <c r="AV970" s="259" t="str">
        <f t="shared" si="189"/>
        <v>Oct-25</v>
      </c>
    </row>
    <row r="971" spans="1:48" hidden="1">
      <c r="A971" s="564">
        <v>1422</v>
      </c>
      <c r="B971" s="669" t="s">
        <v>1125</v>
      </c>
      <c r="C971" s="669" t="s">
        <v>15</v>
      </c>
      <c r="D971" s="650" t="s">
        <v>1839</v>
      </c>
      <c r="E971" s="749" t="s">
        <v>1840</v>
      </c>
      <c r="F971" s="652" t="s">
        <v>58</v>
      </c>
      <c r="G971" s="652" t="s">
        <v>18</v>
      </c>
      <c r="H971" s="652" t="s">
        <v>26</v>
      </c>
      <c r="I971" s="580" t="s">
        <v>1841</v>
      </c>
      <c r="J971" s="580">
        <v>1</v>
      </c>
      <c r="K971" s="652" t="s">
        <v>1806</v>
      </c>
      <c r="L971" s="662" t="s">
        <v>1842</v>
      </c>
      <c r="M971" s="670" t="s">
        <v>1807</v>
      </c>
      <c r="N971" s="652" t="s">
        <v>1816</v>
      </c>
      <c r="O971" s="580"/>
      <c r="P971" s="670" t="str">
        <f>VLOOKUP(A971,'[1]Raw data'!$B:$BA,23,FALSE)</f>
        <v>JPY</v>
      </c>
      <c r="Q971" s="652" t="str">
        <f>VLOOKUP(A971,'[1]Raw data'!$B:$Z,2,FALSE)</f>
        <v>C49SZX20210152SX</v>
      </c>
      <c r="R971" s="652" t="str">
        <f>VLOOKUP(A971,'[1]Raw data'!$B:$Z,3,FALSE)</f>
        <v>太美亚</v>
      </c>
      <c r="S971" s="652" t="str">
        <f>VLOOKUP(A971,'[1]Raw data'!$B:$Z,4,FALSE)</f>
        <v>YSM20R-2</v>
      </c>
      <c r="T971" s="652" t="str">
        <f>VLOOKUP(A971,'[1]Raw data'!$B:$Z,8,FALSE)</f>
        <v>R-&gt;L</v>
      </c>
      <c r="U971" s="652" t="str">
        <f>VLOOKUP(A971,'[1]Raw data'!$B:$Z,9,FALSE)</f>
        <v>No</v>
      </c>
      <c r="V971" s="572" t="str">
        <f>IF(G971&amp;H971=T971&amp;U971,"OK","WRONG")</f>
        <v>OK</v>
      </c>
      <c r="W971" s="568" t="str">
        <f>VLOOKUP(A971,'[1]Raw data'!$B:$AG,32,FALSE)</f>
        <v>DAP SZ</v>
      </c>
      <c r="X971" s="652">
        <f>VLOOKUP(A971,'[1]Raw data'!$B:$BA,31,FALSE)</f>
        <v>44351</v>
      </c>
      <c r="Y971" s="652" t="str">
        <f>VLOOKUP(A971,'[1]Raw data'!$B:$AS,39,FALSE)</f>
        <v>Yes</v>
      </c>
      <c r="Z971" s="664"/>
      <c r="AA971" s="665"/>
      <c r="AB971" s="666"/>
      <c r="AC971" s="652" t="s">
        <v>678</v>
      </c>
      <c r="AD971" s="667"/>
      <c r="AE971" s="667"/>
      <c r="AF971" s="667"/>
      <c r="AG971" s="667"/>
      <c r="AH971" s="667"/>
      <c r="AI971" s="668"/>
      <c r="AN971" s="547"/>
      <c r="AO971" s="829" t="str">
        <f t="shared" si="182"/>
        <v>Yes</v>
      </c>
      <c r="AP971" s="259" t="str">
        <f t="shared" si="183"/>
        <v>NOV 21</v>
      </c>
      <c r="AQ971" s="547" t="str">
        <f t="shared" si="184"/>
        <v>有定金+有預留客戶</v>
      </c>
      <c r="AR971" s="259" t="str">
        <f t="shared" si="185"/>
        <v>Shipped_Stock</v>
      </c>
      <c r="AS971" s="259" t="str">
        <f t="shared" si="186"/>
        <v/>
      </c>
      <c r="AT971" s="259" t="str">
        <f t="shared" si="187"/>
        <v>太美亚</v>
      </c>
      <c r="AU971" s="259" t="str">
        <f t="shared" si="188"/>
        <v>C49SZX20210152SX</v>
      </c>
      <c r="AV971" s="259" t="str">
        <f t="shared" si="189"/>
        <v>2021/10/30,Yamaha清关</v>
      </c>
    </row>
    <row r="972" spans="1:48" hidden="1">
      <c r="A972" s="564">
        <v>1423</v>
      </c>
      <c r="B972" s="669" t="s">
        <v>1125</v>
      </c>
      <c r="C972" s="669" t="s">
        <v>15</v>
      </c>
      <c r="D972" s="650" t="s">
        <v>1839</v>
      </c>
      <c r="E972" s="749" t="s">
        <v>1840</v>
      </c>
      <c r="F972" s="652" t="s">
        <v>58</v>
      </c>
      <c r="G972" s="652" t="s">
        <v>18</v>
      </c>
      <c r="H972" s="652" t="s">
        <v>26</v>
      </c>
      <c r="I972" s="580" t="s">
        <v>1843</v>
      </c>
      <c r="J972" s="580">
        <v>1</v>
      </c>
      <c r="K972" s="652" t="s">
        <v>1806</v>
      </c>
      <c r="L972" s="662" t="s">
        <v>1842</v>
      </c>
      <c r="M972" s="670" t="s">
        <v>1807</v>
      </c>
      <c r="N972" s="652" t="s">
        <v>1816</v>
      </c>
      <c r="O972" s="580"/>
      <c r="P972" s="670" t="str">
        <f>VLOOKUP(A972,'[1]Raw data'!$B:$BA,23,FALSE)</f>
        <v>JPY</v>
      </c>
      <c r="Q972" s="652" t="str">
        <f>VLOOKUP(A972,'[1]Raw data'!$B:$Z,2,FALSE)</f>
        <v>C49SZX20210152SX</v>
      </c>
      <c r="R972" s="652" t="str">
        <f>VLOOKUP(A972,'[1]Raw data'!$B:$Z,3,FALSE)</f>
        <v>太美亚</v>
      </c>
      <c r="S972" s="652" t="str">
        <f>VLOOKUP(A972,'[1]Raw data'!$B:$Z,4,FALSE)</f>
        <v>YSM20R-2</v>
      </c>
      <c r="T972" s="652" t="str">
        <f>VLOOKUP(A972,'[1]Raw data'!$B:$Z,8,FALSE)</f>
        <v>R-&gt;L</v>
      </c>
      <c r="U972" s="652" t="str">
        <f>VLOOKUP(A972,'[1]Raw data'!$B:$Z,9,FALSE)</f>
        <v>No</v>
      </c>
      <c r="V972" s="572" t="str">
        <f>IF(G972&amp;H972=T972&amp;U972,"OK","WRONG")</f>
        <v>OK</v>
      </c>
      <c r="W972" s="568" t="str">
        <f>VLOOKUP(A972,'[1]Raw data'!$B:$AG,32,FALSE)</f>
        <v>DAP SZ</v>
      </c>
      <c r="X972" s="652">
        <f>VLOOKUP(A972,'[1]Raw data'!$B:$BA,31,FALSE)</f>
        <v>44351</v>
      </c>
      <c r="Y972" s="652" t="str">
        <f>VLOOKUP(A972,'[1]Raw data'!$B:$AS,39,FALSE)</f>
        <v>Yes</v>
      </c>
      <c r="Z972" s="664"/>
      <c r="AA972" s="665"/>
      <c r="AB972" s="666"/>
      <c r="AC972" s="652" t="s">
        <v>678</v>
      </c>
      <c r="AD972" s="667"/>
      <c r="AE972" s="667"/>
      <c r="AF972" s="667"/>
      <c r="AG972" s="667"/>
      <c r="AH972" s="667"/>
      <c r="AI972" s="668"/>
      <c r="AN972" s="547"/>
      <c r="AO972" s="829" t="str">
        <f t="shared" si="182"/>
        <v>Yes</v>
      </c>
      <c r="AP972" s="259" t="str">
        <f t="shared" si="183"/>
        <v>NOV 21</v>
      </c>
      <c r="AQ972" s="547" t="str">
        <f t="shared" si="184"/>
        <v>有定金+有預留客戶</v>
      </c>
      <c r="AR972" s="259" t="str">
        <f t="shared" si="185"/>
        <v>Shipped_Stock</v>
      </c>
      <c r="AS972" s="259" t="str">
        <f t="shared" si="186"/>
        <v/>
      </c>
      <c r="AT972" s="259" t="str">
        <f t="shared" si="187"/>
        <v>太美亚</v>
      </c>
      <c r="AU972" s="259" t="str">
        <f t="shared" si="188"/>
        <v>C49SZX20210152SX</v>
      </c>
      <c r="AV972" s="259" t="str">
        <f t="shared" si="189"/>
        <v>2021/10/30,Yamaha清关</v>
      </c>
    </row>
    <row r="973" spans="1:48" ht="12" hidden="1" customHeight="1">
      <c r="A973" s="564">
        <v>1355</v>
      </c>
      <c r="B973" s="669" t="s">
        <v>1125</v>
      </c>
      <c r="C973" s="669" t="s">
        <v>281</v>
      </c>
      <c r="D973" s="650">
        <v>110581</v>
      </c>
      <c r="E973" s="749" t="s">
        <v>1844</v>
      </c>
      <c r="F973" s="652" t="s">
        <v>154</v>
      </c>
      <c r="G973" s="652" t="s">
        <v>24</v>
      </c>
      <c r="H973" s="652" t="s">
        <v>307</v>
      </c>
      <c r="I973" s="580" t="s">
        <v>1845</v>
      </c>
      <c r="J973" s="580">
        <v>1</v>
      </c>
      <c r="K973" s="652" t="s">
        <v>1732</v>
      </c>
      <c r="L973" s="662">
        <v>44504</v>
      </c>
      <c r="M973" s="670" t="s">
        <v>906</v>
      </c>
      <c r="N973" s="652" t="s">
        <v>1816</v>
      </c>
      <c r="O973" s="580"/>
      <c r="P973" s="670" t="str">
        <f>VLOOKUP(A973,'[1]Raw data'!$B:$BA,23,FALSE)</f>
        <v>JPY</v>
      </c>
      <c r="Q973" s="652" t="str">
        <f>VLOOKUP(A973,'[1]Raw data'!$B:$Z,2,FALSE)</f>
        <v>C49SZX20210133EC</v>
      </c>
      <c r="R973" s="652" t="str">
        <f>VLOOKUP(A973,'[1]Raw data'!$B:$Z,3,FALSE)</f>
        <v>海红天远</v>
      </c>
      <c r="S973" s="652" t="str">
        <f>VLOOKUP(A973,'[1]Raw data'!$B:$Z,4,FALSE)</f>
        <v>YSM20WR-2</v>
      </c>
      <c r="T973" s="652" t="str">
        <f>VLOOKUP(A973,'[1]Raw data'!$B:$Z,8,FALSE)</f>
        <v>L-&gt;R</v>
      </c>
      <c r="U973" s="652" t="str">
        <f>VLOOKUP(A973,'[1]Raw data'!$B:$Z,9,FALSE)</f>
        <v>No</v>
      </c>
      <c r="V973" s="572" t="str">
        <f t="shared" ref="V973" si="190">IF(G973&amp;H973=T973&amp;U973,"OK","WRONG")</f>
        <v>OK</v>
      </c>
      <c r="W973" s="568" t="str">
        <f>VLOOKUP(A973,'[1]Raw data'!$B:$AG,32,FALSE)</f>
        <v>CIF HK</v>
      </c>
      <c r="X973" s="652">
        <f>VLOOKUP(A973,'[1]Raw data'!$B:$BA,31,FALSE)</f>
        <v>44314</v>
      </c>
      <c r="Y973" s="652" t="str">
        <f>VLOOKUP(A973,'[1]Raw data'!$B:$AS,39,FALSE)</f>
        <v>Yes</v>
      </c>
      <c r="Z973" s="664"/>
      <c r="AA973" s="665"/>
      <c r="AB973" s="666"/>
      <c r="AC973" s="652" t="s">
        <v>1079</v>
      </c>
      <c r="AD973" s="667">
        <v>303</v>
      </c>
      <c r="AE973" s="667">
        <v>16</v>
      </c>
      <c r="AF973" s="667">
        <v>302</v>
      </c>
      <c r="AG973" s="667">
        <v>4</v>
      </c>
      <c r="AH973" s="667"/>
      <c r="AI973" s="668"/>
      <c r="AN973" s="547"/>
      <c r="AO973" s="829" t="str">
        <f t="shared" si="182"/>
        <v>Yes</v>
      </c>
      <c r="AP973" s="259" t="str">
        <f t="shared" si="183"/>
        <v>NOV 21</v>
      </c>
      <c r="AQ973" s="547" t="str">
        <f t="shared" si="184"/>
        <v>有定金+有預留客戶</v>
      </c>
      <c r="AR973" s="259" t="str">
        <f t="shared" si="185"/>
        <v>Shipped_Stock</v>
      </c>
      <c r="AS973" s="259" t="str">
        <f t="shared" si="186"/>
        <v/>
      </c>
      <c r="AT973" s="259" t="str">
        <f t="shared" si="187"/>
        <v>海红天远</v>
      </c>
      <c r="AU973" s="259" t="str">
        <f t="shared" si="188"/>
        <v>C49SZX20210133EC</v>
      </c>
      <c r="AV973" s="259" t="str">
        <f t="shared" si="189"/>
        <v>Nov-04</v>
      </c>
    </row>
    <row r="974" spans="1:48" hidden="1">
      <c r="A974" s="564">
        <v>1356</v>
      </c>
      <c r="B974" s="669" t="s">
        <v>1125</v>
      </c>
      <c r="C974" s="669" t="s">
        <v>281</v>
      </c>
      <c r="D974" s="650">
        <v>110581</v>
      </c>
      <c r="E974" s="749" t="s">
        <v>1844</v>
      </c>
      <c r="F974" s="652" t="s">
        <v>154</v>
      </c>
      <c r="G974" s="652" t="s">
        <v>24</v>
      </c>
      <c r="H974" s="652" t="s">
        <v>307</v>
      </c>
      <c r="I974" s="580" t="s">
        <v>1846</v>
      </c>
      <c r="J974" s="580">
        <v>1</v>
      </c>
      <c r="K974" s="652" t="s">
        <v>1732</v>
      </c>
      <c r="L974" s="662">
        <v>44504</v>
      </c>
      <c r="M974" s="670" t="s">
        <v>906</v>
      </c>
      <c r="N974" s="652" t="s">
        <v>1816</v>
      </c>
      <c r="O974" s="580"/>
      <c r="P974" s="670" t="str">
        <f>VLOOKUP(A974,'[1]Raw data'!$B:$BA,23,FALSE)</f>
        <v>JPY</v>
      </c>
      <c r="Q974" s="652" t="str">
        <f>VLOOKUP(A974,'[1]Raw data'!$B:$Z,2,FALSE)</f>
        <v>C49SZX20210133EC</v>
      </c>
      <c r="R974" s="652" t="str">
        <f>VLOOKUP(A974,'[1]Raw data'!$B:$Z,3,FALSE)</f>
        <v>海红天远</v>
      </c>
      <c r="S974" s="652" t="str">
        <f>VLOOKUP(A974,'[1]Raw data'!$B:$Z,4,FALSE)</f>
        <v>YSM20WR-2</v>
      </c>
      <c r="T974" s="652" t="str">
        <f>VLOOKUP(A974,'[1]Raw data'!$B:$Z,8,FALSE)</f>
        <v>L-&gt;R</v>
      </c>
      <c r="U974" s="652" t="str">
        <f>VLOOKUP(A974,'[1]Raw data'!$B:$Z,9,FALSE)</f>
        <v>No</v>
      </c>
      <c r="V974" s="572" t="str">
        <f t="shared" ref="V974:V976" si="191">IF(G974&amp;H974=T974&amp;U974,"OK","WRONG")</f>
        <v>OK</v>
      </c>
      <c r="W974" s="568" t="str">
        <f>VLOOKUP(A974,'[1]Raw data'!$B:$AG,32,FALSE)</f>
        <v>CIF HK</v>
      </c>
      <c r="X974" s="652">
        <f>VLOOKUP(A974,'[1]Raw data'!$B:$BA,31,FALSE)</f>
        <v>44314</v>
      </c>
      <c r="Y974" s="652" t="str">
        <f>VLOOKUP(A974,'[1]Raw data'!$B:$AS,39,FALSE)</f>
        <v>Yes</v>
      </c>
      <c r="Z974" s="664"/>
      <c r="AA974" s="665"/>
      <c r="AB974" s="666"/>
      <c r="AC974" s="652" t="s">
        <v>1079</v>
      </c>
      <c r="AD974" s="667">
        <v>303</v>
      </c>
      <c r="AE974" s="667">
        <v>16</v>
      </c>
      <c r="AF974" s="667">
        <v>302</v>
      </c>
      <c r="AG974" s="667">
        <v>4</v>
      </c>
      <c r="AH974" s="667"/>
      <c r="AI974" s="668"/>
      <c r="AN974" s="547"/>
      <c r="AO974" s="829" t="str">
        <f t="shared" si="182"/>
        <v>Yes</v>
      </c>
      <c r="AP974" s="259" t="str">
        <f t="shared" si="183"/>
        <v>NOV 21</v>
      </c>
      <c r="AQ974" s="547" t="str">
        <f t="shared" si="184"/>
        <v>有定金+有預留客戶</v>
      </c>
      <c r="AR974" s="259" t="str">
        <f t="shared" si="185"/>
        <v>Shipped_Stock</v>
      </c>
      <c r="AS974" s="259" t="str">
        <f t="shared" si="186"/>
        <v/>
      </c>
      <c r="AT974" s="259" t="str">
        <f t="shared" si="187"/>
        <v>海红天远</v>
      </c>
      <c r="AU974" s="259" t="str">
        <f t="shared" si="188"/>
        <v>C49SZX20210133EC</v>
      </c>
      <c r="AV974" s="259" t="str">
        <f t="shared" si="189"/>
        <v>Nov-04</v>
      </c>
    </row>
    <row r="975" spans="1:48" hidden="1">
      <c r="A975" s="564">
        <v>1246</v>
      </c>
      <c r="B975" s="669" t="s">
        <v>1125</v>
      </c>
      <c r="C975" s="669" t="s">
        <v>281</v>
      </c>
      <c r="D975" s="650">
        <v>110581</v>
      </c>
      <c r="E975" s="749" t="s">
        <v>1844</v>
      </c>
      <c r="F975" s="652" t="s">
        <v>17</v>
      </c>
      <c r="G975" s="652" t="s">
        <v>18</v>
      </c>
      <c r="H975" s="652" t="s">
        <v>307</v>
      </c>
      <c r="I975" s="580" t="s">
        <v>1847</v>
      </c>
      <c r="J975" s="580">
        <v>1</v>
      </c>
      <c r="K975" s="652" t="s">
        <v>1419</v>
      </c>
      <c r="L975" s="662">
        <v>44504</v>
      </c>
      <c r="M975" s="670" t="s">
        <v>906</v>
      </c>
      <c r="N975" s="652" t="s">
        <v>1816</v>
      </c>
      <c r="O975" s="580"/>
      <c r="P975" s="670" t="str">
        <f>VLOOKUP(A975,'[1]Raw data'!$B:$BA,23,FALSE)</f>
        <v>JPY</v>
      </c>
      <c r="Q975" s="652" t="str">
        <f>VLOOKUP(A975,'[1]Raw data'!$B:$Z,2,FALSE)</f>
        <v>C49SZX20210073AY</v>
      </c>
      <c r="R975" s="652" t="str">
        <f>VLOOKUP(A975,'[1]Raw data'!$B:$Z,3,FALSE)</f>
        <v>铣米</v>
      </c>
      <c r="S975" s="652" t="str">
        <f>VLOOKUP(A975,'[1]Raw data'!$B:$Z,4,FALSE)</f>
        <v>YSM10</v>
      </c>
      <c r="T975" s="652" t="str">
        <f>VLOOKUP(A975,'[1]Raw data'!$B:$Z,8,FALSE)</f>
        <v>L-&gt;R</v>
      </c>
      <c r="U975" s="652" t="str">
        <f>VLOOKUP(A975,'[1]Raw data'!$B:$Z,9,FALSE)</f>
        <v>MVC</v>
      </c>
      <c r="V975" s="572" t="str">
        <f t="shared" si="191"/>
        <v>WRONG</v>
      </c>
      <c r="W975" s="568" t="str">
        <f>VLOOKUP(A975,'[1]Raw data'!$B:$AG,32,FALSE)</f>
        <v>DAP SZ</v>
      </c>
      <c r="X975" s="652">
        <f>VLOOKUP(A975,'[1]Raw data'!$B:$BA,31,FALSE)</f>
        <v>44265</v>
      </c>
      <c r="Y975" s="652" t="str">
        <f>VLOOKUP(A975,'[1]Raw data'!$B:$AS,39,FALSE)</f>
        <v>Yes</v>
      </c>
      <c r="Z975" s="671"/>
      <c r="AA975" s="672"/>
      <c r="AB975" s="673"/>
      <c r="AC975" s="652" t="s">
        <v>1848</v>
      </c>
      <c r="AD975" s="667">
        <v>301</v>
      </c>
      <c r="AE975" s="667">
        <v>10</v>
      </c>
      <c r="AF975" s="667"/>
      <c r="AG975" s="667"/>
      <c r="AH975" s="667"/>
      <c r="AI975" s="668"/>
      <c r="AN975" s="547"/>
      <c r="AO975" s="829" t="str">
        <f t="shared" si="182"/>
        <v>Yes</v>
      </c>
      <c r="AP975" s="259" t="str">
        <f t="shared" si="183"/>
        <v>NOV 21</v>
      </c>
      <c r="AQ975" s="547" t="str">
        <f t="shared" si="184"/>
        <v>有定金+有預留客戶</v>
      </c>
      <c r="AR975" s="259" t="str">
        <f t="shared" si="185"/>
        <v>Shipped_Stock</v>
      </c>
      <c r="AS975" s="259" t="str">
        <f t="shared" si="186"/>
        <v/>
      </c>
      <c r="AT975" s="259" t="str">
        <f t="shared" si="187"/>
        <v>铣米</v>
      </c>
      <c r="AU975" s="259" t="str">
        <f t="shared" si="188"/>
        <v>C49SZX20210073AY</v>
      </c>
      <c r="AV975" s="259" t="str">
        <f t="shared" si="189"/>
        <v>Nov-04</v>
      </c>
    </row>
    <row r="976" spans="1:48" hidden="1">
      <c r="A976" s="564">
        <v>1434</v>
      </c>
      <c r="B976" s="669" t="s">
        <v>1125</v>
      </c>
      <c r="C976" s="669" t="s">
        <v>281</v>
      </c>
      <c r="D976" s="650" t="s">
        <v>1849</v>
      </c>
      <c r="E976" s="749" t="s">
        <v>1844</v>
      </c>
      <c r="F976" s="652" t="s">
        <v>17</v>
      </c>
      <c r="G976" s="652" t="s">
        <v>18</v>
      </c>
      <c r="H976" s="652" t="s">
        <v>307</v>
      </c>
      <c r="I976" s="580" t="s">
        <v>1850</v>
      </c>
      <c r="J976" s="580">
        <v>1</v>
      </c>
      <c r="K976" s="652" t="s">
        <v>1419</v>
      </c>
      <c r="L976" s="662">
        <v>44504</v>
      </c>
      <c r="M976" s="670">
        <v>5.6800000000000003E-2</v>
      </c>
      <c r="N976" s="652" t="s">
        <v>1816</v>
      </c>
      <c r="O976" s="580"/>
      <c r="P976" s="670" t="str">
        <f>VLOOKUP(A976,'[1]Raw data'!$B:$BA,23,FALSE)</f>
        <v>RMB</v>
      </c>
      <c r="Q976" s="652" t="str">
        <f>VLOOKUP(A976,'[1]Raw data'!$B:$Z,2,FALSE)</f>
        <v>C49SZX20210172EC</v>
      </c>
      <c r="R976" s="652" t="str">
        <f>VLOOKUP(A976,'[1]Raw data'!$B:$Z,3,FALSE)</f>
        <v>科华/End user 美斯特</v>
      </c>
      <c r="S976" s="652" t="str">
        <f>VLOOKUP(A976,'[1]Raw data'!$B:$Z,4,FALSE)</f>
        <v>YSM10</v>
      </c>
      <c r="T976" s="652" t="str">
        <f>VLOOKUP(A976,'[1]Raw data'!$B:$Z,8,FALSE)</f>
        <v>L-&gt;R</v>
      </c>
      <c r="U976" s="652" t="str">
        <f>VLOOKUP(A976,'[1]Raw data'!$B:$Z,9,FALSE)</f>
        <v>MVC</v>
      </c>
      <c r="V976" s="714" t="str">
        <f t="shared" si="191"/>
        <v>WRONG</v>
      </c>
      <c r="W976" s="568" t="str">
        <f>VLOOKUP(A976,'[1]Raw data'!$B:$AG,32,FALSE)</f>
        <v>DDP SZ</v>
      </c>
      <c r="X976" s="715">
        <f>VLOOKUP(A976,'[1]Raw data'!$B:$BA,31,FALSE)</f>
        <v>44365</v>
      </c>
      <c r="Y976" s="715" t="str">
        <f>VLOOKUP(A976,'[1]Raw data'!$B:$AS,39,FALSE)</f>
        <v>Yes</v>
      </c>
      <c r="Z976" s="664"/>
      <c r="AA976" s="665"/>
      <c r="AB976" s="666"/>
      <c r="AC976" s="652" t="s">
        <v>984</v>
      </c>
      <c r="AD976" s="667">
        <v>301</v>
      </c>
      <c r="AE976" s="667">
        <v>10</v>
      </c>
      <c r="AF976" s="667"/>
      <c r="AG976" s="667"/>
      <c r="AH976" s="667"/>
      <c r="AI976" s="668"/>
      <c r="AN976" s="547"/>
      <c r="AO976" s="829" t="str">
        <f t="shared" si="182"/>
        <v>Yes</v>
      </c>
      <c r="AP976" s="259" t="str">
        <f t="shared" si="183"/>
        <v>NOV 21</v>
      </c>
      <c r="AQ976" s="547" t="str">
        <f t="shared" si="184"/>
        <v>有定金+有預留客戶</v>
      </c>
      <c r="AR976" s="259" t="str">
        <f t="shared" si="185"/>
        <v>Shipped_Stock</v>
      </c>
      <c r="AS976" s="259" t="str">
        <f t="shared" si="186"/>
        <v/>
      </c>
      <c r="AT976" s="259" t="str">
        <f t="shared" si="187"/>
        <v>科华/End user 美斯特</v>
      </c>
      <c r="AU976" s="259" t="str">
        <f t="shared" si="188"/>
        <v>C49SZX20210172EC</v>
      </c>
      <c r="AV976" s="259" t="str">
        <f t="shared" si="189"/>
        <v>Nov-04</v>
      </c>
    </row>
    <row r="977" spans="1:48" hidden="1">
      <c r="A977" s="564">
        <v>1371</v>
      </c>
      <c r="B977" s="669" t="s">
        <v>1125</v>
      </c>
      <c r="C977" s="669" t="s">
        <v>281</v>
      </c>
      <c r="D977" s="650">
        <v>110594</v>
      </c>
      <c r="E977" s="651" t="s">
        <v>1801</v>
      </c>
      <c r="F977" s="652" t="s">
        <v>58</v>
      </c>
      <c r="G977" s="652" t="s">
        <v>24</v>
      </c>
      <c r="H977" s="652" t="s">
        <v>26</v>
      </c>
      <c r="I977" s="580" t="s">
        <v>1851</v>
      </c>
      <c r="J977" s="580">
        <v>1</v>
      </c>
      <c r="K977" s="652" t="s">
        <v>1732</v>
      </c>
      <c r="L977" s="662">
        <v>44504</v>
      </c>
      <c r="M977" s="670">
        <v>5.6300000000000003E-2</v>
      </c>
      <c r="N977" s="652" t="s">
        <v>1816</v>
      </c>
      <c r="O977" s="580"/>
      <c r="P977" s="670" t="str">
        <f>VLOOKUP(A977,'[1]Raw data'!$B:$BA,23,FALSE)</f>
        <v>JPY</v>
      </c>
      <c r="Q977" s="652" t="str">
        <f>VLOOKUP(A977,'[1]Raw data'!$B:$Z,2,FALSE)</f>
        <v>C49SZX20210147DY</v>
      </c>
      <c r="R977" s="652" t="str">
        <f>VLOOKUP(A977,'[1]Raw data'!$B:$Z,3,FALSE)</f>
        <v>朗迅</v>
      </c>
      <c r="S977" s="652" t="str">
        <f>VLOOKUP(A977,'[1]Raw data'!$B:$Z,4,FALSE)</f>
        <v>YSM20R-2</v>
      </c>
      <c r="T977" s="652" t="str">
        <f>VLOOKUP(A977,'[1]Raw data'!$B:$Z,8,FALSE)</f>
        <v>L-&gt;R</v>
      </c>
      <c r="U977" s="652" t="str">
        <f>VLOOKUP(A977,'[1]Raw data'!$B:$Z,9,FALSE)</f>
        <v>No</v>
      </c>
      <c r="V977" s="714" t="str">
        <f t="shared" ref="V977:V978" si="192">IF(G977&amp;H977=T977&amp;U977,"OK","WRONG")</f>
        <v>OK</v>
      </c>
      <c r="W977" s="568" t="str">
        <f>VLOOKUP(A977,'[1]Raw data'!$B:$AG,32,FALSE)</f>
        <v>DAP HZ</v>
      </c>
      <c r="X977" s="715">
        <f>VLOOKUP(A977,'[1]Raw data'!$B:$BA,31,FALSE)</f>
        <v>44333</v>
      </c>
      <c r="Y977" s="715" t="str">
        <f>VLOOKUP(A977,'[1]Raw data'!$B:$AS,39,FALSE)</f>
        <v>Yes</v>
      </c>
      <c r="Z977" s="664"/>
      <c r="AA977" s="665"/>
      <c r="AB977" s="666"/>
      <c r="AC977" s="652" t="s">
        <v>1832</v>
      </c>
      <c r="AD977" s="667">
        <v>303</v>
      </c>
      <c r="AE977" s="667">
        <v>20</v>
      </c>
      <c r="AF977" s="667"/>
      <c r="AG977" s="667"/>
      <c r="AH977" s="667"/>
      <c r="AI977" s="668"/>
      <c r="AN977" s="547"/>
      <c r="AO977" s="829" t="str">
        <f t="shared" si="182"/>
        <v>Yes</v>
      </c>
      <c r="AP977" s="259" t="str">
        <f t="shared" si="183"/>
        <v>NOV 21</v>
      </c>
      <c r="AQ977" s="547" t="str">
        <f t="shared" si="184"/>
        <v>有定金+有預留客戶</v>
      </c>
      <c r="AR977" s="259" t="str">
        <f t="shared" si="185"/>
        <v>Shipped_Stock</v>
      </c>
      <c r="AS977" s="259" t="str">
        <f t="shared" si="186"/>
        <v/>
      </c>
      <c r="AT977" s="259" t="str">
        <f t="shared" si="187"/>
        <v>朗迅</v>
      </c>
      <c r="AU977" s="259" t="str">
        <f t="shared" si="188"/>
        <v>C49SZX20210147DY</v>
      </c>
      <c r="AV977" s="259" t="str">
        <f t="shared" si="189"/>
        <v>Nov-04</v>
      </c>
    </row>
    <row r="978" spans="1:48" ht="33" hidden="1">
      <c r="A978" s="564">
        <v>1511</v>
      </c>
      <c r="B978" s="669" t="s">
        <v>1125</v>
      </c>
      <c r="C978" s="669" t="s">
        <v>281</v>
      </c>
      <c r="D978" s="650">
        <v>110594</v>
      </c>
      <c r="E978" s="651" t="s">
        <v>1801</v>
      </c>
      <c r="F978" s="652" t="s">
        <v>58</v>
      </c>
      <c r="G978" s="652" t="s">
        <v>24</v>
      </c>
      <c r="H978" s="652" t="s">
        <v>26</v>
      </c>
      <c r="I978" s="756" t="s">
        <v>1852</v>
      </c>
      <c r="J978" s="580">
        <v>1</v>
      </c>
      <c r="K978" s="652" t="s">
        <v>1419</v>
      </c>
      <c r="L978" s="662">
        <v>44504</v>
      </c>
      <c r="M978" s="670" t="s">
        <v>1853</v>
      </c>
      <c r="N978" s="652" t="s">
        <v>1819</v>
      </c>
      <c r="O978" s="580"/>
      <c r="P978" s="670" t="str">
        <f>VLOOKUP(A978,'[1]Raw data'!$B:$BA,23,FALSE)</f>
        <v>RMB</v>
      </c>
      <c r="Q978" s="652" t="str">
        <f>VLOOKUP(A978,'[1]Raw data'!$B:$Z,2,FALSE)</f>
        <v>C49SZX20210214EC</v>
      </c>
      <c r="R978" s="652" t="str">
        <f>VLOOKUP(A978,'[1]Raw data'!$B:$Z,3,FALSE)</f>
        <v>骏孚</v>
      </c>
      <c r="S978" s="652" t="str">
        <f>VLOOKUP(A978,'[1]Raw data'!$B:$Z,4,FALSE)</f>
        <v>YSM20R-2</v>
      </c>
      <c r="T978" s="652" t="str">
        <f>VLOOKUP(A978,'[1]Raw data'!$B:$Z,8,FALSE)</f>
        <v>L-&gt;R</v>
      </c>
      <c r="U978" s="652" t="str">
        <f>VLOOKUP(A978,'[1]Raw data'!$B:$Z,9,FALSE)</f>
        <v>No</v>
      </c>
      <c r="V978" s="572" t="str">
        <f t="shared" si="192"/>
        <v>OK</v>
      </c>
      <c r="W978" s="568" t="str">
        <f>VLOOKUP(A978,'[1]Raw data'!$B:$AG,32,FALSE)</f>
        <v>DDP GZ</v>
      </c>
      <c r="X978" s="652">
        <f>VLOOKUP(A978,'[1]Raw data'!$B:$BA,31,FALSE)</f>
        <v>44532</v>
      </c>
      <c r="Y978" s="652" t="str">
        <f>VLOOKUP(A978,'[1]Raw data'!$B:$AS,39,FALSE)</f>
        <v>Yes</v>
      </c>
      <c r="Z978" s="671"/>
      <c r="AA978" s="672"/>
      <c r="AB978" s="673"/>
      <c r="AC978" s="652" t="s">
        <v>1854</v>
      </c>
      <c r="AD978" s="667">
        <v>303</v>
      </c>
      <c r="AE978" s="667">
        <v>10</v>
      </c>
      <c r="AF978" s="667">
        <v>302</v>
      </c>
      <c r="AG978" s="667">
        <v>10</v>
      </c>
      <c r="AH978" s="667"/>
      <c r="AI978" s="668"/>
      <c r="AN978" s="547"/>
      <c r="AO978" s="829" t="str">
        <f t="shared" si="182"/>
        <v>Yes</v>
      </c>
      <c r="AP978" s="259" t="str">
        <f t="shared" si="183"/>
        <v>DEC 21</v>
      </c>
      <c r="AQ978" s="547" t="str">
        <f t="shared" si="184"/>
        <v>有定金+有預留客戶</v>
      </c>
      <c r="AR978" s="259" t="str">
        <f t="shared" si="185"/>
        <v>Shipped_Stock</v>
      </c>
      <c r="AS978" s="259" t="str">
        <f t="shared" si="186"/>
        <v/>
      </c>
      <c r="AT978" s="259" t="str">
        <f t="shared" si="187"/>
        <v>骏孚</v>
      </c>
      <c r="AU978" s="259" t="str">
        <f t="shared" si="188"/>
        <v>C49SZX20210214EC</v>
      </c>
      <c r="AV978" s="259" t="str">
        <f t="shared" si="189"/>
        <v>Nov-04</v>
      </c>
    </row>
    <row r="979" spans="1:48" ht="13.5" hidden="1">
      <c r="A979" s="564">
        <v>1501</v>
      </c>
      <c r="B979" s="669" t="s">
        <v>1125</v>
      </c>
      <c r="C979" s="669" t="s">
        <v>281</v>
      </c>
      <c r="D979" s="650" t="s">
        <v>1855</v>
      </c>
      <c r="E979" s="741" t="s">
        <v>1856</v>
      </c>
      <c r="F979" s="652" t="s">
        <v>58</v>
      </c>
      <c r="G979" s="652" t="s">
        <v>24</v>
      </c>
      <c r="H979" s="652" t="s">
        <v>26</v>
      </c>
      <c r="I979" s="757" t="s">
        <v>1857</v>
      </c>
      <c r="J979" s="580">
        <v>1</v>
      </c>
      <c r="K979" s="652" t="s">
        <v>1419</v>
      </c>
      <c r="L979" s="662">
        <v>44527</v>
      </c>
      <c r="M979" s="670" t="s">
        <v>1858</v>
      </c>
      <c r="N979" s="652" t="s">
        <v>1819</v>
      </c>
      <c r="O979" s="580"/>
      <c r="P979" s="670" t="str">
        <f>VLOOKUP(A979,'[1]Raw data'!$B:$BA,23,FALSE)</f>
        <v>RMB</v>
      </c>
      <c r="Q979" s="652" t="str">
        <f>VLOOKUP(A979,'[1]Raw data'!$B:$Z,2,FALSE)</f>
        <v>C49SZX20210204SS</v>
      </c>
      <c r="R979" s="652" t="str">
        <f>VLOOKUP(A979,'[1]Raw data'!$B:$Z,3,FALSE)</f>
        <v>嘉力达</v>
      </c>
      <c r="S979" s="652" t="str">
        <f>VLOOKUP(A979,'[1]Raw data'!$B:$Z,4,FALSE)</f>
        <v>YSM20R-2</v>
      </c>
      <c r="T979" s="652" t="str">
        <f>VLOOKUP(A979,'[1]Raw data'!$B:$Z,8,FALSE)</f>
        <v>L-&gt;R</v>
      </c>
      <c r="U979" s="652" t="str">
        <f>VLOOKUP(A979,'[1]Raw data'!$B:$Z,9,FALSE)</f>
        <v>No</v>
      </c>
      <c r="V979" s="572" t="str">
        <f t="shared" ref="V979:V982" si="193">IF(G979&amp;H979=T979&amp;U979,"OK","WRONG")</f>
        <v>OK</v>
      </c>
      <c r="W979" s="568" t="str">
        <f>VLOOKUP(A979,'[1]Raw data'!$B:$AG,32,FALSE)</f>
        <v>DDP HZ</v>
      </c>
      <c r="X979" s="652">
        <f>VLOOKUP(A979,'[1]Raw data'!$B:$BA,31,FALSE)</f>
        <v>44513</v>
      </c>
      <c r="Y979" s="652" t="str">
        <f>VLOOKUP(A979,'[1]Raw data'!$B:$AS,39,FALSE)</f>
        <v>Yes</v>
      </c>
      <c r="Z979" s="671"/>
      <c r="AA979" s="672"/>
      <c r="AB979" s="673"/>
      <c r="AC979" s="652" t="s">
        <v>1859</v>
      </c>
      <c r="AD979" s="667">
        <v>301</v>
      </c>
      <c r="AE979" s="667">
        <v>20</v>
      </c>
      <c r="AF979" s="667"/>
      <c r="AG979" s="667"/>
      <c r="AH979" s="667"/>
      <c r="AI979" s="668"/>
      <c r="AN979" s="547"/>
      <c r="AO979" s="829" t="str">
        <f t="shared" si="182"/>
        <v>Yes</v>
      </c>
      <c r="AP979" s="259" t="str">
        <f t="shared" si="183"/>
        <v>DEC 21</v>
      </c>
      <c r="AQ979" s="547" t="str">
        <f t="shared" si="184"/>
        <v>有定金+有預留客戶</v>
      </c>
      <c r="AR979" s="259" t="str">
        <f t="shared" si="185"/>
        <v>Shipped_Stock</v>
      </c>
      <c r="AS979" s="259" t="str">
        <f t="shared" si="186"/>
        <v/>
      </c>
      <c r="AT979" s="259" t="str">
        <f t="shared" si="187"/>
        <v>嘉力达</v>
      </c>
      <c r="AU979" s="259" t="str">
        <f t="shared" si="188"/>
        <v>C49SZX20210204SS</v>
      </c>
      <c r="AV979" s="259" t="str">
        <f t="shared" si="189"/>
        <v>Nov-27</v>
      </c>
    </row>
    <row r="980" spans="1:48" ht="13.5" hidden="1">
      <c r="A980" s="564">
        <v>1459</v>
      </c>
      <c r="B980" s="669" t="s">
        <v>1125</v>
      </c>
      <c r="C980" s="669" t="s">
        <v>281</v>
      </c>
      <c r="D980" s="650">
        <v>110635</v>
      </c>
      <c r="E980" s="741" t="s">
        <v>1856</v>
      </c>
      <c r="F980" s="652" t="s">
        <v>58</v>
      </c>
      <c r="G980" s="652" t="s">
        <v>24</v>
      </c>
      <c r="H980" s="652" t="s">
        <v>26</v>
      </c>
      <c r="I980" s="580" t="s">
        <v>1860</v>
      </c>
      <c r="J980" s="580">
        <v>1</v>
      </c>
      <c r="K980" s="652" t="s">
        <v>1419</v>
      </c>
      <c r="L980" s="662">
        <v>44527</v>
      </c>
      <c r="M980" s="758" t="s">
        <v>1861</v>
      </c>
      <c r="N980" s="652" t="s">
        <v>1828</v>
      </c>
      <c r="O980" s="580"/>
      <c r="P980" s="670" t="str">
        <f>VLOOKUP(A980,'[1]Raw data'!$B:$BA,23,FALSE)</f>
        <v>RMB</v>
      </c>
      <c r="Q980" s="652" t="str">
        <f>VLOOKUP(A980,'[1]Raw data'!$B:$Z,2,FALSE)</f>
        <v>C49SZX20210139DZ</v>
      </c>
      <c r="R980" s="652" t="str">
        <f>VLOOKUP(A980,'[1]Raw data'!$B:$Z,3,FALSE)</f>
        <v>力侬</v>
      </c>
      <c r="S980" s="652" t="str">
        <f>VLOOKUP(A980,'[1]Raw data'!$B:$Z,4,FALSE)</f>
        <v>YSM20R-2</v>
      </c>
      <c r="T980" s="652" t="str">
        <f>VLOOKUP(A980,'[1]Raw data'!$B:$Z,8,FALSE)</f>
        <v>L-&gt;R</v>
      </c>
      <c r="U980" s="652" t="str">
        <f>VLOOKUP(A980,'[1]Raw data'!$B:$Z,9,FALSE)</f>
        <v>No</v>
      </c>
      <c r="V980" s="572" t="str">
        <f t="shared" si="193"/>
        <v>OK</v>
      </c>
      <c r="W980" s="568" t="str">
        <f>VLOOKUP(A980,'[1]Raw data'!$B:$AG,32,FALSE)</f>
        <v>DDP QY</v>
      </c>
      <c r="X980" s="652">
        <f>VLOOKUP(A980,'[1]Raw data'!$B:$BA,31,FALSE)</f>
        <v>44392</v>
      </c>
      <c r="Y980" s="652" t="str">
        <f>VLOOKUP(A980,'[1]Raw data'!$B:$AS,39,FALSE)</f>
        <v>Yes</v>
      </c>
      <c r="Z980" s="664"/>
      <c r="AA980" s="665"/>
      <c r="AB980" s="666"/>
      <c r="AC980" s="652" t="s">
        <v>1862</v>
      </c>
      <c r="AD980" s="667">
        <v>301</v>
      </c>
      <c r="AE980" s="667">
        <v>20</v>
      </c>
      <c r="AF980" s="667"/>
      <c r="AG980" s="667"/>
      <c r="AH980" s="667"/>
      <c r="AI980" s="668"/>
      <c r="AN980" s="547"/>
      <c r="AO980" s="829" t="str">
        <f t="shared" si="182"/>
        <v>Yes</v>
      </c>
      <c r="AP980" s="259" t="str">
        <f t="shared" si="183"/>
        <v>MAR 22</v>
      </c>
      <c r="AQ980" s="547" t="str">
        <f t="shared" si="184"/>
        <v>有定金+有預留客戶</v>
      </c>
      <c r="AR980" s="259" t="str">
        <f t="shared" si="185"/>
        <v>Shipped_Stock</v>
      </c>
      <c r="AS980" s="259" t="str">
        <f t="shared" si="186"/>
        <v/>
      </c>
      <c r="AT980" s="259" t="str">
        <f t="shared" si="187"/>
        <v>力侬</v>
      </c>
      <c r="AU980" s="259" t="str">
        <f t="shared" si="188"/>
        <v>C49SZX20210139DZ</v>
      </c>
      <c r="AV980" s="259" t="str">
        <f t="shared" si="189"/>
        <v>Nov-27</v>
      </c>
    </row>
    <row r="981" spans="1:48" hidden="1">
      <c r="A981" s="564">
        <v>1153</v>
      </c>
      <c r="B981" s="669" t="s">
        <v>1125</v>
      </c>
      <c r="C981" s="669" t="s">
        <v>281</v>
      </c>
      <c r="D981" s="650">
        <v>110635</v>
      </c>
      <c r="E981" s="741" t="s">
        <v>1856</v>
      </c>
      <c r="F981" s="652" t="s">
        <v>58</v>
      </c>
      <c r="G981" s="652" t="s">
        <v>24</v>
      </c>
      <c r="H981" s="652" t="s">
        <v>26</v>
      </c>
      <c r="I981" s="580" t="s">
        <v>1863</v>
      </c>
      <c r="J981" s="580">
        <v>1</v>
      </c>
      <c r="K981" s="652" t="s">
        <v>85</v>
      </c>
      <c r="L981" s="662">
        <v>44527</v>
      </c>
      <c r="M981" s="581" t="s">
        <v>906</v>
      </c>
      <c r="N981" s="652" t="s">
        <v>1819</v>
      </c>
      <c r="O981" s="580"/>
      <c r="P981" s="670" t="str">
        <f>VLOOKUP(A981,'[1]Raw data'!$B:$BA,23,FALSE)</f>
        <v>JPY</v>
      </c>
      <c r="Q981" s="652" t="str">
        <f>VLOOKUP(A981,'[1]Raw data'!$B:$Z,2,FALSE)</f>
        <v>C49SZX20210052JY</v>
      </c>
      <c r="R981" s="652" t="str">
        <f>VLOOKUP(A981,'[1]Raw data'!$B:$Z,3,FALSE)</f>
        <v>江西络鑫</v>
      </c>
      <c r="S981" s="652" t="str">
        <f>VLOOKUP(A981,'[1]Raw data'!$B:$Z,4,FALSE)</f>
        <v>YSM20R-2</v>
      </c>
      <c r="T981" s="652" t="str">
        <f>VLOOKUP(A981,'[1]Raw data'!$B:$Z,8,FALSE)</f>
        <v>L-&gt;R</v>
      </c>
      <c r="U981" s="652" t="str">
        <f>VLOOKUP(A981,'[1]Raw data'!$B:$Z,9,FALSE)</f>
        <v>No</v>
      </c>
      <c r="V981" s="572" t="str">
        <f t="shared" si="193"/>
        <v>OK</v>
      </c>
      <c r="W981" s="568" t="str">
        <f>VLOOKUP(A981,'[1]Raw data'!$B:$AG,32,FALSE)</f>
        <v>CIF HK</v>
      </c>
      <c r="X981" s="652">
        <f>VLOOKUP(A981,'[1]Raw data'!$B:$BA,31,FALSE)</f>
        <v>44259</v>
      </c>
      <c r="Y981" s="652" t="str">
        <f>VLOOKUP(A981,'[1]Raw data'!$B:$AS,39,FALSE)</f>
        <v>Yes</v>
      </c>
      <c r="Z981" s="664"/>
      <c r="AA981" s="665"/>
      <c r="AB981" s="666"/>
      <c r="AC981" s="652" t="s">
        <v>1773</v>
      </c>
      <c r="AD981" s="667">
        <v>301</v>
      </c>
      <c r="AE981" s="667">
        <v>10</v>
      </c>
      <c r="AF981" s="667">
        <v>313</v>
      </c>
      <c r="AG981" s="667">
        <v>10</v>
      </c>
      <c r="AH981" s="667"/>
      <c r="AI981" s="668"/>
      <c r="AN981" s="547"/>
      <c r="AO981" s="829" t="str">
        <f t="shared" si="182"/>
        <v>Yes</v>
      </c>
      <c r="AP981" s="259" t="str">
        <f t="shared" si="183"/>
        <v>DEC 21</v>
      </c>
      <c r="AQ981" s="547" t="str">
        <f t="shared" si="184"/>
        <v>有定金+有預留客戶</v>
      </c>
      <c r="AR981" s="259" t="str">
        <f t="shared" si="185"/>
        <v>Shipped_Stock</v>
      </c>
      <c r="AS981" s="259" t="str">
        <f t="shared" si="186"/>
        <v/>
      </c>
      <c r="AT981" s="259" t="str">
        <f t="shared" si="187"/>
        <v>江西络鑫</v>
      </c>
      <c r="AU981" s="259" t="str">
        <f t="shared" si="188"/>
        <v>C49SZX20210052JY</v>
      </c>
      <c r="AV981" s="259" t="str">
        <f t="shared" si="189"/>
        <v>Nov-27</v>
      </c>
    </row>
    <row r="982" spans="1:48" hidden="1">
      <c r="A982" s="564">
        <v>1154</v>
      </c>
      <c r="B982" s="669" t="s">
        <v>1125</v>
      </c>
      <c r="C982" s="669" t="s">
        <v>281</v>
      </c>
      <c r="D982" s="650">
        <v>110635</v>
      </c>
      <c r="E982" s="741" t="s">
        <v>1856</v>
      </c>
      <c r="F982" s="652" t="s">
        <v>58</v>
      </c>
      <c r="G982" s="652" t="s">
        <v>24</v>
      </c>
      <c r="H982" s="652" t="s">
        <v>26</v>
      </c>
      <c r="I982" s="580" t="s">
        <v>1864</v>
      </c>
      <c r="J982" s="580">
        <v>1</v>
      </c>
      <c r="K982" s="652" t="s">
        <v>85</v>
      </c>
      <c r="L982" s="662">
        <v>44527</v>
      </c>
      <c r="M982" s="581" t="s">
        <v>906</v>
      </c>
      <c r="N982" s="652" t="s">
        <v>1819</v>
      </c>
      <c r="O982" s="580"/>
      <c r="P982" s="670" t="str">
        <f>VLOOKUP(A982,'[1]Raw data'!$B:$BA,23,FALSE)</f>
        <v>JPY</v>
      </c>
      <c r="Q982" s="652" t="str">
        <f>VLOOKUP(A982,'[1]Raw data'!$B:$Z,2,FALSE)</f>
        <v>C49SZX20210052JY</v>
      </c>
      <c r="R982" s="652" t="str">
        <f>VLOOKUP(A982,'[1]Raw data'!$B:$Z,3,FALSE)</f>
        <v>江西络鑫</v>
      </c>
      <c r="S982" s="652" t="str">
        <f>VLOOKUP(A982,'[1]Raw data'!$B:$Z,4,FALSE)</f>
        <v>YSM20R-2</v>
      </c>
      <c r="T982" s="652" t="str">
        <f>VLOOKUP(A982,'[1]Raw data'!$B:$Z,8,FALSE)</f>
        <v>L-&gt;R</v>
      </c>
      <c r="U982" s="652" t="str">
        <f>VLOOKUP(A982,'[1]Raw data'!$B:$Z,9,FALSE)</f>
        <v>No</v>
      </c>
      <c r="V982" s="572" t="str">
        <f t="shared" si="193"/>
        <v>OK</v>
      </c>
      <c r="W982" s="568" t="str">
        <f>VLOOKUP(A982,'[1]Raw data'!$B:$AG,32,FALSE)</f>
        <v>CIF HK</v>
      </c>
      <c r="X982" s="652">
        <f>VLOOKUP(A982,'[1]Raw data'!$B:$BA,31,FALSE)</f>
        <v>44259</v>
      </c>
      <c r="Y982" s="652" t="str">
        <f>VLOOKUP(A982,'[1]Raw data'!$B:$AS,39,FALSE)</f>
        <v>Yes</v>
      </c>
      <c r="Z982" s="664"/>
      <c r="AA982" s="665"/>
      <c r="AB982" s="666"/>
      <c r="AC982" s="652" t="s">
        <v>1773</v>
      </c>
      <c r="AD982" s="667">
        <v>301</v>
      </c>
      <c r="AE982" s="667">
        <v>10</v>
      </c>
      <c r="AF982" s="667">
        <v>313</v>
      </c>
      <c r="AG982" s="667">
        <v>10</v>
      </c>
      <c r="AH982" s="667"/>
      <c r="AI982" s="668"/>
      <c r="AN982" s="547"/>
      <c r="AO982" s="829" t="str">
        <f t="shared" si="182"/>
        <v>Yes</v>
      </c>
      <c r="AP982" s="259" t="str">
        <f t="shared" si="183"/>
        <v>DEC 21</v>
      </c>
      <c r="AQ982" s="547" t="str">
        <f t="shared" si="184"/>
        <v>有定金+有預留客戶</v>
      </c>
      <c r="AR982" s="259" t="str">
        <f t="shared" si="185"/>
        <v>Shipped_Stock</v>
      </c>
      <c r="AS982" s="259" t="str">
        <f t="shared" si="186"/>
        <v/>
      </c>
      <c r="AT982" s="259" t="str">
        <f t="shared" si="187"/>
        <v>江西络鑫</v>
      </c>
      <c r="AU982" s="259" t="str">
        <f t="shared" si="188"/>
        <v>C49SZX20210052JY</v>
      </c>
      <c r="AV982" s="259" t="str">
        <f t="shared" si="189"/>
        <v>Nov-27</v>
      </c>
    </row>
    <row r="983" spans="1:48" hidden="1">
      <c r="A983" s="564">
        <v>1495</v>
      </c>
      <c r="B983" s="669" t="s">
        <v>1125</v>
      </c>
      <c r="C983" s="669" t="s">
        <v>281</v>
      </c>
      <c r="D983" s="650" t="s">
        <v>1865</v>
      </c>
      <c r="E983" s="741" t="s">
        <v>1856</v>
      </c>
      <c r="F983" s="652" t="s">
        <v>17</v>
      </c>
      <c r="G983" s="652" t="s">
        <v>18</v>
      </c>
      <c r="H983" s="652" t="s">
        <v>48</v>
      </c>
      <c r="I983" s="580" t="s">
        <v>1866</v>
      </c>
      <c r="J983" s="580">
        <v>1</v>
      </c>
      <c r="K983" s="652" t="s">
        <v>1358</v>
      </c>
      <c r="L983" s="662">
        <v>44527</v>
      </c>
      <c r="M983" s="670">
        <v>5.6599999999999998E-2</v>
      </c>
      <c r="N983" s="652" t="s">
        <v>1819</v>
      </c>
      <c r="O983" s="580"/>
      <c r="P983" s="670" t="str">
        <f>VLOOKUP(A983,'[1]Raw data'!$B:$BA,23,FALSE)</f>
        <v>RMB</v>
      </c>
      <c r="Q983" s="652" t="str">
        <f>VLOOKUP(A983,'[1]Raw data'!$B:$Z,2,FALSE)</f>
        <v>C49SZX20210199R1SX</v>
      </c>
      <c r="R983" s="652" t="str">
        <f>VLOOKUP(A983,'[1]Raw data'!$B:$Z,3,FALSE)</f>
        <v>湖北奕宏</v>
      </c>
      <c r="S983" s="652" t="str">
        <f>VLOOKUP(A983,'[1]Raw data'!$B:$Z,4,FALSE)</f>
        <v>YSM10</v>
      </c>
      <c r="T983" s="652" t="str">
        <f>VLOOKUP(A983,'[1]Raw data'!$B:$Z,8,FALSE)</f>
        <v>L-&gt;R</v>
      </c>
      <c r="U983" s="652" t="str">
        <f>VLOOKUP(A983,'[1]Raw data'!$B:$Z,9,FALSE)</f>
        <v>MVC+ATS15</v>
      </c>
      <c r="V983" s="572" t="str">
        <f t="shared" ref="V983:V986" si="194">IF(G983&amp;H983=T983&amp;U983,"OK","WRONG")</f>
        <v>WRONG</v>
      </c>
      <c r="W983" s="568" t="str">
        <f>VLOOKUP(A983,'[1]Raw data'!$B:$AG,32,FALSE)</f>
        <v>DDP HB</v>
      </c>
      <c r="X983" s="652">
        <f>VLOOKUP(A983,'[1]Raw data'!$B:$BA,31,FALSE)</f>
        <v>44497</v>
      </c>
      <c r="Y983" s="652" t="str">
        <f>VLOOKUP(A983,'[1]Raw data'!$B:$AS,39,FALSE)</f>
        <v>Yes</v>
      </c>
      <c r="Z983" s="664"/>
      <c r="AA983" s="665"/>
      <c r="AB983" s="666"/>
      <c r="AC983" s="652" t="s">
        <v>1867</v>
      </c>
      <c r="AD983" s="667">
        <v>301</v>
      </c>
      <c r="AE983" s="667">
        <v>10</v>
      </c>
      <c r="AF983" s="667"/>
      <c r="AG983" s="667"/>
      <c r="AH983" s="667"/>
      <c r="AI983" s="668"/>
      <c r="AN983" s="547"/>
      <c r="AO983" s="829" t="str">
        <f t="shared" si="182"/>
        <v>Yes</v>
      </c>
      <c r="AP983" s="259" t="str">
        <f t="shared" si="183"/>
        <v>DEC 21</v>
      </c>
      <c r="AQ983" s="547" t="str">
        <f t="shared" si="184"/>
        <v>有定金+有預留客戶</v>
      </c>
      <c r="AR983" s="259" t="str">
        <f t="shared" si="185"/>
        <v>Shipped_Stock</v>
      </c>
      <c r="AS983" s="259" t="str">
        <f t="shared" si="186"/>
        <v/>
      </c>
      <c r="AT983" s="259" t="str">
        <f t="shared" si="187"/>
        <v>湖北奕宏</v>
      </c>
      <c r="AU983" s="259" t="str">
        <f t="shared" si="188"/>
        <v>C49SZX20210199R1SX</v>
      </c>
      <c r="AV983" s="259" t="str">
        <f t="shared" si="189"/>
        <v>Nov-27</v>
      </c>
    </row>
    <row r="984" spans="1:48" hidden="1">
      <c r="A984" s="564">
        <v>1496</v>
      </c>
      <c r="B984" s="669" t="s">
        <v>1125</v>
      </c>
      <c r="C984" s="669" t="s">
        <v>281</v>
      </c>
      <c r="D984" s="650" t="s">
        <v>1868</v>
      </c>
      <c r="E984" s="741" t="s">
        <v>1856</v>
      </c>
      <c r="F984" s="652" t="s">
        <v>17</v>
      </c>
      <c r="G984" s="652" t="s">
        <v>18</v>
      </c>
      <c r="H984" s="652" t="s">
        <v>48</v>
      </c>
      <c r="I984" s="580" t="s">
        <v>1869</v>
      </c>
      <c r="J984" s="580">
        <v>1</v>
      </c>
      <c r="K984" s="652" t="s">
        <v>1358</v>
      </c>
      <c r="L984" s="662">
        <v>44527</v>
      </c>
      <c r="M984" s="670">
        <v>5.6599999999999998E-2</v>
      </c>
      <c r="N984" s="652" t="s">
        <v>1819</v>
      </c>
      <c r="O984" s="580"/>
      <c r="P984" s="670" t="str">
        <f>VLOOKUP(A984,'[1]Raw data'!$B:$BA,23,FALSE)</f>
        <v>RMB</v>
      </c>
      <c r="Q984" s="652" t="str">
        <f>VLOOKUP(A984,'[1]Raw data'!$B:$Z,2,FALSE)</f>
        <v>C49SZX20210199R1SX</v>
      </c>
      <c r="R984" s="652" t="str">
        <f>VLOOKUP(A984,'[1]Raw data'!$B:$Z,3,FALSE)</f>
        <v>湖北奕宏</v>
      </c>
      <c r="S984" s="652" t="str">
        <f>VLOOKUP(A984,'[1]Raw data'!$B:$Z,4,FALSE)</f>
        <v>YSM10</v>
      </c>
      <c r="T984" s="652" t="str">
        <f>VLOOKUP(A984,'[1]Raw data'!$B:$Z,8,FALSE)</f>
        <v>L-&gt;R</v>
      </c>
      <c r="U984" s="652" t="str">
        <f>VLOOKUP(A984,'[1]Raw data'!$B:$Z,9,FALSE)</f>
        <v>MVC+ATS15</v>
      </c>
      <c r="V984" s="572" t="str">
        <f t="shared" si="194"/>
        <v>WRONG</v>
      </c>
      <c r="W984" s="568" t="str">
        <f>VLOOKUP(A984,'[1]Raw data'!$B:$AG,32,FALSE)</f>
        <v>DDP HB</v>
      </c>
      <c r="X984" s="652">
        <f>VLOOKUP(A984,'[1]Raw data'!$B:$BA,31,FALSE)</f>
        <v>44497</v>
      </c>
      <c r="Y984" s="652" t="str">
        <f>VLOOKUP(A984,'[1]Raw data'!$B:$AS,39,FALSE)</f>
        <v>Yes</v>
      </c>
      <c r="Z984" s="664"/>
      <c r="AA984" s="665"/>
      <c r="AB984" s="666"/>
      <c r="AC984" s="652" t="s">
        <v>1867</v>
      </c>
      <c r="AD984" s="667">
        <v>301</v>
      </c>
      <c r="AE984" s="667">
        <v>10</v>
      </c>
      <c r="AF984" s="667"/>
      <c r="AG984" s="667"/>
      <c r="AH984" s="667"/>
      <c r="AI984" s="668"/>
      <c r="AN984" s="547"/>
      <c r="AO984" s="829" t="str">
        <f t="shared" si="182"/>
        <v>Yes</v>
      </c>
      <c r="AP984" s="259" t="str">
        <f t="shared" si="183"/>
        <v>DEC 21</v>
      </c>
      <c r="AQ984" s="547" t="str">
        <f t="shared" si="184"/>
        <v>有定金+有預留客戶</v>
      </c>
      <c r="AR984" s="259" t="str">
        <f t="shared" si="185"/>
        <v>Shipped_Stock</v>
      </c>
      <c r="AS984" s="259" t="str">
        <f t="shared" si="186"/>
        <v/>
      </c>
      <c r="AT984" s="259" t="str">
        <f t="shared" si="187"/>
        <v>湖北奕宏</v>
      </c>
      <c r="AU984" s="259" t="str">
        <f t="shared" si="188"/>
        <v>C49SZX20210199R1SX</v>
      </c>
      <c r="AV984" s="259" t="str">
        <f t="shared" si="189"/>
        <v>Nov-27</v>
      </c>
    </row>
    <row r="985" spans="1:48" hidden="1">
      <c r="A985" s="564">
        <v>1158</v>
      </c>
      <c r="B985" s="669" t="s">
        <v>1125</v>
      </c>
      <c r="C985" s="669" t="s">
        <v>281</v>
      </c>
      <c r="D985" s="650">
        <v>110634</v>
      </c>
      <c r="E985" s="741" t="s">
        <v>1856</v>
      </c>
      <c r="F985" s="652" t="s">
        <v>17</v>
      </c>
      <c r="G985" s="652" t="s">
        <v>18</v>
      </c>
      <c r="H985" s="652" t="s">
        <v>48</v>
      </c>
      <c r="I985" s="580" t="s">
        <v>1870</v>
      </c>
      <c r="J985" s="580">
        <v>1</v>
      </c>
      <c r="K985" s="652" t="s">
        <v>85</v>
      </c>
      <c r="L985" s="662">
        <v>44527</v>
      </c>
      <c r="M985" s="670" t="s">
        <v>906</v>
      </c>
      <c r="N985" s="652" t="s">
        <v>1819</v>
      </c>
      <c r="O985" s="580"/>
      <c r="P985" s="670" t="str">
        <f>VLOOKUP(A985,'[1]Raw data'!$B:$BA,23,FALSE)</f>
        <v>JPY</v>
      </c>
      <c r="Q985" s="652" t="str">
        <f>VLOOKUP(A985,'[1]Raw data'!$B:$Z,2,FALSE)</f>
        <v>C49SZX20210052JY</v>
      </c>
      <c r="R985" s="652" t="str">
        <f>VLOOKUP(A985,'[1]Raw data'!$B:$Z,3,FALSE)</f>
        <v>江西络鑫</v>
      </c>
      <c r="S985" s="652" t="str">
        <f>VLOOKUP(A985,'[1]Raw data'!$B:$Z,4,FALSE)</f>
        <v>YSM10</v>
      </c>
      <c r="T985" s="652" t="str">
        <f>VLOOKUP(A985,'[1]Raw data'!$B:$Z,8,FALSE)</f>
        <v>L-&gt;R</v>
      </c>
      <c r="U985" s="652" t="str">
        <f>VLOOKUP(A985,'[1]Raw data'!$B:$Z,9,FALSE)</f>
        <v>MVC+ATS15</v>
      </c>
      <c r="V985" s="572" t="str">
        <f t="shared" si="194"/>
        <v>WRONG</v>
      </c>
      <c r="W985" s="568" t="str">
        <f>VLOOKUP(A985,'[1]Raw data'!$B:$AG,32,FALSE)</f>
        <v>CIF HK</v>
      </c>
      <c r="X985" s="652">
        <f>VLOOKUP(A985,'[1]Raw data'!$B:$BA,31,FALSE)</f>
        <v>44259</v>
      </c>
      <c r="Y985" s="652" t="str">
        <f>VLOOKUP(A985,'[1]Raw data'!$B:$AS,39,FALSE)</f>
        <v>Yes</v>
      </c>
      <c r="Z985" s="664"/>
      <c r="AA985" s="665"/>
      <c r="AB985" s="666"/>
      <c r="AC985" s="652" t="s">
        <v>1773</v>
      </c>
      <c r="AD985" s="667">
        <v>302</v>
      </c>
      <c r="AE985" s="667">
        <v>10</v>
      </c>
      <c r="AF985" s="667"/>
      <c r="AG985" s="667"/>
      <c r="AH985" s="667"/>
      <c r="AI985" s="668"/>
      <c r="AN985" s="547"/>
      <c r="AO985" s="829" t="str">
        <f t="shared" si="182"/>
        <v>Yes</v>
      </c>
      <c r="AP985" s="259" t="str">
        <f t="shared" si="183"/>
        <v>DEC 21</v>
      </c>
      <c r="AQ985" s="547" t="str">
        <f t="shared" si="184"/>
        <v>有定金+有預留客戶</v>
      </c>
      <c r="AR985" s="259" t="str">
        <f t="shared" si="185"/>
        <v>Shipped_Stock</v>
      </c>
      <c r="AS985" s="259" t="str">
        <f t="shared" si="186"/>
        <v/>
      </c>
      <c r="AT985" s="259" t="str">
        <f t="shared" si="187"/>
        <v>江西络鑫</v>
      </c>
      <c r="AU985" s="259" t="str">
        <f t="shared" si="188"/>
        <v>C49SZX20210052JY</v>
      </c>
      <c r="AV985" s="259" t="str">
        <f t="shared" si="189"/>
        <v>Nov-27</v>
      </c>
    </row>
    <row r="986" spans="1:48" hidden="1">
      <c r="A986" s="564">
        <v>1159</v>
      </c>
      <c r="B986" s="669" t="s">
        <v>1125</v>
      </c>
      <c r="C986" s="669" t="s">
        <v>281</v>
      </c>
      <c r="D986" s="650">
        <v>110634</v>
      </c>
      <c r="E986" s="741" t="s">
        <v>1856</v>
      </c>
      <c r="F986" s="652" t="s">
        <v>17</v>
      </c>
      <c r="G986" s="652" t="s">
        <v>18</v>
      </c>
      <c r="H986" s="652" t="s">
        <v>48</v>
      </c>
      <c r="I986" s="580" t="s">
        <v>1871</v>
      </c>
      <c r="J986" s="580">
        <v>1</v>
      </c>
      <c r="K986" s="652" t="s">
        <v>85</v>
      </c>
      <c r="L986" s="662">
        <v>44527</v>
      </c>
      <c r="M986" s="670" t="s">
        <v>906</v>
      </c>
      <c r="N986" s="652" t="s">
        <v>1819</v>
      </c>
      <c r="O986" s="580"/>
      <c r="P986" s="670" t="str">
        <f>VLOOKUP(A986,'[1]Raw data'!$B:$BA,23,FALSE)</f>
        <v>JPY</v>
      </c>
      <c r="Q986" s="652" t="str">
        <f>VLOOKUP(A986,'[1]Raw data'!$B:$Z,2,FALSE)</f>
        <v>C49SZX20210052JY</v>
      </c>
      <c r="R986" s="652" t="str">
        <f>VLOOKUP(A986,'[1]Raw data'!$B:$Z,3,FALSE)</f>
        <v>江西络鑫</v>
      </c>
      <c r="S986" s="652" t="str">
        <f>VLOOKUP(A986,'[1]Raw data'!$B:$Z,4,FALSE)</f>
        <v>YSM10</v>
      </c>
      <c r="T986" s="652" t="str">
        <f>VLOOKUP(A986,'[1]Raw data'!$B:$Z,8,FALSE)</f>
        <v>L-&gt;R</v>
      </c>
      <c r="U986" s="652" t="str">
        <f>VLOOKUP(A986,'[1]Raw data'!$B:$Z,9,FALSE)</f>
        <v>MVC+ATS15</v>
      </c>
      <c r="V986" s="572" t="str">
        <f t="shared" si="194"/>
        <v>WRONG</v>
      </c>
      <c r="W986" s="568" t="str">
        <f>VLOOKUP(A986,'[1]Raw data'!$B:$AG,32,FALSE)</f>
        <v>CIF HK</v>
      </c>
      <c r="X986" s="652">
        <f>VLOOKUP(A986,'[1]Raw data'!$B:$BA,31,FALSE)</f>
        <v>44259</v>
      </c>
      <c r="Y986" s="652" t="str">
        <f>VLOOKUP(A986,'[1]Raw data'!$B:$AS,39,FALSE)</f>
        <v>Yes</v>
      </c>
      <c r="Z986" s="664"/>
      <c r="AA986" s="665"/>
      <c r="AB986" s="666"/>
      <c r="AC986" s="652" t="s">
        <v>1773</v>
      </c>
      <c r="AD986" s="667">
        <v>301</v>
      </c>
      <c r="AE986" s="667">
        <v>10</v>
      </c>
      <c r="AF986" s="667"/>
      <c r="AG986" s="667"/>
      <c r="AH986" s="667"/>
      <c r="AI986" s="668"/>
      <c r="AN986" s="547"/>
      <c r="AO986" s="829" t="str">
        <f t="shared" si="182"/>
        <v>Yes</v>
      </c>
      <c r="AP986" s="259" t="str">
        <f t="shared" si="183"/>
        <v>DEC 21</v>
      </c>
      <c r="AQ986" s="547" t="str">
        <f t="shared" si="184"/>
        <v>有定金+有預留客戶</v>
      </c>
      <c r="AR986" s="259" t="str">
        <f t="shared" si="185"/>
        <v>Shipped_Stock</v>
      </c>
      <c r="AS986" s="259" t="str">
        <f t="shared" si="186"/>
        <v/>
      </c>
      <c r="AT986" s="259" t="str">
        <f t="shared" si="187"/>
        <v>江西络鑫</v>
      </c>
      <c r="AU986" s="259" t="str">
        <f t="shared" si="188"/>
        <v>C49SZX20210052JY</v>
      </c>
      <c r="AV986" s="259" t="str">
        <f t="shared" si="189"/>
        <v>Nov-27</v>
      </c>
    </row>
    <row r="987" spans="1:48" hidden="1">
      <c r="A987" s="564">
        <v>1401</v>
      </c>
      <c r="B987" s="669" t="s">
        <v>1125</v>
      </c>
      <c r="C987" s="669" t="s">
        <v>281</v>
      </c>
      <c r="D987" s="650">
        <v>110620</v>
      </c>
      <c r="E987" s="741" t="s">
        <v>1872</v>
      </c>
      <c r="F987" s="652" t="s">
        <v>58</v>
      </c>
      <c r="G987" s="652" t="s">
        <v>24</v>
      </c>
      <c r="H987" s="652" t="s">
        <v>307</v>
      </c>
      <c r="I987" s="580" t="s">
        <v>1873</v>
      </c>
      <c r="J987" s="580">
        <v>1</v>
      </c>
      <c r="K987" s="652" t="s">
        <v>1732</v>
      </c>
      <c r="L987" s="662">
        <v>44523</v>
      </c>
      <c r="M987" s="670" t="s">
        <v>906</v>
      </c>
      <c r="N987" s="652" t="s">
        <v>1816</v>
      </c>
      <c r="O987" s="580"/>
      <c r="P987" s="670" t="str">
        <f>VLOOKUP(A987,'[1]Raw data'!$B:$BA,23,FALSE)</f>
        <v>JPY</v>
      </c>
      <c r="Q987" s="652" t="str">
        <f>VLOOKUP(A987,'[1]Raw data'!$B:$Z,2,FALSE)</f>
        <v>C49SZX20210157SS</v>
      </c>
      <c r="R987" s="652" t="str">
        <f>VLOOKUP(A987,'[1]Raw data'!$B:$Z,3,FALSE)</f>
        <v>艺通能</v>
      </c>
      <c r="S987" s="652" t="str">
        <f>VLOOKUP(A987,'[1]Raw data'!$B:$Z,4,FALSE)</f>
        <v>YSM20R-2</v>
      </c>
      <c r="T987" s="652" t="str">
        <f>VLOOKUP(A987,'[1]Raw data'!$B:$Z,8,FALSE)</f>
        <v>L-&gt;R</v>
      </c>
      <c r="U987" s="652" t="str">
        <f>VLOOKUP(A987,'[1]Raw data'!$B:$Z,9,FALSE)</f>
        <v>No</v>
      </c>
      <c r="V987" s="572" t="str">
        <f>IF(G987&amp;H987=T987&amp;U987,"OK","WRONG")</f>
        <v>OK</v>
      </c>
      <c r="W987" s="568" t="str">
        <f>VLOOKUP(A987,'[1]Raw data'!$B:$AG,32,FALSE)</f>
        <v>DAP SZ</v>
      </c>
      <c r="X987" s="652">
        <f>VLOOKUP(A987,'[1]Raw data'!$B:$BA,31,FALSE)</f>
        <v>44343</v>
      </c>
      <c r="Y987" s="652" t="str">
        <f>VLOOKUP(A987,'[1]Raw data'!$B:$AS,39,FALSE)</f>
        <v>Yes</v>
      </c>
      <c r="Z987" s="667"/>
      <c r="AA987" s="667"/>
      <c r="AB987" s="667"/>
      <c r="AC987" s="580" t="s">
        <v>1874</v>
      </c>
      <c r="AD987" s="667">
        <v>313</v>
      </c>
      <c r="AE987" s="668">
        <v>10</v>
      </c>
      <c r="AF987" s="576">
        <v>304</v>
      </c>
      <c r="AG987" s="576">
        <v>10</v>
      </c>
      <c r="AI987" s="576"/>
      <c r="AJ987" s="547"/>
      <c r="AK987" s="547"/>
      <c r="AL987" s="547"/>
      <c r="AM987" s="547"/>
      <c r="AN987" s="547"/>
      <c r="AO987" s="829" t="str">
        <f t="shared" si="182"/>
        <v>Yes</v>
      </c>
      <c r="AP987" s="259" t="str">
        <f t="shared" si="183"/>
        <v>NOV 21</v>
      </c>
      <c r="AQ987" s="547" t="str">
        <f t="shared" si="184"/>
        <v>有定金+有預留客戶</v>
      </c>
      <c r="AR987" s="259" t="str">
        <f t="shared" si="185"/>
        <v>Shipped_Stock</v>
      </c>
      <c r="AS987" s="259" t="str">
        <f t="shared" si="186"/>
        <v/>
      </c>
      <c r="AT987" s="259" t="str">
        <f t="shared" si="187"/>
        <v>艺通能</v>
      </c>
      <c r="AU987" s="259" t="str">
        <f t="shared" si="188"/>
        <v>C49SZX20210157SS</v>
      </c>
      <c r="AV987" s="259" t="str">
        <f t="shared" si="189"/>
        <v>Nov-23</v>
      </c>
    </row>
    <row r="988" spans="1:48" hidden="1">
      <c r="A988" s="564">
        <v>1377</v>
      </c>
      <c r="B988" s="669" t="s">
        <v>1125</v>
      </c>
      <c r="C988" s="669" t="s">
        <v>281</v>
      </c>
      <c r="D988" s="650">
        <v>110620</v>
      </c>
      <c r="E988" s="749" t="s">
        <v>1872</v>
      </c>
      <c r="F988" s="652" t="s">
        <v>58</v>
      </c>
      <c r="G988" s="652" t="s">
        <v>24</v>
      </c>
      <c r="H988" s="652" t="s">
        <v>307</v>
      </c>
      <c r="I988" s="580" t="s">
        <v>1875</v>
      </c>
      <c r="J988" s="580">
        <v>1</v>
      </c>
      <c r="K988" s="652" t="s">
        <v>1732</v>
      </c>
      <c r="L988" s="662">
        <v>44523</v>
      </c>
      <c r="M988" s="670" t="s">
        <v>1077</v>
      </c>
      <c r="N988" s="652" t="s">
        <v>1816</v>
      </c>
      <c r="O988" s="580"/>
      <c r="P988" s="670" t="str">
        <f>VLOOKUP(A988,'[1]Raw data'!$B:$BA,23,FALSE)</f>
        <v>JPY</v>
      </c>
      <c r="Q988" s="652" t="str">
        <f>VLOOKUP(A988,'[1]Raw data'!$B:$Z,2,FALSE)</f>
        <v>C49SZX20210151SX</v>
      </c>
      <c r="R988" s="652" t="str">
        <f>VLOOKUP(A988,'[1]Raw data'!$B:$Z,3,FALSE)</f>
        <v>龙腾共创</v>
      </c>
      <c r="S988" s="652" t="str">
        <f>VLOOKUP(A988,'[1]Raw data'!$B:$Z,4,FALSE)</f>
        <v>YSM20R-2</v>
      </c>
      <c r="T988" s="652" t="str">
        <f>VLOOKUP(A988,'[1]Raw data'!$B:$Z,8,FALSE)</f>
        <v>L-&gt;R</v>
      </c>
      <c r="U988" s="652" t="str">
        <f>VLOOKUP(A988,'[1]Raw data'!$B:$Z,9,FALSE)</f>
        <v>MVC</v>
      </c>
      <c r="V988" s="572" t="str">
        <f>IF(G988&amp;H988=T988&amp;U988,"OK","WRONG")</f>
        <v>WRONG</v>
      </c>
      <c r="W988" s="568" t="str">
        <f>VLOOKUP(A988,'[1]Raw data'!$B:$AG,32,FALSE)</f>
        <v>DAP SZ</v>
      </c>
      <c r="X988" s="652">
        <f>VLOOKUP(A988,'[1]Raw data'!$B:$BA,31,FALSE)</f>
        <v>44336</v>
      </c>
      <c r="Y988" s="652" t="str">
        <f>VLOOKUP(A988,'[1]Raw data'!$B:$AS,39,FALSE)</f>
        <v>Yes</v>
      </c>
      <c r="Z988" s="664"/>
      <c r="AA988" s="665"/>
      <c r="AB988" s="666"/>
      <c r="AC988" s="652" t="s">
        <v>1876</v>
      </c>
      <c r="AD988" s="667">
        <v>303</v>
      </c>
      <c r="AE988" s="667">
        <v>10</v>
      </c>
      <c r="AF988" s="667">
        <v>304</v>
      </c>
      <c r="AG988" s="667">
        <v>10</v>
      </c>
      <c r="AH988" s="667"/>
      <c r="AI988" s="668"/>
      <c r="AN988" s="547"/>
      <c r="AO988" s="829" t="str">
        <f t="shared" si="182"/>
        <v>Yes</v>
      </c>
      <c r="AP988" s="259" t="str">
        <f t="shared" si="183"/>
        <v>NOV 21</v>
      </c>
      <c r="AQ988" s="547" t="str">
        <f t="shared" si="184"/>
        <v>有定金+有預留客戶</v>
      </c>
      <c r="AR988" s="259" t="str">
        <f t="shared" si="185"/>
        <v>Shipped_Stock</v>
      </c>
      <c r="AS988" s="259" t="str">
        <f t="shared" si="186"/>
        <v/>
      </c>
      <c r="AT988" s="259" t="str">
        <f t="shared" si="187"/>
        <v>龙腾共创</v>
      </c>
      <c r="AU988" s="259" t="str">
        <f t="shared" si="188"/>
        <v>C49SZX20210151SX</v>
      </c>
      <c r="AV988" s="259" t="str">
        <f t="shared" si="189"/>
        <v>Nov-23</v>
      </c>
    </row>
    <row r="989" spans="1:48" hidden="1">
      <c r="A989" s="564">
        <v>1407</v>
      </c>
      <c r="B989" s="669" t="s">
        <v>1125</v>
      </c>
      <c r="C989" s="669" t="s">
        <v>281</v>
      </c>
      <c r="D989" s="650">
        <v>110617</v>
      </c>
      <c r="E989" s="749" t="s">
        <v>1877</v>
      </c>
      <c r="F989" s="652" t="s">
        <v>58</v>
      </c>
      <c r="G989" s="652" t="s">
        <v>24</v>
      </c>
      <c r="H989" s="652" t="s">
        <v>102</v>
      </c>
      <c r="I989" s="580" t="s">
        <v>1878</v>
      </c>
      <c r="J989" s="580">
        <v>1</v>
      </c>
      <c r="K989" s="652" t="s">
        <v>1732</v>
      </c>
      <c r="L989" s="662">
        <v>44523</v>
      </c>
      <c r="M989" s="670" t="s">
        <v>906</v>
      </c>
      <c r="N989" s="652" t="s">
        <v>1816</v>
      </c>
      <c r="O989" s="580"/>
      <c r="P989" s="670" t="str">
        <f>VLOOKUP(A989,'[1]Raw data'!$B:$BA,23,FALSE)</f>
        <v>JPY</v>
      </c>
      <c r="Q989" s="652" t="str">
        <f>VLOOKUP(A989,'[1]Raw data'!$B:$Z,2,FALSE)</f>
        <v>C49SZX20210141DZ</v>
      </c>
      <c r="R989" s="652" t="str">
        <f>VLOOKUP(A989,'[1]Raw data'!$B:$Z,3,FALSE)</f>
        <v>比泰利</v>
      </c>
      <c r="S989" s="652" t="str">
        <f>VLOOKUP(A989,'[1]Raw data'!$B:$Z,4,FALSE)</f>
        <v>YSM20R-2</v>
      </c>
      <c r="T989" s="652" t="str">
        <f>VLOOKUP(A989,'[1]Raw data'!$B:$Z,8,FALSE)</f>
        <v>L-&gt;R</v>
      </c>
      <c r="U989" s="652" t="str">
        <f>VLOOKUP(A989,'[1]Raw data'!$B:$Z,9,FALSE)</f>
        <v>MVC F&amp;R</v>
      </c>
      <c r="V989" s="572" t="str">
        <f>IF(G989&amp;H989=T989&amp;U989,"OK","WRONG")</f>
        <v>OK</v>
      </c>
      <c r="W989" s="568" t="str">
        <f>VLOOKUP(A989,'[1]Raw data'!$B:$AG,32,FALSE)</f>
        <v>DAP SZ</v>
      </c>
      <c r="X989" s="652">
        <f>VLOOKUP(A989,'[1]Raw data'!$B:$BA,31,FALSE)</f>
        <v>44355</v>
      </c>
      <c r="Y989" s="652" t="str">
        <f>VLOOKUP(A989,'[1]Raw data'!$B:$AS,39,FALSE)</f>
        <v>Yes</v>
      </c>
      <c r="Z989" s="664"/>
      <c r="AA989" s="665"/>
      <c r="AB989" s="666"/>
      <c r="AC989" s="652" t="s">
        <v>678</v>
      </c>
      <c r="AD989" s="667">
        <v>302</v>
      </c>
      <c r="AE989" s="667">
        <v>10</v>
      </c>
      <c r="AF989" s="667">
        <v>301</v>
      </c>
      <c r="AG989" s="667">
        <v>10</v>
      </c>
      <c r="AH989" s="667"/>
      <c r="AI989" s="668"/>
      <c r="AN989" s="547"/>
      <c r="AO989" s="829" t="str">
        <f t="shared" si="182"/>
        <v>Yes</v>
      </c>
      <c r="AP989" s="259" t="str">
        <f t="shared" si="183"/>
        <v>NOV 21</v>
      </c>
      <c r="AQ989" s="547" t="str">
        <f t="shared" si="184"/>
        <v>有定金+有預留客戶</v>
      </c>
      <c r="AR989" s="259" t="str">
        <f t="shared" si="185"/>
        <v>Shipped_Stock</v>
      </c>
      <c r="AS989" s="259" t="str">
        <f t="shared" si="186"/>
        <v/>
      </c>
      <c r="AT989" s="259" t="str">
        <f t="shared" si="187"/>
        <v>比泰利</v>
      </c>
      <c r="AU989" s="259" t="str">
        <f t="shared" si="188"/>
        <v>C49SZX20210141DZ</v>
      </c>
      <c r="AV989" s="259" t="str">
        <f t="shared" si="189"/>
        <v>Nov-23</v>
      </c>
    </row>
    <row r="990" spans="1:48" hidden="1">
      <c r="A990" s="564">
        <v>1406</v>
      </c>
      <c r="B990" s="669" t="s">
        <v>1125</v>
      </c>
      <c r="C990" s="669" t="s">
        <v>281</v>
      </c>
      <c r="D990" s="650">
        <v>110617</v>
      </c>
      <c r="E990" s="749" t="s">
        <v>1877</v>
      </c>
      <c r="F990" s="652" t="s">
        <v>58</v>
      </c>
      <c r="G990" s="652" t="s">
        <v>24</v>
      </c>
      <c r="H990" s="652" t="s">
        <v>1879</v>
      </c>
      <c r="I990" s="580" t="s">
        <v>1880</v>
      </c>
      <c r="J990" s="580">
        <v>1</v>
      </c>
      <c r="K990" s="652" t="s">
        <v>1732</v>
      </c>
      <c r="L990" s="662">
        <v>44523</v>
      </c>
      <c r="M990" s="670" t="s">
        <v>906</v>
      </c>
      <c r="N990" s="652" t="s">
        <v>1816</v>
      </c>
      <c r="O990" s="580"/>
      <c r="P990" s="670" t="str">
        <f>VLOOKUP(A990,'[1]Raw data'!$B:$BA,23,FALSE)</f>
        <v>JPY</v>
      </c>
      <c r="Q990" s="652" t="str">
        <f>VLOOKUP(A990,'[1]Raw data'!$B:$Z,2,FALSE)</f>
        <v>C49SZX20210141DZ</v>
      </c>
      <c r="R990" s="652" t="str">
        <f>VLOOKUP(A990,'[1]Raw data'!$B:$Z,3,FALSE)</f>
        <v>比泰利</v>
      </c>
      <c r="S990" s="652" t="str">
        <f>VLOOKUP(A990,'[1]Raw data'!$B:$Z,4,FALSE)</f>
        <v>YSM20R-2</v>
      </c>
      <c r="T990" s="652" t="str">
        <f>VLOOKUP(A990,'[1]Raw data'!$B:$Z,8,FALSE)</f>
        <v>L-&gt;R</v>
      </c>
      <c r="U990" s="652" t="str">
        <f>VLOOKUP(A990,'[1]Raw data'!$B:$Z,9,FALSE)</f>
        <v>cATS30+MVC(F&amp;R)+15pallet for cATS30+交换台车</v>
      </c>
      <c r="V990" s="572" t="str">
        <f>IF(G990&amp;H990=T990&amp;U990,"OK","WRONG")</f>
        <v>OK</v>
      </c>
      <c r="W990" s="568" t="str">
        <f>VLOOKUP(A990,'[1]Raw data'!$B:$AG,32,FALSE)</f>
        <v>DAP SZ</v>
      </c>
      <c r="X990" s="652">
        <f>VLOOKUP(A990,'[1]Raw data'!$B:$BA,31,FALSE)</f>
        <v>44355</v>
      </c>
      <c r="Y990" s="652" t="str">
        <f>VLOOKUP(A990,'[1]Raw data'!$B:$AS,39,FALSE)</f>
        <v>Yes</v>
      </c>
      <c r="Z990" s="664"/>
      <c r="AA990" s="665"/>
      <c r="AB990" s="666"/>
      <c r="AC990" s="652" t="s">
        <v>678</v>
      </c>
      <c r="AD990" s="667">
        <v>302</v>
      </c>
      <c r="AE990" s="667">
        <v>10</v>
      </c>
      <c r="AF990" s="667">
        <v>301</v>
      </c>
      <c r="AG990" s="667">
        <v>10</v>
      </c>
      <c r="AH990" s="667"/>
      <c r="AI990" s="668"/>
      <c r="AN990" s="547"/>
      <c r="AO990" s="829" t="str">
        <f t="shared" si="182"/>
        <v>Yes</v>
      </c>
      <c r="AP990" s="259" t="str">
        <f t="shared" si="183"/>
        <v>NOV 21</v>
      </c>
      <c r="AQ990" s="547" t="str">
        <f t="shared" si="184"/>
        <v>有定金+有預留客戶</v>
      </c>
      <c r="AR990" s="259" t="str">
        <f t="shared" si="185"/>
        <v>Shipped_Stock</v>
      </c>
      <c r="AS990" s="259" t="str">
        <f t="shared" si="186"/>
        <v/>
      </c>
      <c r="AT990" s="259" t="str">
        <f t="shared" si="187"/>
        <v>比泰利</v>
      </c>
      <c r="AU990" s="259" t="str">
        <f t="shared" si="188"/>
        <v>C49SZX20210141DZ</v>
      </c>
      <c r="AV990" s="259" t="str">
        <f t="shared" si="189"/>
        <v>Nov-23</v>
      </c>
    </row>
    <row r="991" spans="1:48" hidden="1">
      <c r="A991" s="564">
        <v>1354</v>
      </c>
      <c r="B991" s="669" t="s">
        <v>1125</v>
      </c>
      <c r="C991" s="669" t="s">
        <v>281</v>
      </c>
      <c r="D991" s="650">
        <v>110619</v>
      </c>
      <c r="E991" s="749" t="s">
        <v>1881</v>
      </c>
      <c r="F991" s="652" t="s">
        <v>154</v>
      </c>
      <c r="G991" s="652" t="s">
        <v>24</v>
      </c>
      <c r="H991" s="652" t="s">
        <v>1740</v>
      </c>
      <c r="I991" s="580" t="s">
        <v>1882</v>
      </c>
      <c r="J991" s="580">
        <v>1</v>
      </c>
      <c r="K991" s="652" t="s">
        <v>1732</v>
      </c>
      <c r="L991" s="662">
        <v>44523</v>
      </c>
      <c r="M991" s="670" t="s">
        <v>906</v>
      </c>
      <c r="N991" s="652" t="s">
        <v>1816</v>
      </c>
      <c r="O991" s="580"/>
      <c r="P991" s="670" t="str">
        <f>VLOOKUP(A991,'[1]Raw data'!$B:$BA,23,FALSE)</f>
        <v>JPY</v>
      </c>
      <c r="Q991" s="652" t="str">
        <f>VLOOKUP(A991,'[1]Raw data'!$B:$Z,2,FALSE)</f>
        <v>C49SZX20210133EC</v>
      </c>
      <c r="R991" s="652" t="str">
        <f>VLOOKUP(A991,'[1]Raw data'!$B:$Z,3,FALSE)</f>
        <v>海红天远</v>
      </c>
      <c r="S991" s="652" t="str">
        <f>VLOOKUP(A991,'[1]Raw data'!$B:$Z,4,FALSE)</f>
        <v>YSM20WR-2</v>
      </c>
      <c r="T991" s="652" t="str">
        <f>VLOOKUP(A991,'[1]Raw data'!$B:$Z,8,FALSE)</f>
        <v>L-&gt;R</v>
      </c>
      <c r="U991" s="652" t="str">
        <f>VLOOKUP(A991,'[1]Raw data'!$B:$Z,9,FALSE)</f>
        <v>cATS10+MVC(F&amp;R)+Feeder Carriage</v>
      </c>
      <c r="V991" s="572" t="str">
        <f>IF(G991&amp;H991=T991&amp;U991,"OK","WRONG")</f>
        <v>OK</v>
      </c>
      <c r="W991" s="568" t="str">
        <f>VLOOKUP(A991,'[1]Raw data'!$B:$AG,32,FALSE)</f>
        <v>CIF HK</v>
      </c>
      <c r="X991" s="652">
        <f>VLOOKUP(A991,'[1]Raw data'!$B:$BA,31,FALSE)</f>
        <v>44314</v>
      </c>
      <c r="Y991" s="652" t="str">
        <f>VLOOKUP(A991,'[1]Raw data'!$B:$AS,39,FALSE)</f>
        <v>Yes</v>
      </c>
      <c r="Z991" s="664"/>
      <c r="AA991" s="665"/>
      <c r="AB991" s="666"/>
      <c r="AC991" s="652" t="s">
        <v>1079</v>
      </c>
      <c r="AD991" s="667">
        <v>301</v>
      </c>
      <c r="AE991" s="667">
        <v>12</v>
      </c>
      <c r="AF991" s="667">
        <v>303</v>
      </c>
      <c r="AG991" s="667">
        <v>6</v>
      </c>
      <c r="AH991" s="667">
        <v>304</v>
      </c>
      <c r="AI991" s="668">
        <v>4</v>
      </c>
      <c r="AN991" s="547"/>
      <c r="AO991" s="829" t="str">
        <f t="shared" si="182"/>
        <v>Yes</v>
      </c>
      <c r="AP991" s="259" t="str">
        <f t="shared" si="183"/>
        <v>NOV 21</v>
      </c>
      <c r="AQ991" s="547" t="str">
        <f t="shared" si="184"/>
        <v>有定金+有預留客戶</v>
      </c>
      <c r="AR991" s="259" t="str">
        <f t="shared" si="185"/>
        <v>Shipped_Stock</v>
      </c>
      <c r="AS991" s="259" t="str">
        <f t="shared" si="186"/>
        <v/>
      </c>
      <c r="AT991" s="259" t="str">
        <f t="shared" si="187"/>
        <v>海红天远</v>
      </c>
      <c r="AU991" s="259" t="str">
        <f t="shared" si="188"/>
        <v>C49SZX20210133EC</v>
      </c>
      <c r="AV991" s="259" t="str">
        <f t="shared" si="189"/>
        <v>Nov-23</v>
      </c>
    </row>
    <row r="992" spans="1:48" hidden="1">
      <c r="A992" s="564">
        <v>1456</v>
      </c>
      <c r="B992" s="669" t="s">
        <v>1125</v>
      </c>
      <c r="C992" s="669" t="s">
        <v>281</v>
      </c>
      <c r="D992" s="650">
        <v>110618</v>
      </c>
      <c r="E992" s="749" t="s">
        <v>1883</v>
      </c>
      <c r="F992" s="652" t="s">
        <v>17</v>
      </c>
      <c r="G992" s="652" t="s">
        <v>24</v>
      </c>
      <c r="H992" s="652" t="s">
        <v>1884</v>
      </c>
      <c r="I992" s="580" t="s">
        <v>1885</v>
      </c>
      <c r="J992" s="580">
        <v>1</v>
      </c>
      <c r="K992" s="652" t="s">
        <v>1358</v>
      </c>
      <c r="L992" s="662">
        <v>44526</v>
      </c>
      <c r="M992" s="670" t="s">
        <v>906</v>
      </c>
      <c r="N992" s="652" t="s">
        <v>1819</v>
      </c>
      <c r="O992" s="580"/>
      <c r="P992" s="670" t="str">
        <f>VLOOKUP(A992,'[1]Raw data'!$B:$BA,23,FALSE)</f>
        <v>JPY</v>
      </c>
      <c r="Q992" s="652" t="str">
        <f>VLOOKUP(A992,'[1]Raw data'!$B:$Z,2,FALSE)</f>
        <v>C49SZX20210160EC</v>
      </c>
      <c r="R992" s="652" t="str">
        <f>VLOOKUP(A992,'[1]Raw data'!$B:$Z,3,FALSE)</f>
        <v>新明海</v>
      </c>
      <c r="S992" s="652" t="str">
        <f>VLOOKUP(A992,'[1]Raw data'!$B:$Z,4,FALSE)</f>
        <v>YSM10</v>
      </c>
      <c r="T992" s="652" t="str">
        <f>VLOOKUP(A992,'[1]Raw data'!$B:$Z,8,FALSE)</f>
        <v>R-&gt;L</v>
      </c>
      <c r="U992" s="652" t="str">
        <f>VLOOKUP(A992,'[1]Raw data'!$B:$Z,9,FALSE)</f>
        <v>MVC+Rear 站位</v>
      </c>
      <c r="V992" s="572" t="str">
        <f t="shared" ref="V992:V993" si="195">IF(G992&amp;H992=T992&amp;U992,"OK","WRONG")</f>
        <v>WRONG</v>
      </c>
      <c r="W992" s="568" t="str">
        <f>VLOOKUP(A992,'[1]Raw data'!$B:$AG,32,FALSE)</f>
        <v>DAP HZ</v>
      </c>
      <c r="X992" s="652">
        <f>VLOOKUP(A992,'[1]Raw data'!$B:$BA,31,FALSE)</f>
        <v>44382</v>
      </c>
      <c r="Y992" s="652" t="str">
        <f>VLOOKUP(A992,'[1]Raw data'!$B:$AS,39,FALSE)</f>
        <v>Yes</v>
      </c>
      <c r="Z992" s="664"/>
      <c r="AA992" s="665"/>
      <c r="AB992" s="666"/>
      <c r="AC992" s="652" t="s">
        <v>834</v>
      </c>
      <c r="AD992" s="667">
        <v>302</v>
      </c>
      <c r="AE992" s="667">
        <v>10</v>
      </c>
      <c r="AF992" s="667"/>
      <c r="AG992" s="667"/>
      <c r="AH992" s="667"/>
      <c r="AI992" s="668"/>
      <c r="AN992" s="547"/>
      <c r="AO992" s="829" t="str">
        <f t="shared" si="182"/>
        <v>Yes</v>
      </c>
      <c r="AP992" s="259" t="str">
        <f t="shared" si="183"/>
        <v>DEC 21</v>
      </c>
      <c r="AQ992" s="547" t="str">
        <f t="shared" si="184"/>
        <v>有定金+有預留客戶</v>
      </c>
      <c r="AR992" s="259" t="str">
        <f t="shared" si="185"/>
        <v>Shipped_Stock</v>
      </c>
      <c r="AS992" s="259" t="str">
        <f t="shared" si="186"/>
        <v/>
      </c>
      <c r="AT992" s="259" t="str">
        <f t="shared" si="187"/>
        <v>新明海</v>
      </c>
      <c r="AU992" s="259" t="str">
        <f t="shared" si="188"/>
        <v>C49SZX20210160EC</v>
      </c>
      <c r="AV992" s="259" t="str">
        <f t="shared" si="189"/>
        <v>Nov-26</v>
      </c>
    </row>
    <row r="993" spans="1:48" hidden="1">
      <c r="A993" s="564">
        <v>1454</v>
      </c>
      <c r="B993" s="669" t="s">
        <v>1125</v>
      </c>
      <c r="C993" s="669" t="s">
        <v>281</v>
      </c>
      <c r="D993" s="650">
        <v>110618</v>
      </c>
      <c r="E993" s="749" t="s">
        <v>1883</v>
      </c>
      <c r="F993" s="652" t="s">
        <v>17</v>
      </c>
      <c r="G993" s="652" t="s">
        <v>24</v>
      </c>
      <c r="H993" s="652" t="s">
        <v>1884</v>
      </c>
      <c r="I993" s="580" t="s">
        <v>1886</v>
      </c>
      <c r="J993" s="580">
        <v>1</v>
      </c>
      <c r="K993" s="652" t="s">
        <v>1358</v>
      </c>
      <c r="L993" s="662">
        <v>44526</v>
      </c>
      <c r="M993" s="670" t="s">
        <v>906</v>
      </c>
      <c r="N993" s="652" t="s">
        <v>1819</v>
      </c>
      <c r="O993" s="580"/>
      <c r="P993" s="670" t="str">
        <f>VLOOKUP(A993,'[1]Raw data'!$B:$BA,23,FALSE)</f>
        <v>JPY</v>
      </c>
      <c r="Q993" s="652" t="str">
        <f>VLOOKUP(A993,'[1]Raw data'!$B:$Z,2,FALSE)</f>
        <v>C49SZX20210160EC</v>
      </c>
      <c r="R993" s="652" t="str">
        <f>VLOOKUP(A993,'[1]Raw data'!$B:$Z,3,FALSE)</f>
        <v>新明海</v>
      </c>
      <c r="S993" s="652" t="str">
        <f>VLOOKUP(A993,'[1]Raw data'!$B:$Z,4,FALSE)</f>
        <v>YSM10</v>
      </c>
      <c r="T993" s="652" t="str">
        <f>VLOOKUP(A993,'[1]Raw data'!$B:$Z,8,FALSE)</f>
        <v>L-&gt;R</v>
      </c>
      <c r="U993" s="652" t="str">
        <f>VLOOKUP(A993,'[1]Raw data'!$B:$Z,9,FALSE)</f>
        <v>MVC+Rear 站位</v>
      </c>
      <c r="V993" s="572" t="str">
        <f t="shared" si="195"/>
        <v>WRONG</v>
      </c>
      <c r="W993" s="568" t="str">
        <f>VLOOKUP(A993,'[1]Raw data'!$B:$AG,32,FALSE)</f>
        <v>DAP HZ</v>
      </c>
      <c r="X993" s="652">
        <f>VLOOKUP(A993,'[1]Raw data'!$B:$BA,31,FALSE)</f>
        <v>44382</v>
      </c>
      <c r="Y993" s="652" t="str">
        <f>VLOOKUP(A993,'[1]Raw data'!$B:$AS,39,FALSE)</f>
        <v>Yes</v>
      </c>
      <c r="Z993" s="664"/>
      <c r="AA993" s="665"/>
      <c r="AB993" s="666"/>
      <c r="AC993" s="652" t="s">
        <v>834</v>
      </c>
      <c r="AD993" s="667">
        <v>302</v>
      </c>
      <c r="AE993" s="667">
        <v>10</v>
      </c>
      <c r="AF993" s="667"/>
      <c r="AG993" s="667"/>
      <c r="AH993" s="667"/>
      <c r="AI993" s="668"/>
      <c r="AN993" s="547"/>
      <c r="AO993" s="829" t="str">
        <f t="shared" si="182"/>
        <v>Yes</v>
      </c>
      <c r="AP993" s="259" t="str">
        <f t="shared" si="183"/>
        <v>DEC 21</v>
      </c>
      <c r="AQ993" s="547" t="str">
        <f t="shared" si="184"/>
        <v>有定金+有預留客戶</v>
      </c>
      <c r="AR993" s="259" t="str">
        <f t="shared" si="185"/>
        <v>Shipped_Stock</v>
      </c>
      <c r="AS993" s="259" t="str">
        <f t="shared" si="186"/>
        <v/>
      </c>
      <c r="AT993" s="259" t="str">
        <f t="shared" si="187"/>
        <v>新明海</v>
      </c>
      <c r="AU993" s="259" t="str">
        <f t="shared" si="188"/>
        <v>C49SZX20210160EC</v>
      </c>
      <c r="AV993" s="259" t="str">
        <f t="shared" si="189"/>
        <v>Nov-26</v>
      </c>
    </row>
    <row r="994" spans="1:48" hidden="1">
      <c r="A994" s="564">
        <v>1513</v>
      </c>
      <c r="B994" s="669" t="s">
        <v>1125</v>
      </c>
      <c r="C994" s="669" t="s">
        <v>15</v>
      </c>
      <c r="D994" s="650" t="s">
        <v>1887</v>
      </c>
      <c r="E994" s="741" t="s">
        <v>1888</v>
      </c>
      <c r="F994" s="652" t="s">
        <v>58</v>
      </c>
      <c r="G994" s="652" t="s">
        <v>24</v>
      </c>
      <c r="H994" s="652" t="s">
        <v>26</v>
      </c>
      <c r="I994" s="580" t="s">
        <v>1889</v>
      </c>
      <c r="J994" s="580">
        <v>1</v>
      </c>
      <c r="K994" s="652" t="s">
        <v>1419</v>
      </c>
      <c r="L994" s="662" t="s">
        <v>3983</v>
      </c>
      <c r="M994" s="670" t="s">
        <v>1807</v>
      </c>
      <c r="N994" s="652" t="s">
        <v>1890</v>
      </c>
      <c r="O994" s="580"/>
      <c r="P994" s="670" t="str">
        <f>VLOOKUP(A994,'[1]Raw data'!$B:$BA,23,FALSE)</f>
        <v>RMB</v>
      </c>
      <c r="Q994" s="652" t="str">
        <f>VLOOKUP(A994,'[1]Raw data'!$B:$Z,2,FALSE)</f>
        <v>C49SZX20210216AY</v>
      </c>
      <c r="R994" s="652" t="str">
        <f>VLOOKUP(A994,'[1]Raw data'!$B:$Z,3,FALSE)</f>
        <v>勃旭</v>
      </c>
      <c r="S994" s="652" t="str">
        <f>VLOOKUP(A994,'[1]Raw data'!$B:$Z,4,FALSE)</f>
        <v>YSM20R-2</v>
      </c>
      <c r="T994" s="652" t="str">
        <f>VLOOKUP(A994,'[1]Raw data'!$B:$Z,8,FALSE)</f>
        <v>L-&gt;R</v>
      </c>
      <c r="U994" s="652" t="str">
        <f>VLOOKUP(A994,'[1]Raw data'!$B:$Z,9,FALSE)</f>
        <v>No</v>
      </c>
      <c r="V994" s="572" t="str">
        <f>IF(G994&amp;H994=T994&amp;U994,"OK","WRONG")</f>
        <v>OK</v>
      </c>
      <c r="W994" s="568" t="str">
        <f>VLOOKUP(A994,'[1]Raw data'!$B:$AG,32,FALSE)</f>
        <v>DDP SZ</v>
      </c>
      <c r="X994" s="652">
        <f>VLOOKUP(A994,'[1]Raw data'!$B:$BA,31,FALSE)</f>
        <v>44537</v>
      </c>
      <c r="Y994" s="652" t="str">
        <f>VLOOKUP(A994,'[1]Raw data'!$B:$AS,39,FALSE)</f>
        <v>Yes</v>
      </c>
      <c r="Z994" s="671"/>
      <c r="AA994" s="665"/>
      <c r="AB994" s="666"/>
      <c r="AC994" s="652" t="s">
        <v>1891</v>
      </c>
      <c r="AD994" s="667">
        <v>302</v>
      </c>
      <c r="AE994" s="667">
        <v>20</v>
      </c>
      <c r="AF994" s="667"/>
      <c r="AG994" s="667"/>
      <c r="AH994" s="667"/>
      <c r="AI994" s="668"/>
      <c r="AN994" s="547"/>
      <c r="AO994" s="829" t="str">
        <f t="shared" si="182"/>
        <v>Yes</v>
      </c>
      <c r="AP994" s="259" t="str">
        <f t="shared" si="183"/>
        <v>FEB 22</v>
      </c>
      <c r="AQ994" s="547" t="str">
        <f t="shared" si="184"/>
        <v>有定金+有預留客戶</v>
      </c>
      <c r="AR994" s="259" t="str">
        <f t="shared" si="185"/>
        <v>Shipped_Stock</v>
      </c>
      <c r="AS994" s="259" t="str">
        <f t="shared" si="186"/>
        <v/>
      </c>
      <c r="AT994" s="259" t="str">
        <f t="shared" si="187"/>
        <v>勃旭</v>
      </c>
      <c r="AU994" s="259" t="str">
        <f t="shared" si="188"/>
        <v>C49SZX20210216AY</v>
      </c>
      <c r="AV994" s="259" t="str">
        <f t="shared" si="189"/>
        <v>2021-12-7Yamaha 仓库</v>
      </c>
    </row>
    <row r="995" spans="1:48" hidden="1">
      <c r="A995" s="564">
        <v>1092</v>
      </c>
      <c r="B995" s="669" t="s">
        <v>1125</v>
      </c>
      <c r="C995" s="669" t="s">
        <v>15</v>
      </c>
      <c r="D995" s="650" t="s">
        <v>1892</v>
      </c>
      <c r="E995" s="741" t="s">
        <v>1893</v>
      </c>
      <c r="F995" s="652" t="s">
        <v>58</v>
      </c>
      <c r="G995" s="652" t="s">
        <v>24</v>
      </c>
      <c r="H995" s="652" t="s">
        <v>26</v>
      </c>
      <c r="I995" s="580" t="s">
        <v>1894</v>
      </c>
      <c r="J995" s="580">
        <v>1</v>
      </c>
      <c r="K995" s="652" t="s">
        <v>1419</v>
      </c>
      <c r="L995" s="662" t="s">
        <v>3982</v>
      </c>
      <c r="M995" s="670" t="s">
        <v>1807</v>
      </c>
      <c r="N995" s="652" t="s">
        <v>1895</v>
      </c>
      <c r="O995" s="580"/>
      <c r="P995" s="670" t="str">
        <f>VLOOKUP(A995,'[1]Raw data'!$B:$BA,23,FALSE)</f>
        <v>JPY</v>
      </c>
      <c r="Q995" s="652" t="str">
        <f>VLOOKUP(A995,'[1]Raw data'!$B:$Z,2,FALSE)</f>
        <v>C49SZX20210031SX</v>
      </c>
      <c r="R995" s="652" t="str">
        <f>VLOOKUP(A995,'[1]Raw data'!$B:$Z,3,FALSE)</f>
        <v>益田科技</v>
      </c>
      <c r="S995" s="652" t="str">
        <f>VLOOKUP(A995,'[1]Raw data'!$B:$Z,4,FALSE)</f>
        <v>YSM20R-2</v>
      </c>
      <c r="T995" s="652" t="str">
        <f>VLOOKUP(A995,'[1]Raw data'!$B:$Z,8,FALSE)</f>
        <v>L-&gt;R</v>
      </c>
      <c r="U995" s="652" t="str">
        <f>VLOOKUP(A995,'[1]Raw data'!$B:$Z,9,FALSE)</f>
        <v>No</v>
      </c>
      <c r="V995" s="572" t="str">
        <f>IF(G995&amp;H995=T995&amp;U995,"OK","WRONG")</f>
        <v>OK</v>
      </c>
      <c r="W995" s="568" t="str">
        <f>VLOOKUP(A995,'[1]Raw data'!$B:$AG,32,FALSE)</f>
        <v>DAP SZ</v>
      </c>
      <c r="X995" s="652">
        <f>VLOOKUP(A995,'[1]Raw data'!$B:$BA,31,FALSE)</f>
        <v>44222</v>
      </c>
      <c r="Y995" s="652" t="str">
        <f>VLOOKUP(A995,'[1]Raw data'!$B:$AS,39,FALSE)</f>
        <v>Yes</v>
      </c>
      <c r="Z995" s="671"/>
      <c r="AA995" s="672"/>
      <c r="AB995" s="673"/>
      <c r="AC995" s="652" t="s">
        <v>1172</v>
      </c>
      <c r="AD995" s="667">
        <v>301</v>
      </c>
      <c r="AE995" s="667">
        <v>20</v>
      </c>
      <c r="AH995" s="667"/>
      <c r="AI995" s="668"/>
      <c r="AN995" s="547"/>
      <c r="AO995" s="829" t="str">
        <f t="shared" si="182"/>
        <v>Yes</v>
      </c>
      <c r="AP995" s="259" t="str">
        <f t="shared" si="183"/>
        <v>JAN 22</v>
      </c>
      <c r="AQ995" s="547" t="str">
        <f t="shared" si="184"/>
        <v>有定金+有預留客戶</v>
      </c>
      <c r="AR995" s="259" t="str">
        <f t="shared" si="185"/>
        <v>Shipped_Stock</v>
      </c>
      <c r="AS995" s="259" t="str">
        <f t="shared" si="186"/>
        <v/>
      </c>
      <c r="AT995" s="259" t="str">
        <f t="shared" si="187"/>
        <v>益田科技</v>
      </c>
      <c r="AU995" s="259" t="str">
        <f t="shared" si="188"/>
        <v>C49SZX20210031SX</v>
      </c>
      <c r="AV995" s="259" t="str">
        <f t="shared" si="189"/>
        <v>2021-12-7 Yamaha 仓库</v>
      </c>
    </row>
    <row r="996" spans="1:48" hidden="1">
      <c r="A996" s="564">
        <v>1556</v>
      </c>
      <c r="B996" s="669" t="s">
        <v>1125</v>
      </c>
      <c r="C996" s="669" t="s">
        <v>15</v>
      </c>
      <c r="D996" s="650" t="s">
        <v>1892</v>
      </c>
      <c r="E996" s="741" t="s">
        <v>1893</v>
      </c>
      <c r="F996" s="652" t="s">
        <v>58</v>
      </c>
      <c r="G996" s="652" t="s">
        <v>18</v>
      </c>
      <c r="H996" s="652" t="s">
        <v>26</v>
      </c>
      <c r="I996" s="580" t="s">
        <v>1896</v>
      </c>
      <c r="J996" s="580">
        <v>1</v>
      </c>
      <c r="K996" s="652" t="s">
        <v>1419</v>
      </c>
      <c r="L996" s="662" t="s">
        <v>3982</v>
      </c>
      <c r="M996" s="670" t="s">
        <v>1807</v>
      </c>
      <c r="N996" s="652" t="s">
        <v>1890</v>
      </c>
      <c r="O996" s="580"/>
      <c r="P996" s="670" t="str">
        <f>VLOOKUP(A996,'[1]Raw data'!$B:$BA,23,FALSE)</f>
        <v>JPY</v>
      </c>
      <c r="Q996" s="652" t="str">
        <f>VLOOKUP(A996,'[1]Raw data'!$B:$Z,2,FALSE)</f>
        <v>C49SZX20220002BX</v>
      </c>
      <c r="R996" s="652" t="str">
        <f>VLOOKUP(A996,'[1]Raw data'!$B:$Z,3,FALSE)</f>
        <v>渝溢三甲</v>
      </c>
      <c r="S996" s="652" t="str">
        <f>VLOOKUP(A996,'[1]Raw data'!$B:$Z,4,FALSE)</f>
        <v>YSM20R-2</v>
      </c>
      <c r="T996" s="652" t="str">
        <f>VLOOKUP(A996,'[1]Raw data'!$B:$Z,8,FALSE)</f>
        <v>R-&gt;L</v>
      </c>
      <c r="U996" s="652" t="str">
        <f>VLOOKUP(A996,'[1]Raw data'!$B:$Z,9,FALSE)</f>
        <v>No</v>
      </c>
      <c r="V996" s="572" t="str">
        <f>IF(G996&amp;H996=T996&amp;U996,"OK","WRONG")</f>
        <v>OK</v>
      </c>
      <c r="W996" s="568" t="str">
        <f>VLOOKUP(A996,'[1]Raw data'!$B:$AG,32,FALSE)</f>
        <v>DAP HZ</v>
      </c>
      <c r="X996" s="652">
        <f>VLOOKUP(A996,'[1]Raw data'!$B:$BA,31,FALSE)</f>
        <v>44567</v>
      </c>
      <c r="Y996" s="652" t="str">
        <f>VLOOKUP(A996,'[1]Raw data'!$B:$AS,39,FALSE)</f>
        <v>Yes</v>
      </c>
      <c r="Z996" s="671"/>
      <c r="AA996" s="665"/>
      <c r="AB996" s="666"/>
      <c r="AC996" s="652" t="s">
        <v>1897</v>
      </c>
      <c r="AD996" s="667">
        <v>302</v>
      </c>
      <c r="AE996" s="667">
        <v>20</v>
      </c>
      <c r="AF996" s="667"/>
      <c r="AG996" s="667"/>
      <c r="AH996" s="667"/>
      <c r="AI996" s="668"/>
      <c r="AN996" s="547"/>
      <c r="AO996" s="829" t="str">
        <f t="shared" si="182"/>
        <v>Yes</v>
      </c>
      <c r="AP996" s="259" t="str">
        <f t="shared" si="183"/>
        <v>FEB 22</v>
      </c>
      <c r="AQ996" s="547" t="str">
        <f t="shared" si="184"/>
        <v>有定金+有預留客戶</v>
      </c>
      <c r="AR996" s="259" t="str">
        <f t="shared" si="185"/>
        <v>Shipped_Stock</v>
      </c>
      <c r="AS996" s="259" t="str">
        <f t="shared" si="186"/>
        <v/>
      </c>
      <c r="AT996" s="259" t="str">
        <f t="shared" si="187"/>
        <v>渝溢三甲</v>
      </c>
      <c r="AU996" s="259" t="str">
        <f t="shared" si="188"/>
        <v>C49SZX20220002BX</v>
      </c>
      <c r="AV996" s="259" t="str">
        <f t="shared" si="189"/>
        <v>2021-12-7 Yamaha 仓库</v>
      </c>
    </row>
    <row r="997" spans="1:48" hidden="1">
      <c r="A997" s="564">
        <v>1091</v>
      </c>
      <c r="B997" s="669" t="s">
        <v>1125</v>
      </c>
      <c r="C997" s="669" t="s">
        <v>15</v>
      </c>
      <c r="D997" s="650" t="s">
        <v>1898</v>
      </c>
      <c r="E997" s="741" t="s">
        <v>1899</v>
      </c>
      <c r="F997" s="652" t="s">
        <v>58</v>
      </c>
      <c r="G997" s="652" t="s">
        <v>24</v>
      </c>
      <c r="H997" s="652" t="s">
        <v>26</v>
      </c>
      <c r="I997" s="580" t="s">
        <v>1900</v>
      </c>
      <c r="J997" s="580">
        <v>1</v>
      </c>
      <c r="K997" s="652" t="s">
        <v>1419</v>
      </c>
      <c r="L997" s="662" t="s">
        <v>3982</v>
      </c>
      <c r="M997" s="670" t="s">
        <v>1807</v>
      </c>
      <c r="N997" s="652" t="s">
        <v>1895</v>
      </c>
      <c r="O997" s="580"/>
      <c r="P997" s="670" t="str">
        <f>VLOOKUP(A997,'[1]Raw data'!$B:$BA,23,FALSE)</f>
        <v>JPY</v>
      </c>
      <c r="Q997" s="652" t="str">
        <f>VLOOKUP(A997,'[1]Raw data'!$B:$Z,2,FALSE)</f>
        <v>C49SZX20210031SX</v>
      </c>
      <c r="R997" s="652" t="str">
        <f>VLOOKUP(A997,'[1]Raw data'!$B:$Z,3,FALSE)</f>
        <v>益田科技</v>
      </c>
      <c r="S997" s="652" t="str">
        <f>VLOOKUP(A997,'[1]Raw data'!$B:$Z,4,FALSE)</f>
        <v>YSM20R-2</v>
      </c>
      <c r="T997" s="652" t="str">
        <f>VLOOKUP(A997,'[1]Raw data'!$B:$Z,8,FALSE)</f>
        <v>L-&gt;R</v>
      </c>
      <c r="U997" s="652" t="str">
        <f>VLOOKUP(A997,'[1]Raw data'!$B:$Z,9,FALSE)</f>
        <v>No</v>
      </c>
      <c r="V997" s="572" t="str">
        <f>IF(G997&amp;H997=T997&amp;U997,"OK","WRONG")</f>
        <v>OK</v>
      </c>
      <c r="W997" s="568" t="str">
        <f>VLOOKUP(A997,'[1]Raw data'!$B:$AG,32,FALSE)</f>
        <v>DAP SZ</v>
      </c>
      <c r="X997" s="652">
        <f>VLOOKUP(A997,'[1]Raw data'!$B:$BA,31,FALSE)</f>
        <v>44222</v>
      </c>
      <c r="Y997" s="652" t="str">
        <f>VLOOKUP(A997,'[1]Raw data'!$B:$AS,39,FALSE)</f>
        <v>Yes</v>
      </c>
      <c r="Z997" s="671"/>
      <c r="AA997" s="672"/>
      <c r="AB997" s="673"/>
      <c r="AC997" s="652" t="s">
        <v>1172</v>
      </c>
      <c r="AD997" s="667">
        <v>302</v>
      </c>
      <c r="AE997" s="667">
        <v>10</v>
      </c>
      <c r="AF997" s="667">
        <v>303</v>
      </c>
      <c r="AG997" s="667">
        <v>10</v>
      </c>
      <c r="AH997" s="667"/>
      <c r="AI997" s="668"/>
      <c r="AN997" s="547"/>
      <c r="AO997" s="829" t="str">
        <f t="shared" si="182"/>
        <v>Yes</v>
      </c>
      <c r="AP997" s="259" t="str">
        <f t="shared" si="183"/>
        <v>JAN 22</v>
      </c>
      <c r="AQ997" s="547" t="str">
        <f t="shared" si="184"/>
        <v>有定金+有預留客戶</v>
      </c>
      <c r="AR997" s="259" t="str">
        <f t="shared" si="185"/>
        <v>Shipped_Stock</v>
      </c>
      <c r="AS997" s="259" t="str">
        <f t="shared" si="186"/>
        <v/>
      </c>
      <c r="AT997" s="259" t="str">
        <f t="shared" si="187"/>
        <v>益田科技</v>
      </c>
      <c r="AU997" s="259" t="str">
        <f t="shared" si="188"/>
        <v>C49SZX20210031SX</v>
      </c>
      <c r="AV997" s="259" t="str">
        <f t="shared" si="189"/>
        <v>2021-12-7 Yamaha 仓库</v>
      </c>
    </row>
    <row r="998" spans="1:48" hidden="1">
      <c r="A998" s="564">
        <v>1586</v>
      </c>
      <c r="B998" s="669" t="s">
        <v>1125</v>
      </c>
      <c r="C998" s="669" t="s">
        <v>281</v>
      </c>
      <c r="D998" s="650">
        <v>110459</v>
      </c>
      <c r="E998" s="749" t="s">
        <v>1901</v>
      </c>
      <c r="F998" s="652" t="s">
        <v>154</v>
      </c>
      <c r="G998" s="652" t="s">
        <v>24</v>
      </c>
      <c r="H998" s="652" t="s">
        <v>1740</v>
      </c>
      <c r="I998" s="580" t="s">
        <v>1902</v>
      </c>
      <c r="J998" s="580">
        <v>1</v>
      </c>
      <c r="K998" s="652" t="s">
        <v>78</v>
      </c>
      <c r="L998" s="662">
        <v>44537</v>
      </c>
      <c r="M998" s="670" t="s">
        <v>906</v>
      </c>
      <c r="N998" s="652" t="s">
        <v>1903</v>
      </c>
      <c r="O998" s="580">
        <v>2021.11</v>
      </c>
      <c r="P998" s="670" t="str">
        <f>VLOOKUP(A998,'[1]Raw data'!$B:$BA,23,FALSE)</f>
        <v>JPY</v>
      </c>
      <c r="Q998" s="652" t="str">
        <f>VLOOKUP(A998,'[1]Raw data'!$B:$Z,2,FALSE)</f>
        <v>C49SZX20220013DZ</v>
      </c>
      <c r="R998" s="652" t="str">
        <f>VLOOKUP(A998,'[1]Raw data'!$B:$Z,3,FALSE)</f>
        <v>朗特</v>
      </c>
      <c r="S998" s="652" t="str">
        <f>VLOOKUP(A998,'[1]Raw data'!$B:$Z,4,FALSE)</f>
        <v>YSM20WR-2</v>
      </c>
      <c r="T998" s="652" t="str">
        <f>VLOOKUP(A998,'[1]Raw data'!$B:$Z,8,FALSE)</f>
        <v>L-&gt;R</v>
      </c>
      <c r="U998" s="652" t="str">
        <f>VLOOKUP(A998,'[1]Raw data'!$B:$Z,9,FALSE)</f>
        <v>cATS10+MVC(F&amp;R)+Feeder Carriage</v>
      </c>
      <c r="V998" s="572" t="str">
        <f t="shared" ref="V998:V1005" si="196">IF(G998&amp;H998=T998&amp;U998,"OK","WRONG")</f>
        <v>OK</v>
      </c>
      <c r="W998" s="568" t="str">
        <f>VLOOKUP(A998,'[1]Raw data'!$B:$AG,32,FALSE)</f>
        <v>CIF HK</v>
      </c>
      <c r="X998" s="652">
        <f>VLOOKUP(A998,'[1]Raw data'!$B:$BA,31,FALSE)</f>
        <v>44614</v>
      </c>
      <c r="Y998" s="652" t="str">
        <f>VLOOKUP(A998,'[1]Raw data'!$B:$AS,39,FALSE)</f>
        <v>Yes</v>
      </c>
      <c r="Z998" s="664"/>
      <c r="AA998" s="665"/>
      <c r="AB998" s="666"/>
      <c r="AC998" s="652" t="s">
        <v>1463</v>
      </c>
      <c r="AD998" s="667">
        <v>301</v>
      </c>
      <c r="AE998" s="667">
        <v>10</v>
      </c>
      <c r="AF998" s="667">
        <v>303</v>
      </c>
      <c r="AG998" s="667">
        <v>6</v>
      </c>
      <c r="AH998" s="667">
        <v>304</v>
      </c>
      <c r="AI998" s="668">
        <v>4</v>
      </c>
      <c r="AN998" s="547"/>
      <c r="AO998" s="829" t="str">
        <f t="shared" si="182"/>
        <v>Yes</v>
      </c>
      <c r="AP998" s="259" t="str">
        <f t="shared" si="183"/>
        <v>MAY 22</v>
      </c>
      <c r="AQ998" s="547" t="str">
        <f t="shared" si="184"/>
        <v>有定金+有預留客戶</v>
      </c>
      <c r="AR998" s="259" t="str">
        <f t="shared" si="185"/>
        <v>Shipped_Stock</v>
      </c>
      <c r="AS998" s="259" t="str">
        <f t="shared" si="186"/>
        <v/>
      </c>
      <c r="AT998" s="259" t="str">
        <f t="shared" si="187"/>
        <v>朗特</v>
      </c>
      <c r="AU998" s="259" t="str">
        <f t="shared" si="188"/>
        <v>C49SZX20220013DZ</v>
      </c>
      <c r="AV998" s="259" t="str">
        <f t="shared" si="189"/>
        <v>Dec-07</v>
      </c>
    </row>
    <row r="999" spans="1:48" hidden="1">
      <c r="A999" s="564">
        <v>1585</v>
      </c>
      <c r="B999" s="669" t="s">
        <v>1125</v>
      </c>
      <c r="C999" s="669" t="s">
        <v>281</v>
      </c>
      <c r="D999" s="650">
        <v>110459</v>
      </c>
      <c r="E999" s="749" t="s">
        <v>1901</v>
      </c>
      <c r="F999" s="652" t="s">
        <v>154</v>
      </c>
      <c r="G999" s="652" t="s">
        <v>24</v>
      </c>
      <c r="H999" s="652" t="s">
        <v>26</v>
      </c>
      <c r="I999" s="580" t="s">
        <v>1904</v>
      </c>
      <c r="J999" s="580">
        <v>1</v>
      </c>
      <c r="K999" s="652" t="s">
        <v>78</v>
      </c>
      <c r="L999" s="662">
        <v>44537</v>
      </c>
      <c r="M999" s="670" t="s">
        <v>906</v>
      </c>
      <c r="N999" s="652" t="s">
        <v>1903</v>
      </c>
      <c r="O999" s="580">
        <v>2021.11</v>
      </c>
      <c r="P999" s="670" t="str">
        <f>VLOOKUP(A999,'[1]Raw data'!$B:$BA,23,FALSE)</f>
        <v>JPY</v>
      </c>
      <c r="Q999" s="652" t="str">
        <f>VLOOKUP(A999,'[1]Raw data'!$B:$Z,2,FALSE)</f>
        <v>C49SZX20220013DZ</v>
      </c>
      <c r="R999" s="652" t="str">
        <f>VLOOKUP(A999,'[1]Raw data'!$B:$Z,3,FALSE)</f>
        <v>朗特</v>
      </c>
      <c r="S999" s="652" t="str">
        <f>VLOOKUP(A999,'[1]Raw data'!$B:$Z,4,FALSE)</f>
        <v>YSM20WR-2</v>
      </c>
      <c r="T999" s="652" t="str">
        <f>VLOOKUP(A999,'[1]Raw data'!$B:$Z,8,FALSE)</f>
        <v>L-&gt;R</v>
      </c>
      <c r="U999" s="652" t="str">
        <f>VLOOKUP(A999,'[1]Raw data'!$B:$Z,9,FALSE)</f>
        <v>MVC F&amp;R</v>
      </c>
      <c r="V999" s="572" t="str">
        <f t="shared" si="196"/>
        <v>WRONG</v>
      </c>
      <c r="W999" s="568" t="str">
        <f>VLOOKUP(A999,'[1]Raw data'!$B:$AG,32,FALSE)</f>
        <v>CIF HK</v>
      </c>
      <c r="X999" s="652">
        <f>VLOOKUP(A999,'[1]Raw data'!$B:$BA,31,FALSE)</f>
        <v>44614</v>
      </c>
      <c r="Y999" s="652" t="str">
        <f>VLOOKUP(A999,'[1]Raw data'!$B:$AS,39,FALSE)</f>
        <v>Yes</v>
      </c>
      <c r="Z999" s="664"/>
      <c r="AA999" s="665"/>
      <c r="AB999" s="666"/>
      <c r="AC999" s="652" t="s">
        <v>1463</v>
      </c>
      <c r="AD999" s="667">
        <v>301</v>
      </c>
      <c r="AE999" s="667">
        <v>16</v>
      </c>
      <c r="AF999" s="667">
        <v>302</v>
      </c>
      <c r="AG999" s="667">
        <v>4</v>
      </c>
      <c r="AH999" s="667"/>
      <c r="AI999" s="668"/>
      <c r="AN999" s="547"/>
      <c r="AO999" s="829" t="str">
        <f t="shared" si="182"/>
        <v>Yes</v>
      </c>
      <c r="AP999" s="259" t="str">
        <f t="shared" si="183"/>
        <v>MAY 22</v>
      </c>
      <c r="AQ999" s="547" t="str">
        <f t="shared" si="184"/>
        <v>有定金+有預留客戶</v>
      </c>
      <c r="AR999" s="259" t="str">
        <f t="shared" si="185"/>
        <v>Shipped_Stock</v>
      </c>
      <c r="AS999" s="259" t="str">
        <f t="shared" si="186"/>
        <v/>
      </c>
      <c r="AT999" s="259" t="str">
        <f t="shared" si="187"/>
        <v>朗特</v>
      </c>
      <c r="AU999" s="259" t="str">
        <f t="shared" si="188"/>
        <v>C49SZX20220013DZ</v>
      </c>
      <c r="AV999" s="259" t="str">
        <f t="shared" si="189"/>
        <v>Dec-07</v>
      </c>
    </row>
    <row r="1000" spans="1:48" hidden="1">
      <c r="A1000" s="564">
        <v>1587</v>
      </c>
      <c r="B1000" s="669" t="s">
        <v>1125</v>
      </c>
      <c r="C1000" s="669" t="s">
        <v>281</v>
      </c>
      <c r="D1000" s="604">
        <v>110459</v>
      </c>
      <c r="E1000" s="759" t="s">
        <v>1901</v>
      </c>
      <c r="F1000" s="568" t="s">
        <v>154</v>
      </c>
      <c r="G1000" s="652" t="s">
        <v>24</v>
      </c>
      <c r="H1000" s="652" t="s">
        <v>26</v>
      </c>
      <c r="I1000" s="580" t="s">
        <v>1905</v>
      </c>
      <c r="J1000" s="580">
        <v>1</v>
      </c>
      <c r="K1000" s="652" t="s">
        <v>78</v>
      </c>
      <c r="L1000" s="662">
        <v>44537</v>
      </c>
      <c r="M1000" s="670" t="s">
        <v>906</v>
      </c>
      <c r="N1000" s="652" t="s">
        <v>1903</v>
      </c>
      <c r="O1000" s="580">
        <v>2021.11</v>
      </c>
      <c r="P1000" s="670" t="str">
        <f>VLOOKUP(A1000,'[1]Raw data'!$B:$BA,23,FALSE)</f>
        <v>JPY</v>
      </c>
      <c r="Q1000" s="652" t="str">
        <f>VLOOKUP(A1000,'[1]Raw data'!$B:$Z,2,FALSE)</f>
        <v>C49SZX20220013DZ</v>
      </c>
      <c r="R1000" s="652" t="str">
        <f>VLOOKUP(A1000,'[1]Raw data'!$B:$Z,3,FALSE)</f>
        <v>朗特</v>
      </c>
      <c r="S1000" s="652" t="str">
        <f>VLOOKUP(A1000,'[1]Raw data'!$B:$Z,4,FALSE)</f>
        <v>YSM20WR-2</v>
      </c>
      <c r="T1000" s="652" t="str">
        <f>VLOOKUP(A1000,'[1]Raw data'!$B:$Z,8,FALSE)</f>
        <v>L-&gt;R</v>
      </c>
      <c r="U1000" s="652" t="str">
        <f>VLOOKUP(A1000,'[1]Raw data'!$B:$Z,9,FALSE)</f>
        <v>No</v>
      </c>
      <c r="V1000" s="572" t="str">
        <f t="shared" si="196"/>
        <v>OK</v>
      </c>
      <c r="W1000" s="568" t="str">
        <f>VLOOKUP(A1000,'[1]Raw data'!$B:$AG,32,FALSE)</f>
        <v>CIF HK</v>
      </c>
      <c r="X1000" s="652">
        <f>VLOOKUP(A1000,'[1]Raw data'!$B:$BA,31,FALSE)</f>
        <v>44614</v>
      </c>
      <c r="Y1000" s="652" t="str">
        <f>VLOOKUP(A1000,'[1]Raw data'!$B:$AS,39,FALSE)</f>
        <v>Yes</v>
      </c>
      <c r="Z1000" s="664"/>
      <c r="AA1000" s="665"/>
      <c r="AB1000" s="666"/>
      <c r="AC1000" s="652" t="s">
        <v>1463</v>
      </c>
      <c r="AD1000" s="667">
        <v>301</v>
      </c>
      <c r="AE1000" s="667">
        <v>16</v>
      </c>
      <c r="AF1000" s="667">
        <v>302</v>
      </c>
      <c r="AG1000" s="667">
        <v>4</v>
      </c>
      <c r="AH1000" s="667"/>
      <c r="AI1000" s="668"/>
      <c r="AN1000" s="547"/>
      <c r="AO1000" s="829" t="str">
        <f t="shared" si="182"/>
        <v>Yes</v>
      </c>
      <c r="AP1000" s="259" t="str">
        <f t="shared" si="183"/>
        <v>MAY 22</v>
      </c>
      <c r="AQ1000" s="547" t="str">
        <f t="shared" si="184"/>
        <v>有定金+有預留客戶</v>
      </c>
      <c r="AR1000" s="259" t="str">
        <f t="shared" si="185"/>
        <v>Shipped_Stock</v>
      </c>
      <c r="AS1000" s="259" t="str">
        <f t="shared" si="186"/>
        <v/>
      </c>
      <c r="AT1000" s="259" t="str">
        <f t="shared" si="187"/>
        <v>朗特</v>
      </c>
      <c r="AU1000" s="259" t="str">
        <f t="shared" si="188"/>
        <v>C49SZX20220013DZ</v>
      </c>
      <c r="AV1000" s="259" t="str">
        <f t="shared" si="189"/>
        <v>Dec-07</v>
      </c>
    </row>
    <row r="1001" spans="1:48" hidden="1">
      <c r="A1001" s="564">
        <v>1424</v>
      </c>
      <c r="B1001" s="669" t="s">
        <v>1125</v>
      </c>
      <c r="C1001" s="669" t="s">
        <v>281</v>
      </c>
      <c r="D1001" s="650" t="s">
        <v>1906</v>
      </c>
      <c r="E1001" s="568" t="s">
        <v>886</v>
      </c>
      <c r="F1001" s="652" t="s">
        <v>58</v>
      </c>
      <c r="G1001" s="652" t="s">
        <v>18</v>
      </c>
      <c r="H1001" s="652" t="s">
        <v>26</v>
      </c>
      <c r="I1001" s="756" t="s">
        <v>1907</v>
      </c>
      <c r="J1001" s="580">
        <v>1</v>
      </c>
      <c r="K1001" s="652" t="s">
        <v>1358</v>
      </c>
      <c r="L1001" s="662">
        <v>44553</v>
      </c>
      <c r="M1001" s="670">
        <v>6.0499999999999998E-2</v>
      </c>
      <c r="N1001" s="652" t="s">
        <v>1819</v>
      </c>
      <c r="O1001" s="580"/>
      <c r="P1001" s="670" t="str">
        <f>VLOOKUP(A1001,'[1]Raw data'!$B:$BA,23,FALSE)</f>
        <v>JPY</v>
      </c>
      <c r="Q1001" s="652" t="str">
        <f>VLOOKUP(A1001,'[1]Raw data'!$B:$Z,2,FALSE)</f>
        <v>C49SZX20210152SX</v>
      </c>
      <c r="R1001" s="652" t="str">
        <f>VLOOKUP(A1001,'[1]Raw data'!$B:$Z,3,FALSE)</f>
        <v>太美亚</v>
      </c>
      <c r="S1001" s="652" t="str">
        <f>VLOOKUP(A1001,'[1]Raw data'!$B:$Z,4,FALSE)</f>
        <v>YSM20R-2</v>
      </c>
      <c r="T1001" s="652" t="str">
        <f>VLOOKUP(A1001,'[1]Raw data'!$B:$Z,8,FALSE)</f>
        <v>R-&gt;L</v>
      </c>
      <c r="U1001" s="652" t="str">
        <f>VLOOKUP(A1001,'[1]Raw data'!$B:$Z,9,FALSE)</f>
        <v>No</v>
      </c>
      <c r="V1001" s="572" t="str">
        <f t="shared" si="196"/>
        <v>OK</v>
      </c>
      <c r="W1001" s="568" t="str">
        <f>VLOOKUP(A1001,'[1]Raw data'!$B:$AG,32,FALSE)</f>
        <v>DAP SZ</v>
      </c>
      <c r="X1001" s="652">
        <f>VLOOKUP(A1001,'[1]Raw data'!$B:$BA,31,FALSE)</f>
        <v>44351</v>
      </c>
      <c r="Y1001" s="652" t="str">
        <f>VLOOKUP(A1001,'[1]Raw data'!$B:$AS,39,FALSE)</f>
        <v>Yes</v>
      </c>
      <c r="Z1001" s="671"/>
      <c r="AA1001" s="672"/>
      <c r="AB1001" s="673"/>
      <c r="AC1001" s="652" t="s">
        <v>476</v>
      </c>
      <c r="AD1001" s="667">
        <v>301</v>
      </c>
      <c r="AE1001" s="667">
        <v>10</v>
      </c>
      <c r="AF1001" s="667">
        <v>311</v>
      </c>
      <c r="AG1001" s="667">
        <v>10</v>
      </c>
      <c r="AH1001" s="667"/>
      <c r="AI1001" s="668"/>
      <c r="AN1001" s="547"/>
      <c r="AO1001" s="829" t="str">
        <f t="shared" si="182"/>
        <v>Yes</v>
      </c>
      <c r="AP1001" s="259" t="str">
        <f t="shared" si="183"/>
        <v>DEC 21</v>
      </c>
      <c r="AQ1001" s="547" t="str">
        <f t="shared" si="184"/>
        <v>有定金+有預留客戶</v>
      </c>
      <c r="AR1001" s="259" t="str">
        <f t="shared" si="185"/>
        <v>Shipped_Stock</v>
      </c>
      <c r="AS1001" s="259" t="str">
        <f t="shared" si="186"/>
        <v/>
      </c>
      <c r="AT1001" s="259" t="str">
        <f t="shared" si="187"/>
        <v>太美亚</v>
      </c>
      <c r="AU1001" s="259" t="str">
        <f t="shared" si="188"/>
        <v>C49SZX20210152SX</v>
      </c>
      <c r="AV1001" s="259" t="str">
        <f t="shared" si="189"/>
        <v>Dec-23</v>
      </c>
    </row>
    <row r="1002" spans="1:48" hidden="1">
      <c r="A1002" s="564">
        <v>1425</v>
      </c>
      <c r="B1002" s="669" t="s">
        <v>1125</v>
      </c>
      <c r="C1002" s="669" t="s">
        <v>281</v>
      </c>
      <c r="D1002" s="650">
        <v>110669</v>
      </c>
      <c r="E1002" s="568" t="s">
        <v>886</v>
      </c>
      <c r="F1002" s="652" t="s">
        <v>58</v>
      </c>
      <c r="G1002" s="652" t="s">
        <v>18</v>
      </c>
      <c r="H1002" s="652" t="s">
        <v>26</v>
      </c>
      <c r="I1002" s="756" t="s">
        <v>1908</v>
      </c>
      <c r="J1002" s="580">
        <v>1</v>
      </c>
      <c r="K1002" s="652" t="s">
        <v>1358</v>
      </c>
      <c r="L1002" s="662">
        <v>44553</v>
      </c>
      <c r="M1002" s="670" t="s">
        <v>258</v>
      </c>
      <c r="N1002" s="652" t="s">
        <v>1819</v>
      </c>
      <c r="O1002" s="580"/>
      <c r="P1002" s="670" t="str">
        <f>VLOOKUP(A1002,'[1]Raw data'!$B:$BA,23,FALSE)</f>
        <v>JPY</v>
      </c>
      <c r="Q1002" s="652" t="str">
        <f>VLOOKUP(A1002,'[1]Raw data'!$B:$Z,2,FALSE)</f>
        <v>C49SZX20210152SX</v>
      </c>
      <c r="R1002" s="652" t="str">
        <f>VLOOKUP(A1002,'[1]Raw data'!$B:$Z,3,FALSE)</f>
        <v>太美亚</v>
      </c>
      <c r="S1002" s="652" t="str">
        <f>VLOOKUP(A1002,'[1]Raw data'!$B:$Z,4,FALSE)</f>
        <v>YSM20R-2</v>
      </c>
      <c r="T1002" s="652" t="str">
        <f>VLOOKUP(A1002,'[1]Raw data'!$B:$Z,8,FALSE)</f>
        <v>R-&gt;L</v>
      </c>
      <c r="U1002" s="652" t="str">
        <f>VLOOKUP(A1002,'[1]Raw data'!$B:$Z,9,FALSE)</f>
        <v>No</v>
      </c>
      <c r="V1002" s="572" t="str">
        <f t="shared" si="196"/>
        <v>OK</v>
      </c>
      <c r="W1002" s="568" t="str">
        <f>VLOOKUP(A1002,'[1]Raw data'!$B:$AG,32,FALSE)</f>
        <v>DAP SZ</v>
      </c>
      <c r="X1002" s="652">
        <f>VLOOKUP(A1002,'[1]Raw data'!$B:$BA,31,FALSE)</f>
        <v>44351</v>
      </c>
      <c r="Y1002" s="652" t="str">
        <f>VLOOKUP(A1002,'[1]Raw data'!$B:$AS,39,FALSE)</f>
        <v>Yes</v>
      </c>
      <c r="Z1002" s="671"/>
      <c r="AA1002" s="672"/>
      <c r="AB1002" s="673"/>
      <c r="AC1002" s="652" t="s">
        <v>476</v>
      </c>
      <c r="AD1002" s="667">
        <v>301</v>
      </c>
      <c r="AE1002" s="667">
        <v>10</v>
      </c>
      <c r="AF1002" s="667">
        <v>311</v>
      </c>
      <c r="AG1002" s="667">
        <v>10</v>
      </c>
      <c r="AH1002" s="667"/>
      <c r="AI1002" s="668"/>
      <c r="AN1002" s="547"/>
      <c r="AO1002" s="829" t="str">
        <f t="shared" si="182"/>
        <v>Yes</v>
      </c>
      <c r="AP1002" s="259" t="str">
        <f t="shared" si="183"/>
        <v>DEC 21</v>
      </c>
      <c r="AQ1002" s="547" t="str">
        <f t="shared" si="184"/>
        <v>有定金+有預留客戶</v>
      </c>
      <c r="AR1002" s="259" t="str">
        <f t="shared" si="185"/>
        <v>Shipped_Stock</v>
      </c>
      <c r="AS1002" s="259" t="str">
        <f t="shared" si="186"/>
        <v/>
      </c>
      <c r="AT1002" s="259" t="str">
        <f t="shared" si="187"/>
        <v>太美亚</v>
      </c>
      <c r="AU1002" s="259" t="str">
        <f t="shared" si="188"/>
        <v>C49SZX20210152SX</v>
      </c>
      <c r="AV1002" s="259" t="str">
        <f t="shared" si="189"/>
        <v>Dec-23</v>
      </c>
    </row>
    <row r="1003" spans="1:48" hidden="1">
      <c r="A1003" s="564">
        <v>1447</v>
      </c>
      <c r="B1003" s="669" t="s">
        <v>1125</v>
      </c>
      <c r="C1003" s="568" t="s">
        <v>4056</v>
      </c>
      <c r="D1003" s="650">
        <v>110530</v>
      </c>
      <c r="E1003" s="651" t="s">
        <v>1909</v>
      </c>
      <c r="F1003" s="652" t="s">
        <v>700</v>
      </c>
      <c r="G1003" s="652" t="s">
        <v>24</v>
      </c>
      <c r="H1003" s="652" t="s">
        <v>26</v>
      </c>
      <c r="I1003" s="580" t="s">
        <v>1910</v>
      </c>
      <c r="J1003" s="580">
        <v>1</v>
      </c>
      <c r="K1003" s="652" t="s">
        <v>1358</v>
      </c>
      <c r="L1003" s="662">
        <v>44553</v>
      </c>
      <c r="M1003" s="670">
        <v>5.6899999999999999E-2</v>
      </c>
      <c r="N1003" s="652" t="s">
        <v>1819</v>
      </c>
      <c r="O1003" s="580"/>
      <c r="P1003" s="670" t="str">
        <f>VLOOKUP(A1003,'[1]Raw data'!$B:$BA,23,FALSE)</f>
        <v>RMB</v>
      </c>
      <c r="Q1003" s="652" t="str">
        <f>VLOOKUP(A1003,'[1]Raw data'!$B:$Z,2,FALSE)</f>
        <v>C28SZX2021024KC</v>
      </c>
      <c r="R1003" s="652" t="str">
        <f>VLOOKUP(A1003,'[1]Raw data'!$B:$Z,3,FALSE)</f>
        <v>广东科士达</v>
      </c>
      <c r="S1003" s="652" t="str">
        <f>VLOOKUP(A1003,'[1]Raw data'!$B:$Z,4,FALSE)</f>
        <v>YSD</v>
      </c>
      <c r="T1003" s="652" t="str">
        <f>VLOOKUP(A1003,'[1]Raw data'!$B:$Z,8,FALSE)</f>
        <v>R-&gt;L</v>
      </c>
      <c r="U1003" s="652" t="str">
        <f>VLOOKUP(A1003,'[1]Raw data'!$B:$Z,9,FALSE)</f>
        <v>No</v>
      </c>
      <c r="V1003" s="572" t="str">
        <f t="shared" si="196"/>
        <v>WRONG</v>
      </c>
      <c r="W1003" s="568" t="str">
        <f>VLOOKUP(A1003,'[1]Raw data'!$B:$AG,32,FALSE)</f>
        <v>DDP SZ</v>
      </c>
      <c r="X1003" s="652">
        <f>VLOOKUP(A1003,'[1]Raw data'!$B:$BA,31,FALSE)</f>
        <v>44364</v>
      </c>
      <c r="Y1003" s="652" t="str">
        <f>VLOOKUP(A1003,'[1]Raw data'!$B:$AS,39,FALSE)</f>
        <v>Yes</v>
      </c>
      <c r="Z1003" s="671"/>
      <c r="AA1003" s="665"/>
      <c r="AB1003" s="673"/>
      <c r="AC1003" s="652" t="s">
        <v>678</v>
      </c>
      <c r="AD1003" s="667"/>
      <c r="AE1003" s="667"/>
      <c r="AF1003" s="667"/>
      <c r="AG1003" s="667"/>
      <c r="AH1003" s="667"/>
      <c r="AI1003" s="668"/>
      <c r="AN1003" s="547"/>
      <c r="AO1003" s="829" t="str">
        <f t="shared" si="182"/>
        <v>Yes</v>
      </c>
      <c r="AP1003" s="259" t="str">
        <f t="shared" si="183"/>
        <v>DEC 21</v>
      </c>
      <c r="AQ1003" s="547" t="str">
        <f t="shared" si="184"/>
        <v>有定金+有預留客戶</v>
      </c>
      <c r="AR1003" s="259" t="str">
        <f t="shared" si="185"/>
        <v>Shipped_Stock</v>
      </c>
      <c r="AS1003" s="259" t="str">
        <f t="shared" si="186"/>
        <v/>
      </c>
      <c r="AT1003" s="259" t="str">
        <f t="shared" si="187"/>
        <v>广东科士达</v>
      </c>
      <c r="AU1003" s="259" t="str">
        <f t="shared" si="188"/>
        <v>C28SZX2021024KC</v>
      </c>
      <c r="AV1003" s="259" t="str">
        <f t="shared" si="189"/>
        <v>Dec-23</v>
      </c>
    </row>
    <row r="1004" spans="1:48" hidden="1">
      <c r="A1004" s="564">
        <v>1448</v>
      </c>
      <c r="B1004" s="669" t="s">
        <v>1125</v>
      </c>
      <c r="C1004" s="568" t="s">
        <v>4056</v>
      </c>
      <c r="D1004" s="650">
        <v>110530</v>
      </c>
      <c r="E1004" s="651" t="s">
        <v>1911</v>
      </c>
      <c r="F1004" s="652" t="s">
        <v>700</v>
      </c>
      <c r="G1004" s="652" t="s">
        <v>24</v>
      </c>
      <c r="H1004" s="652" t="s">
        <v>26</v>
      </c>
      <c r="I1004" s="580" t="s">
        <v>1912</v>
      </c>
      <c r="J1004" s="580">
        <v>1</v>
      </c>
      <c r="K1004" s="652" t="s">
        <v>1358</v>
      </c>
      <c r="L1004" s="662">
        <v>44553</v>
      </c>
      <c r="M1004" s="670">
        <v>5.6899999999999999E-2</v>
      </c>
      <c r="N1004" s="652" t="s">
        <v>1819</v>
      </c>
      <c r="O1004" s="580"/>
      <c r="P1004" s="670" t="str">
        <f>VLOOKUP(A1004,'[1]Raw data'!$B:$BA,23,FALSE)</f>
        <v>RMB</v>
      </c>
      <c r="Q1004" s="652" t="str">
        <f>VLOOKUP(A1004,'[1]Raw data'!$B:$Z,2,FALSE)</f>
        <v>C28SZX2021024KC</v>
      </c>
      <c r="R1004" s="652" t="str">
        <f>VLOOKUP(A1004,'[1]Raw data'!$B:$Z,3,FALSE)</f>
        <v>广东科士达</v>
      </c>
      <c r="S1004" s="652" t="str">
        <f>VLOOKUP(A1004,'[1]Raw data'!$B:$Z,4,FALSE)</f>
        <v>YSD</v>
      </c>
      <c r="T1004" s="652" t="str">
        <f>VLOOKUP(A1004,'[1]Raw data'!$B:$Z,8,FALSE)</f>
        <v>R-&gt;L</v>
      </c>
      <c r="U1004" s="652" t="str">
        <f>VLOOKUP(A1004,'[1]Raw data'!$B:$Z,9,FALSE)</f>
        <v>No</v>
      </c>
      <c r="V1004" s="572" t="str">
        <f t="shared" si="196"/>
        <v>WRONG</v>
      </c>
      <c r="W1004" s="568" t="str">
        <f>VLOOKUP(A1004,'[1]Raw data'!$B:$AG,32,FALSE)</f>
        <v>DDP SZ</v>
      </c>
      <c r="X1004" s="652">
        <f>VLOOKUP(A1004,'[1]Raw data'!$B:$BA,31,FALSE)</f>
        <v>44364</v>
      </c>
      <c r="Y1004" s="652" t="str">
        <f>VLOOKUP(A1004,'[1]Raw data'!$B:$AS,39,FALSE)</f>
        <v>Yes</v>
      </c>
      <c r="Z1004" s="671"/>
      <c r="AA1004" s="665"/>
      <c r="AB1004" s="673"/>
      <c r="AC1004" s="652" t="s">
        <v>678</v>
      </c>
      <c r="AD1004" s="667"/>
      <c r="AE1004" s="667"/>
      <c r="AF1004" s="667"/>
      <c r="AG1004" s="667"/>
      <c r="AH1004" s="667"/>
      <c r="AI1004" s="668"/>
      <c r="AN1004" s="547"/>
      <c r="AO1004" s="829" t="str">
        <f t="shared" si="182"/>
        <v>Yes</v>
      </c>
      <c r="AP1004" s="259" t="str">
        <f t="shared" si="183"/>
        <v>DEC 21</v>
      </c>
      <c r="AQ1004" s="547" t="str">
        <f t="shared" si="184"/>
        <v>有定金+有預留客戶</v>
      </c>
      <c r="AR1004" s="259" t="str">
        <f t="shared" si="185"/>
        <v>Shipped_Stock</v>
      </c>
      <c r="AS1004" s="259" t="str">
        <f t="shared" si="186"/>
        <v/>
      </c>
      <c r="AT1004" s="259" t="str">
        <f t="shared" si="187"/>
        <v>广东科士达</v>
      </c>
      <c r="AU1004" s="259" t="str">
        <f t="shared" si="188"/>
        <v>C28SZX2021024KC</v>
      </c>
      <c r="AV1004" s="259" t="str">
        <f t="shared" si="189"/>
        <v>Dec-23</v>
      </c>
    </row>
    <row r="1005" spans="1:48" hidden="1">
      <c r="A1005" s="564">
        <v>1339</v>
      </c>
      <c r="B1005" s="669" t="s">
        <v>1125</v>
      </c>
      <c r="C1005" s="669" t="s">
        <v>281</v>
      </c>
      <c r="D1005" s="650">
        <v>110671</v>
      </c>
      <c r="E1005" s="568" t="s">
        <v>886</v>
      </c>
      <c r="F1005" s="652" t="s">
        <v>58</v>
      </c>
      <c r="G1005" s="652" t="s">
        <v>24</v>
      </c>
      <c r="H1005" s="652" t="s">
        <v>26</v>
      </c>
      <c r="I1005" s="580" t="s">
        <v>1913</v>
      </c>
      <c r="J1005" s="580">
        <v>1</v>
      </c>
      <c r="K1005" s="652" t="s">
        <v>1732</v>
      </c>
      <c r="L1005" s="662">
        <v>44556</v>
      </c>
      <c r="M1005" s="670" t="s">
        <v>906</v>
      </c>
      <c r="N1005" s="652" t="s">
        <v>1895</v>
      </c>
      <c r="O1005" s="580"/>
      <c r="P1005" s="670" t="str">
        <f>VLOOKUP(A1005,'[1]Raw data'!$B:$BA,23,FALSE)</f>
        <v>JPY</v>
      </c>
      <c r="Q1005" s="652" t="str">
        <f>VLOOKUP(A1005,'[1]Raw data'!$B:$Z,2,FALSE)</f>
        <v>C49SZX20210119JY</v>
      </c>
      <c r="R1005" s="652" t="str">
        <f>VLOOKUP(A1005,'[1]Raw data'!$B:$Z,3,FALSE)</f>
        <v>百纳海</v>
      </c>
      <c r="S1005" s="652" t="str">
        <f>VLOOKUP(A1005,'[1]Raw data'!$B:$Z,4,FALSE)</f>
        <v>YSM20R-2</v>
      </c>
      <c r="T1005" s="652" t="str">
        <f>VLOOKUP(A1005,'[1]Raw data'!$B:$Z,8,FALSE)</f>
        <v>L-&gt;R</v>
      </c>
      <c r="U1005" s="652" t="str">
        <f>VLOOKUP(A1005,'[1]Raw data'!$B:$Z,9,FALSE)</f>
        <v>No</v>
      </c>
      <c r="V1005" s="572" t="str">
        <f t="shared" si="196"/>
        <v>OK</v>
      </c>
      <c r="W1005" s="568" t="str">
        <f>VLOOKUP(A1005,'[1]Raw data'!$B:$AG,32,FALSE)</f>
        <v>DAP SZ</v>
      </c>
      <c r="X1005" s="652">
        <f>VLOOKUP(A1005,'[1]Raw data'!$B:$BA,31,FALSE)</f>
        <v>44306</v>
      </c>
      <c r="Y1005" s="652" t="str">
        <f>VLOOKUP(A1005,'[1]Raw data'!$B:$AS,39,FALSE)</f>
        <v>Yes</v>
      </c>
      <c r="Z1005" s="671"/>
      <c r="AA1005" s="665"/>
      <c r="AB1005" s="673"/>
      <c r="AC1005" s="652" t="s">
        <v>1015</v>
      </c>
      <c r="AD1005" s="667">
        <v>301</v>
      </c>
      <c r="AE1005" s="667">
        <v>10</v>
      </c>
      <c r="AF1005" s="667">
        <v>311</v>
      </c>
      <c r="AG1005" s="667">
        <v>10</v>
      </c>
      <c r="AH1005" s="667"/>
      <c r="AI1005" s="668"/>
      <c r="AN1005" s="547"/>
      <c r="AO1005" s="829" t="str">
        <f t="shared" si="182"/>
        <v>Yes</v>
      </c>
      <c r="AP1005" s="259" t="str">
        <f t="shared" si="183"/>
        <v>JAN 22</v>
      </c>
      <c r="AQ1005" s="547" t="str">
        <f t="shared" si="184"/>
        <v>有定金+有預留客戶</v>
      </c>
      <c r="AR1005" s="259" t="str">
        <f t="shared" si="185"/>
        <v>Shipped_Stock</v>
      </c>
      <c r="AS1005" s="259" t="str">
        <f t="shared" si="186"/>
        <v/>
      </c>
      <c r="AT1005" s="259" t="str">
        <f t="shared" si="187"/>
        <v>百纳海</v>
      </c>
      <c r="AU1005" s="259" t="str">
        <f t="shared" si="188"/>
        <v>C49SZX20210119JY</v>
      </c>
      <c r="AV1005" s="259" t="str">
        <f t="shared" si="189"/>
        <v>Dec-26</v>
      </c>
    </row>
    <row r="1006" spans="1:48" hidden="1">
      <c r="A1006" s="564">
        <v>1353</v>
      </c>
      <c r="B1006" s="669" t="s">
        <v>1125</v>
      </c>
      <c r="C1006" s="669" t="s">
        <v>281</v>
      </c>
      <c r="D1006" s="650">
        <v>110664</v>
      </c>
      <c r="E1006" s="651" t="s">
        <v>1914</v>
      </c>
      <c r="F1006" s="652" t="s">
        <v>17</v>
      </c>
      <c r="G1006" s="652" t="s">
        <v>18</v>
      </c>
      <c r="H1006" s="652" t="s">
        <v>102</v>
      </c>
      <c r="I1006" s="580" t="s">
        <v>1915</v>
      </c>
      <c r="J1006" s="580">
        <v>1</v>
      </c>
      <c r="K1006" s="652" t="s">
        <v>1732</v>
      </c>
      <c r="L1006" s="662">
        <v>44562</v>
      </c>
      <c r="M1006" s="670" t="s">
        <v>906</v>
      </c>
      <c r="N1006" s="652" t="s">
        <v>1895</v>
      </c>
      <c r="O1006" s="580"/>
      <c r="P1006" s="670" t="str">
        <f>VLOOKUP(A1006,'[1]Raw data'!$B:$BA,23,FALSE)</f>
        <v>JPY</v>
      </c>
      <c r="Q1006" s="652" t="str">
        <f>VLOOKUP(A1006,'[1]Raw data'!$B:$Z,2,FALSE)</f>
        <v>C49SZX20210132VG</v>
      </c>
      <c r="R1006" s="652" t="str">
        <f>VLOOKUP(A1006,'[1]Raw data'!$B:$Z,3,FALSE)</f>
        <v>睿昌</v>
      </c>
      <c r="S1006" s="652" t="str">
        <f>VLOOKUP(A1006,'[1]Raw data'!$B:$Z,4,FALSE)</f>
        <v>YSM10</v>
      </c>
      <c r="T1006" s="652" t="str">
        <f>VLOOKUP(A1006,'[1]Raw data'!$B:$Z,8,FALSE)</f>
        <v>L-&gt;R</v>
      </c>
      <c r="U1006" s="652" t="str">
        <f>VLOOKUP(A1006,'[1]Raw data'!$B:$Z,9,FALSE)</f>
        <v>MVC</v>
      </c>
      <c r="V1006" s="572" t="str">
        <f t="shared" ref="V1006:V1008" si="197">IF(G1006&amp;H1006=T1006&amp;U1006,"OK","WRONG")</f>
        <v>WRONG</v>
      </c>
      <c r="W1006" s="568" t="str">
        <f>VLOOKUP(A1006,'[1]Raw data'!$B:$AG,32,FALSE)</f>
        <v>DAP SZ</v>
      </c>
      <c r="X1006" s="652">
        <f>VLOOKUP(A1006,'[1]Raw data'!$B:$BA,31,FALSE)</f>
        <v>44313</v>
      </c>
      <c r="Y1006" s="652" t="str">
        <f>VLOOKUP(A1006,'[1]Raw data'!$B:$AS,39,FALSE)</f>
        <v>Yes</v>
      </c>
      <c r="Z1006" s="671"/>
      <c r="AA1006" s="665"/>
      <c r="AB1006" s="673"/>
      <c r="AC1006" s="652" t="s">
        <v>1916</v>
      </c>
      <c r="AD1006" s="667">
        <v>301</v>
      </c>
      <c r="AE1006" s="667">
        <v>10</v>
      </c>
      <c r="AF1006" s="667"/>
      <c r="AG1006" s="667"/>
      <c r="AH1006" s="667"/>
      <c r="AI1006" s="668"/>
      <c r="AN1006" s="547"/>
      <c r="AO1006" s="829" t="str">
        <f t="shared" si="182"/>
        <v>Yes</v>
      </c>
      <c r="AP1006" s="259" t="str">
        <f t="shared" si="183"/>
        <v>JAN 22</v>
      </c>
      <c r="AQ1006" s="547" t="str">
        <f t="shared" si="184"/>
        <v>有定金+有預留客戶</v>
      </c>
      <c r="AR1006" s="259" t="str">
        <f t="shared" si="185"/>
        <v>Shipped_Stock</v>
      </c>
      <c r="AS1006" s="259" t="str">
        <f t="shared" si="186"/>
        <v/>
      </c>
      <c r="AT1006" s="259" t="str">
        <f t="shared" si="187"/>
        <v>睿昌</v>
      </c>
      <c r="AU1006" s="259" t="str">
        <f t="shared" si="188"/>
        <v>C49SZX20210132VG</v>
      </c>
      <c r="AV1006" s="259" t="str">
        <f t="shared" si="189"/>
        <v>Jan-01</v>
      </c>
    </row>
    <row r="1007" spans="1:48" hidden="1">
      <c r="A1007" s="564">
        <v>1394</v>
      </c>
      <c r="B1007" s="669" t="s">
        <v>1125</v>
      </c>
      <c r="C1007" s="669" t="s">
        <v>15</v>
      </c>
      <c r="D1007" s="650">
        <v>110664</v>
      </c>
      <c r="E1007" s="651" t="s">
        <v>1914</v>
      </c>
      <c r="F1007" s="652" t="s">
        <v>17</v>
      </c>
      <c r="G1007" s="652" t="s">
        <v>18</v>
      </c>
      <c r="H1007" s="652" t="s">
        <v>1917</v>
      </c>
      <c r="I1007" s="580" t="s">
        <v>1918</v>
      </c>
      <c r="J1007" s="580">
        <v>1</v>
      </c>
      <c r="K1007" s="652" t="s">
        <v>1732</v>
      </c>
      <c r="L1007" s="662">
        <v>44562</v>
      </c>
      <c r="M1007" s="670" t="s">
        <v>906</v>
      </c>
      <c r="N1007" s="652" t="s">
        <v>1895</v>
      </c>
      <c r="O1007" s="580"/>
      <c r="P1007" s="670" t="str">
        <f>VLOOKUP(A1007,'[1]Raw data'!$B:$BA,23,FALSE)</f>
        <v>JPY</v>
      </c>
      <c r="Q1007" s="652" t="str">
        <f>VLOOKUP(A1007,'[1]Raw data'!$B:$Z,2,FALSE)</f>
        <v>C49SZX20210143DZ</v>
      </c>
      <c r="R1007" s="652" t="str">
        <f>VLOOKUP(A1007,'[1]Raw data'!$B:$Z,3,FALSE)</f>
        <v>方案集</v>
      </c>
      <c r="S1007" s="652" t="str">
        <f>VLOOKUP(A1007,'[1]Raw data'!$B:$Z,4,FALSE)</f>
        <v>YSM10</v>
      </c>
      <c r="T1007" s="652" t="str">
        <f>VLOOKUP(A1007,'[1]Raw data'!$B:$Z,8,FALSE)</f>
        <v>R-&gt;L</v>
      </c>
      <c r="U1007" s="652" t="str">
        <f>VLOOKUP(A1007,'[1]Raw data'!$B:$Z,9,FALSE)</f>
        <v>MVC+ATS15</v>
      </c>
      <c r="V1007" s="572" t="str">
        <f t="shared" si="197"/>
        <v>WRONG</v>
      </c>
      <c r="W1007" s="568" t="str">
        <f>VLOOKUP(A1007,'[1]Raw data'!$B:$AG,32,FALSE)</f>
        <v>CIF HK</v>
      </c>
      <c r="X1007" s="652">
        <f>VLOOKUP(A1007,'[1]Raw data'!$B:$BA,31,FALSE)</f>
        <v>44341</v>
      </c>
      <c r="Y1007" s="652" t="str">
        <f>VLOOKUP(A1007,'[1]Raw data'!$B:$AS,39,FALSE)</f>
        <v>Yes</v>
      </c>
      <c r="Z1007" s="671"/>
      <c r="AA1007" s="665"/>
      <c r="AB1007" s="673"/>
      <c r="AC1007" s="652" t="s">
        <v>1165</v>
      </c>
      <c r="AD1007" s="667">
        <v>302</v>
      </c>
      <c r="AE1007" s="667">
        <v>10</v>
      </c>
      <c r="AF1007" s="667"/>
      <c r="AG1007" s="667"/>
      <c r="AH1007" s="667"/>
      <c r="AI1007" s="668"/>
      <c r="AN1007" s="547"/>
      <c r="AO1007" s="829" t="str">
        <f t="shared" si="182"/>
        <v>Yes</v>
      </c>
      <c r="AP1007" s="259" t="str">
        <f t="shared" si="183"/>
        <v>JAN 22</v>
      </c>
      <c r="AQ1007" s="547" t="str">
        <f t="shared" si="184"/>
        <v>有定金+有預留客戶</v>
      </c>
      <c r="AR1007" s="259" t="str">
        <f t="shared" si="185"/>
        <v>Shipped_Stock</v>
      </c>
      <c r="AS1007" s="259" t="str">
        <f t="shared" si="186"/>
        <v/>
      </c>
      <c r="AT1007" s="259" t="str">
        <f t="shared" si="187"/>
        <v>方案集</v>
      </c>
      <c r="AU1007" s="259" t="str">
        <f t="shared" si="188"/>
        <v>C49SZX20210143DZ</v>
      </c>
      <c r="AV1007" s="259" t="str">
        <f t="shared" si="189"/>
        <v>Jan-01</v>
      </c>
    </row>
    <row r="1008" spans="1:48" hidden="1">
      <c r="A1008" s="564">
        <v>1400</v>
      </c>
      <c r="B1008" s="669" t="s">
        <v>1125</v>
      </c>
      <c r="C1008" s="669" t="s">
        <v>15</v>
      </c>
      <c r="D1008" s="650">
        <v>110664</v>
      </c>
      <c r="E1008" s="651" t="s">
        <v>1914</v>
      </c>
      <c r="F1008" s="652" t="s">
        <v>17</v>
      </c>
      <c r="G1008" s="652" t="s">
        <v>18</v>
      </c>
      <c r="H1008" s="652" t="s">
        <v>1919</v>
      </c>
      <c r="I1008" s="580" t="s">
        <v>1920</v>
      </c>
      <c r="J1008" s="580">
        <v>1</v>
      </c>
      <c r="K1008" s="652" t="s">
        <v>1732</v>
      </c>
      <c r="L1008" s="662">
        <v>44562</v>
      </c>
      <c r="M1008" s="670" t="s">
        <v>906</v>
      </c>
      <c r="N1008" s="652" t="s">
        <v>1895</v>
      </c>
      <c r="O1008" s="580"/>
      <c r="P1008" s="670" t="str">
        <f>VLOOKUP(A1008,'[1]Raw data'!$B:$BA,23,FALSE)</f>
        <v>JPY</v>
      </c>
      <c r="Q1008" s="652" t="str">
        <f>VLOOKUP(A1008,'[1]Raw data'!$B:$Z,2,FALSE)</f>
        <v>C49SZX20210144VG</v>
      </c>
      <c r="R1008" s="652" t="str">
        <f>VLOOKUP(A1008,'[1]Raw data'!$B:$Z,3,FALSE)</f>
        <v>鑫华锋</v>
      </c>
      <c r="S1008" s="652" t="str">
        <f>VLOOKUP(A1008,'[1]Raw data'!$B:$Z,4,FALSE)</f>
        <v>YSM10</v>
      </c>
      <c r="T1008" s="652" t="str">
        <f>VLOOKUP(A1008,'[1]Raw data'!$B:$Z,8,FALSE)</f>
        <v>L-&gt;R</v>
      </c>
      <c r="U1008" s="652" t="str">
        <f>VLOOKUP(A1008,'[1]Raw data'!$B:$Z,9,FALSE)</f>
        <v>MVC</v>
      </c>
      <c r="V1008" s="572" t="str">
        <f t="shared" si="197"/>
        <v>WRONG</v>
      </c>
      <c r="W1008" s="568" t="str">
        <f>VLOOKUP(A1008,'[1]Raw data'!$B:$AG,32,FALSE)</f>
        <v>DAP SZ</v>
      </c>
      <c r="X1008" s="652">
        <f>VLOOKUP(A1008,'[1]Raw data'!$B:$BA,31,FALSE)</f>
        <v>44344</v>
      </c>
      <c r="Y1008" s="652" t="str">
        <f>VLOOKUP(A1008,'[1]Raw data'!$B:$AS,39,FALSE)</f>
        <v>Yes</v>
      </c>
      <c r="Z1008" s="671"/>
      <c r="AA1008" s="665"/>
      <c r="AB1008" s="666"/>
      <c r="AC1008" s="652" t="s">
        <v>1518</v>
      </c>
      <c r="AD1008" s="667">
        <v>302</v>
      </c>
      <c r="AE1008" s="667">
        <v>10</v>
      </c>
      <c r="AF1008" s="667"/>
      <c r="AG1008" s="667"/>
      <c r="AH1008" s="667"/>
      <c r="AI1008" s="668"/>
      <c r="AN1008" s="547"/>
      <c r="AO1008" s="829" t="str">
        <f t="shared" si="182"/>
        <v>Yes</v>
      </c>
      <c r="AP1008" s="259" t="str">
        <f t="shared" si="183"/>
        <v>JAN 22</v>
      </c>
      <c r="AQ1008" s="547" t="str">
        <f t="shared" si="184"/>
        <v>有定金+有預留客戶</v>
      </c>
      <c r="AR1008" s="259" t="str">
        <f t="shared" si="185"/>
        <v>Shipped_Stock</v>
      </c>
      <c r="AS1008" s="259" t="str">
        <f t="shared" si="186"/>
        <v/>
      </c>
      <c r="AT1008" s="259" t="str">
        <f t="shared" si="187"/>
        <v>鑫华锋</v>
      </c>
      <c r="AU1008" s="259" t="str">
        <f t="shared" si="188"/>
        <v>C49SZX20210144VG</v>
      </c>
      <c r="AV1008" s="259" t="str">
        <f t="shared" si="189"/>
        <v>Jan-01</v>
      </c>
    </row>
    <row r="1009" spans="1:48" hidden="1">
      <c r="A1009" s="564">
        <v>1360</v>
      </c>
      <c r="B1009" s="669" t="s">
        <v>1125</v>
      </c>
      <c r="C1009" s="669" t="s">
        <v>281</v>
      </c>
      <c r="D1009" s="650">
        <v>110664</v>
      </c>
      <c r="E1009" s="651" t="s">
        <v>1914</v>
      </c>
      <c r="F1009" s="652" t="s">
        <v>17</v>
      </c>
      <c r="G1009" s="652" t="s">
        <v>18</v>
      </c>
      <c r="H1009" s="652" t="s">
        <v>1919</v>
      </c>
      <c r="I1009" s="580" t="s">
        <v>1921</v>
      </c>
      <c r="J1009" s="580">
        <v>1</v>
      </c>
      <c r="K1009" s="652" t="s">
        <v>1732</v>
      </c>
      <c r="L1009" s="662">
        <v>44562</v>
      </c>
      <c r="M1009" s="670" t="s">
        <v>906</v>
      </c>
      <c r="N1009" s="652" t="s">
        <v>1895</v>
      </c>
      <c r="O1009" s="580"/>
      <c r="P1009" s="670" t="str">
        <f>VLOOKUP(A1009,'[1]Raw data'!$B:$BA,23,FALSE)</f>
        <v>JPY</v>
      </c>
      <c r="Q1009" s="652" t="str">
        <f>VLOOKUP(A1009,'[1]Raw data'!$B:$Z,2,FALSE)</f>
        <v>C49SZX20210131SX</v>
      </c>
      <c r="R1009" s="652" t="str">
        <f>VLOOKUP(A1009,'[1]Raw data'!$B:$Z,3,FALSE)</f>
        <v>利速达</v>
      </c>
      <c r="S1009" s="652" t="str">
        <f>VLOOKUP(A1009,'[1]Raw data'!$B:$Z,4,FALSE)</f>
        <v>YSM10</v>
      </c>
      <c r="T1009" s="652" t="str">
        <f>VLOOKUP(A1009,'[1]Raw data'!$B:$Z,8,FALSE)</f>
        <v>L-&gt;R</v>
      </c>
      <c r="U1009" s="652" t="str">
        <f>VLOOKUP(A1009,'[1]Raw data'!$B:$Z,9,FALSE)</f>
        <v>MVC</v>
      </c>
      <c r="V1009" s="572" t="str">
        <f>IF(G1009&amp;H1009=T1009&amp;U1009,"OK","WRONG")</f>
        <v>WRONG</v>
      </c>
      <c r="W1009" s="568" t="str">
        <f>VLOOKUP(A1009,'[1]Raw data'!$B:$AG,32,FALSE)</f>
        <v>DAP SZ</v>
      </c>
      <c r="X1009" s="652">
        <f>VLOOKUP(A1009,'[1]Raw data'!$B:$BA,31,FALSE)</f>
        <v>44314</v>
      </c>
      <c r="Y1009" s="652" t="str">
        <f>VLOOKUP(A1009,'[1]Raw data'!$B:$AS,39,FALSE)</f>
        <v>Yes</v>
      </c>
      <c r="Z1009" s="671"/>
      <c r="AA1009" s="665"/>
      <c r="AB1009" s="673"/>
      <c r="AC1009" s="652" t="s">
        <v>720</v>
      </c>
      <c r="AD1009" s="667">
        <v>301</v>
      </c>
      <c r="AE1009" s="667">
        <v>10</v>
      </c>
      <c r="AF1009" s="667"/>
      <c r="AG1009" s="667"/>
      <c r="AH1009" s="667"/>
      <c r="AI1009" s="668"/>
      <c r="AN1009" s="547"/>
      <c r="AO1009" s="829" t="str">
        <f t="shared" si="182"/>
        <v>Yes</v>
      </c>
      <c r="AP1009" s="259" t="str">
        <f t="shared" si="183"/>
        <v>JAN 22</v>
      </c>
      <c r="AQ1009" s="547" t="str">
        <f t="shared" si="184"/>
        <v>有定金+有預留客戶</v>
      </c>
      <c r="AR1009" s="259" t="str">
        <f t="shared" si="185"/>
        <v>Shipped_Stock</v>
      </c>
      <c r="AS1009" s="259" t="str">
        <f t="shared" si="186"/>
        <v/>
      </c>
      <c r="AT1009" s="259" t="str">
        <f t="shared" si="187"/>
        <v>利速达</v>
      </c>
      <c r="AU1009" s="259" t="str">
        <f t="shared" si="188"/>
        <v>C49SZX20210131SX</v>
      </c>
      <c r="AV1009" s="259" t="str">
        <f t="shared" si="189"/>
        <v>Jan-01</v>
      </c>
    </row>
    <row r="1010" spans="1:48" hidden="1">
      <c r="A1010" s="564">
        <v>1376</v>
      </c>
      <c r="B1010" s="669" t="s">
        <v>1125</v>
      </c>
      <c r="C1010" s="669" t="s">
        <v>15</v>
      </c>
      <c r="D1010" s="650">
        <v>110664</v>
      </c>
      <c r="E1010" s="651" t="s">
        <v>1914</v>
      </c>
      <c r="F1010" s="652" t="s">
        <v>17</v>
      </c>
      <c r="G1010" s="652" t="s">
        <v>18</v>
      </c>
      <c r="H1010" s="652" t="s">
        <v>1919</v>
      </c>
      <c r="I1010" s="580" t="s">
        <v>1922</v>
      </c>
      <c r="J1010" s="580">
        <v>1</v>
      </c>
      <c r="K1010" s="652" t="s">
        <v>1732</v>
      </c>
      <c r="L1010" s="662">
        <v>44562</v>
      </c>
      <c r="M1010" s="670" t="s">
        <v>906</v>
      </c>
      <c r="N1010" s="652" t="s">
        <v>1895</v>
      </c>
      <c r="O1010" s="580"/>
      <c r="P1010" s="670" t="str">
        <f>VLOOKUP(A1010,'[1]Raw data'!$B:$BA,23,FALSE)</f>
        <v>JPY</v>
      </c>
      <c r="Q1010" s="652" t="str">
        <f>VLOOKUP(A1010,'[1]Raw data'!$B:$Z,2,FALSE)</f>
        <v>C49SZX20210150SX</v>
      </c>
      <c r="R1010" s="652" t="str">
        <f>VLOOKUP(A1010,'[1]Raw data'!$B:$Z,3,FALSE)</f>
        <v>莫思特</v>
      </c>
      <c r="S1010" s="652" t="str">
        <f>VLOOKUP(A1010,'[1]Raw data'!$B:$Z,4,FALSE)</f>
        <v>YSM10</v>
      </c>
      <c r="T1010" s="652" t="str">
        <f>VLOOKUP(A1010,'[1]Raw data'!$B:$Z,8,FALSE)</f>
        <v>L-&gt;R</v>
      </c>
      <c r="U1010" s="652" t="str">
        <f>VLOOKUP(A1010,'[1]Raw data'!$B:$Z,9,FALSE)</f>
        <v>No</v>
      </c>
      <c r="V1010" s="572" t="str">
        <f>IF(G1010&amp;H1010=T1010&amp;U1010,"OK","WRONG")</f>
        <v>WRONG</v>
      </c>
      <c r="W1010" s="568" t="str">
        <f>VLOOKUP(A1010,'[1]Raw data'!$B:$AG,32,FALSE)</f>
        <v>DAP HZ</v>
      </c>
      <c r="X1010" s="652">
        <f>VLOOKUP(A1010,'[1]Raw data'!$B:$BA,31,FALSE)</f>
        <v>44334</v>
      </c>
      <c r="Y1010" s="652" t="str">
        <f>VLOOKUP(A1010,'[1]Raw data'!$B:$AS,39,FALSE)</f>
        <v>Yes</v>
      </c>
      <c r="Z1010" s="671"/>
      <c r="AA1010" s="665"/>
      <c r="AB1010" s="673"/>
      <c r="AC1010" s="652" t="s">
        <v>1923</v>
      </c>
      <c r="AD1010" s="667">
        <v>302</v>
      </c>
      <c r="AE1010" s="667">
        <v>10</v>
      </c>
      <c r="AF1010" s="667"/>
      <c r="AG1010" s="667"/>
      <c r="AH1010" s="667"/>
      <c r="AI1010" s="668"/>
      <c r="AN1010" s="547"/>
      <c r="AO1010" s="829" t="str">
        <f t="shared" si="182"/>
        <v>Yes</v>
      </c>
      <c r="AP1010" s="259" t="str">
        <f t="shared" si="183"/>
        <v>JAN 22</v>
      </c>
      <c r="AQ1010" s="547" t="str">
        <f t="shared" si="184"/>
        <v>有定金+有預留客戶</v>
      </c>
      <c r="AR1010" s="259" t="str">
        <f t="shared" si="185"/>
        <v>Shipped_Stock</v>
      </c>
      <c r="AS1010" s="259" t="str">
        <f t="shared" si="186"/>
        <v/>
      </c>
      <c r="AT1010" s="259" t="str">
        <f t="shared" si="187"/>
        <v>莫思特</v>
      </c>
      <c r="AU1010" s="259" t="str">
        <f t="shared" si="188"/>
        <v>C49SZX20210150SX</v>
      </c>
      <c r="AV1010" s="259" t="str">
        <f t="shared" si="189"/>
        <v>Jan-01</v>
      </c>
    </row>
    <row r="1011" spans="1:48" hidden="1">
      <c r="A1011" s="564">
        <v>1411</v>
      </c>
      <c r="B1011" s="669" t="s">
        <v>1125</v>
      </c>
      <c r="C1011" s="669" t="s">
        <v>15</v>
      </c>
      <c r="D1011" s="650">
        <v>110664</v>
      </c>
      <c r="E1011" s="651" t="s">
        <v>1914</v>
      </c>
      <c r="F1011" s="652" t="s">
        <v>17</v>
      </c>
      <c r="G1011" s="652" t="s">
        <v>18</v>
      </c>
      <c r="H1011" s="652" t="s">
        <v>102</v>
      </c>
      <c r="I1011" s="580" t="s">
        <v>1924</v>
      </c>
      <c r="J1011" s="580">
        <v>1</v>
      </c>
      <c r="K1011" s="652" t="s">
        <v>1732</v>
      </c>
      <c r="L1011" s="662">
        <v>44562</v>
      </c>
      <c r="M1011" s="670" t="s">
        <v>906</v>
      </c>
      <c r="N1011" s="652" t="s">
        <v>1895</v>
      </c>
      <c r="O1011" s="580"/>
      <c r="P1011" s="670" t="str">
        <f>VLOOKUP(A1011,'[1]Raw data'!$B:$BA,23,FALSE)</f>
        <v>JPY</v>
      </c>
      <c r="Q1011" s="652" t="str">
        <f>VLOOKUP(A1011,'[1]Raw data'!$B:$Z,2,FALSE)</f>
        <v>C49SZX20210167MW</v>
      </c>
      <c r="R1011" s="652" t="str">
        <f>VLOOKUP(A1011,'[1]Raw data'!$B:$Z,3,FALSE)</f>
        <v>众华</v>
      </c>
      <c r="S1011" s="652" t="str">
        <f>VLOOKUP(A1011,'[1]Raw data'!$B:$Z,4,FALSE)</f>
        <v>YSM10</v>
      </c>
      <c r="T1011" s="652" t="str">
        <f>VLOOKUP(A1011,'[1]Raw data'!$B:$Z,8,FALSE)</f>
        <v>L-&gt;R</v>
      </c>
      <c r="U1011" s="652" t="str">
        <f>VLOOKUP(A1011,'[1]Raw data'!$B:$Z,9,FALSE)</f>
        <v>MVC</v>
      </c>
      <c r="V1011" s="572" t="str">
        <f>IF(G1011&amp;H1011=T1011&amp;U1011,"OK","WRONG")</f>
        <v>WRONG</v>
      </c>
      <c r="W1011" s="568" t="str">
        <f>VLOOKUP(A1011,'[1]Raw data'!$B:$AG,32,FALSE)</f>
        <v>DAP HN</v>
      </c>
      <c r="X1011" s="652">
        <f>VLOOKUP(A1011,'[1]Raw data'!$B:$BA,31,FALSE)</f>
        <v>44357</v>
      </c>
      <c r="Y1011" s="652" t="str">
        <f>VLOOKUP(A1011,'[1]Raw data'!$B:$AS,39,FALSE)</f>
        <v>Yes</v>
      </c>
      <c r="Z1011" s="671"/>
      <c r="AA1011" s="665"/>
      <c r="AB1011" s="673"/>
      <c r="AC1011" s="652" t="s">
        <v>1925</v>
      </c>
      <c r="AD1011" s="667">
        <v>302</v>
      </c>
      <c r="AE1011" s="667">
        <v>10</v>
      </c>
      <c r="AF1011" s="667"/>
      <c r="AG1011" s="667"/>
      <c r="AH1011" s="667"/>
      <c r="AI1011" s="668"/>
      <c r="AN1011" s="547"/>
      <c r="AO1011" s="829" t="str">
        <f t="shared" si="182"/>
        <v>Yes</v>
      </c>
      <c r="AP1011" s="259" t="str">
        <f t="shared" si="183"/>
        <v>JAN 22</v>
      </c>
      <c r="AQ1011" s="547" t="str">
        <f t="shared" si="184"/>
        <v>有定金+有預留客戶</v>
      </c>
      <c r="AR1011" s="259" t="str">
        <f t="shared" si="185"/>
        <v>Shipped_Stock</v>
      </c>
      <c r="AS1011" s="259" t="str">
        <f t="shared" si="186"/>
        <v/>
      </c>
      <c r="AT1011" s="259" t="str">
        <f t="shared" si="187"/>
        <v>众华</v>
      </c>
      <c r="AU1011" s="259" t="str">
        <f t="shared" si="188"/>
        <v>C49SZX20210167MW</v>
      </c>
      <c r="AV1011" s="259" t="str">
        <f t="shared" si="189"/>
        <v>Jan-01</v>
      </c>
    </row>
    <row r="1012" spans="1:48" hidden="1">
      <c r="A1012" s="564">
        <v>1416</v>
      </c>
      <c r="B1012" s="669" t="s">
        <v>1125</v>
      </c>
      <c r="C1012" s="669" t="s">
        <v>15</v>
      </c>
      <c r="D1012" s="650">
        <v>110664</v>
      </c>
      <c r="E1012" s="651" t="s">
        <v>1914</v>
      </c>
      <c r="F1012" s="652" t="s">
        <v>17</v>
      </c>
      <c r="G1012" s="652" t="s">
        <v>18</v>
      </c>
      <c r="H1012" s="652" t="s">
        <v>48</v>
      </c>
      <c r="I1012" s="580" t="s">
        <v>1926</v>
      </c>
      <c r="J1012" s="580">
        <v>1</v>
      </c>
      <c r="K1012" s="652" t="s">
        <v>1732</v>
      </c>
      <c r="L1012" s="662">
        <v>44562</v>
      </c>
      <c r="M1012" s="670" t="s">
        <v>906</v>
      </c>
      <c r="N1012" s="652" t="s">
        <v>1895</v>
      </c>
      <c r="O1012" s="580"/>
      <c r="P1012" s="670" t="str">
        <f>VLOOKUP(A1012,'[1]Raw data'!$B:$BA,23,FALSE)</f>
        <v>JPY</v>
      </c>
      <c r="Q1012" s="652" t="str">
        <f>VLOOKUP(A1012,'[1]Raw data'!$B:$Z,2,FALSE)</f>
        <v>C49SZX20210170DZ</v>
      </c>
      <c r="R1012" s="652" t="str">
        <f>VLOOKUP(A1012,'[1]Raw data'!$B:$Z,3,FALSE)</f>
        <v>鸿通宇</v>
      </c>
      <c r="S1012" s="652" t="str">
        <f>VLOOKUP(A1012,'[1]Raw data'!$B:$Z,4,FALSE)</f>
        <v>YSM10</v>
      </c>
      <c r="T1012" s="652" t="str">
        <f>VLOOKUP(A1012,'[1]Raw data'!$B:$Z,8,FALSE)</f>
        <v>L-&gt;R</v>
      </c>
      <c r="U1012" s="652" t="str">
        <f>VLOOKUP(A1012,'[1]Raw data'!$B:$Z,9,FALSE)</f>
        <v>MVC+ATS15</v>
      </c>
      <c r="V1012" s="572" t="str">
        <f>IF(G1012&amp;H1012=T1012&amp;U1012,"OK","WRONG")</f>
        <v>WRONG</v>
      </c>
      <c r="W1012" s="568" t="str">
        <f>VLOOKUP(A1012,'[1]Raw data'!$B:$AG,32,FALSE)</f>
        <v>DAP SZ</v>
      </c>
      <c r="X1012" s="652">
        <f>VLOOKUP(A1012,'[1]Raw data'!$B:$BA,31,FALSE)</f>
        <v>44358</v>
      </c>
      <c r="Y1012" s="652" t="str">
        <f>VLOOKUP(A1012,'[1]Raw data'!$B:$AS,39,FALSE)</f>
        <v>Yes</v>
      </c>
      <c r="Z1012" s="671"/>
      <c r="AA1012" s="672"/>
      <c r="AB1012" s="673"/>
      <c r="AC1012" s="652" t="s">
        <v>1927</v>
      </c>
      <c r="AD1012" s="667">
        <v>302</v>
      </c>
      <c r="AE1012" s="667">
        <v>10</v>
      </c>
      <c r="AF1012" s="667"/>
      <c r="AG1012" s="667"/>
      <c r="AH1012" s="667"/>
      <c r="AI1012" s="668"/>
      <c r="AN1012" s="547"/>
      <c r="AO1012" s="829" t="str">
        <f t="shared" si="182"/>
        <v>Yes</v>
      </c>
      <c r="AP1012" s="259" t="str">
        <f t="shared" si="183"/>
        <v>JAN 22</v>
      </c>
      <c r="AQ1012" s="547" t="str">
        <f t="shared" si="184"/>
        <v>有定金+有預留客戶</v>
      </c>
      <c r="AR1012" s="259" t="str">
        <f t="shared" si="185"/>
        <v>Shipped_Stock</v>
      </c>
      <c r="AS1012" s="259" t="str">
        <f t="shared" si="186"/>
        <v/>
      </c>
      <c r="AT1012" s="259" t="str">
        <f t="shared" si="187"/>
        <v>鸿通宇</v>
      </c>
      <c r="AU1012" s="259" t="str">
        <f t="shared" si="188"/>
        <v>C49SZX20210170DZ</v>
      </c>
      <c r="AV1012" s="259" t="str">
        <f t="shared" si="189"/>
        <v>Jan-01</v>
      </c>
    </row>
    <row r="1013" spans="1:48" hidden="1">
      <c r="A1013" s="564">
        <v>1417</v>
      </c>
      <c r="B1013" s="669" t="s">
        <v>1125</v>
      </c>
      <c r="C1013" s="669" t="s">
        <v>281</v>
      </c>
      <c r="D1013" s="650">
        <v>110664</v>
      </c>
      <c r="E1013" s="651" t="s">
        <v>1914</v>
      </c>
      <c r="F1013" s="652" t="s">
        <v>17</v>
      </c>
      <c r="G1013" s="652" t="s">
        <v>18</v>
      </c>
      <c r="H1013" s="652" t="s">
        <v>1833</v>
      </c>
      <c r="I1013" s="580" t="s">
        <v>1928</v>
      </c>
      <c r="J1013" s="580">
        <v>1</v>
      </c>
      <c r="K1013" s="652" t="s">
        <v>1732</v>
      </c>
      <c r="L1013" s="662">
        <v>44562</v>
      </c>
      <c r="M1013" s="670" t="s">
        <v>906</v>
      </c>
      <c r="N1013" s="652" t="s">
        <v>1895</v>
      </c>
      <c r="O1013" s="580"/>
      <c r="P1013" s="670" t="str">
        <f>VLOOKUP(A1013,'[1]Raw data'!$B:$BA,23,FALSE)</f>
        <v>JPY</v>
      </c>
      <c r="Q1013" s="652" t="str">
        <f>VLOOKUP(A1013,'[1]Raw data'!$B:$Z,2,FALSE)</f>
        <v>C49SZX20210170DZ</v>
      </c>
      <c r="R1013" s="652" t="str">
        <f>VLOOKUP(A1013,'[1]Raw data'!$B:$Z,3,FALSE)</f>
        <v>鸿通宇</v>
      </c>
      <c r="S1013" s="652" t="str">
        <f>VLOOKUP(A1013,'[1]Raw data'!$B:$Z,4,FALSE)</f>
        <v>YSM10</v>
      </c>
      <c r="T1013" s="652" t="str">
        <f>VLOOKUP(A1013,'[1]Raw data'!$B:$Z,8,FALSE)</f>
        <v>L-&gt;R</v>
      </c>
      <c r="U1013" s="652" t="str">
        <f>VLOOKUP(A1013,'[1]Raw data'!$B:$Z,9,FALSE)</f>
        <v>MVC+ATS15</v>
      </c>
      <c r="V1013" s="572" t="str">
        <f t="shared" ref="V1013" si="198">IF(G1013&amp;H1013=T1013&amp;U1013,"OK","WRONG")</f>
        <v>WRONG</v>
      </c>
      <c r="W1013" s="568" t="str">
        <f>VLOOKUP(A1013,'[1]Raw data'!$B:$AG,32,FALSE)</f>
        <v>DAP SZ</v>
      </c>
      <c r="X1013" s="652">
        <f>VLOOKUP(A1013,'[1]Raw data'!$B:$BA,31,FALSE)</f>
        <v>44358</v>
      </c>
      <c r="Y1013" s="652" t="str">
        <f>VLOOKUP(A1013,'[1]Raw data'!$B:$AS,39,FALSE)</f>
        <v>Yes</v>
      </c>
      <c r="Z1013" s="671"/>
      <c r="AA1013" s="672"/>
      <c r="AB1013" s="673"/>
      <c r="AC1013" s="652" t="s">
        <v>1927</v>
      </c>
      <c r="AD1013" s="667">
        <v>301</v>
      </c>
      <c r="AE1013" s="667">
        <v>10</v>
      </c>
      <c r="AF1013" s="667"/>
      <c r="AG1013" s="667"/>
      <c r="AH1013" s="667"/>
      <c r="AI1013" s="668"/>
      <c r="AN1013" s="547"/>
      <c r="AO1013" s="829" t="str">
        <f t="shared" si="182"/>
        <v>Yes</v>
      </c>
      <c r="AP1013" s="259" t="str">
        <f t="shared" si="183"/>
        <v>JAN 22</v>
      </c>
      <c r="AQ1013" s="547" t="str">
        <f t="shared" si="184"/>
        <v>有定金+有預留客戶</v>
      </c>
      <c r="AR1013" s="259" t="str">
        <f t="shared" si="185"/>
        <v>Shipped_Stock</v>
      </c>
      <c r="AS1013" s="259" t="str">
        <f t="shared" si="186"/>
        <v/>
      </c>
      <c r="AT1013" s="259" t="str">
        <f t="shared" si="187"/>
        <v>鸿通宇</v>
      </c>
      <c r="AU1013" s="259" t="str">
        <f t="shared" si="188"/>
        <v>C49SZX20210170DZ</v>
      </c>
      <c r="AV1013" s="259" t="str">
        <f t="shared" si="189"/>
        <v>Jan-01</v>
      </c>
    </row>
    <row r="1014" spans="1:48" hidden="1">
      <c r="A1014" s="604">
        <v>1488</v>
      </c>
      <c r="B1014" s="669" t="s">
        <v>1125</v>
      </c>
      <c r="C1014" s="669" t="s">
        <v>15</v>
      </c>
      <c r="D1014" s="650">
        <v>110670</v>
      </c>
      <c r="E1014" s="568" t="s">
        <v>1914</v>
      </c>
      <c r="F1014" s="652" t="s">
        <v>58</v>
      </c>
      <c r="G1014" s="652" t="s">
        <v>18</v>
      </c>
      <c r="H1014" s="652" t="s">
        <v>26</v>
      </c>
      <c r="I1014" s="757" t="s">
        <v>1929</v>
      </c>
      <c r="J1014" s="580">
        <v>1</v>
      </c>
      <c r="K1014" s="652" t="s">
        <v>1419</v>
      </c>
      <c r="L1014" s="662">
        <v>44562</v>
      </c>
      <c r="M1014" s="670" t="s">
        <v>906</v>
      </c>
      <c r="N1014" s="652" t="s">
        <v>1930</v>
      </c>
      <c r="O1014" s="580">
        <v>2021.12</v>
      </c>
      <c r="P1014" s="670" t="str">
        <f>VLOOKUP(A1014,'[1]Raw data'!$B:$BA,23,FALSE)</f>
        <v>JPY</v>
      </c>
      <c r="Q1014" s="652" t="str">
        <f>VLOOKUP(A1014,'[1]Raw data'!$B:$Z,2,FALSE)</f>
        <v>C49SZX20210200JY</v>
      </c>
      <c r="R1014" s="652" t="str">
        <f>VLOOKUP(A1014,'[1]Raw data'!$B:$Z,3,FALSE)</f>
        <v>英拓邦（End user:深圳傲尔）</v>
      </c>
      <c r="S1014" s="652" t="str">
        <f>VLOOKUP(A1014,'[1]Raw data'!$B:$Z,4,FALSE)</f>
        <v>YSM20R-2</v>
      </c>
      <c r="T1014" s="652" t="str">
        <f>VLOOKUP(A1014,'[1]Raw data'!$B:$Z,8,FALSE)</f>
        <v>R-&gt;L</v>
      </c>
      <c r="U1014" s="652" t="str">
        <f>VLOOKUP(A1014,'[1]Raw data'!$B:$Z,9,FALSE)</f>
        <v>No</v>
      </c>
      <c r="V1014" s="572" t="str">
        <f t="shared" ref="V1014:V1019" si="199">IF(G1014&amp;H1014=T1014&amp;U1014,"OK","WRONG")</f>
        <v>OK</v>
      </c>
      <c r="W1014" s="568" t="str">
        <f>VLOOKUP(A1014,'[1]Raw data'!$B:$AG,32,FALSE)</f>
        <v>CIF HK</v>
      </c>
      <c r="X1014" s="652">
        <f>VLOOKUP(A1014,'[1]Raw data'!$B:$BA,31,FALSE)</f>
        <v>44496</v>
      </c>
      <c r="Y1014" s="652" t="str">
        <f>VLOOKUP(A1014,'[1]Raw data'!$B:$AS,39,FALSE)</f>
        <v>Yes</v>
      </c>
      <c r="Z1014" s="580"/>
      <c r="AA1014" s="667"/>
      <c r="AB1014" s="667"/>
      <c r="AC1014" s="580" t="s">
        <v>1931</v>
      </c>
      <c r="AD1014" s="580">
        <v>301</v>
      </c>
      <c r="AE1014" s="580">
        <v>10</v>
      </c>
      <c r="AF1014" s="580">
        <v>311</v>
      </c>
      <c r="AG1014" s="580">
        <v>10</v>
      </c>
      <c r="AH1014" s="580"/>
      <c r="AI1014" s="684"/>
      <c r="AJ1014" s="569"/>
      <c r="AK1014" s="569"/>
      <c r="AL1014" s="569"/>
      <c r="AM1014" s="569"/>
      <c r="AN1014" s="619"/>
      <c r="AO1014" s="829" t="str">
        <f t="shared" si="182"/>
        <v>Yes</v>
      </c>
      <c r="AP1014" s="259" t="str">
        <f t="shared" si="183"/>
        <v>APR 22</v>
      </c>
      <c r="AQ1014" s="547" t="str">
        <f t="shared" si="184"/>
        <v>有定金+有預留客戶</v>
      </c>
      <c r="AR1014" s="259" t="str">
        <f t="shared" si="185"/>
        <v>Shipped_Stock</v>
      </c>
      <c r="AS1014" s="259" t="str">
        <f t="shared" si="186"/>
        <v/>
      </c>
      <c r="AT1014" s="259" t="str">
        <f t="shared" si="187"/>
        <v>英拓邦（End user:深圳傲尔）</v>
      </c>
      <c r="AU1014" s="259" t="str">
        <f t="shared" si="188"/>
        <v>C49SZX20210200JY</v>
      </c>
      <c r="AV1014" s="259" t="str">
        <f t="shared" si="189"/>
        <v>Jan-01</v>
      </c>
    </row>
    <row r="1015" spans="1:48" hidden="1">
      <c r="A1015" s="564">
        <v>1293</v>
      </c>
      <c r="B1015" s="669" t="s">
        <v>1125</v>
      </c>
      <c r="C1015" s="669" t="s">
        <v>15</v>
      </c>
      <c r="D1015" s="650">
        <v>110670</v>
      </c>
      <c r="E1015" s="568" t="s">
        <v>1914</v>
      </c>
      <c r="F1015" s="652" t="s">
        <v>58</v>
      </c>
      <c r="G1015" s="652" t="s">
        <v>18</v>
      </c>
      <c r="H1015" s="652" t="s">
        <v>26</v>
      </c>
      <c r="I1015" s="757" t="s">
        <v>1932</v>
      </c>
      <c r="J1015" s="580">
        <v>1</v>
      </c>
      <c r="K1015" s="652" t="s">
        <v>1732</v>
      </c>
      <c r="L1015" s="662">
        <v>44562</v>
      </c>
      <c r="M1015" s="670" t="s">
        <v>906</v>
      </c>
      <c r="N1015" s="652" t="s">
        <v>1895</v>
      </c>
      <c r="O1015" s="580"/>
      <c r="P1015" s="670" t="str">
        <f>VLOOKUP(A1015,'[1]Raw data'!$B:$BA,23,FALSE)</f>
        <v>JPY</v>
      </c>
      <c r="Q1015" s="652" t="str">
        <f>VLOOKUP(A1015,'[1]Raw data'!$B:$Z,2,FALSE)</f>
        <v>C49SZX20210091SS</v>
      </c>
      <c r="R1015" s="652" t="str">
        <f>VLOOKUP(A1015,'[1]Raw data'!$B:$Z,3,FALSE)</f>
        <v>乘扬</v>
      </c>
      <c r="S1015" s="652" t="str">
        <f>VLOOKUP(A1015,'[1]Raw data'!$B:$Z,4,FALSE)</f>
        <v>YSM20R-2</v>
      </c>
      <c r="T1015" s="652" t="str">
        <f>VLOOKUP(A1015,'[1]Raw data'!$B:$Z,8,FALSE)</f>
        <v>R-&gt;L</v>
      </c>
      <c r="U1015" s="652" t="str">
        <f>VLOOKUP(A1015,'[1]Raw data'!$B:$Z,9,FALSE)</f>
        <v>No</v>
      </c>
      <c r="V1015" s="572" t="str">
        <f t="shared" si="199"/>
        <v>OK</v>
      </c>
      <c r="W1015" s="568" t="str">
        <f>VLOOKUP(A1015,'[1]Raw data'!$B:$AG,32,FALSE)</f>
        <v>CIF HK</v>
      </c>
      <c r="X1015" s="652">
        <f>VLOOKUP(A1015,'[1]Raw data'!$B:$BA,31,FALSE)</f>
        <v>44285</v>
      </c>
      <c r="Y1015" s="652" t="str">
        <f>VLOOKUP(A1015,'[1]Raw data'!$B:$AS,39,FALSE)</f>
        <v>Yes</v>
      </c>
      <c r="Z1015" s="580"/>
      <c r="AA1015" s="667"/>
      <c r="AB1015" s="580"/>
      <c r="AC1015" s="580" t="s">
        <v>1933</v>
      </c>
      <c r="AD1015" s="667">
        <v>301</v>
      </c>
      <c r="AE1015" s="667">
        <v>10</v>
      </c>
      <c r="AF1015" s="667">
        <v>311</v>
      </c>
      <c r="AG1015" s="667">
        <v>10</v>
      </c>
      <c r="AH1015" s="667"/>
      <c r="AI1015" s="668"/>
      <c r="AN1015" s="547"/>
      <c r="AO1015" s="829" t="str">
        <f t="shared" si="182"/>
        <v>Yes</v>
      </c>
      <c r="AP1015" s="259" t="str">
        <f t="shared" si="183"/>
        <v>JAN 22</v>
      </c>
      <c r="AQ1015" s="547" t="str">
        <f t="shared" si="184"/>
        <v>有定金+有預留客戶</v>
      </c>
      <c r="AR1015" s="259" t="str">
        <f t="shared" si="185"/>
        <v>Shipped_Stock</v>
      </c>
      <c r="AS1015" s="259" t="str">
        <f t="shared" si="186"/>
        <v/>
      </c>
      <c r="AT1015" s="259" t="str">
        <f t="shared" si="187"/>
        <v>乘扬</v>
      </c>
      <c r="AU1015" s="259" t="str">
        <f t="shared" si="188"/>
        <v>C49SZX20210091SS</v>
      </c>
      <c r="AV1015" s="259" t="str">
        <f t="shared" si="189"/>
        <v>Jan-01</v>
      </c>
    </row>
    <row r="1016" spans="1:48" ht="16.5" hidden="1">
      <c r="A1016" s="604">
        <v>1439</v>
      </c>
      <c r="B1016" s="669" t="s">
        <v>1125</v>
      </c>
      <c r="C1016" s="669" t="s">
        <v>15</v>
      </c>
      <c r="D1016" s="760">
        <v>110708</v>
      </c>
      <c r="E1016" s="761" t="s">
        <v>1934</v>
      </c>
      <c r="F1016" s="652" t="s">
        <v>58</v>
      </c>
      <c r="G1016" s="652" t="s">
        <v>24</v>
      </c>
      <c r="H1016" s="652" t="s">
        <v>26</v>
      </c>
      <c r="I1016" s="580" t="s">
        <v>1935</v>
      </c>
      <c r="J1016" s="580">
        <v>1</v>
      </c>
      <c r="K1016" s="762" t="s">
        <v>1936</v>
      </c>
      <c r="L1016" s="662">
        <v>44573</v>
      </c>
      <c r="M1016" s="670" t="s">
        <v>906</v>
      </c>
      <c r="N1016" s="652" t="s">
        <v>1930</v>
      </c>
      <c r="O1016" s="580"/>
      <c r="P1016" s="670" t="str">
        <f>VLOOKUP(A1016,'[1]Raw data'!$B:$BA,23,FALSE)</f>
        <v>JPY</v>
      </c>
      <c r="Q1016" s="652" t="str">
        <f>VLOOKUP(A1016,'[1]Raw data'!$B:$Z,2,FALSE)</f>
        <v>C49SZX20210130R1JY</v>
      </c>
      <c r="R1016" s="652" t="str">
        <f>VLOOKUP(A1016,'[1]Raw data'!$B:$Z,3,FALSE)</f>
        <v>海松微</v>
      </c>
      <c r="S1016" s="652" t="str">
        <f>VLOOKUP(A1016,'[1]Raw data'!$B:$Z,4,FALSE)</f>
        <v>YSM20R-2</v>
      </c>
      <c r="T1016" s="652" t="str">
        <f>VLOOKUP(A1016,'[1]Raw data'!$B:$Z,8,FALSE)</f>
        <v>L-&gt;R</v>
      </c>
      <c r="U1016" s="652" t="str">
        <f>VLOOKUP(A1016,'[1]Raw data'!$B:$Z,9,FALSE)</f>
        <v>No</v>
      </c>
      <c r="V1016" s="572" t="str">
        <f t="shared" si="199"/>
        <v>OK</v>
      </c>
      <c r="W1016" s="568" t="str">
        <f>VLOOKUP(A1016,'[1]Raw data'!$B:$AG,32,FALSE)</f>
        <v>DAP SZ</v>
      </c>
      <c r="X1016" s="652">
        <f>VLOOKUP(A1016,'[1]Raw data'!$B:$BA,31,FALSE)</f>
        <v>44372</v>
      </c>
      <c r="Y1016" s="652" t="str">
        <f>VLOOKUP(A1016,'[1]Raw data'!$B:$AS,39,FALSE)</f>
        <v>Yes</v>
      </c>
      <c r="Z1016" s="671"/>
      <c r="AA1016" s="715"/>
      <c r="AB1016" s="667"/>
      <c r="AC1016" s="580" t="s">
        <v>1927</v>
      </c>
      <c r="AD1016" s="580">
        <v>313</v>
      </c>
      <c r="AE1016" s="580">
        <v>10</v>
      </c>
      <c r="AF1016" s="580">
        <v>301</v>
      </c>
      <c r="AG1016" s="684">
        <v>10</v>
      </c>
      <c r="AH1016" s="569"/>
      <c r="AI1016" s="569"/>
      <c r="AJ1016" s="569"/>
      <c r="AK1016" s="569"/>
      <c r="AL1016" s="619"/>
      <c r="AM1016" s="619"/>
      <c r="AN1016" s="619"/>
      <c r="AO1016" s="829" t="str">
        <f t="shared" si="182"/>
        <v>Yes</v>
      </c>
      <c r="AP1016" s="259" t="str">
        <f t="shared" si="183"/>
        <v>APR 22</v>
      </c>
      <c r="AQ1016" s="547" t="str">
        <f t="shared" si="184"/>
        <v>有定金+有預留客戶</v>
      </c>
      <c r="AR1016" s="259" t="str">
        <f t="shared" si="185"/>
        <v>Shipped_Stock</v>
      </c>
      <c r="AS1016" s="259" t="str">
        <f t="shared" si="186"/>
        <v/>
      </c>
      <c r="AT1016" s="259" t="str">
        <f t="shared" si="187"/>
        <v>海松微</v>
      </c>
      <c r="AU1016" s="259" t="str">
        <f t="shared" si="188"/>
        <v>C49SZX20210130R1JY</v>
      </c>
      <c r="AV1016" s="259" t="str">
        <f t="shared" si="189"/>
        <v>Jan-12</v>
      </c>
    </row>
    <row r="1017" spans="1:48" hidden="1">
      <c r="A1017" s="564">
        <v>1442</v>
      </c>
      <c r="B1017" s="669" t="s">
        <v>1125</v>
      </c>
      <c r="C1017" s="669" t="s">
        <v>15</v>
      </c>
      <c r="D1017" s="650">
        <v>110708</v>
      </c>
      <c r="E1017" s="651" t="s">
        <v>1934</v>
      </c>
      <c r="F1017" s="652" t="s">
        <v>58</v>
      </c>
      <c r="G1017" s="652" t="s">
        <v>24</v>
      </c>
      <c r="H1017" s="652" t="s">
        <v>102</v>
      </c>
      <c r="I1017" s="580" t="s">
        <v>1937</v>
      </c>
      <c r="J1017" s="580">
        <v>1</v>
      </c>
      <c r="K1017" s="652" t="s">
        <v>1732</v>
      </c>
      <c r="L1017" s="662">
        <v>44573</v>
      </c>
      <c r="M1017" s="670" t="s">
        <v>906</v>
      </c>
      <c r="N1017" s="652" t="s">
        <v>1895</v>
      </c>
      <c r="O1017" s="580"/>
      <c r="P1017" s="670" t="str">
        <f>VLOOKUP(A1017,'[1]Raw data'!$B:$BA,23,FALSE)</f>
        <v>JPY</v>
      </c>
      <c r="Q1017" s="652" t="str">
        <f>VLOOKUP(A1017,'[1]Raw data'!$B:$Z,2,FALSE)</f>
        <v>C49SZX20210176R1JY</v>
      </c>
      <c r="R1017" s="652" t="str">
        <f>VLOOKUP(A1017,'[1]Raw data'!$B:$Z,3,FALSE)</f>
        <v>建航</v>
      </c>
      <c r="S1017" s="652" t="str">
        <f>VLOOKUP(A1017,'[1]Raw data'!$B:$Z,4,FALSE)</f>
        <v>YSM20R-2</v>
      </c>
      <c r="T1017" s="652" t="str">
        <f>VLOOKUP(A1017,'[1]Raw data'!$B:$Z,8,FALSE)</f>
        <v>L-&gt;R</v>
      </c>
      <c r="U1017" s="652" t="str">
        <f>VLOOKUP(A1017,'[1]Raw data'!$B:$Z,9,FALSE)</f>
        <v>MVC</v>
      </c>
      <c r="V1017" s="714" t="str">
        <f t="shared" si="199"/>
        <v>WRONG</v>
      </c>
      <c r="W1017" s="568" t="str">
        <f>VLOOKUP(A1017,'[1]Raw data'!$B:$AG,32,FALSE)</f>
        <v>DAP SZ</v>
      </c>
      <c r="X1017" s="715">
        <f>VLOOKUP(A1017,'[1]Raw data'!$B:$BA,31,FALSE)</f>
        <v>44372</v>
      </c>
      <c r="Y1017" s="715" t="str">
        <f>VLOOKUP(A1017,'[1]Raw data'!$B:$AS,39,FALSE)</f>
        <v>Yes</v>
      </c>
      <c r="Z1017" s="664"/>
      <c r="AA1017" s="665"/>
      <c r="AB1017" s="666"/>
      <c r="AC1017" s="568" t="s">
        <v>321</v>
      </c>
      <c r="AD1017" s="667">
        <v>313</v>
      </c>
      <c r="AE1017" s="667">
        <v>10</v>
      </c>
      <c r="AF1017" s="667">
        <v>301</v>
      </c>
      <c r="AG1017" s="667">
        <v>10</v>
      </c>
      <c r="AH1017" s="667"/>
      <c r="AI1017" s="668"/>
      <c r="AN1017" s="547"/>
      <c r="AO1017" s="829" t="str">
        <f t="shared" si="182"/>
        <v>Yes</v>
      </c>
      <c r="AP1017" s="259" t="str">
        <f t="shared" si="183"/>
        <v>JAN 22</v>
      </c>
      <c r="AQ1017" s="547" t="str">
        <f t="shared" si="184"/>
        <v>有定金+有預留客戶</v>
      </c>
      <c r="AR1017" s="259" t="str">
        <f t="shared" si="185"/>
        <v>Shipped_Stock</v>
      </c>
      <c r="AS1017" s="259" t="str">
        <f t="shared" si="186"/>
        <v/>
      </c>
      <c r="AT1017" s="259" t="str">
        <f t="shared" si="187"/>
        <v>建航</v>
      </c>
      <c r="AU1017" s="259" t="str">
        <f t="shared" si="188"/>
        <v>C49SZX20210176R1JY</v>
      </c>
      <c r="AV1017" s="259" t="str">
        <f t="shared" si="189"/>
        <v>Jan-12</v>
      </c>
    </row>
    <row r="1018" spans="1:48" hidden="1">
      <c r="A1018" s="564">
        <v>1414</v>
      </c>
      <c r="B1018" s="669" t="s">
        <v>1125</v>
      </c>
      <c r="C1018" s="669" t="s">
        <v>15</v>
      </c>
      <c r="D1018" s="650">
        <v>110708</v>
      </c>
      <c r="E1018" s="651" t="s">
        <v>1934</v>
      </c>
      <c r="F1018" s="652" t="s">
        <v>58</v>
      </c>
      <c r="G1018" s="652" t="s">
        <v>24</v>
      </c>
      <c r="H1018" s="652" t="s">
        <v>26</v>
      </c>
      <c r="I1018" s="580" t="s">
        <v>1938</v>
      </c>
      <c r="J1018" s="580">
        <v>1</v>
      </c>
      <c r="K1018" s="652" t="s">
        <v>1732</v>
      </c>
      <c r="L1018" s="662">
        <v>44573</v>
      </c>
      <c r="M1018" s="670" t="s">
        <v>906</v>
      </c>
      <c r="N1018" s="652" t="s">
        <v>1895</v>
      </c>
      <c r="O1018" s="580"/>
      <c r="P1018" s="670" t="str">
        <f>VLOOKUP(A1018,'[1]Raw data'!$B:$BA,23,FALSE)</f>
        <v>JPY</v>
      </c>
      <c r="Q1018" s="652" t="str">
        <f>VLOOKUP(A1018,'[1]Raw data'!$B:$Z,2,FALSE)</f>
        <v>C49SZX20210170DZ</v>
      </c>
      <c r="R1018" s="652" t="str">
        <f>VLOOKUP(A1018,'[1]Raw data'!$B:$Z,3,FALSE)</f>
        <v>鸿通宇</v>
      </c>
      <c r="S1018" s="652" t="str">
        <f>VLOOKUP(A1018,'[1]Raw data'!$B:$Z,4,FALSE)</f>
        <v>YSM20R-2</v>
      </c>
      <c r="T1018" s="652" t="str">
        <f>VLOOKUP(A1018,'[1]Raw data'!$B:$Z,8,FALSE)</f>
        <v>L-&gt;R</v>
      </c>
      <c r="U1018" s="652" t="str">
        <f>VLOOKUP(A1018,'[1]Raw data'!$B:$Z,9,FALSE)</f>
        <v>No</v>
      </c>
      <c r="V1018" s="572" t="str">
        <f t="shared" si="199"/>
        <v>OK</v>
      </c>
      <c r="W1018" s="568" t="str">
        <f>VLOOKUP(A1018,'[1]Raw data'!$B:$AG,32,FALSE)</f>
        <v>DAP SZ</v>
      </c>
      <c r="X1018" s="652">
        <f>VLOOKUP(A1018,'[1]Raw data'!$B:$BA,31,FALSE)</f>
        <v>44358</v>
      </c>
      <c r="Y1018" s="652" t="str">
        <f>VLOOKUP(A1018,'[1]Raw data'!$B:$AS,39,FALSE)</f>
        <v>Yes</v>
      </c>
      <c r="Z1018" s="671"/>
      <c r="AA1018" s="672"/>
      <c r="AB1018" s="673"/>
      <c r="AC1018" s="652" t="s">
        <v>1927</v>
      </c>
      <c r="AD1018" s="667">
        <v>313</v>
      </c>
      <c r="AE1018" s="667">
        <v>10</v>
      </c>
      <c r="AF1018" s="667">
        <v>301</v>
      </c>
      <c r="AG1018" s="667">
        <v>10</v>
      </c>
      <c r="AH1018" s="667"/>
      <c r="AI1018" s="668"/>
      <c r="AN1018" s="547"/>
      <c r="AO1018" s="829" t="str">
        <f t="shared" si="182"/>
        <v>Yes</v>
      </c>
      <c r="AP1018" s="259" t="str">
        <f t="shared" si="183"/>
        <v>JAN 22</v>
      </c>
      <c r="AQ1018" s="547" t="str">
        <f t="shared" si="184"/>
        <v>有定金+有預留客戶</v>
      </c>
      <c r="AR1018" s="259" t="str">
        <f t="shared" si="185"/>
        <v>Shipped_Stock</v>
      </c>
      <c r="AS1018" s="259" t="str">
        <f t="shared" si="186"/>
        <v/>
      </c>
      <c r="AT1018" s="259" t="str">
        <f t="shared" si="187"/>
        <v>鸿通宇</v>
      </c>
      <c r="AU1018" s="259" t="str">
        <f t="shared" si="188"/>
        <v>C49SZX20210170DZ</v>
      </c>
      <c r="AV1018" s="259" t="str">
        <f t="shared" si="189"/>
        <v>Jan-12</v>
      </c>
    </row>
    <row r="1019" spans="1:48" hidden="1">
      <c r="A1019" s="564">
        <v>1475</v>
      </c>
      <c r="B1019" s="669" t="s">
        <v>1125</v>
      </c>
      <c r="C1019" s="669" t="s">
        <v>281</v>
      </c>
      <c r="D1019" s="650">
        <v>110708</v>
      </c>
      <c r="E1019" s="651" t="s">
        <v>1934</v>
      </c>
      <c r="F1019" s="652" t="s">
        <v>58</v>
      </c>
      <c r="G1019" s="652" t="s">
        <v>24</v>
      </c>
      <c r="H1019" s="652" t="s">
        <v>26</v>
      </c>
      <c r="I1019" s="580" t="s">
        <v>1939</v>
      </c>
      <c r="J1019" s="580">
        <v>1</v>
      </c>
      <c r="K1019" s="652" t="s">
        <v>1732</v>
      </c>
      <c r="L1019" s="662">
        <v>44573</v>
      </c>
      <c r="M1019" s="670" t="s">
        <v>906</v>
      </c>
      <c r="N1019" s="652" t="s">
        <v>1895</v>
      </c>
      <c r="O1019" s="580"/>
      <c r="P1019" s="670" t="str">
        <f>VLOOKUP(A1019,'[1]Raw data'!$B:$BA,23,FALSE)</f>
        <v>JPY</v>
      </c>
      <c r="Q1019" s="652" t="str">
        <f>VLOOKUP(A1019,'[1]Raw data'!$B:$Z,2,FALSE)</f>
        <v>C49SZX20210191DY</v>
      </c>
      <c r="R1019" s="652" t="str">
        <f>VLOOKUP(A1019,'[1]Raw data'!$B:$Z,3,FALSE)</f>
        <v>穗晖</v>
      </c>
      <c r="S1019" s="652" t="str">
        <f>VLOOKUP(A1019,'[1]Raw data'!$B:$Z,4,FALSE)</f>
        <v>YSM20R-2</v>
      </c>
      <c r="T1019" s="652" t="str">
        <f>VLOOKUP(A1019,'[1]Raw data'!$B:$Z,8,FALSE)</f>
        <v>L-&gt;R</v>
      </c>
      <c r="U1019" s="652" t="str">
        <f>VLOOKUP(A1019,'[1]Raw data'!$B:$Z,9,FALSE)</f>
        <v>No</v>
      </c>
      <c r="V1019" s="572" t="str">
        <f t="shared" si="199"/>
        <v>OK</v>
      </c>
      <c r="W1019" s="568" t="str">
        <f>VLOOKUP(A1019,'[1]Raw data'!$B:$AG,32,FALSE)</f>
        <v>CIF HK</v>
      </c>
      <c r="X1019" s="652">
        <f>VLOOKUP(A1019,'[1]Raw data'!$B:$BA,31,FALSE)</f>
        <v>44452</v>
      </c>
      <c r="Y1019" s="652" t="str">
        <f>VLOOKUP(A1019,'[1]Raw data'!$B:$AS,39,FALSE)</f>
        <v>Yes</v>
      </c>
      <c r="Z1019" s="671"/>
      <c r="AA1019" s="665"/>
      <c r="AB1019" s="673"/>
      <c r="AC1019" s="652" t="s">
        <v>1940</v>
      </c>
      <c r="AD1019" s="667">
        <v>303</v>
      </c>
      <c r="AE1019" s="667">
        <v>20</v>
      </c>
      <c r="AF1019" s="667"/>
      <c r="AG1019" s="667"/>
      <c r="AH1019" s="667"/>
      <c r="AI1019" s="668"/>
      <c r="AN1019" s="547"/>
      <c r="AO1019" s="829" t="str">
        <f t="shared" si="182"/>
        <v>Yes</v>
      </c>
      <c r="AP1019" s="259" t="str">
        <f t="shared" si="183"/>
        <v>JAN 22</v>
      </c>
      <c r="AQ1019" s="547" t="str">
        <f t="shared" si="184"/>
        <v>有定金+有預留客戶</v>
      </c>
      <c r="AR1019" s="259" t="str">
        <f t="shared" si="185"/>
        <v>Shipped_Stock</v>
      </c>
      <c r="AS1019" s="259" t="str">
        <f t="shared" si="186"/>
        <v/>
      </c>
      <c r="AT1019" s="259" t="str">
        <f t="shared" si="187"/>
        <v>穗晖</v>
      </c>
      <c r="AU1019" s="259" t="str">
        <f t="shared" si="188"/>
        <v>C49SZX20210191DY</v>
      </c>
      <c r="AV1019" s="259" t="str">
        <f t="shared" si="189"/>
        <v>Jan-12</v>
      </c>
    </row>
    <row r="1020" spans="1:48" ht="16.5" hidden="1">
      <c r="A1020" s="604">
        <v>1707</v>
      </c>
      <c r="B1020" s="669" t="s">
        <v>1125</v>
      </c>
      <c r="C1020" s="669" t="s">
        <v>15</v>
      </c>
      <c r="D1020" s="649" t="s">
        <v>1941</v>
      </c>
      <c r="E1020" s="763" t="s">
        <v>1942</v>
      </c>
      <c r="F1020" s="568" t="s">
        <v>149</v>
      </c>
      <c r="G1020" s="652" t="s">
        <v>24</v>
      </c>
      <c r="H1020" s="652" t="s">
        <v>26</v>
      </c>
      <c r="I1020" s="580" t="s">
        <v>1943</v>
      </c>
      <c r="J1020" s="580">
        <v>1</v>
      </c>
      <c r="K1020" s="652" t="s">
        <v>1419</v>
      </c>
      <c r="L1020" s="764" t="s">
        <v>3986</v>
      </c>
      <c r="M1020" s="670" t="s">
        <v>1807</v>
      </c>
      <c r="N1020" s="652" t="s">
        <v>221</v>
      </c>
      <c r="O1020" s="580">
        <v>2021.6</v>
      </c>
      <c r="P1020" s="670" t="str">
        <f>VLOOKUP(A1020,'[1]Raw data'!$B:$BA,23,FALSE)</f>
        <v>RMB</v>
      </c>
      <c r="Q1020" s="652" t="str">
        <f>VLOOKUP(A1020,'[1]Raw data'!$B:$Z,2,FALSE)</f>
        <v>C49SZX20220083DZ</v>
      </c>
      <c r="R1020" s="652" t="str">
        <f>VLOOKUP(A1020,'[1]Raw data'!$B:$Z,3,FALSE)</f>
        <v>惠州耕创</v>
      </c>
      <c r="S1020" s="652" t="str">
        <f>VLOOKUP(A1020,'[1]Raw data'!$B:$Z,4,FALSE)</f>
        <v>YSM40R-4</v>
      </c>
      <c r="T1020" s="652" t="str">
        <f>VLOOKUP(A1020,'[1]Raw data'!$B:$Z,8,FALSE)</f>
        <v>L-&gt;R</v>
      </c>
      <c r="U1020" s="652" t="str">
        <f>VLOOKUP(A1020,'[1]Raw data'!$B:$Z,9,FALSE)</f>
        <v>No</v>
      </c>
      <c r="V1020" s="572" t="str">
        <f t="shared" ref="V1020:V1023" si="200">IF(G1020&amp;H1020=T1020&amp;U1020,"OK","WRONG")</f>
        <v>OK</v>
      </c>
      <c r="W1020" s="568" t="str">
        <f>VLOOKUP(A1020,'[1]Raw data'!$B:$AG,32,FALSE)</f>
        <v>DDP HZ</v>
      </c>
      <c r="X1020" s="652">
        <f>VLOOKUP(A1020,'[1]Raw data'!$B:$BA,31,FALSE)</f>
        <v>44762</v>
      </c>
      <c r="Y1020" s="652" t="str">
        <f>VLOOKUP(A1020,'[1]Raw data'!$B:$AS,39,FALSE)</f>
        <v>Yes</v>
      </c>
      <c r="Z1020" s="664"/>
      <c r="AA1020" s="665"/>
      <c r="AB1020" s="666"/>
      <c r="AC1020" s="652" t="s">
        <v>1944</v>
      </c>
      <c r="AD1020" s="580"/>
      <c r="AE1020" s="580"/>
      <c r="AF1020" s="580"/>
      <c r="AG1020" s="580"/>
      <c r="AH1020" s="580"/>
      <c r="AI1020" s="684"/>
      <c r="AJ1020" s="569"/>
      <c r="AK1020" s="569"/>
      <c r="AL1020" s="569"/>
      <c r="AM1020" s="569"/>
      <c r="AN1020" s="619"/>
      <c r="AO1020" s="829" t="str">
        <f t="shared" si="182"/>
        <v>Yes</v>
      </c>
      <c r="AP1020" s="259" t="str">
        <f t="shared" si="183"/>
        <v>AUG 22</v>
      </c>
      <c r="AQ1020" s="547" t="str">
        <f t="shared" si="184"/>
        <v>有定金+有預留客戶</v>
      </c>
      <c r="AR1020" s="259" t="str">
        <f t="shared" si="185"/>
        <v>Shipped_Stock</v>
      </c>
      <c r="AS1020" s="259" t="str">
        <f t="shared" si="186"/>
        <v/>
      </c>
      <c r="AT1020" s="259" t="str">
        <f t="shared" si="187"/>
        <v>惠州耕创</v>
      </c>
      <c r="AU1020" s="259" t="str">
        <f t="shared" si="188"/>
        <v>C49SZX20220083DZ</v>
      </c>
      <c r="AV1020" s="259" t="str">
        <f t="shared" si="189"/>
        <v>2022-1-17Yamaha 仓库</v>
      </c>
    </row>
    <row r="1021" spans="1:48" ht="16.5" hidden="1">
      <c r="A1021" s="604">
        <v>1708</v>
      </c>
      <c r="B1021" s="669" t="s">
        <v>1125</v>
      </c>
      <c r="C1021" s="669" t="s">
        <v>15</v>
      </c>
      <c r="D1021" s="650" t="s">
        <v>1945</v>
      </c>
      <c r="E1021" s="765" t="s">
        <v>1942</v>
      </c>
      <c r="F1021" s="652" t="s">
        <v>149</v>
      </c>
      <c r="G1021" s="652" t="s">
        <v>24</v>
      </c>
      <c r="H1021" s="652" t="s">
        <v>26</v>
      </c>
      <c r="I1021" s="580" t="s">
        <v>1946</v>
      </c>
      <c r="J1021" s="580">
        <v>1</v>
      </c>
      <c r="K1021" s="652" t="s">
        <v>1419</v>
      </c>
      <c r="L1021" s="764" t="s">
        <v>3986</v>
      </c>
      <c r="M1021" s="670" t="s">
        <v>1807</v>
      </c>
      <c r="N1021" s="652" t="s">
        <v>221</v>
      </c>
      <c r="O1021" s="580">
        <v>2021.6</v>
      </c>
      <c r="P1021" s="670" t="str">
        <f>VLOOKUP(A1021,'[1]Raw data'!$B:$BA,23,FALSE)</f>
        <v>RMB</v>
      </c>
      <c r="Q1021" s="652" t="str">
        <f>VLOOKUP(A1021,'[1]Raw data'!$B:$Z,2,FALSE)</f>
        <v>C49SZX20220083DZ</v>
      </c>
      <c r="R1021" s="652" t="str">
        <f>VLOOKUP(A1021,'[1]Raw data'!$B:$Z,3,FALSE)</f>
        <v>惠州耕创</v>
      </c>
      <c r="S1021" s="652" t="str">
        <f>VLOOKUP(A1021,'[1]Raw data'!$B:$Z,4,FALSE)</f>
        <v>YSM40R-4</v>
      </c>
      <c r="T1021" s="652" t="str">
        <f>VLOOKUP(A1021,'[1]Raw data'!$B:$Z,8,FALSE)</f>
        <v>L-&gt;R</v>
      </c>
      <c r="U1021" s="652" t="str">
        <f>VLOOKUP(A1021,'[1]Raw data'!$B:$Z,9,FALSE)</f>
        <v>No</v>
      </c>
      <c r="V1021" s="572" t="str">
        <f t="shared" si="200"/>
        <v>OK</v>
      </c>
      <c r="W1021" s="568" t="str">
        <f>VLOOKUP(A1021,'[1]Raw data'!$B:$AG,32,FALSE)</f>
        <v>DDP HZ</v>
      </c>
      <c r="X1021" s="652">
        <f>VLOOKUP(A1021,'[1]Raw data'!$B:$BA,31,FALSE)</f>
        <v>44762</v>
      </c>
      <c r="Y1021" s="652" t="str">
        <f>VLOOKUP(A1021,'[1]Raw data'!$B:$AS,39,FALSE)</f>
        <v>Yes</v>
      </c>
      <c r="Z1021" s="664"/>
      <c r="AA1021" s="665"/>
      <c r="AB1021" s="666"/>
      <c r="AC1021" s="652" t="s">
        <v>1944</v>
      </c>
      <c r="AD1021" s="580" t="s">
        <v>1566</v>
      </c>
      <c r="AE1021" s="580">
        <v>72</v>
      </c>
      <c r="AF1021" s="580"/>
      <c r="AG1021" s="580"/>
      <c r="AH1021" s="580"/>
      <c r="AI1021" s="684"/>
      <c r="AJ1021" s="569"/>
      <c r="AK1021" s="569"/>
      <c r="AL1021" s="569"/>
      <c r="AM1021" s="569"/>
      <c r="AN1021" s="619"/>
      <c r="AO1021" s="829" t="str">
        <f t="shared" si="182"/>
        <v>Yes</v>
      </c>
      <c r="AP1021" s="259" t="str">
        <f t="shared" si="183"/>
        <v>AUG 22</v>
      </c>
      <c r="AQ1021" s="547" t="str">
        <f t="shared" si="184"/>
        <v>有定金+有預留客戶</v>
      </c>
      <c r="AR1021" s="259" t="str">
        <f t="shared" si="185"/>
        <v>Shipped_Stock</v>
      </c>
      <c r="AS1021" s="259" t="str">
        <f t="shared" si="186"/>
        <v/>
      </c>
      <c r="AT1021" s="259" t="str">
        <f t="shared" si="187"/>
        <v>惠州耕创</v>
      </c>
      <c r="AU1021" s="259" t="str">
        <f t="shared" si="188"/>
        <v>C49SZX20220083DZ</v>
      </c>
      <c r="AV1021" s="259" t="str">
        <f t="shared" si="189"/>
        <v>2022-1-17Yamaha 仓库</v>
      </c>
    </row>
    <row r="1022" spans="1:48" hidden="1">
      <c r="A1022" s="564">
        <v>1540</v>
      </c>
      <c r="B1022" s="669" t="s">
        <v>1125</v>
      </c>
      <c r="C1022" s="669" t="s">
        <v>15</v>
      </c>
      <c r="D1022" s="650" t="s">
        <v>1947</v>
      </c>
      <c r="E1022" s="761" t="s">
        <v>1948</v>
      </c>
      <c r="F1022" s="652" t="s">
        <v>149</v>
      </c>
      <c r="G1022" s="652" t="s">
        <v>24</v>
      </c>
      <c r="H1022" s="652" t="s">
        <v>26</v>
      </c>
      <c r="I1022" s="580" t="s">
        <v>1949</v>
      </c>
      <c r="J1022" s="580">
        <v>1</v>
      </c>
      <c r="K1022" s="652" t="s">
        <v>1950</v>
      </c>
      <c r="L1022" s="764" t="s">
        <v>3986</v>
      </c>
      <c r="M1022" s="670" t="s">
        <v>1807</v>
      </c>
      <c r="N1022" s="652" t="s">
        <v>1895</v>
      </c>
      <c r="O1022" s="580"/>
      <c r="P1022" s="670" t="str">
        <f>VLOOKUP(A1022,'[1]Raw data'!$B:$BA,23,FALSE)</f>
        <v>RMB</v>
      </c>
      <c r="Q1022" s="652" t="str">
        <f>VLOOKUP(A1022,'[1]Raw data'!$B:$Z,2,FALSE)</f>
        <v>C49SZX20210222JL</v>
      </c>
      <c r="R1022" s="652" t="str">
        <f>VLOOKUP(A1022,'[1]Raw data'!$B:$Z,3,FALSE)</f>
        <v>深圳快宇</v>
      </c>
      <c r="S1022" s="652" t="str">
        <f>VLOOKUP(A1022,'[1]Raw data'!$B:$Z,4,FALSE)</f>
        <v>YSM40R-4</v>
      </c>
      <c r="T1022" s="652" t="str">
        <f>VLOOKUP(A1022,'[1]Raw data'!$B:$Z,8,FALSE)</f>
        <v>L-&gt;R</v>
      </c>
      <c r="U1022" s="652" t="str">
        <f>VLOOKUP(A1022,'[1]Raw data'!$B:$Z,9,FALSE)</f>
        <v>No</v>
      </c>
      <c r="V1022" s="572" t="str">
        <f t="shared" si="200"/>
        <v>OK</v>
      </c>
      <c r="W1022" s="568" t="str">
        <f>VLOOKUP(A1022,'[1]Raw data'!$B:$AG,32,FALSE)</f>
        <v>DDP SZ</v>
      </c>
      <c r="X1022" s="652">
        <f>VLOOKUP(A1022,'[1]Raw data'!$B:$BA,31,FALSE)</f>
        <v>44557</v>
      </c>
      <c r="Y1022" s="652" t="str">
        <f>VLOOKUP(A1022,'[1]Raw data'!$B:$AS,39,FALSE)</f>
        <v>Yes</v>
      </c>
      <c r="Z1022" s="671"/>
      <c r="AA1022" s="665"/>
      <c r="AB1022" s="673"/>
      <c r="AC1022" s="652" t="s">
        <v>1951</v>
      </c>
      <c r="AD1022" s="667"/>
      <c r="AE1022" s="667"/>
      <c r="AF1022" s="667"/>
      <c r="AG1022" s="667"/>
      <c r="AH1022" s="667"/>
      <c r="AI1022" s="668"/>
      <c r="AN1022" s="547"/>
      <c r="AO1022" s="829" t="str">
        <f t="shared" si="182"/>
        <v>Yes</v>
      </c>
      <c r="AP1022" s="259" t="str">
        <f t="shared" si="183"/>
        <v>JAN 22</v>
      </c>
      <c r="AQ1022" s="547" t="str">
        <f t="shared" si="184"/>
        <v>有定金+有預留客戶</v>
      </c>
      <c r="AR1022" s="259" t="str">
        <f t="shared" si="185"/>
        <v>Shipped_Stock</v>
      </c>
      <c r="AS1022" s="259" t="str">
        <f t="shared" si="186"/>
        <v/>
      </c>
      <c r="AT1022" s="259" t="str">
        <f t="shared" si="187"/>
        <v>深圳快宇</v>
      </c>
      <c r="AU1022" s="259" t="str">
        <f t="shared" si="188"/>
        <v>C49SZX20210222JL</v>
      </c>
      <c r="AV1022" s="259" t="str">
        <f t="shared" si="189"/>
        <v>2022-1-17Yamaha 仓库</v>
      </c>
    </row>
    <row r="1023" spans="1:48" hidden="1">
      <c r="A1023" s="564">
        <v>1541</v>
      </c>
      <c r="B1023" s="669" t="s">
        <v>1125</v>
      </c>
      <c r="C1023" s="669" t="s">
        <v>15</v>
      </c>
      <c r="D1023" s="650" t="s">
        <v>1952</v>
      </c>
      <c r="E1023" s="761" t="s">
        <v>1953</v>
      </c>
      <c r="F1023" s="652" t="s">
        <v>149</v>
      </c>
      <c r="G1023" s="652" t="s">
        <v>24</v>
      </c>
      <c r="H1023" s="652" t="s">
        <v>307</v>
      </c>
      <c r="I1023" s="580" t="s">
        <v>1954</v>
      </c>
      <c r="J1023" s="580">
        <v>1</v>
      </c>
      <c r="K1023" s="652" t="s">
        <v>1950</v>
      </c>
      <c r="L1023" s="764" t="s">
        <v>3986</v>
      </c>
      <c r="M1023" s="670" t="s">
        <v>1807</v>
      </c>
      <c r="N1023" s="652"/>
      <c r="O1023" s="580"/>
      <c r="P1023" s="670" t="str">
        <f>VLOOKUP(A1023,'[1]Raw data'!$B:$BA,23,FALSE)</f>
        <v>RMB</v>
      </c>
      <c r="Q1023" s="652" t="str">
        <f>VLOOKUP(A1023,'[1]Raw data'!$B:$Z,2,FALSE)</f>
        <v>C49SZX20220001SS</v>
      </c>
      <c r="R1023" s="652" t="str">
        <f>VLOOKUP(A1023,'[1]Raw data'!$B:$Z,3,FALSE)</f>
        <v>深圳世达威</v>
      </c>
      <c r="S1023" s="652" t="str">
        <f>VLOOKUP(A1023,'[1]Raw data'!$B:$Z,4,FALSE)</f>
        <v>YSM40R-4</v>
      </c>
      <c r="T1023" s="652" t="str">
        <f>VLOOKUP(A1023,'[1]Raw data'!$B:$Z,8,FALSE)</f>
        <v>L-&gt;R</v>
      </c>
      <c r="U1023" s="652" t="str">
        <f>VLOOKUP(A1023,'[1]Raw data'!$B:$Z,9,FALSE)</f>
        <v>No</v>
      </c>
      <c r="V1023" s="572" t="str">
        <f t="shared" si="200"/>
        <v>OK</v>
      </c>
      <c r="W1023" s="568" t="str">
        <f>VLOOKUP(A1023,'[1]Raw data'!$B:$AG,32,FALSE)</f>
        <v>DDP SZ</v>
      </c>
      <c r="X1023" s="715">
        <f>VLOOKUP(A1023,'[1]Raw data'!$B:$BA,31,FALSE)</f>
        <v>44565</v>
      </c>
      <c r="Y1023" s="715" t="str">
        <f>VLOOKUP(A1023,'[1]Raw data'!$B:$AS,39,FALSE)</f>
        <v>Yes</v>
      </c>
      <c r="Z1023" s="664"/>
      <c r="AA1023" s="665"/>
      <c r="AB1023" s="666"/>
      <c r="AC1023" s="652" t="s">
        <v>1951</v>
      </c>
      <c r="AD1023" s="667"/>
      <c r="AE1023" s="667"/>
      <c r="AF1023" s="667"/>
      <c r="AG1023" s="667"/>
      <c r="AH1023" s="667"/>
      <c r="AI1023" s="668"/>
      <c r="AN1023" s="547"/>
      <c r="AO1023" s="829" t="str">
        <f t="shared" si="182"/>
        <v>Yes</v>
      </c>
      <c r="AP1023" s="259" t="str">
        <f t="shared" si="183"/>
        <v>blank</v>
      </c>
      <c r="AQ1023" s="547" t="str">
        <f t="shared" si="184"/>
        <v>有定金+无客戶送貨期</v>
      </c>
      <c r="AR1023" s="259" t="str">
        <f t="shared" si="185"/>
        <v>Shipped_Stock</v>
      </c>
      <c r="AS1023" s="259" t="str">
        <f t="shared" si="186"/>
        <v/>
      </c>
      <c r="AT1023" s="259" t="str">
        <f t="shared" si="187"/>
        <v>深圳世达威</v>
      </c>
      <c r="AU1023" s="259" t="str">
        <f t="shared" si="188"/>
        <v>C49SZX20220001SS</v>
      </c>
      <c r="AV1023" s="259" t="str">
        <f t="shared" si="189"/>
        <v>2022-1-17Yamaha 仓库</v>
      </c>
    </row>
    <row r="1024" spans="1:48" hidden="1">
      <c r="A1024" s="564">
        <v>1543</v>
      </c>
      <c r="B1024" s="669" t="s">
        <v>1125</v>
      </c>
      <c r="C1024" s="669" t="s">
        <v>15</v>
      </c>
      <c r="D1024" s="650" t="s">
        <v>1955</v>
      </c>
      <c r="E1024" s="761" t="s">
        <v>1564</v>
      </c>
      <c r="F1024" s="652" t="s">
        <v>149</v>
      </c>
      <c r="G1024" s="652" t="s">
        <v>24</v>
      </c>
      <c r="H1024" s="652" t="s">
        <v>26</v>
      </c>
      <c r="I1024" s="580" t="s">
        <v>1956</v>
      </c>
      <c r="J1024" s="580">
        <v>1</v>
      </c>
      <c r="K1024" s="652" t="s">
        <v>1806</v>
      </c>
      <c r="L1024" s="764" t="s">
        <v>3986</v>
      </c>
      <c r="M1024" s="670" t="s">
        <v>1807</v>
      </c>
      <c r="N1024" s="652" t="s">
        <v>1890</v>
      </c>
      <c r="O1024" s="580"/>
      <c r="P1024" s="670" t="str">
        <f>VLOOKUP(A1024,'[1]Raw data'!$B:$BA,23,FALSE)</f>
        <v>RMB</v>
      </c>
      <c r="Q1024" s="652" t="str">
        <f>VLOOKUP(A1024,'[1]Raw data'!$B:$Z,2,FALSE)</f>
        <v>C49SZX20220005SS</v>
      </c>
      <c r="R1024" s="652" t="str">
        <f>VLOOKUP(A1024,'[1]Raw data'!$B:$Z,3,FALSE)</f>
        <v>龙大光电</v>
      </c>
      <c r="S1024" s="652" t="str">
        <f>VLOOKUP(A1024,'[1]Raw data'!$B:$Z,4,FALSE)</f>
        <v>YSM40R-4</v>
      </c>
      <c r="T1024" s="652" t="str">
        <f>VLOOKUP(A1024,'[1]Raw data'!$B:$Z,8,FALSE)</f>
        <v>L-&gt;R</v>
      </c>
      <c r="U1024" s="652" t="str">
        <f>VLOOKUP(A1024,'[1]Raw data'!$B:$Z,9,FALSE)</f>
        <v>No</v>
      </c>
      <c r="V1024" s="572" t="str">
        <f>IF(G1024&amp;H1024=T1024&amp;U1024,"OK","WRONG")</f>
        <v>OK</v>
      </c>
      <c r="W1024" s="568" t="str">
        <f>VLOOKUP(A1024,'[1]Raw data'!$B:$AG,32,FALSE)</f>
        <v>DDP SZ</v>
      </c>
      <c r="X1024" s="652">
        <f>VLOOKUP(A1024,'[1]Raw data'!$B:$BA,31,FALSE)</f>
        <v>44572</v>
      </c>
      <c r="Y1024" s="652" t="str">
        <f>VLOOKUP(A1024,'[1]Raw data'!$B:$AS,39,FALSE)</f>
        <v>Yes</v>
      </c>
      <c r="Z1024" s="664"/>
      <c r="AA1024" s="665"/>
      <c r="AB1024" s="666"/>
      <c r="AC1024" s="652" t="s">
        <v>1951</v>
      </c>
      <c r="AD1024" s="667"/>
      <c r="AE1024" s="667"/>
      <c r="AF1024" s="667"/>
      <c r="AG1024" s="667"/>
      <c r="AH1024" s="667"/>
      <c r="AI1024" s="668"/>
      <c r="AN1024" s="547"/>
      <c r="AO1024" s="829" t="str">
        <f t="shared" si="182"/>
        <v>Yes</v>
      </c>
      <c r="AP1024" s="259" t="str">
        <f t="shared" si="183"/>
        <v>FEB 22</v>
      </c>
      <c r="AQ1024" s="547" t="str">
        <f t="shared" si="184"/>
        <v>有定金+有預留客戶</v>
      </c>
      <c r="AR1024" s="259" t="str">
        <f t="shared" si="185"/>
        <v>Shipped_Stock</v>
      </c>
      <c r="AS1024" s="259" t="str">
        <f t="shared" si="186"/>
        <v/>
      </c>
      <c r="AT1024" s="259" t="str">
        <f t="shared" si="187"/>
        <v>龙大光电</v>
      </c>
      <c r="AU1024" s="259" t="str">
        <f t="shared" si="188"/>
        <v>C49SZX20220005SS</v>
      </c>
      <c r="AV1024" s="259" t="str">
        <f t="shared" si="189"/>
        <v>2022-1-17Yamaha 仓库</v>
      </c>
    </row>
    <row r="1025" spans="1:48" hidden="1">
      <c r="A1025" s="564">
        <v>1544</v>
      </c>
      <c r="B1025" s="669" t="s">
        <v>1125</v>
      </c>
      <c r="C1025" s="669" t="s">
        <v>15</v>
      </c>
      <c r="D1025" s="650" t="s">
        <v>1955</v>
      </c>
      <c r="E1025" s="761" t="s">
        <v>1564</v>
      </c>
      <c r="F1025" s="652" t="s">
        <v>149</v>
      </c>
      <c r="G1025" s="652" t="s">
        <v>24</v>
      </c>
      <c r="H1025" s="652" t="s">
        <v>26</v>
      </c>
      <c r="I1025" s="580" t="s">
        <v>1957</v>
      </c>
      <c r="J1025" s="580">
        <v>1</v>
      </c>
      <c r="K1025" s="652" t="s">
        <v>1806</v>
      </c>
      <c r="L1025" s="764" t="s">
        <v>3986</v>
      </c>
      <c r="M1025" s="670" t="s">
        <v>1807</v>
      </c>
      <c r="N1025" s="652" t="s">
        <v>1890</v>
      </c>
      <c r="O1025" s="580"/>
      <c r="P1025" s="670" t="str">
        <f>VLOOKUP(A1025,'[1]Raw data'!$B:$BA,23,FALSE)</f>
        <v>RMB</v>
      </c>
      <c r="Q1025" s="652" t="str">
        <f>VLOOKUP(A1025,'[1]Raw data'!$B:$Z,2,FALSE)</f>
        <v>C49SZX20220005SS</v>
      </c>
      <c r="R1025" s="652" t="str">
        <f>VLOOKUP(A1025,'[1]Raw data'!$B:$Z,3,FALSE)</f>
        <v>龙大光电</v>
      </c>
      <c r="S1025" s="652" t="str">
        <f>VLOOKUP(A1025,'[1]Raw data'!$B:$Z,4,FALSE)</f>
        <v>YSM40R-4</v>
      </c>
      <c r="T1025" s="652" t="str">
        <f>VLOOKUP(A1025,'[1]Raw data'!$B:$Z,8,FALSE)</f>
        <v>L-&gt;R</v>
      </c>
      <c r="U1025" s="652" t="str">
        <f>VLOOKUP(A1025,'[1]Raw data'!$B:$Z,9,FALSE)</f>
        <v>No</v>
      </c>
      <c r="V1025" s="572" t="str">
        <f>IF(G1025&amp;H1025=T1025&amp;U1025,"OK","WRONG")</f>
        <v>OK</v>
      </c>
      <c r="W1025" s="568" t="str">
        <f>VLOOKUP(A1025,'[1]Raw data'!$B:$AG,32,FALSE)</f>
        <v>DDP SZ</v>
      </c>
      <c r="X1025" s="652">
        <f>VLOOKUP(A1025,'[1]Raw data'!$B:$BA,31,FALSE)</f>
        <v>44572</v>
      </c>
      <c r="Y1025" s="652" t="str">
        <f>VLOOKUP(A1025,'[1]Raw data'!$B:$AS,39,FALSE)</f>
        <v>Yes</v>
      </c>
      <c r="Z1025" s="664"/>
      <c r="AA1025" s="665"/>
      <c r="AB1025" s="666"/>
      <c r="AC1025" s="652" t="s">
        <v>1951</v>
      </c>
      <c r="AD1025" s="667"/>
      <c r="AE1025" s="667"/>
      <c r="AF1025" s="667"/>
      <c r="AG1025" s="667"/>
      <c r="AH1025" s="667"/>
      <c r="AI1025" s="668"/>
      <c r="AN1025" s="547"/>
      <c r="AO1025" s="829" t="str">
        <f t="shared" si="182"/>
        <v>Yes</v>
      </c>
      <c r="AP1025" s="259" t="str">
        <f t="shared" si="183"/>
        <v>FEB 22</v>
      </c>
      <c r="AQ1025" s="547" t="str">
        <f t="shared" si="184"/>
        <v>有定金+有預留客戶</v>
      </c>
      <c r="AR1025" s="259" t="str">
        <f t="shared" si="185"/>
        <v>Shipped_Stock</v>
      </c>
      <c r="AS1025" s="259" t="str">
        <f t="shared" si="186"/>
        <v/>
      </c>
      <c r="AT1025" s="259" t="str">
        <f t="shared" si="187"/>
        <v>龙大光电</v>
      </c>
      <c r="AU1025" s="259" t="str">
        <f t="shared" si="188"/>
        <v>C49SZX20220005SS</v>
      </c>
      <c r="AV1025" s="259" t="str">
        <f t="shared" si="189"/>
        <v>2022-1-17Yamaha 仓库</v>
      </c>
    </row>
    <row r="1026" spans="1:48" hidden="1">
      <c r="A1026" s="564">
        <v>1545</v>
      </c>
      <c r="B1026" s="669" t="s">
        <v>1125</v>
      </c>
      <c r="C1026" s="669" t="s">
        <v>15</v>
      </c>
      <c r="D1026" s="650" t="s">
        <v>1955</v>
      </c>
      <c r="E1026" s="761" t="s">
        <v>1564</v>
      </c>
      <c r="F1026" s="652" t="s">
        <v>149</v>
      </c>
      <c r="G1026" s="652" t="s">
        <v>24</v>
      </c>
      <c r="H1026" s="652" t="s">
        <v>26</v>
      </c>
      <c r="I1026" s="580" t="s">
        <v>1958</v>
      </c>
      <c r="J1026" s="580">
        <v>1</v>
      </c>
      <c r="K1026" s="652" t="s">
        <v>1806</v>
      </c>
      <c r="L1026" s="764" t="s">
        <v>3986</v>
      </c>
      <c r="M1026" s="670" t="s">
        <v>1807</v>
      </c>
      <c r="N1026" s="652" t="s">
        <v>1890</v>
      </c>
      <c r="O1026" s="580"/>
      <c r="P1026" s="670" t="str">
        <f>VLOOKUP(A1026,'[1]Raw data'!$B:$BA,23,FALSE)</f>
        <v>RMB</v>
      </c>
      <c r="Q1026" s="652" t="str">
        <f>VLOOKUP(A1026,'[1]Raw data'!$B:$Z,2,FALSE)</f>
        <v>C49SZX20220005SS</v>
      </c>
      <c r="R1026" s="652" t="str">
        <f>VLOOKUP(A1026,'[1]Raw data'!$B:$Z,3,FALSE)</f>
        <v>龙大光电</v>
      </c>
      <c r="S1026" s="652" t="str">
        <f>VLOOKUP(A1026,'[1]Raw data'!$B:$Z,4,FALSE)</f>
        <v>YSM40R-4</v>
      </c>
      <c r="T1026" s="652" t="str">
        <f>VLOOKUP(A1026,'[1]Raw data'!$B:$Z,8,FALSE)</f>
        <v>L-&gt;R</v>
      </c>
      <c r="U1026" s="652" t="str">
        <f>VLOOKUP(A1026,'[1]Raw data'!$B:$Z,9,FALSE)</f>
        <v>No</v>
      </c>
      <c r="V1026" s="572" t="str">
        <f>IF(G1026&amp;H1026=T1026&amp;U1026,"OK","WRONG")</f>
        <v>OK</v>
      </c>
      <c r="W1026" s="568" t="str">
        <f>VLOOKUP(A1026,'[1]Raw data'!$B:$AG,32,FALSE)</f>
        <v>DDP SZ</v>
      </c>
      <c r="X1026" s="652">
        <f>VLOOKUP(A1026,'[1]Raw data'!$B:$BA,31,FALSE)</f>
        <v>44572</v>
      </c>
      <c r="Y1026" s="652" t="str">
        <f>VLOOKUP(A1026,'[1]Raw data'!$B:$AS,39,FALSE)</f>
        <v>Yes</v>
      </c>
      <c r="Z1026" s="664"/>
      <c r="AA1026" s="665"/>
      <c r="AB1026" s="666"/>
      <c r="AC1026" s="652" t="s">
        <v>1951</v>
      </c>
      <c r="AD1026" s="667"/>
      <c r="AE1026" s="667"/>
      <c r="AF1026" s="667"/>
      <c r="AG1026" s="667"/>
      <c r="AH1026" s="667"/>
      <c r="AI1026" s="668"/>
      <c r="AN1026" s="547"/>
      <c r="AO1026" s="829" t="str">
        <f t="shared" si="182"/>
        <v>Yes</v>
      </c>
      <c r="AP1026" s="259" t="str">
        <f t="shared" si="183"/>
        <v>FEB 22</v>
      </c>
      <c r="AQ1026" s="547" t="str">
        <f t="shared" si="184"/>
        <v>有定金+有預留客戶</v>
      </c>
      <c r="AR1026" s="259" t="str">
        <f t="shared" si="185"/>
        <v>Shipped_Stock</v>
      </c>
      <c r="AS1026" s="259" t="str">
        <f t="shared" si="186"/>
        <v/>
      </c>
      <c r="AT1026" s="259" t="str">
        <f t="shared" si="187"/>
        <v>龙大光电</v>
      </c>
      <c r="AU1026" s="259" t="str">
        <f t="shared" si="188"/>
        <v>C49SZX20220005SS</v>
      </c>
      <c r="AV1026" s="259" t="str">
        <f t="shared" si="189"/>
        <v>2022-1-17Yamaha 仓库</v>
      </c>
    </row>
    <row r="1027" spans="1:48" hidden="1">
      <c r="A1027" s="564">
        <v>1546</v>
      </c>
      <c r="B1027" s="669" t="s">
        <v>1125</v>
      </c>
      <c r="C1027" s="669" t="s">
        <v>15</v>
      </c>
      <c r="D1027" s="650" t="s">
        <v>1955</v>
      </c>
      <c r="E1027" s="761" t="s">
        <v>1564</v>
      </c>
      <c r="F1027" s="652" t="s">
        <v>149</v>
      </c>
      <c r="G1027" s="652" t="s">
        <v>24</v>
      </c>
      <c r="H1027" s="652" t="s">
        <v>307</v>
      </c>
      <c r="I1027" s="580" t="s">
        <v>1959</v>
      </c>
      <c r="J1027" s="580">
        <v>1</v>
      </c>
      <c r="K1027" s="652" t="s">
        <v>1806</v>
      </c>
      <c r="L1027" s="764" t="s">
        <v>3986</v>
      </c>
      <c r="M1027" s="670" t="s">
        <v>1807</v>
      </c>
      <c r="N1027" s="652" t="s">
        <v>1890</v>
      </c>
      <c r="O1027" s="580"/>
      <c r="P1027" s="670" t="str">
        <f>VLOOKUP(A1027,'[1]Raw data'!$B:$BA,23,FALSE)</f>
        <v>RMB</v>
      </c>
      <c r="Q1027" s="652" t="str">
        <f>VLOOKUP(A1027,'[1]Raw data'!$B:$Z,2,FALSE)</f>
        <v>C49SZX20220005SS</v>
      </c>
      <c r="R1027" s="652" t="str">
        <f>VLOOKUP(A1027,'[1]Raw data'!$B:$Z,3,FALSE)</f>
        <v>龙大光电</v>
      </c>
      <c r="S1027" s="652" t="str">
        <f>VLOOKUP(A1027,'[1]Raw data'!$B:$Z,4,FALSE)</f>
        <v>YSM40R-4</v>
      </c>
      <c r="T1027" s="652" t="str">
        <f>VLOOKUP(A1027,'[1]Raw data'!$B:$Z,8,FALSE)</f>
        <v>L-&gt;R</v>
      </c>
      <c r="U1027" s="652" t="str">
        <f>VLOOKUP(A1027,'[1]Raw data'!$B:$Z,9,FALSE)</f>
        <v>No</v>
      </c>
      <c r="V1027" s="572" t="str">
        <f t="shared" ref="V1027" si="201">IF(G1027&amp;H1027=T1027&amp;U1027,"OK","WRONG")</f>
        <v>OK</v>
      </c>
      <c r="W1027" s="568" t="str">
        <f>VLOOKUP(A1027,'[1]Raw data'!$B:$AG,32,FALSE)</f>
        <v>DDP SZ</v>
      </c>
      <c r="X1027" s="652">
        <f>VLOOKUP(A1027,'[1]Raw data'!$B:$BA,31,FALSE)</f>
        <v>44572</v>
      </c>
      <c r="Y1027" s="652" t="str">
        <f>VLOOKUP(A1027,'[1]Raw data'!$B:$AS,39,FALSE)</f>
        <v>Yes</v>
      </c>
      <c r="Z1027" s="664"/>
      <c r="AA1027" s="665"/>
      <c r="AB1027" s="666"/>
      <c r="AC1027" s="652" t="s">
        <v>1951</v>
      </c>
      <c r="AD1027" s="667"/>
      <c r="AE1027" s="667"/>
      <c r="AF1027" s="667"/>
      <c r="AG1027" s="667"/>
      <c r="AH1027" s="667"/>
      <c r="AI1027" s="668"/>
      <c r="AN1027" s="547"/>
      <c r="AO1027" s="829" t="str">
        <f t="shared" ref="AO1027:AO1090" si="202">IFERROR(IF(Y1027&lt;&gt;"",Y1027,"No"),"No")</f>
        <v>Yes</v>
      </c>
      <c r="AP1027" s="259" t="str">
        <f t="shared" ref="AP1027:AP1090" si="203">IFERROR(IF(N1027&lt;&gt;"",N1027,"blank"),"NA")</f>
        <v>FEB 22</v>
      </c>
      <c r="AQ1027" s="547" t="str">
        <f t="shared" ref="AQ1027:AQ1090" si="204">IFERROR(IF(AND(AO1027="Yes", AP1027&lt;&gt;"blank"), "有定金+有預留客戶", IF(AND(AO1027="Yes", AP1027="blank"), "有定金+无客戶送貨期", IF(AND(OR(AO1027="No", ISBLANK(AO1027), AO1027="NA"), AP1027&lt;&gt;"blank"), "无定金+有預留客戶", IF(AND(OR(AO1027="No", ISBLANK(AO1027), AO1027="NA"), AP1027="blank"), "无定金+无預留客戶", "")))), "")</f>
        <v>有定金+有預留客戶</v>
      </c>
      <c r="AR1027" s="259" t="str">
        <f t="shared" ref="AR1027:AR1090" si="205">IFERROR(IF(B1027="已经到货", "Instock", IF(B1027="有交期", "Incoming_Stock_With_YAMAHA_Schedule", IF(B1027="TBA.", "Incoming_Stock_No_YAMAHA_Schedule", IF(B1027="已发货", "Shipped_Stock", "")))), "")</f>
        <v>Shipped_Stock</v>
      </c>
      <c r="AS1027" s="259" t="str">
        <f t="shared" ref="AS1027:AS1090" si="206">IF(AND(B1027="有交期", L1027&lt;&gt;""), L1027, "")</f>
        <v/>
      </c>
      <c r="AT1027" s="259" t="str">
        <f t="shared" ref="AT1027:AT1090" si="207">IFERROR(IF(R1027&lt;&gt;"",R1027),"-")</f>
        <v>龙大光电</v>
      </c>
      <c r="AU1027" s="259" t="str">
        <f t="shared" ref="AU1027:AU1090" si="208">IFERROR(IF(Q1027&lt;&gt;"",Q1027),"-")</f>
        <v>C49SZX20220005SS</v>
      </c>
      <c r="AV1027" s="259" t="str">
        <f t="shared" ref="AV1027:AV1090" si="209">IF(L1027="","-",TEXT(L1027,"mmm-dd"))</f>
        <v>2022-1-17Yamaha 仓库</v>
      </c>
    </row>
    <row r="1028" spans="1:48" hidden="1">
      <c r="A1028" s="564">
        <v>1547</v>
      </c>
      <c r="B1028" s="669" t="s">
        <v>1125</v>
      </c>
      <c r="C1028" s="669" t="s">
        <v>15</v>
      </c>
      <c r="D1028" s="650" t="s">
        <v>1955</v>
      </c>
      <c r="E1028" s="761" t="s">
        <v>1564</v>
      </c>
      <c r="F1028" s="652" t="s">
        <v>149</v>
      </c>
      <c r="G1028" s="652" t="s">
        <v>24</v>
      </c>
      <c r="H1028" s="652" t="s">
        <v>26</v>
      </c>
      <c r="I1028" s="580" t="s">
        <v>1960</v>
      </c>
      <c r="J1028" s="580">
        <v>1</v>
      </c>
      <c r="K1028" s="652" t="s">
        <v>1806</v>
      </c>
      <c r="L1028" s="662" t="s">
        <v>3985</v>
      </c>
      <c r="M1028" s="670" t="s">
        <v>1807</v>
      </c>
      <c r="N1028" s="652" t="s">
        <v>1890</v>
      </c>
      <c r="O1028" s="580"/>
      <c r="P1028" s="670" t="str">
        <f>VLOOKUP(A1028,'[1]Raw data'!$B:$BA,23,FALSE)</f>
        <v>RMB</v>
      </c>
      <c r="Q1028" s="652" t="str">
        <f>VLOOKUP(A1028,'[1]Raw data'!$B:$Z,2,FALSE)</f>
        <v>C49SZX20220005SS</v>
      </c>
      <c r="R1028" s="652" t="str">
        <f>VLOOKUP(A1028,'[1]Raw data'!$B:$Z,3,FALSE)</f>
        <v>龙大光电</v>
      </c>
      <c r="S1028" s="652" t="str">
        <f>VLOOKUP(A1028,'[1]Raw data'!$B:$Z,4,FALSE)</f>
        <v>YSM40R-4</v>
      </c>
      <c r="T1028" s="652" t="str">
        <f>VLOOKUP(A1028,'[1]Raw data'!$B:$Z,8,FALSE)</f>
        <v>L-&gt;R</v>
      </c>
      <c r="U1028" s="652" t="str">
        <f>VLOOKUP(A1028,'[1]Raw data'!$B:$Z,9,FALSE)</f>
        <v>No</v>
      </c>
      <c r="V1028" s="572" t="str">
        <f>IF(G1028&amp;H1028=T1028&amp;U1028,"OK","WRONG")</f>
        <v>OK</v>
      </c>
      <c r="W1028" s="568" t="str">
        <f>VLOOKUP(A1028,'[1]Raw data'!$B:$AG,32,FALSE)</f>
        <v>DDP SZ</v>
      </c>
      <c r="X1028" s="652">
        <f>VLOOKUP(A1028,'[1]Raw data'!$B:$BA,31,FALSE)</f>
        <v>44572</v>
      </c>
      <c r="Y1028" s="652" t="str">
        <f>VLOOKUP(A1028,'[1]Raw data'!$B:$AS,39,FALSE)</f>
        <v>Yes</v>
      </c>
      <c r="Z1028" s="664"/>
      <c r="AA1028" s="665"/>
      <c r="AB1028" s="666"/>
      <c r="AC1028" s="652" t="s">
        <v>1951</v>
      </c>
      <c r="AD1028" s="667"/>
      <c r="AE1028" s="667"/>
      <c r="AF1028" s="667"/>
      <c r="AG1028" s="667"/>
      <c r="AH1028" s="667"/>
      <c r="AI1028" s="668"/>
      <c r="AN1028" s="547"/>
      <c r="AO1028" s="829" t="str">
        <f t="shared" si="202"/>
        <v>Yes</v>
      </c>
      <c r="AP1028" s="259" t="str">
        <f t="shared" si="203"/>
        <v>FEB 22</v>
      </c>
      <c r="AQ1028" s="547" t="str">
        <f t="shared" si="204"/>
        <v>有定金+有預留客戶</v>
      </c>
      <c r="AR1028" s="259" t="str">
        <f t="shared" si="205"/>
        <v>Shipped_Stock</v>
      </c>
      <c r="AS1028" s="259" t="str">
        <f t="shared" si="206"/>
        <v/>
      </c>
      <c r="AT1028" s="259" t="str">
        <f t="shared" si="207"/>
        <v>龙大光电</v>
      </c>
      <c r="AU1028" s="259" t="str">
        <f t="shared" si="208"/>
        <v>C49SZX20220005SS</v>
      </c>
      <c r="AV1028" s="259" t="str">
        <f t="shared" si="209"/>
        <v>2022-1-17Yamaha 仓库</v>
      </c>
    </row>
    <row r="1029" spans="1:48" hidden="1">
      <c r="A1029" s="564">
        <v>1529</v>
      </c>
      <c r="B1029" s="669" t="s">
        <v>1125</v>
      </c>
      <c r="C1029" s="669" t="s">
        <v>15</v>
      </c>
      <c r="D1029" s="650" t="s">
        <v>1961</v>
      </c>
      <c r="E1029" s="651" t="s">
        <v>1962</v>
      </c>
      <c r="F1029" s="652" t="s">
        <v>149</v>
      </c>
      <c r="G1029" s="652" t="s">
        <v>24</v>
      </c>
      <c r="H1029" s="652" t="s">
        <v>26</v>
      </c>
      <c r="I1029" s="580" t="s">
        <v>1963</v>
      </c>
      <c r="J1029" s="580">
        <v>1</v>
      </c>
      <c r="K1029" s="652" t="s">
        <v>1964</v>
      </c>
      <c r="L1029" s="764" t="s">
        <v>3986</v>
      </c>
      <c r="M1029" s="670" t="s">
        <v>1807</v>
      </c>
      <c r="N1029" s="652" t="s">
        <v>1828</v>
      </c>
      <c r="O1029" s="580"/>
      <c r="P1029" s="670" t="str">
        <f>VLOOKUP(A1029,'[1]Raw data'!$B:$BA,23,FALSE)</f>
        <v>RMB</v>
      </c>
      <c r="Q1029" s="652" t="str">
        <f>VLOOKUP(A1029,'[1]Raw data'!$B:$Z,2,FALSE)</f>
        <v>C49SZX20210210DZ</v>
      </c>
      <c r="R1029" s="652" t="str">
        <f>VLOOKUP(A1029,'[1]Raw data'!$B:$Z,3,FALSE)</f>
        <v>湖南新亚胜</v>
      </c>
      <c r="S1029" s="652" t="str">
        <f>VLOOKUP(A1029,'[1]Raw data'!$B:$Z,4,FALSE)</f>
        <v>YSM40R-4</v>
      </c>
      <c r="T1029" s="652" t="str">
        <f>VLOOKUP(A1029,'[1]Raw data'!$B:$Z,8,FALSE)</f>
        <v>L-&gt;R</v>
      </c>
      <c r="U1029" s="652" t="str">
        <f>VLOOKUP(A1029,'[1]Raw data'!$B:$Z,9,FALSE)</f>
        <v>No</v>
      </c>
      <c r="V1029" s="572" t="str">
        <f>IF(G1029&amp;H1029=T1029&amp;U1029,"OK","WRONG")</f>
        <v>OK</v>
      </c>
      <c r="W1029" s="568" t="str">
        <f>VLOOKUP(A1029,'[1]Raw data'!$B:$AG,32,FALSE)</f>
        <v>DDP CS</v>
      </c>
      <c r="X1029" s="652">
        <f>VLOOKUP(A1029,'[1]Raw data'!$B:$BA,31,FALSE)</f>
        <v>44546</v>
      </c>
      <c r="Y1029" s="652" t="str">
        <f>VLOOKUP(A1029,'[1]Raw data'!$B:$AS,39,FALSE)</f>
        <v>Yes</v>
      </c>
      <c r="Z1029" s="664"/>
      <c r="AA1029" s="665"/>
      <c r="AB1029" s="666"/>
      <c r="AC1029" s="652" t="s">
        <v>1951</v>
      </c>
      <c r="AD1029" s="667"/>
      <c r="AE1029" s="667"/>
      <c r="AF1029" s="667"/>
      <c r="AG1029" s="667"/>
      <c r="AH1029" s="667"/>
      <c r="AI1029" s="668"/>
      <c r="AN1029" s="547"/>
      <c r="AO1029" s="829" t="str">
        <f t="shared" si="202"/>
        <v>Yes</v>
      </c>
      <c r="AP1029" s="259" t="str">
        <f t="shared" si="203"/>
        <v>MAR 22</v>
      </c>
      <c r="AQ1029" s="547" t="str">
        <f t="shared" si="204"/>
        <v>有定金+有預留客戶</v>
      </c>
      <c r="AR1029" s="259" t="str">
        <f t="shared" si="205"/>
        <v>Shipped_Stock</v>
      </c>
      <c r="AS1029" s="259" t="str">
        <f t="shared" si="206"/>
        <v/>
      </c>
      <c r="AT1029" s="259" t="str">
        <f t="shared" si="207"/>
        <v>湖南新亚胜</v>
      </c>
      <c r="AU1029" s="259" t="str">
        <f t="shared" si="208"/>
        <v>C49SZX20210210DZ</v>
      </c>
      <c r="AV1029" s="259" t="str">
        <f t="shared" si="209"/>
        <v>2022-1-17Yamaha 仓库</v>
      </c>
    </row>
    <row r="1030" spans="1:48" hidden="1">
      <c r="A1030" s="564">
        <v>1530</v>
      </c>
      <c r="B1030" s="669" t="s">
        <v>1125</v>
      </c>
      <c r="C1030" s="669" t="s">
        <v>15</v>
      </c>
      <c r="D1030" s="650" t="s">
        <v>1961</v>
      </c>
      <c r="E1030" s="651" t="s">
        <v>1962</v>
      </c>
      <c r="F1030" s="652" t="s">
        <v>149</v>
      </c>
      <c r="G1030" s="652" t="s">
        <v>24</v>
      </c>
      <c r="H1030" s="652" t="s">
        <v>26</v>
      </c>
      <c r="I1030" s="580" t="s">
        <v>1965</v>
      </c>
      <c r="J1030" s="580">
        <v>1</v>
      </c>
      <c r="K1030" s="652" t="s">
        <v>1964</v>
      </c>
      <c r="L1030" s="764" t="s">
        <v>3986</v>
      </c>
      <c r="M1030" s="670" t="s">
        <v>1807</v>
      </c>
      <c r="N1030" s="652" t="s">
        <v>1828</v>
      </c>
      <c r="O1030" s="580"/>
      <c r="P1030" s="670" t="str">
        <f>VLOOKUP(A1030,'[1]Raw data'!$B:$BA,23,FALSE)</f>
        <v>RMB</v>
      </c>
      <c r="Q1030" s="652" t="str">
        <f>VLOOKUP(A1030,'[1]Raw data'!$B:$Z,2,FALSE)</f>
        <v>C49SZX20210210DZ</v>
      </c>
      <c r="R1030" s="652" t="str">
        <f>VLOOKUP(A1030,'[1]Raw data'!$B:$Z,3,FALSE)</f>
        <v>湖南新亚胜</v>
      </c>
      <c r="S1030" s="652" t="str">
        <f>VLOOKUP(A1030,'[1]Raw data'!$B:$Z,4,FALSE)</f>
        <v>YSM40R-4</v>
      </c>
      <c r="T1030" s="652" t="str">
        <f>VLOOKUP(A1030,'[1]Raw data'!$B:$Z,8,FALSE)</f>
        <v>L-&gt;R</v>
      </c>
      <c r="U1030" s="652" t="str">
        <f>VLOOKUP(A1030,'[1]Raw data'!$B:$Z,9,FALSE)</f>
        <v>No</v>
      </c>
      <c r="V1030" s="572" t="str">
        <f t="shared" ref="V1030" si="210">IF(G1030&amp;H1030=T1030&amp;U1030,"OK","WRONG")</f>
        <v>OK</v>
      </c>
      <c r="W1030" s="568" t="str">
        <f>VLOOKUP(A1030,'[1]Raw data'!$B:$AG,32,FALSE)</f>
        <v>DDP CS</v>
      </c>
      <c r="X1030" s="652">
        <f>VLOOKUP(A1030,'[1]Raw data'!$B:$BA,31,FALSE)</f>
        <v>44546</v>
      </c>
      <c r="Y1030" s="652" t="str">
        <f>VLOOKUP(A1030,'[1]Raw data'!$B:$AS,39,FALSE)</f>
        <v>Yes</v>
      </c>
      <c r="Z1030" s="664"/>
      <c r="AA1030" s="665"/>
      <c r="AB1030" s="666"/>
      <c r="AC1030" s="652" t="s">
        <v>1951</v>
      </c>
      <c r="AD1030" s="667"/>
      <c r="AE1030" s="667"/>
      <c r="AF1030" s="667"/>
      <c r="AG1030" s="667"/>
      <c r="AH1030" s="667"/>
      <c r="AI1030" s="668"/>
      <c r="AN1030" s="547"/>
      <c r="AO1030" s="829" t="str">
        <f t="shared" si="202"/>
        <v>Yes</v>
      </c>
      <c r="AP1030" s="259" t="str">
        <f t="shared" si="203"/>
        <v>MAR 22</v>
      </c>
      <c r="AQ1030" s="547" t="str">
        <f t="shared" si="204"/>
        <v>有定金+有預留客戶</v>
      </c>
      <c r="AR1030" s="259" t="str">
        <f t="shared" si="205"/>
        <v>Shipped_Stock</v>
      </c>
      <c r="AS1030" s="259" t="str">
        <f t="shared" si="206"/>
        <v/>
      </c>
      <c r="AT1030" s="259" t="str">
        <f t="shared" si="207"/>
        <v>湖南新亚胜</v>
      </c>
      <c r="AU1030" s="259" t="str">
        <f t="shared" si="208"/>
        <v>C49SZX20210210DZ</v>
      </c>
      <c r="AV1030" s="259" t="str">
        <f t="shared" si="209"/>
        <v>2022-1-17Yamaha 仓库</v>
      </c>
    </row>
    <row r="1031" spans="1:48" hidden="1">
      <c r="A1031" s="564">
        <v>1512</v>
      </c>
      <c r="B1031" s="669" t="s">
        <v>1125</v>
      </c>
      <c r="C1031" s="669" t="s">
        <v>15</v>
      </c>
      <c r="D1031" s="650" t="s">
        <v>1966</v>
      </c>
      <c r="E1031" s="651" t="s">
        <v>1967</v>
      </c>
      <c r="F1031" s="652" t="s">
        <v>17</v>
      </c>
      <c r="G1031" s="652" t="s">
        <v>18</v>
      </c>
      <c r="H1031" s="652" t="s">
        <v>26</v>
      </c>
      <c r="I1031" s="580" t="s">
        <v>1968</v>
      </c>
      <c r="J1031" s="580">
        <v>1</v>
      </c>
      <c r="K1031" s="652" t="s">
        <v>1964</v>
      </c>
      <c r="L1031" s="764" t="s">
        <v>3986</v>
      </c>
      <c r="M1031" s="670" t="s">
        <v>1807</v>
      </c>
      <c r="N1031" s="652" t="s">
        <v>1890</v>
      </c>
      <c r="O1031" s="580"/>
      <c r="P1031" s="670" t="str">
        <f>VLOOKUP(A1031,'[1]Raw data'!$B:$BA,23,FALSE)</f>
        <v>RMB</v>
      </c>
      <c r="Q1031" s="652" t="str">
        <f>VLOOKUP(A1031,'[1]Raw data'!$B:$Z,2,FALSE)</f>
        <v>C49SZX20210216AY</v>
      </c>
      <c r="R1031" s="652" t="str">
        <f>VLOOKUP(A1031,'[1]Raw data'!$B:$Z,3,FALSE)</f>
        <v>勃旭</v>
      </c>
      <c r="S1031" s="652" t="str">
        <f>VLOOKUP(A1031,'[1]Raw data'!$B:$Z,4,FALSE)</f>
        <v>YSM10</v>
      </c>
      <c r="T1031" s="652" t="str">
        <f>VLOOKUP(A1031,'[1]Raw data'!$B:$Z,8,FALSE)</f>
        <v>L-&gt;R</v>
      </c>
      <c r="U1031" s="652" t="str">
        <f>VLOOKUP(A1031,'[1]Raw data'!$B:$Z,9,FALSE)</f>
        <v>MVC</v>
      </c>
      <c r="V1031" s="572" t="str">
        <f>IF(G1031&amp;H1031=T1031&amp;U1031,"OK","WRONG")</f>
        <v>WRONG</v>
      </c>
      <c r="W1031" s="568" t="str">
        <f>VLOOKUP(A1031,'[1]Raw data'!$B:$AG,32,FALSE)</f>
        <v>DDP SZ</v>
      </c>
      <c r="X1031" s="652">
        <f>VLOOKUP(A1031,'[1]Raw data'!$B:$BA,31,FALSE)</f>
        <v>44537</v>
      </c>
      <c r="Y1031" s="652" t="str">
        <f>VLOOKUP(A1031,'[1]Raw data'!$B:$AS,39,FALSE)</f>
        <v>Yes</v>
      </c>
      <c r="Z1031" s="664"/>
      <c r="AA1031" s="665"/>
      <c r="AB1031" s="666"/>
      <c r="AC1031" s="652" t="s">
        <v>1891</v>
      </c>
      <c r="AD1031" s="667">
        <v>302</v>
      </c>
      <c r="AE1031" s="667">
        <v>10</v>
      </c>
      <c r="AF1031" s="667"/>
      <c r="AG1031" s="667"/>
      <c r="AH1031" s="667"/>
      <c r="AI1031" s="668"/>
      <c r="AN1031" s="547"/>
      <c r="AO1031" s="829" t="str">
        <f t="shared" si="202"/>
        <v>Yes</v>
      </c>
      <c r="AP1031" s="259" t="str">
        <f t="shared" si="203"/>
        <v>FEB 22</v>
      </c>
      <c r="AQ1031" s="547" t="str">
        <f t="shared" si="204"/>
        <v>有定金+有預留客戶</v>
      </c>
      <c r="AR1031" s="259" t="str">
        <f t="shared" si="205"/>
        <v>Shipped_Stock</v>
      </c>
      <c r="AS1031" s="259" t="str">
        <f t="shared" si="206"/>
        <v/>
      </c>
      <c r="AT1031" s="259" t="str">
        <f t="shared" si="207"/>
        <v>勃旭</v>
      </c>
      <c r="AU1031" s="259" t="str">
        <f t="shared" si="208"/>
        <v>C49SZX20210216AY</v>
      </c>
      <c r="AV1031" s="259" t="str">
        <f t="shared" si="209"/>
        <v>2022-1-17Yamaha 仓库</v>
      </c>
    </row>
    <row r="1032" spans="1:48" hidden="1">
      <c r="A1032" s="564">
        <v>1484</v>
      </c>
      <c r="B1032" s="669" t="s">
        <v>1125</v>
      </c>
      <c r="C1032" s="669" t="s">
        <v>15</v>
      </c>
      <c r="D1032" s="650" t="s">
        <v>1969</v>
      </c>
      <c r="E1032" s="651" t="s">
        <v>1970</v>
      </c>
      <c r="F1032" s="652" t="s">
        <v>17</v>
      </c>
      <c r="G1032" s="652" t="s">
        <v>18</v>
      </c>
      <c r="H1032" s="652" t="s">
        <v>26</v>
      </c>
      <c r="I1032" s="580" t="s">
        <v>1971</v>
      </c>
      <c r="J1032" s="580">
        <v>1</v>
      </c>
      <c r="K1032" s="652" t="s">
        <v>1419</v>
      </c>
      <c r="L1032" s="764" t="s">
        <v>3986</v>
      </c>
      <c r="M1032" s="670" t="s">
        <v>1807</v>
      </c>
      <c r="N1032" s="652" t="s">
        <v>1828</v>
      </c>
      <c r="O1032" s="580"/>
      <c r="P1032" s="670" t="str">
        <f>VLOOKUP(A1032,'[1]Raw data'!$B:$BA,23,FALSE)</f>
        <v>RMB</v>
      </c>
      <c r="Q1032" s="652" t="str">
        <f>VLOOKUP(A1032,'[1]Raw data'!$B:$Z,2,FALSE)</f>
        <v>C49SZX20210197JY</v>
      </c>
      <c r="R1032" s="652" t="str">
        <f>VLOOKUP(A1032,'[1]Raw data'!$B:$Z,3,FALSE)</f>
        <v>高华（End user:龙高）</v>
      </c>
      <c r="S1032" s="652" t="str">
        <f>VLOOKUP(A1032,'[1]Raw data'!$B:$Z,4,FALSE)</f>
        <v>YSM10</v>
      </c>
      <c r="T1032" s="652" t="str">
        <f>VLOOKUP(A1032,'[1]Raw data'!$B:$Z,8,FALSE)</f>
        <v>L-&gt;R</v>
      </c>
      <c r="U1032" s="652" t="str">
        <f>VLOOKUP(A1032,'[1]Raw data'!$B:$Z,9,FALSE)</f>
        <v>MVC</v>
      </c>
      <c r="V1032" s="572" t="str">
        <f>IF(G1032&amp;H1032=T1032&amp;U1032,"OK","WRONG")</f>
        <v>WRONG</v>
      </c>
      <c r="W1032" s="568" t="str">
        <f>VLOOKUP(A1032,'[1]Raw data'!$B:$AG,32,FALSE)</f>
        <v>DDP FS</v>
      </c>
      <c r="X1032" s="652">
        <f>VLOOKUP(A1032,'[1]Raw data'!$B:$BA,31,FALSE)</f>
        <v>44490</v>
      </c>
      <c r="Y1032" s="652" t="str">
        <f>VLOOKUP(A1032,'[1]Raw data'!$B:$AS,39,FALSE)</f>
        <v>Yes</v>
      </c>
      <c r="Z1032" s="664"/>
      <c r="AA1032" s="665"/>
      <c r="AB1032" s="666"/>
      <c r="AC1032" s="652" t="s">
        <v>1972</v>
      </c>
      <c r="AD1032" s="667">
        <v>301</v>
      </c>
      <c r="AE1032" s="667">
        <v>10</v>
      </c>
      <c r="AF1032" s="667"/>
      <c r="AG1032" s="667"/>
      <c r="AH1032" s="667"/>
      <c r="AI1032" s="668"/>
      <c r="AN1032" s="547"/>
      <c r="AO1032" s="829" t="str">
        <f t="shared" si="202"/>
        <v>Yes</v>
      </c>
      <c r="AP1032" s="259" t="str">
        <f t="shared" si="203"/>
        <v>MAR 22</v>
      </c>
      <c r="AQ1032" s="547" t="str">
        <f t="shared" si="204"/>
        <v>有定金+有預留客戶</v>
      </c>
      <c r="AR1032" s="259" t="str">
        <f t="shared" si="205"/>
        <v>Shipped_Stock</v>
      </c>
      <c r="AS1032" s="259" t="str">
        <f t="shared" si="206"/>
        <v/>
      </c>
      <c r="AT1032" s="259" t="str">
        <f t="shared" si="207"/>
        <v>高华（End user:龙高）</v>
      </c>
      <c r="AU1032" s="259" t="str">
        <f t="shared" si="208"/>
        <v>C49SZX20210197JY</v>
      </c>
      <c r="AV1032" s="259" t="str">
        <f t="shared" si="209"/>
        <v>2022-1-17Yamaha 仓库</v>
      </c>
    </row>
    <row r="1033" spans="1:48" hidden="1">
      <c r="A1033" s="564">
        <v>1599</v>
      </c>
      <c r="B1033" s="669" t="s">
        <v>1125</v>
      </c>
      <c r="C1033" s="669" t="s">
        <v>15</v>
      </c>
      <c r="D1033" s="695" t="s">
        <v>1973</v>
      </c>
      <c r="E1033" s="651" t="s">
        <v>1974</v>
      </c>
      <c r="F1033" s="652" t="s">
        <v>58</v>
      </c>
      <c r="G1033" s="652" t="s">
        <v>24</v>
      </c>
      <c r="H1033" s="652" t="s">
        <v>26</v>
      </c>
      <c r="I1033" s="580" t="s">
        <v>1975</v>
      </c>
      <c r="J1033" s="580">
        <v>1</v>
      </c>
      <c r="K1033" s="652" t="s">
        <v>1419</v>
      </c>
      <c r="L1033" s="764" t="s">
        <v>3986</v>
      </c>
      <c r="M1033" s="670" t="s">
        <v>1807</v>
      </c>
      <c r="N1033" s="652" t="s">
        <v>1828</v>
      </c>
      <c r="O1033" s="580"/>
      <c r="P1033" s="670" t="str">
        <f>VLOOKUP(A1033,'[1]Raw data'!$B:$BA,23,FALSE)</f>
        <v>JPY</v>
      </c>
      <c r="Q1033" s="652" t="str">
        <f>VLOOKUP(A1033,'[1]Raw data'!$B:$Z,2,FALSE)</f>
        <v>C49SZX20220017JL</v>
      </c>
      <c r="R1033" s="652" t="str">
        <f>VLOOKUP(A1033,'[1]Raw data'!$B:$Z,3,FALSE)</f>
        <v>英特莱</v>
      </c>
      <c r="S1033" s="652" t="str">
        <f>VLOOKUP(A1033,'[1]Raw data'!$B:$Z,4,FALSE)</f>
        <v>YSM20R-2</v>
      </c>
      <c r="T1033" s="652" t="str">
        <f>VLOOKUP(A1033,'[1]Raw data'!$B:$Z,8,FALSE)</f>
        <v>L-&gt;R</v>
      </c>
      <c r="U1033" s="652" t="str">
        <f>VLOOKUP(A1033,'[1]Raw data'!$B:$Z,9,FALSE)</f>
        <v>No</v>
      </c>
      <c r="V1033" s="572" t="str">
        <f>IF(G1033&amp;H1033=T1033&amp;U1033,"OK","WRONG")</f>
        <v>OK</v>
      </c>
      <c r="W1033" s="568" t="str">
        <f>VLOOKUP(A1033,'[1]Raw data'!$B:$AG,32,FALSE)</f>
        <v>DAP SZ</v>
      </c>
      <c r="X1033" s="652">
        <f>VLOOKUP(A1033,'[1]Raw data'!$B:$BA,31,FALSE)</f>
        <v>44616</v>
      </c>
      <c r="Y1033" s="652" t="str">
        <f>VLOOKUP(A1033,'[1]Raw data'!$B:$AS,39,FALSE)</f>
        <v>Yes</v>
      </c>
      <c r="Z1033" s="664"/>
      <c r="AA1033" s="665"/>
      <c r="AB1033" s="666"/>
      <c r="AC1033" s="652" t="s">
        <v>1976</v>
      </c>
      <c r="AD1033" s="667">
        <v>302</v>
      </c>
      <c r="AE1033" s="667">
        <v>10</v>
      </c>
      <c r="AF1033" s="667">
        <v>301</v>
      </c>
      <c r="AG1033" s="667">
        <v>10</v>
      </c>
      <c r="AH1033" s="667"/>
      <c r="AI1033" s="668"/>
      <c r="AN1033" s="547"/>
      <c r="AO1033" s="829" t="str">
        <f t="shared" si="202"/>
        <v>Yes</v>
      </c>
      <c r="AP1033" s="259" t="str">
        <f t="shared" si="203"/>
        <v>MAR 22</v>
      </c>
      <c r="AQ1033" s="547" t="str">
        <f t="shared" si="204"/>
        <v>有定金+有預留客戶</v>
      </c>
      <c r="AR1033" s="259" t="str">
        <f t="shared" si="205"/>
        <v>Shipped_Stock</v>
      </c>
      <c r="AS1033" s="259" t="str">
        <f t="shared" si="206"/>
        <v/>
      </c>
      <c r="AT1033" s="259" t="str">
        <f t="shared" si="207"/>
        <v>英特莱</v>
      </c>
      <c r="AU1033" s="259" t="str">
        <f t="shared" si="208"/>
        <v>C49SZX20220017JL</v>
      </c>
      <c r="AV1033" s="259" t="str">
        <f t="shared" si="209"/>
        <v>2022-1-17Yamaha 仓库</v>
      </c>
    </row>
    <row r="1034" spans="1:48" hidden="1">
      <c r="A1034" s="604">
        <v>1382</v>
      </c>
      <c r="B1034" s="669" t="s">
        <v>1125</v>
      </c>
      <c r="C1034" s="669" t="s">
        <v>15</v>
      </c>
      <c r="D1034" s="650" t="s">
        <v>1973</v>
      </c>
      <c r="E1034" s="651" t="s">
        <v>1974</v>
      </c>
      <c r="F1034" s="652" t="s">
        <v>17</v>
      </c>
      <c r="G1034" s="652" t="s">
        <v>18</v>
      </c>
      <c r="H1034" s="652" t="s">
        <v>26</v>
      </c>
      <c r="I1034" s="580" t="s">
        <v>1977</v>
      </c>
      <c r="J1034" s="580">
        <v>1</v>
      </c>
      <c r="K1034" s="652" t="s">
        <v>1419</v>
      </c>
      <c r="L1034" s="764" t="s">
        <v>3986</v>
      </c>
      <c r="M1034" s="670" t="s">
        <v>1807</v>
      </c>
      <c r="N1034" s="652" t="s">
        <v>1828</v>
      </c>
      <c r="O1034" s="580">
        <v>2022.1</v>
      </c>
      <c r="P1034" s="670" t="str">
        <f>VLOOKUP(A1034,'[1]Raw data'!$B:$BA,23,FALSE)</f>
        <v>JPY</v>
      </c>
      <c r="Q1034" s="652" t="str">
        <f>VLOOKUP(A1034,'[1]Raw data'!$B:$Z,2,FALSE)</f>
        <v>C49SZX20210155MZR1</v>
      </c>
      <c r="R1034" s="652" t="str">
        <f>VLOOKUP(A1034,'[1]Raw data'!$B:$Z,3,FALSE)</f>
        <v>巨能</v>
      </c>
      <c r="S1034" s="652" t="str">
        <f>VLOOKUP(A1034,'[1]Raw data'!$B:$Z,4,FALSE)</f>
        <v>YSM10</v>
      </c>
      <c r="T1034" s="652" t="str">
        <f>VLOOKUP(A1034,'[1]Raw data'!$B:$Z,8,FALSE)</f>
        <v>L-&gt;R</v>
      </c>
      <c r="U1034" s="652" t="str">
        <f>VLOOKUP(A1034,'[1]Raw data'!$B:$Z,9,FALSE)</f>
        <v>MVC</v>
      </c>
      <c r="V1034" s="572" t="str">
        <f t="shared" ref="V1034" si="211">IF(G1034&amp;H1034=T1034&amp;U1034,"OK","WRONG")</f>
        <v>WRONG</v>
      </c>
      <c r="W1034" s="568" t="str">
        <f>VLOOKUP(A1034,'[1]Raw data'!$B:$AG,32,FALSE)</f>
        <v>DAP SZ</v>
      </c>
      <c r="X1034" s="652">
        <f>VLOOKUP(A1034,'[1]Raw data'!$B:$BA,31,FALSE)</f>
        <v>44337</v>
      </c>
      <c r="Y1034" s="652" t="str">
        <f>VLOOKUP(A1034,'[1]Raw data'!$B:$AS,39,FALSE)</f>
        <v>Yes</v>
      </c>
      <c r="Z1034" s="671"/>
      <c r="AA1034" s="665"/>
      <c r="AB1034" s="666"/>
      <c r="AC1034" s="652" t="s">
        <v>1647</v>
      </c>
      <c r="AD1034" s="580">
        <v>302</v>
      </c>
      <c r="AE1034" s="580">
        <v>10</v>
      </c>
      <c r="AF1034" s="580"/>
      <c r="AG1034" s="580"/>
      <c r="AH1034" s="580"/>
      <c r="AI1034" s="684"/>
      <c r="AJ1034" s="569"/>
      <c r="AK1034" s="569"/>
      <c r="AL1034" s="569"/>
      <c r="AM1034" s="569"/>
      <c r="AN1034" s="619"/>
      <c r="AO1034" s="829" t="str">
        <f t="shared" si="202"/>
        <v>Yes</v>
      </c>
      <c r="AP1034" s="259" t="str">
        <f t="shared" si="203"/>
        <v>MAR 22</v>
      </c>
      <c r="AQ1034" s="547" t="str">
        <f t="shared" si="204"/>
        <v>有定金+有預留客戶</v>
      </c>
      <c r="AR1034" s="259" t="str">
        <f t="shared" si="205"/>
        <v>Shipped_Stock</v>
      </c>
      <c r="AS1034" s="259" t="str">
        <f t="shared" si="206"/>
        <v/>
      </c>
      <c r="AT1034" s="259" t="str">
        <f t="shared" si="207"/>
        <v>巨能</v>
      </c>
      <c r="AU1034" s="259" t="str">
        <f t="shared" si="208"/>
        <v>C49SZX20210155MZR1</v>
      </c>
      <c r="AV1034" s="259" t="str">
        <f t="shared" si="209"/>
        <v>2022-1-17Yamaha 仓库</v>
      </c>
    </row>
    <row r="1035" spans="1:48" hidden="1">
      <c r="A1035" s="604">
        <v>1383</v>
      </c>
      <c r="B1035" s="669" t="s">
        <v>1125</v>
      </c>
      <c r="C1035" s="669" t="s">
        <v>15</v>
      </c>
      <c r="D1035" s="650" t="s">
        <v>1969</v>
      </c>
      <c r="E1035" s="651" t="s">
        <v>1970</v>
      </c>
      <c r="F1035" s="652" t="s">
        <v>17</v>
      </c>
      <c r="G1035" s="652" t="s">
        <v>18</v>
      </c>
      <c r="H1035" s="652" t="s">
        <v>26</v>
      </c>
      <c r="I1035" s="580" t="s">
        <v>1978</v>
      </c>
      <c r="J1035" s="580">
        <v>1</v>
      </c>
      <c r="K1035" s="652" t="s">
        <v>1419</v>
      </c>
      <c r="L1035" s="764" t="s">
        <v>3986</v>
      </c>
      <c r="M1035" s="670" t="s">
        <v>1807</v>
      </c>
      <c r="N1035" s="652" t="s">
        <v>1828</v>
      </c>
      <c r="O1035" s="580">
        <v>2022.1</v>
      </c>
      <c r="P1035" s="670" t="str">
        <f>VLOOKUP(A1035,'[1]Raw data'!$B:$BA,23,FALSE)</f>
        <v>JPY</v>
      </c>
      <c r="Q1035" s="652" t="str">
        <f>VLOOKUP(A1035,'[1]Raw data'!$B:$Z,2,FALSE)</f>
        <v>C49SZX20210182MZ</v>
      </c>
      <c r="R1035" s="652" t="str">
        <f>VLOOKUP(A1035,'[1]Raw data'!$B:$Z,3,FALSE)</f>
        <v>巨能</v>
      </c>
      <c r="S1035" s="652" t="str">
        <f>VLOOKUP(A1035,'[1]Raw data'!$B:$Z,4,FALSE)</f>
        <v>YSM10</v>
      </c>
      <c r="T1035" s="652" t="str">
        <f>VLOOKUP(A1035,'[1]Raw data'!$B:$Z,8,FALSE)</f>
        <v>L-&gt;R</v>
      </c>
      <c r="U1035" s="652" t="str">
        <f>VLOOKUP(A1035,'[1]Raw data'!$B:$Z,9,FALSE)</f>
        <v>MVC</v>
      </c>
      <c r="V1035" s="572" t="str">
        <f t="shared" ref="V1035" si="212">IF(G1035&amp;H1035=T1035&amp;U1035,"OK","WRONG")</f>
        <v>WRONG</v>
      </c>
      <c r="W1035" s="568" t="str">
        <f>VLOOKUP(A1035,'[1]Raw data'!$B:$AG,32,FALSE)</f>
        <v>DAP SZ</v>
      </c>
      <c r="X1035" s="652">
        <f>VLOOKUP(A1035,'[1]Raw data'!$B:$BA,31,FALSE)</f>
        <v>44337</v>
      </c>
      <c r="Y1035" s="652" t="str">
        <f>VLOOKUP(A1035,'[1]Raw data'!$B:$AS,39,FALSE)</f>
        <v>Yes</v>
      </c>
      <c r="Z1035" s="671"/>
      <c r="AA1035" s="665"/>
      <c r="AB1035" s="666"/>
      <c r="AC1035" s="652" t="s">
        <v>1647</v>
      </c>
      <c r="AD1035" s="580">
        <v>302</v>
      </c>
      <c r="AE1035" s="580">
        <v>10</v>
      </c>
      <c r="AF1035" s="580"/>
      <c r="AG1035" s="580"/>
      <c r="AH1035" s="580"/>
      <c r="AI1035" s="684"/>
      <c r="AJ1035" s="569"/>
      <c r="AK1035" s="569"/>
      <c r="AL1035" s="569"/>
      <c r="AM1035" s="569"/>
      <c r="AN1035" s="619"/>
      <c r="AO1035" s="829" t="str">
        <f t="shared" si="202"/>
        <v>Yes</v>
      </c>
      <c r="AP1035" s="259" t="str">
        <f t="shared" si="203"/>
        <v>MAR 22</v>
      </c>
      <c r="AQ1035" s="547" t="str">
        <f t="shared" si="204"/>
        <v>有定金+有預留客戶</v>
      </c>
      <c r="AR1035" s="259" t="str">
        <f t="shared" si="205"/>
        <v>Shipped_Stock</v>
      </c>
      <c r="AS1035" s="259" t="str">
        <f t="shared" si="206"/>
        <v/>
      </c>
      <c r="AT1035" s="259" t="str">
        <f t="shared" si="207"/>
        <v>巨能</v>
      </c>
      <c r="AU1035" s="259" t="str">
        <f t="shared" si="208"/>
        <v>C49SZX20210182MZ</v>
      </c>
      <c r="AV1035" s="259" t="str">
        <f t="shared" si="209"/>
        <v>2022-1-17Yamaha 仓库</v>
      </c>
    </row>
    <row r="1036" spans="1:48" hidden="1">
      <c r="A1036" s="564">
        <v>1606</v>
      </c>
      <c r="B1036" s="669" t="s">
        <v>1125</v>
      </c>
      <c r="C1036" s="568" t="s">
        <v>4056</v>
      </c>
      <c r="D1036" s="766">
        <v>110666</v>
      </c>
      <c r="E1036" s="741" t="s">
        <v>1979</v>
      </c>
      <c r="F1036" s="652" t="s">
        <v>201</v>
      </c>
      <c r="G1036" s="652" t="s">
        <v>18</v>
      </c>
      <c r="H1036" s="652" t="s">
        <v>1980</v>
      </c>
      <c r="I1036" s="580" t="s">
        <v>1981</v>
      </c>
      <c r="J1036" s="580">
        <v>1</v>
      </c>
      <c r="K1036" s="652" t="s">
        <v>1732</v>
      </c>
      <c r="L1036" s="754">
        <v>44587</v>
      </c>
      <c r="M1036" s="670" t="s">
        <v>906</v>
      </c>
      <c r="N1036" s="652" t="s">
        <v>1982</v>
      </c>
      <c r="O1036" s="580">
        <v>2021.12</v>
      </c>
      <c r="P1036" s="670" t="str">
        <f>VLOOKUP(A1036,'[1]Raw data'!$B:$BA,23,FALSE)</f>
        <v>JPY</v>
      </c>
      <c r="Q1036" s="652" t="str">
        <f>VLOOKUP(A1036,'[1]Raw data'!$B:$Z,2,FALSE)</f>
        <v>C49SZX20220028R1SX</v>
      </c>
      <c r="R1036" s="652" t="str">
        <f>VLOOKUP(A1036,'[1]Raw data'!$B:$Z,3,FALSE)</f>
        <v>通达科信</v>
      </c>
      <c r="S1036" s="652" t="str">
        <f>VLOOKUP(A1036,'[1]Raw data'!$B:$Z,4,FALSE)</f>
        <v>YSi-V</v>
      </c>
      <c r="T1036" s="652" t="str">
        <f>VLOOKUP(A1036,'[1]Raw data'!$B:$Z,8,FALSE)</f>
        <v>L-&gt;R</v>
      </c>
      <c r="U1036" s="652" t="str">
        <f>VLOOKUP(A1036,'[1]Raw data'!$B:$Z,9,FALSE)</f>
        <v>No</v>
      </c>
      <c r="V1036" s="572" t="str">
        <f t="shared" ref="V1036" si="213">IF(G1036&amp;H1036=T1036&amp;U1036,"OK","WRONG")</f>
        <v>WRONG</v>
      </c>
      <c r="W1036" s="568" t="str">
        <f>VLOOKUP(A1036,'[1]Raw data'!$B:$AG,32,FALSE)</f>
        <v>CIF HK</v>
      </c>
      <c r="X1036" s="652">
        <f>VLOOKUP(A1036,'[1]Raw data'!$B:$BA,31,FALSE)</f>
        <v>44627</v>
      </c>
      <c r="Y1036" s="652" t="str">
        <f>VLOOKUP(A1036,'[1]Raw data'!$B:$AS,39,FALSE)</f>
        <v>Yes</v>
      </c>
      <c r="Z1036" s="664"/>
      <c r="AA1036" s="665"/>
      <c r="AB1036" s="666"/>
      <c r="AC1036" s="652" t="s">
        <v>1983</v>
      </c>
      <c r="AD1036" s="667"/>
      <c r="AE1036" s="667"/>
      <c r="AF1036" s="667"/>
      <c r="AG1036" s="667"/>
      <c r="AH1036" s="667"/>
      <c r="AI1036" s="668"/>
      <c r="AN1036" s="547"/>
      <c r="AO1036" s="829" t="str">
        <f t="shared" si="202"/>
        <v>Yes</v>
      </c>
      <c r="AP1036" s="259" t="str">
        <f t="shared" si="203"/>
        <v>JUN 22</v>
      </c>
      <c r="AQ1036" s="547" t="str">
        <f t="shared" si="204"/>
        <v>有定金+有預留客戶</v>
      </c>
      <c r="AR1036" s="259" t="str">
        <f t="shared" si="205"/>
        <v>Shipped_Stock</v>
      </c>
      <c r="AS1036" s="259" t="str">
        <f t="shared" si="206"/>
        <v/>
      </c>
      <c r="AT1036" s="259" t="str">
        <f t="shared" si="207"/>
        <v>通达科信</v>
      </c>
      <c r="AU1036" s="259" t="str">
        <f t="shared" si="208"/>
        <v>C49SZX20220028R1SX</v>
      </c>
      <c r="AV1036" s="259" t="str">
        <f t="shared" si="209"/>
        <v>Jan-26</v>
      </c>
    </row>
    <row r="1037" spans="1:48" ht="13.5" hidden="1" thickBot="1">
      <c r="A1037" s="767" t="s">
        <v>1984</v>
      </c>
      <c r="B1037" s="669" t="s">
        <v>1125</v>
      </c>
      <c r="C1037" s="568" t="s">
        <v>4056</v>
      </c>
      <c r="D1037" s="768">
        <v>110666</v>
      </c>
      <c r="E1037" s="741" t="s">
        <v>1979</v>
      </c>
      <c r="F1037" s="652" t="s">
        <v>201</v>
      </c>
      <c r="G1037" s="652" t="s">
        <v>24</v>
      </c>
      <c r="H1037" s="652" t="s">
        <v>1980</v>
      </c>
      <c r="I1037" s="580" t="s">
        <v>1985</v>
      </c>
      <c r="J1037" s="580">
        <v>1</v>
      </c>
      <c r="K1037" s="652" t="s">
        <v>1732</v>
      </c>
      <c r="L1037" s="754">
        <v>44587</v>
      </c>
      <c r="M1037" s="670" t="s">
        <v>906</v>
      </c>
      <c r="N1037" s="652"/>
      <c r="O1037" s="580">
        <v>2021.12</v>
      </c>
      <c r="P1037" s="670" t="s">
        <v>1246</v>
      </c>
      <c r="Q1037" s="652" t="s">
        <v>1986</v>
      </c>
      <c r="R1037" s="769" t="s">
        <v>1987</v>
      </c>
      <c r="S1037" s="652" t="s">
        <v>201</v>
      </c>
      <c r="T1037" s="652" t="s">
        <v>24</v>
      </c>
      <c r="U1037" s="652" t="s">
        <v>1980</v>
      </c>
      <c r="V1037" s="572" t="str">
        <f t="shared" ref="V1037:V1046" si="214">IF(G1037&amp;H1037=T1037&amp;U1037,"OK","WRONG")</f>
        <v>OK</v>
      </c>
      <c r="W1037" s="568" t="s">
        <v>1988</v>
      </c>
      <c r="X1037" s="652">
        <v>44646</v>
      </c>
      <c r="Y1037" s="652" t="e">
        <f>VLOOKUP(A1037,'[1]Raw data'!$B:$AS,39,FALSE)</f>
        <v>#N/A</v>
      </c>
      <c r="Z1037" s="671"/>
      <c r="AA1037" s="665"/>
      <c r="AB1037" s="666"/>
      <c r="AC1037" s="652" t="s">
        <v>1989</v>
      </c>
      <c r="AD1037" s="580"/>
      <c r="AE1037" s="580"/>
      <c r="AF1037" s="580"/>
      <c r="AG1037" s="580"/>
      <c r="AH1037" s="580"/>
      <c r="AI1037" s="684"/>
      <c r="AJ1037" s="569"/>
      <c r="AK1037" s="569"/>
      <c r="AL1037" s="569"/>
      <c r="AM1037" s="569"/>
      <c r="AN1037" s="619"/>
      <c r="AO1037" s="829" t="str">
        <f t="shared" si="202"/>
        <v>No</v>
      </c>
      <c r="AP1037" s="259" t="str">
        <f t="shared" si="203"/>
        <v>blank</v>
      </c>
      <c r="AQ1037" s="547" t="str">
        <f t="shared" si="204"/>
        <v>无定金+无預留客戶</v>
      </c>
      <c r="AR1037" s="259" t="str">
        <f t="shared" si="205"/>
        <v>Shipped_Stock</v>
      </c>
      <c r="AS1037" s="259" t="str">
        <f t="shared" si="206"/>
        <v/>
      </c>
      <c r="AT1037" s="259" t="str">
        <f t="shared" si="207"/>
        <v>浙江禾川</v>
      </c>
      <c r="AU1037" s="259" t="str">
        <f t="shared" si="208"/>
        <v>C49SHA20220306/LQM</v>
      </c>
      <c r="AV1037" s="259" t="str">
        <f t="shared" si="209"/>
        <v>Jan-26</v>
      </c>
    </row>
    <row r="1038" spans="1:48" hidden="1">
      <c r="A1038" s="564">
        <v>1482</v>
      </c>
      <c r="B1038" s="669" t="s">
        <v>1125</v>
      </c>
      <c r="C1038" s="669" t="s">
        <v>15</v>
      </c>
      <c r="D1038" s="766" t="s">
        <v>1990</v>
      </c>
      <c r="E1038" s="651" t="s">
        <v>1934</v>
      </c>
      <c r="F1038" s="652" t="s">
        <v>58</v>
      </c>
      <c r="G1038" s="652" t="s">
        <v>24</v>
      </c>
      <c r="H1038" s="652" t="s">
        <v>159</v>
      </c>
      <c r="I1038" s="580" t="s">
        <v>1991</v>
      </c>
      <c r="J1038" s="580">
        <v>1</v>
      </c>
      <c r="K1038" s="652" t="s">
        <v>1732</v>
      </c>
      <c r="L1038" s="662">
        <v>44596</v>
      </c>
      <c r="M1038" s="670">
        <v>5.6099999999999997E-2</v>
      </c>
      <c r="N1038" s="652" t="s">
        <v>1890</v>
      </c>
      <c r="O1038" s="580"/>
      <c r="P1038" s="670" t="str">
        <f>VLOOKUP(A1038,'[1]Raw data'!$B:$BA,23,FALSE)</f>
        <v>RMB</v>
      </c>
      <c r="Q1038" s="652" t="str">
        <f>VLOOKUP(A1038,'[1]Raw data'!$B:$Z,2,FALSE)</f>
        <v>C49SZX20210196MZ</v>
      </c>
      <c r="R1038" s="652" t="str">
        <f>VLOOKUP(A1038,'[1]Raw data'!$B:$Z,3,FALSE)</f>
        <v>派诺</v>
      </c>
      <c r="S1038" s="652" t="str">
        <f>VLOOKUP(A1038,'[1]Raw data'!$B:$Z,4,FALSE)</f>
        <v>YSM20R-2</v>
      </c>
      <c r="T1038" s="652" t="str">
        <f>VLOOKUP(A1038,'[1]Raw data'!$B:$Z,8,FALSE)</f>
        <v>L-&gt;R</v>
      </c>
      <c r="U1038" s="652" t="str">
        <f>VLOOKUP(A1038,'[1]Raw data'!$B:$Z,9,FALSE)</f>
        <v>cATS10+MVC+Feeder Carriage</v>
      </c>
      <c r="V1038" s="572" t="str">
        <f t="shared" ref="V1038:V1039" si="215">IF(G1038&amp;H1038=T1038&amp;U1038,"OK","WRONG")</f>
        <v>WRONG</v>
      </c>
      <c r="W1038" s="568" t="str">
        <f>VLOOKUP(A1038,'[1]Raw data'!$B:$AG,32,FALSE)</f>
        <v>DDP ZH</v>
      </c>
      <c r="X1038" s="652">
        <f>VLOOKUP(A1038,'[1]Raw data'!$B:$BA,31,FALSE)</f>
        <v>44465</v>
      </c>
      <c r="Y1038" s="652" t="str">
        <f>VLOOKUP(A1038,'[1]Raw data'!$B:$AS,39,FALSE)</f>
        <v>Yes</v>
      </c>
      <c r="Z1038" s="664"/>
      <c r="AA1038" s="665"/>
      <c r="AB1038" s="666"/>
      <c r="AC1038" s="652" t="s">
        <v>435</v>
      </c>
      <c r="AD1038" s="667">
        <v>302</v>
      </c>
      <c r="AE1038" s="667">
        <v>10</v>
      </c>
      <c r="AF1038" s="667">
        <v>301</v>
      </c>
      <c r="AG1038" s="667">
        <v>10</v>
      </c>
      <c r="AH1038" s="667"/>
      <c r="AI1038" s="668"/>
      <c r="AN1038" s="547"/>
      <c r="AO1038" s="829" t="str">
        <f t="shared" si="202"/>
        <v>Yes</v>
      </c>
      <c r="AP1038" s="259" t="str">
        <f t="shared" si="203"/>
        <v>FEB 22</v>
      </c>
      <c r="AQ1038" s="547" t="str">
        <f t="shared" si="204"/>
        <v>有定金+有預留客戶</v>
      </c>
      <c r="AR1038" s="259" t="str">
        <f t="shared" si="205"/>
        <v>Shipped_Stock</v>
      </c>
      <c r="AS1038" s="259" t="str">
        <f t="shared" si="206"/>
        <v/>
      </c>
      <c r="AT1038" s="259" t="str">
        <f t="shared" si="207"/>
        <v>派诺</v>
      </c>
      <c r="AU1038" s="259" t="str">
        <f t="shared" si="208"/>
        <v>C49SZX20210196MZ</v>
      </c>
      <c r="AV1038" s="259" t="str">
        <f t="shared" si="209"/>
        <v>Feb-04</v>
      </c>
    </row>
    <row r="1039" spans="1:48" hidden="1">
      <c r="A1039" s="604">
        <v>1751</v>
      </c>
      <c r="B1039" s="669" t="s">
        <v>1125</v>
      </c>
      <c r="C1039" s="669" t="s">
        <v>281</v>
      </c>
      <c r="D1039" s="760">
        <v>110665</v>
      </c>
      <c r="E1039" s="651" t="s">
        <v>1934</v>
      </c>
      <c r="F1039" s="652" t="s">
        <v>58</v>
      </c>
      <c r="G1039" s="652" t="s">
        <v>24</v>
      </c>
      <c r="H1039" s="652" t="s">
        <v>159</v>
      </c>
      <c r="I1039" s="580" t="s">
        <v>1992</v>
      </c>
      <c r="J1039" s="580">
        <v>1</v>
      </c>
      <c r="K1039" s="652" t="s">
        <v>1419</v>
      </c>
      <c r="L1039" s="662">
        <v>44596</v>
      </c>
      <c r="M1039" s="581">
        <v>5.3449999999999998E-2</v>
      </c>
      <c r="N1039" s="652" t="s">
        <v>208</v>
      </c>
      <c r="O1039" s="580">
        <v>2021.12</v>
      </c>
      <c r="P1039" s="670" t="str">
        <f>VLOOKUP(A1039,'[1]Raw data'!$B:$BA,23,FALSE)</f>
        <v>RMB</v>
      </c>
      <c r="Q1039" s="652" t="str">
        <f>VLOOKUP(A1039,'[1]Raw data'!$B:$Z,2,FALSE)</f>
        <v>C49SZX20220113DZ</v>
      </c>
      <c r="R1039" s="652" t="str">
        <f>VLOOKUP(A1039,'[1]Raw data'!$B:$Z,3,FALSE)</f>
        <v>比泰利</v>
      </c>
      <c r="S1039" s="652" t="str">
        <f>VLOOKUP(A1039,'[1]Raw data'!$B:$Z,4,FALSE)</f>
        <v>YSM20R-2</v>
      </c>
      <c r="T1039" s="652" t="str">
        <f>VLOOKUP(A1039,'[1]Raw data'!$B:$Z,8,FALSE)</f>
        <v>L-&gt;R</v>
      </c>
      <c r="U1039" s="652" t="str">
        <f>VLOOKUP(A1039,'[1]Raw data'!$B:$Z,9,FALSE)</f>
        <v>cATS10+MVC(F&amp;R)+special layout</v>
      </c>
      <c r="V1039" s="572" t="str">
        <f t="shared" si="215"/>
        <v>WRONG</v>
      </c>
      <c r="W1039" s="568" t="str">
        <f>VLOOKUP(A1039,'[1]Raw data'!$B:$AG,32,FALSE)</f>
        <v>DDP SZ</v>
      </c>
      <c r="X1039" s="652">
        <f>VLOOKUP(A1039,'[1]Raw data'!$B:$BA,31,FALSE)</f>
        <v>44867</v>
      </c>
      <c r="Y1039" s="652" t="str">
        <f>VLOOKUP(A1039,'[1]Raw data'!$B:$AS,39,FALSE)</f>
        <v>Yes</v>
      </c>
      <c r="Z1039" s="671"/>
      <c r="AA1039" s="665"/>
      <c r="AB1039" s="666"/>
      <c r="AC1039" s="652" t="s">
        <v>1993</v>
      </c>
      <c r="AD1039" s="580">
        <v>302</v>
      </c>
      <c r="AE1039" s="580">
        <v>10</v>
      </c>
      <c r="AF1039" s="580">
        <v>301</v>
      </c>
      <c r="AG1039" s="580">
        <v>10</v>
      </c>
      <c r="AH1039" s="580"/>
      <c r="AI1039" s="684"/>
      <c r="AJ1039" s="569"/>
      <c r="AK1039" s="569"/>
      <c r="AL1039" s="569"/>
      <c r="AM1039" s="569"/>
      <c r="AN1039" s="619"/>
      <c r="AO1039" s="829" t="str">
        <f t="shared" si="202"/>
        <v>Yes</v>
      </c>
      <c r="AP1039" s="259" t="str">
        <f t="shared" si="203"/>
        <v>NOV 22</v>
      </c>
      <c r="AQ1039" s="547" t="str">
        <f t="shared" si="204"/>
        <v>有定金+有預留客戶</v>
      </c>
      <c r="AR1039" s="259" t="str">
        <f t="shared" si="205"/>
        <v>Shipped_Stock</v>
      </c>
      <c r="AS1039" s="259" t="str">
        <f t="shared" si="206"/>
        <v/>
      </c>
      <c r="AT1039" s="259" t="str">
        <f t="shared" si="207"/>
        <v>比泰利</v>
      </c>
      <c r="AU1039" s="259" t="str">
        <f t="shared" si="208"/>
        <v>C49SZX20220113DZ</v>
      </c>
      <c r="AV1039" s="259" t="str">
        <f t="shared" si="209"/>
        <v>Feb-04</v>
      </c>
    </row>
    <row r="1040" spans="1:48" ht="40.5" hidden="1">
      <c r="A1040" s="564">
        <v>1636</v>
      </c>
      <c r="B1040" s="669" t="s">
        <v>1125</v>
      </c>
      <c r="C1040" s="669" t="s">
        <v>15</v>
      </c>
      <c r="D1040" s="760">
        <v>110693</v>
      </c>
      <c r="E1040" s="741" t="s">
        <v>1994</v>
      </c>
      <c r="F1040" s="652" t="s">
        <v>58</v>
      </c>
      <c r="G1040" s="652" t="s">
        <v>24</v>
      </c>
      <c r="H1040" s="652" t="s">
        <v>26</v>
      </c>
      <c r="I1040" s="580" t="s">
        <v>1995</v>
      </c>
      <c r="J1040" s="580">
        <v>1</v>
      </c>
      <c r="K1040" s="652" t="s">
        <v>1732</v>
      </c>
      <c r="L1040" s="662">
        <v>44596</v>
      </c>
      <c r="M1040" s="670" t="s">
        <v>1996</v>
      </c>
      <c r="N1040" s="652" t="s">
        <v>1930</v>
      </c>
      <c r="O1040" s="580">
        <v>2021.12</v>
      </c>
      <c r="P1040" s="670" t="str">
        <f>VLOOKUP(A1040,'[1]Raw data'!$B:$BA,23,FALSE)</f>
        <v>RMB</v>
      </c>
      <c r="Q1040" s="652" t="str">
        <f>VLOOKUP(A1040,'[1]Raw data'!$B:$Z,2,FALSE)</f>
        <v>C49SZX20220043SQ</v>
      </c>
      <c r="R1040" s="652" t="str">
        <f>VLOOKUP(A1040,'[1]Raw data'!$B:$Z,3,FALSE)</f>
        <v>有泽</v>
      </c>
      <c r="S1040" s="652" t="str">
        <f>VLOOKUP(A1040,'[1]Raw data'!$B:$Z,4,FALSE)</f>
        <v>YSM20R-2</v>
      </c>
      <c r="T1040" s="652" t="str">
        <f>VLOOKUP(A1040,'[1]Raw data'!$B:$Z,8,FALSE)</f>
        <v>L-&gt;R</v>
      </c>
      <c r="U1040" s="652" t="str">
        <f>VLOOKUP(A1040,'[1]Raw data'!$B:$Z,9,FALSE)</f>
        <v>No</v>
      </c>
      <c r="V1040" s="572" t="str">
        <f>IF(G1040&amp;H1040=T1040&amp;U1040,"OK","WRONG")</f>
        <v>OK</v>
      </c>
      <c r="W1040" s="568" t="str">
        <f>VLOOKUP(A1040,'[1]Raw data'!$B:$AG,32,FALSE)</f>
        <v>DDP SZ</v>
      </c>
      <c r="X1040" s="652">
        <f>VLOOKUP(A1040,'[1]Raw data'!$B:$BA,31,FALSE)</f>
        <v>44659</v>
      </c>
      <c r="Y1040" s="652" t="str">
        <f>VLOOKUP(A1040,'[1]Raw data'!$B:$AS,39,FALSE)</f>
        <v>Yes</v>
      </c>
      <c r="Z1040" s="664"/>
      <c r="AA1040" s="665"/>
      <c r="AB1040" s="666"/>
      <c r="AC1040" s="652" t="s">
        <v>1997</v>
      </c>
      <c r="AD1040" s="667">
        <v>302</v>
      </c>
      <c r="AE1040" s="667">
        <v>10</v>
      </c>
      <c r="AF1040" s="667">
        <v>301</v>
      </c>
      <c r="AG1040" s="667">
        <v>10</v>
      </c>
      <c r="AH1040" s="667"/>
      <c r="AI1040" s="668"/>
      <c r="AN1040" s="547"/>
      <c r="AO1040" s="829" t="str">
        <f t="shared" si="202"/>
        <v>Yes</v>
      </c>
      <c r="AP1040" s="259" t="str">
        <f t="shared" si="203"/>
        <v>APR 22</v>
      </c>
      <c r="AQ1040" s="547" t="str">
        <f t="shared" si="204"/>
        <v>有定金+有預留客戶</v>
      </c>
      <c r="AR1040" s="259" t="str">
        <f t="shared" si="205"/>
        <v>Shipped_Stock</v>
      </c>
      <c r="AS1040" s="259" t="str">
        <f t="shared" si="206"/>
        <v/>
      </c>
      <c r="AT1040" s="259" t="str">
        <f t="shared" si="207"/>
        <v>有泽</v>
      </c>
      <c r="AU1040" s="259" t="str">
        <f t="shared" si="208"/>
        <v>C49SZX20220043SQ</v>
      </c>
      <c r="AV1040" s="259" t="str">
        <f t="shared" si="209"/>
        <v>Feb-04</v>
      </c>
    </row>
    <row r="1041" spans="1:48" ht="13.5" hidden="1" thickBot="1">
      <c r="A1041" s="564">
        <v>1634</v>
      </c>
      <c r="B1041" s="669" t="s">
        <v>1125</v>
      </c>
      <c r="C1041" s="669" t="s">
        <v>15</v>
      </c>
      <c r="D1041" s="629">
        <v>110693</v>
      </c>
      <c r="E1041" s="741" t="s">
        <v>1994</v>
      </c>
      <c r="F1041" s="652" t="s">
        <v>58</v>
      </c>
      <c r="G1041" s="652" t="s">
        <v>24</v>
      </c>
      <c r="H1041" s="652" t="s">
        <v>26</v>
      </c>
      <c r="I1041" s="580" t="s">
        <v>1998</v>
      </c>
      <c r="J1041" s="580">
        <v>1</v>
      </c>
      <c r="K1041" s="652" t="s">
        <v>1419</v>
      </c>
      <c r="L1041" s="662">
        <v>44596</v>
      </c>
      <c r="M1041" s="670" t="s">
        <v>1999</v>
      </c>
      <c r="N1041" s="652" t="s">
        <v>1930</v>
      </c>
      <c r="O1041" s="580">
        <v>2021.12</v>
      </c>
      <c r="P1041" s="670" t="str">
        <f>VLOOKUP(A1041,'[1]Raw data'!$B:$BA,23,FALSE)</f>
        <v>RMB</v>
      </c>
      <c r="Q1041" s="652" t="str">
        <f>VLOOKUP(A1041,'[1]Raw data'!$B:$Z,2,FALSE)</f>
        <v>C49SZX20220039JY</v>
      </c>
      <c r="R1041" s="652" t="str">
        <f>VLOOKUP(A1041,'[1]Raw data'!$B:$Z,3,FALSE)</f>
        <v>顺禾</v>
      </c>
      <c r="S1041" s="652" t="str">
        <f>VLOOKUP(A1041,'[1]Raw data'!$B:$Z,4,FALSE)</f>
        <v>YSM20R-2</v>
      </c>
      <c r="T1041" s="652" t="str">
        <f>VLOOKUP(A1041,'[1]Raw data'!$B:$Z,8,FALSE)</f>
        <v>L-&gt;R</v>
      </c>
      <c r="U1041" s="652" t="str">
        <f>VLOOKUP(A1041,'[1]Raw data'!$B:$Z,9,FALSE)</f>
        <v>MVC</v>
      </c>
      <c r="V1041" s="572" t="str">
        <f>IF(G1041&amp;H1041=T1041&amp;U1041,"OK","WRONG")</f>
        <v>WRONG</v>
      </c>
      <c r="W1041" s="568" t="str">
        <f>VLOOKUP(A1041,'[1]Raw data'!$B:$AG,32,FALSE)</f>
        <v>DDP SZ</v>
      </c>
      <c r="X1041" s="652">
        <f>VLOOKUP(A1041,'[1]Raw data'!$B:$BA,31,FALSE)</f>
        <v>44644</v>
      </c>
      <c r="Y1041" s="652" t="str">
        <f>VLOOKUP(A1041,'[1]Raw data'!$B:$AS,39,FALSE)</f>
        <v>Yes</v>
      </c>
      <c r="Z1041" s="671"/>
      <c r="AA1041" s="672"/>
      <c r="AB1041" s="666"/>
      <c r="AC1041" s="652" t="s">
        <v>2000</v>
      </c>
      <c r="AD1041" s="667">
        <v>302</v>
      </c>
      <c r="AE1041" s="667">
        <v>10</v>
      </c>
      <c r="AF1041" s="667">
        <v>301</v>
      </c>
      <c r="AG1041" s="667">
        <v>10</v>
      </c>
      <c r="AH1041" s="667"/>
      <c r="AI1041" s="668"/>
      <c r="AN1041" s="547"/>
      <c r="AO1041" s="829" t="str">
        <f t="shared" si="202"/>
        <v>Yes</v>
      </c>
      <c r="AP1041" s="259" t="str">
        <f t="shared" si="203"/>
        <v>APR 22</v>
      </c>
      <c r="AQ1041" s="547" t="str">
        <f t="shared" si="204"/>
        <v>有定金+有預留客戶</v>
      </c>
      <c r="AR1041" s="259" t="str">
        <f t="shared" si="205"/>
        <v>Shipped_Stock</v>
      </c>
      <c r="AS1041" s="259" t="str">
        <f t="shared" si="206"/>
        <v/>
      </c>
      <c r="AT1041" s="259" t="str">
        <f t="shared" si="207"/>
        <v>顺禾</v>
      </c>
      <c r="AU1041" s="259" t="str">
        <f t="shared" si="208"/>
        <v>C49SZX20220039JY</v>
      </c>
      <c r="AV1041" s="259" t="str">
        <f t="shared" si="209"/>
        <v>Feb-04</v>
      </c>
    </row>
    <row r="1042" spans="1:48" hidden="1">
      <c r="A1042" s="564">
        <v>1598</v>
      </c>
      <c r="B1042" s="669" t="s">
        <v>1125</v>
      </c>
      <c r="C1042" s="669" t="s">
        <v>15</v>
      </c>
      <c r="D1042" s="766">
        <v>110694</v>
      </c>
      <c r="E1042" s="651" t="s">
        <v>2001</v>
      </c>
      <c r="F1042" s="652" t="s">
        <v>58</v>
      </c>
      <c r="G1042" s="652" t="s">
        <v>24</v>
      </c>
      <c r="H1042" s="652" t="s">
        <v>26</v>
      </c>
      <c r="I1042" s="580" t="s">
        <v>2002</v>
      </c>
      <c r="J1042" s="580">
        <v>1</v>
      </c>
      <c r="K1042" s="652" t="s">
        <v>1419</v>
      </c>
      <c r="L1042" s="662">
        <v>44598</v>
      </c>
      <c r="M1042" s="670" t="s">
        <v>2003</v>
      </c>
      <c r="N1042" s="652" t="s">
        <v>1828</v>
      </c>
      <c r="O1042" s="580"/>
      <c r="P1042" s="670" t="str">
        <f>VLOOKUP(A1042,'[1]Raw data'!$B:$BA,23,FALSE)</f>
        <v>RMB</v>
      </c>
      <c r="Q1042" s="652" t="str">
        <f>VLOOKUP(A1042,'[1]Raw data'!$B:$Z,2,FALSE)</f>
        <v>C49SZX20220023SX</v>
      </c>
      <c r="R1042" s="652" t="str">
        <f>VLOOKUP(A1042,'[1]Raw data'!$B:$Z,3,FALSE)</f>
        <v>拓新伟业</v>
      </c>
      <c r="S1042" s="652" t="str">
        <f>VLOOKUP(A1042,'[1]Raw data'!$B:$Z,4,FALSE)</f>
        <v>YSM20R-2</v>
      </c>
      <c r="T1042" s="652" t="str">
        <f>VLOOKUP(A1042,'[1]Raw data'!$B:$Z,8,FALSE)</f>
        <v>L-&gt;R</v>
      </c>
      <c r="U1042" s="652" t="str">
        <f>VLOOKUP(A1042,'[1]Raw data'!$B:$Z,9,FALSE)</f>
        <v>MVC</v>
      </c>
      <c r="V1042" s="572" t="str">
        <f t="shared" si="214"/>
        <v>WRONG</v>
      </c>
      <c r="W1042" s="568" t="str">
        <f>VLOOKUP(A1042,'[1]Raw data'!$B:$AG,32,FALSE)</f>
        <v>DDP SZ</v>
      </c>
      <c r="X1042" s="652">
        <f>VLOOKUP(A1042,'[1]Raw data'!$B:$BA,31,FALSE)</f>
        <v>44615</v>
      </c>
      <c r="Y1042" s="652" t="str">
        <f>VLOOKUP(A1042,'[1]Raw data'!$B:$AS,39,FALSE)</f>
        <v>Yes</v>
      </c>
      <c r="Z1042" s="664"/>
      <c r="AA1042" s="665"/>
      <c r="AB1042" s="666"/>
      <c r="AC1042" s="652" t="s">
        <v>2004</v>
      </c>
      <c r="AD1042" s="667">
        <v>313</v>
      </c>
      <c r="AE1042" s="667">
        <v>20</v>
      </c>
      <c r="AF1042" s="667"/>
      <c r="AG1042" s="667"/>
      <c r="AH1042" s="667"/>
      <c r="AI1042" s="668"/>
      <c r="AN1042" s="547"/>
      <c r="AO1042" s="829" t="str">
        <f t="shared" si="202"/>
        <v>Yes</v>
      </c>
      <c r="AP1042" s="259" t="str">
        <f t="shared" si="203"/>
        <v>MAR 22</v>
      </c>
      <c r="AQ1042" s="547" t="str">
        <f t="shared" si="204"/>
        <v>有定金+有預留客戶</v>
      </c>
      <c r="AR1042" s="259" t="str">
        <f t="shared" si="205"/>
        <v>Shipped_Stock</v>
      </c>
      <c r="AS1042" s="259" t="str">
        <f t="shared" si="206"/>
        <v/>
      </c>
      <c r="AT1042" s="259" t="str">
        <f t="shared" si="207"/>
        <v>拓新伟业</v>
      </c>
      <c r="AU1042" s="259" t="str">
        <f t="shared" si="208"/>
        <v>C49SZX20220023SX</v>
      </c>
      <c r="AV1042" s="259" t="str">
        <f t="shared" si="209"/>
        <v>Feb-06</v>
      </c>
    </row>
    <row r="1043" spans="1:48" hidden="1">
      <c r="A1043" s="564">
        <v>1567</v>
      </c>
      <c r="B1043" s="669" t="s">
        <v>1125</v>
      </c>
      <c r="C1043" s="669" t="s">
        <v>15</v>
      </c>
      <c r="D1043" s="760">
        <v>110695</v>
      </c>
      <c r="E1043" s="651" t="s">
        <v>2005</v>
      </c>
      <c r="F1043" s="652" t="s">
        <v>58</v>
      </c>
      <c r="G1043" s="652" t="s">
        <v>24</v>
      </c>
      <c r="H1043" s="652" t="s">
        <v>26</v>
      </c>
      <c r="I1043" s="580" t="s">
        <v>2006</v>
      </c>
      <c r="J1043" s="580">
        <v>1</v>
      </c>
      <c r="K1043" s="652" t="s">
        <v>85</v>
      </c>
      <c r="L1043" s="662">
        <v>44598</v>
      </c>
      <c r="M1043" s="670" t="s">
        <v>906</v>
      </c>
      <c r="N1043" s="652" t="s">
        <v>1890</v>
      </c>
      <c r="O1043" s="580"/>
      <c r="P1043" s="670" t="str">
        <f>VLOOKUP(A1043,'[1]Raw data'!$B:$BA,23,FALSE)</f>
        <v>JPY</v>
      </c>
      <c r="Q1043" s="652" t="str">
        <f>VLOOKUP(A1043,'[1]Raw data'!$B:$Z,2,FALSE)</f>
        <v>C49SZX20220014JL</v>
      </c>
      <c r="R1043" s="652" t="str">
        <f>VLOOKUP(A1043,'[1]Raw data'!$B:$Z,3,FALSE)</f>
        <v>捷舜诚</v>
      </c>
      <c r="S1043" s="652" t="str">
        <f>VLOOKUP(A1043,'[1]Raw data'!$B:$Z,4,FALSE)</f>
        <v>YSM20R-2</v>
      </c>
      <c r="T1043" s="652" t="str">
        <f>VLOOKUP(A1043,'[1]Raw data'!$B:$Z,8,FALSE)</f>
        <v>L-&gt;R</v>
      </c>
      <c r="U1043" s="652" t="str">
        <f>VLOOKUP(A1043,'[1]Raw data'!$B:$Z,9,FALSE)</f>
        <v>MVC</v>
      </c>
      <c r="V1043" s="572" t="str">
        <f t="shared" si="214"/>
        <v>WRONG</v>
      </c>
      <c r="W1043" s="568" t="str">
        <f>VLOOKUP(A1043,'[1]Raw data'!$B:$AG,32,FALSE)</f>
        <v>DAP SZ</v>
      </c>
      <c r="X1043" s="652">
        <f>VLOOKUP(A1043,'[1]Raw data'!$B:$BA,31,FALSE)</f>
        <v>44586</v>
      </c>
      <c r="Y1043" s="652" t="str">
        <f>VLOOKUP(A1043,'[1]Raw data'!$B:$AS,39,FALSE)</f>
        <v>Yes</v>
      </c>
      <c r="Z1043" s="664"/>
      <c r="AA1043" s="665"/>
      <c r="AB1043" s="666"/>
      <c r="AC1043" s="568" t="s">
        <v>1150</v>
      </c>
      <c r="AD1043" s="667">
        <v>303</v>
      </c>
      <c r="AE1043" s="667">
        <v>20</v>
      </c>
      <c r="AF1043" s="667"/>
      <c r="AG1043" s="667"/>
      <c r="AH1043" s="667"/>
      <c r="AI1043" s="668"/>
      <c r="AN1043" s="547"/>
      <c r="AO1043" s="829" t="str">
        <f t="shared" si="202"/>
        <v>Yes</v>
      </c>
      <c r="AP1043" s="259" t="str">
        <f t="shared" si="203"/>
        <v>FEB 22</v>
      </c>
      <c r="AQ1043" s="547" t="str">
        <f t="shared" si="204"/>
        <v>有定金+有預留客戶</v>
      </c>
      <c r="AR1043" s="259" t="str">
        <f t="shared" si="205"/>
        <v>Shipped_Stock</v>
      </c>
      <c r="AS1043" s="259" t="str">
        <f t="shared" si="206"/>
        <v/>
      </c>
      <c r="AT1043" s="259" t="str">
        <f t="shared" si="207"/>
        <v>捷舜诚</v>
      </c>
      <c r="AU1043" s="259" t="str">
        <f t="shared" si="208"/>
        <v>C49SZX20220014JL</v>
      </c>
      <c r="AV1043" s="259" t="str">
        <f t="shared" si="209"/>
        <v>Feb-06</v>
      </c>
    </row>
    <row r="1044" spans="1:48" hidden="1">
      <c r="A1044" s="604">
        <v>1504</v>
      </c>
      <c r="B1044" s="669" t="s">
        <v>1125</v>
      </c>
      <c r="C1044" s="669" t="s">
        <v>15</v>
      </c>
      <c r="D1044" s="760">
        <v>110697</v>
      </c>
      <c r="E1044" s="651" t="s">
        <v>2007</v>
      </c>
      <c r="F1044" s="652" t="s">
        <v>58</v>
      </c>
      <c r="G1044" s="652" t="s">
        <v>24</v>
      </c>
      <c r="H1044" s="652" t="s">
        <v>26</v>
      </c>
      <c r="I1044" s="580" t="s">
        <v>2008</v>
      </c>
      <c r="J1044" s="580">
        <v>1</v>
      </c>
      <c r="K1044" s="652" t="s">
        <v>1732</v>
      </c>
      <c r="L1044" s="662">
        <v>44598</v>
      </c>
      <c r="M1044" s="670" t="s">
        <v>906</v>
      </c>
      <c r="N1044" s="652" t="s">
        <v>1903</v>
      </c>
      <c r="O1044" s="580">
        <v>2022.1</v>
      </c>
      <c r="P1044" s="670" t="str">
        <f>VLOOKUP(A1044,'[1]Raw data'!$B:$BA,23,FALSE)</f>
        <v>JPY</v>
      </c>
      <c r="Q1044" s="652" t="str">
        <f>VLOOKUP(A1044,'[1]Raw data'!$B:$Z,2,FALSE)</f>
        <v>C49SZX20210103MZ</v>
      </c>
      <c r="R1044" s="652" t="str">
        <f>VLOOKUP(A1044,'[1]Raw data'!$B:$Z,3,FALSE)</f>
        <v>河南融创</v>
      </c>
      <c r="S1044" s="652" t="str">
        <f>VLOOKUP(A1044,'[1]Raw data'!$B:$Z,4,FALSE)</f>
        <v>YSM20R-2</v>
      </c>
      <c r="T1044" s="652" t="str">
        <f>VLOOKUP(A1044,'[1]Raw data'!$B:$Z,8,FALSE)</f>
        <v>L-&gt;R</v>
      </c>
      <c r="U1044" s="652" t="str">
        <f>VLOOKUP(A1044,'[1]Raw data'!$B:$Z,9,FALSE)</f>
        <v>No</v>
      </c>
      <c r="V1044" s="572" t="str">
        <f t="shared" si="214"/>
        <v>OK</v>
      </c>
      <c r="W1044" s="568" t="str">
        <f>VLOOKUP(A1044,'[1]Raw data'!$B:$AG,32,FALSE)</f>
        <v>CIF HK</v>
      </c>
      <c r="X1044" s="652">
        <f>VLOOKUP(A1044,'[1]Raw data'!$B:$BA,31,FALSE)</f>
        <v>44524</v>
      </c>
      <c r="Y1044" s="652" t="str">
        <f>VLOOKUP(A1044,'[1]Raw data'!$B:$AS,39,FALSE)</f>
        <v>Yes</v>
      </c>
      <c r="Z1044" s="664"/>
      <c r="AA1044" s="715"/>
      <c r="AB1044" s="667"/>
      <c r="AC1044" s="580" t="s">
        <v>1829</v>
      </c>
      <c r="AD1044" s="580">
        <v>304</v>
      </c>
      <c r="AE1044" s="580">
        <v>20</v>
      </c>
      <c r="AF1044" s="580"/>
      <c r="AG1044" s="684"/>
      <c r="AH1044" s="569"/>
      <c r="AI1044" s="569"/>
      <c r="AJ1044" s="569"/>
      <c r="AK1044" s="569"/>
      <c r="AL1044" s="619"/>
      <c r="AM1044" s="619"/>
      <c r="AN1044" s="619"/>
      <c r="AO1044" s="829" t="str">
        <f t="shared" si="202"/>
        <v>Yes</v>
      </c>
      <c r="AP1044" s="259" t="str">
        <f t="shared" si="203"/>
        <v>MAY 22</v>
      </c>
      <c r="AQ1044" s="547" t="str">
        <f t="shared" si="204"/>
        <v>有定金+有預留客戶</v>
      </c>
      <c r="AR1044" s="259" t="str">
        <f t="shared" si="205"/>
        <v>Shipped_Stock</v>
      </c>
      <c r="AS1044" s="259" t="str">
        <f t="shared" si="206"/>
        <v/>
      </c>
      <c r="AT1044" s="259" t="str">
        <f t="shared" si="207"/>
        <v>河南融创</v>
      </c>
      <c r="AU1044" s="259" t="str">
        <f t="shared" si="208"/>
        <v>C49SZX20210103MZ</v>
      </c>
      <c r="AV1044" s="259" t="str">
        <f t="shared" si="209"/>
        <v>Feb-06</v>
      </c>
    </row>
    <row r="1045" spans="1:48" hidden="1">
      <c r="A1045" s="604">
        <v>1514</v>
      </c>
      <c r="B1045" s="669" t="s">
        <v>1125</v>
      </c>
      <c r="C1045" s="669" t="s">
        <v>15</v>
      </c>
      <c r="D1045" s="766">
        <v>110696</v>
      </c>
      <c r="E1045" s="651" t="s">
        <v>2009</v>
      </c>
      <c r="F1045" s="652" t="s">
        <v>58</v>
      </c>
      <c r="G1045" s="652" t="s">
        <v>24</v>
      </c>
      <c r="H1045" s="652" t="s">
        <v>307</v>
      </c>
      <c r="I1045" s="580" t="s">
        <v>2010</v>
      </c>
      <c r="J1045" s="580">
        <v>1</v>
      </c>
      <c r="K1045" s="652" t="s">
        <v>85</v>
      </c>
      <c r="L1045" s="662">
        <v>44597</v>
      </c>
      <c r="M1045" s="670" t="s">
        <v>906</v>
      </c>
      <c r="N1045" s="652" t="s">
        <v>1930</v>
      </c>
      <c r="O1045" s="580">
        <v>2021.12</v>
      </c>
      <c r="P1045" s="670" t="str">
        <f>VLOOKUP(A1045,'[1]Raw data'!$B:$BA,23,FALSE)</f>
        <v>JPY</v>
      </c>
      <c r="Q1045" s="652" t="str">
        <f>VLOOKUP(A1045,'[1]Raw data'!$B:$Z,2,FALSE)</f>
        <v>C49SZX20210206MZ</v>
      </c>
      <c r="R1045" s="652" t="str">
        <f>VLOOKUP(A1045,'[1]Raw data'!$B:$Z,3,FALSE)</f>
        <v>魔乐视</v>
      </c>
      <c r="S1045" s="652" t="str">
        <f>VLOOKUP(A1045,'[1]Raw data'!$B:$Z,4,FALSE)</f>
        <v>YSM20R-2</v>
      </c>
      <c r="T1045" s="652" t="str">
        <f>VLOOKUP(A1045,'[1]Raw data'!$B:$Z,8,FALSE)</f>
        <v>L-&gt;R</v>
      </c>
      <c r="U1045" s="652" t="str">
        <f>VLOOKUP(A1045,'[1]Raw data'!$B:$Z,9,FALSE)</f>
        <v>No</v>
      </c>
      <c r="V1045" s="572" t="str">
        <f t="shared" si="214"/>
        <v>OK</v>
      </c>
      <c r="W1045" s="568" t="str">
        <f>VLOOKUP(A1045,'[1]Raw data'!$B:$AG,32,FALSE)</f>
        <v>DAP SZ</v>
      </c>
      <c r="X1045" s="652">
        <f>VLOOKUP(A1045,'[1]Raw data'!$B:$BA,31,FALSE)</f>
        <v>44540</v>
      </c>
      <c r="Y1045" s="652" t="str">
        <f>VLOOKUP(A1045,'[1]Raw data'!$B:$AS,39,FALSE)</f>
        <v>Yes</v>
      </c>
      <c r="Z1045" s="671"/>
      <c r="AA1045" s="665"/>
      <c r="AB1045" s="666"/>
      <c r="AC1045" s="652" t="s">
        <v>2011</v>
      </c>
      <c r="AD1045" s="580">
        <v>301</v>
      </c>
      <c r="AE1045" s="580">
        <v>10</v>
      </c>
      <c r="AF1045" s="580">
        <v>313</v>
      </c>
      <c r="AG1045" s="580">
        <v>10</v>
      </c>
      <c r="AH1045" s="580"/>
      <c r="AI1045" s="684"/>
      <c r="AJ1045" s="569"/>
      <c r="AK1045" s="569"/>
      <c r="AL1045" s="569"/>
      <c r="AM1045" s="569"/>
      <c r="AN1045" s="619"/>
      <c r="AO1045" s="829" t="str">
        <f t="shared" si="202"/>
        <v>Yes</v>
      </c>
      <c r="AP1045" s="259" t="str">
        <f t="shared" si="203"/>
        <v>APR 22</v>
      </c>
      <c r="AQ1045" s="547" t="str">
        <f t="shared" si="204"/>
        <v>有定金+有預留客戶</v>
      </c>
      <c r="AR1045" s="259" t="str">
        <f t="shared" si="205"/>
        <v>Shipped_Stock</v>
      </c>
      <c r="AS1045" s="259" t="str">
        <f t="shared" si="206"/>
        <v/>
      </c>
      <c r="AT1045" s="259" t="str">
        <f t="shared" si="207"/>
        <v>魔乐视</v>
      </c>
      <c r="AU1045" s="259" t="str">
        <f t="shared" si="208"/>
        <v>C49SZX20210206MZ</v>
      </c>
      <c r="AV1045" s="259" t="str">
        <f t="shared" si="209"/>
        <v>Feb-05</v>
      </c>
    </row>
    <row r="1046" spans="1:48" hidden="1">
      <c r="A1046" s="604">
        <v>1515</v>
      </c>
      <c r="B1046" s="669" t="s">
        <v>1125</v>
      </c>
      <c r="C1046" s="669" t="s">
        <v>15</v>
      </c>
      <c r="D1046" s="760">
        <v>110696</v>
      </c>
      <c r="E1046" s="651" t="s">
        <v>2009</v>
      </c>
      <c r="F1046" s="652" t="s">
        <v>58</v>
      </c>
      <c r="G1046" s="652" t="s">
        <v>24</v>
      </c>
      <c r="H1046" s="652" t="s">
        <v>26</v>
      </c>
      <c r="I1046" s="580" t="s">
        <v>2012</v>
      </c>
      <c r="J1046" s="580">
        <v>1</v>
      </c>
      <c r="K1046" s="652" t="s">
        <v>85</v>
      </c>
      <c r="L1046" s="662">
        <v>44597</v>
      </c>
      <c r="M1046" s="670" t="s">
        <v>906</v>
      </c>
      <c r="N1046" s="652" t="s">
        <v>1930</v>
      </c>
      <c r="O1046" s="580">
        <v>2022.1</v>
      </c>
      <c r="P1046" s="670" t="str">
        <f>VLOOKUP(A1046,'[1]Raw data'!$B:$BA,23,FALSE)</f>
        <v>JPY</v>
      </c>
      <c r="Q1046" s="652" t="str">
        <f>VLOOKUP(A1046,'[1]Raw data'!$B:$Z,2,FALSE)</f>
        <v>C49SZX20210206MZ</v>
      </c>
      <c r="R1046" s="652" t="str">
        <f>VLOOKUP(A1046,'[1]Raw data'!$B:$Z,3,FALSE)</f>
        <v>魔乐视</v>
      </c>
      <c r="S1046" s="652" t="str">
        <f>VLOOKUP(A1046,'[1]Raw data'!$B:$Z,4,FALSE)</f>
        <v>YSM20R-2</v>
      </c>
      <c r="T1046" s="652" t="str">
        <f>VLOOKUP(A1046,'[1]Raw data'!$B:$Z,8,FALSE)</f>
        <v>L-&gt;R</v>
      </c>
      <c r="U1046" s="652" t="str">
        <f>VLOOKUP(A1046,'[1]Raw data'!$B:$Z,9,FALSE)</f>
        <v>No</v>
      </c>
      <c r="V1046" s="572" t="str">
        <f t="shared" si="214"/>
        <v>OK</v>
      </c>
      <c r="W1046" s="568" t="str">
        <f>VLOOKUP(A1046,'[1]Raw data'!$B:$AG,32,FALSE)</f>
        <v>DAP SZ</v>
      </c>
      <c r="X1046" s="652">
        <f>VLOOKUP(A1046,'[1]Raw data'!$B:$BA,31,FALSE)</f>
        <v>44540</v>
      </c>
      <c r="Y1046" s="652" t="str">
        <f>VLOOKUP(A1046,'[1]Raw data'!$B:$AS,39,FALSE)</f>
        <v>Yes</v>
      </c>
      <c r="Z1046" s="671"/>
      <c r="AA1046" s="665"/>
      <c r="AB1046" s="666"/>
      <c r="AC1046" s="652" t="s">
        <v>2011</v>
      </c>
      <c r="AD1046" s="580">
        <v>301</v>
      </c>
      <c r="AE1046" s="580">
        <v>10</v>
      </c>
      <c r="AF1046" s="580">
        <v>313</v>
      </c>
      <c r="AG1046" s="580">
        <v>10</v>
      </c>
      <c r="AH1046" s="580"/>
      <c r="AI1046" s="684"/>
      <c r="AJ1046" s="569"/>
      <c r="AK1046" s="569"/>
      <c r="AL1046" s="569"/>
      <c r="AM1046" s="569"/>
      <c r="AN1046" s="619"/>
      <c r="AO1046" s="829" t="str">
        <f t="shared" si="202"/>
        <v>Yes</v>
      </c>
      <c r="AP1046" s="259" t="str">
        <f t="shared" si="203"/>
        <v>APR 22</v>
      </c>
      <c r="AQ1046" s="547" t="str">
        <f t="shared" si="204"/>
        <v>有定金+有預留客戶</v>
      </c>
      <c r="AR1046" s="259" t="str">
        <f t="shared" si="205"/>
        <v>Shipped_Stock</v>
      </c>
      <c r="AS1046" s="259" t="str">
        <f t="shared" si="206"/>
        <v/>
      </c>
      <c r="AT1046" s="259" t="str">
        <f t="shared" si="207"/>
        <v>魔乐视</v>
      </c>
      <c r="AU1046" s="259" t="str">
        <f t="shared" si="208"/>
        <v>C49SZX20210206MZ</v>
      </c>
      <c r="AV1046" s="259" t="str">
        <f t="shared" si="209"/>
        <v>Feb-05</v>
      </c>
    </row>
    <row r="1047" spans="1:48" hidden="1">
      <c r="A1047" s="564">
        <v>1497</v>
      </c>
      <c r="B1047" s="669" t="s">
        <v>1125</v>
      </c>
      <c r="C1047" s="669" t="s">
        <v>15</v>
      </c>
      <c r="D1047" s="760">
        <v>110698</v>
      </c>
      <c r="E1047" s="651" t="s">
        <v>2013</v>
      </c>
      <c r="F1047" s="652" t="s">
        <v>58</v>
      </c>
      <c r="G1047" s="652" t="s">
        <v>24</v>
      </c>
      <c r="H1047" s="652" t="s">
        <v>26</v>
      </c>
      <c r="I1047" s="580" t="s">
        <v>2014</v>
      </c>
      <c r="J1047" s="580">
        <v>1</v>
      </c>
      <c r="K1047" s="652" t="s">
        <v>85</v>
      </c>
      <c r="L1047" s="662">
        <v>44597</v>
      </c>
      <c r="M1047" s="670" t="s">
        <v>906</v>
      </c>
      <c r="N1047" s="652" t="s">
        <v>1890</v>
      </c>
      <c r="O1047" s="580"/>
      <c r="P1047" s="670" t="str">
        <f>VLOOKUP(A1047,'[1]Raw data'!$B:$BA,23,FALSE)</f>
        <v>JPY</v>
      </c>
      <c r="Q1047" s="652" t="str">
        <f>VLOOKUP(A1047,'[1]Raw data'!$B:$Z,2,FALSE)</f>
        <v>C49SZX20210203EC</v>
      </c>
      <c r="R1047" s="652" t="str">
        <f>VLOOKUP(A1047,'[1]Raw data'!$B:$Z,3,FALSE)</f>
        <v>领德创</v>
      </c>
      <c r="S1047" s="652" t="str">
        <f>VLOOKUP(A1047,'[1]Raw data'!$B:$Z,4,FALSE)</f>
        <v>YSM20R-2</v>
      </c>
      <c r="T1047" s="652" t="str">
        <f>VLOOKUP(A1047,'[1]Raw data'!$B:$Z,8,FALSE)</f>
        <v>L-&gt;R</v>
      </c>
      <c r="U1047" s="652" t="str">
        <f>VLOOKUP(A1047,'[1]Raw data'!$B:$Z,9,FALSE)</f>
        <v>No</v>
      </c>
      <c r="V1047" s="572" t="str">
        <f t="shared" ref="V1047:V1048" si="216">IF(G1047&amp;H1047=T1047&amp;U1047,"OK","WRONG")</f>
        <v>OK</v>
      </c>
      <c r="W1047" s="568" t="str">
        <f>VLOOKUP(A1047,'[1]Raw data'!$B:$AG,32,FALSE)</f>
        <v>DAP SZ</v>
      </c>
      <c r="X1047" s="652">
        <f>VLOOKUP(A1047,'[1]Raw data'!$B:$BA,31,FALSE)</f>
        <v>44511</v>
      </c>
      <c r="Y1047" s="652" t="str">
        <f>VLOOKUP(A1047,'[1]Raw data'!$B:$AS,39,FALSE)</f>
        <v>Yes</v>
      </c>
      <c r="Z1047" s="664"/>
      <c r="AA1047" s="665"/>
      <c r="AB1047" s="666"/>
      <c r="AC1047" s="652" t="s">
        <v>2015</v>
      </c>
      <c r="AD1047" s="667">
        <v>302</v>
      </c>
      <c r="AE1047" s="667">
        <v>10</v>
      </c>
      <c r="AF1047" s="667">
        <v>301</v>
      </c>
      <c r="AG1047" s="667">
        <v>10</v>
      </c>
      <c r="AH1047" s="667"/>
      <c r="AI1047" s="668"/>
      <c r="AN1047" s="547"/>
      <c r="AO1047" s="829" t="str">
        <f t="shared" si="202"/>
        <v>Yes</v>
      </c>
      <c r="AP1047" s="259" t="str">
        <f t="shared" si="203"/>
        <v>FEB 22</v>
      </c>
      <c r="AQ1047" s="547" t="str">
        <f t="shared" si="204"/>
        <v>有定金+有預留客戶</v>
      </c>
      <c r="AR1047" s="259" t="str">
        <f t="shared" si="205"/>
        <v>Shipped_Stock</v>
      </c>
      <c r="AS1047" s="259" t="str">
        <f t="shared" si="206"/>
        <v/>
      </c>
      <c r="AT1047" s="259" t="str">
        <f t="shared" si="207"/>
        <v>领德创</v>
      </c>
      <c r="AU1047" s="259" t="str">
        <f t="shared" si="208"/>
        <v>C49SZX20210203EC</v>
      </c>
      <c r="AV1047" s="259" t="str">
        <f t="shared" si="209"/>
        <v>Feb-05</v>
      </c>
    </row>
    <row r="1048" spans="1:48" ht="13.5" hidden="1" thickBot="1">
      <c r="A1048" s="564">
        <v>1498</v>
      </c>
      <c r="B1048" s="669" t="s">
        <v>1125</v>
      </c>
      <c r="C1048" s="669" t="s">
        <v>15</v>
      </c>
      <c r="D1048" s="629">
        <v>110698</v>
      </c>
      <c r="E1048" s="651" t="s">
        <v>2013</v>
      </c>
      <c r="F1048" s="652" t="s">
        <v>58</v>
      </c>
      <c r="G1048" s="652" t="s">
        <v>24</v>
      </c>
      <c r="H1048" s="652" t="s">
        <v>26</v>
      </c>
      <c r="I1048" s="580" t="s">
        <v>2016</v>
      </c>
      <c r="J1048" s="580">
        <v>1</v>
      </c>
      <c r="K1048" s="652" t="s">
        <v>85</v>
      </c>
      <c r="L1048" s="662">
        <v>44597</v>
      </c>
      <c r="M1048" s="670" t="s">
        <v>906</v>
      </c>
      <c r="N1048" s="652" t="s">
        <v>1890</v>
      </c>
      <c r="O1048" s="580"/>
      <c r="P1048" s="670" t="str">
        <f>VLOOKUP(A1048,'[1]Raw data'!$B:$BA,23,FALSE)</f>
        <v>JPY</v>
      </c>
      <c r="Q1048" s="652" t="str">
        <f>VLOOKUP(A1048,'[1]Raw data'!$B:$Z,2,FALSE)</f>
        <v>C49SZX20210203EC</v>
      </c>
      <c r="R1048" s="652" t="str">
        <f>VLOOKUP(A1048,'[1]Raw data'!$B:$Z,3,FALSE)</f>
        <v>领德创</v>
      </c>
      <c r="S1048" s="652" t="str">
        <f>VLOOKUP(A1048,'[1]Raw data'!$B:$Z,4,FALSE)</f>
        <v>YSM20R-2</v>
      </c>
      <c r="T1048" s="652" t="str">
        <f>VLOOKUP(A1048,'[1]Raw data'!$B:$Z,8,FALSE)</f>
        <v>L-&gt;R</v>
      </c>
      <c r="U1048" s="652" t="str">
        <f>VLOOKUP(A1048,'[1]Raw data'!$B:$Z,9,FALSE)</f>
        <v>No</v>
      </c>
      <c r="V1048" s="572" t="str">
        <f t="shared" si="216"/>
        <v>OK</v>
      </c>
      <c r="W1048" s="568" t="str">
        <f>VLOOKUP(A1048,'[1]Raw data'!$B:$AG,32,FALSE)</f>
        <v>DAP SZ</v>
      </c>
      <c r="X1048" s="652">
        <f>VLOOKUP(A1048,'[1]Raw data'!$B:$BA,31,FALSE)</f>
        <v>44511</v>
      </c>
      <c r="Y1048" s="652" t="str">
        <f>VLOOKUP(A1048,'[1]Raw data'!$B:$AS,39,FALSE)</f>
        <v>Yes</v>
      </c>
      <c r="Z1048" s="664"/>
      <c r="AA1048" s="665"/>
      <c r="AB1048" s="666"/>
      <c r="AC1048" s="652" t="s">
        <v>2015</v>
      </c>
      <c r="AD1048" s="667">
        <v>302</v>
      </c>
      <c r="AE1048" s="667">
        <v>10</v>
      </c>
      <c r="AF1048" s="667">
        <v>301</v>
      </c>
      <c r="AG1048" s="667">
        <v>10</v>
      </c>
      <c r="AH1048" s="667"/>
      <c r="AI1048" s="668"/>
      <c r="AN1048" s="547"/>
      <c r="AO1048" s="829" t="str">
        <f t="shared" si="202"/>
        <v>Yes</v>
      </c>
      <c r="AP1048" s="259" t="str">
        <f t="shared" si="203"/>
        <v>FEB 22</v>
      </c>
      <c r="AQ1048" s="547" t="str">
        <f t="shared" si="204"/>
        <v>有定金+有預留客戶</v>
      </c>
      <c r="AR1048" s="259" t="str">
        <f t="shared" si="205"/>
        <v>Shipped_Stock</v>
      </c>
      <c r="AS1048" s="259" t="str">
        <f t="shared" si="206"/>
        <v/>
      </c>
      <c r="AT1048" s="259" t="str">
        <f t="shared" si="207"/>
        <v>领德创</v>
      </c>
      <c r="AU1048" s="259" t="str">
        <f t="shared" si="208"/>
        <v>C49SZX20210203EC</v>
      </c>
      <c r="AV1048" s="259" t="str">
        <f t="shared" si="209"/>
        <v>Feb-05</v>
      </c>
    </row>
    <row r="1049" spans="1:48" ht="27" hidden="1" customHeight="1">
      <c r="A1049" s="564">
        <v>1579</v>
      </c>
      <c r="B1049" s="669" t="s">
        <v>1125</v>
      </c>
      <c r="C1049" s="669" t="s">
        <v>15</v>
      </c>
      <c r="D1049" s="766">
        <v>110734</v>
      </c>
      <c r="E1049" s="651" t="s">
        <v>2017</v>
      </c>
      <c r="F1049" s="652" t="s">
        <v>58</v>
      </c>
      <c r="G1049" s="652" t="s">
        <v>24</v>
      </c>
      <c r="H1049" s="652" t="s">
        <v>102</v>
      </c>
      <c r="I1049" s="580" t="s">
        <v>2018</v>
      </c>
      <c r="J1049" s="580">
        <v>1</v>
      </c>
      <c r="K1049" s="652" t="s">
        <v>85</v>
      </c>
      <c r="L1049" s="662">
        <v>44600</v>
      </c>
      <c r="M1049" s="581" t="s">
        <v>2019</v>
      </c>
      <c r="N1049" s="568" t="s">
        <v>1982</v>
      </c>
      <c r="O1049" s="580">
        <v>2022.1</v>
      </c>
      <c r="P1049" s="670" t="str">
        <f>VLOOKUP(A1049,'[1]Raw data'!$B:$BA,23,FALSE)</f>
        <v>JPY</v>
      </c>
      <c r="Q1049" s="652" t="str">
        <f>VLOOKUP(A1049,'[1]Raw data'!$B:$Z,2,FALSE)</f>
        <v>C49SZX20220016JL</v>
      </c>
      <c r="R1049" s="652" t="str">
        <f>VLOOKUP(A1049,'[1]Raw data'!$B:$Z,3,FALSE)</f>
        <v>伯莱科</v>
      </c>
      <c r="S1049" s="652" t="str">
        <f>VLOOKUP(A1049,'[1]Raw data'!$B:$Z,4,FALSE)</f>
        <v>YSM20R-2</v>
      </c>
      <c r="T1049" s="652" t="str">
        <f>VLOOKUP(A1049,'[1]Raw data'!$B:$Z,8,FALSE)</f>
        <v>L-&gt;R</v>
      </c>
      <c r="U1049" s="652" t="str">
        <f>VLOOKUP(A1049,'[1]Raw data'!$B:$Z,9,FALSE)</f>
        <v>No</v>
      </c>
      <c r="V1049" s="572" t="str">
        <f t="shared" ref="V1049:V1053" si="217">IF(G1049&amp;H1049=T1049&amp;U1049,"OK","WRONG")</f>
        <v>WRONG</v>
      </c>
      <c r="W1049" s="568" t="str">
        <f>VLOOKUP(A1049,'[1]Raw data'!$B:$AG,32,FALSE)</f>
        <v>DAP SZ</v>
      </c>
      <c r="X1049" s="652">
        <f>VLOOKUP(A1049,'[1]Raw data'!$B:$BA,31,FALSE)</f>
        <v>44607</v>
      </c>
      <c r="Y1049" s="652" t="str">
        <f>VLOOKUP(A1049,'[1]Raw data'!$B:$AS,39,FALSE)</f>
        <v>Yes</v>
      </c>
      <c r="Z1049" s="664"/>
      <c r="AA1049" s="665"/>
      <c r="AB1049" s="666"/>
      <c r="AC1049" s="652" t="s">
        <v>1109</v>
      </c>
      <c r="AD1049" s="667">
        <v>301</v>
      </c>
      <c r="AE1049" s="667">
        <v>10</v>
      </c>
      <c r="AF1049" s="667">
        <v>303</v>
      </c>
      <c r="AG1049" s="667">
        <v>10</v>
      </c>
      <c r="AH1049" s="667"/>
      <c r="AI1049" s="668"/>
      <c r="AN1049" s="547"/>
      <c r="AO1049" s="829" t="str">
        <f t="shared" si="202"/>
        <v>Yes</v>
      </c>
      <c r="AP1049" s="259" t="str">
        <f t="shared" si="203"/>
        <v>JUN 22</v>
      </c>
      <c r="AQ1049" s="547" t="str">
        <f t="shared" si="204"/>
        <v>有定金+有預留客戶</v>
      </c>
      <c r="AR1049" s="259" t="str">
        <f t="shared" si="205"/>
        <v>Shipped_Stock</v>
      </c>
      <c r="AS1049" s="259" t="str">
        <f t="shared" si="206"/>
        <v/>
      </c>
      <c r="AT1049" s="259" t="str">
        <f t="shared" si="207"/>
        <v>伯莱科</v>
      </c>
      <c r="AU1049" s="259" t="str">
        <f t="shared" si="208"/>
        <v>C49SZX20220016JL</v>
      </c>
      <c r="AV1049" s="259" t="str">
        <f t="shared" si="209"/>
        <v>Feb-08</v>
      </c>
    </row>
    <row r="1050" spans="1:48" hidden="1">
      <c r="A1050" s="564">
        <v>1531</v>
      </c>
      <c r="B1050" s="669" t="s">
        <v>1125</v>
      </c>
      <c r="C1050" s="669" t="s">
        <v>15</v>
      </c>
      <c r="D1050" s="760">
        <v>110731</v>
      </c>
      <c r="E1050" s="651" t="s">
        <v>2020</v>
      </c>
      <c r="F1050" s="652" t="s">
        <v>58</v>
      </c>
      <c r="G1050" s="652" t="s">
        <v>18</v>
      </c>
      <c r="H1050" s="652" t="s">
        <v>26</v>
      </c>
      <c r="I1050" s="580" t="s">
        <v>2021</v>
      </c>
      <c r="J1050" s="580">
        <v>1</v>
      </c>
      <c r="K1050" s="652" t="s">
        <v>1732</v>
      </c>
      <c r="L1050" s="662">
        <v>44600</v>
      </c>
      <c r="M1050" s="670" t="s">
        <v>906</v>
      </c>
      <c r="N1050" s="652" t="s">
        <v>1890</v>
      </c>
      <c r="O1050" s="580"/>
      <c r="P1050" s="670" t="str">
        <f>VLOOKUP(A1050,'[1]Raw data'!$B:$BA,23,FALSE)</f>
        <v>JPY</v>
      </c>
      <c r="Q1050" s="652" t="str">
        <f>VLOOKUP(A1050,'[1]Raw data'!$B:$Z,2,FALSE)</f>
        <v>C49SZX20210223MZR1</v>
      </c>
      <c r="R1050" s="652" t="str">
        <f>VLOOKUP(A1050,'[1]Raw data'!$B:$Z,3,FALSE)</f>
        <v>东莞鸿楠</v>
      </c>
      <c r="S1050" s="652" t="str">
        <f>VLOOKUP(A1050,'[1]Raw data'!$B:$Z,4,FALSE)</f>
        <v>YSM20R-2</v>
      </c>
      <c r="T1050" s="652" t="str">
        <f>VLOOKUP(A1050,'[1]Raw data'!$B:$Z,8,FALSE)</f>
        <v>R-&gt;L</v>
      </c>
      <c r="U1050" s="652" t="str">
        <f>VLOOKUP(A1050,'[1]Raw data'!$B:$Z,9,FALSE)</f>
        <v>No</v>
      </c>
      <c r="V1050" s="572" t="str">
        <f t="shared" si="217"/>
        <v>OK</v>
      </c>
      <c r="W1050" s="568" t="str">
        <f>VLOOKUP(A1050,'[1]Raw data'!$B:$AG,32,FALSE)</f>
        <v>CIF  HK</v>
      </c>
      <c r="X1050" s="652">
        <f>VLOOKUP(A1050,'[1]Raw data'!$B:$BA,31,FALSE)</f>
        <v>45120</v>
      </c>
      <c r="Y1050" s="652" t="str">
        <f>VLOOKUP(A1050,'[1]Raw data'!$B:$AS,39,FALSE)</f>
        <v>Yes</v>
      </c>
      <c r="Z1050" s="664"/>
      <c r="AA1050" s="665"/>
      <c r="AB1050" s="666"/>
      <c r="AC1050" s="652" t="s">
        <v>2022</v>
      </c>
      <c r="AD1050" s="667">
        <v>301</v>
      </c>
      <c r="AE1050" s="667">
        <v>10</v>
      </c>
      <c r="AF1050" s="667">
        <v>302</v>
      </c>
      <c r="AG1050" s="667">
        <v>10</v>
      </c>
      <c r="AH1050" s="667"/>
      <c r="AI1050" s="668"/>
      <c r="AN1050" s="547"/>
      <c r="AO1050" s="829" t="str">
        <f t="shared" si="202"/>
        <v>Yes</v>
      </c>
      <c r="AP1050" s="259" t="str">
        <f t="shared" si="203"/>
        <v>FEB 22</v>
      </c>
      <c r="AQ1050" s="547" t="str">
        <f t="shared" si="204"/>
        <v>有定金+有預留客戶</v>
      </c>
      <c r="AR1050" s="259" t="str">
        <f t="shared" si="205"/>
        <v>Shipped_Stock</v>
      </c>
      <c r="AS1050" s="259" t="str">
        <f t="shared" si="206"/>
        <v/>
      </c>
      <c r="AT1050" s="259" t="str">
        <f t="shared" si="207"/>
        <v>东莞鸿楠</v>
      </c>
      <c r="AU1050" s="259" t="str">
        <f t="shared" si="208"/>
        <v>C49SZX20210223MZR1</v>
      </c>
      <c r="AV1050" s="259" t="str">
        <f t="shared" si="209"/>
        <v>Feb-08</v>
      </c>
    </row>
    <row r="1051" spans="1:48" hidden="1">
      <c r="A1051" s="564">
        <v>1499</v>
      </c>
      <c r="B1051" s="669" t="s">
        <v>1125</v>
      </c>
      <c r="C1051" s="669" t="s">
        <v>15</v>
      </c>
      <c r="D1051" s="760">
        <v>110689</v>
      </c>
      <c r="E1051" s="741" t="s">
        <v>1994</v>
      </c>
      <c r="F1051" s="652" t="s">
        <v>17</v>
      </c>
      <c r="G1051" s="652" t="s">
        <v>18</v>
      </c>
      <c r="H1051" s="652" t="s">
        <v>48</v>
      </c>
      <c r="I1051" s="580" t="s">
        <v>2023</v>
      </c>
      <c r="J1051" s="580">
        <v>1</v>
      </c>
      <c r="K1051" s="652" t="s">
        <v>85</v>
      </c>
      <c r="L1051" s="662">
        <v>44600</v>
      </c>
      <c r="M1051" s="670" t="s">
        <v>906</v>
      </c>
      <c r="N1051" s="652" t="s">
        <v>1890</v>
      </c>
      <c r="O1051" s="580"/>
      <c r="P1051" s="670" t="str">
        <f>VLOOKUP(A1051,'[1]Raw data'!$B:$BA,23,FALSE)</f>
        <v>JPY</v>
      </c>
      <c r="Q1051" s="652" t="str">
        <f>VLOOKUP(A1051,'[1]Raw data'!$B:$Z,2,FALSE)</f>
        <v>C49SZX20210203EC</v>
      </c>
      <c r="R1051" s="652" t="str">
        <f>VLOOKUP(A1051,'[1]Raw data'!$B:$Z,3,FALSE)</f>
        <v>领德创</v>
      </c>
      <c r="S1051" s="652" t="str">
        <f>VLOOKUP(A1051,'[1]Raw data'!$B:$Z,4,FALSE)</f>
        <v>YSM10</v>
      </c>
      <c r="T1051" s="652" t="str">
        <f>VLOOKUP(A1051,'[1]Raw data'!$B:$Z,8,FALSE)</f>
        <v>L-&gt;R</v>
      </c>
      <c r="U1051" s="652" t="str">
        <f>VLOOKUP(A1051,'[1]Raw data'!$B:$Z,9,FALSE)</f>
        <v>MVC+ATS15</v>
      </c>
      <c r="V1051" s="572" t="str">
        <f t="shared" si="217"/>
        <v>WRONG</v>
      </c>
      <c r="W1051" s="568" t="str">
        <f>VLOOKUP(A1051,'[1]Raw data'!$B:$AG,32,FALSE)</f>
        <v>DAP SZ</v>
      </c>
      <c r="X1051" s="652">
        <f>VLOOKUP(A1051,'[1]Raw data'!$B:$BA,31,FALSE)</f>
        <v>44511</v>
      </c>
      <c r="Y1051" s="652" t="str">
        <f>VLOOKUP(A1051,'[1]Raw data'!$B:$AS,39,FALSE)</f>
        <v>Yes</v>
      </c>
      <c r="Z1051" s="664"/>
      <c r="AA1051" s="665"/>
      <c r="AB1051" s="666"/>
      <c r="AC1051" s="652" t="s">
        <v>1951</v>
      </c>
      <c r="AD1051" s="667">
        <v>302</v>
      </c>
      <c r="AE1051" s="667">
        <v>10</v>
      </c>
      <c r="AF1051" s="667"/>
      <c r="AG1051" s="667"/>
      <c r="AH1051" s="667"/>
      <c r="AI1051" s="668"/>
      <c r="AN1051" s="547"/>
      <c r="AO1051" s="829" t="str">
        <f t="shared" si="202"/>
        <v>Yes</v>
      </c>
      <c r="AP1051" s="259" t="str">
        <f t="shared" si="203"/>
        <v>FEB 22</v>
      </c>
      <c r="AQ1051" s="547" t="str">
        <f t="shared" si="204"/>
        <v>有定金+有預留客戶</v>
      </c>
      <c r="AR1051" s="259" t="str">
        <f t="shared" si="205"/>
        <v>Shipped_Stock</v>
      </c>
      <c r="AS1051" s="259" t="str">
        <f t="shared" si="206"/>
        <v/>
      </c>
      <c r="AT1051" s="259" t="str">
        <f t="shared" si="207"/>
        <v>领德创</v>
      </c>
      <c r="AU1051" s="259" t="str">
        <f t="shared" si="208"/>
        <v>C49SZX20210203EC</v>
      </c>
      <c r="AV1051" s="259" t="str">
        <f t="shared" si="209"/>
        <v>Feb-08</v>
      </c>
    </row>
    <row r="1052" spans="1:48" ht="13.5" hidden="1" thickBot="1">
      <c r="A1052" s="604">
        <v>1564</v>
      </c>
      <c r="B1052" s="669" t="s">
        <v>1125</v>
      </c>
      <c r="C1052" s="669" t="s">
        <v>15</v>
      </c>
      <c r="D1052" s="629">
        <v>110690</v>
      </c>
      <c r="E1052" s="741" t="s">
        <v>2024</v>
      </c>
      <c r="F1052" s="652" t="s">
        <v>17</v>
      </c>
      <c r="G1052" s="652" t="s">
        <v>18</v>
      </c>
      <c r="H1052" s="652" t="s">
        <v>48</v>
      </c>
      <c r="I1052" s="580" t="s">
        <v>2025</v>
      </c>
      <c r="J1052" s="580">
        <v>1</v>
      </c>
      <c r="K1052" s="652" t="s">
        <v>1732</v>
      </c>
      <c r="L1052" s="662">
        <v>44600</v>
      </c>
      <c r="M1052" s="670" t="s">
        <v>906</v>
      </c>
      <c r="N1052" s="652" t="s">
        <v>1903</v>
      </c>
      <c r="O1052" s="580">
        <v>2022.1</v>
      </c>
      <c r="P1052" s="670" t="str">
        <f>VLOOKUP(A1052,'[1]Raw data'!$B:$BA,23,FALSE)</f>
        <v>JPY</v>
      </c>
      <c r="Q1052" s="652" t="str">
        <f>VLOOKUP(A1052,'[1]Raw data'!$B:$Z,2,FALSE)</f>
        <v>C49SZX20220003EC</v>
      </c>
      <c r="R1052" s="652" t="str">
        <f>VLOOKUP(A1052,'[1]Raw data'!$B:$Z,3,FALSE)</f>
        <v>海红天远</v>
      </c>
      <c r="S1052" s="652" t="str">
        <f>VLOOKUP(A1052,'[1]Raw data'!$B:$Z,4,FALSE)</f>
        <v>YSM10</v>
      </c>
      <c r="T1052" s="652" t="str">
        <f>VLOOKUP(A1052,'[1]Raw data'!$B:$Z,8,FALSE)</f>
        <v>L-&gt;R</v>
      </c>
      <c r="U1052" s="652" t="str">
        <f>VLOOKUP(A1052,'[1]Raw data'!$B:$Z,9,FALSE)</f>
        <v>MVC+ATS15</v>
      </c>
      <c r="V1052" s="572" t="str">
        <f t="shared" si="217"/>
        <v>WRONG</v>
      </c>
      <c r="W1052" s="568" t="str">
        <f>VLOOKUP(A1052,'[1]Raw data'!$B:$AG,32,FALSE)</f>
        <v>CIF HK</v>
      </c>
      <c r="X1052" s="652">
        <f>VLOOKUP(A1052,'[1]Raw data'!$B:$BA,31,FALSE)</f>
        <v>44585</v>
      </c>
      <c r="Y1052" s="652" t="str">
        <f>VLOOKUP(A1052,'[1]Raw data'!$B:$AS,39,FALSE)</f>
        <v>Yes</v>
      </c>
      <c r="Z1052" s="664"/>
      <c r="AA1052" s="665"/>
      <c r="AB1052" s="666"/>
      <c r="AC1052" s="652" t="s">
        <v>1079</v>
      </c>
      <c r="AD1052" s="580">
        <v>302</v>
      </c>
      <c r="AE1052" s="580">
        <v>10</v>
      </c>
      <c r="AF1052" s="580"/>
      <c r="AG1052" s="580"/>
      <c r="AH1052" s="580"/>
      <c r="AI1052" s="684"/>
      <c r="AJ1052" s="569"/>
      <c r="AK1052" s="569"/>
      <c r="AL1052" s="569"/>
      <c r="AM1052" s="569"/>
      <c r="AN1052" s="619"/>
      <c r="AO1052" s="829" t="str">
        <f t="shared" si="202"/>
        <v>Yes</v>
      </c>
      <c r="AP1052" s="259" t="str">
        <f t="shared" si="203"/>
        <v>MAY 22</v>
      </c>
      <c r="AQ1052" s="547" t="str">
        <f t="shared" si="204"/>
        <v>有定金+有預留客戶</v>
      </c>
      <c r="AR1052" s="259" t="str">
        <f t="shared" si="205"/>
        <v>Shipped_Stock</v>
      </c>
      <c r="AS1052" s="259" t="str">
        <f t="shared" si="206"/>
        <v/>
      </c>
      <c r="AT1052" s="259" t="str">
        <f t="shared" si="207"/>
        <v>海红天远</v>
      </c>
      <c r="AU1052" s="259" t="str">
        <f t="shared" si="208"/>
        <v>C49SZX20220003EC</v>
      </c>
      <c r="AV1052" s="259" t="str">
        <f t="shared" si="209"/>
        <v>Feb-08</v>
      </c>
    </row>
    <row r="1053" spans="1:48" hidden="1">
      <c r="A1053" s="564">
        <v>1474</v>
      </c>
      <c r="B1053" s="669" t="s">
        <v>1125</v>
      </c>
      <c r="C1053" s="669" t="s">
        <v>281</v>
      </c>
      <c r="D1053" s="766">
        <v>110630</v>
      </c>
      <c r="E1053" s="741" t="s">
        <v>1811</v>
      </c>
      <c r="F1053" s="652" t="s">
        <v>2026</v>
      </c>
      <c r="G1053" s="652" t="s">
        <v>24</v>
      </c>
      <c r="H1053" s="652" t="s">
        <v>26</v>
      </c>
      <c r="I1053" s="580" t="s">
        <v>2027</v>
      </c>
      <c r="J1053" s="580">
        <v>1</v>
      </c>
      <c r="K1053" s="652" t="s">
        <v>1419</v>
      </c>
      <c r="L1053" s="662">
        <v>44600</v>
      </c>
      <c r="M1053" s="670" t="s">
        <v>906</v>
      </c>
      <c r="N1053" s="652" t="s">
        <v>1890</v>
      </c>
      <c r="O1053" s="580"/>
      <c r="P1053" s="670" t="str">
        <f>VLOOKUP(A1053,'[1]Raw data'!$B:$BA,23,FALSE)</f>
        <v>JPY</v>
      </c>
      <c r="Q1053" s="652" t="str">
        <f>VLOOKUP(A1053,'[1]Raw data'!$B:$Z,2,FALSE)</f>
        <v>C49SZX20210189DZ</v>
      </c>
      <c r="R1053" s="652" t="str">
        <f>VLOOKUP(A1053,'[1]Raw data'!$B:$Z,3,FALSE)</f>
        <v>长沙健科</v>
      </c>
      <c r="S1053" s="652" t="str">
        <f>VLOOKUP(A1053,'[1]Raw data'!$B:$Z,4,FALSE)</f>
        <v>YRH10</v>
      </c>
      <c r="T1053" s="652" t="str">
        <f>VLOOKUP(A1053,'[1]Raw data'!$B:$Z,8,FALSE)</f>
        <v>L-&gt;R</v>
      </c>
      <c r="U1053" s="652" t="str">
        <f>VLOOKUP(A1053,'[1]Raw data'!$B:$Z,9,FALSE)</f>
        <v>No</v>
      </c>
      <c r="V1053" s="572" t="str">
        <f t="shared" si="217"/>
        <v>OK</v>
      </c>
      <c r="W1053" s="568" t="str">
        <f>VLOOKUP(A1053,'[1]Raw data'!$B:$AG,32,FALSE)</f>
        <v>DAP CS</v>
      </c>
      <c r="X1053" s="652">
        <f>VLOOKUP(A1053,'[1]Raw data'!$B:$BA,31,FALSE)</f>
        <v>44447</v>
      </c>
      <c r="Y1053" s="652" t="str">
        <f>VLOOKUP(A1053,'[1]Raw data'!$B:$AS,39,FALSE)</f>
        <v>Yes</v>
      </c>
      <c r="Z1053" s="664"/>
      <c r="AA1053" s="665"/>
      <c r="AB1053" s="666"/>
      <c r="AC1053" s="652" t="s">
        <v>1951</v>
      </c>
      <c r="AD1053" s="667">
        <v>8106</v>
      </c>
      <c r="AE1053" s="667">
        <v>2</v>
      </c>
      <c r="AF1053" s="667">
        <v>8107</v>
      </c>
      <c r="AG1053" s="667">
        <v>2</v>
      </c>
      <c r="AH1053" s="667">
        <v>8108</v>
      </c>
      <c r="AI1053" s="668">
        <v>5</v>
      </c>
      <c r="AJ1053" s="576">
        <v>8151</v>
      </c>
      <c r="AK1053" s="576">
        <v>1</v>
      </c>
      <c r="AN1053" s="547"/>
      <c r="AO1053" s="829" t="str">
        <f t="shared" si="202"/>
        <v>Yes</v>
      </c>
      <c r="AP1053" s="259" t="str">
        <f t="shared" si="203"/>
        <v>FEB 22</v>
      </c>
      <c r="AQ1053" s="547" t="str">
        <f t="shared" si="204"/>
        <v>有定金+有預留客戶</v>
      </c>
      <c r="AR1053" s="259" t="str">
        <f t="shared" si="205"/>
        <v>Shipped_Stock</v>
      </c>
      <c r="AS1053" s="259" t="str">
        <f t="shared" si="206"/>
        <v/>
      </c>
      <c r="AT1053" s="259" t="str">
        <f t="shared" si="207"/>
        <v>长沙健科</v>
      </c>
      <c r="AU1053" s="259" t="str">
        <f t="shared" si="208"/>
        <v>C49SZX20210189DZ</v>
      </c>
      <c r="AV1053" s="259" t="str">
        <f t="shared" si="209"/>
        <v>Feb-08</v>
      </c>
    </row>
    <row r="1054" spans="1:48" hidden="1">
      <c r="A1054" s="564">
        <v>1591</v>
      </c>
      <c r="B1054" s="669" t="s">
        <v>1125</v>
      </c>
      <c r="C1054" s="669" t="s">
        <v>15</v>
      </c>
      <c r="D1054" s="760">
        <v>110691</v>
      </c>
      <c r="E1054" s="741" t="s">
        <v>2028</v>
      </c>
      <c r="F1054" s="652" t="s">
        <v>17</v>
      </c>
      <c r="G1054" s="652" t="s">
        <v>18</v>
      </c>
      <c r="H1054" s="652" t="s">
        <v>48</v>
      </c>
      <c r="I1054" s="580" t="s">
        <v>2029</v>
      </c>
      <c r="J1054" s="580">
        <v>1</v>
      </c>
      <c r="K1054" s="652" t="s">
        <v>78</v>
      </c>
      <c r="L1054" s="662">
        <v>44600</v>
      </c>
      <c r="M1054" s="670" t="s">
        <v>906</v>
      </c>
      <c r="N1054" s="652" t="s">
        <v>1903</v>
      </c>
      <c r="O1054" s="580">
        <v>2022.1</v>
      </c>
      <c r="P1054" s="670" t="str">
        <f>VLOOKUP(A1054,'[1]Raw data'!$B:$BA,23,FALSE)</f>
        <v>JPY</v>
      </c>
      <c r="Q1054" s="652" t="str">
        <f>VLOOKUP(A1054,'[1]Raw data'!$B:$Z,2,FALSE)</f>
        <v>C49SZX20220013DZ</v>
      </c>
      <c r="R1054" s="652" t="str">
        <f>VLOOKUP(A1054,'[1]Raw data'!$B:$Z,3,FALSE)</f>
        <v>朗特</v>
      </c>
      <c r="S1054" s="652" t="str">
        <f>VLOOKUP(A1054,'[1]Raw data'!$B:$Z,4,FALSE)</f>
        <v>YSM10</v>
      </c>
      <c r="T1054" s="652" t="str">
        <f>VLOOKUP(A1054,'[1]Raw data'!$B:$Z,8,FALSE)</f>
        <v>R-&gt;L</v>
      </c>
      <c r="U1054" s="652" t="str">
        <f>VLOOKUP(A1054,'[1]Raw data'!$B:$Z,9,FALSE)</f>
        <v>MVC+ATS15</v>
      </c>
      <c r="V1054" s="572" t="str">
        <f t="shared" ref="V1054:V1055" si="218">IF(G1054&amp;H1054=T1054&amp;U1054,"OK","WRONG")</f>
        <v>WRONG</v>
      </c>
      <c r="W1054" s="568" t="str">
        <f>VLOOKUP(A1054,'[1]Raw data'!$B:$AG,32,FALSE)</f>
        <v>CIF HK</v>
      </c>
      <c r="X1054" s="652">
        <f>VLOOKUP(A1054,'[1]Raw data'!$B:$BA,31,FALSE)</f>
        <v>44614</v>
      </c>
      <c r="Y1054" s="652" t="str">
        <f>VLOOKUP(A1054,'[1]Raw data'!$B:$AS,39,FALSE)</f>
        <v>Yes</v>
      </c>
      <c r="Z1054" s="664"/>
      <c r="AA1054" s="665"/>
      <c r="AB1054" s="666"/>
      <c r="AC1054" s="652" t="s">
        <v>1005</v>
      </c>
      <c r="AD1054" s="667">
        <v>302</v>
      </c>
      <c r="AE1054" s="667">
        <v>10</v>
      </c>
      <c r="AF1054" s="667"/>
      <c r="AG1054" s="667"/>
      <c r="AH1054" s="667"/>
      <c r="AI1054" s="668"/>
      <c r="AN1054" s="547"/>
      <c r="AO1054" s="829" t="str">
        <f t="shared" si="202"/>
        <v>Yes</v>
      </c>
      <c r="AP1054" s="259" t="str">
        <f t="shared" si="203"/>
        <v>MAY 22</v>
      </c>
      <c r="AQ1054" s="547" t="str">
        <f t="shared" si="204"/>
        <v>有定金+有預留客戶</v>
      </c>
      <c r="AR1054" s="259" t="str">
        <f t="shared" si="205"/>
        <v>Shipped_Stock</v>
      </c>
      <c r="AS1054" s="259" t="str">
        <f t="shared" si="206"/>
        <v/>
      </c>
      <c r="AT1054" s="259" t="str">
        <f t="shared" si="207"/>
        <v>朗特</v>
      </c>
      <c r="AU1054" s="259" t="str">
        <f t="shared" si="208"/>
        <v>C49SZX20220013DZ</v>
      </c>
      <c r="AV1054" s="259" t="str">
        <f t="shared" si="209"/>
        <v>Feb-08</v>
      </c>
    </row>
    <row r="1055" spans="1:48" ht="17.25" hidden="1" thickBot="1">
      <c r="A1055" s="564">
        <v>1248</v>
      </c>
      <c r="B1055" s="770" t="s">
        <v>2030</v>
      </c>
      <c r="C1055" s="669" t="s">
        <v>15</v>
      </c>
      <c r="D1055" s="629">
        <v>110692</v>
      </c>
      <c r="E1055" s="741" t="s">
        <v>2031</v>
      </c>
      <c r="F1055" s="652" t="s">
        <v>17</v>
      </c>
      <c r="G1055" s="652" t="s">
        <v>18</v>
      </c>
      <c r="H1055" s="652" t="s">
        <v>1919</v>
      </c>
      <c r="I1055" s="580" t="s">
        <v>2032</v>
      </c>
      <c r="J1055" s="580">
        <v>1</v>
      </c>
      <c r="K1055" s="652" t="s">
        <v>1732</v>
      </c>
      <c r="L1055" s="662">
        <v>44600</v>
      </c>
      <c r="M1055" s="670" t="s">
        <v>906</v>
      </c>
      <c r="N1055" s="652" t="s">
        <v>1890</v>
      </c>
      <c r="O1055" s="580"/>
      <c r="P1055" s="670" t="str">
        <f>VLOOKUP(A1055,'[1]Raw data'!$B:$BA,23,FALSE)</f>
        <v>JPY</v>
      </c>
      <c r="Q1055" s="652" t="str">
        <f>VLOOKUP(A1055,'[1]Raw data'!$B:$Z,2,FALSE)</f>
        <v>C49SZX20210072SS</v>
      </c>
      <c r="R1055" s="652" t="str">
        <f>VLOOKUP(A1055,'[1]Raw data'!$B:$Z,3,FALSE)</f>
        <v>祥弘瑞</v>
      </c>
      <c r="S1055" s="652" t="str">
        <f>VLOOKUP(A1055,'[1]Raw data'!$B:$Z,4,FALSE)</f>
        <v>YSM10</v>
      </c>
      <c r="T1055" s="652" t="str">
        <f>VLOOKUP(A1055,'[1]Raw data'!$B:$Z,8,FALSE)</f>
        <v>L-&gt;R</v>
      </c>
      <c r="U1055" s="652" t="str">
        <f>VLOOKUP(A1055,'[1]Raw data'!$B:$Z,9,FALSE)</f>
        <v>MVC</v>
      </c>
      <c r="V1055" s="572" t="str">
        <f t="shared" si="218"/>
        <v>WRONG</v>
      </c>
      <c r="W1055" s="568" t="str">
        <f>VLOOKUP(A1055,'[1]Raw data'!$B:$AG,32,FALSE)</f>
        <v>DAP SZ</v>
      </c>
      <c r="X1055" s="652">
        <f>VLOOKUP(A1055,'[1]Raw data'!$B:$BA,31,FALSE)</f>
        <v>44266</v>
      </c>
      <c r="Y1055" s="652" t="str">
        <f>VLOOKUP(A1055,'[1]Raw data'!$B:$AS,39,FALSE)</f>
        <v>Yes</v>
      </c>
      <c r="Z1055" s="664"/>
      <c r="AA1055" s="665"/>
      <c r="AB1055" s="666"/>
      <c r="AC1055" s="652" t="s">
        <v>1951</v>
      </c>
      <c r="AD1055" s="667">
        <v>301</v>
      </c>
      <c r="AE1055" s="667">
        <v>10</v>
      </c>
      <c r="AF1055" s="667"/>
      <c r="AG1055" s="667"/>
      <c r="AH1055" s="667"/>
      <c r="AI1055" s="668"/>
      <c r="AN1055" s="547"/>
      <c r="AO1055" s="829" t="str">
        <f t="shared" si="202"/>
        <v>Yes</v>
      </c>
      <c r="AP1055" s="259" t="str">
        <f t="shared" si="203"/>
        <v>FEB 22</v>
      </c>
      <c r="AQ1055" s="547" t="str">
        <f t="shared" si="204"/>
        <v>有定金+有預留客戶</v>
      </c>
      <c r="AR1055" s="259" t="str">
        <f t="shared" si="205"/>
        <v>Shipped_Stock</v>
      </c>
      <c r="AS1055" s="259" t="str">
        <f t="shared" si="206"/>
        <v/>
      </c>
      <c r="AT1055" s="259" t="str">
        <f t="shared" si="207"/>
        <v>祥弘瑞</v>
      </c>
      <c r="AU1055" s="259" t="str">
        <f t="shared" si="208"/>
        <v>C49SZX20210072SS</v>
      </c>
      <c r="AV1055" s="259" t="str">
        <f t="shared" si="209"/>
        <v>Feb-08</v>
      </c>
    </row>
    <row r="1056" spans="1:48" hidden="1">
      <c r="A1056" s="604">
        <v>1506</v>
      </c>
      <c r="B1056" s="669" t="s">
        <v>1125</v>
      </c>
      <c r="C1056" s="669" t="s">
        <v>15</v>
      </c>
      <c r="D1056" s="766">
        <v>110726</v>
      </c>
      <c r="E1056" s="651" t="s">
        <v>2033</v>
      </c>
      <c r="F1056" s="652" t="s">
        <v>17</v>
      </c>
      <c r="G1056" s="652" t="s">
        <v>18</v>
      </c>
      <c r="H1056" s="652" t="s">
        <v>48</v>
      </c>
      <c r="I1056" s="580" t="s">
        <v>2034</v>
      </c>
      <c r="J1056" s="580">
        <v>1</v>
      </c>
      <c r="K1056" s="652" t="s">
        <v>1732</v>
      </c>
      <c r="L1056" s="662">
        <v>44613</v>
      </c>
      <c r="M1056" s="670" t="s">
        <v>906</v>
      </c>
      <c r="N1056" s="652" t="s">
        <v>1828</v>
      </c>
      <c r="O1056" s="580">
        <v>2022.1</v>
      </c>
      <c r="P1056" s="670" t="str">
        <f>VLOOKUP(A1056,'[1]Raw data'!$B:$BA,23,FALSE)</f>
        <v>JPY</v>
      </c>
      <c r="Q1056" s="652" t="str">
        <f>VLOOKUP(A1056,'[1]Raw data'!$B:$Z,2,FALSE)</f>
        <v>C49SZX20210103MZ</v>
      </c>
      <c r="R1056" s="652" t="str">
        <f>VLOOKUP(A1056,'[1]Raw data'!$B:$Z,3,FALSE)</f>
        <v>河南融创</v>
      </c>
      <c r="S1056" s="652" t="str">
        <f>VLOOKUP(A1056,'[1]Raw data'!$B:$Z,4,FALSE)</f>
        <v>YSM10</v>
      </c>
      <c r="T1056" s="652" t="str">
        <f>VLOOKUP(A1056,'[1]Raw data'!$B:$Z,8,FALSE)</f>
        <v>L-&gt;R</v>
      </c>
      <c r="U1056" s="652" t="str">
        <f>VLOOKUP(A1056,'[1]Raw data'!$B:$Z,9,FALSE)</f>
        <v>MVC+ATS15</v>
      </c>
      <c r="V1056" s="572" t="str">
        <f t="shared" ref="V1056:V1063" si="219">IF(G1056&amp;H1056=T1056&amp;U1056,"OK","WRONG")</f>
        <v>WRONG</v>
      </c>
      <c r="W1056" s="568" t="str">
        <f>VLOOKUP(A1056,'[1]Raw data'!$B:$AG,32,FALSE)</f>
        <v>CIF HK</v>
      </c>
      <c r="X1056" s="652">
        <f>VLOOKUP(A1056,'[1]Raw data'!$B:$BA,31,FALSE)</f>
        <v>44524</v>
      </c>
      <c r="Y1056" s="652" t="str">
        <f>VLOOKUP(A1056,'[1]Raw data'!$B:$AS,39,FALSE)</f>
        <v>Yes</v>
      </c>
      <c r="Z1056" s="671"/>
      <c r="AA1056" s="665"/>
      <c r="AB1056" s="666"/>
      <c r="AC1056" s="652" t="s">
        <v>1829</v>
      </c>
      <c r="AD1056" s="580">
        <v>302</v>
      </c>
      <c r="AE1056" s="580">
        <v>10</v>
      </c>
      <c r="AF1056" s="580"/>
      <c r="AG1056" s="580"/>
      <c r="AH1056" s="580"/>
      <c r="AI1056" s="684"/>
      <c r="AJ1056" s="569"/>
      <c r="AK1056" s="569"/>
      <c r="AL1056" s="569"/>
      <c r="AM1056" s="569"/>
      <c r="AN1056" s="619"/>
      <c r="AO1056" s="829" t="str">
        <f t="shared" si="202"/>
        <v>Yes</v>
      </c>
      <c r="AP1056" s="259" t="str">
        <f t="shared" si="203"/>
        <v>MAR 22</v>
      </c>
      <c r="AQ1056" s="547" t="str">
        <f t="shared" si="204"/>
        <v>有定金+有預留客戶</v>
      </c>
      <c r="AR1056" s="259" t="str">
        <f t="shared" si="205"/>
        <v>Shipped_Stock</v>
      </c>
      <c r="AS1056" s="259" t="str">
        <f t="shared" si="206"/>
        <v/>
      </c>
      <c r="AT1056" s="259" t="str">
        <f t="shared" si="207"/>
        <v>河南融创</v>
      </c>
      <c r="AU1056" s="259" t="str">
        <f t="shared" si="208"/>
        <v>C49SZX20210103MZ</v>
      </c>
      <c r="AV1056" s="259" t="str">
        <f t="shared" si="209"/>
        <v>Feb-21</v>
      </c>
    </row>
    <row r="1057" spans="1:48" hidden="1">
      <c r="A1057" s="604">
        <v>1507</v>
      </c>
      <c r="B1057" s="669" t="s">
        <v>1125</v>
      </c>
      <c r="C1057" s="669" t="s">
        <v>15</v>
      </c>
      <c r="D1057" s="760">
        <v>110726</v>
      </c>
      <c r="E1057" s="651" t="s">
        <v>2033</v>
      </c>
      <c r="F1057" s="652" t="s">
        <v>17</v>
      </c>
      <c r="G1057" s="652" t="s">
        <v>18</v>
      </c>
      <c r="H1057" s="652" t="s">
        <v>48</v>
      </c>
      <c r="I1057" s="580" t="s">
        <v>2035</v>
      </c>
      <c r="J1057" s="580">
        <v>1</v>
      </c>
      <c r="K1057" s="652" t="s">
        <v>1732</v>
      </c>
      <c r="L1057" s="662">
        <v>44613</v>
      </c>
      <c r="M1057" s="670" t="s">
        <v>906</v>
      </c>
      <c r="N1057" s="652" t="s">
        <v>1903</v>
      </c>
      <c r="O1057" s="580">
        <v>2022.1</v>
      </c>
      <c r="P1057" s="670" t="str">
        <f>VLOOKUP(A1057,'[1]Raw data'!$B:$BA,23,FALSE)</f>
        <v>JPY</v>
      </c>
      <c r="Q1057" s="652" t="str">
        <f>VLOOKUP(A1057,'[1]Raw data'!$B:$Z,2,FALSE)</f>
        <v>C49SZX20210103MZ</v>
      </c>
      <c r="R1057" s="652" t="str">
        <f>VLOOKUP(A1057,'[1]Raw data'!$B:$Z,3,FALSE)</f>
        <v>河南融创</v>
      </c>
      <c r="S1057" s="652" t="str">
        <f>VLOOKUP(A1057,'[1]Raw data'!$B:$Z,4,FALSE)</f>
        <v>YSM10</v>
      </c>
      <c r="T1057" s="652" t="str">
        <f>VLOOKUP(A1057,'[1]Raw data'!$B:$Z,8,FALSE)</f>
        <v>L-&gt;R</v>
      </c>
      <c r="U1057" s="652" t="str">
        <f>VLOOKUP(A1057,'[1]Raw data'!$B:$Z,9,FALSE)</f>
        <v>MVC+ATS15</v>
      </c>
      <c r="V1057" s="572" t="str">
        <f t="shared" si="219"/>
        <v>WRONG</v>
      </c>
      <c r="W1057" s="568" t="str">
        <f>VLOOKUP(A1057,'[1]Raw data'!$B:$AG,32,FALSE)</f>
        <v>CIF HK</v>
      </c>
      <c r="X1057" s="652">
        <f>VLOOKUP(A1057,'[1]Raw data'!$B:$BA,31,FALSE)</f>
        <v>44524</v>
      </c>
      <c r="Y1057" s="652" t="str">
        <f>VLOOKUP(A1057,'[1]Raw data'!$B:$AS,39,FALSE)</f>
        <v>Yes</v>
      </c>
      <c r="Z1057" s="664"/>
      <c r="AA1057" s="665"/>
      <c r="AB1057" s="666"/>
      <c r="AC1057" s="652" t="s">
        <v>1829</v>
      </c>
      <c r="AD1057" s="580">
        <v>302</v>
      </c>
      <c r="AE1057" s="580">
        <v>10</v>
      </c>
      <c r="AF1057" s="580"/>
      <c r="AG1057" s="580"/>
      <c r="AH1057" s="580"/>
      <c r="AI1057" s="684"/>
      <c r="AJ1057" s="569"/>
      <c r="AK1057" s="569"/>
      <c r="AL1057" s="569"/>
      <c r="AM1057" s="569"/>
      <c r="AN1057" s="619"/>
      <c r="AO1057" s="829" t="str">
        <f t="shared" si="202"/>
        <v>Yes</v>
      </c>
      <c r="AP1057" s="259" t="str">
        <f t="shared" si="203"/>
        <v>MAY 22</v>
      </c>
      <c r="AQ1057" s="547" t="str">
        <f t="shared" si="204"/>
        <v>有定金+有預留客戶</v>
      </c>
      <c r="AR1057" s="259" t="str">
        <f t="shared" si="205"/>
        <v>Shipped_Stock</v>
      </c>
      <c r="AS1057" s="259" t="str">
        <f t="shared" si="206"/>
        <v/>
      </c>
      <c r="AT1057" s="259" t="str">
        <f t="shared" si="207"/>
        <v>河南融创</v>
      </c>
      <c r="AU1057" s="259" t="str">
        <f t="shared" si="208"/>
        <v>C49SZX20210103MZ</v>
      </c>
      <c r="AV1057" s="259" t="str">
        <f t="shared" si="209"/>
        <v>Feb-21</v>
      </c>
    </row>
    <row r="1058" spans="1:48" hidden="1">
      <c r="A1058" s="564">
        <v>1225</v>
      </c>
      <c r="B1058" s="669" t="s">
        <v>1125</v>
      </c>
      <c r="C1058" s="669" t="s">
        <v>15</v>
      </c>
      <c r="D1058" s="760">
        <v>110727</v>
      </c>
      <c r="E1058" s="651" t="s">
        <v>2036</v>
      </c>
      <c r="F1058" s="652" t="s">
        <v>17</v>
      </c>
      <c r="G1058" s="652" t="s">
        <v>18</v>
      </c>
      <c r="H1058" s="652" t="s">
        <v>102</v>
      </c>
      <c r="I1058" s="580" t="s">
        <v>2037</v>
      </c>
      <c r="J1058" s="580">
        <v>1</v>
      </c>
      <c r="K1058" s="652" t="s">
        <v>1732</v>
      </c>
      <c r="L1058" s="662">
        <v>44613</v>
      </c>
      <c r="M1058" s="670" t="s">
        <v>906</v>
      </c>
      <c r="N1058" s="652" t="s">
        <v>1828</v>
      </c>
      <c r="O1058" s="580"/>
      <c r="P1058" s="670" t="str">
        <f>VLOOKUP(A1058,'[1]Raw data'!$B:$BA,23,FALSE)</f>
        <v>JPY</v>
      </c>
      <c r="Q1058" s="652" t="str">
        <f>VLOOKUP(A1058,'[1]Raw data'!$B:$Z,2,FALSE)</f>
        <v>C49SZX20210083SS</v>
      </c>
      <c r="R1058" s="652" t="str">
        <f>VLOOKUP(A1058,'[1]Raw data'!$B:$Z,3,FALSE)</f>
        <v>世启纳</v>
      </c>
      <c r="S1058" s="652" t="str">
        <f>VLOOKUP(A1058,'[1]Raw data'!$B:$Z,4,FALSE)</f>
        <v>YSM10</v>
      </c>
      <c r="T1058" s="652" t="str">
        <f>VLOOKUP(A1058,'[1]Raw data'!$B:$Z,8,FALSE)</f>
        <v>R-&gt;L</v>
      </c>
      <c r="U1058" s="652" t="str">
        <f>VLOOKUP(A1058,'[1]Raw data'!$B:$Z,9,FALSE)</f>
        <v>MVC</v>
      </c>
      <c r="V1058" s="572" t="str">
        <f t="shared" si="219"/>
        <v>WRONG</v>
      </c>
      <c r="W1058" s="568" t="str">
        <f>VLOOKUP(A1058,'[1]Raw data'!$B:$AG,32,FALSE)</f>
        <v>DAP SZ</v>
      </c>
      <c r="X1058" s="652">
        <f>VLOOKUP(A1058,'[1]Raw data'!$B:$BA,31,FALSE)</f>
        <v>44264</v>
      </c>
      <c r="Y1058" s="652" t="str">
        <f>VLOOKUP(A1058,'[1]Raw data'!$B:$AS,39,FALSE)</f>
        <v>Yes</v>
      </c>
      <c r="Z1058" s="664"/>
      <c r="AA1058" s="665"/>
      <c r="AB1058" s="666"/>
      <c r="AC1058" s="652" t="s">
        <v>2038</v>
      </c>
      <c r="AD1058" s="667">
        <v>301</v>
      </c>
      <c r="AE1058" s="667">
        <v>10</v>
      </c>
      <c r="AF1058" s="667"/>
      <c r="AG1058" s="667"/>
      <c r="AH1058" s="667"/>
      <c r="AI1058" s="668"/>
      <c r="AN1058" s="547"/>
      <c r="AO1058" s="829" t="str">
        <f t="shared" si="202"/>
        <v>Yes</v>
      </c>
      <c r="AP1058" s="259" t="str">
        <f t="shared" si="203"/>
        <v>MAR 22</v>
      </c>
      <c r="AQ1058" s="547" t="str">
        <f t="shared" si="204"/>
        <v>有定金+有預留客戶</v>
      </c>
      <c r="AR1058" s="259" t="str">
        <f t="shared" si="205"/>
        <v>Shipped_Stock</v>
      </c>
      <c r="AS1058" s="259" t="str">
        <f t="shared" si="206"/>
        <v/>
      </c>
      <c r="AT1058" s="259" t="str">
        <f t="shared" si="207"/>
        <v>世启纳</v>
      </c>
      <c r="AU1058" s="259" t="str">
        <f t="shared" si="208"/>
        <v>C49SZX20210083SS</v>
      </c>
      <c r="AV1058" s="259" t="str">
        <f t="shared" si="209"/>
        <v>Feb-21</v>
      </c>
    </row>
    <row r="1059" spans="1:48" ht="13.5" hidden="1" thickBot="1">
      <c r="A1059" s="564">
        <v>1226</v>
      </c>
      <c r="B1059" s="669" t="s">
        <v>1125</v>
      </c>
      <c r="C1059" s="669" t="s">
        <v>15</v>
      </c>
      <c r="D1059" s="629">
        <v>110727</v>
      </c>
      <c r="E1059" s="651" t="s">
        <v>2036</v>
      </c>
      <c r="F1059" s="652" t="s">
        <v>17</v>
      </c>
      <c r="G1059" s="652" t="s">
        <v>18</v>
      </c>
      <c r="H1059" s="652" t="s">
        <v>102</v>
      </c>
      <c r="I1059" s="580" t="s">
        <v>2039</v>
      </c>
      <c r="J1059" s="580">
        <v>1</v>
      </c>
      <c r="K1059" s="652" t="s">
        <v>1732</v>
      </c>
      <c r="L1059" s="662">
        <v>44613</v>
      </c>
      <c r="M1059" s="670" t="s">
        <v>906</v>
      </c>
      <c r="N1059" s="652" t="s">
        <v>1828</v>
      </c>
      <c r="O1059" s="580"/>
      <c r="P1059" s="670" t="str">
        <f>VLOOKUP(A1059,'[1]Raw data'!$B:$BA,23,FALSE)</f>
        <v>JPY</v>
      </c>
      <c r="Q1059" s="652" t="str">
        <f>VLOOKUP(A1059,'[1]Raw data'!$B:$Z,2,FALSE)</f>
        <v>C49SZX20210083SS</v>
      </c>
      <c r="R1059" s="652" t="str">
        <f>VLOOKUP(A1059,'[1]Raw data'!$B:$Z,3,FALSE)</f>
        <v>世启纳</v>
      </c>
      <c r="S1059" s="652" t="str">
        <f>VLOOKUP(A1059,'[1]Raw data'!$B:$Z,4,FALSE)</f>
        <v>YSM10</v>
      </c>
      <c r="T1059" s="652" t="str">
        <f>VLOOKUP(A1059,'[1]Raw data'!$B:$Z,8,FALSE)</f>
        <v>L-&gt;R</v>
      </c>
      <c r="U1059" s="652" t="str">
        <f>VLOOKUP(A1059,'[1]Raw data'!$B:$Z,9,FALSE)</f>
        <v>MVC</v>
      </c>
      <c r="V1059" s="572" t="str">
        <f t="shared" si="219"/>
        <v>WRONG</v>
      </c>
      <c r="W1059" s="568" t="str">
        <f>VLOOKUP(A1059,'[1]Raw data'!$B:$AG,32,FALSE)</f>
        <v>DAP SZ</v>
      </c>
      <c r="X1059" s="652">
        <f>VLOOKUP(A1059,'[1]Raw data'!$B:$BA,31,FALSE)</f>
        <v>44264</v>
      </c>
      <c r="Y1059" s="652" t="str">
        <f>VLOOKUP(A1059,'[1]Raw data'!$B:$AS,39,FALSE)</f>
        <v>Yes</v>
      </c>
      <c r="Z1059" s="664"/>
      <c r="AA1059" s="665"/>
      <c r="AB1059" s="666"/>
      <c r="AC1059" s="652" t="s">
        <v>2038</v>
      </c>
      <c r="AD1059" s="667">
        <v>301</v>
      </c>
      <c r="AE1059" s="667">
        <v>10</v>
      </c>
      <c r="AF1059" s="667"/>
      <c r="AG1059" s="667"/>
      <c r="AH1059" s="667"/>
      <c r="AI1059" s="668"/>
      <c r="AN1059" s="547"/>
      <c r="AO1059" s="829" t="str">
        <f t="shared" si="202"/>
        <v>Yes</v>
      </c>
      <c r="AP1059" s="259" t="str">
        <f t="shared" si="203"/>
        <v>MAR 22</v>
      </c>
      <c r="AQ1059" s="547" t="str">
        <f t="shared" si="204"/>
        <v>有定金+有預留客戶</v>
      </c>
      <c r="AR1059" s="259" t="str">
        <f t="shared" si="205"/>
        <v>Shipped_Stock</v>
      </c>
      <c r="AS1059" s="259" t="str">
        <f t="shared" si="206"/>
        <v/>
      </c>
      <c r="AT1059" s="259" t="str">
        <f t="shared" si="207"/>
        <v>世启纳</v>
      </c>
      <c r="AU1059" s="259" t="str">
        <f t="shared" si="208"/>
        <v>C49SZX20210083SS</v>
      </c>
      <c r="AV1059" s="259" t="str">
        <f t="shared" si="209"/>
        <v>Feb-21</v>
      </c>
    </row>
    <row r="1060" spans="1:48" hidden="1">
      <c r="A1060" s="604">
        <v>1369</v>
      </c>
      <c r="B1060" s="669" t="s">
        <v>1125</v>
      </c>
      <c r="C1060" s="669" t="s">
        <v>15</v>
      </c>
      <c r="D1060" s="695">
        <v>110729</v>
      </c>
      <c r="E1060" s="651" t="s">
        <v>2040</v>
      </c>
      <c r="F1060" s="652" t="s">
        <v>58</v>
      </c>
      <c r="G1060" s="652" t="s">
        <v>24</v>
      </c>
      <c r="H1060" s="652" t="s">
        <v>26</v>
      </c>
      <c r="I1060" s="580" t="s">
        <v>2041</v>
      </c>
      <c r="J1060" s="580">
        <v>1</v>
      </c>
      <c r="K1060" s="652" t="s">
        <v>1732</v>
      </c>
      <c r="L1060" s="662">
        <v>44613</v>
      </c>
      <c r="M1060" s="670" t="s">
        <v>906</v>
      </c>
      <c r="N1060" s="652" t="s">
        <v>1828</v>
      </c>
      <c r="O1060" s="580">
        <v>2022.1</v>
      </c>
      <c r="P1060" s="670" t="str">
        <f>VLOOKUP(A1060,'[1]Raw data'!$B:$BA,23,FALSE)</f>
        <v>JPY</v>
      </c>
      <c r="Q1060" s="652" t="str">
        <f>VLOOKUP(A1060,'[1]Raw data'!$B:$Z,2,FALSE)</f>
        <v>C49SZX20210149DY</v>
      </c>
      <c r="R1060" s="652" t="str">
        <f>VLOOKUP(A1060,'[1]Raw data'!$B:$Z,3,FALSE)</f>
        <v>格隆</v>
      </c>
      <c r="S1060" s="652" t="str">
        <f>VLOOKUP(A1060,'[1]Raw data'!$B:$Z,4,FALSE)</f>
        <v>YSM20R-2</v>
      </c>
      <c r="T1060" s="652" t="str">
        <f>VLOOKUP(A1060,'[1]Raw data'!$B:$Z,8,FALSE)</f>
        <v>L-&gt;R</v>
      </c>
      <c r="U1060" s="652" t="str">
        <f>VLOOKUP(A1060,'[1]Raw data'!$B:$Z,9,FALSE)</f>
        <v>No</v>
      </c>
      <c r="V1060" s="572" t="str">
        <f t="shared" si="219"/>
        <v>OK</v>
      </c>
      <c r="W1060" s="568" t="str">
        <f>VLOOKUP(A1060,'[1]Raw data'!$B:$AG,32,FALSE)</f>
        <v>CIF HK</v>
      </c>
      <c r="X1060" s="652">
        <f>VLOOKUP(A1060,'[1]Raw data'!$B:$BA,31,FALSE)</f>
        <v>44330</v>
      </c>
      <c r="Y1060" s="652" t="str">
        <f>VLOOKUP(A1060,'[1]Raw data'!$B:$AS,39,FALSE)</f>
        <v>Yes</v>
      </c>
      <c r="Z1060" s="671"/>
      <c r="AA1060" s="665"/>
      <c r="AB1060" s="666"/>
      <c r="AC1060" s="652" t="s">
        <v>2042</v>
      </c>
      <c r="AD1060" s="580">
        <v>301</v>
      </c>
      <c r="AE1060" s="580">
        <v>10</v>
      </c>
      <c r="AF1060" s="580">
        <v>302</v>
      </c>
      <c r="AG1060" s="580">
        <v>10</v>
      </c>
      <c r="AH1060" s="580"/>
      <c r="AI1060" s="684"/>
      <c r="AJ1060" s="569"/>
      <c r="AK1060" s="569"/>
      <c r="AL1060" s="569"/>
      <c r="AM1060" s="569"/>
      <c r="AN1060" s="619"/>
      <c r="AO1060" s="829" t="str">
        <f t="shared" si="202"/>
        <v>Yes</v>
      </c>
      <c r="AP1060" s="259" t="str">
        <f t="shared" si="203"/>
        <v>MAR 22</v>
      </c>
      <c r="AQ1060" s="547" t="str">
        <f t="shared" si="204"/>
        <v>有定金+有預留客戶</v>
      </c>
      <c r="AR1060" s="259" t="str">
        <f t="shared" si="205"/>
        <v>Shipped_Stock</v>
      </c>
      <c r="AS1060" s="259" t="str">
        <f t="shared" si="206"/>
        <v/>
      </c>
      <c r="AT1060" s="259" t="str">
        <f t="shared" si="207"/>
        <v>格隆</v>
      </c>
      <c r="AU1060" s="259" t="str">
        <f t="shared" si="208"/>
        <v>C49SZX20210149DY</v>
      </c>
      <c r="AV1060" s="259" t="str">
        <f t="shared" si="209"/>
        <v>Feb-21</v>
      </c>
    </row>
    <row r="1061" spans="1:48" hidden="1">
      <c r="A1061" s="564">
        <v>1487</v>
      </c>
      <c r="B1061" s="669" t="s">
        <v>1125</v>
      </c>
      <c r="C1061" s="669" t="s">
        <v>15</v>
      </c>
      <c r="D1061" s="650">
        <v>110729</v>
      </c>
      <c r="E1061" s="651" t="s">
        <v>2040</v>
      </c>
      <c r="F1061" s="652" t="s">
        <v>58</v>
      </c>
      <c r="G1061" s="652" t="s">
        <v>24</v>
      </c>
      <c r="H1061" s="652" t="s">
        <v>26</v>
      </c>
      <c r="I1061" s="580" t="s">
        <v>2043</v>
      </c>
      <c r="J1061" s="580">
        <v>1</v>
      </c>
      <c r="K1061" s="652" t="s">
        <v>1732</v>
      </c>
      <c r="L1061" s="662">
        <v>44613</v>
      </c>
      <c r="M1061" s="670" t="s">
        <v>906</v>
      </c>
      <c r="N1061" s="652" t="s">
        <v>1828</v>
      </c>
      <c r="O1061" s="580"/>
      <c r="P1061" s="670" t="str">
        <f>VLOOKUP(A1061,'[1]Raw data'!$B:$BA,23,FALSE)</f>
        <v>JPY</v>
      </c>
      <c r="Q1061" s="652" t="str">
        <f>VLOOKUP(A1061,'[1]Raw data'!$B:$Z,2,FALSE)</f>
        <v>C49SZX20210200JY</v>
      </c>
      <c r="R1061" s="652" t="str">
        <f>VLOOKUP(A1061,'[1]Raw data'!$B:$Z,3,FALSE)</f>
        <v>英拓邦（End user:深圳傲尔）</v>
      </c>
      <c r="S1061" s="652" t="str">
        <f>VLOOKUP(A1061,'[1]Raw data'!$B:$Z,4,FALSE)</f>
        <v>YSM20R-2</v>
      </c>
      <c r="T1061" s="652" t="str">
        <f>VLOOKUP(A1061,'[1]Raw data'!$B:$Z,8,FALSE)</f>
        <v>L-&gt;R</v>
      </c>
      <c r="U1061" s="652" t="str">
        <f>VLOOKUP(A1061,'[1]Raw data'!$B:$Z,9,FALSE)</f>
        <v>No</v>
      </c>
      <c r="V1061" s="572" t="str">
        <f t="shared" si="219"/>
        <v>OK</v>
      </c>
      <c r="W1061" s="568" t="str">
        <f>VLOOKUP(A1061,'[1]Raw data'!$B:$AG,32,FALSE)</f>
        <v>CIF HK</v>
      </c>
      <c r="X1061" s="652">
        <f>VLOOKUP(A1061,'[1]Raw data'!$B:$BA,31,FALSE)</f>
        <v>44496</v>
      </c>
      <c r="Y1061" s="652" t="str">
        <f>VLOOKUP(A1061,'[1]Raw data'!$B:$AS,39,FALSE)</f>
        <v>Yes</v>
      </c>
      <c r="Z1061" s="664"/>
      <c r="AA1061" s="665"/>
      <c r="AB1061" s="666"/>
      <c r="AC1061" s="652" t="s">
        <v>1931</v>
      </c>
      <c r="AD1061" s="667">
        <v>313</v>
      </c>
      <c r="AE1061" s="667">
        <v>20</v>
      </c>
      <c r="AF1061" s="667"/>
      <c r="AG1061" s="667"/>
      <c r="AH1061" s="667"/>
      <c r="AI1061" s="668"/>
      <c r="AN1061" s="547"/>
      <c r="AO1061" s="829" t="str">
        <f t="shared" si="202"/>
        <v>Yes</v>
      </c>
      <c r="AP1061" s="259" t="str">
        <f t="shared" si="203"/>
        <v>MAR 22</v>
      </c>
      <c r="AQ1061" s="547" t="str">
        <f t="shared" si="204"/>
        <v>有定金+有預留客戶</v>
      </c>
      <c r="AR1061" s="259" t="str">
        <f t="shared" si="205"/>
        <v>Shipped_Stock</v>
      </c>
      <c r="AS1061" s="259" t="str">
        <f t="shared" si="206"/>
        <v/>
      </c>
      <c r="AT1061" s="259" t="str">
        <f t="shared" si="207"/>
        <v>英拓邦（End user:深圳傲尔）</v>
      </c>
      <c r="AU1061" s="259" t="str">
        <f t="shared" si="208"/>
        <v>C49SZX20210200JY</v>
      </c>
      <c r="AV1061" s="259" t="str">
        <f t="shared" si="209"/>
        <v>Feb-21</v>
      </c>
    </row>
    <row r="1062" spans="1:48" hidden="1">
      <c r="A1062" s="564">
        <v>1273</v>
      </c>
      <c r="B1062" s="669" t="s">
        <v>1125</v>
      </c>
      <c r="C1062" s="669" t="s">
        <v>15</v>
      </c>
      <c r="D1062" s="650">
        <v>110729</v>
      </c>
      <c r="E1062" s="651" t="s">
        <v>2040</v>
      </c>
      <c r="F1062" s="652" t="s">
        <v>17</v>
      </c>
      <c r="G1062" s="652" t="s">
        <v>18</v>
      </c>
      <c r="H1062" s="652" t="s">
        <v>102</v>
      </c>
      <c r="I1062" s="580" t="s">
        <v>2044</v>
      </c>
      <c r="J1062" s="580">
        <v>1</v>
      </c>
      <c r="K1062" s="652" t="s">
        <v>1732</v>
      </c>
      <c r="L1062" s="662">
        <v>44613</v>
      </c>
      <c r="M1062" s="670" t="s">
        <v>906</v>
      </c>
      <c r="N1062" s="652" t="s">
        <v>1828</v>
      </c>
      <c r="O1062" s="580"/>
      <c r="P1062" s="670" t="str">
        <f>VLOOKUP(A1062,'[1]Raw data'!$B:$BA,23,FALSE)</f>
        <v>JPY</v>
      </c>
      <c r="Q1062" s="652" t="str">
        <f>VLOOKUP(A1062,'[1]Raw data'!$B:$Z,2,FALSE)</f>
        <v>C49SZX20210086JL</v>
      </c>
      <c r="R1062" s="652" t="str">
        <f>VLOOKUP(A1062,'[1]Raw data'!$B:$Z,3,FALSE)</f>
        <v>鹏鑫达（end user：晶昌鸿业）</v>
      </c>
      <c r="S1062" s="652" t="str">
        <f>VLOOKUP(A1062,'[1]Raw data'!$B:$Z,4,FALSE)</f>
        <v>YSM10</v>
      </c>
      <c r="T1062" s="652" t="str">
        <f>VLOOKUP(A1062,'[1]Raw data'!$B:$Z,8,FALSE)</f>
        <v>L-&gt;R</v>
      </c>
      <c r="U1062" s="652" t="str">
        <f>VLOOKUP(A1062,'[1]Raw data'!$B:$Z,9,FALSE)</f>
        <v>MVC</v>
      </c>
      <c r="V1062" s="572" t="str">
        <f t="shared" si="219"/>
        <v>WRONG</v>
      </c>
      <c r="W1062" s="568" t="str">
        <f>VLOOKUP(A1062,'[1]Raw data'!$B:$AG,32,FALSE)</f>
        <v>DAP SZ</v>
      </c>
      <c r="X1062" s="652">
        <f>VLOOKUP(A1062,'[1]Raw data'!$B:$BA,31,FALSE)</f>
        <v>44274</v>
      </c>
      <c r="Y1062" s="652" t="str">
        <f>VLOOKUP(A1062,'[1]Raw data'!$B:$AS,39,FALSE)</f>
        <v>Yes</v>
      </c>
      <c r="Z1062" s="664"/>
      <c r="AA1062" s="665"/>
      <c r="AB1062" s="666"/>
      <c r="AC1062" s="652" t="s">
        <v>448</v>
      </c>
      <c r="AD1062" s="667">
        <v>301</v>
      </c>
      <c r="AE1062" s="667">
        <v>10</v>
      </c>
      <c r="AF1062" s="667"/>
      <c r="AG1062" s="667"/>
      <c r="AH1062" s="667"/>
      <c r="AI1062" s="668"/>
      <c r="AN1062" s="547"/>
      <c r="AO1062" s="829" t="str">
        <f t="shared" si="202"/>
        <v>Yes</v>
      </c>
      <c r="AP1062" s="259" t="str">
        <f t="shared" si="203"/>
        <v>MAR 22</v>
      </c>
      <c r="AQ1062" s="547" t="str">
        <f t="shared" si="204"/>
        <v>有定金+有預留客戶</v>
      </c>
      <c r="AR1062" s="259" t="str">
        <f t="shared" si="205"/>
        <v>Shipped_Stock</v>
      </c>
      <c r="AS1062" s="259" t="str">
        <f t="shared" si="206"/>
        <v/>
      </c>
      <c r="AT1062" s="259" t="str">
        <f t="shared" si="207"/>
        <v>鹏鑫达（end user：晶昌鸿业）</v>
      </c>
      <c r="AU1062" s="259" t="str">
        <f t="shared" si="208"/>
        <v>C49SZX20210086JL</v>
      </c>
      <c r="AV1062" s="259" t="str">
        <f t="shared" si="209"/>
        <v>Feb-21</v>
      </c>
    </row>
    <row r="1063" spans="1:48" hidden="1">
      <c r="A1063" s="564">
        <v>1274</v>
      </c>
      <c r="B1063" s="669" t="s">
        <v>1125</v>
      </c>
      <c r="C1063" s="669" t="s">
        <v>15</v>
      </c>
      <c r="D1063" s="650">
        <v>110729</v>
      </c>
      <c r="E1063" s="651" t="s">
        <v>2040</v>
      </c>
      <c r="F1063" s="652" t="s">
        <v>17</v>
      </c>
      <c r="G1063" s="652" t="s">
        <v>18</v>
      </c>
      <c r="H1063" s="652" t="s">
        <v>102</v>
      </c>
      <c r="I1063" s="580" t="s">
        <v>2045</v>
      </c>
      <c r="J1063" s="580">
        <v>1</v>
      </c>
      <c r="K1063" s="652" t="s">
        <v>1732</v>
      </c>
      <c r="L1063" s="662">
        <v>44613</v>
      </c>
      <c r="M1063" s="670" t="s">
        <v>906</v>
      </c>
      <c r="N1063" s="652" t="s">
        <v>1828</v>
      </c>
      <c r="O1063" s="580"/>
      <c r="P1063" s="670" t="str">
        <f>VLOOKUP(A1063,'[1]Raw data'!$B:$BA,23,FALSE)</f>
        <v>JPY</v>
      </c>
      <c r="Q1063" s="652" t="str">
        <f>VLOOKUP(A1063,'[1]Raw data'!$B:$Z,2,FALSE)</f>
        <v>C49SZX20210086JL</v>
      </c>
      <c r="R1063" s="652" t="str">
        <f>VLOOKUP(A1063,'[1]Raw data'!$B:$Z,3,FALSE)</f>
        <v>鹏鑫达（end user：晶昌鸿业）</v>
      </c>
      <c r="S1063" s="652" t="str">
        <f>VLOOKUP(A1063,'[1]Raw data'!$B:$Z,4,FALSE)</f>
        <v>YSM10</v>
      </c>
      <c r="T1063" s="652" t="str">
        <f>VLOOKUP(A1063,'[1]Raw data'!$B:$Z,8,FALSE)</f>
        <v>L-&gt;R</v>
      </c>
      <c r="U1063" s="652" t="str">
        <f>VLOOKUP(A1063,'[1]Raw data'!$B:$Z,9,FALSE)</f>
        <v>MVC</v>
      </c>
      <c r="V1063" s="572" t="str">
        <f t="shared" si="219"/>
        <v>WRONG</v>
      </c>
      <c r="W1063" s="568" t="str">
        <f>VLOOKUP(A1063,'[1]Raw data'!$B:$AG,32,FALSE)</f>
        <v>DAP SZ</v>
      </c>
      <c r="X1063" s="652">
        <f>VLOOKUP(A1063,'[1]Raw data'!$B:$BA,31,FALSE)</f>
        <v>44274</v>
      </c>
      <c r="Y1063" s="652" t="str">
        <f>VLOOKUP(A1063,'[1]Raw data'!$B:$AS,39,FALSE)</f>
        <v>Yes</v>
      </c>
      <c r="Z1063" s="664"/>
      <c r="AA1063" s="665"/>
      <c r="AB1063" s="666"/>
      <c r="AC1063" s="652" t="s">
        <v>448</v>
      </c>
      <c r="AD1063" s="667">
        <v>301</v>
      </c>
      <c r="AE1063" s="667">
        <v>10</v>
      </c>
      <c r="AF1063" s="667"/>
      <c r="AG1063" s="667"/>
      <c r="AH1063" s="667"/>
      <c r="AI1063" s="668"/>
      <c r="AN1063" s="547"/>
      <c r="AO1063" s="829" t="str">
        <f t="shared" si="202"/>
        <v>Yes</v>
      </c>
      <c r="AP1063" s="259" t="str">
        <f t="shared" si="203"/>
        <v>MAR 22</v>
      </c>
      <c r="AQ1063" s="547" t="str">
        <f t="shared" si="204"/>
        <v>有定金+有預留客戶</v>
      </c>
      <c r="AR1063" s="259" t="str">
        <f t="shared" si="205"/>
        <v>Shipped_Stock</v>
      </c>
      <c r="AS1063" s="259" t="str">
        <f t="shared" si="206"/>
        <v/>
      </c>
      <c r="AT1063" s="259" t="str">
        <f t="shared" si="207"/>
        <v>鹏鑫达（end user：晶昌鸿业）</v>
      </c>
      <c r="AU1063" s="259" t="str">
        <f t="shared" si="208"/>
        <v>C49SZX20210086JL</v>
      </c>
      <c r="AV1063" s="259" t="str">
        <f t="shared" si="209"/>
        <v>Feb-21</v>
      </c>
    </row>
    <row r="1064" spans="1:48" hidden="1">
      <c r="A1064" s="604">
        <v>1468</v>
      </c>
      <c r="B1064" s="669" t="s">
        <v>1125</v>
      </c>
      <c r="C1064" s="669" t="s">
        <v>15</v>
      </c>
      <c r="D1064" s="628">
        <v>110733</v>
      </c>
      <c r="E1064" s="771" t="s">
        <v>2046</v>
      </c>
      <c r="F1064" s="652" t="s">
        <v>58</v>
      </c>
      <c r="G1064" s="652" t="s">
        <v>24</v>
      </c>
      <c r="H1064" s="652" t="s">
        <v>159</v>
      </c>
      <c r="I1064" s="580" t="s">
        <v>2047</v>
      </c>
      <c r="J1064" s="580">
        <v>1</v>
      </c>
      <c r="K1064" s="652" t="s">
        <v>85</v>
      </c>
      <c r="L1064" s="662">
        <v>44622</v>
      </c>
      <c r="M1064" s="670" t="s">
        <v>906</v>
      </c>
      <c r="N1064" s="652" t="s">
        <v>1828</v>
      </c>
      <c r="O1064" s="580">
        <v>2022.2</v>
      </c>
      <c r="P1064" s="670" t="str">
        <f>VLOOKUP(A1064,'[1]Raw data'!$B:$BA,23,FALSE)</f>
        <v>JPY</v>
      </c>
      <c r="Q1064" s="652" t="str">
        <f>VLOOKUP(A1064,'[1]Raw data'!$B:$Z,2,FALSE)</f>
        <v>C49SZX20210185DZ</v>
      </c>
      <c r="R1064" s="652" t="str">
        <f>VLOOKUP(A1064,'[1]Raw data'!$B:$Z,3,FALSE)</f>
        <v>宝捷信</v>
      </c>
      <c r="S1064" s="652" t="str">
        <f>VLOOKUP(A1064,'[1]Raw data'!$B:$Z,4,FALSE)</f>
        <v>YSM20R-2</v>
      </c>
      <c r="T1064" s="652" t="str">
        <f>VLOOKUP(A1064,'[1]Raw data'!$B:$Z,8,FALSE)</f>
        <v>L-&gt;R</v>
      </c>
      <c r="U1064" s="652" t="str">
        <f>VLOOKUP(A1064,'[1]Raw data'!$B:$Z,9,FALSE)</f>
        <v>cATS10+MVC+Feeder Carriage</v>
      </c>
      <c r="V1064" s="572" t="str">
        <f t="shared" ref="V1064:V1066" si="220">IF(G1064&amp;H1064=T1064&amp;U1064,"OK","WRONG")</f>
        <v>WRONG</v>
      </c>
      <c r="W1064" s="568" t="str">
        <f>VLOOKUP(A1064,'[1]Raw data'!$B:$AG,32,FALSE)</f>
        <v>DAP HZ</v>
      </c>
      <c r="X1064" s="652">
        <f>VLOOKUP(A1064,'[1]Raw data'!$B:$BA,31,FALSE)</f>
        <v>44410</v>
      </c>
      <c r="Y1064" s="652" t="str">
        <f>VLOOKUP(A1064,'[1]Raw data'!$B:$AS,39,FALSE)</f>
        <v>Yes</v>
      </c>
      <c r="Z1064" s="671"/>
      <c r="AA1064" s="665"/>
      <c r="AB1064" s="666"/>
      <c r="AC1064" s="652" t="s">
        <v>2048</v>
      </c>
      <c r="AD1064" s="580">
        <v>301</v>
      </c>
      <c r="AE1064" s="580">
        <v>10</v>
      </c>
      <c r="AF1064" s="580">
        <v>302</v>
      </c>
      <c r="AG1064" s="580">
        <v>10</v>
      </c>
      <c r="AH1064" s="580"/>
      <c r="AI1064" s="684"/>
      <c r="AJ1064" s="569"/>
      <c r="AK1064" s="569"/>
      <c r="AL1064" s="569"/>
      <c r="AM1064" s="569"/>
      <c r="AN1064" s="619"/>
      <c r="AO1064" s="829" t="str">
        <f t="shared" si="202"/>
        <v>Yes</v>
      </c>
      <c r="AP1064" s="259" t="str">
        <f t="shared" si="203"/>
        <v>MAR 22</v>
      </c>
      <c r="AQ1064" s="547" t="str">
        <f t="shared" si="204"/>
        <v>有定金+有預留客戶</v>
      </c>
      <c r="AR1064" s="259" t="str">
        <f t="shared" si="205"/>
        <v>Shipped_Stock</v>
      </c>
      <c r="AS1064" s="259" t="str">
        <f t="shared" si="206"/>
        <v/>
      </c>
      <c r="AT1064" s="259" t="str">
        <f t="shared" si="207"/>
        <v>宝捷信</v>
      </c>
      <c r="AU1064" s="259" t="str">
        <f t="shared" si="208"/>
        <v>C49SZX20210185DZ</v>
      </c>
      <c r="AV1064" s="259" t="str">
        <f t="shared" si="209"/>
        <v>Mar-02</v>
      </c>
    </row>
    <row r="1065" spans="1:48" hidden="1">
      <c r="A1065" s="604">
        <v>1093</v>
      </c>
      <c r="B1065" s="669" t="s">
        <v>1125</v>
      </c>
      <c r="C1065" s="669" t="s">
        <v>281</v>
      </c>
      <c r="D1065" s="630">
        <v>110800</v>
      </c>
      <c r="E1065" s="567" t="s">
        <v>886</v>
      </c>
      <c r="F1065" s="652" t="s">
        <v>17</v>
      </c>
      <c r="G1065" s="652" t="s">
        <v>18</v>
      </c>
      <c r="H1065" s="652" t="s">
        <v>26</v>
      </c>
      <c r="I1065" s="580" t="s">
        <v>2049</v>
      </c>
      <c r="J1065" s="580">
        <v>1</v>
      </c>
      <c r="K1065" s="652" t="s">
        <v>1419</v>
      </c>
      <c r="L1065" s="662">
        <v>44622</v>
      </c>
      <c r="M1065" s="670" t="s">
        <v>906</v>
      </c>
      <c r="N1065" s="652" t="s">
        <v>1930</v>
      </c>
      <c r="O1065" s="580">
        <v>2022.2</v>
      </c>
      <c r="P1065" s="670" t="str">
        <f>VLOOKUP(A1065,'[1]Raw data'!$B:$BA,23,FALSE)</f>
        <v>JPY</v>
      </c>
      <c r="Q1065" s="652" t="str">
        <f>VLOOKUP(A1065,'[1]Raw data'!$B:$Z,2,FALSE)</f>
        <v>C49SZX20210031SX</v>
      </c>
      <c r="R1065" s="652" t="str">
        <f>VLOOKUP(A1065,'[1]Raw data'!$B:$Z,3,FALSE)</f>
        <v>益田科技</v>
      </c>
      <c r="S1065" s="652" t="str">
        <f>VLOOKUP(A1065,'[1]Raw data'!$B:$Z,4,FALSE)</f>
        <v>YSM10</v>
      </c>
      <c r="T1065" s="652" t="str">
        <f>VLOOKUP(A1065,'[1]Raw data'!$B:$Z,8,FALSE)</f>
        <v>R-&gt;L</v>
      </c>
      <c r="U1065" s="652" t="str">
        <f>VLOOKUP(A1065,'[1]Raw data'!$B:$Z,9,FALSE)</f>
        <v>No</v>
      </c>
      <c r="V1065" s="572" t="str">
        <f t="shared" si="220"/>
        <v>OK</v>
      </c>
      <c r="W1065" s="568" t="str">
        <f>VLOOKUP(A1065,'[1]Raw data'!$B:$AG,32,FALSE)</f>
        <v>DAP SZ</v>
      </c>
      <c r="X1065" s="652">
        <f>VLOOKUP(A1065,'[1]Raw data'!$B:$BA,31,FALSE)</f>
        <v>44222</v>
      </c>
      <c r="Y1065" s="652" t="str">
        <f>VLOOKUP(A1065,'[1]Raw data'!$B:$AS,39,FALSE)</f>
        <v>Yes</v>
      </c>
      <c r="Z1065" s="580"/>
      <c r="AA1065" s="667"/>
      <c r="AB1065" s="667"/>
      <c r="AC1065" s="652" t="s">
        <v>1172</v>
      </c>
      <c r="AD1065" s="569">
        <v>301</v>
      </c>
      <c r="AE1065" s="569">
        <v>10</v>
      </c>
      <c r="AF1065" s="569"/>
      <c r="AG1065" s="569"/>
      <c r="AH1065" s="619"/>
      <c r="AI1065" s="619"/>
      <c r="AJ1065" s="619"/>
      <c r="AK1065" s="619"/>
      <c r="AL1065" s="619"/>
      <c r="AM1065" s="619"/>
      <c r="AN1065" s="619"/>
      <c r="AO1065" s="829" t="str">
        <f t="shared" si="202"/>
        <v>Yes</v>
      </c>
      <c r="AP1065" s="259" t="str">
        <f t="shared" si="203"/>
        <v>APR 22</v>
      </c>
      <c r="AQ1065" s="547" t="str">
        <f t="shared" si="204"/>
        <v>有定金+有預留客戶</v>
      </c>
      <c r="AR1065" s="259" t="str">
        <f t="shared" si="205"/>
        <v>Shipped_Stock</v>
      </c>
      <c r="AS1065" s="259" t="str">
        <f t="shared" si="206"/>
        <v/>
      </c>
      <c r="AT1065" s="259" t="str">
        <f t="shared" si="207"/>
        <v>益田科技</v>
      </c>
      <c r="AU1065" s="259" t="str">
        <f t="shared" si="208"/>
        <v>C49SZX20210031SX</v>
      </c>
      <c r="AV1065" s="259" t="str">
        <f t="shared" si="209"/>
        <v>Mar-02</v>
      </c>
    </row>
    <row r="1066" spans="1:48" ht="13.5" hidden="1" thickBot="1">
      <c r="A1066" s="604">
        <v>1502</v>
      </c>
      <c r="B1066" s="669" t="s">
        <v>1125</v>
      </c>
      <c r="C1066" s="669" t="s">
        <v>281</v>
      </c>
      <c r="D1066" s="629">
        <v>110800</v>
      </c>
      <c r="E1066" s="567" t="s">
        <v>886</v>
      </c>
      <c r="F1066" s="652" t="s">
        <v>17</v>
      </c>
      <c r="G1066" s="652" t="s">
        <v>18</v>
      </c>
      <c r="H1066" s="652" t="s">
        <v>26</v>
      </c>
      <c r="I1066" s="580" t="s">
        <v>2050</v>
      </c>
      <c r="J1066" s="580">
        <v>1</v>
      </c>
      <c r="K1066" s="652" t="s">
        <v>85</v>
      </c>
      <c r="L1066" s="662">
        <v>44622</v>
      </c>
      <c r="M1066" s="670" t="s">
        <v>906</v>
      </c>
      <c r="N1066" s="652" t="s">
        <v>1828</v>
      </c>
      <c r="O1066" s="580"/>
      <c r="P1066" s="670" t="str">
        <f>VLOOKUP(A1066,'[1]Raw data'!$B:$BA,23,FALSE)</f>
        <v>JPY</v>
      </c>
      <c r="Q1066" s="652" t="str">
        <f>VLOOKUP(A1066,'[1]Raw data'!$B:$Z,2,FALSE)</f>
        <v>C49SZX20210205SS</v>
      </c>
      <c r="R1066" s="652" t="str">
        <f>VLOOKUP(A1066,'[1]Raw data'!$B:$Z,3,FALSE)</f>
        <v>嘉力达</v>
      </c>
      <c r="S1066" s="652" t="str">
        <f>VLOOKUP(A1066,'[1]Raw data'!$B:$Z,4,FALSE)</f>
        <v>YSM10</v>
      </c>
      <c r="T1066" s="652" t="str">
        <f>VLOOKUP(A1066,'[1]Raw data'!$B:$Z,8,FALSE)</f>
        <v>L-&gt;R</v>
      </c>
      <c r="U1066" s="652" t="str">
        <f>VLOOKUP(A1066,'[1]Raw data'!$B:$Z,9,FALSE)</f>
        <v>MVC</v>
      </c>
      <c r="V1066" s="572" t="str">
        <f t="shared" si="220"/>
        <v>WRONG</v>
      </c>
      <c r="W1066" s="568" t="str">
        <f>VLOOKUP(A1066,'[1]Raw data'!$B:$AG,32,FALSE)</f>
        <v>DAP HZ</v>
      </c>
      <c r="X1066" s="652">
        <f>VLOOKUP(A1066,'[1]Raw data'!$B:$BA,31,FALSE)</f>
        <v>44513</v>
      </c>
      <c r="Y1066" s="652" t="str">
        <f>VLOOKUP(A1066,'[1]Raw data'!$B:$AS,39,FALSE)</f>
        <v>Yes</v>
      </c>
      <c r="Z1066" s="684"/>
      <c r="AA1066" s="569"/>
      <c r="AB1066" s="569"/>
      <c r="AC1066" s="652" t="s">
        <v>1859</v>
      </c>
      <c r="AD1066" s="569">
        <v>301</v>
      </c>
      <c r="AE1066" s="619">
        <v>10</v>
      </c>
      <c r="AF1066" s="619"/>
      <c r="AG1066" s="619"/>
      <c r="AH1066" s="619"/>
      <c r="AI1066" s="619"/>
      <c r="AJ1066" s="619"/>
      <c r="AK1066" s="619"/>
      <c r="AL1066" s="619"/>
      <c r="AM1066" s="619"/>
      <c r="AN1066" s="619"/>
      <c r="AO1066" s="829" t="str">
        <f t="shared" si="202"/>
        <v>Yes</v>
      </c>
      <c r="AP1066" s="259" t="str">
        <f t="shared" si="203"/>
        <v>MAR 22</v>
      </c>
      <c r="AQ1066" s="547" t="str">
        <f t="shared" si="204"/>
        <v>有定金+有預留客戶</v>
      </c>
      <c r="AR1066" s="259" t="str">
        <f t="shared" si="205"/>
        <v>Shipped_Stock</v>
      </c>
      <c r="AS1066" s="259" t="str">
        <f t="shared" si="206"/>
        <v/>
      </c>
      <c r="AT1066" s="259" t="str">
        <f t="shared" si="207"/>
        <v>嘉力达</v>
      </c>
      <c r="AU1066" s="259" t="str">
        <f t="shared" si="208"/>
        <v>C49SZX20210205SS</v>
      </c>
      <c r="AV1066" s="259" t="str">
        <f t="shared" si="209"/>
        <v>Mar-02</v>
      </c>
    </row>
    <row r="1067" spans="1:48" hidden="1">
      <c r="A1067" s="604">
        <v>1517</v>
      </c>
      <c r="B1067" s="669" t="s">
        <v>1125</v>
      </c>
      <c r="C1067" s="669" t="s">
        <v>281</v>
      </c>
      <c r="D1067" s="628">
        <v>110771</v>
      </c>
      <c r="E1067" s="567" t="s">
        <v>886</v>
      </c>
      <c r="F1067" s="652" t="s">
        <v>17</v>
      </c>
      <c r="G1067" s="652" t="s">
        <v>18</v>
      </c>
      <c r="H1067" s="652" t="s">
        <v>34</v>
      </c>
      <c r="I1067" s="580" t="s">
        <v>2051</v>
      </c>
      <c r="J1067" s="580">
        <v>1</v>
      </c>
      <c r="K1067" s="652" t="s">
        <v>85</v>
      </c>
      <c r="L1067" s="662">
        <v>44622</v>
      </c>
      <c r="M1067" s="670" t="s">
        <v>906</v>
      </c>
      <c r="N1067" s="652" t="s">
        <v>1930</v>
      </c>
      <c r="O1067" s="580">
        <v>2022.2</v>
      </c>
      <c r="P1067" s="670" t="str">
        <f>VLOOKUP(A1067,'[1]Raw data'!$B:$BA,23,FALSE)</f>
        <v>JPY</v>
      </c>
      <c r="Q1067" s="652" t="str">
        <f>VLOOKUP(A1067,'[1]Raw data'!$B:$Z,2,FALSE)</f>
        <v>C49SZX20210206MZ</v>
      </c>
      <c r="R1067" s="652" t="str">
        <f>VLOOKUP(A1067,'[1]Raw data'!$B:$Z,3,FALSE)</f>
        <v>魔乐视</v>
      </c>
      <c r="S1067" s="652" t="str">
        <f>VLOOKUP(A1067,'[1]Raw data'!$B:$Z,4,FALSE)</f>
        <v>YSM10</v>
      </c>
      <c r="T1067" s="652" t="str">
        <f>VLOOKUP(A1067,'[1]Raw data'!$B:$Z,8,FALSE)</f>
        <v>L-&gt;R</v>
      </c>
      <c r="U1067" s="652" t="str">
        <f>VLOOKUP(A1067,'[1]Raw data'!$B:$Z,9,FALSE)</f>
        <v>MVC+ATS15</v>
      </c>
      <c r="V1067" s="572" t="str">
        <f>IF(G1067&amp;H1067=T1067&amp;U1067,"OK","WRONG")</f>
        <v>WRONG</v>
      </c>
      <c r="W1067" s="568" t="str">
        <f>VLOOKUP(A1067,'[1]Raw data'!$B:$AG,32,FALSE)</f>
        <v>DAP SZ</v>
      </c>
      <c r="X1067" s="652">
        <f>VLOOKUP(A1067,'[1]Raw data'!$B:$BA,31,FALSE)</f>
        <v>44540</v>
      </c>
      <c r="Y1067" s="652" t="str">
        <f>VLOOKUP(A1067,'[1]Raw data'!$B:$AS,39,FALSE)</f>
        <v>Yes</v>
      </c>
      <c r="Z1067" s="671"/>
      <c r="AA1067" s="665"/>
      <c r="AB1067" s="666"/>
      <c r="AC1067" s="652" t="s">
        <v>2011</v>
      </c>
      <c r="AD1067" s="580">
        <v>301</v>
      </c>
      <c r="AE1067" s="580">
        <v>10</v>
      </c>
      <c r="AF1067" s="580"/>
      <c r="AG1067" s="580"/>
      <c r="AH1067" s="580"/>
      <c r="AI1067" s="684"/>
      <c r="AJ1067" s="569"/>
      <c r="AK1067" s="569"/>
      <c r="AL1067" s="569"/>
      <c r="AM1067" s="569"/>
      <c r="AN1067" s="619"/>
      <c r="AO1067" s="829" t="str">
        <f t="shared" si="202"/>
        <v>Yes</v>
      </c>
      <c r="AP1067" s="259" t="str">
        <f t="shared" si="203"/>
        <v>APR 22</v>
      </c>
      <c r="AQ1067" s="547" t="str">
        <f t="shared" si="204"/>
        <v>有定金+有預留客戶</v>
      </c>
      <c r="AR1067" s="259" t="str">
        <f t="shared" si="205"/>
        <v>Shipped_Stock</v>
      </c>
      <c r="AS1067" s="259" t="str">
        <f t="shared" si="206"/>
        <v/>
      </c>
      <c r="AT1067" s="259" t="str">
        <f t="shared" si="207"/>
        <v>魔乐视</v>
      </c>
      <c r="AU1067" s="259" t="str">
        <f t="shared" si="208"/>
        <v>C49SZX20210206MZ</v>
      </c>
      <c r="AV1067" s="259" t="str">
        <f t="shared" si="209"/>
        <v>Mar-02</v>
      </c>
    </row>
    <row r="1068" spans="1:48" hidden="1">
      <c r="A1068" s="564">
        <v>1492</v>
      </c>
      <c r="B1068" s="669" t="s">
        <v>1125</v>
      </c>
      <c r="C1068" s="669" t="s">
        <v>281</v>
      </c>
      <c r="D1068" s="630">
        <v>110771</v>
      </c>
      <c r="E1068" s="567" t="s">
        <v>886</v>
      </c>
      <c r="F1068" s="652" t="s">
        <v>17</v>
      </c>
      <c r="G1068" s="652" t="s">
        <v>18</v>
      </c>
      <c r="H1068" s="652" t="s">
        <v>26</v>
      </c>
      <c r="I1068" s="580" t="s">
        <v>2052</v>
      </c>
      <c r="J1068" s="580">
        <v>1</v>
      </c>
      <c r="K1068" s="652" t="s">
        <v>1419</v>
      </c>
      <c r="L1068" s="662">
        <v>44622</v>
      </c>
      <c r="M1068" s="670">
        <v>5.5100000000000003E-2</v>
      </c>
      <c r="N1068" s="652" t="s">
        <v>1930</v>
      </c>
      <c r="O1068" s="580">
        <v>2022.2</v>
      </c>
      <c r="P1068" s="670" t="str">
        <f>VLOOKUP(A1068,'[1]Raw data'!$B:$BA,23,FALSE)</f>
        <v>JPY</v>
      </c>
      <c r="Q1068" s="652" t="str">
        <f>VLOOKUP(A1068,'[1]Raw data'!$B:$Z,2,FALSE)</f>
        <v>C49SZX20210194SQ</v>
      </c>
      <c r="R1068" s="652" t="str">
        <f>VLOOKUP(A1068,'[1]Raw data'!$B:$Z,3,FALSE)</f>
        <v>旭协（End user 驰电）</v>
      </c>
      <c r="S1068" s="652" t="str">
        <f>VLOOKUP(A1068,'[1]Raw data'!$B:$Z,4,FALSE)</f>
        <v>YSM10</v>
      </c>
      <c r="T1068" s="652" t="str">
        <f>VLOOKUP(A1068,'[1]Raw data'!$B:$Z,8,FALSE)</f>
        <v>R-&gt;L</v>
      </c>
      <c r="U1068" s="652" t="str">
        <f>VLOOKUP(A1068,'[1]Raw data'!$B:$Z,9,FALSE)</f>
        <v>MVC</v>
      </c>
      <c r="V1068" s="572" t="str">
        <f>IF(G1068&amp;H1068=T1068&amp;U1068,"OK","WRONG")</f>
        <v>WRONG</v>
      </c>
      <c r="W1068" s="568" t="str">
        <f>VLOOKUP(A1068,'[1]Raw data'!$B:$AG,32,FALSE)</f>
        <v>DAPSZ</v>
      </c>
      <c r="X1068" s="652">
        <f>VLOOKUP(A1068,'[1]Raw data'!$B:$BA,31,FALSE)</f>
        <v>44499</v>
      </c>
      <c r="Y1068" s="652" t="str">
        <f>VLOOKUP(A1068,'[1]Raw data'!$B:$AS,39,FALSE)</f>
        <v>Yes</v>
      </c>
      <c r="Z1068" s="652"/>
      <c r="AA1068" s="667"/>
      <c r="AB1068" s="667"/>
      <c r="AC1068" s="580" t="s">
        <v>2053</v>
      </c>
      <c r="AD1068" s="667">
        <v>301</v>
      </c>
      <c r="AE1068" s="667">
        <v>10</v>
      </c>
      <c r="AF1068" s="668"/>
      <c r="AI1068" s="576"/>
      <c r="AK1068" s="547"/>
      <c r="AL1068" s="547"/>
      <c r="AM1068" s="547"/>
      <c r="AN1068" s="547"/>
      <c r="AO1068" s="829" t="str">
        <f t="shared" si="202"/>
        <v>Yes</v>
      </c>
      <c r="AP1068" s="259" t="str">
        <f t="shared" si="203"/>
        <v>APR 22</v>
      </c>
      <c r="AQ1068" s="547" t="str">
        <f t="shared" si="204"/>
        <v>有定金+有預留客戶</v>
      </c>
      <c r="AR1068" s="259" t="str">
        <f t="shared" si="205"/>
        <v>Shipped_Stock</v>
      </c>
      <c r="AS1068" s="259" t="str">
        <f t="shared" si="206"/>
        <v/>
      </c>
      <c r="AT1068" s="259" t="str">
        <f t="shared" si="207"/>
        <v>旭协（End user 驰电）</v>
      </c>
      <c r="AU1068" s="259" t="str">
        <f t="shared" si="208"/>
        <v>C49SZX20210194SQ</v>
      </c>
      <c r="AV1068" s="259" t="str">
        <f t="shared" si="209"/>
        <v>Mar-02</v>
      </c>
    </row>
    <row r="1069" spans="1:48" ht="27" hidden="1">
      <c r="A1069" s="604">
        <v>1469</v>
      </c>
      <c r="B1069" s="669" t="s">
        <v>1125</v>
      </c>
      <c r="C1069" s="669" t="s">
        <v>15</v>
      </c>
      <c r="D1069" s="630">
        <v>110728</v>
      </c>
      <c r="E1069" s="651" t="s">
        <v>2054</v>
      </c>
      <c r="F1069" s="652" t="s">
        <v>58</v>
      </c>
      <c r="G1069" s="652" t="s">
        <v>24</v>
      </c>
      <c r="H1069" s="652" t="s">
        <v>26</v>
      </c>
      <c r="I1069" s="580" t="s">
        <v>2055</v>
      </c>
      <c r="J1069" s="580">
        <v>1</v>
      </c>
      <c r="K1069" s="652" t="s">
        <v>85</v>
      </c>
      <c r="L1069" s="662">
        <v>44622</v>
      </c>
      <c r="M1069" s="670" t="s">
        <v>2056</v>
      </c>
      <c r="N1069" s="652" t="s">
        <v>1828</v>
      </c>
      <c r="O1069" s="580">
        <v>2022.1</v>
      </c>
      <c r="P1069" s="670" t="str">
        <f>VLOOKUP(A1069,'[1]Raw data'!$B:$BA,23,FALSE)</f>
        <v>JPY</v>
      </c>
      <c r="Q1069" s="652" t="str">
        <f>VLOOKUP(A1069,'[1]Raw data'!$B:$Z,2,FALSE)</f>
        <v>C49SZX20210185DZ</v>
      </c>
      <c r="R1069" s="652" t="str">
        <f>VLOOKUP(A1069,'[1]Raw data'!$B:$Z,3,FALSE)</f>
        <v>宝捷信</v>
      </c>
      <c r="S1069" s="652" t="str">
        <f>VLOOKUP(A1069,'[1]Raw data'!$B:$Z,4,FALSE)</f>
        <v>YSM20R-2</v>
      </c>
      <c r="T1069" s="652" t="str">
        <f>VLOOKUP(A1069,'[1]Raw data'!$B:$Z,8,FALSE)</f>
        <v>L-&gt;R</v>
      </c>
      <c r="U1069" s="652" t="str">
        <f>VLOOKUP(A1069,'[1]Raw data'!$B:$Z,9,FALSE)</f>
        <v>No</v>
      </c>
      <c r="V1069" s="572" t="str">
        <f t="shared" ref="V1069:V1070" si="221">IF(G1069&amp;H1069=T1069&amp;U1069,"OK","WRONG")</f>
        <v>OK</v>
      </c>
      <c r="W1069" s="568" t="str">
        <f>VLOOKUP(A1069,'[1]Raw data'!$B:$AG,32,FALSE)</f>
        <v>DAP HZ</v>
      </c>
      <c r="X1069" s="652">
        <f>VLOOKUP(A1069,'[1]Raw data'!$B:$BA,31,FALSE)</f>
        <v>44410</v>
      </c>
      <c r="Y1069" s="652" t="str">
        <f>VLOOKUP(A1069,'[1]Raw data'!$B:$AS,39,FALSE)</f>
        <v>Yes</v>
      </c>
      <c r="Z1069" s="671"/>
      <c r="AA1069" s="665"/>
      <c r="AB1069" s="666"/>
      <c r="AC1069" s="652" t="s">
        <v>2048</v>
      </c>
      <c r="AD1069" s="580">
        <v>312</v>
      </c>
      <c r="AE1069" s="580">
        <v>20</v>
      </c>
      <c r="AF1069" s="580"/>
      <c r="AG1069" s="580"/>
      <c r="AH1069" s="580"/>
      <c r="AI1069" s="684"/>
      <c r="AJ1069" s="569"/>
      <c r="AK1069" s="569"/>
      <c r="AL1069" s="569"/>
      <c r="AM1069" s="569"/>
      <c r="AN1069" s="619"/>
      <c r="AO1069" s="829" t="str">
        <f t="shared" si="202"/>
        <v>Yes</v>
      </c>
      <c r="AP1069" s="259" t="str">
        <f t="shared" si="203"/>
        <v>MAR 22</v>
      </c>
      <c r="AQ1069" s="547" t="str">
        <f t="shared" si="204"/>
        <v>有定金+有預留客戶</v>
      </c>
      <c r="AR1069" s="259" t="str">
        <f t="shared" si="205"/>
        <v>Shipped_Stock</v>
      </c>
      <c r="AS1069" s="259" t="str">
        <f t="shared" si="206"/>
        <v/>
      </c>
      <c r="AT1069" s="259" t="str">
        <f t="shared" si="207"/>
        <v>宝捷信</v>
      </c>
      <c r="AU1069" s="259" t="str">
        <f t="shared" si="208"/>
        <v>C49SZX20210185DZ</v>
      </c>
      <c r="AV1069" s="259" t="str">
        <f t="shared" si="209"/>
        <v>Mar-02</v>
      </c>
    </row>
    <row r="1070" spans="1:48" ht="13.5" hidden="1" thickBot="1">
      <c r="A1070" s="564">
        <v>1489</v>
      </c>
      <c r="B1070" s="669" t="s">
        <v>1125</v>
      </c>
      <c r="C1070" s="669" t="s">
        <v>15</v>
      </c>
      <c r="D1070" s="629">
        <v>110728</v>
      </c>
      <c r="E1070" s="651" t="s">
        <v>2054</v>
      </c>
      <c r="F1070" s="652" t="s">
        <v>17</v>
      </c>
      <c r="G1070" s="652" t="s">
        <v>18</v>
      </c>
      <c r="H1070" s="652" t="s">
        <v>102</v>
      </c>
      <c r="I1070" s="580" t="s">
        <v>2057</v>
      </c>
      <c r="J1070" s="580">
        <v>1</v>
      </c>
      <c r="K1070" s="652" t="s">
        <v>85</v>
      </c>
      <c r="L1070" s="662">
        <v>44622</v>
      </c>
      <c r="M1070" s="670" t="s">
        <v>906</v>
      </c>
      <c r="N1070" s="652" t="s">
        <v>1828</v>
      </c>
      <c r="O1070" s="580"/>
      <c r="P1070" s="670" t="str">
        <f>VLOOKUP(A1070,'[1]Raw data'!$B:$BA,23,FALSE)</f>
        <v>JPY</v>
      </c>
      <c r="Q1070" s="652" t="str">
        <f>VLOOKUP(A1070,'[1]Raw data'!$B:$Z,2,FALSE)</f>
        <v>C49SZX20210200JY</v>
      </c>
      <c r="R1070" s="652" t="str">
        <f>VLOOKUP(A1070,'[1]Raw data'!$B:$Z,3,FALSE)</f>
        <v>英拓邦（End user:深圳傲尔）</v>
      </c>
      <c r="S1070" s="652" t="str">
        <f>VLOOKUP(A1070,'[1]Raw data'!$B:$Z,4,FALSE)</f>
        <v>YSM10</v>
      </c>
      <c r="T1070" s="652" t="str">
        <f>VLOOKUP(A1070,'[1]Raw data'!$B:$Z,8,FALSE)</f>
        <v>L-&gt;R</v>
      </c>
      <c r="U1070" s="652" t="str">
        <f>VLOOKUP(A1070,'[1]Raw data'!$B:$Z,9,FALSE)</f>
        <v>MVC</v>
      </c>
      <c r="V1070" s="572" t="str">
        <f t="shared" si="221"/>
        <v>WRONG</v>
      </c>
      <c r="W1070" s="568" t="str">
        <f>VLOOKUP(A1070,'[1]Raw data'!$B:$AG,32,FALSE)</f>
        <v>CIF HK</v>
      </c>
      <c r="X1070" s="652">
        <f>VLOOKUP(A1070,'[1]Raw data'!$B:$BA,31,FALSE)</f>
        <v>44496</v>
      </c>
      <c r="Y1070" s="652" t="str">
        <f>VLOOKUP(A1070,'[1]Raw data'!$B:$AS,39,FALSE)</f>
        <v>Yes</v>
      </c>
      <c r="Z1070" s="664"/>
      <c r="AA1070" s="665"/>
      <c r="AB1070" s="666"/>
      <c r="AC1070" s="652" t="s">
        <v>2058</v>
      </c>
      <c r="AD1070" s="667">
        <v>312</v>
      </c>
      <c r="AE1070" s="667">
        <v>10</v>
      </c>
      <c r="AF1070" s="667"/>
      <c r="AG1070" s="667"/>
      <c r="AH1070" s="667"/>
      <c r="AI1070" s="668"/>
      <c r="AN1070" s="547"/>
      <c r="AO1070" s="829" t="str">
        <f t="shared" si="202"/>
        <v>Yes</v>
      </c>
      <c r="AP1070" s="259" t="str">
        <f t="shared" si="203"/>
        <v>MAR 22</v>
      </c>
      <c r="AQ1070" s="547" t="str">
        <f t="shared" si="204"/>
        <v>有定金+有預留客戶</v>
      </c>
      <c r="AR1070" s="259" t="str">
        <f t="shared" si="205"/>
        <v>Shipped_Stock</v>
      </c>
      <c r="AS1070" s="259" t="str">
        <f t="shared" si="206"/>
        <v/>
      </c>
      <c r="AT1070" s="259" t="str">
        <f t="shared" si="207"/>
        <v>英拓邦（End user:深圳傲尔）</v>
      </c>
      <c r="AU1070" s="259" t="str">
        <f t="shared" si="208"/>
        <v>C49SZX20210200JY</v>
      </c>
      <c r="AV1070" s="259" t="str">
        <f t="shared" si="209"/>
        <v>Mar-02</v>
      </c>
    </row>
    <row r="1071" spans="1:48" hidden="1">
      <c r="A1071" s="564">
        <v>1320</v>
      </c>
      <c r="B1071" s="669" t="s">
        <v>1125</v>
      </c>
      <c r="C1071" s="669" t="s">
        <v>281</v>
      </c>
      <c r="D1071" s="650">
        <v>110472</v>
      </c>
      <c r="E1071" s="651" t="s">
        <v>886</v>
      </c>
      <c r="F1071" s="652" t="s">
        <v>17</v>
      </c>
      <c r="G1071" s="652" t="s">
        <v>18</v>
      </c>
      <c r="H1071" s="652" t="s">
        <v>27</v>
      </c>
      <c r="I1071" s="580" t="s">
        <v>2059</v>
      </c>
      <c r="J1071" s="580">
        <v>1</v>
      </c>
      <c r="K1071" s="652" t="s">
        <v>85</v>
      </c>
      <c r="L1071" s="662">
        <v>44623</v>
      </c>
      <c r="M1071" s="670">
        <v>5.9499999999999997E-2</v>
      </c>
      <c r="N1071" s="652" t="s">
        <v>1828</v>
      </c>
      <c r="O1071" s="580"/>
      <c r="P1071" s="670" t="str">
        <f>VLOOKUP(A1071,'[1]Raw data'!$B:$BA,23,FALSE)</f>
        <v>JPY</v>
      </c>
      <c r="Q1071" s="652" t="str">
        <f>VLOOKUP(A1071,'[1]Raw data'!$B:$Z,2,FALSE)</f>
        <v>C49SZX20210111DZ</v>
      </c>
      <c r="R1071" s="652" t="str">
        <f>VLOOKUP(A1071,'[1]Raw data'!$B:$Z,3,FALSE)</f>
        <v>恒创兴</v>
      </c>
      <c r="S1071" s="652" t="str">
        <f>VLOOKUP(A1071,'[1]Raw data'!$B:$Z,4,FALSE)</f>
        <v>YSM10</v>
      </c>
      <c r="T1071" s="652" t="str">
        <f>VLOOKUP(A1071,'[1]Raw data'!$B:$Z,8,FALSE)</f>
        <v>L-&gt;R</v>
      </c>
      <c r="U1071" s="652" t="str">
        <f>VLOOKUP(A1071,'[1]Raw data'!$B:$Z,9,FALSE)</f>
        <v>MVC</v>
      </c>
      <c r="V1071" s="572" t="str">
        <f>IF(G1071&amp;H1071=T1071&amp;U1071,"OK","WRONG")</f>
        <v>WRONG</v>
      </c>
      <c r="W1071" s="568" t="str">
        <f>VLOOKUP(A1071,'[1]Raw data'!$B:$AG,32,FALSE)</f>
        <v>CIF HK</v>
      </c>
      <c r="X1071" s="652">
        <f>VLOOKUP(A1071,'[1]Raw data'!$B:$BA,31,FALSE)</f>
        <v>44295</v>
      </c>
      <c r="Y1071" s="652" t="str">
        <f>VLOOKUP(A1071,'[1]Raw data'!$B:$AS,39,FALSE)</f>
        <v>Yes</v>
      </c>
      <c r="Z1071" s="667"/>
      <c r="AA1071" s="667"/>
      <c r="AB1071" s="667"/>
      <c r="AC1071" s="652" t="s">
        <v>1796</v>
      </c>
      <c r="AD1071" s="576">
        <v>301</v>
      </c>
      <c r="AE1071" s="576">
        <v>10</v>
      </c>
      <c r="AH1071" s="547"/>
      <c r="AI1071" s="547"/>
      <c r="AJ1071" s="547"/>
      <c r="AK1071" s="547"/>
      <c r="AL1071" s="547"/>
      <c r="AM1071" s="547"/>
      <c r="AN1071" s="547"/>
      <c r="AO1071" s="829" t="str">
        <f t="shared" si="202"/>
        <v>Yes</v>
      </c>
      <c r="AP1071" s="259" t="str">
        <f t="shared" si="203"/>
        <v>MAR 22</v>
      </c>
      <c r="AQ1071" s="547" t="str">
        <f t="shared" si="204"/>
        <v>有定金+有預留客戶</v>
      </c>
      <c r="AR1071" s="259" t="str">
        <f t="shared" si="205"/>
        <v>Shipped_Stock</v>
      </c>
      <c r="AS1071" s="259" t="str">
        <f t="shared" si="206"/>
        <v/>
      </c>
      <c r="AT1071" s="259" t="str">
        <f t="shared" si="207"/>
        <v>恒创兴</v>
      </c>
      <c r="AU1071" s="259" t="str">
        <f t="shared" si="208"/>
        <v>C49SZX20210111DZ</v>
      </c>
      <c r="AV1071" s="259" t="str">
        <f t="shared" si="209"/>
        <v>Mar-03</v>
      </c>
    </row>
    <row r="1072" spans="1:48" hidden="1">
      <c r="A1072" s="604">
        <v>1373</v>
      </c>
      <c r="B1072" s="669" t="s">
        <v>1125</v>
      </c>
      <c r="C1072" s="669" t="s">
        <v>281</v>
      </c>
      <c r="D1072" s="650">
        <v>110472</v>
      </c>
      <c r="E1072" s="651" t="s">
        <v>886</v>
      </c>
      <c r="F1072" s="652" t="s">
        <v>17</v>
      </c>
      <c r="G1072" s="652" t="s">
        <v>18</v>
      </c>
      <c r="H1072" s="652" t="s">
        <v>27</v>
      </c>
      <c r="I1072" s="580" t="s">
        <v>2060</v>
      </c>
      <c r="J1072" s="580">
        <v>1</v>
      </c>
      <c r="K1072" s="652" t="s">
        <v>85</v>
      </c>
      <c r="L1072" s="662">
        <v>44623</v>
      </c>
      <c r="M1072" s="670">
        <v>5.9499999999999997E-2</v>
      </c>
      <c r="N1072" s="652" t="s">
        <v>1828</v>
      </c>
      <c r="O1072" s="580"/>
      <c r="P1072" s="670" t="str">
        <f>VLOOKUP(A1072,'[1]Raw data'!$B:$BA,23,FALSE)</f>
        <v>JPY</v>
      </c>
      <c r="Q1072" s="652" t="str">
        <f>VLOOKUP(A1072,'[1]Raw data'!$B:$Z,2,FALSE)</f>
        <v>C49SZX20210147DY</v>
      </c>
      <c r="R1072" s="652" t="str">
        <f>VLOOKUP(A1072,'[1]Raw data'!$B:$Z,3,FALSE)</f>
        <v>朗迅</v>
      </c>
      <c r="S1072" s="652" t="str">
        <f>VLOOKUP(A1072,'[1]Raw data'!$B:$Z,4,FALSE)</f>
        <v>YSM10</v>
      </c>
      <c r="T1072" s="652" t="str">
        <f>VLOOKUP(A1072,'[1]Raw data'!$B:$Z,8,FALSE)</f>
        <v>L-&gt;R</v>
      </c>
      <c r="U1072" s="652" t="str">
        <f>VLOOKUP(A1072,'[1]Raw data'!$B:$Z,9,FALSE)</f>
        <v>MVC</v>
      </c>
      <c r="V1072" s="572" t="str">
        <f>IF(G1072&amp;H1072=T1072&amp;U1072,"OK","WRONG")</f>
        <v>WRONG</v>
      </c>
      <c r="W1072" s="568" t="str">
        <f>VLOOKUP(A1072,'[1]Raw data'!$B:$AG,32,FALSE)</f>
        <v>DAP HZ</v>
      </c>
      <c r="X1072" s="652">
        <f>VLOOKUP(A1072,'[1]Raw data'!$B:$BA,31,FALSE)</f>
        <v>44333</v>
      </c>
      <c r="Y1072" s="652" t="str">
        <f>VLOOKUP(A1072,'[1]Raw data'!$B:$AS,39,FALSE)</f>
        <v>Yes</v>
      </c>
      <c r="Z1072" s="652"/>
      <c r="AA1072" s="580"/>
      <c r="AB1072" s="580"/>
      <c r="AC1072" s="652" t="s">
        <v>1832</v>
      </c>
      <c r="AD1072" s="580">
        <v>301</v>
      </c>
      <c r="AE1072" s="580">
        <v>10</v>
      </c>
      <c r="AF1072" s="684"/>
      <c r="AG1072" s="569"/>
      <c r="AH1072" s="569"/>
      <c r="AI1072" s="569"/>
      <c r="AJ1072" s="569"/>
      <c r="AK1072" s="619"/>
      <c r="AL1072" s="619"/>
      <c r="AM1072" s="619"/>
      <c r="AN1072" s="619"/>
      <c r="AO1072" s="829" t="str">
        <f t="shared" si="202"/>
        <v>Yes</v>
      </c>
      <c r="AP1072" s="259" t="str">
        <f t="shared" si="203"/>
        <v>MAR 22</v>
      </c>
      <c r="AQ1072" s="547" t="str">
        <f t="shared" si="204"/>
        <v>有定金+有預留客戶</v>
      </c>
      <c r="AR1072" s="259" t="str">
        <f t="shared" si="205"/>
        <v>Shipped_Stock</v>
      </c>
      <c r="AS1072" s="259" t="str">
        <f t="shared" si="206"/>
        <v/>
      </c>
      <c r="AT1072" s="259" t="str">
        <f t="shared" si="207"/>
        <v>朗迅</v>
      </c>
      <c r="AU1072" s="259" t="str">
        <f t="shared" si="208"/>
        <v>C49SZX20210147DY</v>
      </c>
      <c r="AV1072" s="259" t="str">
        <f t="shared" si="209"/>
        <v>Mar-03</v>
      </c>
    </row>
    <row r="1073" spans="1:48" hidden="1">
      <c r="A1073" s="604">
        <v>1374</v>
      </c>
      <c r="B1073" s="669" t="s">
        <v>1125</v>
      </c>
      <c r="C1073" s="669" t="s">
        <v>281</v>
      </c>
      <c r="D1073" s="650">
        <v>110472</v>
      </c>
      <c r="E1073" s="651" t="s">
        <v>886</v>
      </c>
      <c r="F1073" s="652" t="s">
        <v>17</v>
      </c>
      <c r="G1073" s="652" t="s">
        <v>18</v>
      </c>
      <c r="H1073" s="652" t="s">
        <v>26</v>
      </c>
      <c r="I1073" s="580" t="s">
        <v>2061</v>
      </c>
      <c r="J1073" s="580">
        <v>1</v>
      </c>
      <c r="K1073" s="652" t="s">
        <v>85</v>
      </c>
      <c r="L1073" s="662">
        <v>44623</v>
      </c>
      <c r="M1073" s="670">
        <v>5.9499999999999997E-2</v>
      </c>
      <c r="N1073" s="652" t="s">
        <v>1828</v>
      </c>
      <c r="O1073" s="580"/>
      <c r="P1073" s="670" t="str">
        <f>VLOOKUP(A1073,'[1]Raw data'!$B:$BA,23,FALSE)</f>
        <v>JPY</v>
      </c>
      <c r="Q1073" s="652" t="str">
        <f>VLOOKUP(A1073,'[1]Raw data'!$B:$Z,2,FALSE)</f>
        <v>C49SZX20210147DY</v>
      </c>
      <c r="R1073" s="652" t="str">
        <f>VLOOKUP(A1073,'[1]Raw data'!$B:$Z,3,FALSE)</f>
        <v>朗迅</v>
      </c>
      <c r="S1073" s="652" t="str">
        <f>VLOOKUP(A1073,'[1]Raw data'!$B:$Z,4,FALSE)</f>
        <v>YSM10</v>
      </c>
      <c r="T1073" s="652" t="str">
        <f>VLOOKUP(A1073,'[1]Raw data'!$B:$Z,8,FALSE)</f>
        <v>L-&gt;R</v>
      </c>
      <c r="U1073" s="652" t="str">
        <f>VLOOKUP(A1073,'[1]Raw data'!$B:$Z,9,FALSE)</f>
        <v>MVC</v>
      </c>
      <c r="V1073" s="572" t="str">
        <f>IF(G1073&amp;H1073=T1073&amp;U1073,"OK","WRONG")</f>
        <v>WRONG</v>
      </c>
      <c r="W1073" s="568" t="str">
        <f>VLOOKUP(A1073,'[1]Raw data'!$B:$AG,32,FALSE)</f>
        <v>DAP HZ</v>
      </c>
      <c r="X1073" s="652">
        <f>VLOOKUP(A1073,'[1]Raw data'!$B:$BA,31,FALSE)</f>
        <v>44333</v>
      </c>
      <c r="Y1073" s="652" t="str">
        <f>VLOOKUP(A1073,'[1]Raw data'!$B:$AS,39,FALSE)</f>
        <v>Yes</v>
      </c>
      <c r="Z1073" s="652"/>
      <c r="AA1073" s="580"/>
      <c r="AB1073" s="580"/>
      <c r="AC1073" s="652" t="s">
        <v>1832</v>
      </c>
      <c r="AD1073" s="580">
        <v>301</v>
      </c>
      <c r="AE1073" s="580">
        <v>10</v>
      </c>
      <c r="AF1073" s="684"/>
      <c r="AG1073" s="569"/>
      <c r="AH1073" s="569"/>
      <c r="AI1073" s="569"/>
      <c r="AJ1073" s="569"/>
      <c r="AK1073" s="619"/>
      <c r="AL1073" s="619"/>
      <c r="AM1073" s="619"/>
      <c r="AN1073" s="619"/>
      <c r="AO1073" s="829" t="str">
        <f t="shared" si="202"/>
        <v>Yes</v>
      </c>
      <c r="AP1073" s="259" t="str">
        <f t="shared" si="203"/>
        <v>MAR 22</v>
      </c>
      <c r="AQ1073" s="547" t="str">
        <f t="shared" si="204"/>
        <v>有定金+有預留客戶</v>
      </c>
      <c r="AR1073" s="259" t="str">
        <f t="shared" si="205"/>
        <v>Shipped_Stock</v>
      </c>
      <c r="AS1073" s="259" t="str">
        <f t="shared" si="206"/>
        <v/>
      </c>
      <c r="AT1073" s="259" t="str">
        <f t="shared" si="207"/>
        <v>朗迅</v>
      </c>
      <c r="AU1073" s="259" t="str">
        <f t="shared" si="208"/>
        <v>C49SZX20210147DY</v>
      </c>
      <c r="AV1073" s="259" t="str">
        <f t="shared" si="209"/>
        <v>Mar-03</v>
      </c>
    </row>
    <row r="1074" spans="1:48" hidden="1">
      <c r="A1074" s="604">
        <v>1408</v>
      </c>
      <c r="B1074" s="669" t="s">
        <v>1125</v>
      </c>
      <c r="C1074" s="669" t="s">
        <v>15</v>
      </c>
      <c r="D1074" s="650">
        <v>110730</v>
      </c>
      <c r="E1074" s="651" t="s">
        <v>2062</v>
      </c>
      <c r="F1074" s="652" t="s">
        <v>58</v>
      </c>
      <c r="G1074" s="652" t="s">
        <v>24</v>
      </c>
      <c r="H1074" s="652" t="s">
        <v>26</v>
      </c>
      <c r="I1074" s="580" t="s">
        <v>2063</v>
      </c>
      <c r="J1074" s="580">
        <v>1</v>
      </c>
      <c r="K1074" s="652" t="s">
        <v>85</v>
      </c>
      <c r="L1074" s="662">
        <v>44623</v>
      </c>
      <c r="M1074" s="670" t="s">
        <v>906</v>
      </c>
      <c r="N1074" s="652" t="s">
        <v>1828</v>
      </c>
      <c r="O1074" s="580"/>
      <c r="P1074" s="670" t="str">
        <f>VLOOKUP(A1074,'[1]Raw data'!$B:$BA,23,FALSE)</f>
        <v>JPY</v>
      </c>
      <c r="Q1074" s="652" t="str">
        <f>VLOOKUP(A1074,'[1]Raw data'!$B:$Z,2,FALSE)</f>
        <v>C49SZX20210166SX</v>
      </c>
      <c r="R1074" s="652" t="str">
        <f>VLOOKUP(A1074,'[1]Raw data'!$B:$Z,3,FALSE)</f>
        <v>晨鑫达</v>
      </c>
      <c r="S1074" s="652" t="str">
        <f>VLOOKUP(A1074,'[1]Raw data'!$B:$Z,4,FALSE)</f>
        <v>YSM20R-2</v>
      </c>
      <c r="T1074" s="652" t="str">
        <f>VLOOKUP(A1074,'[1]Raw data'!$B:$Z,8,FALSE)</f>
        <v>L-&gt;R</v>
      </c>
      <c r="U1074" s="652" t="str">
        <f>VLOOKUP(A1074,'[1]Raw data'!$B:$Z,9,FALSE)</f>
        <v>No</v>
      </c>
      <c r="V1074" s="572" t="str">
        <f t="shared" ref="V1074" si="222">IF(G1074&amp;H1074=T1074&amp;U1074,"OK","WRONG")</f>
        <v>OK</v>
      </c>
      <c r="W1074" s="568" t="str">
        <f>VLOOKUP(A1074,'[1]Raw data'!$B:$AG,32,FALSE)</f>
        <v>DAP SZ</v>
      </c>
      <c r="X1074" s="652">
        <f>VLOOKUP(A1074,'[1]Raw data'!$B:$BA,31,FALSE)</f>
        <v>44356</v>
      </c>
      <c r="Y1074" s="652" t="str">
        <f>VLOOKUP(A1074,'[1]Raw data'!$B:$AS,39,FALSE)</f>
        <v>Yes</v>
      </c>
      <c r="Z1074" s="671"/>
      <c r="AA1074" s="672"/>
      <c r="AB1074" s="673"/>
      <c r="AC1074" s="652" t="s">
        <v>1033</v>
      </c>
      <c r="AD1074" s="580">
        <v>301</v>
      </c>
      <c r="AE1074" s="580">
        <v>10</v>
      </c>
      <c r="AF1074" s="580">
        <v>304</v>
      </c>
      <c r="AG1074" s="580">
        <v>10</v>
      </c>
      <c r="AH1074" s="580"/>
      <c r="AI1074" s="684"/>
      <c r="AJ1074" s="569"/>
      <c r="AK1074" s="569"/>
      <c r="AL1074" s="569"/>
      <c r="AM1074" s="569"/>
      <c r="AN1074" s="619"/>
      <c r="AO1074" s="829" t="str">
        <f t="shared" si="202"/>
        <v>Yes</v>
      </c>
      <c r="AP1074" s="259" t="str">
        <f t="shared" si="203"/>
        <v>MAR 22</v>
      </c>
      <c r="AQ1074" s="547" t="str">
        <f t="shared" si="204"/>
        <v>有定金+有預留客戶</v>
      </c>
      <c r="AR1074" s="259" t="str">
        <f t="shared" si="205"/>
        <v>Shipped_Stock</v>
      </c>
      <c r="AS1074" s="259" t="str">
        <f t="shared" si="206"/>
        <v/>
      </c>
      <c r="AT1074" s="259" t="str">
        <f t="shared" si="207"/>
        <v>晨鑫达</v>
      </c>
      <c r="AU1074" s="259" t="str">
        <f t="shared" si="208"/>
        <v>C49SZX20210166SX</v>
      </c>
      <c r="AV1074" s="259" t="str">
        <f t="shared" si="209"/>
        <v>Mar-03</v>
      </c>
    </row>
    <row r="1075" spans="1:48" hidden="1">
      <c r="A1075" s="604">
        <v>1409</v>
      </c>
      <c r="B1075" s="669" t="s">
        <v>1125</v>
      </c>
      <c r="C1075" s="669" t="s">
        <v>15</v>
      </c>
      <c r="D1075" s="650">
        <v>110730</v>
      </c>
      <c r="E1075" s="651" t="s">
        <v>2062</v>
      </c>
      <c r="F1075" s="652" t="s">
        <v>58</v>
      </c>
      <c r="G1075" s="652" t="s">
        <v>24</v>
      </c>
      <c r="H1075" s="652" t="s">
        <v>26</v>
      </c>
      <c r="I1075" s="580" t="s">
        <v>2064</v>
      </c>
      <c r="J1075" s="580">
        <v>1</v>
      </c>
      <c r="K1075" s="652" t="s">
        <v>85</v>
      </c>
      <c r="L1075" s="662">
        <v>44623</v>
      </c>
      <c r="M1075" s="670" t="s">
        <v>906</v>
      </c>
      <c r="N1075" s="652" t="s">
        <v>1828</v>
      </c>
      <c r="O1075" s="580"/>
      <c r="P1075" s="670" t="str">
        <f>VLOOKUP(A1075,'[1]Raw data'!$B:$BA,23,FALSE)</f>
        <v>JPY</v>
      </c>
      <c r="Q1075" s="652" t="str">
        <f>VLOOKUP(A1075,'[1]Raw data'!$B:$Z,2,FALSE)</f>
        <v>C49SZX20210166SX</v>
      </c>
      <c r="R1075" s="652" t="str">
        <f>VLOOKUP(A1075,'[1]Raw data'!$B:$Z,3,FALSE)</f>
        <v>晨鑫达</v>
      </c>
      <c r="S1075" s="652" t="str">
        <f>VLOOKUP(A1075,'[1]Raw data'!$B:$Z,4,FALSE)</f>
        <v>YSM20R-2</v>
      </c>
      <c r="T1075" s="652" t="str">
        <f>VLOOKUP(A1075,'[1]Raw data'!$B:$Z,8,FALSE)</f>
        <v>L-&gt;R</v>
      </c>
      <c r="U1075" s="652" t="str">
        <f>VLOOKUP(A1075,'[1]Raw data'!$B:$Z,9,FALSE)</f>
        <v>No</v>
      </c>
      <c r="V1075" s="572" t="str">
        <f t="shared" ref="V1075:V1080" si="223">IF(G1075&amp;H1075=T1075&amp;U1075,"OK","WRONG")</f>
        <v>OK</v>
      </c>
      <c r="W1075" s="568" t="str">
        <f>VLOOKUP(A1075,'[1]Raw data'!$B:$AG,32,FALSE)</f>
        <v>DAP SZ</v>
      </c>
      <c r="X1075" s="652">
        <f>VLOOKUP(A1075,'[1]Raw data'!$B:$BA,31,FALSE)</f>
        <v>44356</v>
      </c>
      <c r="Y1075" s="652" t="str">
        <f>VLOOKUP(A1075,'[1]Raw data'!$B:$AS,39,FALSE)</f>
        <v>Yes</v>
      </c>
      <c r="Z1075" s="671"/>
      <c r="AA1075" s="672"/>
      <c r="AB1075" s="673"/>
      <c r="AC1075" s="652" t="s">
        <v>1033</v>
      </c>
      <c r="AD1075" s="580">
        <v>302</v>
      </c>
      <c r="AE1075" s="580">
        <v>5</v>
      </c>
      <c r="AF1075" s="580">
        <v>304</v>
      </c>
      <c r="AG1075" s="580">
        <v>15</v>
      </c>
      <c r="AH1075" s="580"/>
      <c r="AI1075" s="684"/>
      <c r="AJ1075" s="569"/>
      <c r="AK1075" s="569"/>
      <c r="AL1075" s="569"/>
      <c r="AM1075" s="569"/>
      <c r="AN1075" s="619"/>
      <c r="AO1075" s="829" t="str">
        <f t="shared" si="202"/>
        <v>Yes</v>
      </c>
      <c r="AP1075" s="259" t="str">
        <f t="shared" si="203"/>
        <v>MAR 22</v>
      </c>
      <c r="AQ1075" s="547" t="str">
        <f t="shared" si="204"/>
        <v>有定金+有預留客戶</v>
      </c>
      <c r="AR1075" s="259" t="str">
        <f t="shared" si="205"/>
        <v>Shipped_Stock</v>
      </c>
      <c r="AS1075" s="259" t="str">
        <f t="shared" si="206"/>
        <v/>
      </c>
      <c r="AT1075" s="259" t="str">
        <f t="shared" si="207"/>
        <v>晨鑫达</v>
      </c>
      <c r="AU1075" s="259" t="str">
        <f t="shared" si="208"/>
        <v>C49SZX20210166SX</v>
      </c>
      <c r="AV1075" s="259" t="str">
        <f t="shared" si="209"/>
        <v>Mar-03</v>
      </c>
    </row>
    <row r="1076" spans="1:48" hidden="1">
      <c r="A1076" s="604">
        <v>1410</v>
      </c>
      <c r="B1076" s="669" t="s">
        <v>1125</v>
      </c>
      <c r="C1076" s="669" t="s">
        <v>15</v>
      </c>
      <c r="D1076" s="650">
        <v>110730</v>
      </c>
      <c r="E1076" s="651" t="s">
        <v>2062</v>
      </c>
      <c r="F1076" s="652" t="s">
        <v>17</v>
      </c>
      <c r="G1076" s="652" t="s">
        <v>18</v>
      </c>
      <c r="H1076" s="652" t="s">
        <v>48</v>
      </c>
      <c r="I1076" s="580" t="s">
        <v>2065</v>
      </c>
      <c r="J1076" s="580">
        <v>1</v>
      </c>
      <c r="K1076" s="652" t="s">
        <v>85</v>
      </c>
      <c r="L1076" s="662">
        <v>44623</v>
      </c>
      <c r="M1076" s="670" t="s">
        <v>906</v>
      </c>
      <c r="N1076" s="652" t="s">
        <v>1828</v>
      </c>
      <c r="O1076" s="580"/>
      <c r="P1076" s="670" t="str">
        <f>VLOOKUP(A1076,'[1]Raw data'!$B:$BA,23,FALSE)</f>
        <v>JPY</v>
      </c>
      <c r="Q1076" s="652" t="str">
        <f>VLOOKUP(A1076,'[1]Raw data'!$B:$Z,2,FALSE)</f>
        <v>C49SZX20210166SX</v>
      </c>
      <c r="R1076" s="652" t="str">
        <f>VLOOKUP(A1076,'[1]Raw data'!$B:$Z,3,FALSE)</f>
        <v>晨鑫达</v>
      </c>
      <c r="S1076" s="652" t="str">
        <f>VLOOKUP(A1076,'[1]Raw data'!$B:$Z,4,FALSE)</f>
        <v>YSM10</v>
      </c>
      <c r="T1076" s="652" t="str">
        <f>VLOOKUP(A1076,'[1]Raw data'!$B:$Z,8,FALSE)</f>
        <v>L-&gt;R</v>
      </c>
      <c r="U1076" s="652" t="str">
        <f>VLOOKUP(A1076,'[1]Raw data'!$B:$Z,9,FALSE)</f>
        <v>MVC F&amp;R+ATS15</v>
      </c>
      <c r="V1076" s="572" t="str">
        <f t="shared" si="223"/>
        <v>WRONG</v>
      </c>
      <c r="W1076" s="568" t="str">
        <f>VLOOKUP(A1076,'[1]Raw data'!$B:$AG,32,FALSE)</f>
        <v>DAP SZ</v>
      </c>
      <c r="X1076" s="652">
        <f>VLOOKUP(A1076,'[1]Raw data'!$B:$BA,31,FALSE)</f>
        <v>44356</v>
      </c>
      <c r="Y1076" s="652" t="str">
        <f>VLOOKUP(A1076,'[1]Raw data'!$B:$AS,39,FALSE)</f>
        <v>Yes</v>
      </c>
      <c r="Z1076" s="671"/>
      <c r="AA1076" s="672"/>
      <c r="AB1076" s="673"/>
      <c r="AC1076" s="652" t="s">
        <v>1033</v>
      </c>
      <c r="AD1076" s="580">
        <v>312</v>
      </c>
      <c r="AE1076" s="580">
        <v>10</v>
      </c>
      <c r="AF1076" s="580"/>
      <c r="AG1076" s="580"/>
      <c r="AH1076" s="580"/>
      <c r="AI1076" s="684"/>
      <c r="AJ1076" s="569"/>
      <c r="AK1076" s="569"/>
      <c r="AL1076" s="569"/>
      <c r="AM1076" s="569"/>
      <c r="AN1076" s="619"/>
      <c r="AO1076" s="829" t="str">
        <f t="shared" si="202"/>
        <v>Yes</v>
      </c>
      <c r="AP1076" s="259" t="str">
        <f t="shared" si="203"/>
        <v>MAR 22</v>
      </c>
      <c r="AQ1076" s="547" t="str">
        <f t="shared" si="204"/>
        <v>有定金+有預留客戶</v>
      </c>
      <c r="AR1076" s="259" t="str">
        <f t="shared" si="205"/>
        <v>Shipped_Stock</v>
      </c>
      <c r="AS1076" s="259" t="str">
        <f t="shared" si="206"/>
        <v/>
      </c>
      <c r="AT1076" s="259" t="str">
        <f t="shared" si="207"/>
        <v>晨鑫达</v>
      </c>
      <c r="AU1076" s="259" t="str">
        <f t="shared" si="208"/>
        <v>C49SZX20210166SX</v>
      </c>
      <c r="AV1076" s="259" t="str">
        <f t="shared" si="209"/>
        <v>Mar-03</v>
      </c>
    </row>
    <row r="1077" spans="1:48" ht="22.5" hidden="1">
      <c r="A1077" s="604">
        <v>1559</v>
      </c>
      <c r="B1077" s="669" t="s">
        <v>1125</v>
      </c>
      <c r="C1077" s="669" t="s">
        <v>15</v>
      </c>
      <c r="D1077" s="650">
        <v>110730</v>
      </c>
      <c r="E1077" s="651" t="s">
        <v>2062</v>
      </c>
      <c r="F1077" s="652" t="s">
        <v>17</v>
      </c>
      <c r="G1077" s="652" t="s">
        <v>18</v>
      </c>
      <c r="H1077" s="652" t="s">
        <v>48</v>
      </c>
      <c r="I1077" s="580" t="s">
        <v>2066</v>
      </c>
      <c r="J1077" s="580">
        <v>1</v>
      </c>
      <c r="K1077" s="762" t="s">
        <v>85</v>
      </c>
      <c r="L1077" s="662">
        <v>44623</v>
      </c>
      <c r="M1077" s="670" t="s">
        <v>2067</v>
      </c>
      <c r="N1077" s="652" t="s">
        <v>1930</v>
      </c>
      <c r="O1077" s="580">
        <v>2022.1</v>
      </c>
      <c r="P1077" s="670" t="str">
        <f>VLOOKUP(A1077,'[1]Raw data'!$B:$BA,23,FALSE)</f>
        <v>JPY</v>
      </c>
      <c r="Q1077" s="652" t="str">
        <f>VLOOKUP(A1077,'[1]Raw data'!$B:$Z,2,FALSE)</f>
        <v>C49SZX20220010SQ</v>
      </c>
      <c r="R1077" s="652" t="str">
        <f>VLOOKUP(A1077,'[1]Raw data'!$B:$Z,3,FALSE)</f>
        <v>达锂</v>
      </c>
      <c r="S1077" s="652" t="str">
        <f>VLOOKUP(A1077,'[1]Raw data'!$B:$Z,4,FALSE)</f>
        <v>YSM10</v>
      </c>
      <c r="T1077" s="652" t="str">
        <f>VLOOKUP(A1077,'[1]Raw data'!$B:$Z,8,FALSE)</f>
        <v>L-&gt;R</v>
      </c>
      <c r="U1077" s="652" t="str">
        <f>VLOOKUP(A1077,'[1]Raw data'!$B:$Z,9,FALSE)</f>
        <v>MVC+ATS15</v>
      </c>
      <c r="V1077" s="572" t="str">
        <f t="shared" si="223"/>
        <v>WRONG</v>
      </c>
      <c r="W1077" s="568" t="str">
        <f>VLOOKUP(A1077,'[1]Raw data'!$B:$AG,32,FALSE)</f>
        <v>DAP DG</v>
      </c>
      <c r="X1077" s="652">
        <f>VLOOKUP(A1077,'[1]Raw data'!$B:$BA,31,FALSE)</f>
        <v>44581</v>
      </c>
      <c r="Y1077" s="652" t="str">
        <f>VLOOKUP(A1077,'[1]Raw data'!$B:$AS,39,FALSE)</f>
        <v>Yes</v>
      </c>
      <c r="Z1077" s="671"/>
      <c r="AA1077" s="665"/>
      <c r="AB1077" s="666"/>
      <c r="AC1077" s="652" t="s">
        <v>2068</v>
      </c>
      <c r="AD1077" s="580">
        <v>312</v>
      </c>
      <c r="AE1077" s="580">
        <v>10</v>
      </c>
      <c r="AF1077" s="580"/>
      <c r="AG1077" s="580"/>
      <c r="AH1077" s="580"/>
      <c r="AI1077" s="684"/>
      <c r="AJ1077" s="569"/>
      <c r="AK1077" s="569"/>
      <c r="AL1077" s="569"/>
      <c r="AM1077" s="569"/>
      <c r="AN1077" s="619"/>
      <c r="AO1077" s="829" t="str">
        <f t="shared" si="202"/>
        <v>Yes</v>
      </c>
      <c r="AP1077" s="259" t="str">
        <f t="shared" si="203"/>
        <v>APR 22</v>
      </c>
      <c r="AQ1077" s="547" t="str">
        <f t="shared" si="204"/>
        <v>有定金+有預留客戶</v>
      </c>
      <c r="AR1077" s="259" t="str">
        <f t="shared" si="205"/>
        <v>Shipped_Stock</v>
      </c>
      <c r="AS1077" s="259" t="str">
        <f t="shared" si="206"/>
        <v/>
      </c>
      <c r="AT1077" s="259" t="str">
        <f t="shared" si="207"/>
        <v>达锂</v>
      </c>
      <c r="AU1077" s="259" t="str">
        <f t="shared" si="208"/>
        <v>C49SZX20220010SQ</v>
      </c>
      <c r="AV1077" s="259" t="str">
        <f t="shared" si="209"/>
        <v>Mar-03</v>
      </c>
    </row>
    <row r="1078" spans="1:48" hidden="1">
      <c r="A1078" s="604">
        <v>1288</v>
      </c>
      <c r="B1078" s="669" t="s">
        <v>1125</v>
      </c>
      <c r="C1078" s="669" t="s">
        <v>15</v>
      </c>
      <c r="D1078" s="766">
        <v>110732</v>
      </c>
      <c r="E1078" s="651" t="s">
        <v>2069</v>
      </c>
      <c r="F1078" s="652" t="s">
        <v>58</v>
      </c>
      <c r="G1078" s="652" t="s">
        <v>24</v>
      </c>
      <c r="H1078" s="652" t="s">
        <v>159</v>
      </c>
      <c r="I1078" s="580" t="s">
        <v>2070</v>
      </c>
      <c r="J1078" s="580">
        <v>1</v>
      </c>
      <c r="K1078" s="730" t="s">
        <v>2071</v>
      </c>
      <c r="L1078" s="662">
        <v>44627</v>
      </c>
      <c r="M1078" s="670" t="s">
        <v>906</v>
      </c>
      <c r="N1078" s="652" t="s">
        <v>1930</v>
      </c>
      <c r="O1078" s="580">
        <v>2022.2</v>
      </c>
      <c r="P1078" s="670" t="str">
        <f>VLOOKUP(A1078,'[1]Raw data'!$B:$BA,23,FALSE)</f>
        <v>JPY</v>
      </c>
      <c r="Q1078" s="652" t="str">
        <f>VLOOKUP(A1078,'[1]Raw data'!$B:$Z,2,FALSE)</f>
        <v>C49SZX20210092MZ</v>
      </c>
      <c r="R1078" s="652" t="str">
        <f>VLOOKUP(A1078,'[1]Raw data'!$B:$Z,3,FALSE)</f>
        <v>懿美莱</v>
      </c>
      <c r="S1078" s="652" t="str">
        <f>VLOOKUP(A1078,'[1]Raw data'!$B:$Z,4,FALSE)</f>
        <v>YSM20R-2</v>
      </c>
      <c r="T1078" s="652" t="str">
        <f>VLOOKUP(A1078,'[1]Raw data'!$B:$Z,8,FALSE)</f>
        <v>L-&gt;R</v>
      </c>
      <c r="U1078" s="652" t="str">
        <f>VLOOKUP(A1078,'[1]Raw data'!$B:$Z,9,FALSE)</f>
        <v>cATS10+MVC+special layout</v>
      </c>
      <c r="V1078" s="572" t="str">
        <f t="shared" si="223"/>
        <v>OK</v>
      </c>
      <c r="W1078" s="568" t="str">
        <f>VLOOKUP(A1078,'[1]Raw data'!$B:$AG,32,FALSE)</f>
        <v>DAP SZ</v>
      </c>
      <c r="X1078" s="652">
        <f>VLOOKUP(A1078,'[1]Raw data'!$B:$BA,31,FALSE)</f>
        <v>44285</v>
      </c>
      <c r="Y1078" s="652" t="str">
        <f>VLOOKUP(A1078,'[1]Raw data'!$B:$AS,39,FALSE)</f>
        <v>Yes</v>
      </c>
      <c r="Z1078" s="671"/>
      <c r="AA1078" s="672"/>
      <c r="AB1078" s="673"/>
      <c r="AC1078" s="652" t="s">
        <v>2072</v>
      </c>
      <c r="AD1078" s="580">
        <v>303</v>
      </c>
      <c r="AE1078" s="580">
        <v>5</v>
      </c>
      <c r="AF1078" s="580">
        <v>304</v>
      </c>
      <c r="AG1078" s="580">
        <v>5</v>
      </c>
      <c r="AH1078" s="580">
        <v>312</v>
      </c>
      <c r="AI1078" s="684">
        <v>10</v>
      </c>
      <c r="AJ1078" s="569"/>
      <c r="AK1078" s="569"/>
      <c r="AL1078" s="569"/>
      <c r="AM1078" s="569"/>
      <c r="AN1078" s="619"/>
      <c r="AO1078" s="829" t="str">
        <f t="shared" si="202"/>
        <v>Yes</v>
      </c>
      <c r="AP1078" s="259" t="str">
        <f t="shared" si="203"/>
        <v>APR 22</v>
      </c>
      <c r="AQ1078" s="547" t="str">
        <f t="shared" si="204"/>
        <v>有定金+有預留客戶</v>
      </c>
      <c r="AR1078" s="259" t="str">
        <f t="shared" si="205"/>
        <v>Shipped_Stock</v>
      </c>
      <c r="AS1078" s="259" t="str">
        <f t="shared" si="206"/>
        <v/>
      </c>
      <c r="AT1078" s="259" t="str">
        <f t="shared" si="207"/>
        <v>懿美莱</v>
      </c>
      <c r="AU1078" s="259" t="str">
        <f t="shared" si="208"/>
        <v>C49SZX20210092MZ</v>
      </c>
      <c r="AV1078" s="259" t="str">
        <f t="shared" si="209"/>
        <v>Mar-07</v>
      </c>
    </row>
    <row r="1079" spans="1:48" ht="16.5" hidden="1">
      <c r="A1079" s="604">
        <v>1291</v>
      </c>
      <c r="B1079" s="669" t="s">
        <v>1125</v>
      </c>
      <c r="C1079" s="669" t="s">
        <v>281</v>
      </c>
      <c r="D1079" s="650">
        <v>110773</v>
      </c>
      <c r="E1079" s="568" t="s">
        <v>886</v>
      </c>
      <c r="F1079" s="652" t="s">
        <v>58</v>
      </c>
      <c r="G1079" s="652" t="s">
        <v>24</v>
      </c>
      <c r="H1079" s="652" t="s">
        <v>27</v>
      </c>
      <c r="I1079" s="580" t="s">
        <v>2073</v>
      </c>
      <c r="J1079" s="580">
        <v>1</v>
      </c>
      <c r="K1079" s="762" t="s">
        <v>2071</v>
      </c>
      <c r="L1079" s="662">
        <v>44627</v>
      </c>
      <c r="M1079" s="670" t="s">
        <v>906</v>
      </c>
      <c r="N1079" s="652" t="s">
        <v>1930</v>
      </c>
      <c r="O1079" s="580">
        <v>2022.2</v>
      </c>
      <c r="P1079" s="670" t="str">
        <f>VLOOKUP(A1079,'[1]Raw data'!$B:$BA,23,FALSE)</f>
        <v>JPY</v>
      </c>
      <c r="Q1079" s="652" t="str">
        <f>VLOOKUP(A1079,'[1]Raw data'!$B:$Z,2,FALSE)</f>
        <v>C49SZX20210092MZ</v>
      </c>
      <c r="R1079" s="652" t="str">
        <f>VLOOKUP(A1079,'[1]Raw data'!$B:$Z,3,FALSE)</f>
        <v>懿美莱</v>
      </c>
      <c r="S1079" s="652" t="str">
        <f>VLOOKUP(A1079,'[1]Raw data'!$B:$Z,4,FALSE)</f>
        <v>YSM20R-2</v>
      </c>
      <c r="T1079" s="652" t="str">
        <f>VLOOKUP(A1079,'[1]Raw data'!$B:$Z,8,FALSE)</f>
        <v>L-&gt;R</v>
      </c>
      <c r="U1079" s="652" t="str">
        <f>VLOOKUP(A1079,'[1]Raw data'!$B:$Z,9,FALSE)</f>
        <v>No</v>
      </c>
      <c r="V1079" s="572" t="str">
        <f t="shared" si="223"/>
        <v>WRONG</v>
      </c>
      <c r="W1079" s="568" t="str">
        <f>VLOOKUP(A1079,'[1]Raw data'!$B:$AG,32,FALSE)</f>
        <v>DAP SZ</v>
      </c>
      <c r="X1079" s="652">
        <f>VLOOKUP(A1079,'[1]Raw data'!$B:$BA,31,FALSE)</f>
        <v>44285</v>
      </c>
      <c r="Y1079" s="652" t="str">
        <f>VLOOKUP(A1079,'[1]Raw data'!$B:$AS,39,FALSE)</f>
        <v>Yes</v>
      </c>
      <c r="Z1079" s="671"/>
      <c r="AA1079" s="672"/>
      <c r="AB1079" s="673"/>
      <c r="AC1079" s="652" t="s">
        <v>2072</v>
      </c>
      <c r="AD1079" s="580">
        <v>302</v>
      </c>
      <c r="AE1079" s="580">
        <v>10</v>
      </c>
      <c r="AF1079" s="580">
        <v>302</v>
      </c>
      <c r="AG1079" s="580">
        <v>10</v>
      </c>
      <c r="AH1079" s="580"/>
      <c r="AI1079" s="684"/>
      <c r="AJ1079" s="569"/>
      <c r="AK1079" s="569"/>
      <c r="AL1079" s="569"/>
      <c r="AM1079" s="569"/>
      <c r="AN1079" s="619"/>
      <c r="AO1079" s="829" t="str">
        <f t="shared" si="202"/>
        <v>Yes</v>
      </c>
      <c r="AP1079" s="259" t="str">
        <f t="shared" si="203"/>
        <v>APR 22</v>
      </c>
      <c r="AQ1079" s="547" t="str">
        <f t="shared" si="204"/>
        <v>有定金+有預留客戶</v>
      </c>
      <c r="AR1079" s="259" t="str">
        <f t="shared" si="205"/>
        <v>Shipped_Stock</v>
      </c>
      <c r="AS1079" s="259" t="str">
        <f t="shared" si="206"/>
        <v/>
      </c>
      <c r="AT1079" s="259" t="str">
        <f t="shared" si="207"/>
        <v>懿美莱</v>
      </c>
      <c r="AU1079" s="259" t="str">
        <f t="shared" si="208"/>
        <v>C49SZX20210092MZ</v>
      </c>
      <c r="AV1079" s="259" t="str">
        <f t="shared" si="209"/>
        <v>Mar-07</v>
      </c>
    </row>
    <row r="1080" spans="1:48" ht="17.25" hidden="1" thickBot="1">
      <c r="A1080" s="604">
        <v>1558</v>
      </c>
      <c r="B1080" s="669" t="s">
        <v>1125</v>
      </c>
      <c r="C1080" s="669" t="s">
        <v>15</v>
      </c>
      <c r="D1080" s="629">
        <v>110737</v>
      </c>
      <c r="E1080" s="651" t="s">
        <v>2074</v>
      </c>
      <c r="F1080" s="652" t="s">
        <v>58</v>
      </c>
      <c r="G1080" s="652" t="s">
        <v>24</v>
      </c>
      <c r="H1080" s="652" t="s">
        <v>26</v>
      </c>
      <c r="I1080" s="580" t="s">
        <v>2075</v>
      </c>
      <c r="J1080" s="580">
        <v>1</v>
      </c>
      <c r="K1080" s="762" t="s">
        <v>2071</v>
      </c>
      <c r="L1080" s="662">
        <v>44627</v>
      </c>
      <c r="M1080" s="670" t="s">
        <v>906</v>
      </c>
      <c r="N1080" s="652" t="s">
        <v>1930</v>
      </c>
      <c r="O1080" s="580">
        <v>2022.2</v>
      </c>
      <c r="P1080" s="670" t="str">
        <f>VLOOKUP(A1080,'[1]Raw data'!$B:$BA,23,FALSE)</f>
        <v>JPY</v>
      </c>
      <c r="Q1080" s="652" t="str">
        <f>VLOOKUP(A1080,'[1]Raw data'!$B:$Z,2,FALSE)</f>
        <v>C49SZX20220010SQ</v>
      </c>
      <c r="R1080" s="652" t="str">
        <f>VLOOKUP(A1080,'[1]Raw data'!$B:$Z,3,FALSE)</f>
        <v>达锂</v>
      </c>
      <c r="S1080" s="652" t="str">
        <f>VLOOKUP(A1080,'[1]Raw data'!$B:$Z,4,FALSE)</f>
        <v>YSM20R-2</v>
      </c>
      <c r="T1080" s="652" t="str">
        <f>VLOOKUP(A1080,'[1]Raw data'!$B:$Z,8,FALSE)</f>
        <v>L-&gt;R</v>
      </c>
      <c r="U1080" s="652" t="str">
        <f>VLOOKUP(A1080,'[1]Raw data'!$B:$Z,9,FALSE)</f>
        <v>No</v>
      </c>
      <c r="V1080" s="572" t="str">
        <f t="shared" si="223"/>
        <v>OK</v>
      </c>
      <c r="W1080" s="568" t="str">
        <f>VLOOKUP(A1080,'[1]Raw data'!$B:$AG,32,FALSE)</f>
        <v>DAP DG</v>
      </c>
      <c r="X1080" s="652">
        <f>VLOOKUP(A1080,'[1]Raw data'!$B:$BA,31,FALSE)</f>
        <v>44581</v>
      </c>
      <c r="Y1080" s="652" t="str">
        <f>VLOOKUP(A1080,'[1]Raw data'!$B:$AS,39,FALSE)</f>
        <v>Yes</v>
      </c>
      <c r="Z1080" s="671"/>
      <c r="AA1080" s="665"/>
      <c r="AB1080" s="666"/>
      <c r="AC1080" s="652" t="s">
        <v>2068</v>
      </c>
      <c r="AD1080" s="580">
        <v>301</v>
      </c>
      <c r="AE1080" s="580">
        <v>10</v>
      </c>
      <c r="AF1080" s="580">
        <v>302</v>
      </c>
      <c r="AG1080" s="580">
        <v>10</v>
      </c>
      <c r="AH1080" s="580"/>
      <c r="AI1080" s="684"/>
      <c r="AJ1080" s="569"/>
      <c r="AK1080" s="569"/>
      <c r="AL1080" s="569"/>
      <c r="AM1080" s="569"/>
      <c r="AN1080" s="619"/>
      <c r="AO1080" s="829" t="str">
        <f t="shared" si="202"/>
        <v>Yes</v>
      </c>
      <c r="AP1080" s="259" t="str">
        <f t="shared" si="203"/>
        <v>APR 22</v>
      </c>
      <c r="AQ1080" s="547" t="str">
        <f t="shared" si="204"/>
        <v>有定金+有預留客戶</v>
      </c>
      <c r="AR1080" s="259" t="str">
        <f t="shared" si="205"/>
        <v>Shipped_Stock</v>
      </c>
      <c r="AS1080" s="259" t="str">
        <f t="shared" si="206"/>
        <v/>
      </c>
      <c r="AT1080" s="259" t="str">
        <f t="shared" si="207"/>
        <v>达锂</v>
      </c>
      <c r="AU1080" s="259" t="str">
        <f t="shared" si="208"/>
        <v>C49SZX20220010SQ</v>
      </c>
      <c r="AV1080" s="259" t="str">
        <f t="shared" si="209"/>
        <v>Mar-07</v>
      </c>
    </row>
    <row r="1081" spans="1:48" ht="16.5" hidden="1">
      <c r="A1081" s="604">
        <v>1289</v>
      </c>
      <c r="B1081" s="669" t="s">
        <v>1125</v>
      </c>
      <c r="C1081" s="669" t="s">
        <v>281</v>
      </c>
      <c r="D1081" s="766">
        <v>110774</v>
      </c>
      <c r="E1081" s="567" t="s">
        <v>886</v>
      </c>
      <c r="F1081" s="652" t="s">
        <v>58</v>
      </c>
      <c r="G1081" s="652" t="s">
        <v>24</v>
      </c>
      <c r="H1081" s="652" t="s">
        <v>159</v>
      </c>
      <c r="I1081" s="580" t="s">
        <v>2076</v>
      </c>
      <c r="J1081" s="580">
        <v>1</v>
      </c>
      <c r="K1081" s="762" t="s">
        <v>2071</v>
      </c>
      <c r="L1081" s="662">
        <v>44640</v>
      </c>
      <c r="M1081" s="670" t="s">
        <v>906</v>
      </c>
      <c r="N1081" s="652" t="s">
        <v>1930</v>
      </c>
      <c r="O1081" s="580">
        <v>2022.2</v>
      </c>
      <c r="P1081" s="670" t="str">
        <f>VLOOKUP(A1081,'[1]Raw data'!$B:$BA,23,FALSE)</f>
        <v>JPY</v>
      </c>
      <c r="Q1081" s="652" t="str">
        <f>VLOOKUP(A1081,'[1]Raw data'!$B:$Z,2,FALSE)</f>
        <v>C49SZX20210092MZ</v>
      </c>
      <c r="R1081" s="652" t="str">
        <f>VLOOKUP(A1081,'[1]Raw data'!$B:$Z,3,FALSE)</f>
        <v>懿美莱</v>
      </c>
      <c r="S1081" s="652" t="str">
        <f>VLOOKUP(A1081,'[1]Raw data'!$B:$Z,4,FALSE)</f>
        <v>YSM20R-2</v>
      </c>
      <c r="T1081" s="652" t="str">
        <f>VLOOKUP(A1081,'[1]Raw data'!$B:$Z,8,FALSE)</f>
        <v>L-&gt;R</v>
      </c>
      <c r="U1081" s="652" t="str">
        <f>VLOOKUP(A1081,'[1]Raw data'!$B:$Z,9,FALSE)</f>
        <v>cATS10+MVC+special layout</v>
      </c>
      <c r="V1081" s="572" t="str">
        <f t="shared" ref="V1081:V1084" si="224">IF(G1081&amp;H1081=T1081&amp;U1081,"OK","WRONG")</f>
        <v>OK</v>
      </c>
      <c r="W1081" s="568" t="str">
        <f>VLOOKUP(A1081,'[1]Raw data'!$B:$AG,32,FALSE)</f>
        <v>DAP SZ</v>
      </c>
      <c r="X1081" s="652">
        <f>VLOOKUP(A1081,'[1]Raw data'!$B:$BA,31,FALSE)</f>
        <v>44285</v>
      </c>
      <c r="Y1081" s="652" t="str">
        <f>VLOOKUP(A1081,'[1]Raw data'!$B:$AS,39,FALSE)</f>
        <v>Yes</v>
      </c>
      <c r="Z1081" s="671"/>
      <c r="AA1081" s="672"/>
      <c r="AB1081" s="673"/>
      <c r="AC1081" s="652" t="s">
        <v>2072</v>
      </c>
      <c r="AD1081" s="580">
        <v>301</v>
      </c>
      <c r="AE1081" s="580">
        <v>10</v>
      </c>
      <c r="AF1081" s="580">
        <v>311</v>
      </c>
      <c r="AG1081" s="580">
        <v>10</v>
      </c>
      <c r="AH1081" s="580"/>
      <c r="AI1081" s="684"/>
      <c r="AJ1081" s="569"/>
      <c r="AK1081" s="569"/>
      <c r="AL1081" s="569"/>
      <c r="AM1081" s="569"/>
      <c r="AN1081" s="619"/>
      <c r="AO1081" s="829" t="str">
        <f t="shared" si="202"/>
        <v>Yes</v>
      </c>
      <c r="AP1081" s="259" t="str">
        <f t="shared" si="203"/>
        <v>APR 22</v>
      </c>
      <c r="AQ1081" s="547" t="str">
        <f t="shared" si="204"/>
        <v>有定金+有預留客戶</v>
      </c>
      <c r="AR1081" s="259" t="str">
        <f t="shared" si="205"/>
        <v>Shipped_Stock</v>
      </c>
      <c r="AS1081" s="259" t="str">
        <f t="shared" si="206"/>
        <v/>
      </c>
      <c r="AT1081" s="259" t="str">
        <f t="shared" si="207"/>
        <v>懿美莱</v>
      </c>
      <c r="AU1081" s="259" t="str">
        <f t="shared" si="208"/>
        <v>C49SZX20210092MZ</v>
      </c>
      <c r="AV1081" s="259" t="str">
        <f t="shared" si="209"/>
        <v>Mar-20</v>
      </c>
    </row>
    <row r="1082" spans="1:48" ht="16.5" hidden="1">
      <c r="A1082" s="604">
        <v>1445</v>
      </c>
      <c r="B1082" s="669" t="s">
        <v>1125</v>
      </c>
      <c r="C1082" s="669" t="s">
        <v>281</v>
      </c>
      <c r="D1082" s="760">
        <v>110775</v>
      </c>
      <c r="E1082" s="567" t="s">
        <v>886</v>
      </c>
      <c r="F1082" s="652" t="s">
        <v>58</v>
      </c>
      <c r="G1082" s="652" t="s">
        <v>18</v>
      </c>
      <c r="H1082" s="652" t="s">
        <v>26</v>
      </c>
      <c r="I1082" s="580" t="s">
        <v>2077</v>
      </c>
      <c r="J1082" s="580">
        <v>1</v>
      </c>
      <c r="K1082" s="762" t="s">
        <v>2071</v>
      </c>
      <c r="L1082" s="662">
        <v>44640</v>
      </c>
      <c r="M1082" s="670" t="s">
        <v>906</v>
      </c>
      <c r="N1082" s="652" t="s">
        <v>1930</v>
      </c>
      <c r="O1082" s="580">
        <v>2022.2</v>
      </c>
      <c r="P1082" s="670" t="str">
        <f>VLOOKUP(A1082,'[1]Raw data'!$B:$BA,23,FALSE)</f>
        <v>JPY</v>
      </c>
      <c r="Q1082" s="652" t="str">
        <f>VLOOKUP(A1082,'[1]Raw data'!$B:$Z,2,FALSE)</f>
        <v>C49SZX20210177SS</v>
      </c>
      <c r="R1082" s="652" t="str">
        <f>VLOOKUP(A1082,'[1]Raw data'!$B:$Z,3,FALSE)</f>
        <v>乐凡电子</v>
      </c>
      <c r="S1082" s="652" t="str">
        <f>VLOOKUP(A1082,'[1]Raw data'!$B:$Z,4,FALSE)</f>
        <v>YSM20R-2</v>
      </c>
      <c r="T1082" s="652" t="str">
        <f>VLOOKUP(A1082,'[1]Raw data'!$B:$Z,8,FALSE)</f>
        <v>R-&gt;L</v>
      </c>
      <c r="U1082" s="652" t="str">
        <f>VLOOKUP(A1082,'[1]Raw data'!$B:$Z,9,FALSE)</f>
        <v>No</v>
      </c>
      <c r="V1082" s="572" t="str">
        <f>IF(G1082&amp;H1082=T1082&amp;U1082,"OK","WRONG")</f>
        <v>OK</v>
      </c>
      <c r="W1082" s="568" t="str">
        <f>VLOOKUP(A1082,'[1]Raw data'!$B:$AG,32,FALSE)</f>
        <v>DAP SZ</v>
      </c>
      <c r="X1082" s="652">
        <f>VLOOKUP(A1082,'[1]Raw data'!$B:$BA,31,FALSE)</f>
        <v>44372</v>
      </c>
      <c r="Y1082" s="652" t="str">
        <f>VLOOKUP(A1082,'[1]Raw data'!$B:$AS,39,FALSE)</f>
        <v>Yes</v>
      </c>
      <c r="Z1082" s="671"/>
      <c r="AA1082" s="665"/>
      <c r="AB1082" s="666"/>
      <c r="AC1082" s="652" t="s">
        <v>970</v>
      </c>
      <c r="AD1082" s="580">
        <v>301</v>
      </c>
      <c r="AE1082" s="580">
        <v>10</v>
      </c>
      <c r="AF1082" s="580">
        <v>311</v>
      </c>
      <c r="AG1082" s="580">
        <v>10</v>
      </c>
      <c r="AH1082" s="580"/>
      <c r="AI1082" s="684"/>
      <c r="AJ1082" s="569"/>
      <c r="AK1082" s="569"/>
      <c r="AL1082" s="569"/>
      <c r="AM1082" s="569"/>
      <c r="AN1082" s="619"/>
      <c r="AO1082" s="829" t="str">
        <f t="shared" si="202"/>
        <v>Yes</v>
      </c>
      <c r="AP1082" s="259" t="str">
        <f t="shared" si="203"/>
        <v>APR 22</v>
      </c>
      <c r="AQ1082" s="547" t="str">
        <f t="shared" si="204"/>
        <v>有定金+有預留客戶</v>
      </c>
      <c r="AR1082" s="259" t="str">
        <f t="shared" si="205"/>
        <v>Shipped_Stock</v>
      </c>
      <c r="AS1082" s="259" t="str">
        <f t="shared" si="206"/>
        <v/>
      </c>
      <c r="AT1082" s="259" t="str">
        <f t="shared" si="207"/>
        <v>乐凡电子</v>
      </c>
      <c r="AU1082" s="259" t="str">
        <f t="shared" si="208"/>
        <v>C49SZX20210177SS</v>
      </c>
      <c r="AV1082" s="259" t="str">
        <f t="shared" si="209"/>
        <v>Mar-20</v>
      </c>
    </row>
    <row r="1083" spans="1:48" ht="16.5" hidden="1">
      <c r="A1083" s="604">
        <v>1002</v>
      </c>
      <c r="B1083" s="669" t="s">
        <v>1125</v>
      </c>
      <c r="C1083" s="669" t="s">
        <v>281</v>
      </c>
      <c r="D1083" s="760">
        <v>110775</v>
      </c>
      <c r="E1083" s="567" t="s">
        <v>886</v>
      </c>
      <c r="F1083" s="652" t="s">
        <v>58</v>
      </c>
      <c r="G1083" s="652" t="s">
        <v>24</v>
      </c>
      <c r="H1083" s="652" t="s">
        <v>27</v>
      </c>
      <c r="I1083" s="580" t="s">
        <v>2078</v>
      </c>
      <c r="J1083" s="580">
        <v>1</v>
      </c>
      <c r="K1083" s="762" t="s">
        <v>2071</v>
      </c>
      <c r="L1083" s="662">
        <v>44640</v>
      </c>
      <c r="M1083" s="670" t="s">
        <v>906</v>
      </c>
      <c r="N1083" s="652" t="s">
        <v>1930</v>
      </c>
      <c r="O1083" s="580">
        <v>2022.2</v>
      </c>
      <c r="P1083" s="670" t="str">
        <f>VLOOKUP(A1083,'[1]Raw data'!$B:$BA,23,FALSE)</f>
        <v>JPY</v>
      </c>
      <c r="Q1083" s="652" t="str">
        <f>VLOOKUP(A1083,'[1]Raw data'!$B:$Z,2,FALSE)</f>
        <v>C49SZX20200233JL</v>
      </c>
      <c r="R1083" s="652" t="str">
        <f>VLOOKUP(A1083,'[1]Raw data'!$B:$Z,3,FALSE)</f>
        <v>瑞福联</v>
      </c>
      <c r="S1083" s="652" t="str">
        <f>VLOOKUP(A1083,'[1]Raw data'!$B:$Z,4,FALSE)</f>
        <v>YSM20R-2</v>
      </c>
      <c r="T1083" s="652" t="str">
        <f>VLOOKUP(A1083,'[1]Raw data'!$B:$Z,8,FALSE)</f>
        <v>L-&gt;R</v>
      </c>
      <c r="U1083" s="652" t="str">
        <f>VLOOKUP(A1083,'[1]Raw data'!$B:$Z,9,FALSE)</f>
        <v>No</v>
      </c>
      <c r="V1083" s="572" t="str">
        <f t="shared" si="224"/>
        <v>WRONG</v>
      </c>
      <c r="W1083" s="568" t="str">
        <f>VLOOKUP(A1083,'[1]Raw data'!$B:$AG,32,FALSE)</f>
        <v>CIF HK</v>
      </c>
      <c r="X1083" s="652">
        <f>VLOOKUP(A1083,'[1]Raw data'!$B:$BA,31,FALSE)</f>
        <v>44175</v>
      </c>
      <c r="Y1083" s="652" t="str">
        <f>VLOOKUP(A1083,'[1]Raw data'!$B:$AS,39,FALSE)</f>
        <v>Yes</v>
      </c>
      <c r="Z1083" s="671"/>
      <c r="AA1083" s="665"/>
      <c r="AB1083" s="666"/>
      <c r="AC1083" s="652" t="s">
        <v>2079</v>
      </c>
      <c r="AD1083" s="580">
        <v>301</v>
      </c>
      <c r="AE1083" s="580">
        <v>10</v>
      </c>
      <c r="AF1083" s="580">
        <v>311</v>
      </c>
      <c r="AG1083" s="580">
        <v>10</v>
      </c>
      <c r="AH1083" s="580"/>
      <c r="AI1083" s="684"/>
      <c r="AJ1083" s="569"/>
      <c r="AK1083" s="569"/>
      <c r="AL1083" s="569"/>
      <c r="AM1083" s="569"/>
      <c r="AN1083" s="619"/>
      <c r="AO1083" s="829" t="str">
        <f t="shared" si="202"/>
        <v>Yes</v>
      </c>
      <c r="AP1083" s="259" t="str">
        <f t="shared" si="203"/>
        <v>APR 22</v>
      </c>
      <c r="AQ1083" s="547" t="str">
        <f t="shared" si="204"/>
        <v>有定金+有預留客戶</v>
      </c>
      <c r="AR1083" s="259" t="str">
        <f t="shared" si="205"/>
        <v>Shipped_Stock</v>
      </c>
      <c r="AS1083" s="259" t="str">
        <f t="shared" si="206"/>
        <v/>
      </c>
      <c r="AT1083" s="259" t="str">
        <f t="shared" si="207"/>
        <v>瑞福联</v>
      </c>
      <c r="AU1083" s="259" t="str">
        <f t="shared" si="208"/>
        <v>C49SZX20200233JL</v>
      </c>
      <c r="AV1083" s="259" t="str">
        <f t="shared" si="209"/>
        <v>Mar-20</v>
      </c>
    </row>
    <row r="1084" spans="1:48" ht="16.5" hidden="1">
      <c r="A1084" s="604">
        <v>1381</v>
      </c>
      <c r="B1084" s="669" t="s">
        <v>1125</v>
      </c>
      <c r="C1084" s="669" t="s">
        <v>281</v>
      </c>
      <c r="D1084" s="760">
        <v>110775</v>
      </c>
      <c r="E1084" s="567" t="s">
        <v>886</v>
      </c>
      <c r="F1084" s="652" t="s">
        <v>58</v>
      </c>
      <c r="G1084" s="652" t="s">
        <v>24</v>
      </c>
      <c r="H1084" s="652" t="s">
        <v>26</v>
      </c>
      <c r="I1084" s="580" t="s">
        <v>2080</v>
      </c>
      <c r="J1084" s="580">
        <v>1</v>
      </c>
      <c r="K1084" s="762" t="s">
        <v>2071</v>
      </c>
      <c r="L1084" s="662">
        <v>44640</v>
      </c>
      <c r="M1084" s="670" t="s">
        <v>906</v>
      </c>
      <c r="N1084" s="652" t="s">
        <v>1930</v>
      </c>
      <c r="O1084" s="580">
        <v>2022.2</v>
      </c>
      <c r="P1084" s="670" t="str">
        <f>VLOOKUP(A1084,'[1]Raw data'!$B:$BA,23,FALSE)</f>
        <v>JPY</v>
      </c>
      <c r="Q1084" s="652" t="str">
        <f>VLOOKUP(A1084,'[1]Raw data'!$B:$Z,2,FALSE)</f>
        <v>C49SZX20210182MZ</v>
      </c>
      <c r="R1084" s="652" t="str">
        <f>VLOOKUP(A1084,'[1]Raw data'!$B:$Z,3,FALSE)</f>
        <v>巨能</v>
      </c>
      <c r="S1084" s="652" t="str">
        <f>VLOOKUP(A1084,'[1]Raw data'!$B:$Z,4,FALSE)</f>
        <v>YSM20R-2</v>
      </c>
      <c r="T1084" s="652" t="str">
        <f>VLOOKUP(A1084,'[1]Raw data'!$B:$Z,8,FALSE)</f>
        <v>L-&gt;R</v>
      </c>
      <c r="U1084" s="652" t="str">
        <f>VLOOKUP(A1084,'[1]Raw data'!$B:$Z,9,FALSE)</f>
        <v>No</v>
      </c>
      <c r="V1084" s="572" t="str">
        <f t="shared" si="224"/>
        <v>OK</v>
      </c>
      <c r="W1084" s="568" t="str">
        <f>VLOOKUP(A1084,'[1]Raw data'!$B:$AG,32,FALSE)</f>
        <v>DAP SZ</v>
      </c>
      <c r="X1084" s="652">
        <f>VLOOKUP(A1084,'[1]Raw data'!$B:$BA,31,FALSE)</f>
        <v>44337</v>
      </c>
      <c r="Y1084" s="652" t="str">
        <f>VLOOKUP(A1084,'[1]Raw data'!$B:$AS,39,FALSE)</f>
        <v>Yes</v>
      </c>
      <c r="Z1084" s="671"/>
      <c r="AA1084" s="665"/>
      <c r="AB1084" s="666"/>
      <c r="AC1084" s="652" t="s">
        <v>1647</v>
      </c>
      <c r="AD1084" s="580">
        <v>301</v>
      </c>
      <c r="AE1084" s="580">
        <v>10</v>
      </c>
      <c r="AF1084" s="580">
        <v>311</v>
      </c>
      <c r="AG1084" s="580">
        <v>10</v>
      </c>
      <c r="AH1084" s="580"/>
      <c r="AI1084" s="684"/>
      <c r="AJ1084" s="569"/>
      <c r="AK1084" s="569"/>
      <c r="AL1084" s="569"/>
      <c r="AM1084" s="569"/>
      <c r="AN1084" s="619"/>
      <c r="AO1084" s="829" t="str">
        <f t="shared" si="202"/>
        <v>Yes</v>
      </c>
      <c r="AP1084" s="259" t="str">
        <f t="shared" si="203"/>
        <v>APR 22</v>
      </c>
      <c r="AQ1084" s="547" t="str">
        <f t="shared" si="204"/>
        <v>有定金+有預留客戶</v>
      </c>
      <c r="AR1084" s="259" t="str">
        <f t="shared" si="205"/>
        <v>Shipped_Stock</v>
      </c>
      <c r="AS1084" s="259" t="str">
        <f t="shared" si="206"/>
        <v/>
      </c>
      <c r="AT1084" s="259" t="str">
        <f t="shared" si="207"/>
        <v>巨能</v>
      </c>
      <c r="AU1084" s="259" t="str">
        <f t="shared" si="208"/>
        <v>C49SZX20210182MZ</v>
      </c>
      <c r="AV1084" s="259" t="str">
        <f t="shared" si="209"/>
        <v>Mar-20</v>
      </c>
    </row>
    <row r="1085" spans="1:48" ht="16.5" hidden="1">
      <c r="A1085" s="604">
        <v>1090</v>
      </c>
      <c r="B1085" s="669" t="s">
        <v>1125</v>
      </c>
      <c r="C1085" s="669" t="s">
        <v>281</v>
      </c>
      <c r="D1085" s="760">
        <v>110249</v>
      </c>
      <c r="E1085" s="567" t="s">
        <v>886</v>
      </c>
      <c r="F1085" s="652" t="s">
        <v>58</v>
      </c>
      <c r="G1085" s="652" t="s">
        <v>24</v>
      </c>
      <c r="H1085" s="652" t="s">
        <v>26</v>
      </c>
      <c r="I1085" s="580" t="s">
        <v>2081</v>
      </c>
      <c r="J1085" s="580">
        <v>1</v>
      </c>
      <c r="K1085" s="762" t="s">
        <v>2071</v>
      </c>
      <c r="L1085" s="662">
        <v>44640</v>
      </c>
      <c r="M1085" s="670" t="s">
        <v>2082</v>
      </c>
      <c r="N1085" s="652" t="s">
        <v>1930</v>
      </c>
      <c r="O1085" s="580">
        <v>2022.2</v>
      </c>
      <c r="P1085" s="670" t="str">
        <f>VLOOKUP(A1085,'[1]Raw data'!$B:$BA,23,FALSE)</f>
        <v>JPY</v>
      </c>
      <c r="Q1085" s="652" t="str">
        <f>VLOOKUP(A1085,'[1]Raw data'!$B:$Z,2,FALSE)</f>
        <v>C49SZX20210031SX</v>
      </c>
      <c r="R1085" s="652" t="str">
        <f>VLOOKUP(A1085,'[1]Raw data'!$B:$Z,3,FALSE)</f>
        <v>益田科技</v>
      </c>
      <c r="S1085" s="652" t="str">
        <f>VLOOKUP(A1085,'[1]Raw data'!$B:$Z,4,FALSE)</f>
        <v>YSM20R-2</v>
      </c>
      <c r="T1085" s="652" t="str">
        <f>VLOOKUP(A1085,'[1]Raw data'!$B:$Z,8,FALSE)</f>
        <v>L-&gt;R</v>
      </c>
      <c r="U1085" s="652" t="str">
        <f>VLOOKUP(A1085,'[1]Raw data'!$B:$Z,9,FALSE)</f>
        <v>No</v>
      </c>
      <c r="V1085" s="572" t="str">
        <f t="shared" ref="V1085:V1090" si="225">IF(G1085&amp;H1085=T1085&amp;U1085,"OK","WRONG")</f>
        <v>OK</v>
      </c>
      <c r="W1085" s="568" t="str">
        <f>VLOOKUP(A1085,'[1]Raw data'!$B:$AG,32,FALSE)</f>
        <v>DAP SZ</v>
      </c>
      <c r="X1085" s="652">
        <f>VLOOKUP(A1085,'[1]Raw data'!$B:$BA,31,FALSE)</f>
        <v>44222</v>
      </c>
      <c r="Y1085" s="652" t="str">
        <f>VLOOKUP(A1085,'[1]Raw data'!$B:$AS,39,FALSE)</f>
        <v>Yes</v>
      </c>
      <c r="Z1085" s="671"/>
      <c r="AA1085" s="665"/>
      <c r="AB1085" s="666"/>
      <c r="AC1085" s="652" t="s">
        <v>1172</v>
      </c>
      <c r="AD1085" s="580">
        <v>302</v>
      </c>
      <c r="AE1085" s="580">
        <v>10</v>
      </c>
      <c r="AF1085" s="580">
        <v>302</v>
      </c>
      <c r="AG1085" s="580">
        <v>10</v>
      </c>
      <c r="AH1085" s="580"/>
      <c r="AI1085" s="684"/>
      <c r="AJ1085" s="569"/>
      <c r="AK1085" s="569"/>
      <c r="AL1085" s="569"/>
      <c r="AM1085" s="569"/>
      <c r="AN1085" s="619"/>
      <c r="AO1085" s="829" t="str">
        <f t="shared" si="202"/>
        <v>Yes</v>
      </c>
      <c r="AP1085" s="259" t="str">
        <f t="shared" si="203"/>
        <v>APR 22</v>
      </c>
      <c r="AQ1085" s="547" t="str">
        <f t="shared" si="204"/>
        <v>有定金+有預留客戶</v>
      </c>
      <c r="AR1085" s="259" t="str">
        <f t="shared" si="205"/>
        <v>Shipped_Stock</v>
      </c>
      <c r="AS1085" s="259" t="str">
        <f t="shared" si="206"/>
        <v/>
      </c>
      <c r="AT1085" s="259" t="str">
        <f t="shared" si="207"/>
        <v>益田科技</v>
      </c>
      <c r="AU1085" s="259" t="str">
        <f t="shared" si="208"/>
        <v>C49SZX20210031SX</v>
      </c>
      <c r="AV1085" s="259" t="str">
        <f t="shared" si="209"/>
        <v>Mar-20</v>
      </c>
    </row>
    <row r="1086" spans="1:48" ht="16.5" hidden="1">
      <c r="A1086" s="604">
        <v>1557</v>
      </c>
      <c r="B1086" s="669" t="s">
        <v>1125</v>
      </c>
      <c r="C1086" s="669" t="s">
        <v>15</v>
      </c>
      <c r="D1086" s="628">
        <v>110755</v>
      </c>
      <c r="E1086" s="651" t="s">
        <v>2083</v>
      </c>
      <c r="F1086" s="652" t="s">
        <v>17</v>
      </c>
      <c r="G1086" s="652" t="s">
        <v>18</v>
      </c>
      <c r="H1086" s="652" t="s">
        <v>27</v>
      </c>
      <c r="I1086" s="580" t="s">
        <v>2084</v>
      </c>
      <c r="J1086" s="580">
        <v>1</v>
      </c>
      <c r="K1086" s="762" t="s">
        <v>2071</v>
      </c>
      <c r="L1086" s="662">
        <v>44642</v>
      </c>
      <c r="M1086" s="670" t="s">
        <v>906</v>
      </c>
      <c r="N1086" s="652" t="s">
        <v>1828</v>
      </c>
      <c r="O1086" s="580">
        <v>2022.2</v>
      </c>
      <c r="P1086" s="670" t="str">
        <f>VLOOKUP(A1086,'[1]Raw data'!$B:$BA,23,FALSE)</f>
        <v>JPY</v>
      </c>
      <c r="Q1086" s="652" t="str">
        <f>VLOOKUP(A1086,'[1]Raw data'!$B:$Z,2,FALSE)</f>
        <v>C49SZX20220002BX</v>
      </c>
      <c r="R1086" s="652" t="str">
        <f>VLOOKUP(A1086,'[1]Raw data'!$B:$Z,3,FALSE)</f>
        <v>渝溢三甲</v>
      </c>
      <c r="S1086" s="652" t="str">
        <f>VLOOKUP(A1086,'[1]Raw data'!$B:$Z,4,FALSE)</f>
        <v>YSM10</v>
      </c>
      <c r="T1086" s="652" t="str">
        <f>VLOOKUP(A1086,'[1]Raw data'!$B:$Z,8,FALSE)</f>
        <v>R-&gt;L</v>
      </c>
      <c r="U1086" s="652" t="str">
        <f>VLOOKUP(A1086,'[1]Raw data'!$B:$Z,9,FALSE)</f>
        <v>No</v>
      </c>
      <c r="V1086" s="572" t="str">
        <f t="shared" si="225"/>
        <v>WRONG</v>
      </c>
      <c r="W1086" s="568" t="str">
        <f>VLOOKUP(A1086,'[1]Raw data'!$B:$AG,32,FALSE)</f>
        <v>DAP HZ</v>
      </c>
      <c r="X1086" s="652">
        <f>VLOOKUP(A1086,'[1]Raw data'!$B:$BA,31,FALSE)</f>
        <v>44567</v>
      </c>
      <c r="Y1086" s="652" t="str">
        <f>VLOOKUP(A1086,'[1]Raw data'!$B:$AS,39,FALSE)</f>
        <v>Yes</v>
      </c>
      <c r="Z1086" s="671"/>
      <c r="AA1086" s="665"/>
      <c r="AB1086" s="666"/>
      <c r="AC1086" s="652" t="s">
        <v>1897</v>
      </c>
      <c r="AD1086" s="580">
        <v>301</v>
      </c>
      <c r="AE1086" s="580">
        <v>10</v>
      </c>
      <c r="AF1086" s="580"/>
      <c r="AG1086" s="580"/>
      <c r="AH1086" s="580"/>
      <c r="AI1086" s="684"/>
      <c r="AJ1086" s="569"/>
      <c r="AK1086" s="569"/>
      <c r="AL1086" s="569"/>
      <c r="AM1086" s="569"/>
      <c r="AN1086" s="619"/>
      <c r="AO1086" s="829" t="str">
        <f t="shared" si="202"/>
        <v>Yes</v>
      </c>
      <c r="AP1086" s="259" t="str">
        <f t="shared" si="203"/>
        <v>MAR 22</v>
      </c>
      <c r="AQ1086" s="547" t="str">
        <f t="shared" si="204"/>
        <v>有定金+有預留客戶</v>
      </c>
      <c r="AR1086" s="259" t="str">
        <f t="shared" si="205"/>
        <v>Shipped_Stock</v>
      </c>
      <c r="AS1086" s="259" t="str">
        <f t="shared" si="206"/>
        <v/>
      </c>
      <c r="AT1086" s="259" t="str">
        <f t="shared" si="207"/>
        <v>渝溢三甲</v>
      </c>
      <c r="AU1086" s="259" t="str">
        <f t="shared" si="208"/>
        <v>C49SZX20220002BX</v>
      </c>
      <c r="AV1086" s="259" t="str">
        <f t="shared" si="209"/>
        <v>Mar-22</v>
      </c>
    </row>
    <row r="1087" spans="1:48" ht="16.5" hidden="1">
      <c r="A1087" s="604">
        <v>1292</v>
      </c>
      <c r="B1087" s="669" t="s">
        <v>1125</v>
      </c>
      <c r="C1087" s="669" t="s">
        <v>15</v>
      </c>
      <c r="D1087" s="630">
        <v>110756</v>
      </c>
      <c r="E1087" s="651" t="s">
        <v>2085</v>
      </c>
      <c r="F1087" s="652" t="s">
        <v>17</v>
      </c>
      <c r="G1087" s="652" t="s">
        <v>18</v>
      </c>
      <c r="H1087" s="652" t="s">
        <v>27</v>
      </c>
      <c r="I1087" s="580" t="s">
        <v>2086</v>
      </c>
      <c r="J1087" s="580">
        <v>1</v>
      </c>
      <c r="K1087" s="762" t="s">
        <v>2071</v>
      </c>
      <c r="L1087" s="662">
        <v>44642</v>
      </c>
      <c r="M1087" s="670" t="s">
        <v>906</v>
      </c>
      <c r="N1087" s="652" t="s">
        <v>1930</v>
      </c>
      <c r="O1087" s="580">
        <v>2022.3</v>
      </c>
      <c r="P1087" s="670" t="str">
        <f>VLOOKUP(A1087,'[1]Raw data'!$B:$BA,23,FALSE)</f>
        <v>JPY</v>
      </c>
      <c r="Q1087" s="652" t="str">
        <f>VLOOKUP(A1087,'[1]Raw data'!$B:$Z,2,FALSE)</f>
        <v>C49SZX20210091SS</v>
      </c>
      <c r="R1087" s="652" t="str">
        <f>VLOOKUP(A1087,'[1]Raw data'!$B:$Z,3,FALSE)</f>
        <v>乘扬</v>
      </c>
      <c r="S1087" s="652" t="str">
        <f>VLOOKUP(A1087,'[1]Raw data'!$B:$Z,4,FALSE)</f>
        <v>YSM10</v>
      </c>
      <c r="T1087" s="652" t="str">
        <f>VLOOKUP(A1087,'[1]Raw data'!$B:$Z,8,FALSE)</f>
        <v>L-&gt;R</v>
      </c>
      <c r="U1087" s="652" t="str">
        <f>VLOOKUP(A1087,'[1]Raw data'!$B:$Z,9,FALSE)</f>
        <v>MVC</v>
      </c>
      <c r="V1087" s="572" t="str">
        <f t="shared" si="225"/>
        <v>WRONG</v>
      </c>
      <c r="W1087" s="568" t="str">
        <f>VLOOKUP(A1087,'[1]Raw data'!$B:$AG,32,FALSE)</f>
        <v>CIF HK</v>
      </c>
      <c r="X1087" s="652">
        <f>VLOOKUP(A1087,'[1]Raw data'!$B:$BA,31,FALSE)</f>
        <v>44285</v>
      </c>
      <c r="Y1087" s="652" t="str">
        <f>VLOOKUP(A1087,'[1]Raw data'!$B:$AS,39,FALSE)</f>
        <v>Yes</v>
      </c>
      <c r="Z1087" s="671"/>
      <c r="AA1087" s="665"/>
      <c r="AB1087" s="666"/>
      <c r="AC1087" s="580" t="s">
        <v>1933</v>
      </c>
      <c r="AD1087" s="580">
        <v>301</v>
      </c>
      <c r="AE1087" s="580">
        <v>10</v>
      </c>
      <c r="AF1087" s="580"/>
      <c r="AG1087" s="580"/>
      <c r="AH1087" s="580"/>
      <c r="AI1087" s="684"/>
      <c r="AJ1087" s="569"/>
      <c r="AK1087" s="569"/>
      <c r="AL1087" s="569"/>
      <c r="AM1087" s="569"/>
      <c r="AN1087" s="619"/>
      <c r="AO1087" s="829" t="str">
        <f t="shared" si="202"/>
        <v>Yes</v>
      </c>
      <c r="AP1087" s="259" t="str">
        <f t="shared" si="203"/>
        <v>APR 22</v>
      </c>
      <c r="AQ1087" s="547" t="str">
        <f t="shared" si="204"/>
        <v>有定金+有預留客戶</v>
      </c>
      <c r="AR1087" s="259" t="str">
        <f t="shared" si="205"/>
        <v>Shipped_Stock</v>
      </c>
      <c r="AS1087" s="259" t="str">
        <f t="shared" si="206"/>
        <v/>
      </c>
      <c r="AT1087" s="259" t="str">
        <f t="shared" si="207"/>
        <v>乘扬</v>
      </c>
      <c r="AU1087" s="259" t="str">
        <f t="shared" si="208"/>
        <v>C49SZX20210091SS</v>
      </c>
      <c r="AV1087" s="259" t="str">
        <f t="shared" si="209"/>
        <v>Mar-22</v>
      </c>
    </row>
    <row r="1088" spans="1:48" ht="16.5" hidden="1">
      <c r="A1088" s="604">
        <v>1004</v>
      </c>
      <c r="B1088" s="669" t="s">
        <v>1125</v>
      </c>
      <c r="C1088" s="669" t="s">
        <v>15</v>
      </c>
      <c r="D1088" s="630">
        <v>110756</v>
      </c>
      <c r="E1088" s="651" t="s">
        <v>2085</v>
      </c>
      <c r="F1088" s="652" t="s">
        <v>17</v>
      </c>
      <c r="G1088" s="652" t="s">
        <v>18</v>
      </c>
      <c r="H1088" s="652" t="s">
        <v>27</v>
      </c>
      <c r="I1088" s="580" t="s">
        <v>2087</v>
      </c>
      <c r="J1088" s="580">
        <v>1</v>
      </c>
      <c r="K1088" s="762" t="s">
        <v>2071</v>
      </c>
      <c r="L1088" s="662">
        <v>44642</v>
      </c>
      <c r="M1088" s="670" t="s">
        <v>906</v>
      </c>
      <c r="N1088" s="652" t="s">
        <v>1930</v>
      </c>
      <c r="O1088" s="580">
        <v>2022.3</v>
      </c>
      <c r="P1088" s="670" t="str">
        <f>VLOOKUP(A1088,'[1]Raw data'!$B:$BA,23,FALSE)</f>
        <v>JPY</v>
      </c>
      <c r="Q1088" s="652" t="str">
        <f>VLOOKUP(A1088,'[1]Raw data'!$B:$Z,2,FALSE)</f>
        <v>C49SZX20200233JL</v>
      </c>
      <c r="R1088" s="652" t="str">
        <f>VLOOKUP(A1088,'[1]Raw data'!$B:$Z,3,FALSE)</f>
        <v>瑞福联</v>
      </c>
      <c r="S1088" s="652" t="str">
        <f>VLOOKUP(A1088,'[1]Raw data'!$B:$Z,4,FALSE)</f>
        <v>YSM10</v>
      </c>
      <c r="T1088" s="652" t="str">
        <f>VLOOKUP(A1088,'[1]Raw data'!$B:$Z,8,FALSE)</f>
        <v>L-&gt;R</v>
      </c>
      <c r="U1088" s="652" t="str">
        <f>VLOOKUP(A1088,'[1]Raw data'!$B:$Z,9,FALSE)</f>
        <v>MVC</v>
      </c>
      <c r="V1088" s="572" t="str">
        <f t="shared" si="225"/>
        <v>WRONG</v>
      </c>
      <c r="W1088" s="568" t="str">
        <f>VLOOKUP(A1088,'[1]Raw data'!$B:$AG,32,FALSE)</f>
        <v>CIF HK</v>
      </c>
      <c r="X1088" s="652">
        <f>VLOOKUP(A1088,'[1]Raw data'!$B:$BA,31,FALSE)</f>
        <v>44175</v>
      </c>
      <c r="Y1088" s="652" t="str">
        <f>VLOOKUP(A1088,'[1]Raw data'!$B:$AS,39,FALSE)</f>
        <v>Yes</v>
      </c>
      <c r="Z1088" s="671"/>
      <c r="AA1088" s="665"/>
      <c r="AB1088" s="666"/>
      <c r="AC1088" s="652" t="s">
        <v>2079</v>
      </c>
      <c r="AD1088" s="580">
        <v>302</v>
      </c>
      <c r="AE1088" s="580">
        <v>10</v>
      </c>
      <c r="AF1088" s="580"/>
      <c r="AG1088" s="580"/>
      <c r="AH1088" s="580"/>
      <c r="AI1088" s="684"/>
      <c r="AJ1088" s="569"/>
      <c r="AK1088" s="569"/>
      <c r="AL1088" s="569"/>
      <c r="AM1088" s="569"/>
      <c r="AN1088" s="619"/>
      <c r="AO1088" s="829" t="str">
        <f t="shared" si="202"/>
        <v>Yes</v>
      </c>
      <c r="AP1088" s="259" t="str">
        <f t="shared" si="203"/>
        <v>APR 22</v>
      </c>
      <c r="AQ1088" s="547" t="str">
        <f t="shared" si="204"/>
        <v>有定金+有預留客戶</v>
      </c>
      <c r="AR1088" s="259" t="str">
        <f t="shared" si="205"/>
        <v>Shipped_Stock</v>
      </c>
      <c r="AS1088" s="259" t="str">
        <f t="shared" si="206"/>
        <v/>
      </c>
      <c r="AT1088" s="259" t="str">
        <f t="shared" si="207"/>
        <v>瑞福联</v>
      </c>
      <c r="AU1088" s="259" t="str">
        <f t="shared" si="208"/>
        <v>C49SZX20200233JL</v>
      </c>
      <c r="AV1088" s="259" t="str">
        <f t="shared" si="209"/>
        <v>Mar-22</v>
      </c>
    </row>
    <row r="1089" spans="1:48" ht="32.25" hidden="1">
      <c r="A1089" s="564">
        <v>1415</v>
      </c>
      <c r="B1089" s="669" t="s">
        <v>1125</v>
      </c>
      <c r="C1089" s="669" t="s">
        <v>15</v>
      </c>
      <c r="D1089" s="650">
        <v>110770</v>
      </c>
      <c r="E1089" s="651" t="s">
        <v>2088</v>
      </c>
      <c r="F1089" s="652" t="s">
        <v>58</v>
      </c>
      <c r="G1089" s="652" t="s">
        <v>24</v>
      </c>
      <c r="H1089" s="652" t="s">
        <v>26</v>
      </c>
      <c r="I1089" s="580" t="s">
        <v>2089</v>
      </c>
      <c r="J1089" s="580">
        <v>1</v>
      </c>
      <c r="K1089" s="652" t="s">
        <v>2071</v>
      </c>
      <c r="L1089" s="662">
        <v>44642</v>
      </c>
      <c r="M1089" s="670" t="s">
        <v>2090</v>
      </c>
      <c r="N1089" s="652" t="s">
        <v>1930</v>
      </c>
      <c r="O1089" s="580">
        <v>2022.3</v>
      </c>
      <c r="P1089" s="670" t="str">
        <f>VLOOKUP(A1089,'[1]Raw data'!$B:$BA,23,FALSE)</f>
        <v>JPY</v>
      </c>
      <c r="Q1089" s="652" t="str">
        <f>VLOOKUP(A1089,'[1]Raw data'!$B:$Z,2,FALSE)</f>
        <v>C49SZX20210170DZ</v>
      </c>
      <c r="R1089" s="652" t="str">
        <f>VLOOKUP(A1089,'[1]Raw data'!$B:$Z,3,FALSE)</f>
        <v>鸿通宇</v>
      </c>
      <c r="S1089" s="652" t="str">
        <f>VLOOKUP(A1089,'[1]Raw data'!$B:$Z,4,FALSE)</f>
        <v>YSM20R-2</v>
      </c>
      <c r="T1089" s="652" t="str">
        <f>VLOOKUP(A1089,'[1]Raw data'!$B:$Z,8,FALSE)</f>
        <v>L-&gt;R</v>
      </c>
      <c r="U1089" s="652" t="str">
        <f>VLOOKUP(A1089,'[1]Raw data'!$B:$Z,9,FALSE)</f>
        <v>No</v>
      </c>
      <c r="V1089" s="572" t="str">
        <f t="shared" si="225"/>
        <v>OK</v>
      </c>
      <c r="W1089" s="568" t="str">
        <f>VLOOKUP(A1089,'[1]Raw data'!$B:$AG,32,FALSE)</f>
        <v>DAP SZ</v>
      </c>
      <c r="X1089" s="652">
        <f>VLOOKUP(A1089,'[1]Raw data'!$B:$BA,31,FALSE)</f>
        <v>44358</v>
      </c>
      <c r="Y1089" s="652" t="str">
        <f>VLOOKUP(A1089,'[1]Raw data'!$B:$AS,39,FALSE)</f>
        <v>Yes</v>
      </c>
      <c r="Z1089" s="671"/>
      <c r="AA1089" s="652"/>
      <c r="AB1089" s="667"/>
      <c r="AC1089" s="580" t="s">
        <v>1951</v>
      </c>
      <c r="AD1089" s="667">
        <v>301</v>
      </c>
      <c r="AE1089" s="667">
        <v>10</v>
      </c>
      <c r="AF1089" s="667">
        <v>304</v>
      </c>
      <c r="AG1089" s="668">
        <v>10</v>
      </c>
      <c r="AI1089" s="576"/>
      <c r="AL1089" s="547"/>
      <c r="AM1089" s="547"/>
      <c r="AN1089" s="547"/>
      <c r="AO1089" s="829" t="str">
        <f t="shared" si="202"/>
        <v>Yes</v>
      </c>
      <c r="AP1089" s="259" t="str">
        <f t="shared" si="203"/>
        <v>APR 22</v>
      </c>
      <c r="AQ1089" s="547" t="str">
        <f t="shared" si="204"/>
        <v>有定金+有預留客戶</v>
      </c>
      <c r="AR1089" s="259" t="str">
        <f t="shared" si="205"/>
        <v>Shipped_Stock</v>
      </c>
      <c r="AS1089" s="259" t="str">
        <f t="shared" si="206"/>
        <v/>
      </c>
      <c r="AT1089" s="259" t="str">
        <f t="shared" si="207"/>
        <v>鸿通宇</v>
      </c>
      <c r="AU1089" s="259" t="str">
        <f t="shared" si="208"/>
        <v>C49SZX20210170DZ</v>
      </c>
      <c r="AV1089" s="259" t="str">
        <f t="shared" si="209"/>
        <v>Mar-22</v>
      </c>
    </row>
    <row r="1090" spans="1:48" ht="17.25" hidden="1" thickBot="1">
      <c r="A1090" s="604">
        <v>1380</v>
      </c>
      <c r="B1090" s="669" t="s">
        <v>1125</v>
      </c>
      <c r="C1090" s="669" t="s">
        <v>15</v>
      </c>
      <c r="D1090" s="629">
        <v>110769</v>
      </c>
      <c r="E1090" s="761" t="s">
        <v>2091</v>
      </c>
      <c r="F1090" s="652" t="s">
        <v>58</v>
      </c>
      <c r="G1090" s="652" t="s">
        <v>24</v>
      </c>
      <c r="H1090" s="652" t="s">
        <v>26</v>
      </c>
      <c r="I1090" s="580" t="s">
        <v>2092</v>
      </c>
      <c r="J1090" s="580">
        <v>1</v>
      </c>
      <c r="K1090" s="762" t="s">
        <v>2071</v>
      </c>
      <c r="L1090" s="662">
        <v>44642</v>
      </c>
      <c r="M1090" s="670">
        <v>5.3600000000000002E-2</v>
      </c>
      <c r="N1090" s="652" t="s">
        <v>1930</v>
      </c>
      <c r="O1090" s="580">
        <v>2022.3</v>
      </c>
      <c r="P1090" s="670" t="str">
        <f>VLOOKUP(A1090,'[1]Raw data'!$B:$BA,23,FALSE)</f>
        <v>JPY</v>
      </c>
      <c r="Q1090" s="652" t="str">
        <f>VLOOKUP(A1090,'[1]Raw data'!$B:$Z,2,FALSE)</f>
        <v>C49SZX20210155MZR1</v>
      </c>
      <c r="R1090" s="652" t="str">
        <f>VLOOKUP(A1090,'[1]Raw data'!$B:$Z,3,FALSE)</f>
        <v>巨能</v>
      </c>
      <c r="S1090" s="652" t="str">
        <f>VLOOKUP(A1090,'[1]Raw data'!$B:$Z,4,FALSE)</f>
        <v>YSM20R-2</v>
      </c>
      <c r="T1090" s="652" t="str">
        <f>VLOOKUP(A1090,'[1]Raw data'!$B:$Z,8,FALSE)</f>
        <v>L-&gt;R</v>
      </c>
      <c r="U1090" s="652" t="str">
        <f>VLOOKUP(A1090,'[1]Raw data'!$B:$Z,9,FALSE)</f>
        <v>No</v>
      </c>
      <c r="V1090" s="572" t="str">
        <f t="shared" si="225"/>
        <v>OK</v>
      </c>
      <c r="W1090" s="568" t="str">
        <f>VLOOKUP(A1090,'[1]Raw data'!$B:$AG,32,FALSE)</f>
        <v>DAP SZ</v>
      </c>
      <c r="X1090" s="652">
        <f>VLOOKUP(A1090,'[1]Raw data'!$B:$BA,31,FALSE)</f>
        <v>44337</v>
      </c>
      <c r="Y1090" s="652" t="str">
        <f>VLOOKUP(A1090,'[1]Raw data'!$B:$AS,39,FALSE)</f>
        <v>Yes</v>
      </c>
      <c r="Z1090" s="671"/>
      <c r="AA1090" s="665"/>
      <c r="AB1090" s="666"/>
      <c r="AC1090" s="652" t="s">
        <v>1647</v>
      </c>
      <c r="AD1090" s="580">
        <v>303</v>
      </c>
      <c r="AE1090" s="580">
        <v>20</v>
      </c>
      <c r="AF1090" s="580"/>
      <c r="AG1090" s="580"/>
      <c r="AH1090" s="580"/>
      <c r="AI1090" s="684"/>
      <c r="AJ1090" s="569"/>
      <c r="AK1090" s="569"/>
      <c r="AL1090" s="569"/>
      <c r="AM1090" s="569"/>
      <c r="AN1090" s="619"/>
      <c r="AO1090" s="829" t="str">
        <f t="shared" si="202"/>
        <v>Yes</v>
      </c>
      <c r="AP1090" s="259" t="str">
        <f t="shared" si="203"/>
        <v>APR 22</v>
      </c>
      <c r="AQ1090" s="547" t="str">
        <f t="shared" si="204"/>
        <v>有定金+有預留客戶</v>
      </c>
      <c r="AR1090" s="259" t="str">
        <f t="shared" si="205"/>
        <v>Shipped_Stock</v>
      </c>
      <c r="AS1090" s="259" t="str">
        <f t="shared" si="206"/>
        <v/>
      </c>
      <c r="AT1090" s="259" t="str">
        <f t="shared" si="207"/>
        <v>巨能</v>
      </c>
      <c r="AU1090" s="259" t="str">
        <f t="shared" si="208"/>
        <v>C49SZX20210155MZR1</v>
      </c>
      <c r="AV1090" s="259" t="str">
        <f t="shared" si="209"/>
        <v>Mar-22</v>
      </c>
    </row>
    <row r="1091" spans="1:48" ht="16.5" hidden="1">
      <c r="A1091" s="604">
        <v>1405</v>
      </c>
      <c r="B1091" s="669" t="s">
        <v>1125</v>
      </c>
      <c r="C1091" s="669" t="s">
        <v>15</v>
      </c>
      <c r="D1091" s="766">
        <v>110813</v>
      </c>
      <c r="E1091" s="772" t="s">
        <v>2093</v>
      </c>
      <c r="F1091" s="652" t="s">
        <v>17</v>
      </c>
      <c r="G1091" s="652" t="s">
        <v>18</v>
      </c>
      <c r="H1091" s="652" t="s">
        <v>27</v>
      </c>
      <c r="I1091" s="580" t="s">
        <v>2094</v>
      </c>
      <c r="J1091" s="580">
        <v>1</v>
      </c>
      <c r="K1091" s="762" t="s">
        <v>2071</v>
      </c>
      <c r="L1091" s="662">
        <v>44646</v>
      </c>
      <c r="M1091" s="670" t="s">
        <v>906</v>
      </c>
      <c r="N1091" s="652" t="s">
        <v>1930</v>
      </c>
      <c r="O1091" s="580">
        <v>2022.3</v>
      </c>
      <c r="P1091" s="670" t="str">
        <f>VLOOKUP(A1091,'[1]Raw data'!$B:$BA,23,FALSE)</f>
        <v>JPY</v>
      </c>
      <c r="Q1091" s="652" t="str">
        <f>VLOOKUP(A1091,'[1]Raw data'!$B:$Z,2,FALSE)</f>
        <v>C49SZX20210165R1SS</v>
      </c>
      <c r="R1091" s="652" t="str">
        <f>VLOOKUP(A1091,'[1]Raw data'!$B:$Z,3,FALSE)</f>
        <v>三步/End user新佰浚</v>
      </c>
      <c r="S1091" s="652" t="str">
        <f>VLOOKUP(A1091,'[1]Raw data'!$B:$Z,4,FALSE)</f>
        <v>YSM10</v>
      </c>
      <c r="T1091" s="652" t="str">
        <f>VLOOKUP(A1091,'[1]Raw data'!$B:$Z,8,FALSE)</f>
        <v>L-&gt;R</v>
      </c>
      <c r="U1091" s="652" t="str">
        <f>VLOOKUP(A1091,'[1]Raw data'!$B:$Z,9,FALSE)</f>
        <v>MVC</v>
      </c>
      <c r="V1091" s="572" t="str">
        <f t="shared" ref="V1091:V1102" si="226">IF(G1091&amp;H1091=T1091&amp;U1091,"OK","WRONG")</f>
        <v>WRONG</v>
      </c>
      <c r="W1091" s="568" t="str">
        <f>VLOOKUP(A1091,'[1]Raw data'!$B:$AG,32,FALSE)</f>
        <v>DAP SZ</v>
      </c>
      <c r="X1091" s="652">
        <f>VLOOKUP(A1091,'[1]Raw data'!$B:$BA,31,FALSE)</f>
        <v>44364</v>
      </c>
      <c r="Y1091" s="652" t="str">
        <f>VLOOKUP(A1091,'[1]Raw data'!$B:$AS,39,FALSE)</f>
        <v>Yes</v>
      </c>
      <c r="Z1091" s="671"/>
      <c r="AA1091" s="665"/>
      <c r="AB1091" s="666"/>
      <c r="AC1091" s="652" t="s">
        <v>2095</v>
      </c>
      <c r="AD1091" s="580">
        <v>301</v>
      </c>
      <c r="AE1091" s="580">
        <v>10</v>
      </c>
      <c r="AF1091" s="580"/>
      <c r="AG1091" s="580"/>
      <c r="AH1091" s="580"/>
      <c r="AI1091" s="684"/>
      <c r="AJ1091" s="569"/>
      <c r="AK1091" s="569"/>
      <c r="AL1091" s="569"/>
      <c r="AM1091" s="569"/>
      <c r="AN1091" s="619"/>
      <c r="AO1091" s="829" t="str">
        <f t="shared" ref="AO1091:AO1154" si="227">IFERROR(IF(Y1091&lt;&gt;"",Y1091,"No"),"No")</f>
        <v>Yes</v>
      </c>
      <c r="AP1091" s="259" t="str">
        <f t="shared" ref="AP1091:AP1154" si="228">IFERROR(IF(N1091&lt;&gt;"",N1091,"blank"),"NA")</f>
        <v>APR 22</v>
      </c>
      <c r="AQ1091" s="547" t="str">
        <f t="shared" ref="AQ1091:AQ1154" si="229">IFERROR(IF(AND(AO1091="Yes", AP1091&lt;&gt;"blank"), "有定金+有預留客戶", IF(AND(AO1091="Yes", AP1091="blank"), "有定金+无客戶送貨期", IF(AND(OR(AO1091="No", ISBLANK(AO1091), AO1091="NA"), AP1091&lt;&gt;"blank"), "无定金+有預留客戶", IF(AND(OR(AO1091="No", ISBLANK(AO1091), AO1091="NA"), AP1091="blank"), "无定金+无預留客戶", "")))), "")</f>
        <v>有定金+有預留客戶</v>
      </c>
      <c r="AR1091" s="259" t="str">
        <f t="shared" ref="AR1091:AR1154" si="230">IFERROR(IF(B1091="已经到货", "Instock", IF(B1091="有交期", "Incoming_Stock_With_YAMAHA_Schedule", IF(B1091="TBA.", "Incoming_Stock_No_YAMAHA_Schedule", IF(B1091="已发货", "Shipped_Stock", "")))), "")</f>
        <v>Shipped_Stock</v>
      </c>
      <c r="AS1091" s="259" t="str">
        <f t="shared" ref="AS1091:AS1154" si="231">IF(AND(B1091="有交期", L1091&lt;&gt;""), L1091, "")</f>
        <v/>
      </c>
      <c r="AT1091" s="259" t="str">
        <f t="shared" ref="AT1091:AT1154" si="232">IFERROR(IF(R1091&lt;&gt;"",R1091),"-")</f>
        <v>三步/End user新佰浚</v>
      </c>
      <c r="AU1091" s="259" t="str">
        <f t="shared" ref="AU1091:AU1154" si="233">IFERROR(IF(Q1091&lt;&gt;"",Q1091),"-")</f>
        <v>C49SZX20210165R1SS</v>
      </c>
      <c r="AV1091" s="259" t="str">
        <f t="shared" ref="AV1091:AV1154" si="234">IF(L1091="","-",TEXT(L1091,"mmm-dd"))</f>
        <v>Mar-26</v>
      </c>
    </row>
    <row r="1092" spans="1:48" ht="16.5" hidden="1">
      <c r="A1092" s="604">
        <v>1490</v>
      </c>
      <c r="B1092" s="669" t="s">
        <v>1125</v>
      </c>
      <c r="C1092" s="669" t="s">
        <v>15</v>
      </c>
      <c r="D1092" s="760">
        <v>110813</v>
      </c>
      <c r="E1092" s="772" t="s">
        <v>2093</v>
      </c>
      <c r="F1092" s="652" t="s">
        <v>17</v>
      </c>
      <c r="G1092" s="652" t="s">
        <v>18</v>
      </c>
      <c r="H1092" s="652" t="s">
        <v>27</v>
      </c>
      <c r="I1092" s="580" t="s">
        <v>2096</v>
      </c>
      <c r="J1092" s="580">
        <v>1</v>
      </c>
      <c r="K1092" s="762" t="s">
        <v>2071</v>
      </c>
      <c r="L1092" s="662">
        <v>44646</v>
      </c>
      <c r="M1092" s="670" t="s">
        <v>80</v>
      </c>
      <c r="N1092" s="652" t="s">
        <v>1930</v>
      </c>
      <c r="O1092" s="580">
        <v>2022.3</v>
      </c>
      <c r="P1092" s="670" t="str">
        <f>VLOOKUP(A1092,'[1]Raw data'!$B:$BA,23,FALSE)</f>
        <v>JPY</v>
      </c>
      <c r="Q1092" s="652" t="str">
        <f>VLOOKUP(A1092,'[1]Raw data'!$B:$Z,2,FALSE)</f>
        <v>C49SZX20210200JY</v>
      </c>
      <c r="R1092" s="652" t="str">
        <f>VLOOKUP(A1092,'[1]Raw data'!$B:$Z,3,FALSE)</f>
        <v>英拓邦（End user:深圳傲尔）</v>
      </c>
      <c r="S1092" s="652" t="str">
        <f>VLOOKUP(A1092,'[1]Raw data'!$B:$Z,4,FALSE)</f>
        <v>YSM10</v>
      </c>
      <c r="T1092" s="652" t="str">
        <f>VLOOKUP(A1092,'[1]Raw data'!$B:$Z,8,FALSE)</f>
        <v>L-&gt;R</v>
      </c>
      <c r="U1092" s="652" t="str">
        <f>VLOOKUP(A1092,'[1]Raw data'!$B:$Z,9,FALSE)</f>
        <v>MVC</v>
      </c>
      <c r="V1092" s="572" t="str">
        <f t="shared" si="226"/>
        <v>WRONG</v>
      </c>
      <c r="W1092" s="568" t="str">
        <f>VLOOKUP(A1092,'[1]Raw data'!$B:$AG,32,FALSE)</f>
        <v>CIF HK</v>
      </c>
      <c r="X1092" s="652">
        <f>VLOOKUP(A1092,'[1]Raw data'!$B:$BA,31,FALSE)</f>
        <v>44496</v>
      </c>
      <c r="Y1092" s="652" t="str">
        <f>VLOOKUP(A1092,'[1]Raw data'!$B:$AS,39,FALSE)</f>
        <v>Yes</v>
      </c>
      <c r="Z1092" s="671"/>
      <c r="AA1092" s="665"/>
      <c r="AB1092" s="666"/>
      <c r="AC1092" s="652" t="s">
        <v>2058</v>
      </c>
      <c r="AD1092" s="580">
        <v>302</v>
      </c>
      <c r="AE1092" s="580">
        <v>10</v>
      </c>
      <c r="AF1092" s="580"/>
      <c r="AG1092" s="580"/>
      <c r="AH1092" s="580"/>
      <c r="AI1092" s="684"/>
      <c r="AJ1092" s="569"/>
      <c r="AK1092" s="569"/>
      <c r="AL1092" s="569"/>
      <c r="AM1092" s="569"/>
      <c r="AN1092" s="619"/>
      <c r="AO1092" s="829" t="str">
        <f t="shared" si="227"/>
        <v>Yes</v>
      </c>
      <c r="AP1092" s="259" t="str">
        <f t="shared" si="228"/>
        <v>APR 22</v>
      </c>
      <c r="AQ1092" s="547" t="str">
        <f t="shared" si="229"/>
        <v>有定金+有預留客戶</v>
      </c>
      <c r="AR1092" s="259" t="str">
        <f t="shared" si="230"/>
        <v>Shipped_Stock</v>
      </c>
      <c r="AS1092" s="259" t="str">
        <f t="shared" si="231"/>
        <v/>
      </c>
      <c r="AT1092" s="259" t="str">
        <f t="shared" si="232"/>
        <v>英拓邦（End user:深圳傲尔）</v>
      </c>
      <c r="AU1092" s="259" t="str">
        <f t="shared" si="233"/>
        <v>C49SZX20210200JY</v>
      </c>
      <c r="AV1092" s="259" t="str">
        <f t="shared" si="234"/>
        <v>Mar-26</v>
      </c>
    </row>
    <row r="1093" spans="1:48" ht="16.5" hidden="1">
      <c r="A1093" s="604">
        <v>1478</v>
      </c>
      <c r="B1093" s="669" t="s">
        <v>1125</v>
      </c>
      <c r="C1093" s="669" t="s">
        <v>15</v>
      </c>
      <c r="D1093" s="760">
        <v>110758</v>
      </c>
      <c r="E1093" s="761" t="s">
        <v>2097</v>
      </c>
      <c r="F1093" s="652" t="s">
        <v>17</v>
      </c>
      <c r="G1093" s="652" t="s">
        <v>18</v>
      </c>
      <c r="H1093" s="652" t="s">
        <v>27</v>
      </c>
      <c r="I1093" s="580" t="s">
        <v>2098</v>
      </c>
      <c r="J1093" s="580">
        <v>1</v>
      </c>
      <c r="K1093" s="762" t="s">
        <v>2071</v>
      </c>
      <c r="L1093" s="662">
        <v>44646</v>
      </c>
      <c r="M1093" s="670" t="s">
        <v>80</v>
      </c>
      <c r="N1093" s="652" t="s">
        <v>1930</v>
      </c>
      <c r="O1093" s="580">
        <v>2022.3</v>
      </c>
      <c r="P1093" s="670" t="str">
        <f>VLOOKUP(A1093,'[1]Raw data'!$B:$BA,23,FALSE)</f>
        <v>JPY</v>
      </c>
      <c r="Q1093" s="652" t="str">
        <f>VLOOKUP(A1093,'[1]Raw data'!$B:$Z,2,FALSE)</f>
        <v>C49SZX20210192SX</v>
      </c>
      <c r="R1093" s="652" t="str">
        <f>VLOOKUP(A1093,'[1]Raw data'!$B:$Z,3,FALSE)</f>
        <v>正讯</v>
      </c>
      <c r="S1093" s="652" t="str">
        <f>VLOOKUP(A1093,'[1]Raw data'!$B:$Z,4,FALSE)</f>
        <v>YSM10</v>
      </c>
      <c r="T1093" s="652" t="str">
        <f>VLOOKUP(A1093,'[1]Raw data'!$B:$Z,8,FALSE)</f>
        <v>L-&gt;R</v>
      </c>
      <c r="U1093" s="652" t="str">
        <f>VLOOKUP(A1093,'[1]Raw data'!$B:$Z,9,FALSE)</f>
        <v>MVC</v>
      </c>
      <c r="V1093" s="572" t="str">
        <f t="shared" si="226"/>
        <v>WRONG</v>
      </c>
      <c r="W1093" s="568" t="str">
        <f>VLOOKUP(A1093,'[1]Raw data'!$B:$AG,32,FALSE)</f>
        <v>DAP DG</v>
      </c>
      <c r="X1093" s="652">
        <f>VLOOKUP(A1093,'[1]Raw data'!$B:$BA,31,FALSE)</f>
        <v>44456</v>
      </c>
      <c r="Y1093" s="652" t="str">
        <f>VLOOKUP(A1093,'[1]Raw data'!$B:$AS,39,FALSE)</f>
        <v>Yes</v>
      </c>
      <c r="Z1093" s="671"/>
      <c r="AA1093" s="665"/>
      <c r="AB1093" s="666"/>
      <c r="AC1093" s="652" t="s">
        <v>1951</v>
      </c>
      <c r="AD1093" s="580">
        <v>302</v>
      </c>
      <c r="AE1093" s="580">
        <v>10</v>
      </c>
      <c r="AF1093" s="580"/>
      <c r="AG1093" s="580"/>
      <c r="AH1093" s="580"/>
      <c r="AI1093" s="684"/>
      <c r="AJ1093" s="569"/>
      <c r="AK1093" s="569"/>
      <c r="AL1093" s="569"/>
      <c r="AM1093" s="569"/>
      <c r="AN1093" s="619"/>
      <c r="AO1093" s="829" t="str">
        <f t="shared" si="227"/>
        <v>Yes</v>
      </c>
      <c r="AP1093" s="259" t="str">
        <f t="shared" si="228"/>
        <v>APR 22</v>
      </c>
      <c r="AQ1093" s="547" t="str">
        <f t="shared" si="229"/>
        <v>有定金+有預留客戶</v>
      </c>
      <c r="AR1093" s="259" t="str">
        <f t="shared" si="230"/>
        <v>Shipped_Stock</v>
      </c>
      <c r="AS1093" s="259" t="str">
        <f t="shared" si="231"/>
        <v/>
      </c>
      <c r="AT1093" s="259" t="str">
        <f t="shared" si="232"/>
        <v>正讯</v>
      </c>
      <c r="AU1093" s="259" t="str">
        <f t="shared" si="233"/>
        <v>C49SZX20210192SX</v>
      </c>
      <c r="AV1093" s="259" t="str">
        <f t="shared" si="234"/>
        <v>Mar-26</v>
      </c>
    </row>
    <row r="1094" spans="1:48" ht="16.5" hidden="1">
      <c r="A1094" s="604">
        <v>1491</v>
      </c>
      <c r="B1094" s="669" t="s">
        <v>1125</v>
      </c>
      <c r="C1094" s="669" t="s">
        <v>15</v>
      </c>
      <c r="D1094" s="760">
        <v>110760</v>
      </c>
      <c r="E1094" s="761" t="s">
        <v>2099</v>
      </c>
      <c r="F1094" s="652" t="s">
        <v>17</v>
      </c>
      <c r="G1094" s="652" t="s">
        <v>18</v>
      </c>
      <c r="H1094" s="652" t="s">
        <v>27</v>
      </c>
      <c r="I1094" s="580" t="s">
        <v>2100</v>
      </c>
      <c r="J1094" s="580">
        <v>1</v>
      </c>
      <c r="K1094" s="762" t="s">
        <v>2071</v>
      </c>
      <c r="L1094" s="662">
        <v>44646</v>
      </c>
      <c r="M1094" s="670" t="s">
        <v>80</v>
      </c>
      <c r="N1094" s="652" t="s">
        <v>1930</v>
      </c>
      <c r="O1094" s="580">
        <v>2022.3</v>
      </c>
      <c r="P1094" s="670" t="str">
        <f>VLOOKUP(A1094,'[1]Raw data'!$B:$BA,23,FALSE)</f>
        <v>JPY</v>
      </c>
      <c r="Q1094" s="652" t="str">
        <f>VLOOKUP(A1094,'[1]Raw data'!$B:$Z,2,FALSE)</f>
        <v>C49SZX20210200JY</v>
      </c>
      <c r="R1094" s="652" t="str">
        <f>VLOOKUP(A1094,'[1]Raw data'!$B:$Z,3,FALSE)</f>
        <v>英拓邦（End user:深圳傲尔）</v>
      </c>
      <c r="S1094" s="652" t="str">
        <f>VLOOKUP(A1094,'[1]Raw data'!$B:$Z,4,FALSE)</f>
        <v>YSM10</v>
      </c>
      <c r="T1094" s="652" t="str">
        <f>VLOOKUP(A1094,'[1]Raw data'!$B:$Z,8,FALSE)</f>
        <v>R-&gt;L</v>
      </c>
      <c r="U1094" s="652" t="str">
        <f>VLOOKUP(A1094,'[1]Raw data'!$B:$Z,9,FALSE)</f>
        <v>MVC</v>
      </c>
      <c r="V1094" s="572" t="str">
        <f t="shared" si="226"/>
        <v>OK</v>
      </c>
      <c r="W1094" s="568" t="str">
        <f>VLOOKUP(A1094,'[1]Raw data'!$B:$AG,32,FALSE)</f>
        <v>CIF HK</v>
      </c>
      <c r="X1094" s="652">
        <f>VLOOKUP(A1094,'[1]Raw data'!$B:$BA,31,FALSE)</f>
        <v>44496</v>
      </c>
      <c r="Y1094" s="652" t="str">
        <f>VLOOKUP(A1094,'[1]Raw data'!$B:$AS,39,FALSE)</f>
        <v>Yes</v>
      </c>
      <c r="Z1094" s="671"/>
      <c r="AA1094" s="665"/>
      <c r="AB1094" s="666"/>
      <c r="AC1094" s="652" t="s">
        <v>965</v>
      </c>
      <c r="AD1094" s="580">
        <v>301</v>
      </c>
      <c r="AE1094" s="580">
        <v>10</v>
      </c>
      <c r="AF1094" s="580"/>
      <c r="AG1094" s="580"/>
      <c r="AH1094" s="580"/>
      <c r="AI1094" s="684"/>
      <c r="AJ1094" s="569"/>
      <c r="AK1094" s="569"/>
      <c r="AL1094" s="569"/>
      <c r="AM1094" s="569"/>
      <c r="AN1094" s="619"/>
      <c r="AO1094" s="829" t="str">
        <f t="shared" si="227"/>
        <v>Yes</v>
      </c>
      <c r="AP1094" s="259" t="str">
        <f t="shared" si="228"/>
        <v>APR 22</v>
      </c>
      <c r="AQ1094" s="547" t="str">
        <f t="shared" si="229"/>
        <v>有定金+有預留客戶</v>
      </c>
      <c r="AR1094" s="259" t="str">
        <f t="shared" si="230"/>
        <v>Shipped_Stock</v>
      </c>
      <c r="AS1094" s="259" t="str">
        <f t="shared" si="231"/>
        <v/>
      </c>
      <c r="AT1094" s="259" t="str">
        <f t="shared" si="232"/>
        <v>英拓邦（End user:深圳傲尔）</v>
      </c>
      <c r="AU1094" s="259" t="str">
        <f t="shared" si="233"/>
        <v>C49SZX20210200JY</v>
      </c>
      <c r="AV1094" s="259" t="str">
        <f t="shared" si="234"/>
        <v>Mar-26</v>
      </c>
    </row>
    <row r="1095" spans="1:48" ht="17.25" hidden="1" thickBot="1">
      <c r="A1095" s="564">
        <v>1510</v>
      </c>
      <c r="B1095" s="669" t="s">
        <v>1125</v>
      </c>
      <c r="C1095" s="669" t="s">
        <v>15</v>
      </c>
      <c r="D1095" s="629">
        <v>110762</v>
      </c>
      <c r="E1095" s="761" t="s">
        <v>2101</v>
      </c>
      <c r="F1095" s="652" t="s">
        <v>17</v>
      </c>
      <c r="G1095" s="652" t="s">
        <v>18</v>
      </c>
      <c r="H1095" s="652" t="s">
        <v>27</v>
      </c>
      <c r="I1095" s="580" t="s">
        <v>2102</v>
      </c>
      <c r="J1095" s="580">
        <v>1</v>
      </c>
      <c r="K1095" s="762" t="s">
        <v>2071</v>
      </c>
      <c r="L1095" s="662">
        <v>44646</v>
      </c>
      <c r="M1095" s="670" t="s">
        <v>80</v>
      </c>
      <c r="N1095" s="652" t="s">
        <v>1930</v>
      </c>
      <c r="O1095" s="580">
        <v>2022.3</v>
      </c>
      <c r="P1095" s="670" t="str">
        <f>VLOOKUP(A1095,'[1]Raw data'!$B:$BA,23,FALSE)</f>
        <v>JPY</v>
      </c>
      <c r="Q1095" s="652" t="str">
        <f>VLOOKUP(A1095,'[1]Raw data'!$B:$Z,2,FALSE)</f>
        <v>C49SZX20210213SS</v>
      </c>
      <c r="R1095" s="652" t="str">
        <f>VLOOKUP(A1095,'[1]Raw data'!$B:$Z,3,FALSE)</f>
        <v>维益</v>
      </c>
      <c r="S1095" s="652" t="str">
        <f>VLOOKUP(A1095,'[1]Raw data'!$B:$Z,4,FALSE)</f>
        <v>YSM10</v>
      </c>
      <c r="T1095" s="652" t="str">
        <f>VLOOKUP(A1095,'[1]Raw data'!$B:$Z,8,FALSE)</f>
        <v>R-&gt;L</v>
      </c>
      <c r="U1095" s="652" t="str">
        <f>VLOOKUP(A1095,'[1]Raw data'!$B:$Z,9,FALSE)</f>
        <v>MVC</v>
      </c>
      <c r="V1095" s="572" t="str">
        <f t="shared" si="226"/>
        <v>OK</v>
      </c>
      <c r="W1095" s="568" t="str">
        <f>VLOOKUP(A1095,'[1]Raw data'!$B:$AG,32,FALSE)</f>
        <v>DAP DG</v>
      </c>
      <c r="X1095" s="652">
        <f>VLOOKUP(A1095,'[1]Raw data'!$B:$BA,31,FALSE)</f>
        <v>44532</v>
      </c>
      <c r="Y1095" s="652" t="str">
        <f>VLOOKUP(A1095,'[1]Raw data'!$B:$AS,39,FALSE)</f>
        <v>Yes</v>
      </c>
      <c r="Z1095" s="671"/>
      <c r="AA1095" s="665"/>
      <c r="AB1095" s="666"/>
      <c r="AC1095" s="652" t="s">
        <v>2103</v>
      </c>
      <c r="AD1095" s="667">
        <v>301</v>
      </c>
      <c r="AE1095" s="667">
        <v>10</v>
      </c>
      <c r="AF1095" s="667"/>
      <c r="AG1095" s="667"/>
      <c r="AH1095" s="667"/>
      <c r="AI1095" s="668"/>
      <c r="AN1095" s="547"/>
      <c r="AO1095" s="829" t="str">
        <f t="shared" si="227"/>
        <v>Yes</v>
      </c>
      <c r="AP1095" s="259" t="str">
        <f t="shared" si="228"/>
        <v>APR 22</v>
      </c>
      <c r="AQ1095" s="547" t="str">
        <f t="shared" si="229"/>
        <v>有定金+有預留客戶</v>
      </c>
      <c r="AR1095" s="259" t="str">
        <f t="shared" si="230"/>
        <v>Shipped_Stock</v>
      </c>
      <c r="AS1095" s="259" t="str">
        <f t="shared" si="231"/>
        <v/>
      </c>
      <c r="AT1095" s="259" t="str">
        <f t="shared" si="232"/>
        <v>维益</v>
      </c>
      <c r="AU1095" s="259" t="str">
        <f t="shared" si="233"/>
        <v>C49SZX20210213SS</v>
      </c>
      <c r="AV1095" s="259" t="str">
        <f t="shared" si="234"/>
        <v>Mar-26</v>
      </c>
    </row>
    <row r="1096" spans="1:48" ht="16.5" hidden="1">
      <c r="A1096" s="564">
        <v>1275</v>
      </c>
      <c r="B1096" s="669" t="s">
        <v>1125</v>
      </c>
      <c r="C1096" s="669" t="s">
        <v>15</v>
      </c>
      <c r="D1096" s="766">
        <v>110757</v>
      </c>
      <c r="E1096" s="761" t="s">
        <v>2104</v>
      </c>
      <c r="F1096" s="652" t="s">
        <v>17</v>
      </c>
      <c r="G1096" s="652" t="s">
        <v>18</v>
      </c>
      <c r="H1096" s="652" t="s">
        <v>27</v>
      </c>
      <c r="I1096" s="580" t="s">
        <v>2105</v>
      </c>
      <c r="J1096" s="580">
        <v>1</v>
      </c>
      <c r="K1096" s="762" t="s">
        <v>2071</v>
      </c>
      <c r="L1096" s="662">
        <v>44646</v>
      </c>
      <c r="M1096" s="670">
        <v>5.3600000000000002E-2</v>
      </c>
      <c r="N1096" s="652" t="s">
        <v>1930</v>
      </c>
      <c r="O1096" s="580">
        <v>2022.3</v>
      </c>
      <c r="P1096" s="670" t="str">
        <f>VLOOKUP(A1096,'[1]Raw data'!$B:$BA,23,FALSE)</f>
        <v>JPY</v>
      </c>
      <c r="Q1096" s="652" t="str">
        <f>VLOOKUP(A1096,'[1]Raw data'!$B:$Z,2,FALSE)</f>
        <v>C49SZX20210086JL</v>
      </c>
      <c r="R1096" s="652" t="str">
        <f>VLOOKUP(A1096,'[1]Raw data'!$B:$Z,3,FALSE)</f>
        <v>鹏鑫达（end user：晶昌鸿业）</v>
      </c>
      <c r="S1096" s="652" t="str">
        <f>VLOOKUP(A1096,'[1]Raw data'!$B:$Z,4,FALSE)</f>
        <v>YSM10</v>
      </c>
      <c r="T1096" s="652" t="str">
        <f>VLOOKUP(A1096,'[1]Raw data'!$B:$Z,8,FALSE)</f>
        <v>L-&gt;R</v>
      </c>
      <c r="U1096" s="652" t="str">
        <f>VLOOKUP(A1096,'[1]Raw data'!$B:$Z,9,FALSE)</f>
        <v>MVC</v>
      </c>
      <c r="V1096" s="572" t="str">
        <f t="shared" si="226"/>
        <v>WRONG</v>
      </c>
      <c r="W1096" s="568" t="str">
        <f>VLOOKUP(A1096,'[1]Raw data'!$B:$AG,32,FALSE)</f>
        <v>DAP SZ</v>
      </c>
      <c r="X1096" s="652">
        <f>VLOOKUP(A1096,'[1]Raw data'!$B:$BA,31,FALSE)</f>
        <v>44274</v>
      </c>
      <c r="Y1096" s="652" t="str">
        <f>VLOOKUP(A1096,'[1]Raw data'!$B:$AS,39,FALSE)</f>
        <v>Yes</v>
      </c>
      <c r="Z1096" s="671"/>
      <c r="AA1096" s="665"/>
      <c r="AB1096" s="666"/>
      <c r="AC1096" s="580" t="s">
        <v>1951</v>
      </c>
      <c r="AD1096" s="667">
        <v>301</v>
      </c>
      <c r="AE1096" s="667">
        <v>10</v>
      </c>
      <c r="AF1096" s="667"/>
      <c r="AG1096" s="667"/>
      <c r="AH1096" s="667"/>
      <c r="AI1096" s="668"/>
      <c r="AN1096" s="547"/>
      <c r="AO1096" s="829" t="str">
        <f t="shared" si="227"/>
        <v>Yes</v>
      </c>
      <c r="AP1096" s="259" t="str">
        <f t="shared" si="228"/>
        <v>APR 22</v>
      </c>
      <c r="AQ1096" s="547" t="str">
        <f t="shared" si="229"/>
        <v>有定金+有預留客戶</v>
      </c>
      <c r="AR1096" s="259" t="str">
        <f t="shared" si="230"/>
        <v>Shipped_Stock</v>
      </c>
      <c r="AS1096" s="259" t="str">
        <f t="shared" si="231"/>
        <v/>
      </c>
      <c r="AT1096" s="259" t="str">
        <f t="shared" si="232"/>
        <v>鹏鑫达（end user：晶昌鸿业）</v>
      </c>
      <c r="AU1096" s="259" t="str">
        <f t="shared" si="233"/>
        <v>C49SZX20210086JL</v>
      </c>
      <c r="AV1096" s="259" t="str">
        <f t="shared" si="234"/>
        <v>Mar-26</v>
      </c>
    </row>
    <row r="1097" spans="1:48" ht="17.25" hidden="1" thickBot="1">
      <c r="A1097" s="564">
        <v>1276</v>
      </c>
      <c r="B1097" s="669" t="s">
        <v>1125</v>
      </c>
      <c r="C1097" s="669" t="s">
        <v>15</v>
      </c>
      <c r="D1097" s="629">
        <v>110757</v>
      </c>
      <c r="E1097" s="761" t="s">
        <v>2104</v>
      </c>
      <c r="F1097" s="652" t="s">
        <v>17</v>
      </c>
      <c r="G1097" s="652" t="s">
        <v>18</v>
      </c>
      <c r="H1097" s="652" t="s">
        <v>27</v>
      </c>
      <c r="I1097" s="580" t="s">
        <v>2106</v>
      </c>
      <c r="J1097" s="580">
        <v>1</v>
      </c>
      <c r="K1097" s="762" t="s">
        <v>2071</v>
      </c>
      <c r="L1097" s="662">
        <v>44646</v>
      </c>
      <c r="M1097" s="670">
        <v>5.3600000000000002E-2</v>
      </c>
      <c r="N1097" s="652" t="s">
        <v>1930</v>
      </c>
      <c r="O1097" s="580">
        <v>2022.3</v>
      </c>
      <c r="P1097" s="670" t="str">
        <f>VLOOKUP(A1097,'[1]Raw data'!$B:$BA,23,FALSE)</f>
        <v>JPY</v>
      </c>
      <c r="Q1097" s="652" t="str">
        <f>VLOOKUP(A1097,'[1]Raw data'!$B:$Z,2,FALSE)</f>
        <v>C49SZX20210086JL</v>
      </c>
      <c r="R1097" s="652" t="str">
        <f>VLOOKUP(A1097,'[1]Raw data'!$B:$Z,3,FALSE)</f>
        <v>鹏鑫达（end user：晶昌鸿业）</v>
      </c>
      <c r="S1097" s="652" t="str">
        <f>VLOOKUP(A1097,'[1]Raw data'!$B:$Z,4,FALSE)</f>
        <v>YSM10</v>
      </c>
      <c r="T1097" s="652" t="str">
        <f>VLOOKUP(A1097,'[1]Raw data'!$B:$Z,8,FALSE)</f>
        <v>L-&gt;R</v>
      </c>
      <c r="U1097" s="652" t="str">
        <f>VLOOKUP(A1097,'[1]Raw data'!$B:$Z,9,FALSE)</f>
        <v>MVC</v>
      </c>
      <c r="V1097" s="572" t="str">
        <f t="shared" si="226"/>
        <v>WRONG</v>
      </c>
      <c r="W1097" s="568" t="str">
        <f>VLOOKUP(A1097,'[1]Raw data'!$B:$AG,32,FALSE)</f>
        <v>DAP SZ</v>
      </c>
      <c r="X1097" s="652">
        <f>VLOOKUP(A1097,'[1]Raw data'!$B:$BA,31,FALSE)</f>
        <v>44274</v>
      </c>
      <c r="Y1097" s="652" t="str">
        <f>VLOOKUP(A1097,'[1]Raw data'!$B:$AS,39,FALSE)</f>
        <v>Yes</v>
      </c>
      <c r="Z1097" s="671"/>
      <c r="AA1097" s="665"/>
      <c r="AB1097" s="666"/>
      <c r="AC1097" s="580" t="s">
        <v>1951</v>
      </c>
      <c r="AD1097" s="667">
        <v>302</v>
      </c>
      <c r="AE1097" s="667">
        <v>10</v>
      </c>
      <c r="AF1097" s="667"/>
      <c r="AG1097" s="667"/>
      <c r="AH1097" s="667"/>
      <c r="AI1097" s="668"/>
      <c r="AN1097" s="547"/>
      <c r="AO1097" s="829" t="str">
        <f t="shared" si="227"/>
        <v>Yes</v>
      </c>
      <c r="AP1097" s="259" t="str">
        <f t="shared" si="228"/>
        <v>APR 22</v>
      </c>
      <c r="AQ1097" s="547" t="str">
        <f t="shared" si="229"/>
        <v>有定金+有預留客戶</v>
      </c>
      <c r="AR1097" s="259" t="str">
        <f t="shared" si="230"/>
        <v>Shipped_Stock</v>
      </c>
      <c r="AS1097" s="259" t="str">
        <f t="shared" si="231"/>
        <v/>
      </c>
      <c r="AT1097" s="259" t="str">
        <f t="shared" si="232"/>
        <v>鹏鑫达（end user：晶昌鸿业）</v>
      </c>
      <c r="AU1097" s="259" t="str">
        <f t="shared" si="233"/>
        <v>C49SZX20210086JL</v>
      </c>
      <c r="AV1097" s="259" t="str">
        <f t="shared" si="234"/>
        <v>Mar-26</v>
      </c>
    </row>
    <row r="1098" spans="1:48" hidden="1">
      <c r="A1098" s="604">
        <v>1446</v>
      </c>
      <c r="B1098" s="669" t="s">
        <v>1125</v>
      </c>
      <c r="C1098" s="669" t="s">
        <v>15</v>
      </c>
      <c r="D1098" s="766">
        <v>110759</v>
      </c>
      <c r="E1098" s="651" t="s">
        <v>2107</v>
      </c>
      <c r="F1098" s="652" t="s">
        <v>17</v>
      </c>
      <c r="G1098" s="652" t="s">
        <v>18</v>
      </c>
      <c r="H1098" s="652" t="s">
        <v>27</v>
      </c>
      <c r="I1098" s="580" t="s">
        <v>2108</v>
      </c>
      <c r="J1098" s="580">
        <v>1</v>
      </c>
      <c r="K1098" s="652" t="s">
        <v>1419</v>
      </c>
      <c r="L1098" s="662">
        <v>44645</v>
      </c>
      <c r="M1098" s="670" t="s">
        <v>906</v>
      </c>
      <c r="N1098" s="652" t="s">
        <v>1930</v>
      </c>
      <c r="O1098" s="580">
        <v>2022.3</v>
      </c>
      <c r="P1098" s="670" t="str">
        <f>VLOOKUP(A1098,'[1]Raw data'!$B:$BA,23,FALSE)</f>
        <v>JPY</v>
      </c>
      <c r="Q1098" s="652" t="str">
        <f>VLOOKUP(A1098,'[1]Raw data'!$B:$Z,2,FALSE)</f>
        <v>C49SZX20210177SS</v>
      </c>
      <c r="R1098" s="652" t="str">
        <f>VLOOKUP(A1098,'[1]Raw data'!$B:$Z,3,FALSE)</f>
        <v>乐凡电子</v>
      </c>
      <c r="S1098" s="652" t="str">
        <f>VLOOKUP(A1098,'[1]Raw data'!$B:$Z,4,FALSE)</f>
        <v>YSM10</v>
      </c>
      <c r="T1098" s="652" t="str">
        <f>VLOOKUP(A1098,'[1]Raw data'!$B:$Z,8,FALSE)</f>
        <v>R-&gt;L</v>
      </c>
      <c r="U1098" s="652" t="str">
        <f>VLOOKUP(A1098,'[1]Raw data'!$B:$Z,9,FALSE)</f>
        <v>MVC</v>
      </c>
      <c r="V1098" s="572" t="str">
        <f t="shared" si="226"/>
        <v>OK</v>
      </c>
      <c r="W1098" s="568" t="str">
        <f>VLOOKUP(A1098,'[1]Raw data'!$B:$AG,32,FALSE)</f>
        <v>DAP SZ</v>
      </c>
      <c r="X1098" s="652">
        <f>VLOOKUP(A1098,'[1]Raw data'!$B:$BA,31,FALSE)</f>
        <v>44372</v>
      </c>
      <c r="Y1098" s="652" t="str">
        <f>VLOOKUP(A1098,'[1]Raw data'!$B:$AS,39,FALSE)</f>
        <v>Yes</v>
      </c>
      <c r="Z1098" s="671"/>
      <c r="AA1098" s="665"/>
      <c r="AB1098" s="666"/>
      <c r="AC1098" s="652" t="s">
        <v>970</v>
      </c>
      <c r="AD1098" s="580">
        <v>302</v>
      </c>
      <c r="AE1098" s="580">
        <v>10</v>
      </c>
      <c r="AF1098" s="580"/>
      <c r="AG1098" s="580"/>
      <c r="AH1098" s="580"/>
      <c r="AI1098" s="684"/>
      <c r="AJ1098" s="569"/>
      <c r="AK1098" s="569"/>
      <c r="AL1098" s="569"/>
      <c r="AM1098" s="569"/>
      <c r="AN1098" s="619"/>
      <c r="AO1098" s="829" t="str">
        <f t="shared" si="227"/>
        <v>Yes</v>
      </c>
      <c r="AP1098" s="259" t="str">
        <f t="shared" si="228"/>
        <v>APR 22</v>
      </c>
      <c r="AQ1098" s="547" t="str">
        <f t="shared" si="229"/>
        <v>有定金+有預留客戶</v>
      </c>
      <c r="AR1098" s="259" t="str">
        <f t="shared" si="230"/>
        <v>Shipped_Stock</v>
      </c>
      <c r="AS1098" s="259" t="str">
        <f t="shared" si="231"/>
        <v/>
      </c>
      <c r="AT1098" s="259" t="str">
        <f t="shared" si="232"/>
        <v>乐凡电子</v>
      </c>
      <c r="AU1098" s="259" t="str">
        <f t="shared" si="233"/>
        <v>C49SZX20210177SS</v>
      </c>
      <c r="AV1098" s="259" t="str">
        <f t="shared" si="234"/>
        <v>Mar-25</v>
      </c>
    </row>
    <row r="1099" spans="1:48" ht="16.5" hidden="1">
      <c r="A1099" s="604">
        <v>1441</v>
      </c>
      <c r="B1099" s="669" t="s">
        <v>1125</v>
      </c>
      <c r="C1099" s="669" t="s">
        <v>15</v>
      </c>
      <c r="D1099" s="760">
        <v>110761</v>
      </c>
      <c r="E1099" s="761" t="s">
        <v>2109</v>
      </c>
      <c r="F1099" s="652" t="s">
        <v>17</v>
      </c>
      <c r="G1099" s="652" t="s">
        <v>18</v>
      </c>
      <c r="H1099" s="652" t="s">
        <v>27</v>
      </c>
      <c r="I1099" s="580" t="s">
        <v>2110</v>
      </c>
      <c r="J1099" s="580">
        <v>1</v>
      </c>
      <c r="K1099" s="762" t="s">
        <v>2071</v>
      </c>
      <c r="L1099" s="662">
        <v>44645</v>
      </c>
      <c r="M1099" s="670">
        <v>5.3600000000000002E-2</v>
      </c>
      <c r="N1099" s="652" t="s">
        <v>1930</v>
      </c>
      <c r="O1099" s="580">
        <v>2022.3</v>
      </c>
      <c r="P1099" s="670" t="str">
        <f>VLOOKUP(A1099,'[1]Raw data'!$B:$BA,23,FALSE)</f>
        <v>JPY</v>
      </c>
      <c r="Q1099" s="652" t="str">
        <f>VLOOKUP(A1099,'[1]Raw data'!$B:$Z,2,FALSE)</f>
        <v>C49SZX20210130R1JY</v>
      </c>
      <c r="R1099" s="652" t="str">
        <f>VLOOKUP(A1099,'[1]Raw data'!$B:$Z,3,FALSE)</f>
        <v>海松微</v>
      </c>
      <c r="S1099" s="652" t="str">
        <f>VLOOKUP(A1099,'[1]Raw data'!$B:$Z,4,FALSE)</f>
        <v>YSM10</v>
      </c>
      <c r="T1099" s="652" t="str">
        <f>VLOOKUP(A1099,'[1]Raw data'!$B:$Z,8,FALSE)</f>
        <v>L-&gt;R</v>
      </c>
      <c r="U1099" s="652" t="str">
        <f>VLOOKUP(A1099,'[1]Raw data'!$B:$Z,9,FALSE)</f>
        <v>MVC</v>
      </c>
      <c r="V1099" s="572" t="str">
        <f t="shared" si="226"/>
        <v>WRONG</v>
      </c>
      <c r="W1099" s="568" t="str">
        <f>VLOOKUP(A1099,'[1]Raw data'!$B:$AG,32,FALSE)</f>
        <v>DAP SZ</v>
      </c>
      <c r="X1099" s="652">
        <f>VLOOKUP(A1099,'[1]Raw data'!$B:$BA,31,FALSE)</f>
        <v>44372</v>
      </c>
      <c r="Y1099" s="652" t="str">
        <f>VLOOKUP(A1099,'[1]Raw data'!$B:$AS,39,FALSE)</f>
        <v>Yes</v>
      </c>
      <c r="Z1099" s="671"/>
      <c r="AA1099" s="665"/>
      <c r="AB1099" s="666"/>
      <c r="AC1099" s="652" t="s">
        <v>1951</v>
      </c>
      <c r="AD1099" s="580">
        <v>302</v>
      </c>
      <c r="AE1099" s="580">
        <v>10</v>
      </c>
      <c r="AF1099" s="580"/>
      <c r="AG1099" s="580"/>
      <c r="AH1099" s="580"/>
      <c r="AI1099" s="684"/>
      <c r="AJ1099" s="569"/>
      <c r="AK1099" s="569"/>
      <c r="AL1099" s="569"/>
      <c r="AM1099" s="569"/>
      <c r="AN1099" s="619"/>
      <c r="AO1099" s="829" t="str">
        <f t="shared" si="227"/>
        <v>Yes</v>
      </c>
      <c r="AP1099" s="259" t="str">
        <f t="shared" si="228"/>
        <v>APR 22</v>
      </c>
      <c r="AQ1099" s="547" t="str">
        <f t="shared" si="229"/>
        <v>有定金+有預留客戶</v>
      </c>
      <c r="AR1099" s="259" t="str">
        <f t="shared" si="230"/>
        <v>Shipped_Stock</v>
      </c>
      <c r="AS1099" s="259" t="str">
        <f t="shared" si="231"/>
        <v/>
      </c>
      <c r="AT1099" s="259" t="str">
        <f t="shared" si="232"/>
        <v>海松微</v>
      </c>
      <c r="AU1099" s="259" t="str">
        <f t="shared" si="233"/>
        <v>C49SZX20210130R1JY</v>
      </c>
      <c r="AV1099" s="259" t="str">
        <f t="shared" si="234"/>
        <v>Mar-25</v>
      </c>
    </row>
    <row r="1100" spans="1:48" ht="16.5" hidden="1">
      <c r="A1100" s="604">
        <v>1440</v>
      </c>
      <c r="B1100" s="669" t="s">
        <v>1125</v>
      </c>
      <c r="C1100" s="669" t="s">
        <v>15</v>
      </c>
      <c r="D1100" s="760">
        <v>110763</v>
      </c>
      <c r="E1100" s="761" t="s">
        <v>2020</v>
      </c>
      <c r="F1100" s="652" t="s">
        <v>17</v>
      </c>
      <c r="G1100" s="652" t="s">
        <v>1012</v>
      </c>
      <c r="H1100" s="652" t="s">
        <v>27</v>
      </c>
      <c r="I1100" s="580" t="s">
        <v>2111</v>
      </c>
      <c r="J1100" s="580">
        <v>1</v>
      </c>
      <c r="K1100" s="762" t="s">
        <v>2071</v>
      </c>
      <c r="L1100" s="662">
        <v>44645</v>
      </c>
      <c r="M1100" s="670">
        <v>5.3600000000000002E-2</v>
      </c>
      <c r="N1100" s="652" t="s">
        <v>1930</v>
      </c>
      <c r="O1100" s="580">
        <v>2022.3</v>
      </c>
      <c r="P1100" s="670" t="str">
        <f>VLOOKUP(A1100,'[1]Raw data'!$B:$BA,23,FALSE)</f>
        <v>JPY</v>
      </c>
      <c r="Q1100" s="652" t="str">
        <f>VLOOKUP(A1100,'[1]Raw data'!$B:$Z,2,FALSE)</f>
        <v>C49SZX20210130R1JY</v>
      </c>
      <c r="R1100" s="652" t="str">
        <f>VLOOKUP(A1100,'[1]Raw data'!$B:$Z,3,FALSE)</f>
        <v>海松微（最终需要从C49SZX20210120R1JY中拆除YSM20R相机改为YSM10相机）</v>
      </c>
      <c r="S1100" s="652" t="str">
        <f>VLOOKUP(A1100,'[1]Raw data'!$B:$Z,4,FALSE)</f>
        <v>YSM10</v>
      </c>
      <c r="T1100" s="652" t="str">
        <f>VLOOKUP(A1100,'[1]Raw data'!$B:$Z,8,FALSE)</f>
        <v>L-&gt;R</v>
      </c>
      <c r="U1100" s="652" t="str">
        <f>VLOOKUP(A1100,'[1]Raw data'!$B:$Z,9,FALSE)</f>
        <v>No</v>
      </c>
      <c r="V1100" s="572" t="str">
        <f t="shared" si="226"/>
        <v>WRONG</v>
      </c>
      <c r="W1100" s="568" t="str">
        <f>VLOOKUP(A1100,'[1]Raw data'!$B:$AG,32,FALSE)</f>
        <v>DAP SZ</v>
      </c>
      <c r="X1100" s="652">
        <f>VLOOKUP(A1100,'[1]Raw data'!$B:$BA,31,FALSE)</f>
        <v>44372</v>
      </c>
      <c r="Y1100" s="652" t="str">
        <f>VLOOKUP(A1100,'[1]Raw data'!$B:$AS,39,FALSE)</f>
        <v>Yes</v>
      </c>
      <c r="Z1100" s="671"/>
      <c r="AA1100" s="665"/>
      <c r="AB1100" s="666"/>
      <c r="AC1100" s="652" t="s">
        <v>2112</v>
      </c>
      <c r="AD1100" s="580">
        <v>301</v>
      </c>
      <c r="AE1100" s="580">
        <v>10</v>
      </c>
      <c r="AF1100" s="580"/>
      <c r="AG1100" s="580"/>
      <c r="AH1100" s="580"/>
      <c r="AI1100" s="684"/>
      <c r="AJ1100" s="569"/>
      <c r="AK1100" s="569"/>
      <c r="AL1100" s="569"/>
      <c r="AM1100" s="569"/>
      <c r="AN1100" s="619"/>
      <c r="AO1100" s="829" t="str">
        <f t="shared" si="227"/>
        <v>Yes</v>
      </c>
      <c r="AP1100" s="259" t="str">
        <f t="shared" si="228"/>
        <v>APR 22</v>
      </c>
      <c r="AQ1100" s="547" t="str">
        <f t="shared" si="229"/>
        <v>有定金+有預留客戶</v>
      </c>
      <c r="AR1100" s="259" t="str">
        <f t="shared" si="230"/>
        <v>Shipped_Stock</v>
      </c>
      <c r="AS1100" s="259" t="str">
        <f t="shared" si="231"/>
        <v/>
      </c>
      <c r="AT1100" s="259" t="str">
        <f t="shared" si="232"/>
        <v>海松微（最终需要从C49SZX20210120R1JY中拆除YSM20R相机改为YSM10相机）</v>
      </c>
      <c r="AU1100" s="259" t="str">
        <f t="shared" si="233"/>
        <v>C49SZX20210130R1JY</v>
      </c>
      <c r="AV1100" s="259" t="str">
        <f t="shared" si="234"/>
        <v>Mar-25</v>
      </c>
    </row>
    <row r="1101" spans="1:48" ht="16.5" hidden="1">
      <c r="A1101" s="604">
        <v>1470</v>
      </c>
      <c r="B1101" s="669" t="s">
        <v>1125</v>
      </c>
      <c r="C1101" s="669" t="s">
        <v>15</v>
      </c>
      <c r="D1101" s="760">
        <v>110763</v>
      </c>
      <c r="E1101" s="761" t="s">
        <v>2020</v>
      </c>
      <c r="F1101" s="652" t="s">
        <v>17</v>
      </c>
      <c r="G1101" s="652" t="s">
        <v>18</v>
      </c>
      <c r="H1101" s="652" t="s">
        <v>27</v>
      </c>
      <c r="I1101" s="580" t="s">
        <v>2113</v>
      </c>
      <c r="J1101" s="580">
        <v>1</v>
      </c>
      <c r="K1101" s="762" t="s">
        <v>2071</v>
      </c>
      <c r="L1101" s="662">
        <v>44645</v>
      </c>
      <c r="M1101" s="670">
        <v>5.3600000000000002E-2</v>
      </c>
      <c r="N1101" s="652" t="s">
        <v>1930</v>
      </c>
      <c r="O1101" s="580">
        <v>2022.3</v>
      </c>
      <c r="P1101" s="670" t="str">
        <f>VLOOKUP(A1101,'[1]Raw data'!$B:$BA,23,FALSE)</f>
        <v>JPY</v>
      </c>
      <c r="Q1101" s="652" t="str">
        <f>VLOOKUP(A1101,'[1]Raw data'!$B:$Z,2,FALSE)</f>
        <v>C49SZX20210187SS</v>
      </c>
      <c r="R1101" s="652" t="str">
        <f>VLOOKUP(A1101,'[1]Raw data'!$B:$Z,3,FALSE)</f>
        <v>盈通恒翼</v>
      </c>
      <c r="S1101" s="652" t="str">
        <f>VLOOKUP(A1101,'[1]Raw data'!$B:$Z,4,FALSE)</f>
        <v>YSM10</v>
      </c>
      <c r="T1101" s="652" t="str">
        <f>VLOOKUP(A1101,'[1]Raw data'!$B:$Z,8,FALSE)</f>
        <v>L-&gt;R</v>
      </c>
      <c r="U1101" s="652" t="str">
        <f>VLOOKUP(A1101,'[1]Raw data'!$B:$Z,9,FALSE)</f>
        <v>No</v>
      </c>
      <c r="V1101" s="572" t="str">
        <f t="shared" si="226"/>
        <v>WRONG</v>
      </c>
      <c r="W1101" s="568" t="str">
        <f>VLOOKUP(A1101,'[1]Raw data'!$B:$AG,32,FALSE)</f>
        <v>DAP SZ</v>
      </c>
      <c r="X1101" s="652">
        <f>VLOOKUP(A1101,'[1]Raw data'!$B:$BA,31,FALSE)</f>
        <v>44439</v>
      </c>
      <c r="Y1101" s="652" t="str">
        <f>VLOOKUP(A1101,'[1]Raw data'!$B:$AS,39,FALSE)</f>
        <v>Yes</v>
      </c>
      <c r="Z1101" s="671"/>
      <c r="AA1101" s="665"/>
      <c r="AB1101" s="666"/>
      <c r="AC1101" s="652" t="s">
        <v>1377</v>
      </c>
      <c r="AD1101" s="580">
        <v>301</v>
      </c>
      <c r="AE1101" s="580">
        <v>10</v>
      </c>
      <c r="AF1101" s="580"/>
      <c r="AG1101" s="580"/>
      <c r="AH1101" s="580"/>
      <c r="AI1101" s="684"/>
      <c r="AJ1101" s="569"/>
      <c r="AK1101" s="569"/>
      <c r="AL1101" s="569"/>
      <c r="AM1101" s="569"/>
      <c r="AN1101" s="619"/>
      <c r="AO1101" s="829" t="str">
        <f t="shared" si="227"/>
        <v>Yes</v>
      </c>
      <c r="AP1101" s="259" t="str">
        <f t="shared" si="228"/>
        <v>APR 22</v>
      </c>
      <c r="AQ1101" s="547" t="str">
        <f t="shared" si="229"/>
        <v>有定金+有預留客戶</v>
      </c>
      <c r="AR1101" s="259" t="str">
        <f t="shared" si="230"/>
        <v>Shipped_Stock</v>
      </c>
      <c r="AS1101" s="259" t="str">
        <f t="shared" si="231"/>
        <v/>
      </c>
      <c r="AT1101" s="259" t="str">
        <f t="shared" si="232"/>
        <v>盈通恒翼</v>
      </c>
      <c r="AU1101" s="259" t="str">
        <f t="shared" si="233"/>
        <v>C49SZX20210187SS</v>
      </c>
      <c r="AV1101" s="259" t="str">
        <f t="shared" si="234"/>
        <v>Mar-25</v>
      </c>
    </row>
    <row r="1102" spans="1:48" ht="33.75" hidden="1" thickBot="1">
      <c r="A1102" s="604">
        <v>1402</v>
      </c>
      <c r="B1102" s="669" t="s">
        <v>1125</v>
      </c>
      <c r="C1102" s="669" t="s">
        <v>15</v>
      </c>
      <c r="D1102" s="629">
        <v>110763</v>
      </c>
      <c r="E1102" s="761" t="s">
        <v>2020</v>
      </c>
      <c r="F1102" s="652" t="s">
        <v>17</v>
      </c>
      <c r="G1102" s="652" t="s">
        <v>18</v>
      </c>
      <c r="H1102" s="652" t="s">
        <v>27</v>
      </c>
      <c r="I1102" s="580" t="s">
        <v>2114</v>
      </c>
      <c r="J1102" s="580">
        <v>1</v>
      </c>
      <c r="K1102" s="762" t="s">
        <v>2071</v>
      </c>
      <c r="L1102" s="662">
        <v>44645</v>
      </c>
      <c r="M1102" s="670" t="s">
        <v>2115</v>
      </c>
      <c r="N1102" s="652" t="s">
        <v>1930</v>
      </c>
      <c r="O1102" s="580">
        <v>2022.3</v>
      </c>
      <c r="P1102" s="670" t="str">
        <f>VLOOKUP(A1102,'[1]Raw data'!$B:$BA,23,FALSE)</f>
        <v>RMB</v>
      </c>
      <c r="Q1102" s="652" t="str">
        <f>VLOOKUP(A1102,'[1]Raw data'!$B:$Z,2,FALSE)</f>
        <v>C49SZX20220034AY</v>
      </c>
      <c r="R1102" s="652" t="str">
        <f>VLOOKUP(A1102,'[1]Raw data'!$B:$Z,3,FALSE)</f>
        <v>清禾</v>
      </c>
      <c r="S1102" s="652" t="str">
        <f>VLOOKUP(A1102,'[1]Raw data'!$B:$Z,4,FALSE)</f>
        <v>YSM10</v>
      </c>
      <c r="T1102" s="652" t="str">
        <f>VLOOKUP(A1102,'[1]Raw data'!$B:$Z,8,FALSE)</f>
        <v>L-&gt;R</v>
      </c>
      <c r="U1102" s="652" t="str">
        <f>VLOOKUP(A1102,'[1]Raw data'!$B:$Z,9,FALSE)</f>
        <v>MVC</v>
      </c>
      <c r="V1102" s="572" t="str">
        <f t="shared" si="226"/>
        <v>WRONG</v>
      </c>
      <c r="W1102" s="568" t="str">
        <f>VLOOKUP(A1102,'[1]Raw data'!$B:$AG,32,FALSE)</f>
        <v>DDP SZ</v>
      </c>
      <c r="X1102" s="652">
        <f>VLOOKUP(A1102,'[1]Raw data'!$B:$BA,31,FALSE)</f>
        <v>44642</v>
      </c>
      <c r="Y1102" s="652" t="str">
        <f>VLOOKUP(A1102,'[1]Raw data'!$B:$AS,39,FALSE)</f>
        <v>Yes</v>
      </c>
      <c r="Z1102" s="671"/>
      <c r="AA1102" s="665"/>
      <c r="AB1102" s="666"/>
      <c r="AC1102" s="652" t="s">
        <v>2116</v>
      </c>
      <c r="AD1102" s="580">
        <v>302</v>
      </c>
      <c r="AE1102" s="580">
        <v>10</v>
      </c>
      <c r="AF1102" s="580"/>
      <c r="AG1102" s="580"/>
      <c r="AH1102" s="580"/>
      <c r="AI1102" s="684"/>
      <c r="AJ1102" s="569"/>
      <c r="AK1102" s="569"/>
      <c r="AL1102" s="569"/>
      <c r="AM1102" s="569"/>
      <c r="AN1102" s="619"/>
      <c r="AO1102" s="829" t="str">
        <f t="shared" si="227"/>
        <v>Yes</v>
      </c>
      <c r="AP1102" s="259" t="str">
        <f t="shared" si="228"/>
        <v>APR 22</v>
      </c>
      <c r="AQ1102" s="547" t="str">
        <f t="shared" si="229"/>
        <v>有定金+有預留客戶</v>
      </c>
      <c r="AR1102" s="259" t="str">
        <f t="shared" si="230"/>
        <v>Shipped_Stock</v>
      </c>
      <c r="AS1102" s="259" t="str">
        <f t="shared" si="231"/>
        <v/>
      </c>
      <c r="AT1102" s="259" t="str">
        <f t="shared" si="232"/>
        <v>清禾</v>
      </c>
      <c r="AU1102" s="259" t="str">
        <f t="shared" si="233"/>
        <v>C49SZX20220034AY</v>
      </c>
      <c r="AV1102" s="259" t="str">
        <f t="shared" si="234"/>
        <v>Mar-25</v>
      </c>
    </row>
    <row r="1103" spans="1:48" ht="21.75" hidden="1">
      <c r="A1103" s="604">
        <v>1568</v>
      </c>
      <c r="B1103" s="669" t="s">
        <v>1125</v>
      </c>
      <c r="C1103" s="669" t="s">
        <v>15</v>
      </c>
      <c r="D1103" s="766">
        <v>110766</v>
      </c>
      <c r="E1103" s="651" t="s">
        <v>2117</v>
      </c>
      <c r="F1103" s="652" t="s">
        <v>58</v>
      </c>
      <c r="G1103" s="652" t="s">
        <v>24</v>
      </c>
      <c r="H1103" s="652" t="s">
        <v>26</v>
      </c>
      <c r="I1103" s="580" t="s">
        <v>2118</v>
      </c>
      <c r="J1103" s="580">
        <v>1</v>
      </c>
      <c r="K1103" s="762" t="s">
        <v>2071</v>
      </c>
      <c r="L1103" s="662">
        <v>44648</v>
      </c>
      <c r="M1103" s="670" t="s">
        <v>2119</v>
      </c>
      <c r="N1103" s="652" t="s">
        <v>1930</v>
      </c>
      <c r="O1103" s="580">
        <v>2022.3</v>
      </c>
      <c r="P1103" s="670" t="str">
        <f>VLOOKUP(A1103,'[1]Raw data'!$B:$BA,23,FALSE)</f>
        <v>JPY</v>
      </c>
      <c r="Q1103" s="652" t="str">
        <f>VLOOKUP(A1103,'[1]Raw data'!$B:$Z,2,FALSE)</f>
        <v>C49SZX20220014JL</v>
      </c>
      <c r="R1103" s="652" t="str">
        <f>VLOOKUP(A1103,'[1]Raw data'!$B:$Z,3,FALSE)</f>
        <v>捷舜诚</v>
      </c>
      <c r="S1103" s="652" t="str">
        <f>VLOOKUP(A1103,'[1]Raw data'!$B:$Z,4,FALSE)</f>
        <v>YSM20R-2</v>
      </c>
      <c r="T1103" s="652" t="str">
        <f>VLOOKUP(A1103,'[1]Raw data'!$B:$Z,8,FALSE)</f>
        <v>L-&gt;R</v>
      </c>
      <c r="U1103" s="652" t="str">
        <f>VLOOKUP(A1103,'[1]Raw data'!$B:$Z,9,FALSE)</f>
        <v>MVC</v>
      </c>
      <c r="V1103" s="572" t="str">
        <f>IF(G1103&amp;H1103=T1103&amp;U1103,"OK","WRONG")</f>
        <v>WRONG</v>
      </c>
      <c r="W1103" s="568" t="str">
        <f>VLOOKUP(A1103,'[1]Raw data'!$B:$AG,32,FALSE)</f>
        <v>DAP SZ</v>
      </c>
      <c r="X1103" s="652">
        <f>VLOOKUP(A1103,'[1]Raw data'!$B:$BA,31,FALSE)</f>
        <v>44586</v>
      </c>
      <c r="Y1103" s="652" t="str">
        <f>VLOOKUP(A1103,'[1]Raw data'!$B:$AS,39,FALSE)</f>
        <v>Yes</v>
      </c>
      <c r="Z1103" s="671"/>
      <c r="AA1103" s="665"/>
      <c r="AB1103" s="666"/>
      <c r="AC1103" s="568" t="s">
        <v>1150</v>
      </c>
      <c r="AD1103" s="580">
        <v>301</v>
      </c>
      <c r="AE1103" s="580">
        <v>20</v>
      </c>
      <c r="AF1103" s="580"/>
      <c r="AG1103" s="580"/>
      <c r="AH1103" s="580"/>
      <c r="AI1103" s="684"/>
      <c r="AJ1103" s="569"/>
      <c r="AK1103" s="569"/>
      <c r="AL1103" s="569"/>
      <c r="AM1103" s="569"/>
      <c r="AN1103" s="619"/>
      <c r="AO1103" s="829" t="str">
        <f t="shared" si="227"/>
        <v>Yes</v>
      </c>
      <c r="AP1103" s="259" t="str">
        <f t="shared" si="228"/>
        <v>APR 22</v>
      </c>
      <c r="AQ1103" s="547" t="str">
        <f t="shared" si="229"/>
        <v>有定金+有預留客戶</v>
      </c>
      <c r="AR1103" s="259" t="str">
        <f t="shared" si="230"/>
        <v>Shipped_Stock</v>
      </c>
      <c r="AS1103" s="259" t="str">
        <f t="shared" si="231"/>
        <v/>
      </c>
      <c r="AT1103" s="259" t="str">
        <f t="shared" si="232"/>
        <v>捷舜诚</v>
      </c>
      <c r="AU1103" s="259" t="str">
        <f t="shared" si="233"/>
        <v>C49SZX20220014JL</v>
      </c>
      <c r="AV1103" s="259" t="str">
        <f t="shared" si="234"/>
        <v>Mar-28</v>
      </c>
    </row>
    <row r="1104" spans="1:48" ht="32.25" hidden="1">
      <c r="A1104" s="564">
        <v>1477</v>
      </c>
      <c r="B1104" s="669" t="s">
        <v>1125</v>
      </c>
      <c r="C1104" s="669" t="s">
        <v>15</v>
      </c>
      <c r="D1104" s="760">
        <v>110766</v>
      </c>
      <c r="E1104" s="761" t="s">
        <v>2120</v>
      </c>
      <c r="F1104" s="652" t="s">
        <v>58</v>
      </c>
      <c r="G1104" s="652" t="s">
        <v>24</v>
      </c>
      <c r="H1104" s="652" t="s">
        <v>26</v>
      </c>
      <c r="I1104" s="580" t="s">
        <v>2121</v>
      </c>
      <c r="J1104" s="580">
        <v>1</v>
      </c>
      <c r="K1104" s="762" t="s">
        <v>2071</v>
      </c>
      <c r="L1104" s="662">
        <v>44648</v>
      </c>
      <c r="M1104" s="670" t="s">
        <v>2122</v>
      </c>
      <c r="N1104" s="652" t="s">
        <v>1930</v>
      </c>
      <c r="O1104" s="580">
        <v>2022.3</v>
      </c>
      <c r="P1104" s="670" t="str">
        <f>VLOOKUP(A1104,'[1]Raw data'!$B:$BA,23,FALSE)</f>
        <v>JPY</v>
      </c>
      <c r="Q1104" s="652" t="str">
        <f>VLOOKUP(A1104,'[1]Raw data'!$B:$Z,2,FALSE)</f>
        <v>C49SZX20210192SX</v>
      </c>
      <c r="R1104" s="652" t="str">
        <f>VLOOKUP(A1104,'[1]Raw data'!$B:$Z,3,FALSE)</f>
        <v>正讯</v>
      </c>
      <c r="S1104" s="652" t="str">
        <f>VLOOKUP(A1104,'[1]Raw data'!$B:$Z,4,FALSE)</f>
        <v>YSM20R-2</v>
      </c>
      <c r="T1104" s="652" t="str">
        <f>VLOOKUP(A1104,'[1]Raw data'!$B:$Z,8,FALSE)</f>
        <v>L-&gt;R</v>
      </c>
      <c r="U1104" s="652" t="str">
        <f>VLOOKUP(A1104,'[1]Raw data'!$B:$Z,9,FALSE)</f>
        <v>No</v>
      </c>
      <c r="V1104" s="572" t="str">
        <f>IF(G1104&amp;H1104=T1104&amp;U1104,"OK","WRONG")</f>
        <v>OK</v>
      </c>
      <c r="W1104" s="568" t="str">
        <f>VLOOKUP(A1104,'[1]Raw data'!$B:$AG,32,FALSE)</f>
        <v>DAP DG</v>
      </c>
      <c r="X1104" s="652">
        <f>VLOOKUP(A1104,'[1]Raw data'!$B:$BA,31,FALSE)</f>
        <v>44456</v>
      </c>
      <c r="Y1104" s="652" t="str">
        <f>VLOOKUP(A1104,'[1]Raw data'!$B:$AS,39,FALSE)</f>
        <v>Yes</v>
      </c>
      <c r="Z1104" s="671"/>
      <c r="AA1104" s="665"/>
      <c r="AB1104" s="666"/>
      <c r="AC1104" s="652" t="s">
        <v>2123</v>
      </c>
      <c r="AD1104" s="667">
        <v>304</v>
      </c>
      <c r="AE1104" s="667">
        <v>20</v>
      </c>
      <c r="AF1104" s="667"/>
      <c r="AG1104" s="667"/>
      <c r="AH1104" s="667"/>
      <c r="AI1104" s="668"/>
      <c r="AN1104" s="547"/>
      <c r="AO1104" s="829" t="str">
        <f t="shared" si="227"/>
        <v>Yes</v>
      </c>
      <c r="AP1104" s="259" t="str">
        <f t="shared" si="228"/>
        <v>APR 22</v>
      </c>
      <c r="AQ1104" s="547" t="str">
        <f t="shared" si="229"/>
        <v>有定金+有預留客戶</v>
      </c>
      <c r="AR1104" s="259" t="str">
        <f t="shared" si="230"/>
        <v>Shipped_Stock</v>
      </c>
      <c r="AS1104" s="259" t="str">
        <f t="shared" si="231"/>
        <v/>
      </c>
      <c r="AT1104" s="259" t="str">
        <f t="shared" si="232"/>
        <v>正讯</v>
      </c>
      <c r="AU1104" s="259" t="str">
        <f t="shared" si="233"/>
        <v>C49SZX20210192SX</v>
      </c>
      <c r="AV1104" s="259" t="str">
        <f t="shared" si="234"/>
        <v>Mar-28</v>
      </c>
    </row>
    <row r="1105" spans="1:48" ht="16.5" hidden="1">
      <c r="A1105" s="604">
        <v>1290</v>
      </c>
      <c r="B1105" s="669" t="s">
        <v>1125</v>
      </c>
      <c r="C1105" s="669" t="s">
        <v>15</v>
      </c>
      <c r="D1105" s="760">
        <v>110767</v>
      </c>
      <c r="E1105" s="761" t="s">
        <v>2124</v>
      </c>
      <c r="F1105" s="652" t="s">
        <v>58</v>
      </c>
      <c r="G1105" s="652" t="s">
        <v>24</v>
      </c>
      <c r="H1105" s="652" t="s">
        <v>26</v>
      </c>
      <c r="I1105" s="580" t="s">
        <v>2125</v>
      </c>
      <c r="J1105" s="580">
        <v>1</v>
      </c>
      <c r="K1105" s="762" t="s">
        <v>2071</v>
      </c>
      <c r="L1105" s="662">
        <v>44648</v>
      </c>
      <c r="M1105" s="670">
        <v>5.3600000000000002E-2</v>
      </c>
      <c r="N1105" s="652" t="s">
        <v>1930</v>
      </c>
      <c r="O1105" s="580">
        <v>2022.3</v>
      </c>
      <c r="P1105" s="670" t="str">
        <f>VLOOKUP(A1105,'[1]Raw data'!$B:$BA,23,FALSE)</f>
        <v>JPY</v>
      </c>
      <c r="Q1105" s="652" t="str">
        <f>VLOOKUP(A1105,'[1]Raw data'!$B:$Z,2,FALSE)</f>
        <v>C49SZX20210092MZ</v>
      </c>
      <c r="R1105" s="652" t="str">
        <f>VLOOKUP(A1105,'[1]Raw data'!$B:$Z,3,FALSE)</f>
        <v>懿美莱</v>
      </c>
      <c r="S1105" s="652" t="str">
        <f>VLOOKUP(A1105,'[1]Raw data'!$B:$Z,4,FALSE)</f>
        <v>YSM20R-2</v>
      </c>
      <c r="T1105" s="652" t="str">
        <f>VLOOKUP(A1105,'[1]Raw data'!$B:$Z,8,FALSE)</f>
        <v>L-&gt;R</v>
      </c>
      <c r="U1105" s="652" t="str">
        <f>VLOOKUP(A1105,'[1]Raw data'!$B:$Z,9,FALSE)</f>
        <v>No</v>
      </c>
      <c r="V1105" s="572" t="str">
        <f>IF(G1105&amp;H1105=T1105&amp;U1105,"OK","WRONG")</f>
        <v>OK</v>
      </c>
      <c r="W1105" s="568" t="str">
        <f>VLOOKUP(A1105,'[1]Raw data'!$B:$AG,32,FALSE)</f>
        <v>DAP SZ</v>
      </c>
      <c r="X1105" s="652">
        <f>VLOOKUP(A1105,'[1]Raw data'!$B:$BA,31,FALSE)</f>
        <v>44285</v>
      </c>
      <c r="Y1105" s="652" t="str">
        <f>VLOOKUP(A1105,'[1]Raw data'!$B:$AS,39,FALSE)</f>
        <v>Yes</v>
      </c>
      <c r="Z1105" s="671"/>
      <c r="AA1105" s="672"/>
      <c r="AB1105" s="673"/>
      <c r="AC1105" s="652" t="s">
        <v>2072</v>
      </c>
      <c r="AD1105" s="580">
        <v>304</v>
      </c>
      <c r="AE1105" s="580">
        <v>20</v>
      </c>
      <c r="AF1105" s="580"/>
      <c r="AG1105" s="580"/>
      <c r="AH1105" s="580"/>
      <c r="AI1105" s="684"/>
      <c r="AJ1105" s="569"/>
      <c r="AK1105" s="569"/>
      <c r="AL1105" s="569"/>
      <c r="AM1105" s="569"/>
      <c r="AN1105" s="619"/>
      <c r="AO1105" s="829" t="str">
        <f t="shared" si="227"/>
        <v>Yes</v>
      </c>
      <c r="AP1105" s="259" t="str">
        <f t="shared" si="228"/>
        <v>APR 22</v>
      </c>
      <c r="AQ1105" s="547" t="str">
        <f t="shared" si="229"/>
        <v>有定金+有預留客戶</v>
      </c>
      <c r="AR1105" s="259" t="str">
        <f t="shared" si="230"/>
        <v>Shipped_Stock</v>
      </c>
      <c r="AS1105" s="259" t="str">
        <f t="shared" si="231"/>
        <v/>
      </c>
      <c r="AT1105" s="259" t="str">
        <f t="shared" si="232"/>
        <v>懿美莱</v>
      </c>
      <c r="AU1105" s="259" t="str">
        <f t="shared" si="233"/>
        <v>C49SZX20210092MZ</v>
      </c>
      <c r="AV1105" s="259" t="str">
        <f t="shared" si="234"/>
        <v>Mar-28</v>
      </c>
    </row>
    <row r="1106" spans="1:48" ht="16.5" hidden="1">
      <c r="A1106" s="604">
        <v>1471</v>
      </c>
      <c r="B1106" s="669" t="s">
        <v>1125</v>
      </c>
      <c r="C1106" s="669" t="s">
        <v>15</v>
      </c>
      <c r="D1106" s="760">
        <v>110767</v>
      </c>
      <c r="E1106" s="761" t="s">
        <v>2124</v>
      </c>
      <c r="F1106" s="652" t="s">
        <v>58</v>
      </c>
      <c r="G1106" s="652" t="s">
        <v>24</v>
      </c>
      <c r="H1106" s="652" t="s">
        <v>26</v>
      </c>
      <c r="I1106" s="580" t="s">
        <v>2126</v>
      </c>
      <c r="J1106" s="580">
        <v>1</v>
      </c>
      <c r="K1106" s="762" t="s">
        <v>2071</v>
      </c>
      <c r="L1106" s="662">
        <v>44648</v>
      </c>
      <c r="M1106" s="670">
        <v>5.3600000000000002E-2</v>
      </c>
      <c r="N1106" s="652" t="s">
        <v>1930</v>
      </c>
      <c r="O1106" s="580">
        <v>2022.3</v>
      </c>
      <c r="P1106" s="670" t="str">
        <f>VLOOKUP(A1106,'[1]Raw data'!$B:$BA,23,FALSE)</f>
        <v>JPY</v>
      </c>
      <c r="Q1106" s="652" t="str">
        <f>VLOOKUP(A1106,'[1]Raw data'!$B:$Z,2,FALSE)</f>
        <v>C49SZX20210187SS</v>
      </c>
      <c r="R1106" s="652" t="str">
        <f>VLOOKUP(A1106,'[1]Raw data'!$B:$Z,3,FALSE)</f>
        <v>盈通恒翼</v>
      </c>
      <c r="S1106" s="652" t="str">
        <f>VLOOKUP(A1106,'[1]Raw data'!$B:$Z,4,FALSE)</f>
        <v>YSM20R-2</v>
      </c>
      <c r="T1106" s="652" t="str">
        <f>VLOOKUP(A1106,'[1]Raw data'!$B:$Z,8,FALSE)</f>
        <v>L-&gt;R</v>
      </c>
      <c r="U1106" s="652" t="str">
        <f>VLOOKUP(A1106,'[1]Raw data'!$B:$Z,9,FALSE)</f>
        <v>No</v>
      </c>
      <c r="V1106" s="572" t="str">
        <f>IF(G1106&amp;H1106=T1106&amp;U1106,"OK","WRONG")</f>
        <v>OK</v>
      </c>
      <c r="W1106" s="568" t="str">
        <f>VLOOKUP(A1106,'[1]Raw data'!$B:$AG,32,FALSE)</f>
        <v>DAP SZ</v>
      </c>
      <c r="X1106" s="652">
        <f>VLOOKUP(A1106,'[1]Raw data'!$B:$BA,31,FALSE)</f>
        <v>44439</v>
      </c>
      <c r="Y1106" s="652" t="str">
        <f>VLOOKUP(A1106,'[1]Raw data'!$B:$AS,39,FALSE)</f>
        <v>Yes</v>
      </c>
      <c r="Z1106" s="671"/>
      <c r="AA1106" s="665"/>
      <c r="AB1106" s="666"/>
      <c r="AC1106" s="652" t="s">
        <v>1377</v>
      </c>
      <c r="AD1106" s="580">
        <v>303</v>
      </c>
      <c r="AE1106" s="580">
        <v>20</v>
      </c>
      <c r="AF1106" s="580"/>
      <c r="AG1106" s="580"/>
      <c r="AH1106" s="580"/>
      <c r="AI1106" s="684"/>
      <c r="AJ1106" s="569"/>
      <c r="AK1106" s="569"/>
      <c r="AL1106" s="569"/>
      <c r="AM1106" s="569"/>
      <c r="AN1106" s="619"/>
      <c r="AO1106" s="829" t="str">
        <f t="shared" si="227"/>
        <v>Yes</v>
      </c>
      <c r="AP1106" s="259" t="str">
        <f t="shared" si="228"/>
        <v>APR 22</v>
      </c>
      <c r="AQ1106" s="547" t="str">
        <f t="shared" si="229"/>
        <v>有定金+有預留客戶</v>
      </c>
      <c r="AR1106" s="259" t="str">
        <f t="shared" si="230"/>
        <v>Shipped_Stock</v>
      </c>
      <c r="AS1106" s="259" t="str">
        <f t="shared" si="231"/>
        <v/>
      </c>
      <c r="AT1106" s="259" t="str">
        <f t="shared" si="232"/>
        <v>盈通恒翼</v>
      </c>
      <c r="AU1106" s="259" t="str">
        <f t="shared" si="233"/>
        <v>C49SZX20210187SS</v>
      </c>
      <c r="AV1106" s="259" t="str">
        <f t="shared" si="234"/>
        <v>Mar-28</v>
      </c>
    </row>
    <row r="1107" spans="1:48" ht="17.25" hidden="1" thickBot="1">
      <c r="A1107" s="604">
        <v>1486</v>
      </c>
      <c r="B1107" s="669" t="s">
        <v>1125</v>
      </c>
      <c r="C1107" s="669" t="s">
        <v>15</v>
      </c>
      <c r="D1107" s="629">
        <v>110768</v>
      </c>
      <c r="E1107" s="761" t="s">
        <v>2127</v>
      </c>
      <c r="F1107" s="652" t="s">
        <v>58</v>
      </c>
      <c r="G1107" s="652" t="s">
        <v>24</v>
      </c>
      <c r="H1107" s="652" t="s">
        <v>26</v>
      </c>
      <c r="I1107" s="580" t="s">
        <v>2128</v>
      </c>
      <c r="J1107" s="580">
        <v>1</v>
      </c>
      <c r="K1107" s="762" t="s">
        <v>2071</v>
      </c>
      <c r="L1107" s="662">
        <v>44648</v>
      </c>
      <c r="M1107" s="670">
        <v>5.3600000000000002E-2</v>
      </c>
      <c r="N1107" s="652" t="s">
        <v>1930</v>
      </c>
      <c r="O1107" s="580">
        <v>2022.3</v>
      </c>
      <c r="P1107" s="670" t="str">
        <f>VLOOKUP(A1107,'[1]Raw data'!$B:$BA,23,FALSE)</f>
        <v>JPY</v>
      </c>
      <c r="Q1107" s="652" t="str">
        <f>VLOOKUP(A1107,'[1]Raw data'!$B:$Z,2,FALSE)</f>
        <v>C49SZX20210180SX</v>
      </c>
      <c r="R1107" s="652" t="str">
        <f>VLOOKUP(A1107,'[1]Raw data'!$B:$Z,3,FALSE)</f>
        <v>恒磊</v>
      </c>
      <c r="S1107" s="652" t="str">
        <f>VLOOKUP(A1107,'[1]Raw data'!$B:$Z,4,FALSE)</f>
        <v>YSM20R-2</v>
      </c>
      <c r="T1107" s="652" t="str">
        <f>VLOOKUP(A1107,'[1]Raw data'!$B:$Z,8,FALSE)</f>
        <v>L-&gt;R</v>
      </c>
      <c r="U1107" s="652" t="str">
        <f>VLOOKUP(A1107,'[1]Raw data'!$B:$Z,9,FALSE)</f>
        <v>No</v>
      </c>
      <c r="V1107" s="572" t="str">
        <f>IF(G1107&amp;H1107=T1107&amp;U1107,"OK","WRONG")</f>
        <v>OK</v>
      </c>
      <c r="W1107" s="568" t="str">
        <f>VLOOKUP(A1107,'[1]Raw data'!$B:$AG,32,FALSE)</f>
        <v>DAP SZ</v>
      </c>
      <c r="X1107" s="652">
        <f>VLOOKUP(A1107,'[1]Raw data'!$B:$BA,31,FALSE)</f>
        <v>44496</v>
      </c>
      <c r="Y1107" s="652" t="str">
        <f>VLOOKUP(A1107,'[1]Raw data'!$B:$AS,39,FALSE)</f>
        <v>Yes</v>
      </c>
      <c r="Z1107" s="671"/>
      <c r="AA1107" s="665"/>
      <c r="AB1107" s="666"/>
      <c r="AC1107" s="652" t="s">
        <v>2129</v>
      </c>
      <c r="AD1107" s="580">
        <v>303</v>
      </c>
      <c r="AE1107" s="580">
        <v>20</v>
      </c>
      <c r="AF1107" s="580"/>
      <c r="AG1107" s="580"/>
      <c r="AH1107" s="580"/>
      <c r="AI1107" s="684"/>
      <c r="AJ1107" s="569"/>
      <c r="AK1107" s="569"/>
      <c r="AL1107" s="569"/>
      <c r="AM1107" s="569"/>
      <c r="AN1107" s="619"/>
      <c r="AO1107" s="829" t="str">
        <f t="shared" si="227"/>
        <v>Yes</v>
      </c>
      <c r="AP1107" s="259" t="str">
        <f t="shared" si="228"/>
        <v>APR 22</v>
      </c>
      <c r="AQ1107" s="547" t="str">
        <f t="shared" si="229"/>
        <v>有定金+有預留客戶</v>
      </c>
      <c r="AR1107" s="259" t="str">
        <f t="shared" si="230"/>
        <v>Shipped_Stock</v>
      </c>
      <c r="AS1107" s="259" t="str">
        <f t="shared" si="231"/>
        <v/>
      </c>
      <c r="AT1107" s="259" t="str">
        <f t="shared" si="232"/>
        <v>恒磊</v>
      </c>
      <c r="AU1107" s="259" t="str">
        <f t="shared" si="233"/>
        <v>C49SZX20210180SX</v>
      </c>
      <c r="AV1107" s="259" t="str">
        <f t="shared" si="234"/>
        <v>Mar-28</v>
      </c>
    </row>
    <row r="1108" spans="1:48" hidden="1">
      <c r="A1108" s="604">
        <v>1569</v>
      </c>
      <c r="B1108" s="669" t="s">
        <v>1125</v>
      </c>
      <c r="C1108" s="669" t="s">
        <v>15</v>
      </c>
      <c r="D1108" s="649" t="s">
        <v>2130</v>
      </c>
      <c r="E1108" s="568" t="s">
        <v>2131</v>
      </c>
      <c r="F1108" s="568" t="s">
        <v>17</v>
      </c>
      <c r="G1108" s="568" t="s">
        <v>18</v>
      </c>
      <c r="H1108" s="568" t="s">
        <v>1919</v>
      </c>
      <c r="I1108" s="569" t="s">
        <v>2132</v>
      </c>
      <c r="J1108" s="569">
        <v>1</v>
      </c>
      <c r="K1108" s="568" t="s">
        <v>1419</v>
      </c>
      <c r="L1108" s="570" t="s">
        <v>2133</v>
      </c>
      <c r="M1108" s="773">
        <v>5.5500000000000001E-2</v>
      </c>
      <c r="N1108" s="652" t="s">
        <v>1930</v>
      </c>
      <c r="O1108" s="580">
        <v>2022.3</v>
      </c>
      <c r="P1108" s="670" t="str">
        <f>VLOOKUP(A1108,'[1]Raw data'!$B:$BA,23,FALSE)</f>
        <v>RMB</v>
      </c>
      <c r="Q1108" s="652" t="str">
        <f>VLOOKUP(A1108,'[1]Raw data'!$B:$Z,2,FALSE)</f>
        <v>C49SZX20220012SX</v>
      </c>
      <c r="R1108" s="652" t="str">
        <f>VLOOKUP(A1108,'[1]Raw data'!$B:$Z,3,FALSE)</f>
        <v>奕东(End user:湖北奕宏)</v>
      </c>
      <c r="S1108" s="652" t="str">
        <f>VLOOKUP(A1108,'[1]Raw data'!$B:$Z,4,FALSE)</f>
        <v>YSM10</v>
      </c>
      <c r="T1108" s="652" t="str">
        <f>VLOOKUP(A1108,'[1]Raw data'!$B:$Z,8,FALSE)</f>
        <v>L-&gt;R</v>
      </c>
      <c r="U1108" s="652" t="str">
        <f>VLOOKUP(A1108,'[1]Raw data'!$B:$Z,9,FALSE)</f>
        <v>MVC（F&amp;R）+大板相机</v>
      </c>
      <c r="V1108" s="572" t="str">
        <f t="shared" ref="V1108" si="235">IF(G1108&amp;H1108=T1108&amp;U1108,"OK","WRONG")</f>
        <v>WRONG</v>
      </c>
      <c r="W1108" s="568" t="str">
        <f>VLOOKUP(A1108,'[1]Raw data'!$B:$AG,32,FALSE)</f>
        <v>DDP HB</v>
      </c>
      <c r="X1108" s="652">
        <f>VLOOKUP(A1108,'[1]Raw data'!$B:$BA,31,FALSE)</f>
        <v>44588</v>
      </c>
      <c r="Y1108" s="652" t="str">
        <f>VLOOKUP(A1108,'[1]Raw data'!$B:$AS,39,FALSE)</f>
        <v>Yes</v>
      </c>
      <c r="Z1108" s="671"/>
      <c r="AA1108" s="665"/>
      <c r="AB1108" s="666"/>
      <c r="AC1108" s="652" t="s">
        <v>2134</v>
      </c>
      <c r="AD1108" s="580">
        <v>302</v>
      </c>
      <c r="AE1108" s="580">
        <v>10</v>
      </c>
      <c r="AF1108" s="580"/>
      <c r="AG1108" s="580"/>
      <c r="AH1108" s="580"/>
      <c r="AI1108" s="684"/>
      <c r="AJ1108" s="569"/>
      <c r="AK1108" s="569"/>
      <c r="AL1108" s="569"/>
      <c r="AM1108" s="569"/>
      <c r="AN1108" s="619"/>
      <c r="AO1108" s="829" t="str">
        <f t="shared" si="227"/>
        <v>Yes</v>
      </c>
      <c r="AP1108" s="259" t="str">
        <f t="shared" si="228"/>
        <v>APR 22</v>
      </c>
      <c r="AQ1108" s="547" t="str">
        <f t="shared" si="229"/>
        <v>有定金+有預留客戶</v>
      </c>
      <c r="AR1108" s="259" t="str">
        <f t="shared" si="230"/>
        <v>Shipped_Stock</v>
      </c>
      <c r="AS1108" s="259" t="str">
        <f t="shared" si="231"/>
        <v/>
      </c>
      <c r="AT1108" s="259" t="str">
        <f t="shared" si="232"/>
        <v>奕东(End user:湖北奕宏)</v>
      </c>
      <c r="AU1108" s="259" t="str">
        <f t="shared" si="233"/>
        <v>C49SZX20220012SX</v>
      </c>
      <c r="AV1108" s="259" t="str">
        <f t="shared" si="234"/>
        <v>2022/4/3深圳盐田港</v>
      </c>
    </row>
    <row r="1109" spans="1:48" hidden="1">
      <c r="A1109" s="604">
        <v>1570</v>
      </c>
      <c r="B1109" s="669" t="s">
        <v>1125</v>
      </c>
      <c r="C1109" s="669" t="s">
        <v>15</v>
      </c>
      <c r="D1109" s="649" t="s">
        <v>2130</v>
      </c>
      <c r="E1109" s="568" t="s">
        <v>2135</v>
      </c>
      <c r="F1109" s="568" t="s">
        <v>17</v>
      </c>
      <c r="G1109" s="568" t="s">
        <v>18</v>
      </c>
      <c r="H1109" s="568" t="s">
        <v>1919</v>
      </c>
      <c r="I1109" s="569" t="s">
        <v>2136</v>
      </c>
      <c r="J1109" s="569">
        <v>1</v>
      </c>
      <c r="K1109" s="568" t="s">
        <v>1419</v>
      </c>
      <c r="L1109" s="570" t="s">
        <v>2133</v>
      </c>
      <c r="M1109" s="773">
        <v>5.5500000000000001E-2</v>
      </c>
      <c r="N1109" s="652" t="s">
        <v>1930</v>
      </c>
      <c r="O1109" s="580">
        <v>2022.3</v>
      </c>
      <c r="P1109" s="670" t="str">
        <f>VLOOKUP(A1109,'[1]Raw data'!$B:$BA,23,FALSE)</f>
        <v>RMB</v>
      </c>
      <c r="Q1109" s="652" t="str">
        <f>VLOOKUP(A1109,'[1]Raw data'!$B:$Z,2,FALSE)</f>
        <v>C49SZX20220012SX</v>
      </c>
      <c r="R1109" s="652" t="str">
        <f>VLOOKUP(A1109,'[1]Raw data'!$B:$Z,3,FALSE)</f>
        <v>奕东(End user:湖北奕宏)</v>
      </c>
      <c r="S1109" s="652" t="str">
        <f>VLOOKUP(A1109,'[1]Raw data'!$B:$Z,4,FALSE)</f>
        <v>YSM10</v>
      </c>
      <c r="T1109" s="652" t="str">
        <f>VLOOKUP(A1109,'[1]Raw data'!$B:$Z,8,FALSE)</f>
        <v>L-&gt;R</v>
      </c>
      <c r="U1109" s="652" t="str">
        <f>VLOOKUP(A1109,'[1]Raw data'!$B:$Z,9,FALSE)</f>
        <v>MVC（F&amp;R）+大板相机</v>
      </c>
      <c r="V1109" s="572" t="str">
        <f t="shared" ref="V1109:V1126" si="236">IF(G1109&amp;H1109=T1109&amp;U1109,"OK","WRONG")</f>
        <v>WRONG</v>
      </c>
      <c r="W1109" s="568" t="str">
        <f>VLOOKUP(A1109,'[1]Raw data'!$B:$AG,32,FALSE)</f>
        <v>DDP HB</v>
      </c>
      <c r="X1109" s="652">
        <f>VLOOKUP(A1109,'[1]Raw data'!$B:$BA,31,FALSE)</f>
        <v>44588</v>
      </c>
      <c r="Y1109" s="652" t="str">
        <f>VLOOKUP(A1109,'[1]Raw data'!$B:$AS,39,FALSE)</f>
        <v>Yes</v>
      </c>
      <c r="Z1109" s="671"/>
      <c r="AA1109" s="665"/>
      <c r="AB1109" s="666"/>
      <c r="AC1109" s="652" t="s">
        <v>2134</v>
      </c>
      <c r="AD1109" s="580">
        <v>302</v>
      </c>
      <c r="AE1109" s="580">
        <v>10</v>
      </c>
      <c r="AF1109" s="580"/>
      <c r="AG1109" s="580"/>
      <c r="AH1109" s="580"/>
      <c r="AI1109" s="684"/>
      <c r="AJ1109" s="569"/>
      <c r="AK1109" s="569"/>
      <c r="AL1109" s="569"/>
      <c r="AM1109" s="569"/>
      <c r="AN1109" s="619"/>
      <c r="AO1109" s="829" t="str">
        <f t="shared" si="227"/>
        <v>Yes</v>
      </c>
      <c r="AP1109" s="259" t="str">
        <f t="shared" si="228"/>
        <v>APR 22</v>
      </c>
      <c r="AQ1109" s="547" t="str">
        <f t="shared" si="229"/>
        <v>有定金+有預留客戶</v>
      </c>
      <c r="AR1109" s="259" t="str">
        <f t="shared" si="230"/>
        <v>Shipped_Stock</v>
      </c>
      <c r="AS1109" s="259" t="str">
        <f t="shared" si="231"/>
        <v/>
      </c>
      <c r="AT1109" s="259" t="str">
        <f t="shared" si="232"/>
        <v>奕东(End user:湖北奕宏)</v>
      </c>
      <c r="AU1109" s="259" t="str">
        <f t="shared" si="233"/>
        <v>C49SZX20220012SX</v>
      </c>
      <c r="AV1109" s="259" t="str">
        <f t="shared" si="234"/>
        <v>2022/4/3深圳盐田港</v>
      </c>
    </row>
    <row r="1110" spans="1:48" hidden="1">
      <c r="A1110" s="604">
        <v>1571</v>
      </c>
      <c r="B1110" s="669" t="s">
        <v>1125</v>
      </c>
      <c r="C1110" s="669" t="s">
        <v>15</v>
      </c>
      <c r="D1110" s="649" t="s">
        <v>2130</v>
      </c>
      <c r="E1110" s="568" t="s">
        <v>2135</v>
      </c>
      <c r="F1110" s="568" t="s">
        <v>17</v>
      </c>
      <c r="G1110" s="568" t="s">
        <v>18</v>
      </c>
      <c r="H1110" s="568" t="s">
        <v>1919</v>
      </c>
      <c r="I1110" s="569" t="s">
        <v>2137</v>
      </c>
      <c r="J1110" s="569">
        <v>1</v>
      </c>
      <c r="K1110" s="568" t="s">
        <v>1419</v>
      </c>
      <c r="L1110" s="570" t="s">
        <v>2133</v>
      </c>
      <c r="M1110" s="773">
        <v>5.5500000000000001E-2</v>
      </c>
      <c r="N1110" s="652" t="s">
        <v>1930</v>
      </c>
      <c r="O1110" s="580">
        <v>2022.3</v>
      </c>
      <c r="P1110" s="670" t="str">
        <f>VLOOKUP(A1110,'[1]Raw data'!$B:$BA,23,FALSE)</f>
        <v>RMB</v>
      </c>
      <c r="Q1110" s="652" t="str">
        <f>VLOOKUP(A1110,'[1]Raw data'!$B:$Z,2,FALSE)</f>
        <v>C49SZX20220012SX</v>
      </c>
      <c r="R1110" s="652" t="str">
        <f>VLOOKUP(A1110,'[1]Raw data'!$B:$Z,3,FALSE)</f>
        <v>奕东(End user:湖北奕宏)</v>
      </c>
      <c r="S1110" s="652" t="str">
        <f>VLOOKUP(A1110,'[1]Raw data'!$B:$Z,4,FALSE)</f>
        <v>YSM10</v>
      </c>
      <c r="T1110" s="652" t="str">
        <f>VLOOKUP(A1110,'[1]Raw data'!$B:$Z,8,FALSE)</f>
        <v>L-&gt;R</v>
      </c>
      <c r="U1110" s="652" t="str">
        <f>VLOOKUP(A1110,'[1]Raw data'!$B:$Z,9,FALSE)</f>
        <v>MVC（F&amp;R）+大板相机</v>
      </c>
      <c r="V1110" s="572" t="str">
        <f t="shared" si="236"/>
        <v>WRONG</v>
      </c>
      <c r="W1110" s="568" t="str">
        <f>VLOOKUP(A1110,'[1]Raw data'!$B:$AG,32,FALSE)</f>
        <v>DDP HB</v>
      </c>
      <c r="X1110" s="652">
        <f>VLOOKUP(A1110,'[1]Raw data'!$B:$BA,31,FALSE)</f>
        <v>44588</v>
      </c>
      <c r="Y1110" s="652" t="str">
        <f>VLOOKUP(A1110,'[1]Raw data'!$B:$AS,39,FALSE)</f>
        <v>Yes</v>
      </c>
      <c r="Z1110" s="671"/>
      <c r="AA1110" s="665"/>
      <c r="AB1110" s="666"/>
      <c r="AC1110" s="652" t="s">
        <v>2134</v>
      </c>
      <c r="AD1110" s="580">
        <v>301</v>
      </c>
      <c r="AE1110" s="580">
        <v>10</v>
      </c>
      <c r="AF1110" s="580"/>
      <c r="AG1110" s="580"/>
      <c r="AH1110" s="580"/>
      <c r="AI1110" s="684"/>
      <c r="AJ1110" s="569"/>
      <c r="AK1110" s="569"/>
      <c r="AL1110" s="569"/>
      <c r="AM1110" s="569"/>
      <c r="AN1110" s="619"/>
      <c r="AO1110" s="829" t="str">
        <f t="shared" si="227"/>
        <v>Yes</v>
      </c>
      <c r="AP1110" s="259" t="str">
        <f t="shared" si="228"/>
        <v>APR 22</v>
      </c>
      <c r="AQ1110" s="547" t="str">
        <f t="shared" si="229"/>
        <v>有定金+有預留客戶</v>
      </c>
      <c r="AR1110" s="259" t="str">
        <f t="shared" si="230"/>
        <v>Shipped_Stock</v>
      </c>
      <c r="AS1110" s="259" t="str">
        <f t="shared" si="231"/>
        <v/>
      </c>
      <c r="AT1110" s="259" t="str">
        <f t="shared" si="232"/>
        <v>奕东(End user:湖北奕宏)</v>
      </c>
      <c r="AU1110" s="259" t="str">
        <f t="shared" si="233"/>
        <v>C49SZX20220012SX</v>
      </c>
      <c r="AV1110" s="259" t="str">
        <f t="shared" si="234"/>
        <v>2022/4/3深圳盐田港</v>
      </c>
    </row>
    <row r="1111" spans="1:48" hidden="1">
      <c r="A1111" s="604">
        <v>1572</v>
      </c>
      <c r="B1111" s="669" t="s">
        <v>1125</v>
      </c>
      <c r="C1111" s="669" t="s">
        <v>15</v>
      </c>
      <c r="D1111" s="649" t="s">
        <v>2130</v>
      </c>
      <c r="E1111" s="568" t="s">
        <v>2135</v>
      </c>
      <c r="F1111" s="568" t="s">
        <v>17</v>
      </c>
      <c r="G1111" s="568" t="s">
        <v>18</v>
      </c>
      <c r="H1111" s="568" t="s">
        <v>1919</v>
      </c>
      <c r="I1111" s="569" t="s">
        <v>2138</v>
      </c>
      <c r="J1111" s="569">
        <v>1</v>
      </c>
      <c r="K1111" s="568" t="s">
        <v>1419</v>
      </c>
      <c r="L1111" s="570" t="s">
        <v>2133</v>
      </c>
      <c r="M1111" s="773">
        <v>5.5500000000000001E-2</v>
      </c>
      <c r="N1111" s="652" t="s">
        <v>1930</v>
      </c>
      <c r="O1111" s="580">
        <v>2022.3</v>
      </c>
      <c r="P1111" s="670" t="str">
        <f>VLOOKUP(A1111,'[1]Raw data'!$B:$BA,23,FALSE)</f>
        <v>RMB</v>
      </c>
      <c r="Q1111" s="652" t="str">
        <f>VLOOKUP(A1111,'[1]Raw data'!$B:$Z,2,FALSE)</f>
        <v>C49SZX20220012SX</v>
      </c>
      <c r="R1111" s="652" t="str">
        <f>VLOOKUP(A1111,'[1]Raw data'!$B:$Z,3,FALSE)</f>
        <v>奕东(End user:湖北奕宏)</v>
      </c>
      <c r="S1111" s="652" t="str">
        <f>VLOOKUP(A1111,'[1]Raw data'!$B:$Z,4,FALSE)</f>
        <v>YSM10</v>
      </c>
      <c r="T1111" s="652" t="str">
        <f>VLOOKUP(A1111,'[1]Raw data'!$B:$Z,8,FALSE)</f>
        <v>R-&gt;L</v>
      </c>
      <c r="U1111" s="652" t="str">
        <f>VLOOKUP(A1111,'[1]Raw data'!$B:$Z,9,FALSE)</f>
        <v>MVC（F&amp;R）+大板相机</v>
      </c>
      <c r="V1111" s="572" t="str">
        <f t="shared" si="236"/>
        <v>WRONG</v>
      </c>
      <c r="W1111" s="568" t="str">
        <f>VLOOKUP(A1111,'[1]Raw data'!$B:$AG,32,FALSE)</f>
        <v>DDP HB</v>
      </c>
      <c r="X1111" s="652">
        <f>VLOOKUP(A1111,'[1]Raw data'!$B:$BA,31,FALSE)</f>
        <v>44588</v>
      </c>
      <c r="Y1111" s="652" t="str">
        <f>VLOOKUP(A1111,'[1]Raw data'!$B:$AS,39,FALSE)</f>
        <v>Yes</v>
      </c>
      <c r="Z1111" s="671"/>
      <c r="AA1111" s="665"/>
      <c r="AB1111" s="666"/>
      <c r="AC1111" s="652" t="s">
        <v>2134</v>
      </c>
      <c r="AD1111" s="580">
        <v>301</v>
      </c>
      <c r="AE1111" s="580">
        <v>10</v>
      </c>
      <c r="AF1111" s="580"/>
      <c r="AG1111" s="580"/>
      <c r="AH1111" s="580"/>
      <c r="AI1111" s="684"/>
      <c r="AJ1111" s="569"/>
      <c r="AK1111" s="569"/>
      <c r="AL1111" s="569"/>
      <c r="AM1111" s="569"/>
      <c r="AN1111" s="619"/>
      <c r="AO1111" s="829" t="str">
        <f t="shared" si="227"/>
        <v>Yes</v>
      </c>
      <c r="AP1111" s="259" t="str">
        <f t="shared" si="228"/>
        <v>APR 22</v>
      </c>
      <c r="AQ1111" s="547" t="str">
        <f t="shared" si="229"/>
        <v>有定金+有預留客戶</v>
      </c>
      <c r="AR1111" s="259" t="str">
        <f t="shared" si="230"/>
        <v>Shipped_Stock</v>
      </c>
      <c r="AS1111" s="259" t="str">
        <f t="shared" si="231"/>
        <v/>
      </c>
      <c r="AT1111" s="259" t="str">
        <f t="shared" si="232"/>
        <v>奕东(End user:湖北奕宏)</v>
      </c>
      <c r="AU1111" s="259" t="str">
        <f t="shared" si="233"/>
        <v>C49SZX20220012SX</v>
      </c>
      <c r="AV1111" s="259" t="str">
        <f t="shared" si="234"/>
        <v>2022/4/3深圳盐田港</v>
      </c>
    </row>
    <row r="1112" spans="1:48" hidden="1">
      <c r="A1112" s="604">
        <v>1573</v>
      </c>
      <c r="B1112" s="669" t="s">
        <v>1125</v>
      </c>
      <c r="C1112" s="669" t="s">
        <v>15</v>
      </c>
      <c r="D1112" s="649" t="s">
        <v>2130</v>
      </c>
      <c r="E1112" s="568" t="s">
        <v>2135</v>
      </c>
      <c r="F1112" s="568" t="s">
        <v>17</v>
      </c>
      <c r="G1112" s="568" t="s">
        <v>18</v>
      </c>
      <c r="H1112" s="568" t="s">
        <v>1919</v>
      </c>
      <c r="I1112" s="569" t="s">
        <v>2139</v>
      </c>
      <c r="J1112" s="569">
        <v>1</v>
      </c>
      <c r="K1112" s="568" t="s">
        <v>1419</v>
      </c>
      <c r="L1112" s="570" t="s">
        <v>2133</v>
      </c>
      <c r="M1112" s="773">
        <v>5.5500000000000001E-2</v>
      </c>
      <c r="N1112" s="652" t="s">
        <v>1930</v>
      </c>
      <c r="O1112" s="580">
        <v>2022.3</v>
      </c>
      <c r="P1112" s="670" t="str">
        <f>VLOOKUP(A1112,'[1]Raw data'!$B:$BA,23,FALSE)</f>
        <v>RMB</v>
      </c>
      <c r="Q1112" s="652" t="str">
        <f>VLOOKUP(A1112,'[1]Raw data'!$B:$Z,2,FALSE)</f>
        <v>C49SZX20220012SX</v>
      </c>
      <c r="R1112" s="652" t="str">
        <f>VLOOKUP(A1112,'[1]Raw data'!$B:$Z,3,FALSE)</f>
        <v>奕东(End user:湖北奕宏)</v>
      </c>
      <c r="S1112" s="652" t="str">
        <f>VLOOKUP(A1112,'[1]Raw data'!$B:$Z,4,FALSE)</f>
        <v>YSM10</v>
      </c>
      <c r="T1112" s="652" t="str">
        <f>VLOOKUP(A1112,'[1]Raw data'!$B:$Z,8,FALSE)</f>
        <v>R-&gt;L</v>
      </c>
      <c r="U1112" s="652" t="str">
        <f>VLOOKUP(A1112,'[1]Raw data'!$B:$Z,9,FALSE)</f>
        <v>MVC（F&amp;R）+大板相机</v>
      </c>
      <c r="V1112" s="572" t="str">
        <f t="shared" si="236"/>
        <v>WRONG</v>
      </c>
      <c r="W1112" s="568" t="str">
        <f>VLOOKUP(A1112,'[1]Raw data'!$B:$AG,32,FALSE)</f>
        <v>DDP HB</v>
      </c>
      <c r="X1112" s="652">
        <f>VLOOKUP(A1112,'[1]Raw data'!$B:$BA,31,FALSE)</f>
        <v>44588</v>
      </c>
      <c r="Y1112" s="652" t="str">
        <f>VLOOKUP(A1112,'[1]Raw data'!$B:$AS,39,FALSE)</f>
        <v>Yes</v>
      </c>
      <c r="Z1112" s="671"/>
      <c r="AA1112" s="665"/>
      <c r="AB1112" s="666"/>
      <c r="AC1112" s="652" t="s">
        <v>2134</v>
      </c>
      <c r="AD1112" s="580">
        <v>311</v>
      </c>
      <c r="AE1112" s="580">
        <v>10</v>
      </c>
      <c r="AF1112" s="580"/>
      <c r="AG1112" s="580"/>
      <c r="AH1112" s="580"/>
      <c r="AI1112" s="684"/>
      <c r="AJ1112" s="569"/>
      <c r="AK1112" s="569"/>
      <c r="AL1112" s="569"/>
      <c r="AM1112" s="569"/>
      <c r="AN1112" s="619"/>
      <c r="AO1112" s="829" t="str">
        <f t="shared" si="227"/>
        <v>Yes</v>
      </c>
      <c r="AP1112" s="259" t="str">
        <f t="shared" si="228"/>
        <v>APR 22</v>
      </c>
      <c r="AQ1112" s="547" t="str">
        <f t="shared" si="229"/>
        <v>有定金+有預留客戶</v>
      </c>
      <c r="AR1112" s="259" t="str">
        <f t="shared" si="230"/>
        <v>Shipped_Stock</v>
      </c>
      <c r="AS1112" s="259" t="str">
        <f t="shared" si="231"/>
        <v/>
      </c>
      <c r="AT1112" s="259" t="str">
        <f t="shared" si="232"/>
        <v>奕东(End user:湖北奕宏)</v>
      </c>
      <c r="AU1112" s="259" t="str">
        <f t="shared" si="233"/>
        <v>C49SZX20220012SX</v>
      </c>
      <c r="AV1112" s="259" t="str">
        <f t="shared" si="234"/>
        <v>2022/4/3深圳盐田港</v>
      </c>
    </row>
    <row r="1113" spans="1:48" hidden="1">
      <c r="A1113" s="604">
        <v>1516</v>
      </c>
      <c r="B1113" s="669" t="s">
        <v>1125</v>
      </c>
      <c r="C1113" s="669" t="s">
        <v>15</v>
      </c>
      <c r="D1113" s="766">
        <v>110764</v>
      </c>
      <c r="E1113" s="761" t="s">
        <v>2140</v>
      </c>
      <c r="F1113" s="652" t="s">
        <v>17</v>
      </c>
      <c r="G1113" s="652" t="s">
        <v>18</v>
      </c>
      <c r="H1113" s="652" t="s">
        <v>34</v>
      </c>
      <c r="I1113" s="580" t="s">
        <v>2141</v>
      </c>
      <c r="J1113" s="580">
        <v>1</v>
      </c>
      <c r="K1113" s="652" t="s">
        <v>85</v>
      </c>
      <c r="L1113" s="662">
        <v>43928</v>
      </c>
      <c r="M1113" s="670" t="s">
        <v>906</v>
      </c>
      <c r="N1113" s="652" t="s">
        <v>1930</v>
      </c>
      <c r="O1113" s="580">
        <v>2022.3</v>
      </c>
      <c r="P1113" s="670" t="str">
        <f>VLOOKUP(A1113,'[1]Raw data'!$B:$BA,23,FALSE)</f>
        <v>JPY</v>
      </c>
      <c r="Q1113" s="652" t="str">
        <f>VLOOKUP(A1113,'[1]Raw data'!$B:$Z,2,FALSE)</f>
        <v>C49SZX20210206MZ</v>
      </c>
      <c r="R1113" s="652" t="str">
        <f>VLOOKUP(A1113,'[1]Raw data'!$B:$Z,3,FALSE)</f>
        <v>魔乐视</v>
      </c>
      <c r="S1113" s="652" t="str">
        <f>VLOOKUP(A1113,'[1]Raw data'!$B:$Z,4,FALSE)</f>
        <v>YSM10</v>
      </c>
      <c r="T1113" s="652" t="str">
        <f>VLOOKUP(A1113,'[1]Raw data'!$B:$Z,8,FALSE)</f>
        <v>L-&gt;R</v>
      </c>
      <c r="U1113" s="652" t="str">
        <f>VLOOKUP(A1113,'[1]Raw data'!$B:$Z,9,FALSE)</f>
        <v>MVC+ATS15</v>
      </c>
      <c r="V1113" s="572" t="str">
        <f>IF(G1113&amp;H1113=T1113&amp;U1113,"OK","WRONG")</f>
        <v>WRONG</v>
      </c>
      <c r="W1113" s="568" t="str">
        <f>VLOOKUP(A1113,'[1]Raw data'!$B:$AG,32,FALSE)</f>
        <v>DAP SZ</v>
      </c>
      <c r="X1113" s="652">
        <f>VLOOKUP(A1113,'[1]Raw data'!$B:$BA,31,FALSE)</f>
        <v>44540</v>
      </c>
      <c r="Y1113" s="652" t="str">
        <f>VLOOKUP(A1113,'[1]Raw data'!$B:$AS,39,FALSE)</f>
        <v>Yes</v>
      </c>
      <c r="Z1113" s="671"/>
      <c r="AA1113" s="665"/>
      <c r="AB1113" s="666"/>
      <c r="AC1113" s="580" t="s">
        <v>1951</v>
      </c>
      <c r="AD1113" s="580">
        <v>302</v>
      </c>
      <c r="AE1113" s="580">
        <v>10</v>
      </c>
      <c r="AF1113" s="580"/>
      <c r="AG1113" s="580"/>
      <c r="AH1113" s="580"/>
      <c r="AI1113" s="684"/>
      <c r="AJ1113" s="569"/>
      <c r="AK1113" s="569"/>
      <c r="AL1113" s="569"/>
      <c r="AM1113" s="569"/>
      <c r="AN1113" s="619"/>
      <c r="AO1113" s="829" t="str">
        <f t="shared" si="227"/>
        <v>Yes</v>
      </c>
      <c r="AP1113" s="259" t="str">
        <f t="shared" si="228"/>
        <v>APR 22</v>
      </c>
      <c r="AQ1113" s="547" t="str">
        <f t="shared" si="229"/>
        <v>有定金+有預留客戶</v>
      </c>
      <c r="AR1113" s="259" t="str">
        <f t="shared" si="230"/>
        <v>Shipped_Stock</v>
      </c>
      <c r="AS1113" s="259" t="str">
        <f t="shared" si="231"/>
        <v/>
      </c>
      <c r="AT1113" s="259" t="str">
        <f t="shared" si="232"/>
        <v>魔乐视</v>
      </c>
      <c r="AU1113" s="259" t="str">
        <f t="shared" si="233"/>
        <v>C49SZX20210206MZ</v>
      </c>
      <c r="AV1113" s="259" t="str">
        <f t="shared" si="234"/>
        <v>Apr-07</v>
      </c>
    </row>
    <row r="1114" spans="1:48" hidden="1">
      <c r="A1114" s="604">
        <v>1576</v>
      </c>
      <c r="B1114" s="669" t="s">
        <v>1125</v>
      </c>
      <c r="C1114" s="669" t="s">
        <v>15</v>
      </c>
      <c r="D1114" s="760">
        <v>110765</v>
      </c>
      <c r="E1114" s="761" t="s">
        <v>2142</v>
      </c>
      <c r="F1114" s="652" t="s">
        <v>17</v>
      </c>
      <c r="G1114" s="652" t="s">
        <v>18</v>
      </c>
      <c r="H1114" s="652" t="s">
        <v>27</v>
      </c>
      <c r="I1114" s="580" t="s">
        <v>2143</v>
      </c>
      <c r="J1114" s="580">
        <v>1</v>
      </c>
      <c r="K1114" s="652" t="s">
        <v>85</v>
      </c>
      <c r="L1114" s="662">
        <v>43928</v>
      </c>
      <c r="M1114" s="670" t="s">
        <v>906</v>
      </c>
      <c r="N1114" s="652" t="s">
        <v>1903</v>
      </c>
      <c r="O1114" s="580">
        <v>2022.3</v>
      </c>
      <c r="P1114" s="670" t="str">
        <f>VLOOKUP(A1114,'[1]Raw data'!$B:$BA,23,FALSE)</f>
        <v>JPY</v>
      </c>
      <c r="Q1114" s="652" t="str">
        <f>VLOOKUP(A1114,'[1]Raw data'!$B:$Z,2,FALSE)</f>
        <v>C49SZX20220015SX</v>
      </c>
      <c r="R1114" s="652" t="str">
        <f>VLOOKUP(A1114,'[1]Raw data'!$B:$Z,3,FALSE)</f>
        <v>普德新星</v>
      </c>
      <c r="S1114" s="652" t="str">
        <f>VLOOKUP(A1114,'[1]Raw data'!$B:$Z,4,FALSE)</f>
        <v>YSM10</v>
      </c>
      <c r="T1114" s="652" t="str">
        <f>VLOOKUP(A1114,'[1]Raw data'!$B:$Z,8,FALSE)</f>
        <v>L-&gt;R</v>
      </c>
      <c r="U1114" s="652" t="str">
        <f>VLOOKUP(A1114,'[1]Raw data'!$B:$Z,9,FALSE)</f>
        <v>MVC</v>
      </c>
      <c r="V1114" s="572" t="str">
        <f>IF(G1114&amp;H1114=T1114&amp;U1114,"OK","WRONG")</f>
        <v>WRONG</v>
      </c>
      <c r="W1114" s="568" t="str">
        <f>VLOOKUP(A1114,'[1]Raw data'!$B:$AG,32,FALSE)</f>
        <v>DAP GX</v>
      </c>
      <c r="X1114" s="652">
        <f>VLOOKUP(A1114,'[1]Raw data'!$B:$BA,31,FALSE)</f>
        <v>44585</v>
      </c>
      <c r="Y1114" s="652" t="str">
        <f>VLOOKUP(A1114,'[1]Raw data'!$B:$AS,39,FALSE)</f>
        <v>Yes</v>
      </c>
      <c r="Z1114" s="664"/>
      <c r="AA1114" s="665"/>
      <c r="AB1114" s="666"/>
      <c r="AC1114" s="652" t="s">
        <v>2144</v>
      </c>
      <c r="AD1114" s="580">
        <v>301</v>
      </c>
      <c r="AE1114" s="580">
        <v>10</v>
      </c>
      <c r="AF1114" s="580"/>
      <c r="AG1114" s="580"/>
      <c r="AH1114" s="580"/>
      <c r="AI1114" s="684"/>
      <c r="AJ1114" s="569"/>
      <c r="AK1114" s="569"/>
      <c r="AL1114" s="569"/>
      <c r="AM1114" s="569"/>
      <c r="AN1114" s="619"/>
      <c r="AO1114" s="829" t="str">
        <f t="shared" si="227"/>
        <v>Yes</v>
      </c>
      <c r="AP1114" s="259" t="str">
        <f t="shared" si="228"/>
        <v>MAY 22</v>
      </c>
      <c r="AQ1114" s="547" t="str">
        <f t="shared" si="229"/>
        <v>有定金+有預留客戶</v>
      </c>
      <c r="AR1114" s="259" t="str">
        <f t="shared" si="230"/>
        <v>Shipped_Stock</v>
      </c>
      <c r="AS1114" s="259" t="str">
        <f t="shared" si="231"/>
        <v/>
      </c>
      <c r="AT1114" s="259" t="str">
        <f t="shared" si="232"/>
        <v>普德新星</v>
      </c>
      <c r="AU1114" s="259" t="str">
        <f t="shared" si="233"/>
        <v>C49SZX20220015SX</v>
      </c>
      <c r="AV1114" s="259" t="str">
        <f t="shared" si="234"/>
        <v>Apr-07</v>
      </c>
    </row>
    <row r="1115" spans="1:48" ht="24.75" hidden="1">
      <c r="A1115" s="564">
        <v>1578</v>
      </c>
      <c r="B1115" s="669" t="s">
        <v>1125</v>
      </c>
      <c r="C1115" s="669" t="s">
        <v>281</v>
      </c>
      <c r="D1115" s="760">
        <v>110812</v>
      </c>
      <c r="E1115" s="567" t="s">
        <v>886</v>
      </c>
      <c r="F1115" s="652" t="s">
        <v>17</v>
      </c>
      <c r="G1115" s="652" t="s">
        <v>18</v>
      </c>
      <c r="H1115" s="652" t="s">
        <v>26</v>
      </c>
      <c r="I1115" s="580" t="s">
        <v>2145</v>
      </c>
      <c r="J1115" s="580">
        <v>1</v>
      </c>
      <c r="K1115" s="652" t="s">
        <v>1419</v>
      </c>
      <c r="L1115" s="662">
        <v>43928</v>
      </c>
      <c r="M1115" s="670" t="s">
        <v>2146</v>
      </c>
      <c r="N1115" s="652" t="s">
        <v>1930</v>
      </c>
      <c r="O1115" s="580">
        <v>2022.3</v>
      </c>
      <c r="P1115" s="670" t="str">
        <f>VLOOKUP(A1115,'[1]Raw data'!$B:$BA,23,FALSE)</f>
        <v>RMB</v>
      </c>
      <c r="Q1115" s="652" t="str">
        <f>VLOOKUP(A1115,'[1]Raw data'!$B:$Z,2,FALSE)</f>
        <v>C49SZX20220011DZ</v>
      </c>
      <c r="R1115" s="652" t="str">
        <f>VLOOKUP(A1115,'[1]Raw data'!$B:$Z,3,FALSE)</f>
        <v>昌大</v>
      </c>
      <c r="S1115" s="652" t="str">
        <f>VLOOKUP(A1115,'[1]Raw data'!$B:$Z,4,FALSE)</f>
        <v>YSM10</v>
      </c>
      <c r="T1115" s="652" t="str">
        <f>VLOOKUP(A1115,'[1]Raw data'!$B:$Z,8,FALSE)</f>
        <v>L-&gt;R</v>
      </c>
      <c r="U1115" s="652" t="str">
        <f>VLOOKUP(A1115,'[1]Raw data'!$B:$Z,9,FALSE)</f>
        <v>No</v>
      </c>
      <c r="V1115" s="572" t="str">
        <f>IF(G1115&amp;H1115=T1115&amp;U1115,"OK","WRONG")</f>
        <v>WRONG</v>
      </c>
      <c r="W1115" s="568" t="str">
        <f>VLOOKUP(A1115,'[1]Raw data'!$B:$AG,32,FALSE)</f>
        <v>DDP JX</v>
      </c>
      <c r="X1115" s="652">
        <f>VLOOKUP(A1115,'[1]Raw data'!$B:$BA,31,FALSE)</f>
        <v>44585</v>
      </c>
      <c r="Y1115" s="652" t="str">
        <f>VLOOKUP(A1115,'[1]Raw data'!$B:$AS,39,FALSE)</f>
        <v>Yes</v>
      </c>
      <c r="Z1115" s="671"/>
      <c r="AA1115" s="672"/>
      <c r="AB1115" s="673"/>
      <c r="AC1115" s="652" t="s">
        <v>2147</v>
      </c>
      <c r="AD1115" s="667">
        <v>301</v>
      </c>
      <c r="AE1115" s="667">
        <v>10</v>
      </c>
      <c r="AF1115" s="667"/>
      <c r="AG1115" s="667"/>
      <c r="AH1115" s="667"/>
      <c r="AI1115" s="668"/>
      <c r="AN1115" s="547"/>
      <c r="AO1115" s="829" t="str">
        <f t="shared" si="227"/>
        <v>Yes</v>
      </c>
      <c r="AP1115" s="259" t="str">
        <f t="shared" si="228"/>
        <v>APR 22</v>
      </c>
      <c r="AQ1115" s="547" t="str">
        <f t="shared" si="229"/>
        <v>有定金+有預留客戶</v>
      </c>
      <c r="AR1115" s="259" t="str">
        <f t="shared" si="230"/>
        <v>Shipped_Stock</v>
      </c>
      <c r="AS1115" s="259" t="str">
        <f t="shared" si="231"/>
        <v/>
      </c>
      <c r="AT1115" s="259" t="str">
        <f t="shared" si="232"/>
        <v>昌大</v>
      </c>
      <c r="AU1115" s="259" t="str">
        <f t="shared" si="233"/>
        <v>C49SZX20220011DZ</v>
      </c>
      <c r="AV1115" s="259" t="str">
        <f t="shared" si="234"/>
        <v>Apr-07</v>
      </c>
    </row>
    <row r="1116" spans="1:48" hidden="1">
      <c r="A1116" s="604">
        <v>1509</v>
      </c>
      <c r="B1116" s="669" t="s">
        <v>1125</v>
      </c>
      <c r="C1116" s="669" t="s">
        <v>281</v>
      </c>
      <c r="D1116" s="760">
        <v>110812</v>
      </c>
      <c r="E1116" s="567" t="s">
        <v>886</v>
      </c>
      <c r="F1116" s="652" t="s">
        <v>17</v>
      </c>
      <c r="G1116" s="652" t="s">
        <v>18</v>
      </c>
      <c r="H1116" s="652" t="s">
        <v>27</v>
      </c>
      <c r="I1116" s="580" t="s">
        <v>2148</v>
      </c>
      <c r="J1116" s="580">
        <v>1</v>
      </c>
      <c r="K1116" s="652" t="s">
        <v>85</v>
      </c>
      <c r="L1116" s="662">
        <v>43928</v>
      </c>
      <c r="M1116" s="670" t="s">
        <v>906</v>
      </c>
      <c r="N1116" s="652" t="s">
        <v>1903</v>
      </c>
      <c r="O1116" s="580">
        <v>2022.3</v>
      </c>
      <c r="P1116" s="670" t="str">
        <f>VLOOKUP(A1116,'[1]Raw data'!$B:$BA,23,FALSE)</f>
        <v>JPY</v>
      </c>
      <c r="Q1116" s="652" t="str">
        <f>VLOOKUP(A1116,'[1]Raw data'!$B:$Z,2,FALSE)</f>
        <v>C49SZX20210207JY</v>
      </c>
      <c r="R1116" s="652" t="str">
        <f>VLOOKUP(A1116,'[1]Raw data'!$B:$Z,3,FALSE)</f>
        <v>海凌科达</v>
      </c>
      <c r="S1116" s="652" t="str">
        <f>VLOOKUP(A1116,'[1]Raw data'!$B:$Z,4,FALSE)</f>
        <v>YSM10</v>
      </c>
      <c r="T1116" s="652" t="str">
        <f>VLOOKUP(A1116,'[1]Raw data'!$B:$Z,8,FALSE)</f>
        <v>R-&gt;L</v>
      </c>
      <c r="U1116" s="652" t="str">
        <f>VLOOKUP(A1116,'[1]Raw data'!$B:$Z,9,FALSE)</f>
        <v>No</v>
      </c>
      <c r="V1116" s="572" t="str">
        <f>IF(G1116&amp;H1116=T1116&amp;U1116,"OK","WRONG")</f>
        <v>WRONG</v>
      </c>
      <c r="W1116" s="568" t="str">
        <f>VLOOKUP(A1116,'[1]Raw data'!$B:$AG,32,FALSE)</f>
        <v>CIF HK</v>
      </c>
      <c r="X1116" s="652">
        <f>VLOOKUP(A1116,'[1]Raw data'!$B:$BA,31,FALSE)</f>
        <v>44530</v>
      </c>
      <c r="Y1116" s="652" t="str">
        <f>VLOOKUP(A1116,'[1]Raw data'!$B:$AS,39,FALSE)</f>
        <v>Yes</v>
      </c>
      <c r="Z1116" s="664"/>
      <c r="AA1116" s="665"/>
      <c r="AB1116" s="666"/>
      <c r="AC1116" s="652" t="s">
        <v>695</v>
      </c>
      <c r="AD1116" s="580">
        <v>301</v>
      </c>
      <c r="AE1116" s="580">
        <v>10</v>
      </c>
      <c r="AF1116" s="580"/>
      <c r="AG1116" s="580"/>
      <c r="AH1116" s="580"/>
      <c r="AI1116" s="684"/>
      <c r="AJ1116" s="569"/>
      <c r="AK1116" s="569"/>
      <c r="AL1116" s="569"/>
      <c r="AM1116" s="569"/>
      <c r="AN1116" s="619"/>
      <c r="AO1116" s="829" t="str">
        <f t="shared" si="227"/>
        <v>Yes</v>
      </c>
      <c r="AP1116" s="259" t="str">
        <f t="shared" si="228"/>
        <v>MAY 22</v>
      </c>
      <c r="AQ1116" s="547" t="str">
        <f t="shared" si="229"/>
        <v>有定金+有預留客戶</v>
      </c>
      <c r="AR1116" s="259" t="str">
        <f t="shared" si="230"/>
        <v>Shipped_Stock</v>
      </c>
      <c r="AS1116" s="259" t="str">
        <f t="shared" si="231"/>
        <v/>
      </c>
      <c r="AT1116" s="259" t="str">
        <f t="shared" si="232"/>
        <v>海凌科达</v>
      </c>
      <c r="AU1116" s="259" t="str">
        <f t="shared" si="233"/>
        <v>C49SZX20210207JY</v>
      </c>
      <c r="AV1116" s="259" t="str">
        <f t="shared" si="234"/>
        <v>Apr-07</v>
      </c>
    </row>
    <row r="1117" spans="1:48" ht="12.75" hidden="1" customHeight="1" thickBot="1">
      <c r="A1117" s="564">
        <v>1596</v>
      </c>
      <c r="B1117" s="669" t="s">
        <v>1125</v>
      </c>
      <c r="C1117" s="669" t="s">
        <v>281</v>
      </c>
      <c r="D1117" s="629">
        <v>110812</v>
      </c>
      <c r="E1117" s="567" t="s">
        <v>886</v>
      </c>
      <c r="F1117" s="652" t="s">
        <v>17</v>
      </c>
      <c r="G1117" s="652" t="s">
        <v>18</v>
      </c>
      <c r="H1117" s="652" t="s">
        <v>26</v>
      </c>
      <c r="I1117" s="580" t="s">
        <v>2149</v>
      </c>
      <c r="J1117" s="580">
        <v>1</v>
      </c>
      <c r="K1117" s="652" t="s">
        <v>78</v>
      </c>
      <c r="L1117" s="662">
        <v>43928</v>
      </c>
      <c r="M1117" s="670" t="s">
        <v>906</v>
      </c>
      <c r="N1117" s="652" t="s">
        <v>1903</v>
      </c>
      <c r="O1117" s="580">
        <v>2022.3</v>
      </c>
      <c r="P1117" s="670" t="str">
        <f>VLOOKUP(A1117,'[1]Raw data'!$B:$BA,23,FALSE)</f>
        <v>JPY</v>
      </c>
      <c r="Q1117" s="652" t="str">
        <f>VLOOKUP(A1117,'[1]Raw data'!$B:$Z,2,FALSE)</f>
        <v>C49SZX20220013DZ</v>
      </c>
      <c r="R1117" s="652" t="str">
        <f>VLOOKUP(A1117,'[1]Raw data'!$B:$Z,3,FALSE)</f>
        <v>朗特</v>
      </c>
      <c r="S1117" s="652" t="str">
        <f>VLOOKUP(A1117,'[1]Raw data'!$B:$Z,4,FALSE)</f>
        <v>YSM10</v>
      </c>
      <c r="T1117" s="652" t="str">
        <f>VLOOKUP(A1117,'[1]Raw data'!$B:$Z,8,FALSE)</f>
        <v>R-&gt;L</v>
      </c>
      <c r="U1117" s="652" t="str">
        <f>VLOOKUP(A1117,'[1]Raw data'!$B:$Z,9,FALSE)</f>
        <v>MVC</v>
      </c>
      <c r="V1117" s="572" t="str">
        <f>IF(G1117&amp;H1117=T1117&amp;U1117,"OK","WRONG")</f>
        <v>WRONG</v>
      </c>
      <c r="W1117" s="568" t="str">
        <f>VLOOKUP(A1117,'[1]Raw data'!$B:$AG,32,FALSE)</f>
        <v>CIF HK</v>
      </c>
      <c r="X1117" s="652">
        <f>VLOOKUP(A1117,'[1]Raw data'!$B:$BA,31,FALSE)</f>
        <v>44614</v>
      </c>
      <c r="Y1117" s="652" t="str">
        <f>VLOOKUP(A1117,'[1]Raw data'!$B:$AS,39,FALSE)</f>
        <v>Yes</v>
      </c>
      <c r="Z1117" s="664"/>
      <c r="AA1117" s="665"/>
      <c r="AB1117" s="666"/>
      <c r="AC1117" s="652" t="s">
        <v>1005</v>
      </c>
      <c r="AD1117" s="667">
        <v>301</v>
      </c>
      <c r="AE1117" s="667">
        <v>10</v>
      </c>
      <c r="AF1117" s="667"/>
      <c r="AG1117" s="667"/>
      <c r="AH1117" s="667"/>
      <c r="AI1117" s="668"/>
      <c r="AN1117" s="547"/>
      <c r="AO1117" s="829" t="str">
        <f t="shared" si="227"/>
        <v>Yes</v>
      </c>
      <c r="AP1117" s="259" t="str">
        <f t="shared" si="228"/>
        <v>MAY 22</v>
      </c>
      <c r="AQ1117" s="547" t="str">
        <f t="shared" si="229"/>
        <v>有定金+有預留客戶</v>
      </c>
      <c r="AR1117" s="259" t="str">
        <f t="shared" si="230"/>
        <v>Shipped_Stock</v>
      </c>
      <c r="AS1117" s="259" t="str">
        <f t="shared" si="231"/>
        <v/>
      </c>
      <c r="AT1117" s="259" t="str">
        <f t="shared" si="232"/>
        <v>朗特</v>
      </c>
      <c r="AU1117" s="259" t="str">
        <f t="shared" si="233"/>
        <v>C49SZX20220013DZ</v>
      </c>
      <c r="AV1117" s="259" t="str">
        <f t="shared" si="234"/>
        <v>Apr-07</v>
      </c>
    </row>
    <row r="1118" spans="1:48" hidden="1">
      <c r="A1118" s="604">
        <v>1574</v>
      </c>
      <c r="B1118" s="669" t="s">
        <v>1125</v>
      </c>
      <c r="C1118" s="669" t="s">
        <v>15</v>
      </c>
      <c r="D1118" s="766">
        <v>110519</v>
      </c>
      <c r="E1118" s="651" t="s">
        <v>2150</v>
      </c>
      <c r="F1118" s="652" t="s">
        <v>58</v>
      </c>
      <c r="G1118" s="652" t="s">
        <v>24</v>
      </c>
      <c r="H1118" s="652" t="s">
        <v>26</v>
      </c>
      <c r="I1118" s="580" t="s">
        <v>2151</v>
      </c>
      <c r="J1118" s="580">
        <v>1</v>
      </c>
      <c r="K1118" s="652" t="s">
        <v>85</v>
      </c>
      <c r="L1118" s="662">
        <v>44662</v>
      </c>
      <c r="M1118" s="670" t="s">
        <v>906</v>
      </c>
      <c r="N1118" s="652" t="s">
        <v>1903</v>
      </c>
      <c r="O1118" s="580">
        <v>2022.3</v>
      </c>
      <c r="P1118" s="670" t="str">
        <f>VLOOKUP(A1118,'[1]Raw data'!$B:$BA,23,FALSE)</f>
        <v>JPY</v>
      </c>
      <c r="Q1118" s="652" t="str">
        <f>VLOOKUP(A1118,'[1]Raw data'!$B:$Z,2,FALSE)</f>
        <v>C49SZX20220015SX</v>
      </c>
      <c r="R1118" s="652" t="str">
        <f>VLOOKUP(A1118,'[1]Raw data'!$B:$Z,3,FALSE)</f>
        <v>普德新星</v>
      </c>
      <c r="S1118" s="652" t="str">
        <f>VLOOKUP(A1118,'[1]Raw data'!$B:$Z,4,FALSE)</f>
        <v>YSM20R-2</v>
      </c>
      <c r="T1118" s="652" t="str">
        <f>VLOOKUP(A1118,'[1]Raw data'!$B:$Z,8,FALSE)</f>
        <v>L-&gt;R</v>
      </c>
      <c r="U1118" s="652" t="str">
        <f>VLOOKUP(A1118,'[1]Raw data'!$B:$Z,9,FALSE)</f>
        <v>No</v>
      </c>
      <c r="V1118" s="572" t="str">
        <f t="shared" ref="V1118:V1120" si="237">IF(G1118&amp;H1118=T1118&amp;U1118,"OK","WRONG")</f>
        <v>OK</v>
      </c>
      <c r="W1118" s="568" t="str">
        <f>VLOOKUP(A1118,'[1]Raw data'!$B:$AG,32,FALSE)</f>
        <v>DAP GX</v>
      </c>
      <c r="X1118" s="652">
        <f>VLOOKUP(A1118,'[1]Raw data'!$B:$BA,31,FALSE)</f>
        <v>44585</v>
      </c>
      <c r="Y1118" s="652" t="str">
        <f>VLOOKUP(A1118,'[1]Raw data'!$B:$AS,39,FALSE)</f>
        <v>Yes</v>
      </c>
      <c r="Z1118" s="664"/>
      <c r="AA1118" s="665"/>
      <c r="AB1118" s="666"/>
      <c r="AC1118" s="652" t="s">
        <v>2144</v>
      </c>
      <c r="AD1118" s="580">
        <v>301</v>
      </c>
      <c r="AE1118" s="580">
        <v>20</v>
      </c>
      <c r="AF1118" s="580"/>
      <c r="AG1118" s="580"/>
      <c r="AH1118" s="580"/>
      <c r="AI1118" s="684"/>
      <c r="AJ1118" s="569"/>
      <c r="AK1118" s="569"/>
      <c r="AL1118" s="569"/>
      <c r="AM1118" s="569"/>
      <c r="AN1118" s="619"/>
      <c r="AO1118" s="829" t="str">
        <f t="shared" si="227"/>
        <v>Yes</v>
      </c>
      <c r="AP1118" s="259" t="str">
        <f t="shared" si="228"/>
        <v>MAY 22</v>
      </c>
      <c r="AQ1118" s="547" t="str">
        <f t="shared" si="229"/>
        <v>有定金+有預留客戶</v>
      </c>
      <c r="AR1118" s="259" t="str">
        <f t="shared" si="230"/>
        <v>Shipped_Stock</v>
      </c>
      <c r="AS1118" s="259" t="str">
        <f t="shared" si="231"/>
        <v/>
      </c>
      <c r="AT1118" s="259" t="str">
        <f t="shared" si="232"/>
        <v>普德新星</v>
      </c>
      <c r="AU1118" s="259" t="str">
        <f t="shared" si="233"/>
        <v>C49SZX20220015SX</v>
      </c>
      <c r="AV1118" s="259" t="str">
        <f t="shared" si="234"/>
        <v>Apr-11</v>
      </c>
    </row>
    <row r="1119" spans="1:48" hidden="1">
      <c r="A1119" s="604">
        <v>1575</v>
      </c>
      <c r="B1119" s="669" t="s">
        <v>1125</v>
      </c>
      <c r="C1119" s="669" t="s">
        <v>15</v>
      </c>
      <c r="D1119" s="760">
        <v>110519</v>
      </c>
      <c r="E1119" s="651" t="s">
        <v>2150</v>
      </c>
      <c r="F1119" s="652" t="s">
        <v>58</v>
      </c>
      <c r="G1119" s="652" t="s">
        <v>24</v>
      </c>
      <c r="H1119" s="652" t="s">
        <v>26</v>
      </c>
      <c r="I1119" s="580" t="s">
        <v>2152</v>
      </c>
      <c r="J1119" s="580">
        <v>1</v>
      </c>
      <c r="K1119" s="652" t="s">
        <v>85</v>
      </c>
      <c r="L1119" s="662">
        <v>44662</v>
      </c>
      <c r="M1119" s="670" t="s">
        <v>906</v>
      </c>
      <c r="N1119" s="652" t="s">
        <v>1903</v>
      </c>
      <c r="O1119" s="580">
        <v>2022.3</v>
      </c>
      <c r="P1119" s="670" t="str">
        <f>VLOOKUP(A1119,'[1]Raw data'!$B:$BA,23,FALSE)</f>
        <v>JPY</v>
      </c>
      <c r="Q1119" s="652" t="str">
        <f>VLOOKUP(A1119,'[1]Raw data'!$B:$Z,2,FALSE)</f>
        <v>C49SZX20220015SX</v>
      </c>
      <c r="R1119" s="652" t="str">
        <f>VLOOKUP(A1119,'[1]Raw data'!$B:$Z,3,FALSE)</f>
        <v>普德新星</v>
      </c>
      <c r="S1119" s="652" t="str">
        <f>VLOOKUP(A1119,'[1]Raw data'!$B:$Z,4,FALSE)</f>
        <v>YSM20R-2</v>
      </c>
      <c r="T1119" s="652" t="str">
        <f>VLOOKUP(A1119,'[1]Raw data'!$B:$Z,8,FALSE)</f>
        <v>L-&gt;R</v>
      </c>
      <c r="U1119" s="652" t="str">
        <f>VLOOKUP(A1119,'[1]Raw data'!$B:$Z,9,FALSE)</f>
        <v>No</v>
      </c>
      <c r="V1119" s="572" t="str">
        <f t="shared" si="237"/>
        <v>OK</v>
      </c>
      <c r="W1119" s="568" t="str">
        <f>VLOOKUP(A1119,'[1]Raw data'!$B:$AG,32,FALSE)</f>
        <v>DAP GX</v>
      </c>
      <c r="X1119" s="652">
        <f>VLOOKUP(A1119,'[1]Raw data'!$B:$BA,31,FALSE)</f>
        <v>44585</v>
      </c>
      <c r="Y1119" s="652" t="str">
        <f>VLOOKUP(A1119,'[1]Raw data'!$B:$AS,39,FALSE)</f>
        <v>Yes</v>
      </c>
      <c r="Z1119" s="664"/>
      <c r="AA1119" s="665"/>
      <c r="AB1119" s="666"/>
      <c r="AC1119" s="652" t="s">
        <v>2144</v>
      </c>
      <c r="AD1119" s="580">
        <v>301</v>
      </c>
      <c r="AE1119" s="580">
        <v>10</v>
      </c>
      <c r="AF1119" s="580">
        <v>302</v>
      </c>
      <c r="AG1119" s="580">
        <v>10</v>
      </c>
      <c r="AH1119" s="580"/>
      <c r="AI1119" s="684"/>
      <c r="AJ1119" s="569"/>
      <c r="AK1119" s="569"/>
      <c r="AL1119" s="569"/>
      <c r="AM1119" s="569"/>
      <c r="AN1119" s="619"/>
      <c r="AO1119" s="829" t="str">
        <f t="shared" si="227"/>
        <v>Yes</v>
      </c>
      <c r="AP1119" s="259" t="str">
        <f t="shared" si="228"/>
        <v>MAY 22</v>
      </c>
      <c r="AQ1119" s="547" t="str">
        <f t="shared" si="229"/>
        <v>有定金+有預留客戶</v>
      </c>
      <c r="AR1119" s="259" t="str">
        <f t="shared" si="230"/>
        <v>Shipped_Stock</v>
      </c>
      <c r="AS1119" s="259" t="str">
        <f t="shared" si="231"/>
        <v/>
      </c>
      <c r="AT1119" s="259" t="str">
        <f t="shared" si="232"/>
        <v>普德新星</v>
      </c>
      <c r="AU1119" s="259" t="str">
        <f t="shared" si="233"/>
        <v>C49SZX20220015SX</v>
      </c>
      <c r="AV1119" s="259" t="str">
        <f t="shared" si="234"/>
        <v>Apr-11</v>
      </c>
    </row>
    <row r="1120" spans="1:48" ht="13.5" hidden="1" thickBot="1">
      <c r="A1120" s="604">
        <v>1577</v>
      </c>
      <c r="B1120" s="669" t="s">
        <v>1125</v>
      </c>
      <c r="C1120" s="565" t="s">
        <v>15</v>
      </c>
      <c r="D1120" s="629">
        <v>110519</v>
      </c>
      <c r="E1120" s="567" t="s">
        <v>2150</v>
      </c>
      <c r="F1120" s="568" t="s">
        <v>17</v>
      </c>
      <c r="G1120" s="568" t="s">
        <v>24</v>
      </c>
      <c r="H1120" s="568" t="s">
        <v>27</v>
      </c>
      <c r="I1120" s="569" t="s">
        <v>2153</v>
      </c>
      <c r="J1120" s="569">
        <v>1</v>
      </c>
      <c r="K1120" s="652" t="s">
        <v>85</v>
      </c>
      <c r="L1120" s="662">
        <v>44662</v>
      </c>
      <c r="M1120" s="670" t="s">
        <v>906</v>
      </c>
      <c r="N1120" s="652" t="s">
        <v>1903</v>
      </c>
      <c r="O1120" s="580">
        <v>2022.2</v>
      </c>
      <c r="P1120" s="670" t="str">
        <f>VLOOKUP(A1120,'[1]Raw data'!$B:$BA,23,FALSE)</f>
        <v>JPY</v>
      </c>
      <c r="Q1120" s="652" t="str">
        <f>VLOOKUP(A1120,'[1]Raw data'!$B:$Z,2,FALSE)</f>
        <v>C49SZX20220015SX</v>
      </c>
      <c r="R1120" s="652" t="str">
        <f>VLOOKUP(A1120,'[1]Raw data'!$B:$Z,3,FALSE)</f>
        <v>普德新星</v>
      </c>
      <c r="S1120" s="652" t="str">
        <f>VLOOKUP(A1120,'[1]Raw data'!$B:$Z,4,FALSE)</f>
        <v>YSM10</v>
      </c>
      <c r="T1120" s="652" t="str">
        <f>VLOOKUP(A1120,'[1]Raw data'!$B:$Z,8,FALSE)</f>
        <v>L-&gt;R</v>
      </c>
      <c r="U1120" s="652" t="str">
        <f>VLOOKUP(A1120,'[1]Raw data'!$B:$Z,9,FALSE)</f>
        <v>MVC</v>
      </c>
      <c r="V1120" s="572" t="str">
        <f t="shared" si="237"/>
        <v>OK</v>
      </c>
      <c r="W1120" s="568" t="str">
        <f>VLOOKUP(A1120,'[1]Raw data'!$B:$AG,32,FALSE)</f>
        <v>DAP GX</v>
      </c>
      <c r="X1120" s="652">
        <f>VLOOKUP(A1120,'[1]Raw data'!$B:$BA,31,FALSE)</f>
        <v>44585</v>
      </c>
      <c r="Y1120" s="652" t="str">
        <f>VLOOKUP(A1120,'[1]Raw data'!$B:$AS,39,FALSE)</f>
        <v>Yes</v>
      </c>
      <c r="Z1120" s="664"/>
      <c r="AA1120" s="665"/>
      <c r="AB1120" s="666"/>
      <c r="AC1120" s="652" t="s">
        <v>2144</v>
      </c>
      <c r="AD1120" s="580">
        <v>302</v>
      </c>
      <c r="AE1120" s="580">
        <v>10</v>
      </c>
      <c r="AF1120" s="580"/>
      <c r="AG1120" s="580"/>
      <c r="AH1120" s="580"/>
      <c r="AI1120" s="684"/>
      <c r="AJ1120" s="569"/>
      <c r="AK1120" s="569"/>
      <c r="AL1120" s="569"/>
      <c r="AM1120" s="569"/>
      <c r="AN1120" s="619"/>
      <c r="AO1120" s="829" t="str">
        <f t="shared" si="227"/>
        <v>Yes</v>
      </c>
      <c r="AP1120" s="259" t="str">
        <f t="shared" si="228"/>
        <v>MAY 22</v>
      </c>
      <c r="AQ1120" s="547" t="str">
        <f t="shared" si="229"/>
        <v>有定金+有預留客戶</v>
      </c>
      <c r="AR1120" s="259" t="str">
        <f t="shared" si="230"/>
        <v>Shipped_Stock</v>
      </c>
      <c r="AS1120" s="259" t="str">
        <f t="shared" si="231"/>
        <v/>
      </c>
      <c r="AT1120" s="259" t="str">
        <f t="shared" si="232"/>
        <v>普德新星</v>
      </c>
      <c r="AU1120" s="259" t="str">
        <f t="shared" si="233"/>
        <v>C49SZX20220015SX</v>
      </c>
      <c r="AV1120" s="259" t="str">
        <f t="shared" si="234"/>
        <v>Apr-11</v>
      </c>
    </row>
    <row r="1121" spans="1:48" hidden="1">
      <c r="A1121" s="604">
        <v>1548</v>
      </c>
      <c r="B1121" s="669" t="s">
        <v>1125</v>
      </c>
      <c r="C1121" s="669" t="s">
        <v>15</v>
      </c>
      <c r="D1121" s="766">
        <v>110803</v>
      </c>
      <c r="E1121" s="749" t="s">
        <v>2154</v>
      </c>
      <c r="F1121" s="652" t="s">
        <v>153</v>
      </c>
      <c r="G1121" s="652" t="s">
        <v>24</v>
      </c>
      <c r="H1121" s="652" t="s">
        <v>26</v>
      </c>
      <c r="I1121" s="580" t="s">
        <v>2155</v>
      </c>
      <c r="J1121" s="580">
        <v>1</v>
      </c>
      <c r="K1121" s="652" t="s">
        <v>2156</v>
      </c>
      <c r="L1121" s="570">
        <v>44664</v>
      </c>
      <c r="M1121" s="670" t="s">
        <v>906</v>
      </c>
      <c r="N1121" s="652" t="s">
        <v>1930</v>
      </c>
      <c r="O1121" s="580">
        <v>2022.3</v>
      </c>
      <c r="P1121" s="670" t="str">
        <f>VLOOKUP(A1121,'[1]Raw data'!$B:$BA,23,FALSE)</f>
        <v>JPY</v>
      </c>
      <c r="Q1121" s="652" t="str">
        <f>VLOOKUP(A1121,'[1]Raw data'!$B:$Z,2,FALSE)</f>
        <v>C49SZX20220006SX</v>
      </c>
      <c r="R1121" s="652" t="str">
        <f>VLOOKUP(A1121,'[1]Raw data'!$B:$Z,3,FALSE)</f>
        <v>微观</v>
      </c>
      <c r="S1121" s="652" t="str">
        <f>VLOOKUP(A1121,'[1]Raw data'!$B:$Z,4,FALSE)</f>
        <v>SIGMA G5S2</v>
      </c>
      <c r="T1121" s="652" t="str">
        <f>VLOOKUP(A1121,'[1]Raw data'!$B:$Z,8,FALSE)</f>
        <v>L-&gt;R</v>
      </c>
      <c r="U1121" s="652" t="str">
        <f>VLOOKUP(A1121,'[1]Raw data'!$B:$Z,9,FALSE)</f>
        <v>No</v>
      </c>
      <c r="V1121" s="572" t="str">
        <f t="shared" si="236"/>
        <v>OK</v>
      </c>
      <c r="W1121" s="568" t="str">
        <f>VLOOKUP(A1121,'[1]Raw data'!$B:$AG,32,FALSE)</f>
        <v>DAP ZS</v>
      </c>
      <c r="X1121" s="652">
        <f>VLOOKUP(A1121,'[1]Raw data'!$B:$BA,31,FALSE)</f>
        <v>44575</v>
      </c>
      <c r="Y1121" s="652" t="str">
        <f>VLOOKUP(A1121,'[1]Raw data'!$B:$AS,39,FALSE)</f>
        <v>Yes</v>
      </c>
      <c r="Z1121" s="671"/>
      <c r="AA1121" s="665"/>
      <c r="AB1121" s="666"/>
      <c r="AC1121" s="652" t="s">
        <v>1951</v>
      </c>
      <c r="AD1121" s="580"/>
      <c r="AE1121" s="580"/>
      <c r="AF1121" s="580"/>
      <c r="AG1121" s="580"/>
      <c r="AH1121" s="580"/>
      <c r="AI1121" s="684"/>
      <c r="AJ1121" s="569"/>
      <c r="AK1121" s="569"/>
      <c r="AL1121" s="569"/>
      <c r="AM1121" s="569"/>
      <c r="AN1121" s="619"/>
      <c r="AO1121" s="829" t="str">
        <f t="shared" si="227"/>
        <v>Yes</v>
      </c>
      <c r="AP1121" s="259" t="str">
        <f t="shared" si="228"/>
        <v>APR 22</v>
      </c>
      <c r="AQ1121" s="547" t="str">
        <f t="shared" si="229"/>
        <v>有定金+有預留客戶</v>
      </c>
      <c r="AR1121" s="259" t="str">
        <f t="shared" si="230"/>
        <v>Shipped_Stock</v>
      </c>
      <c r="AS1121" s="259" t="str">
        <f t="shared" si="231"/>
        <v/>
      </c>
      <c r="AT1121" s="259" t="str">
        <f t="shared" si="232"/>
        <v>微观</v>
      </c>
      <c r="AU1121" s="259" t="str">
        <f t="shared" si="233"/>
        <v>C49SZX20220006SX</v>
      </c>
      <c r="AV1121" s="259" t="str">
        <f t="shared" si="234"/>
        <v>Apr-13</v>
      </c>
    </row>
    <row r="1122" spans="1:48" hidden="1">
      <c r="A1122" s="604">
        <v>1549</v>
      </c>
      <c r="B1122" s="669" t="s">
        <v>1125</v>
      </c>
      <c r="C1122" s="669" t="s">
        <v>15</v>
      </c>
      <c r="D1122" s="760">
        <v>110803</v>
      </c>
      <c r="E1122" s="749" t="s">
        <v>2154</v>
      </c>
      <c r="F1122" s="652" t="s">
        <v>153</v>
      </c>
      <c r="G1122" s="652" t="s">
        <v>24</v>
      </c>
      <c r="H1122" s="652" t="s">
        <v>307</v>
      </c>
      <c r="I1122" s="580" t="s">
        <v>2157</v>
      </c>
      <c r="J1122" s="580">
        <v>1</v>
      </c>
      <c r="K1122" s="652" t="s">
        <v>2156</v>
      </c>
      <c r="L1122" s="570">
        <v>44664</v>
      </c>
      <c r="M1122" s="670" t="s">
        <v>906</v>
      </c>
      <c r="N1122" s="652" t="s">
        <v>1930</v>
      </c>
      <c r="O1122" s="580">
        <v>2022.3</v>
      </c>
      <c r="P1122" s="670" t="str">
        <f>VLOOKUP(A1122,'[1]Raw data'!$B:$BA,23,FALSE)</f>
        <v>JPY</v>
      </c>
      <c r="Q1122" s="652" t="str">
        <f>VLOOKUP(A1122,'[1]Raw data'!$B:$Z,2,FALSE)</f>
        <v>C49SZX20220006SX</v>
      </c>
      <c r="R1122" s="652" t="str">
        <f>VLOOKUP(A1122,'[1]Raw data'!$B:$Z,3,FALSE)</f>
        <v>微观</v>
      </c>
      <c r="S1122" s="652" t="str">
        <f>VLOOKUP(A1122,'[1]Raw data'!$B:$Z,4,FALSE)</f>
        <v>SIGMA G5S2</v>
      </c>
      <c r="T1122" s="652" t="str">
        <f>VLOOKUP(A1122,'[1]Raw data'!$B:$Z,8,FALSE)</f>
        <v>L-&gt;R</v>
      </c>
      <c r="U1122" s="652" t="str">
        <f>VLOOKUP(A1122,'[1]Raw data'!$B:$Z,9,FALSE)</f>
        <v>No</v>
      </c>
      <c r="V1122" s="572" t="str">
        <f t="shared" si="236"/>
        <v>OK</v>
      </c>
      <c r="W1122" s="568" t="str">
        <f>VLOOKUP(A1122,'[1]Raw data'!$B:$AG,32,FALSE)</f>
        <v>DAP ZS</v>
      </c>
      <c r="X1122" s="652">
        <f>VLOOKUP(A1122,'[1]Raw data'!$B:$BA,31,FALSE)</f>
        <v>44575</v>
      </c>
      <c r="Y1122" s="652" t="str">
        <f>VLOOKUP(A1122,'[1]Raw data'!$B:$AS,39,FALSE)</f>
        <v>Yes</v>
      </c>
      <c r="Z1122" s="671"/>
      <c r="AA1122" s="665"/>
      <c r="AB1122" s="666"/>
      <c r="AC1122" s="652" t="s">
        <v>1951</v>
      </c>
      <c r="AD1122" s="580"/>
      <c r="AE1122" s="580"/>
      <c r="AF1122" s="580"/>
      <c r="AG1122" s="580"/>
      <c r="AH1122" s="580"/>
      <c r="AI1122" s="684"/>
      <c r="AJ1122" s="569"/>
      <c r="AK1122" s="569"/>
      <c r="AL1122" s="569"/>
      <c r="AM1122" s="569"/>
      <c r="AN1122" s="619"/>
      <c r="AO1122" s="829" t="str">
        <f t="shared" si="227"/>
        <v>Yes</v>
      </c>
      <c r="AP1122" s="259" t="str">
        <f t="shared" si="228"/>
        <v>APR 22</v>
      </c>
      <c r="AQ1122" s="547" t="str">
        <f t="shared" si="229"/>
        <v>有定金+有預留客戶</v>
      </c>
      <c r="AR1122" s="259" t="str">
        <f t="shared" si="230"/>
        <v>Shipped_Stock</v>
      </c>
      <c r="AS1122" s="259" t="str">
        <f t="shared" si="231"/>
        <v/>
      </c>
      <c r="AT1122" s="259" t="str">
        <f t="shared" si="232"/>
        <v>微观</v>
      </c>
      <c r="AU1122" s="259" t="str">
        <f t="shared" si="233"/>
        <v>C49SZX20220006SX</v>
      </c>
      <c r="AV1122" s="259" t="str">
        <f t="shared" si="234"/>
        <v>Apr-13</v>
      </c>
    </row>
    <row r="1123" spans="1:48" hidden="1">
      <c r="A1123" s="604">
        <v>1550</v>
      </c>
      <c r="B1123" s="669" t="s">
        <v>1125</v>
      </c>
      <c r="C1123" s="669" t="s">
        <v>15</v>
      </c>
      <c r="D1123" s="760">
        <v>110803</v>
      </c>
      <c r="E1123" s="749" t="s">
        <v>2154</v>
      </c>
      <c r="F1123" s="652" t="s">
        <v>153</v>
      </c>
      <c r="G1123" s="652" t="s">
        <v>24</v>
      </c>
      <c r="H1123" s="652" t="s">
        <v>26</v>
      </c>
      <c r="I1123" s="580" t="s">
        <v>2158</v>
      </c>
      <c r="J1123" s="580">
        <v>1</v>
      </c>
      <c r="K1123" s="652" t="s">
        <v>2156</v>
      </c>
      <c r="L1123" s="570">
        <v>44664</v>
      </c>
      <c r="M1123" s="670" t="s">
        <v>906</v>
      </c>
      <c r="N1123" s="652" t="s">
        <v>1930</v>
      </c>
      <c r="O1123" s="580">
        <v>2022.3</v>
      </c>
      <c r="P1123" s="670" t="str">
        <f>VLOOKUP(A1123,'[1]Raw data'!$B:$BA,23,FALSE)</f>
        <v>JPY</v>
      </c>
      <c r="Q1123" s="652" t="str">
        <f>VLOOKUP(A1123,'[1]Raw data'!$B:$Z,2,FALSE)</f>
        <v>C49SZX20220006SX</v>
      </c>
      <c r="R1123" s="652" t="str">
        <f>VLOOKUP(A1123,'[1]Raw data'!$B:$Z,3,FALSE)</f>
        <v>微观</v>
      </c>
      <c r="S1123" s="652" t="str">
        <f>VLOOKUP(A1123,'[1]Raw data'!$B:$Z,4,FALSE)</f>
        <v>SIGMA G5S2</v>
      </c>
      <c r="T1123" s="652" t="str">
        <f>VLOOKUP(A1123,'[1]Raw data'!$B:$Z,8,FALSE)</f>
        <v>L-&gt;R</v>
      </c>
      <c r="U1123" s="652" t="str">
        <f>VLOOKUP(A1123,'[1]Raw data'!$B:$Z,9,FALSE)</f>
        <v>No</v>
      </c>
      <c r="V1123" s="572" t="str">
        <f t="shared" si="236"/>
        <v>OK</v>
      </c>
      <c r="W1123" s="568" t="str">
        <f>VLOOKUP(A1123,'[1]Raw data'!$B:$AG,32,FALSE)</f>
        <v>DAP ZS</v>
      </c>
      <c r="X1123" s="652">
        <f>VLOOKUP(A1123,'[1]Raw data'!$B:$BA,31,FALSE)</f>
        <v>44575</v>
      </c>
      <c r="Y1123" s="652" t="str">
        <f>VLOOKUP(A1123,'[1]Raw data'!$B:$AS,39,FALSE)</f>
        <v>Yes</v>
      </c>
      <c r="Z1123" s="671"/>
      <c r="AA1123" s="665"/>
      <c r="AB1123" s="666"/>
      <c r="AC1123" s="652" t="s">
        <v>1951</v>
      </c>
      <c r="AD1123" s="580"/>
      <c r="AE1123" s="580"/>
      <c r="AF1123" s="580"/>
      <c r="AG1123" s="580"/>
      <c r="AH1123" s="580"/>
      <c r="AI1123" s="684"/>
      <c r="AJ1123" s="569"/>
      <c r="AK1123" s="569"/>
      <c r="AL1123" s="569"/>
      <c r="AM1123" s="569"/>
      <c r="AN1123" s="619"/>
      <c r="AO1123" s="829" t="str">
        <f t="shared" si="227"/>
        <v>Yes</v>
      </c>
      <c r="AP1123" s="259" t="str">
        <f t="shared" si="228"/>
        <v>APR 22</v>
      </c>
      <c r="AQ1123" s="547" t="str">
        <f t="shared" si="229"/>
        <v>有定金+有預留客戶</v>
      </c>
      <c r="AR1123" s="259" t="str">
        <f t="shared" si="230"/>
        <v>Shipped_Stock</v>
      </c>
      <c r="AS1123" s="259" t="str">
        <f t="shared" si="231"/>
        <v/>
      </c>
      <c r="AT1123" s="259" t="str">
        <f t="shared" si="232"/>
        <v>微观</v>
      </c>
      <c r="AU1123" s="259" t="str">
        <f t="shared" si="233"/>
        <v>C49SZX20220006SX</v>
      </c>
      <c r="AV1123" s="259" t="str">
        <f t="shared" si="234"/>
        <v>Apr-13</v>
      </c>
    </row>
    <row r="1124" spans="1:48" hidden="1">
      <c r="A1124" s="604">
        <v>1551</v>
      </c>
      <c r="B1124" s="669" t="s">
        <v>1125</v>
      </c>
      <c r="C1124" s="669" t="s">
        <v>15</v>
      </c>
      <c r="D1124" s="760">
        <v>110803</v>
      </c>
      <c r="E1124" s="749" t="s">
        <v>2154</v>
      </c>
      <c r="F1124" s="652" t="s">
        <v>153</v>
      </c>
      <c r="G1124" s="652" t="s">
        <v>24</v>
      </c>
      <c r="H1124" s="652" t="s">
        <v>26</v>
      </c>
      <c r="I1124" s="580" t="s">
        <v>2159</v>
      </c>
      <c r="J1124" s="580">
        <v>1</v>
      </c>
      <c r="K1124" s="652" t="s">
        <v>2156</v>
      </c>
      <c r="L1124" s="570">
        <v>44664</v>
      </c>
      <c r="M1124" s="670" t="s">
        <v>906</v>
      </c>
      <c r="N1124" s="652" t="s">
        <v>1930</v>
      </c>
      <c r="O1124" s="580">
        <v>2022.3</v>
      </c>
      <c r="P1124" s="670" t="str">
        <f>VLOOKUP(A1124,'[1]Raw data'!$B:$BA,23,FALSE)</f>
        <v>JPY</v>
      </c>
      <c r="Q1124" s="652" t="str">
        <f>VLOOKUP(A1124,'[1]Raw data'!$B:$Z,2,FALSE)</f>
        <v>C49SZX20220006SX</v>
      </c>
      <c r="R1124" s="652" t="str">
        <f>VLOOKUP(A1124,'[1]Raw data'!$B:$Z,3,FALSE)</f>
        <v>微观</v>
      </c>
      <c r="S1124" s="652" t="str">
        <f>VLOOKUP(A1124,'[1]Raw data'!$B:$Z,4,FALSE)</f>
        <v>SIGMA G5S2</v>
      </c>
      <c r="T1124" s="652" t="str">
        <f>VLOOKUP(A1124,'[1]Raw data'!$B:$Z,8,FALSE)</f>
        <v>L-&gt;R</v>
      </c>
      <c r="U1124" s="652" t="str">
        <f>VLOOKUP(A1124,'[1]Raw data'!$B:$Z,9,FALSE)</f>
        <v>No</v>
      </c>
      <c r="V1124" s="572" t="str">
        <f t="shared" si="236"/>
        <v>OK</v>
      </c>
      <c r="W1124" s="568" t="str">
        <f>VLOOKUP(A1124,'[1]Raw data'!$B:$AG,32,FALSE)</f>
        <v>DAP ZS</v>
      </c>
      <c r="X1124" s="652">
        <f>VLOOKUP(A1124,'[1]Raw data'!$B:$BA,31,FALSE)</f>
        <v>44575</v>
      </c>
      <c r="Y1124" s="652" t="str">
        <f>VLOOKUP(A1124,'[1]Raw data'!$B:$AS,39,FALSE)</f>
        <v>Yes</v>
      </c>
      <c r="Z1124" s="671"/>
      <c r="AA1124" s="665"/>
      <c r="AB1124" s="666"/>
      <c r="AC1124" s="652" t="s">
        <v>1951</v>
      </c>
      <c r="AD1124" s="580"/>
      <c r="AE1124" s="580"/>
      <c r="AF1124" s="580"/>
      <c r="AG1124" s="580"/>
      <c r="AH1124" s="580"/>
      <c r="AI1124" s="684"/>
      <c r="AJ1124" s="569"/>
      <c r="AK1124" s="569"/>
      <c r="AL1124" s="569"/>
      <c r="AM1124" s="569"/>
      <c r="AN1124" s="619"/>
      <c r="AO1124" s="829" t="str">
        <f t="shared" si="227"/>
        <v>Yes</v>
      </c>
      <c r="AP1124" s="259" t="str">
        <f t="shared" si="228"/>
        <v>APR 22</v>
      </c>
      <c r="AQ1124" s="547" t="str">
        <f t="shared" si="229"/>
        <v>有定金+有預留客戶</v>
      </c>
      <c r="AR1124" s="259" t="str">
        <f t="shared" si="230"/>
        <v>Shipped_Stock</v>
      </c>
      <c r="AS1124" s="259" t="str">
        <f t="shared" si="231"/>
        <v/>
      </c>
      <c r="AT1124" s="259" t="str">
        <f t="shared" si="232"/>
        <v>微观</v>
      </c>
      <c r="AU1124" s="259" t="str">
        <f t="shared" si="233"/>
        <v>C49SZX20220006SX</v>
      </c>
      <c r="AV1124" s="259" t="str">
        <f t="shared" si="234"/>
        <v>Apr-13</v>
      </c>
    </row>
    <row r="1125" spans="1:48" hidden="1">
      <c r="A1125" s="604">
        <v>1552</v>
      </c>
      <c r="B1125" s="669" t="s">
        <v>1125</v>
      </c>
      <c r="C1125" s="669" t="s">
        <v>15</v>
      </c>
      <c r="D1125" s="760">
        <v>110803</v>
      </c>
      <c r="E1125" s="749" t="s">
        <v>2154</v>
      </c>
      <c r="F1125" s="652" t="s">
        <v>153</v>
      </c>
      <c r="G1125" s="652" t="s">
        <v>24</v>
      </c>
      <c r="H1125" s="652" t="s">
        <v>26</v>
      </c>
      <c r="I1125" s="580" t="s">
        <v>2160</v>
      </c>
      <c r="J1125" s="580">
        <v>1</v>
      </c>
      <c r="K1125" s="652" t="s">
        <v>2156</v>
      </c>
      <c r="L1125" s="570">
        <v>44664</v>
      </c>
      <c r="M1125" s="670" t="s">
        <v>906</v>
      </c>
      <c r="N1125" s="652" t="s">
        <v>1930</v>
      </c>
      <c r="O1125" s="580">
        <v>2022.3</v>
      </c>
      <c r="P1125" s="670" t="str">
        <f>VLOOKUP(A1125,'[1]Raw data'!$B:$BA,23,FALSE)</f>
        <v>JPY</v>
      </c>
      <c r="Q1125" s="652" t="str">
        <f>VLOOKUP(A1125,'[1]Raw data'!$B:$Z,2,FALSE)</f>
        <v>C49SZX20220006SX</v>
      </c>
      <c r="R1125" s="652" t="str">
        <f>VLOOKUP(A1125,'[1]Raw data'!$B:$Z,3,FALSE)</f>
        <v>微观</v>
      </c>
      <c r="S1125" s="652" t="str">
        <f>VLOOKUP(A1125,'[1]Raw data'!$B:$Z,4,FALSE)</f>
        <v>SIGMA G5S2</v>
      </c>
      <c r="T1125" s="652" t="str">
        <f>VLOOKUP(A1125,'[1]Raw data'!$B:$Z,8,FALSE)</f>
        <v>L-&gt;R</v>
      </c>
      <c r="U1125" s="652" t="str">
        <f>VLOOKUP(A1125,'[1]Raw data'!$B:$Z,9,FALSE)</f>
        <v>No</v>
      </c>
      <c r="V1125" s="572" t="str">
        <f t="shared" si="236"/>
        <v>OK</v>
      </c>
      <c r="W1125" s="568" t="str">
        <f>VLOOKUP(A1125,'[1]Raw data'!$B:$AG,32,FALSE)</f>
        <v>DAP ZS</v>
      </c>
      <c r="X1125" s="652">
        <f>VLOOKUP(A1125,'[1]Raw data'!$B:$BA,31,FALSE)</f>
        <v>44575</v>
      </c>
      <c r="Y1125" s="652" t="str">
        <f>VLOOKUP(A1125,'[1]Raw data'!$B:$AS,39,FALSE)</f>
        <v>Yes</v>
      </c>
      <c r="Z1125" s="671"/>
      <c r="AA1125" s="665"/>
      <c r="AB1125" s="666"/>
      <c r="AC1125" s="652" t="s">
        <v>1951</v>
      </c>
      <c r="AD1125" s="580"/>
      <c r="AE1125" s="580"/>
      <c r="AF1125" s="580"/>
      <c r="AG1125" s="580"/>
      <c r="AH1125" s="580"/>
      <c r="AI1125" s="684"/>
      <c r="AJ1125" s="569"/>
      <c r="AK1125" s="569"/>
      <c r="AL1125" s="569"/>
      <c r="AM1125" s="569"/>
      <c r="AN1125" s="619"/>
      <c r="AO1125" s="829" t="str">
        <f t="shared" si="227"/>
        <v>Yes</v>
      </c>
      <c r="AP1125" s="259" t="str">
        <f t="shared" si="228"/>
        <v>APR 22</v>
      </c>
      <c r="AQ1125" s="547" t="str">
        <f t="shared" si="229"/>
        <v>有定金+有預留客戶</v>
      </c>
      <c r="AR1125" s="259" t="str">
        <f t="shared" si="230"/>
        <v>Shipped_Stock</v>
      </c>
      <c r="AS1125" s="259" t="str">
        <f t="shared" si="231"/>
        <v/>
      </c>
      <c r="AT1125" s="259" t="str">
        <f t="shared" si="232"/>
        <v>微观</v>
      </c>
      <c r="AU1125" s="259" t="str">
        <f t="shared" si="233"/>
        <v>C49SZX20220006SX</v>
      </c>
      <c r="AV1125" s="259" t="str">
        <f t="shared" si="234"/>
        <v>Apr-13</v>
      </c>
    </row>
    <row r="1126" spans="1:48" ht="13.5" hidden="1" thickBot="1">
      <c r="A1126" s="604">
        <v>1553</v>
      </c>
      <c r="B1126" s="669" t="s">
        <v>1125</v>
      </c>
      <c r="C1126" s="669" t="s">
        <v>15</v>
      </c>
      <c r="D1126" s="629">
        <v>110803</v>
      </c>
      <c r="E1126" s="749" t="s">
        <v>2154</v>
      </c>
      <c r="F1126" s="652" t="s">
        <v>153</v>
      </c>
      <c r="G1126" s="652" t="s">
        <v>24</v>
      </c>
      <c r="H1126" s="652" t="s">
        <v>26</v>
      </c>
      <c r="I1126" s="580" t="s">
        <v>2161</v>
      </c>
      <c r="J1126" s="580">
        <v>1</v>
      </c>
      <c r="K1126" s="652" t="s">
        <v>2156</v>
      </c>
      <c r="L1126" s="570">
        <v>44664</v>
      </c>
      <c r="M1126" s="670" t="s">
        <v>906</v>
      </c>
      <c r="N1126" s="652" t="s">
        <v>1930</v>
      </c>
      <c r="O1126" s="580">
        <v>2022.3</v>
      </c>
      <c r="P1126" s="670" t="str">
        <f>VLOOKUP(A1126,'[1]Raw data'!$B:$BA,23,FALSE)</f>
        <v>JPY</v>
      </c>
      <c r="Q1126" s="652" t="str">
        <f>VLOOKUP(A1126,'[1]Raw data'!$B:$Z,2,FALSE)</f>
        <v>C49SZX20220006SX</v>
      </c>
      <c r="R1126" s="652" t="str">
        <f>VLOOKUP(A1126,'[1]Raw data'!$B:$Z,3,FALSE)</f>
        <v>微观</v>
      </c>
      <c r="S1126" s="652" t="str">
        <f>VLOOKUP(A1126,'[1]Raw data'!$B:$Z,4,FALSE)</f>
        <v>SIGMA G5S2</v>
      </c>
      <c r="T1126" s="652" t="str">
        <f>VLOOKUP(A1126,'[1]Raw data'!$B:$Z,8,FALSE)</f>
        <v>L-&gt;R</v>
      </c>
      <c r="U1126" s="652" t="str">
        <f>VLOOKUP(A1126,'[1]Raw data'!$B:$Z,9,FALSE)</f>
        <v>No</v>
      </c>
      <c r="V1126" s="572" t="str">
        <f t="shared" si="236"/>
        <v>OK</v>
      </c>
      <c r="W1126" s="568" t="str">
        <f>VLOOKUP(A1126,'[1]Raw data'!$B:$AG,32,FALSE)</f>
        <v>DAP ZS</v>
      </c>
      <c r="X1126" s="652">
        <f>VLOOKUP(A1126,'[1]Raw data'!$B:$BA,31,FALSE)</f>
        <v>44575</v>
      </c>
      <c r="Y1126" s="652" t="str">
        <f>VLOOKUP(A1126,'[1]Raw data'!$B:$AS,39,FALSE)</f>
        <v>Yes</v>
      </c>
      <c r="Z1126" s="671"/>
      <c r="AA1126" s="665"/>
      <c r="AB1126" s="666"/>
      <c r="AC1126" s="652" t="s">
        <v>1951</v>
      </c>
      <c r="AD1126" s="580"/>
      <c r="AE1126" s="580"/>
      <c r="AF1126" s="580"/>
      <c r="AG1126" s="580"/>
      <c r="AH1126" s="580"/>
      <c r="AI1126" s="684"/>
      <c r="AJ1126" s="569"/>
      <c r="AK1126" s="569"/>
      <c r="AL1126" s="569"/>
      <c r="AM1126" s="569"/>
      <c r="AN1126" s="619"/>
      <c r="AO1126" s="829" t="str">
        <f t="shared" si="227"/>
        <v>Yes</v>
      </c>
      <c r="AP1126" s="259" t="str">
        <f t="shared" si="228"/>
        <v>APR 22</v>
      </c>
      <c r="AQ1126" s="547" t="str">
        <f t="shared" si="229"/>
        <v>有定金+有預留客戶</v>
      </c>
      <c r="AR1126" s="259" t="str">
        <f t="shared" si="230"/>
        <v>Shipped_Stock</v>
      </c>
      <c r="AS1126" s="259" t="str">
        <f t="shared" si="231"/>
        <v/>
      </c>
      <c r="AT1126" s="259" t="str">
        <f t="shared" si="232"/>
        <v>微观</v>
      </c>
      <c r="AU1126" s="259" t="str">
        <f t="shared" si="233"/>
        <v>C49SZX20220006SX</v>
      </c>
      <c r="AV1126" s="259" t="str">
        <f t="shared" si="234"/>
        <v>Apr-13</v>
      </c>
    </row>
    <row r="1127" spans="1:48" hidden="1">
      <c r="A1127" s="604">
        <v>1538</v>
      </c>
      <c r="B1127" s="669" t="s">
        <v>1125</v>
      </c>
      <c r="C1127" s="568" t="s">
        <v>4056</v>
      </c>
      <c r="D1127" s="774">
        <v>110791</v>
      </c>
      <c r="E1127" s="567" t="s">
        <v>2162</v>
      </c>
      <c r="F1127" s="568" t="s">
        <v>201</v>
      </c>
      <c r="G1127" s="568" t="s">
        <v>18</v>
      </c>
      <c r="H1127" s="568" t="s">
        <v>26</v>
      </c>
      <c r="I1127" s="569" t="s">
        <v>2163</v>
      </c>
      <c r="J1127" s="569">
        <v>1</v>
      </c>
      <c r="K1127" s="652" t="s">
        <v>85</v>
      </c>
      <c r="L1127" s="662">
        <v>44664</v>
      </c>
      <c r="M1127" s="670" t="s">
        <v>906</v>
      </c>
      <c r="N1127" s="652" t="s">
        <v>1930</v>
      </c>
      <c r="O1127" s="580">
        <v>2022.3</v>
      </c>
      <c r="P1127" s="670" t="str">
        <f>VLOOKUP(A1127,'[1]Raw data'!$B:$BA,23,FALSE)</f>
        <v>JPY</v>
      </c>
      <c r="Q1127" s="652" t="str">
        <f>VLOOKUP(A1127,'[1]Raw data'!$B:$Z,2,FALSE)</f>
        <v>C28SZX20210216MZ</v>
      </c>
      <c r="R1127" s="652" t="str">
        <f>VLOOKUP(A1127,'[1]Raw data'!$B:$Z,3,FALSE)</f>
        <v>东莞鸿楠</v>
      </c>
      <c r="S1127" s="652" t="str">
        <f>VLOOKUP(A1127,'[1]Raw data'!$B:$Z,4,FALSE)</f>
        <v>YSi-V</v>
      </c>
      <c r="T1127" s="652" t="str">
        <f>VLOOKUP(A1127,'[1]Raw data'!$B:$Z,8,FALSE)</f>
        <v>R-&gt;L</v>
      </c>
      <c r="U1127" s="652" t="str">
        <f>VLOOKUP(A1127,'[1]Raw data'!$B:$Z,9,FALSE)</f>
        <v>No</v>
      </c>
      <c r="V1127" s="572" t="str">
        <f>IF(G1127&amp;H1127=T1127&amp;U1127,"OK","WRONG")</f>
        <v>OK</v>
      </c>
      <c r="W1127" s="568" t="str">
        <f>VLOOKUP(A1127,'[1]Raw data'!$B:$AG,32,FALSE)</f>
        <v>CIF  HK</v>
      </c>
      <c r="X1127" s="652">
        <f>VLOOKUP(A1127,'[1]Raw data'!$B:$BA,31,FALSE)</f>
        <v>44557</v>
      </c>
      <c r="Y1127" s="652" t="str">
        <f>VLOOKUP(A1127,'[1]Raw data'!$B:$AS,39,FALSE)</f>
        <v>Yes</v>
      </c>
      <c r="Z1127" s="671"/>
      <c r="AA1127" s="665"/>
      <c r="AB1127" s="666"/>
      <c r="AC1127" s="652" t="s">
        <v>1951</v>
      </c>
      <c r="AD1127" s="580"/>
      <c r="AE1127" s="580"/>
      <c r="AF1127" s="580"/>
      <c r="AG1127" s="580"/>
      <c r="AH1127" s="580"/>
      <c r="AI1127" s="684"/>
      <c r="AJ1127" s="569"/>
      <c r="AK1127" s="569"/>
      <c r="AL1127" s="569"/>
      <c r="AM1127" s="569"/>
      <c r="AN1127" s="619"/>
      <c r="AO1127" s="829" t="str">
        <f t="shared" si="227"/>
        <v>Yes</v>
      </c>
      <c r="AP1127" s="259" t="str">
        <f t="shared" si="228"/>
        <v>APR 22</v>
      </c>
      <c r="AQ1127" s="547" t="str">
        <f t="shared" si="229"/>
        <v>有定金+有預留客戶</v>
      </c>
      <c r="AR1127" s="259" t="str">
        <f t="shared" si="230"/>
        <v>Shipped_Stock</v>
      </c>
      <c r="AS1127" s="259" t="str">
        <f t="shared" si="231"/>
        <v/>
      </c>
      <c r="AT1127" s="259" t="str">
        <f t="shared" si="232"/>
        <v>东莞鸿楠</v>
      </c>
      <c r="AU1127" s="259" t="str">
        <f t="shared" si="233"/>
        <v>C28SZX20210216MZ</v>
      </c>
      <c r="AV1127" s="259" t="str">
        <f t="shared" si="234"/>
        <v>Apr-13</v>
      </c>
    </row>
    <row r="1128" spans="1:48" ht="13.5" hidden="1" thickBot="1">
      <c r="A1128" s="564">
        <v>1563</v>
      </c>
      <c r="B1128" s="669" t="s">
        <v>1125</v>
      </c>
      <c r="C1128" s="669" t="s">
        <v>15</v>
      </c>
      <c r="D1128" s="775">
        <v>110824</v>
      </c>
      <c r="E1128" s="755" t="s">
        <v>101</v>
      </c>
      <c r="F1128" s="568" t="s">
        <v>17</v>
      </c>
      <c r="G1128" s="568" t="s">
        <v>18</v>
      </c>
      <c r="H1128" s="568" t="s">
        <v>48</v>
      </c>
      <c r="I1128" s="569" t="s">
        <v>2164</v>
      </c>
      <c r="J1128" s="569">
        <v>1</v>
      </c>
      <c r="K1128" s="568" t="s">
        <v>78</v>
      </c>
      <c r="L1128" s="570">
        <v>44664</v>
      </c>
      <c r="M1128" s="581" t="s">
        <v>906</v>
      </c>
      <c r="N1128" s="568" t="s">
        <v>1903</v>
      </c>
      <c r="O1128" s="580">
        <v>2022.3</v>
      </c>
      <c r="P1128" s="670" t="str">
        <f>VLOOKUP(A1128,'[1]Raw data'!$B:$BA,23,FALSE)</f>
        <v>JPY</v>
      </c>
      <c r="Q1128" s="652" t="str">
        <f>VLOOKUP(A1128,'[1]Raw data'!$B:$Z,2,FALSE)</f>
        <v>C49SZX20220003EC</v>
      </c>
      <c r="R1128" s="652" t="str">
        <f>VLOOKUP(A1128,'[1]Raw data'!$B:$Z,3,FALSE)</f>
        <v>海红天远</v>
      </c>
      <c r="S1128" s="652" t="str">
        <f>VLOOKUP(A1128,'[1]Raw data'!$B:$Z,4,FALSE)</f>
        <v>YSM10</v>
      </c>
      <c r="T1128" s="652" t="str">
        <f>VLOOKUP(A1128,'[1]Raw data'!$B:$Z,8,FALSE)</f>
        <v>L-&gt;R</v>
      </c>
      <c r="U1128" s="652" t="str">
        <f>VLOOKUP(A1128,'[1]Raw data'!$B:$Z,9,FALSE)</f>
        <v>MVC+ATS15</v>
      </c>
      <c r="V1128" s="572" t="str">
        <f>IF(G1128&amp;H1128=T1128&amp;U1128,"OK","WRONG")</f>
        <v>WRONG</v>
      </c>
      <c r="W1128" s="568" t="str">
        <f>VLOOKUP(A1128,'[1]Raw data'!$B:$AG,32,FALSE)</f>
        <v>CIF HK</v>
      </c>
      <c r="X1128" s="652">
        <f>VLOOKUP(A1128,'[1]Raw data'!$B:$BA,31,FALSE)</f>
        <v>44585</v>
      </c>
      <c r="Y1128" s="652" t="str">
        <f>VLOOKUP(A1128,'[1]Raw data'!$B:$AS,39,FALSE)</f>
        <v>Yes</v>
      </c>
      <c r="Z1128" s="664"/>
      <c r="AA1128" s="665"/>
      <c r="AB1128" s="666"/>
      <c r="AC1128" s="652" t="s">
        <v>1079</v>
      </c>
      <c r="AD1128" s="667">
        <v>312</v>
      </c>
      <c r="AE1128" s="667">
        <v>10</v>
      </c>
      <c r="AF1128" s="667"/>
      <c r="AG1128" s="667"/>
      <c r="AH1128" s="667"/>
      <c r="AI1128" s="668"/>
      <c r="AN1128" s="547"/>
      <c r="AO1128" s="829" t="str">
        <f t="shared" si="227"/>
        <v>Yes</v>
      </c>
      <c r="AP1128" s="259" t="str">
        <f t="shared" si="228"/>
        <v>MAY 22</v>
      </c>
      <c r="AQ1128" s="547" t="str">
        <f t="shared" si="229"/>
        <v>有定金+有預留客戶</v>
      </c>
      <c r="AR1128" s="259" t="str">
        <f t="shared" si="230"/>
        <v>Shipped_Stock</v>
      </c>
      <c r="AS1128" s="259" t="str">
        <f t="shared" si="231"/>
        <v/>
      </c>
      <c r="AT1128" s="259" t="str">
        <f t="shared" si="232"/>
        <v>海红天远</v>
      </c>
      <c r="AU1128" s="259" t="str">
        <f t="shared" si="233"/>
        <v>C49SZX20220003EC</v>
      </c>
      <c r="AV1128" s="259" t="str">
        <f t="shared" si="234"/>
        <v>Apr-13</v>
      </c>
    </row>
    <row r="1129" spans="1:48" ht="21.75" hidden="1">
      <c r="A1129" s="604">
        <v>1890</v>
      </c>
      <c r="B1129" s="669" t="s">
        <v>1125</v>
      </c>
      <c r="C1129" s="776" t="s">
        <v>281</v>
      </c>
      <c r="D1129" s="774">
        <v>110825</v>
      </c>
      <c r="E1129" s="567" t="s">
        <v>2165</v>
      </c>
      <c r="F1129" s="568" t="s">
        <v>17</v>
      </c>
      <c r="G1129" s="568" t="s">
        <v>18</v>
      </c>
      <c r="H1129" s="568" t="s">
        <v>104</v>
      </c>
      <c r="I1129" s="592" t="s">
        <v>2166</v>
      </c>
      <c r="J1129" s="569">
        <v>1</v>
      </c>
      <c r="K1129" s="652" t="s">
        <v>1419</v>
      </c>
      <c r="L1129" s="662">
        <v>44664</v>
      </c>
      <c r="M1129" s="581" t="s">
        <v>2167</v>
      </c>
      <c r="N1129" s="652" t="s">
        <v>216</v>
      </c>
      <c r="O1129" s="580">
        <v>2022.3</v>
      </c>
      <c r="P1129" s="670" t="str">
        <f>VLOOKUP(A1129,'[1]Raw data'!$B:$BA,23,FALSE)</f>
        <v>RMB</v>
      </c>
      <c r="Q1129" s="652" t="str">
        <f>VLOOKUP(A1129,'[1]Raw data'!$B:$Z,2,FALSE)</f>
        <v>C49SZX20230033JL</v>
      </c>
      <c r="R1129" s="652" t="str">
        <f>VLOOKUP(A1129,'[1]Raw data'!$B:$Z,3,FALSE)</f>
        <v>力通威</v>
      </c>
      <c r="S1129" s="652" t="str">
        <f>VLOOKUP(A1129,'[1]Raw data'!$B:$Z,4,FALSE)</f>
        <v>YSM10</v>
      </c>
      <c r="T1129" s="652" t="str">
        <f>VLOOKUP(A1129,'[1]Raw data'!$B:$Z,8,FALSE)</f>
        <v>R-&gt;L</v>
      </c>
      <c r="U1129" s="652" t="str">
        <f>VLOOKUP(A1129,'[1]Raw data'!$B:$Z,9,FALSE)</f>
        <v xml:space="preserve">MVC+96 FEEDER PLATE (YSM10) </v>
      </c>
      <c r="V1129" s="572" t="str">
        <f t="shared" ref="V1129:V1130" si="238">IF(G1129&amp;H1129=T1129&amp;U1129,"OK","WRONG")</f>
        <v>OK</v>
      </c>
      <c r="W1129" s="568" t="str">
        <f>VLOOKUP(A1129,'[1]Raw data'!$B:$AG,32,FALSE)</f>
        <v>DDP SZ</v>
      </c>
      <c r="X1129" s="652">
        <f>VLOOKUP(A1129,'[1]Raw data'!$B:$BA,31,FALSE)</f>
        <v>44994</v>
      </c>
      <c r="Y1129" s="652" t="str">
        <f>VLOOKUP(A1129,'[1]Raw data'!$B:$AS,39,FALSE)</f>
        <v>Yes</v>
      </c>
      <c r="Z1129" s="664"/>
      <c r="AA1129" s="665"/>
      <c r="AB1129" s="666"/>
      <c r="AC1129" s="652" t="s">
        <v>1951</v>
      </c>
      <c r="AD1129" s="580">
        <v>301</v>
      </c>
      <c r="AE1129" s="580">
        <v>10</v>
      </c>
      <c r="AF1129" s="580"/>
      <c r="AG1129" s="580"/>
      <c r="AH1129" s="580"/>
      <c r="AI1129" s="684"/>
      <c r="AJ1129" s="569"/>
      <c r="AK1129" s="569"/>
      <c r="AL1129" s="569"/>
      <c r="AM1129" s="569"/>
      <c r="AN1129" s="619"/>
      <c r="AO1129" s="829" t="str">
        <f t="shared" si="227"/>
        <v>Yes</v>
      </c>
      <c r="AP1129" s="259" t="str">
        <f t="shared" si="228"/>
        <v>MAR 23</v>
      </c>
      <c r="AQ1129" s="547" t="str">
        <f t="shared" si="229"/>
        <v>有定金+有預留客戶</v>
      </c>
      <c r="AR1129" s="259" t="str">
        <f t="shared" si="230"/>
        <v>Shipped_Stock</v>
      </c>
      <c r="AS1129" s="259" t="str">
        <f t="shared" si="231"/>
        <v/>
      </c>
      <c r="AT1129" s="259" t="str">
        <f t="shared" si="232"/>
        <v>力通威</v>
      </c>
      <c r="AU1129" s="259" t="str">
        <f t="shared" si="233"/>
        <v>C49SZX20230033JL</v>
      </c>
      <c r="AV1129" s="259" t="str">
        <f t="shared" si="234"/>
        <v>Apr-13</v>
      </c>
    </row>
    <row r="1130" spans="1:48" ht="21.75" hidden="1">
      <c r="A1130" s="604">
        <v>1891</v>
      </c>
      <c r="B1130" s="669" t="s">
        <v>1125</v>
      </c>
      <c r="C1130" s="669" t="s">
        <v>281</v>
      </c>
      <c r="D1130" s="760">
        <v>110825</v>
      </c>
      <c r="E1130" s="567" t="s">
        <v>2165</v>
      </c>
      <c r="F1130" s="568" t="s">
        <v>17</v>
      </c>
      <c r="G1130" s="568" t="s">
        <v>18</v>
      </c>
      <c r="H1130" s="568" t="s">
        <v>2168</v>
      </c>
      <c r="I1130" s="569" t="s">
        <v>2169</v>
      </c>
      <c r="J1130" s="569">
        <v>1</v>
      </c>
      <c r="K1130" s="652" t="s">
        <v>1419</v>
      </c>
      <c r="L1130" s="662">
        <v>44664</v>
      </c>
      <c r="M1130" s="670" t="s">
        <v>2167</v>
      </c>
      <c r="N1130" s="652" t="s">
        <v>216</v>
      </c>
      <c r="O1130" s="580">
        <v>2022.3</v>
      </c>
      <c r="P1130" s="670" t="str">
        <f>VLOOKUP(A1130,'[1]Raw data'!$B:$BA,23,FALSE)</f>
        <v>RMB</v>
      </c>
      <c r="Q1130" s="652" t="str">
        <f>VLOOKUP(A1130,'[1]Raw data'!$B:$Z,2,FALSE)</f>
        <v>C49SZX20230033JL</v>
      </c>
      <c r="R1130" s="652" t="str">
        <f>VLOOKUP(A1130,'[1]Raw data'!$B:$Z,3,FALSE)</f>
        <v>力通威</v>
      </c>
      <c r="S1130" s="652" t="str">
        <f>VLOOKUP(A1130,'[1]Raw data'!$B:$Z,4,FALSE)</f>
        <v>YSM10</v>
      </c>
      <c r="T1130" s="652" t="str">
        <f>VLOOKUP(A1130,'[1]Raw data'!$B:$Z,8,FALSE)</f>
        <v>R-&gt;L</v>
      </c>
      <c r="U1130" s="652" t="str">
        <f>VLOOKUP(A1130,'[1]Raw data'!$B:$Z,9,FALSE)</f>
        <v xml:space="preserve">MVC+96 FEEDER PLATE (YSM10) </v>
      </c>
      <c r="V1130" s="572" t="str">
        <f t="shared" si="238"/>
        <v>OK</v>
      </c>
      <c r="W1130" s="568" t="str">
        <f>VLOOKUP(A1130,'[1]Raw data'!$B:$AG,32,FALSE)</f>
        <v>DDP SZ</v>
      </c>
      <c r="X1130" s="652">
        <f>VLOOKUP(A1130,'[1]Raw data'!$B:$BA,31,FALSE)</f>
        <v>44994</v>
      </c>
      <c r="Y1130" s="652" t="str">
        <f>VLOOKUP(A1130,'[1]Raw data'!$B:$AS,39,FALSE)</f>
        <v>Yes</v>
      </c>
      <c r="Z1130" s="664"/>
      <c r="AA1130" s="665"/>
      <c r="AB1130" s="666"/>
      <c r="AC1130" s="652" t="s">
        <v>1951</v>
      </c>
      <c r="AD1130" s="580">
        <v>301</v>
      </c>
      <c r="AE1130" s="580">
        <v>10</v>
      </c>
      <c r="AF1130" s="580"/>
      <c r="AG1130" s="580"/>
      <c r="AH1130" s="580"/>
      <c r="AI1130" s="684"/>
      <c r="AJ1130" s="569"/>
      <c r="AK1130" s="569"/>
      <c r="AL1130" s="569"/>
      <c r="AM1130" s="569"/>
      <c r="AN1130" s="619"/>
      <c r="AO1130" s="829" t="str">
        <f t="shared" si="227"/>
        <v>Yes</v>
      </c>
      <c r="AP1130" s="259" t="str">
        <f t="shared" si="228"/>
        <v>MAR 23</v>
      </c>
      <c r="AQ1130" s="547" t="str">
        <f t="shared" si="229"/>
        <v>有定金+有預留客戶</v>
      </c>
      <c r="AR1130" s="259" t="str">
        <f t="shared" si="230"/>
        <v>Shipped_Stock</v>
      </c>
      <c r="AS1130" s="259" t="str">
        <f t="shared" si="231"/>
        <v/>
      </c>
      <c r="AT1130" s="259" t="str">
        <f t="shared" si="232"/>
        <v>力通威</v>
      </c>
      <c r="AU1130" s="259" t="str">
        <f t="shared" si="233"/>
        <v>C49SZX20230033JL</v>
      </c>
      <c r="AV1130" s="259" t="str">
        <f t="shared" si="234"/>
        <v>Apr-13</v>
      </c>
    </row>
    <row r="1131" spans="1:48" hidden="1">
      <c r="A1131" s="604">
        <v>1508</v>
      </c>
      <c r="B1131" s="669" t="s">
        <v>1125</v>
      </c>
      <c r="C1131" s="669" t="s">
        <v>281</v>
      </c>
      <c r="D1131" s="760">
        <v>110829</v>
      </c>
      <c r="E1131" s="567" t="s">
        <v>2170</v>
      </c>
      <c r="F1131" s="568" t="s">
        <v>17</v>
      </c>
      <c r="G1131" s="568" t="s">
        <v>18</v>
      </c>
      <c r="H1131" s="568" t="s">
        <v>102</v>
      </c>
      <c r="I1131" s="569" t="s">
        <v>2171</v>
      </c>
      <c r="J1131" s="569">
        <v>1</v>
      </c>
      <c r="K1131" s="652" t="s">
        <v>85</v>
      </c>
      <c r="L1131" s="662">
        <v>44664</v>
      </c>
      <c r="M1131" s="681">
        <v>5.45E-2</v>
      </c>
      <c r="N1131" s="652" t="s">
        <v>1903</v>
      </c>
      <c r="O1131" s="580">
        <v>2022.3</v>
      </c>
      <c r="P1131" s="670" t="str">
        <f>VLOOKUP(A1131,'[1]Raw data'!$B:$BA,23,FALSE)</f>
        <v>JPY</v>
      </c>
      <c r="Q1131" s="652" t="str">
        <f>VLOOKUP(A1131,'[1]Raw data'!$B:$Z,2,FALSE)</f>
        <v>C49SZX20210207JY</v>
      </c>
      <c r="R1131" s="652" t="str">
        <f>VLOOKUP(A1131,'[1]Raw data'!$B:$Z,3,FALSE)</f>
        <v>海凌科达</v>
      </c>
      <c r="S1131" s="652" t="str">
        <f>VLOOKUP(A1131,'[1]Raw data'!$B:$Z,4,FALSE)</f>
        <v>YSM10</v>
      </c>
      <c r="T1131" s="652" t="str">
        <f>VLOOKUP(A1131,'[1]Raw data'!$B:$Z,8,FALSE)</f>
        <v>L-&gt;R</v>
      </c>
      <c r="U1131" s="652" t="str">
        <f>VLOOKUP(A1131,'[1]Raw data'!$B:$Z,9,FALSE)</f>
        <v>No</v>
      </c>
      <c r="V1131" s="572" t="str">
        <f>IF(G1131&amp;H1131=T1131&amp;U1131,"OK","WRONG")</f>
        <v>WRONG</v>
      </c>
      <c r="W1131" s="568" t="str">
        <f>VLOOKUP(A1131,'[1]Raw data'!$B:$AG,32,FALSE)</f>
        <v>CIF HK</v>
      </c>
      <c r="X1131" s="652">
        <f>VLOOKUP(A1131,'[1]Raw data'!$B:$BA,31,FALSE)</f>
        <v>44530</v>
      </c>
      <c r="Y1131" s="652" t="str">
        <f>VLOOKUP(A1131,'[1]Raw data'!$B:$AS,39,FALSE)</f>
        <v>Yes</v>
      </c>
      <c r="Z1131" s="664"/>
      <c r="AA1131" s="665"/>
      <c r="AB1131" s="666"/>
      <c r="AC1131" s="652" t="s">
        <v>695</v>
      </c>
      <c r="AD1131" s="580">
        <v>302</v>
      </c>
      <c r="AE1131" s="580">
        <v>10</v>
      </c>
      <c r="AF1131" s="580"/>
      <c r="AG1131" s="580"/>
      <c r="AH1131" s="580"/>
      <c r="AI1131" s="684"/>
      <c r="AJ1131" s="569"/>
      <c r="AK1131" s="569"/>
      <c r="AL1131" s="569"/>
      <c r="AM1131" s="569"/>
      <c r="AN1131" s="619"/>
      <c r="AO1131" s="829" t="str">
        <f t="shared" si="227"/>
        <v>Yes</v>
      </c>
      <c r="AP1131" s="259" t="str">
        <f t="shared" si="228"/>
        <v>MAY 22</v>
      </c>
      <c r="AQ1131" s="547" t="str">
        <f t="shared" si="229"/>
        <v>有定金+有預留客戶</v>
      </c>
      <c r="AR1131" s="259" t="str">
        <f t="shared" si="230"/>
        <v>Shipped_Stock</v>
      </c>
      <c r="AS1131" s="259" t="str">
        <f t="shared" si="231"/>
        <v/>
      </c>
      <c r="AT1131" s="259" t="str">
        <f t="shared" si="232"/>
        <v>海凌科达</v>
      </c>
      <c r="AU1131" s="259" t="str">
        <f t="shared" si="233"/>
        <v>C49SZX20210207JY</v>
      </c>
      <c r="AV1131" s="259" t="str">
        <f t="shared" si="234"/>
        <v>Apr-13</v>
      </c>
    </row>
    <row r="1132" spans="1:48" ht="13.5" hidden="1" thickBot="1">
      <c r="A1132" s="604">
        <v>1590</v>
      </c>
      <c r="B1132" s="669" t="s">
        <v>1125</v>
      </c>
      <c r="C1132" s="669" t="s">
        <v>281</v>
      </c>
      <c r="D1132" s="629">
        <v>110831</v>
      </c>
      <c r="E1132" s="651" t="s">
        <v>2172</v>
      </c>
      <c r="F1132" s="652" t="s">
        <v>17</v>
      </c>
      <c r="G1132" s="652" t="s">
        <v>18</v>
      </c>
      <c r="H1132" s="652" t="s">
        <v>102</v>
      </c>
      <c r="I1132" s="580" t="s">
        <v>2173</v>
      </c>
      <c r="J1132" s="580">
        <v>1</v>
      </c>
      <c r="K1132" s="652" t="s">
        <v>78</v>
      </c>
      <c r="L1132" s="662">
        <v>44664</v>
      </c>
      <c r="M1132" s="670">
        <v>5.45E-2</v>
      </c>
      <c r="N1132" s="652" t="s">
        <v>1903</v>
      </c>
      <c r="O1132" s="580">
        <v>2022.3</v>
      </c>
      <c r="P1132" s="670" t="str">
        <f>VLOOKUP(A1132,'[1]Raw data'!$B:$BA,23,FALSE)</f>
        <v>JPY</v>
      </c>
      <c r="Q1132" s="652" t="str">
        <f>VLOOKUP(A1132,'[1]Raw data'!$B:$Z,2,FALSE)</f>
        <v>C49SZX20220013DZ</v>
      </c>
      <c r="R1132" s="652" t="str">
        <f>VLOOKUP(A1132,'[1]Raw data'!$B:$Z,3,FALSE)</f>
        <v>朗特</v>
      </c>
      <c r="S1132" s="652" t="str">
        <f>VLOOKUP(A1132,'[1]Raw data'!$B:$Z,4,FALSE)</f>
        <v>YSM10</v>
      </c>
      <c r="T1132" s="652" t="str">
        <f>VLOOKUP(A1132,'[1]Raw data'!$B:$Z,8,FALSE)</f>
        <v>R-&gt;L</v>
      </c>
      <c r="U1132" s="652" t="str">
        <f>VLOOKUP(A1132,'[1]Raw data'!$B:$Z,9,FALSE)</f>
        <v>No</v>
      </c>
      <c r="V1132" s="572" t="str">
        <f>IF(G1132&amp;H1132=T1132&amp;U1132,"OK","WRONG")</f>
        <v>WRONG</v>
      </c>
      <c r="W1132" s="568" t="str">
        <f>VLOOKUP(A1132,'[1]Raw data'!$B:$AG,32,FALSE)</f>
        <v>CIF HK</v>
      </c>
      <c r="X1132" s="652">
        <f>VLOOKUP(A1132,'[1]Raw data'!$B:$BA,31,FALSE)</f>
        <v>44614</v>
      </c>
      <c r="Y1132" s="652" t="str">
        <f>VLOOKUP(A1132,'[1]Raw data'!$B:$AS,39,FALSE)</f>
        <v>Yes</v>
      </c>
      <c r="Z1132" s="664"/>
      <c r="AA1132" s="665"/>
      <c r="AB1132" s="666"/>
      <c r="AC1132" s="652" t="s">
        <v>2174</v>
      </c>
      <c r="AD1132" s="580">
        <v>301</v>
      </c>
      <c r="AE1132" s="580">
        <v>10</v>
      </c>
      <c r="AF1132" s="580"/>
      <c r="AG1132" s="580"/>
      <c r="AH1132" s="580"/>
      <c r="AI1132" s="684"/>
      <c r="AJ1132" s="569"/>
      <c r="AK1132" s="569"/>
      <c r="AL1132" s="569"/>
      <c r="AM1132" s="569"/>
      <c r="AN1132" s="619"/>
      <c r="AO1132" s="829" t="str">
        <f t="shared" si="227"/>
        <v>Yes</v>
      </c>
      <c r="AP1132" s="259" t="str">
        <f t="shared" si="228"/>
        <v>MAY 22</v>
      </c>
      <c r="AQ1132" s="547" t="str">
        <f t="shared" si="229"/>
        <v>有定金+有預留客戶</v>
      </c>
      <c r="AR1132" s="259" t="str">
        <f t="shared" si="230"/>
        <v>Shipped_Stock</v>
      </c>
      <c r="AS1132" s="259" t="str">
        <f t="shared" si="231"/>
        <v/>
      </c>
      <c r="AT1132" s="259" t="str">
        <f t="shared" si="232"/>
        <v>朗特</v>
      </c>
      <c r="AU1132" s="259" t="str">
        <f t="shared" si="233"/>
        <v>C49SZX20220013DZ</v>
      </c>
      <c r="AV1132" s="259" t="str">
        <f t="shared" si="234"/>
        <v>Apr-13</v>
      </c>
    </row>
    <row r="1133" spans="1:48" hidden="1">
      <c r="A1133" s="564">
        <v>1211</v>
      </c>
      <c r="B1133" s="669" t="s">
        <v>1125</v>
      </c>
      <c r="C1133" s="669" t="s">
        <v>281</v>
      </c>
      <c r="D1133" s="766">
        <v>110823</v>
      </c>
      <c r="E1133" s="567" t="s">
        <v>886</v>
      </c>
      <c r="F1133" s="652" t="s">
        <v>58</v>
      </c>
      <c r="G1133" s="652" t="s">
        <v>24</v>
      </c>
      <c r="H1133" s="652" t="s">
        <v>26</v>
      </c>
      <c r="I1133" s="580" t="s">
        <v>2175</v>
      </c>
      <c r="J1133" s="580">
        <v>1</v>
      </c>
      <c r="K1133" s="652" t="s">
        <v>85</v>
      </c>
      <c r="L1133" s="662">
        <v>44667</v>
      </c>
      <c r="M1133" s="670" t="s">
        <v>906</v>
      </c>
      <c r="N1133" s="652" t="s">
        <v>1930</v>
      </c>
      <c r="O1133" s="580">
        <v>2022.3</v>
      </c>
      <c r="P1133" s="670" t="str">
        <f>VLOOKUP(A1133,'[1]Raw data'!$B:$BA,23,FALSE)</f>
        <v>JPY</v>
      </c>
      <c r="Q1133" s="652" t="str">
        <f>VLOOKUP(A1133,'[1]Raw data'!$B:$Z,2,FALSE)</f>
        <v>C49SZX20210125DZ</v>
      </c>
      <c r="R1133" s="652" t="str">
        <f>VLOOKUP(A1133,'[1]Raw data'!$B:$Z,3,FALSE)</f>
        <v>斯迈电子</v>
      </c>
      <c r="S1133" s="652" t="str">
        <f>VLOOKUP(A1133,'[1]Raw data'!$B:$Z,4,FALSE)</f>
        <v>YSM20R-2</v>
      </c>
      <c r="T1133" s="652" t="str">
        <f>VLOOKUP(A1133,'[1]Raw data'!$B:$Z,8,FALSE)</f>
        <v>L-&gt;R</v>
      </c>
      <c r="U1133" s="652" t="str">
        <f>VLOOKUP(A1133,'[1]Raw data'!$B:$Z,9,FALSE)</f>
        <v>MVC</v>
      </c>
      <c r="V1133" s="572" t="str">
        <f t="shared" ref="V1133:V1135" si="239">IF(G1133&amp;H1133=T1133&amp;U1133,"OK","WRONG")</f>
        <v>WRONG</v>
      </c>
      <c r="W1133" s="568" t="str">
        <f>VLOOKUP(A1133,'[1]Raw data'!$B:$AG,32,FALSE)</f>
        <v>DAP GZ</v>
      </c>
      <c r="X1133" s="652">
        <f>VLOOKUP(A1133,'[1]Raw data'!$B:$BA,31,FALSE)</f>
        <v>44260</v>
      </c>
      <c r="Y1133" s="652" t="str">
        <f>VLOOKUP(A1133,'[1]Raw data'!$B:$AS,39,FALSE)</f>
        <v>Yes</v>
      </c>
      <c r="Z1133" s="671"/>
      <c r="AA1133" s="672"/>
      <c r="AB1133" s="673"/>
      <c r="AC1133" s="652" t="s">
        <v>1783</v>
      </c>
      <c r="AD1133" s="667">
        <v>301</v>
      </c>
      <c r="AE1133" s="667">
        <v>10</v>
      </c>
      <c r="AF1133" s="667">
        <v>311</v>
      </c>
      <c r="AG1133" s="667">
        <v>10</v>
      </c>
      <c r="AH1133" s="667"/>
      <c r="AI1133" s="668"/>
      <c r="AN1133" s="547"/>
      <c r="AO1133" s="829" t="str">
        <f t="shared" si="227"/>
        <v>Yes</v>
      </c>
      <c r="AP1133" s="259" t="str">
        <f t="shared" si="228"/>
        <v>APR 22</v>
      </c>
      <c r="AQ1133" s="547" t="str">
        <f t="shared" si="229"/>
        <v>有定金+有預留客戶</v>
      </c>
      <c r="AR1133" s="259" t="str">
        <f t="shared" si="230"/>
        <v>Shipped_Stock</v>
      </c>
      <c r="AS1133" s="259" t="str">
        <f t="shared" si="231"/>
        <v/>
      </c>
      <c r="AT1133" s="259" t="str">
        <f t="shared" si="232"/>
        <v>斯迈电子</v>
      </c>
      <c r="AU1133" s="259" t="str">
        <f t="shared" si="233"/>
        <v>C49SZX20210125DZ</v>
      </c>
      <c r="AV1133" s="259" t="str">
        <f t="shared" si="234"/>
        <v>Apr-16</v>
      </c>
    </row>
    <row r="1134" spans="1:48" hidden="1">
      <c r="A1134" s="564">
        <v>1215</v>
      </c>
      <c r="B1134" s="669" t="s">
        <v>1125</v>
      </c>
      <c r="C1134" s="669" t="s">
        <v>281</v>
      </c>
      <c r="D1134" s="760">
        <v>110823</v>
      </c>
      <c r="E1134" s="567" t="s">
        <v>886</v>
      </c>
      <c r="F1134" s="652" t="s">
        <v>58</v>
      </c>
      <c r="G1134" s="652" t="s">
        <v>24</v>
      </c>
      <c r="H1134" s="652" t="s">
        <v>26</v>
      </c>
      <c r="I1134" s="580" t="s">
        <v>2176</v>
      </c>
      <c r="J1134" s="580">
        <v>1</v>
      </c>
      <c r="K1134" s="652" t="s">
        <v>85</v>
      </c>
      <c r="L1134" s="662">
        <v>44667</v>
      </c>
      <c r="M1134" s="670" t="s">
        <v>906</v>
      </c>
      <c r="N1134" s="652" t="s">
        <v>1930</v>
      </c>
      <c r="O1134" s="580">
        <v>2022.3</v>
      </c>
      <c r="P1134" s="670" t="str">
        <f>VLOOKUP(A1134,'[1]Raw data'!$B:$BA,23,FALSE)</f>
        <v>JPY</v>
      </c>
      <c r="Q1134" s="652" t="str">
        <f>VLOOKUP(A1134,'[1]Raw data'!$B:$Z,2,FALSE)</f>
        <v>C49SZX20210125DZ</v>
      </c>
      <c r="R1134" s="652" t="str">
        <f>VLOOKUP(A1134,'[1]Raw data'!$B:$Z,3,FALSE)</f>
        <v>斯迈电子</v>
      </c>
      <c r="S1134" s="652" t="str">
        <f>VLOOKUP(A1134,'[1]Raw data'!$B:$Z,4,FALSE)</f>
        <v>YSM20R-2</v>
      </c>
      <c r="T1134" s="652" t="str">
        <f>VLOOKUP(A1134,'[1]Raw data'!$B:$Z,8,FALSE)</f>
        <v>L-&gt;R</v>
      </c>
      <c r="U1134" s="652" t="str">
        <f>VLOOKUP(A1134,'[1]Raw data'!$B:$Z,9,FALSE)</f>
        <v>No</v>
      </c>
      <c r="V1134" s="572" t="str">
        <f t="shared" si="239"/>
        <v>OK</v>
      </c>
      <c r="W1134" s="568" t="str">
        <f>VLOOKUP(A1134,'[1]Raw data'!$B:$AG,32,FALSE)</f>
        <v>DAP GZ</v>
      </c>
      <c r="X1134" s="652">
        <f>VLOOKUP(A1134,'[1]Raw data'!$B:$BA,31,FALSE)</f>
        <v>44260</v>
      </c>
      <c r="Y1134" s="652" t="str">
        <f>VLOOKUP(A1134,'[1]Raw data'!$B:$AS,39,FALSE)</f>
        <v>Yes</v>
      </c>
      <c r="Z1134" s="671"/>
      <c r="AA1134" s="672"/>
      <c r="AB1134" s="673"/>
      <c r="AC1134" s="652" t="s">
        <v>1783</v>
      </c>
      <c r="AD1134" s="667">
        <v>301</v>
      </c>
      <c r="AE1134" s="667">
        <v>10</v>
      </c>
      <c r="AF1134" s="667">
        <v>313</v>
      </c>
      <c r="AG1134" s="667">
        <v>10</v>
      </c>
      <c r="AH1134" s="667"/>
      <c r="AI1134" s="668"/>
      <c r="AN1134" s="547"/>
      <c r="AO1134" s="829" t="str">
        <f t="shared" si="227"/>
        <v>Yes</v>
      </c>
      <c r="AP1134" s="259" t="str">
        <f t="shared" si="228"/>
        <v>APR 22</v>
      </c>
      <c r="AQ1134" s="547" t="str">
        <f t="shared" si="229"/>
        <v>有定金+有預留客戶</v>
      </c>
      <c r="AR1134" s="259" t="str">
        <f t="shared" si="230"/>
        <v>Shipped_Stock</v>
      </c>
      <c r="AS1134" s="259" t="str">
        <f t="shared" si="231"/>
        <v/>
      </c>
      <c r="AT1134" s="259" t="str">
        <f t="shared" si="232"/>
        <v>斯迈电子</v>
      </c>
      <c r="AU1134" s="259" t="str">
        <f t="shared" si="233"/>
        <v>C49SZX20210125DZ</v>
      </c>
      <c r="AV1134" s="259" t="str">
        <f t="shared" si="234"/>
        <v>Apr-16</v>
      </c>
    </row>
    <row r="1135" spans="1:48" hidden="1">
      <c r="A1135" s="564">
        <v>1213</v>
      </c>
      <c r="B1135" s="669" t="s">
        <v>1125</v>
      </c>
      <c r="C1135" s="669" t="s">
        <v>281</v>
      </c>
      <c r="D1135" s="630">
        <v>110823</v>
      </c>
      <c r="E1135" s="567" t="s">
        <v>886</v>
      </c>
      <c r="F1135" s="568" t="s">
        <v>58</v>
      </c>
      <c r="G1135" s="652" t="s">
        <v>24</v>
      </c>
      <c r="H1135" s="652" t="s">
        <v>26</v>
      </c>
      <c r="I1135" s="580" t="s">
        <v>2177</v>
      </c>
      <c r="J1135" s="580">
        <v>1</v>
      </c>
      <c r="K1135" s="652" t="s">
        <v>85</v>
      </c>
      <c r="L1135" s="662">
        <v>44667</v>
      </c>
      <c r="M1135" s="670" t="s">
        <v>906</v>
      </c>
      <c r="N1135" s="652" t="s">
        <v>1930</v>
      </c>
      <c r="O1135" s="580">
        <v>2022.3</v>
      </c>
      <c r="P1135" s="670" t="str">
        <f>VLOOKUP(A1135,'[1]Raw data'!$B:$BA,23,FALSE)</f>
        <v>JPY</v>
      </c>
      <c r="Q1135" s="652" t="str">
        <f>VLOOKUP(A1135,'[1]Raw data'!$B:$Z,2,FALSE)</f>
        <v>C49SZX20210125DZ</v>
      </c>
      <c r="R1135" s="652" t="str">
        <f>VLOOKUP(A1135,'[1]Raw data'!$B:$Z,3,FALSE)</f>
        <v>斯迈电子</v>
      </c>
      <c r="S1135" s="652" t="str">
        <f>VLOOKUP(A1135,'[1]Raw data'!$B:$Z,4,FALSE)</f>
        <v>YSM20R-2</v>
      </c>
      <c r="T1135" s="652" t="str">
        <f>VLOOKUP(A1135,'[1]Raw data'!$B:$Z,8,FALSE)</f>
        <v>L-&gt;R</v>
      </c>
      <c r="U1135" s="652" t="str">
        <f>VLOOKUP(A1135,'[1]Raw data'!$B:$Z,9,FALSE)</f>
        <v>MVC</v>
      </c>
      <c r="V1135" s="572" t="str">
        <f t="shared" si="239"/>
        <v>WRONG</v>
      </c>
      <c r="W1135" s="568" t="str">
        <f>VLOOKUP(A1135,'[1]Raw data'!$B:$AG,32,FALSE)</f>
        <v>DAP GZ</v>
      </c>
      <c r="X1135" s="652">
        <f>VLOOKUP(A1135,'[1]Raw data'!$B:$BA,31,FALSE)</f>
        <v>44260</v>
      </c>
      <c r="Y1135" s="652" t="str">
        <f>VLOOKUP(A1135,'[1]Raw data'!$B:$AS,39,FALSE)</f>
        <v>Yes</v>
      </c>
      <c r="Z1135" s="671"/>
      <c r="AA1135" s="672"/>
      <c r="AB1135" s="673"/>
      <c r="AC1135" s="652" t="s">
        <v>1783</v>
      </c>
      <c r="AD1135" s="667">
        <v>301</v>
      </c>
      <c r="AE1135" s="667">
        <v>10</v>
      </c>
      <c r="AF1135" s="667">
        <v>313</v>
      </c>
      <c r="AG1135" s="667">
        <v>10</v>
      </c>
      <c r="AH1135" s="667"/>
      <c r="AI1135" s="668"/>
      <c r="AN1135" s="547"/>
      <c r="AO1135" s="829" t="str">
        <f t="shared" si="227"/>
        <v>Yes</v>
      </c>
      <c r="AP1135" s="259" t="str">
        <f t="shared" si="228"/>
        <v>APR 22</v>
      </c>
      <c r="AQ1135" s="547" t="str">
        <f t="shared" si="229"/>
        <v>有定金+有預留客戶</v>
      </c>
      <c r="AR1135" s="259" t="str">
        <f t="shared" si="230"/>
        <v>Shipped_Stock</v>
      </c>
      <c r="AS1135" s="259" t="str">
        <f t="shared" si="231"/>
        <v/>
      </c>
      <c r="AT1135" s="259" t="str">
        <f t="shared" si="232"/>
        <v>斯迈电子</v>
      </c>
      <c r="AU1135" s="259" t="str">
        <f t="shared" si="233"/>
        <v>C49SZX20210125DZ</v>
      </c>
      <c r="AV1135" s="259" t="str">
        <f t="shared" si="234"/>
        <v>Apr-16</v>
      </c>
    </row>
    <row r="1136" spans="1:48" ht="38.25" hidden="1">
      <c r="A1136" s="604">
        <v>1595</v>
      </c>
      <c r="B1136" s="669" t="s">
        <v>1125</v>
      </c>
      <c r="C1136" s="669" t="s">
        <v>281</v>
      </c>
      <c r="D1136" s="630">
        <v>110830</v>
      </c>
      <c r="E1136" s="777" t="s">
        <v>2178</v>
      </c>
      <c r="F1136" s="568" t="s">
        <v>17</v>
      </c>
      <c r="G1136" s="652" t="s">
        <v>18</v>
      </c>
      <c r="H1136" s="652" t="s">
        <v>34</v>
      </c>
      <c r="I1136" s="580" t="s">
        <v>2179</v>
      </c>
      <c r="J1136" s="580">
        <v>1</v>
      </c>
      <c r="K1136" s="652" t="s">
        <v>78</v>
      </c>
      <c r="L1136" s="662">
        <v>44667</v>
      </c>
      <c r="M1136" s="670" t="s">
        <v>906</v>
      </c>
      <c r="N1136" s="652" t="s">
        <v>1903</v>
      </c>
      <c r="O1136" s="580">
        <v>2022.3</v>
      </c>
      <c r="P1136" s="670" t="str">
        <f>VLOOKUP(A1136,'[1]Raw data'!$B:$BA,23,FALSE)</f>
        <v>JPY</v>
      </c>
      <c r="Q1136" s="652" t="str">
        <f>VLOOKUP(A1136,'[1]Raw data'!$B:$Z,2,FALSE)</f>
        <v>C49SZX20220013DZ</v>
      </c>
      <c r="R1136" s="652" t="str">
        <f>VLOOKUP(A1136,'[1]Raw data'!$B:$Z,3,FALSE)</f>
        <v>朗特</v>
      </c>
      <c r="S1136" s="652" t="str">
        <f>VLOOKUP(A1136,'[1]Raw data'!$B:$Z,4,FALSE)</f>
        <v>YSM10</v>
      </c>
      <c r="T1136" s="652" t="str">
        <f>VLOOKUP(A1136,'[1]Raw data'!$B:$Z,8,FALSE)</f>
        <v>R-&gt;L</v>
      </c>
      <c r="U1136" s="652" t="str">
        <f>VLOOKUP(A1136,'[1]Raw data'!$B:$Z,9,FALSE)</f>
        <v>MVC+ATS15</v>
      </c>
      <c r="V1136" s="572" t="str">
        <f>IF(G1136&amp;H1136=T1136&amp;U1136,"OK","WRONG")</f>
        <v>OK</v>
      </c>
      <c r="W1136" s="568" t="str">
        <f>VLOOKUP(A1136,'[1]Raw data'!$B:$AG,32,FALSE)</f>
        <v>CIF HK</v>
      </c>
      <c r="X1136" s="652">
        <f>VLOOKUP(A1136,'[1]Raw data'!$B:$BA,31,FALSE)</f>
        <v>44614</v>
      </c>
      <c r="Y1136" s="652" t="str">
        <f>VLOOKUP(A1136,'[1]Raw data'!$B:$AS,39,FALSE)</f>
        <v>Yes</v>
      </c>
      <c r="Z1136" s="664"/>
      <c r="AA1136" s="665"/>
      <c r="AB1136" s="666"/>
      <c r="AC1136" s="652" t="s">
        <v>2180</v>
      </c>
      <c r="AD1136" s="580">
        <v>302</v>
      </c>
      <c r="AE1136" s="580">
        <v>10</v>
      </c>
      <c r="AF1136" s="580"/>
      <c r="AG1136" s="580"/>
      <c r="AH1136" s="580"/>
      <c r="AI1136" s="684"/>
      <c r="AJ1136" s="569"/>
      <c r="AK1136" s="569"/>
      <c r="AL1136" s="569"/>
      <c r="AM1136" s="569"/>
      <c r="AN1136" s="619"/>
      <c r="AO1136" s="829" t="str">
        <f t="shared" si="227"/>
        <v>Yes</v>
      </c>
      <c r="AP1136" s="259" t="str">
        <f t="shared" si="228"/>
        <v>MAY 22</v>
      </c>
      <c r="AQ1136" s="547" t="str">
        <f t="shared" si="229"/>
        <v>有定金+有預留客戶</v>
      </c>
      <c r="AR1136" s="259" t="str">
        <f t="shared" si="230"/>
        <v>Shipped_Stock</v>
      </c>
      <c r="AS1136" s="259" t="str">
        <f t="shared" si="231"/>
        <v/>
      </c>
      <c r="AT1136" s="259" t="str">
        <f t="shared" si="232"/>
        <v>朗特</v>
      </c>
      <c r="AU1136" s="259" t="str">
        <f t="shared" si="233"/>
        <v>C49SZX20220013DZ</v>
      </c>
      <c r="AV1136" s="259" t="str">
        <f t="shared" si="234"/>
        <v>Apr-16</v>
      </c>
    </row>
    <row r="1137" spans="1:48" ht="39" hidden="1" thickBot="1">
      <c r="A1137" s="604">
        <v>1592</v>
      </c>
      <c r="B1137" s="669" t="s">
        <v>1125</v>
      </c>
      <c r="C1137" s="669" t="s">
        <v>281</v>
      </c>
      <c r="D1137" s="629">
        <v>110830</v>
      </c>
      <c r="E1137" s="778" t="s">
        <v>2178</v>
      </c>
      <c r="F1137" s="652" t="s">
        <v>17</v>
      </c>
      <c r="G1137" s="652" t="s">
        <v>18</v>
      </c>
      <c r="H1137" s="652" t="s">
        <v>34</v>
      </c>
      <c r="I1137" s="580" t="s">
        <v>2181</v>
      </c>
      <c r="J1137" s="580">
        <v>1</v>
      </c>
      <c r="K1137" s="652" t="s">
        <v>78</v>
      </c>
      <c r="L1137" s="662">
        <v>44667</v>
      </c>
      <c r="M1137" s="670" t="s">
        <v>906</v>
      </c>
      <c r="N1137" s="652" t="s">
        <v>1903</v>
      </c>
      <c r="O1137" s="580">
        <v>2022.3</v>
      </c>
      <c r="P1137" s="670" t="str">
        <f>VLOOKUP(A1137,'[1]Raw data'!$B:$BA,23,FALSE)</f>
        <v>JPY</v>
      </c>
      <c r="Q1137" s="652" t="str">
        <f>VLOOKUP(A1137,'[1]Raw data'!$B:$Z,2,FALSE)</f>
        <v>C49SZX20220013DZ</v>
      </c>
      <c r="R1137" s="652" t="str">
        <f>VLOOKUP(A1137,'[1]Raw data'!$B:$Z,3,FALSE)</f>
        <v>朗特</v>
      </c>
      <c r="S1137" s="652" t="str">
        <f>VLOOKUP(A1137,'[1]Raw data'!$B:$Z,4,FALSE)</f>
        <v>YSM10</v>
      </c>
      <c r="T1137" s="652" t="str">
        <f>VLOOKUP(A1137,'[1]Raw data'!$B:$Z,8,FALSE)</f>
        <v>R-&gt;L</v>
      </c>
      <c r="U1137" s="652" t="str">
        <f>VLOOKUP(A1137,'[1]Raw data'!$B:$Z,9,FALSE)</f>
        <v>MVC+ATS15</v>
      </c>
      <c r="V1137" s="572" t="str">
        <f>IF(G1137&amp;H1137=T1137&amp;U1137,"OK","WRONG")</f>
        <v>OK</v>
      </c>
      <c r="W1137" s="568" t="str">
        <f>VLOOKUP(A1137,'[1]Raw data'!$B:$AG,32,FALSE)</f>
        <v>CIF HK</v>
      </c>
      <c r="X1137" s="652">
        <f>VLOOKUP(A1137,'[1]Raw data'!$B:$BA,31,FALSE)</f>
        <v>44614</v>
      </c>
      <c r="Y1137" s="652" t="str">
        <f>VLOOKUP(A1137,'[1]Raw data'!$B:$AS,39,FALSE)</f>
        <v>Yes</v>
      </c>
      <c r="Z1137" s="664"/>
      <c r="AA1137" s="665"/>
      <c r="AB1137" s="666"/>
      <c r="AC1137" s="652" t="s">
        <v>2180</v>
      </c>
      <c r="AD1137" s="580">
        <v>302</v>
      </c>
      <c r="AE1137" s="580">
        <v>10</v>
      </c>
      <c r="AF1137" s="580"/>
      <c r="AG1137" s="580"/>
      <c r="AH1137" s="580"/>
      <c r="AI1137" s="684"/>
      <c r="AJ1137" s="569"/>
      <c r="AK1137" s="569"/>
      <c r="AL1137" s="569"/>
      <c r="AM1137" s="569"/>
      <c r="AN1137" s="619"/>
      <c r="AO1137" s="829" t="str">
        <f t="shared" si="227"/>
        <v>Yes</v>
      </c>
      <c r="AP1137" s="259" t="str">
        <f t="shared" si="228"/>
        <v>MAY 22</v>
      </c>
      <c r="AQ1137" s="547" t="str">
        <f t="shared" si="229"/>
        <v>有定金+有預留客戶</v>
      </c>
      <c r="AR1137" s="259" t="str">
        <f t="shared" si="230"/>
        <v>Shipped_Stock</v>
      </c>
      <c r="AS1137" s="259" t="str">
        <f t="shared" si="231"/>
        <v/>
      </c>
      <c r="AT1137" s="259" t="str">
        <f t="shared" si="232"/>
        <v>朗特</v>
      </c>
      <c r="AU1137" s="259" t="str">
        <f t="shared" si="233"/>
        <v>C49SZX20220013DZ</v>
      </c>
      <c r="AV1137" s="259" t="str">
        <f t="shared" si="234"/>
        <v>Apr-16</v>
      </c>
    </row>
    <row r="1138" spans="1:48" ht="38.25" hidden="1">
      <c r="A1138" s="604">
        <v>1651</v>
      </c>
      <c r="B1138" s="669" t="s">
        <v>1125</v>
      </c>
      <c r="C1138" s="669" t="s">
        <v>281</v>
      </c>
      <c r="D1138" s="766">
        <v>110826</v>
      </c>
      <c r="E1138" s="779" t="s">
        <v>2182</v>
      </c>
      <c r="F1138" s="652" t="s">
        <v>17</v>
      </c>
      <c r="G1138" s="652" t="s">
        <v>18</v>
      </c>
      <c r="H1138" s="652" t="s">
        <v>102</v>
      </c>
      <c r="I1138" s="580" t="s">
        <v>2183</v>
      </c>
      <c r="J1138" s="580">
        <v>1</v>
      </c>
      <c r="K1138" s="652" t="s">
        <v>1419</v>
      </c>
      <c r="L1138" s="662">
        <v>44667</v>
      </c>
      <c r="M1138" s="670" t="s">
        <v>2184</v>
      </c>
      <c r="N1138" s="652" t="s">
        <v>1982</v>
      </c>
      <c r="O1138" s="580">
        <v>2022.3</v>
      </c>
      <c r="P1138" s="670" t="str">
        <f>VLOOKUP(A1138,'[1]Raw data'!$B:$BA,23,FALSE)</f>
        <v>RMB</v>
      </c>
      <c r="Q1138" s="652" t="str">
        <f>VLOOKUP(A1138,'[1]Raw data'!$B:$Z,2,FALSE)</f>
        <v>C49SZX20220048SX</v>
      </c>
      <c r="R1138" s="652" t="str">
        <f>VLOOKUP(A1138,'[1]Raw data'!$B:$Z,3,FALSE)</f>
        <v>志华鑫</v>
      </c>
      <c r="S1138" s="652" t="str">
        <f>VLOOKUP(A1138,'[1]Raw data'!$B:$Z,4,FALSE)</f>
        <v>YSM10</v>
      </c>
      <c r="T1138" s="652" t="str">
        <f>VLOOKUP(A1138,'[1]Raw data'!$B:$Z,8,FALSE)</f>
        <v>R-&gt;L</v>
      </c>
      <c r="U1138" s="652" t="str">
        <f>VLOOKUP(A1138,'[1]Raw data'!$B:$Z,9,FALSE)</f>
        <v>MVC</v>
      </c>
      <c r="V1138" s="572" t="str">
        <f>IF(G1138&amp;H1138=T1138&amp;U1138,"OK","WRONG")</f>
        <v>WRONG</v>
      </c>
      <c r="W1138" s="568" t="str">
        <f>VLOOKUP(A1138,'[1]Raw data'!$B:$AG,32,FALSE)</f>
        <v>DDP SZ</v>
      </c>
      <c r="X1138" s="652">
        <f>VLOOKUP(A1138,'[1]Raw data'!$B:$BA,31,FALSE)</f>
        <v>44671</v>
      </c>
      <c r="Y1138" s="652" t="str">
        <f>VLOOKUP(A1138,'[1]Raw data'!$B:$AS,39,FALSE)</f>
        <v>Yes</v>
      </c>
      <c r="Z1138" s="664"/>
      <c r="AA1138" s="665"/>
      <c r="AB1138" s="666"/>
      <c r="AC1138" s="652" t="s">
        <v>1158</v>
      </c>
      <c r="AD1138" s="667">
        <v>302</v>
      </c>
      <c r="AE1138" s="667">
        <v>10</v>
      </c>
      <c r="AF1138" s="667"/>
      <c r="AG1138" s="667"/>
      <c r="AH1138" s="667"/>
      <c r="AI1138" s="668"/>
      <c r="AN1138" s="547"/>
      <c r="AO1138" s="829" t="str">
        <f t="shared" si="227"/>
        <v>Yes</v>
      </c>
      <c r="AP1138" s="259" t="str">
        <f t="shared" si="228"/>
        <v>JUN 22</v>
      </c>
      <c r="AQ1138" s="547" t="str">
        <f t="shared" si="229"/>
        <v>有定金+有預留客戶</v>
      </c>
      <c r="AR1138" s="259" t="str">
        <f t="shared" si="230"/>
        <v>Shipped_Stock</v>
      </c>
      <c r="AS1138" s="259" t="str">
        <f t="shared" si="231"/>
        <v/>
      </c>
      <c r="AT1138" s="259" t="str">
        <f t="shared" si="232"/>
        <v>志华鑫</v>
      </c>
      <c r="AU1138" s="259" t="str">
        <f t="shared" si="233"/>
        <v>C49SZX20220048SX</v>
      </c>
      <c r="AV1138" s="259" t="str">
        <f t="shared" si="234"/>
        <v>Apr-16</v>
      </c>
    </row>
    <row r="1139" spans="1:48" ht="25.5" hidden="1">
      <c r="A1139" s="604">
        <v>1483</v>
      </c>
      <c r="B1139" s="669" t="s">
        <v>1125</v>
      </c>
      <c r="C1139" s="669" t="s">
        <v>281</v>
      </c>
      <c r="D1139" s="760">
        <v>110827</v>
      </c>
      <c r="E1139" s="780" t="s">
        <v>2185</v>
      </c>
      <c r="F1139" s="652" t="s">
        <v>17</v>
      </c>
      <c r="G1139" s="652" t="s">
        <v>18</v>
      </c>
      <c r="H1139" s="652" t="s">
        <v>27</v>
      </c>
      <c r="I1139" s="580" t="s">
        <v>2186</v>
      </c>
      <c r="J1139" s="580">
        <v>1</v>
      </c>
      <c r="K1139" s="652" t="s">
        <v>1419</v>
      </c>
      <c r="L1139" s="662">
        <v>44667</v>
      </c>
      <c r="M1139" s="670" t="s">
        <v>2187</v>
      </c>
      <c r="N1139" s="652" t="s">
        <v>1982</v>
      </c>
      <c r="O1139" s="580">
        <v>2022.3</v>
      </c>
      <c r="P1139" s="670" t="str">
        <f>VLOOKUP(A1139,'[1]Raw data'!$B:$BA,23,FALSE)</f>
        <v>JPY</v>
      </c>
      <c r="Q1139" s="652" t="str">
        <f>VLOOKUP(A1139,'[1]Raw data'!$B:$Z,2,FALSE)</f>
        <v>C49SZX20210198DZ</v>
      </c>
      <c r="R1139" s="652" t="str">
        <f>VLOOKUP(A1139,'[1]Raw data'!$B:$Z,3,FALSE)</f>
        <v>汇海通达</v>
      </c>
      <c r="S1139" s="652" t="str">
        <f>VLOOKUP(A1139,'[1]Raw data'!$B:$Z,4,FALSE)</f>
        <v>YSM10</v>
      </c>
      <c r="T1139" s="652" t="str">
        <f>VLOOKUP(A1139,'[1]Raw data'!$B:$Z,8,FALSE)</f>
        <v>L-&gt;R</v>
      </c>
      <c r="U1139" s="652" t="str">
        <f>VLOOKUP(A1139,'[1]Raw data'!$B:$Z,9,FALSE)</f>
        <v>No</v>
      </c>
      <c r="V1139" s="572" t="str">
        <f t="shared" ref="V1139" si="240">IF(G1139&amp;H1139=T1139&amp;U1139,"OK","WRONG")</f>
        <v>WRONG</v>
      </c>
      <c r="W1139" s="568" t="str">
        <f>VLOOKUP(A1139,'[1]Raw data'!$B:$AG,32,FALSE)</f>
        <v>DAP SZ</v>
      </c>
      <c r="X1139" s="652">
        <f>VLOOKUP(A1139,'[1]Raw data'!$B:$BA,31,FALSE)</f>
        <v>44482</v>
      </c>
      <c r="Y1139" s="652" t="str">
        <f>VLOOKUP(A1139,'[1]Raw data'!$B:$AS,39,FALSE)</f>
        <v>Yes</v>
      </c>
      <c r="Z1139" s="664"/>
      <c r="AA1139" s="665"/>
      <c r="AB1139" s="666"/>
      <c r="AC1139" s="652" t="s">
        <v>1983</v>
      </c>
      <c r="AD1139" s="580">
        <v>312</v>
      </c>
      <c r="AE1139" s="580">
        <v>10</v>
      </c>
      <c r="AF1139" s="580"/>
      <c r="AG1139" s="580"/>
      <c r="AH1139" s="580"/>
      <c r="AI1139" s="684"/>
      <c r="AJ1139" s="569"/>
      <c r="AK1139" s="569"/>
      <c r="AL1139" s="569"/>
      <c r="AM1139" s="569"/>
      <c r="AN1139" s="619"/>
      <c r="AO1139" s="829" t="str">
        <f t="shared" si="227"/>
        <v>Yes</v>
      </c>
      <c r="AP1139" s="259" t="str">
        <f t="shared" si="228"/>
        <v>JUN 22</v>
      </c>
      <c r="AQ1139" s="547" t="str">
        <f t="shared" si="229"/>
        <v>有定金+有預留客戶</v>
      </c>
      <c r="AR1139" s="259" t="str">
        <f t="shared" si="230"/>
        <v>Shipped_Stock</v>
      </c>
      <c r="AS1139" s="259" t="str">
        <f t="shared" si="231"/>
        <v/>
      </c>
      <c r="AT1139" s="259" t="str">
        <f t="shared" si="232"/>
        <v>汇海通达</v>
      </c>
      <c r="AU1139" s="259" t="str">
        <f t="shared" si="233"/>
        <v>C49SZX20210198DZ</v>
      </c>
      <c r="AV1139" s="259" t="str">
        <f t="shared" si="234"/>
        <v>Apr-16</v>
      </c>
    </row>
    <row r="1140" spans="1:48" ht="39" hidden="1" thickBot="1">
      <c r="A1140" s="564">
        <v>1678</v>
      </c>
      <c r="B1140" s="669" t="s">
        <v>1125</v>
      </c>
      <c r="C1140" s="669" t="s">
        <v>281</v>
      </c>
      <c r="D1140" s="629">
        <v>110828</v>
      </c>
      <c r="E1140" s="779" t="s">
        <v>2188</v>
      </c>
      <c r="F1140" s="652" t="s">
        <v>17</v>
      </c>
      <c r="G1140" s="652" t="s">
        <v>18</v>
      </c>
      <c r="H1140" s="652" t="s">
        <v>102</v>
      </c>
      <c r="I1140" s="580" t="s">
        <v>2189</v>
      </c>
      <c r="J1140" s="580">
        <v>1</v>
      </c>
      <c r="K1140" s="568" t="s">
        <v>1419</v>
      </c>
      <c r="L1140" s="662">
        <v>44667</v>
      </c>
      <c r="M1140" s="758" t="s">
        <v>2190</v>
      </c>
      <c r="N1140" s="652" t="s">
        <v>1982</v>
      </c>
      <c r="O1140" s="580">
        <v>2022.3</v>
      </c>
      <c r="P1140" s="670" t="str">
        <f>VLOOKUP(A1140,'[1]Raw data'!$B:$BA,23,FALSE)</f>
        <v>RMB</v>
      </c>
      <c r="Q1140" s="652" t="str">
        <f>VLOOKUP(A1140,'[1]Raw data'!$B:$Z,2,FALSE)</f>
        <v>C49SZX20220065SX</v>
      </c>
      <c r="R1140" s="652" t="str">
        <f>VLOOKUP(A1140,'[1]Raw data'!$B:$Z,3,FALSE)</f>
        <v>正讯</v>
      </c>
      <c r="S1140" s="652" t="str">
        <f>VLOOKUP(A1140,'[1]Raw data'!$B:$Z,4,FALSE)</f>
        <v>YSM10</v>
      </c>
      <c r="T1140" s="652" t="str">
        <f>VLOOKUP(A1140,'[1]Raw data'!$B:$Z,8,FALSE)</f>
        <v>R-&gt;L</v>
      </c>
      <c r="U1140" s="652" t="str">
        <f>VLOOKUP(A1140,'[1]Raw data'!$B:$Z,9,FALSE)</f>
        <v>MVC</v>
      </c>
      <c r="V1140" s="572" t="str">
        <f t="shared" ref="V1140" si="241">IF(G1140&amp;H1140=T1140&amp;U1140,"OK","WRONG")</f>
        <v>WRONG</v>
      </c>
      <c r="W1140" s="568" t="str">
        <f>VLOOKUP(A1140,'[1]Raw data'!$B:$AG,32,FALSE)</f>
        <v>DDP SZ</v>
      </c>
      <c r="X1140" s="652">
        <f>VLOOKUP(A1140,'[1]Raw data'!$B:$BA,31,FALSE)</f>
        <v>44718</v>
      </c>
      <c r="Y1140" s="652" t="str">
        <f>VLOOKUP(A1140,'[1]Raw data'!$B:$AS,39,FALSE)</f>
        <v>Yes</v>
      </c>
      <c r="Z1140" s="664"/>
      <c r="AA1140" s="665"/>
      <c r="AB1140" s="666"/>
      <c r="AC1140" s="652" t="s">
        <v>2123</v>
      </c>
      <c r="AD1140" s="667">
        <v>301</v>
      </c>
      <c r="AE1140" s="667">
        <v>10</v>
      </c>
      <c r="AF1140" s="667"/>
      <c r="AG1140" s="667"/>
      <c r="AH1140" s="667"/>
      <c r="AI1140" s="668"/>
      <c r="AN1140" s="547"/>
      <c r="AO1140" s="829" t="str">
        <f t="shared" si="227"/>
        <v>Yes</v>
      </c>
      <c r="AP1140" s="259" t="str">
        <f t="shared" si="228"/>
        <v>JUN 22</v>
      </c>
      <c r="AQ1140" s="547" t="str">
        <f t="shared" si="229"/>
        <v>有定金+有預留客戶</v>
      </c>
      <c r="AR1140" s="259" t="str">
        <f t="shared" si="230"/>
        <v>Shipped_Stock</v>
      </c>
      <c r="AS1140" s="259" t="str">
        <f t="shared" si="231"/>
        <v/>
      </c>
      <c r="AT1140" s="259" t="str">
        <f t="shared" si="232"/>
        <v>正讯</v>
      </c>
      <c r="AU1140" s="259" t="str">
        <f t="shared" si="233"/>
        <v>C49SZX20220065SX</v>
      </c>
      <c r="AV1140" s="259" t="str">
        <f t="shared" si="234"/>
        <v>Apr-16</v>
      </c>
    </row>
    <row r="1141" spans="1:48" ht="25.5" hidden="1">
      <c r="A1141" s="564">
        <v>1566</v>
      </c>
      <c r="B1141" s="669" t="s">
        <v>1125</v>
      </c>
      <c r="C1141" s="669" t="s">
        <v>281</v>
      </c>
      <c r="D1141" s="781">
        <v>110832</v>
      </c>
      <c r="E1141" s="779" t="s">
        <v>2191</v>
      </c>
      <c r="F1141" s="652" t="s">
        <v>17</v>
      </c>
      <c r="G1141" s="652" t="s">
        <v>18</v>
      </c>
      <c r="H1141" s="652" t="s">
        <v>102</v>
      </c>
      <c r="I1141" s="580" t="s">
        <v>2192</v>
      </c>
      <c r="J1141" s="580">
        <v>1</v>
      </c>
      <c r="K1141" s="652" t="s">
        <v>78</v>
      </c>
      <c r="L1141" s="662">
        <v>44667</v>
      </c>
      <c r="M1141" s="670" t="s">
        <v>906</v>
      </c>
      <c r="N1141" s="652" t="s">
        <v>1903</v>
      </c>
      <c r="O1141" s="580">
        <v>2022.3</v>
      </c>
      <c r="P1141" s="670" t="str">
        <f>VLOOKUP(A1141,'[1]Raw data'!$B:$BA,23,FALSE)</f>
        <v>JPY</v>
      </c>
      <c r="Q1141" s="652" t="str">
        <f>VLOOKUP(A1141,'[1]Raw data'!$B:$Z,2,FALSE)</f>
        <v>C49SZX20220003EC</v>
      </c>
      <c r="R1141" s="652" t="str">
        <f>VLOOKUP(A1141,'[1]Raw data'!$B:$Z,3,FALSE)</f>
        <v>海红天远</v>
      </c>
      <c r="S1141" s="652" t="str">
        <f>VLOOKUP(A1141,'[1]Raw data'!$B:$Z,4,FALSE)</f>
        <v>YSM10</v>
      </c>
      <c r="T1141" s="652" t="str">
        <f>VLOOKUP(A1141,'[1]Raw data'!$B:$Z,8,FALSE)</f>
        <v>R-&gt;L</v>
      </c>
      <c r="U1141" s="652" t="str">
        <f>VLOOKUP(A1141,'[1]Raw data'!$B:$Z,9,FALSE)</f>
        <v>No</v>
      </c>
      <c r="V1141" s="572" t="str">
        <f t="shared" ref="V1141" si="242">IF(G1141&amp;H1141=T1141&amp;U1141,"OK","WRONG")</f>
        <v>WRONG</v>
      </c>
      <c r="W1141" s="568" t="str">
        <f>VLOOKUP(A1141,'[1]Raw data'!$B:$AG,32,FALSE)</f>
        <v>CIF HK</v>
      </c>
      <c r="X1141" s="652">
        <f>VLOOKUP(A1141,'[1]Raw data'!$B:$BA,31,FALSE)</f>
        <v>44585</v>
      </c>
      <c r="Y1141" s="652" t="str">
        <f>VLOOKUP(A1141,'[1]Raw data'!$B:$AS,39,FALSE)</f>
        <v>Yes</v>
      </c>
      <c r="Z1141" s="664"/>
      <c r="AA1141" s="665"/>
      <c r="AB1141" s="666"/>
      <c r="AC1141" s="652" t="s">
        <v>1079</v>
      </c>
      <c r="AD1141" s="667">
        <v>301</v>
      </c>
      <c r="AE1141" s="667">
        <v>10</v>
      </c>
      <c r="AF1141" s="667"/>
      <c r="AG1141" s="667"/>
      <c r="AH1141" s="667"/>
      <c r="AI1141" s="668"/>
      <c r="AN1141" s="547"/>
      <c r="AO1141" s="829" t="str">
        <f t="shared" si="227"/>
        <v>Yes</v>
      </c>
      <c r="AP1141" s="259" t="str">
        <f t="shared" si="228"/>
        <v>MAY 22</v>
      </c>
      <c r="AQ1141" s="547" t="str">
        <f t="shared" si="229"/>
        <v>有定金+有預留客戶</v>
      </c>
      <c r="AR1141" s="259" t="str">
        <f t="shared" si="230"/>
        <v>Shipped_Stock</v>
      </c>
      <c r="AS1141" s="259" t="str">
        <f t="shared" si="231"/>
        <v/>
      </c>
      <c r="AT1141" s="259" t="str">
        <f t="shared" si="232"/>
        <v>海红天远</v>
      </c>
      <c r="AU1141" s="259" t="str">
        <f t="shared" si="233"/>
        <v>C49SZX20220003EC</v>
      </c>
      <c r="AV1141" s="259" t="str">
        <f t="shared" si="234"/>
        <v>Apr-16</v>
      </c>
    </row>
    <row r="1142" spans="1:48" ht="24.75" hidden="1" thickBot="1">
      <c r="A1142" s="564">
        <v>1565</v>
      </c>
      <c r="B1142" s="669" t="s">
        <v>1125</v>
      </c>
      <c r="C1142" s="669" t="s">
        <v>281</v>
      </c>
      <c r="D1142" s="629">
        <v>110832</v>
      </c>
      <c r="E1142" s="782" t="s">
        <v>2191</v>
      </c>
      <c r="F1142" s="652" t="s">
        <v>17</v>
      </c>
      <c r="G1142" s="652" t="s">
        <v>18</v>
      </c>
      <c r="H1142" s="652" t="s">
        <v>102</v>
      </c>
      <c r="I1142" s="580" t="s">
        <v>2193</v>
      </c>
      <c r="J1142" s="580">
        <v>1</v>
      </c>
      <c r="K1142" s="652" t="s">
        <v>78</v>
      </c>
      <c r="L1142" s="662">
        <v>44667</v>
      </c>
      <c r="M1142" s="670" t="s">
        <v>906</v>
      </c>
      <c r="N1142" s="652" t="s">
        <v>1903</v>
      </c>
      <c r="O1142" s="580">
        <v>2022.3</v>
      </c>
      <c r="P1142" s="670" t="str">
        <f>VLOOKUP(A1142,'[1]Raw data'!$B:$BA,23,FALSE)</f>
        <v>JPY</v>
      </c>
      <c r="Q1142" s="652" t="str">
        <f>VLOOKUP(A1142,'[1]Raw data'!$B:$Z,2,FALSE)</f>
        <v>C49SZX20220003EC</v>
      </c>
      <c r="R1142" s="652" t="str">
        <f>VLOOKUP(A1142,'[1]Raw data'!$B:$Z,3,FALSE)</f>
        <v>海红天远</v>
      </c>
      <c r="S1142" s="652" t="str">
        <f>VLOOKUP(A1142,'[1]Raw data'!$B:$Z,4,FALSE)</f>
        <v>YSM10</v>
      </c>
      <c r="T1142" s="652" t="str">
        <f>VLOOKUP(A1142,'[1]Raw data'!$B:$Z,8,FALSE)</f>
        <v>R-&gt;L</v>
      </c>
      <c r="U1142" s="652" t="str">
        <f>VLOOKUP(A1142,'[1]Raw data'!$B:$Z,9,FALSE)</f>
        <v>No</v>
      </c>
      <c r="V1142" s="572" t="str">
        <f>IF(G1142&amp;H1142=T1142&amp;U1142,"OK","WRONG")</f>
        <v>WRONG</v>
      </c>
      <c r="W1142" s="568" t="str">
        <f>VLOOKUP(A1142,'[1]Raw data'!$B:$AG,32,FALSE)</f>
        <v>CIF HK</v>
      </c>
      <c r="X1142" s="652">
        <f>VLOOKUP(A1142,'[1]Raw data'!$B:$BA,31,FALSE)</f>
        <v>44585</v>
      </c>
      <c r="Y1142" s="652" t="str">
        <f>VLOOKUP(A1142,'[1]Raw data'!$B:$AS,39,FALSE)</f>
        <v>Yes</v>
      </c>
      <c r="Z1142" s="664"/>
      <c r="AA1142" s="665"/>
      <c r="AB1142" s="666"/>
      <c r="AC1142" s="652" t="s">
        <v>1079</v>
      </c>
      <c r="AD1142" s="667">
        <v>302</v>
      </c>
      <c r="AE1142" s="667">
        <v>10</v>
      </c>
      <c r="AF1142" s="667"/>
      <c r="AG1142" s="667"/>
      <c r="AH1142" s="667"/>
      <c r="AI1142" s="668"/>
      <c r="AN1142" s="547"/>
      <c r="AO1142" s="829" t="str">
        <f t="shared" si="227"/>
        <v>Yes</v>
      </c>
      <c r="AP1142" s="259" t="str">
        <f t="shared" si="228"/>
        <v>MAY 22</v>
      </c>
      <c r="AQ1142" s="547" t="str">
        <f t="shared" si="229"/>
        <v>有定金+有預留客戶</v>
      </c>
      <c r="AR1142" s="259" t="str">
        <f t="shared" si="230"/>
        <v>Shipped_Stock</v>
      </c>
      <c r="AS1142" s="259" t="str">
        <f t="shared" si="231"/>
        <v/>
      </c>
      <c r="AT1142" s="259" t="str">
        <f t="shared" si="232"/>
        <v>海红天远</v>
      </c>
      <c r="AU1142" s="259" t="str">
        <f t="shared" si="233"/>
        <v>C49SZX20220003EC</v>
      </c>
      <c r="AV1142" s="259" t="str">
        <f t="shared" si="234"/>
        <v>Apr-16</v>
      </c>
    </row>
    <row r="1143" spans="1:48" ht="22.5" hidden="1">
      <c r="A1143" s="564">
        <v>1679</v>
      </c>
      <c r="B1143" s="669" t="s">
        <v>1125</v>
      </c>
      <c r="C1143" s="669" t="s">
        <v>281</v>
      </c>
      <c r="D1143" s="628">
        <v>110833</v>
      </c>
      <c r="E1143" s="567" t="s">
        <v>2194</v>
      </c>
      <c r="F1143" s="568" t="s">
        <v>58</v>
      </c>
      <c r="G1143" s="568" t="s">
        <v>18</v>
      </c>
      <c r="H1143" s="568" t="s">
        <v>26</v>
      </c>
      <c r="I1143" s="569" t="s">
        <v>2195</v>
      </c>
      <c r="J1143" s="569">
        <v>1</v>
      </c>
      <c r="K1143" s="568" t="s">
        <v>1419</v>
      </c>
      <c r="L1143" s="662">
        <v>44680</v>
      </c>
      <c r="M1143" s="773" t="s">
        <v>2196</v>
      </c>
      <c r="N1143" s="652" t="s">
        <v>1982</v>
      </c>
      <c r="O1143" s="580">
        <v>2022.4</v>
      </c>
      <c r="P1143" s="670" t="str">
        <f>VLOOKUP(A1143,'[1]Raw data'!$B:$BA,23,FALSE)</f>
        <v>RMB</v>
      </c>
      <c r="Q1143" s="652" t="str">
        <f>VLOOKUP(A1143,'[1]Raw data'!$B:$Z,2,FALSE)</f>
        <v>C49SZX20220065SX</v>
      </c>
      <c r="R1143" s="652" t="str">
        <f>VLOOKUP(A1143,'[1]Raw data'!$B:$Z,3,FALSE)</f>
        <v>正讯</v>
      </c>
      <c r="S1143" s="652" t="str">
        <f>VLOOKUP(A1143,'[1]Raw data'!$B:$Z,4,FALSE)</f>
        <v>YSM20R-2</v>
      </c>
      <c r="T1143" s="652" t="str">
        <f>VLOOKUP(A1143,'[1]Raw data'!$B:$Z,8,FALSE)</f>
        <v>R-&gt;L</v>
      </c>
      <c r="U1143" s="652" t="str">
        <f>VLOOKUP(A1143,'[1]Raw data'!$B:$Z,9,FALSE)</f>
        <v>No</v>
      </c>
      <c r="V1143" s="572" t="str">
        <f t="shared" ref="V1143" si="243">IF(G1143&amp;H1143=T1143&amp;U1143,"OK","WRONG")</f>
        <v>OK</v>
      </c>
      <c r="W1143" s="568" t="str">
        <f>VLOOKUP(A1143,'[1]Raw data'!$B:$AG,32,FALSE)</f>
        <v>DDP SZ</v>
      </c>
      <c r="X1143" s="652">
        <f>VLOOKUP(A1143,'[1]Raw data'!$B:$BA,31,FALSE)</f>
        <v>44718</v>
      </c>
      <c r="Y1143" s="652" t="str">
        <f>VLOOKUP(A1143,'[1]Raw data'!$B:$AS,39,FALSE)</f>
        <v>Yes</v>
      </c>
      <c r="Z1143" s="664"/>
      <c r="AA1143" s="665"/>
      <c r="AB1143" s="666"/>
      <c r="AC1143" s="652" t="s">
        <v>2123</v>
      </c>
      <c r="AD1143" s="667">
        <v>301</v>
      </c>
      <c r="AE1143" s="667">
        <v>10</v>
      </c>
      <c r="AF1143" s="667">
        <v>302</v>
      </c>
      <c r="AG1143" s="667">
        <v>10</v>
      </c>
      <c r="AH1143" s="667"/>
      <c r="AI1143" s="668"/>
      <c r="AN1143" s="547"/>
      <c r="AO1143" s="829" t="str">
        <f t="shared" si="227"/>
        <v>Yes</v>
      </c>
      <c r="AP1143" s="259" t="str">
        <f t="shared" si="228"/>
        <v>JUN 22</v>
      </c>
      <c r="AQ1143" s="547" t="str">
        <f t="shared" si="229"/>
        <v>有定金+有預留客戶</v>
      </c>
      <c r="AR1143" s="259" t="str">
        <f t="shared" si="230"/>
        <v>Shipped_Stock</v>
      </c>
      <c r="AS1143" s="259" t="str">
        <f t="shared" si="231"/>
        <v/>
      </c>
      <c r="AT1143" s="259" t="str">
        <f t="shared" si="232"/>
        <v>正讯</v>
      </c>
      <c r="AU1143" s="259" t="str">
        <f t="shared" si="233"/>
        <v>C49SZX20220065SX</v>
      </c>
      <c r="AV1143" s="259" t="str">
        <f t="shared" si="234"/>
        <v>Apr-29</v>
      </c>
    </row>
    <row r="1144" spans="1:48" hidden="1">
      <c r="A1144" s="564">
        <v>1562</v>
      </c>
      <c r="B1144" s="669" t="s">
        <v>1125</v>
      </c>
      <c r="C1144" s="669" t="s">
        <v>281</v>
      </c>
      <c r="D1144" s="630">
        <v>110835</v>
      </c>
      <c r="E1144" s="567" t="s">
        <v>2197</v>
      </c>
      <c r="F1144" s="568" t="s">
        <v>58</v>
      </c>
      <c r="G1144" s="568" t="s">
        <v>24</v>
      </c>
      <c r="H1144" s="568" t="s">
        <v>26</v>
      </c>
      <c r="I1144" s="569" t="s">
        <v>2198</v>
      </c>
      <c r="J1144" s="569">
        <v>1</v>
      </c>
      <c r="K1144" s="568" t="s">
        <v>78</v>
      </c>
      <c r="L1144" s="662">
        <v>44680</v>
      </c>
      <c r="M1144" s="670" t="s">
        <v>906</v>
      </c>
      <c r="N1144" s="652" t="s">
        <v>1903</v>
      </c>
      <c r="O1144" s="580">
        <v>2022.4</v>
      </c>
      <c r="P1144" s="670" t="str">
        <f>VLOOKUP(A1144,'[1]Raw data'!$B:$BA,23,FALSE)</f>
        <v>JPY</v>
      </c>
      <c r="Q1144" s="652" t="str">
        <f>VLOOKUP(A1144,'[1]Raw data'!$B:$Z,2,FALSE)</f>
        <v>C49SZX20220003EC</v>
      </c>
      <c r="R1144" s="652" t="str">
        <f>VLOOKUP(A1144,'[1]Raw data'!$B:$Z,3,FALSE)</f>
        <v>海红天远</v>
      </c>
      <c r="S1144" s="652" t="str">
        <f>VLOOKUP(A1144,'[1]Raw data'!$B:$Z,4,FALSE)</f>
        <v>YSM20R-2</v>
      </c>
      <c r="T1144" s="652" t="str">
        <f>VLOOKUP(A1144,'[1]Raw data'!$B:$Z,8,FALSE)</f>
        <v>L-&gt;R</v>
      </c>
      <c r="U1144" s="652" t="str">
        <f>VLOOKUP(A1144,'[1]Raw data'!$B:$Z,9,FALSE)</f>
        <v>No</v>
      </c>
      <c r="V1144" s="572" t="str">
        <f t="shared" ref="V1144:V1149" si="244">IF(G1144&amp;H1144=T1144&amp;U1144,"OK","WRONG")</f>
        <v>OK</v>
      </c>
      <c r="W1144" s="568" t="str">
        <f>VLOOKUP(A1144,'[1]Raw data'!$B:$AG,32,FALSE)</f>
        <v>CIF HK</v>
      </c>
      <c r="X1144" s="652">
        <f>VLOOKUP(A1144,'[1]Raw data'!$B:$BA,31,FALSE)</f>
        <v>44585</v>
      </c>
      <c r="Y1144" s="652" t="str">
        <f>VLOOKUP(A1144,'[1]Raw data'!$B:$AS,39,FALSE)</f>
        <v>Yes</v>
      </c>
      <c r="Z1144" s="664"/>
      <c r="AA1144" s="665"/>
      <c r="AB1144" s="666"/>
      <c r="AC1144" s="652" t="s">
        <v>1079</v>
      </c>
      <c r="AD1144" s="667">
        <v>304</v>
      </c>
      <c r="AE1144" s="667">
        <v>20</v>
      </c>
      <c r="AF1144" s="667"/>
      <c r="AG1144" s="667"/>
      <c r="AH1144" s="667"/>
      <c r="AI1144" s="668"/>
      <c r="AN1144" s="547"/>
      <c r="AO1144" s="829" t="str">
        <f t="shared" si="227"/>
        <v>Yes</v>
      </c>
      <c r="AP1144" s="259" t="str">
        <f t="shared" si="228"/>
        <v>MAY 22</v>
      </c>
      <c r="AQ1144" s="547" t="str">
        <f t="shared" si="229"/>
        <v>有定金+有預留客戶</v>
      </c>
      <c r="AR1144" s="259" t="str">
        <f t="shared" si="230"/>
        <v>Shipped_Stock</v>
      </c>
      <c r="AS1144" s="259" t="str">
        <f t="shared" si="231"/>
        <v/>
      </c>
      <c r="AT1144" s="259" t="str">
        <f t="shared" si="232"/>
        <v>海红天远</v>
      </c>
      <c r="AU1144" s="259" t="str">
        <f t="shared" si="233"/>
        <v>C49SZX20220003EC</v>
      </c>
      <c r="AV1144" s="259" t="str">
        <f t="shared" si="234"/>
        <v>Apr-29</v>
      </c>
    </row>
    <row r="1145" spans="1:48" ht="13.5" hidden="1" thickBot="1">
      <c r="A1145" s="604">
        <v>1594</v>
      </c>
      <c r="B1145" s="669" t="s">
        <v>1125</v>
      </c>
      <c r="C1145" s="669" t="s">
        <v>281</v>
      </c>
      <c r="D1145" s="629">
        <v>110837</v>
      </c>
      <c r="E1145" s="783" t="s">
        <v>2199</v>
      </c>
      <c r="F1145" s="568" t="s">
        <v>58</v>
      </c>
      <c r="G1145" s="568" t="s">
        <v>18</v>
      </c>
      <c r="H1145" s="568" t="s">
        <v>26</v>
      </c>
      <c r="I1145" s="569" t="s">
        <v>2200</v>
      </c>
      <c r="J1145" s="569">
        <v>1</v>
      </c>
      <c r="K1145" s="568" t="s">
        <v>78</v>
      </c>
      <c r="L1145" s="662">
        <v>44680</v>
      </c>
      <c r="M1145" s="773" t="s">
        <v>906</v>
      </c>
      <c r="N1145" s="652" t="s">
        <v>1903</v>
      </c>
      <c r="O1145" s="580">
        <v>2022.4</v>
      </c>
      <c r="P1145" s="670" t="str">
        <f>VLOOKUP(A1145,'[1]Raw data'!$B:$BA,23,FALSE)</f>
        <v>JPY</v>
      </c>
      <c r="Q1145" s="652" t="str">
        <f>VLOOKUP(A1145,'[1]Raw data'!$B:$Z,2,FALSE)</f>
        <v>C49SZX20220013DZ</v>
      </c>
      <c r="R1145" s="652" t="str">
        <f>VLOOKUP(A1145,'[1]Raw data'!$B:$Z,3,FALSE)</f>
        <v>朗特</v>
      </c>
      <c r="S1145" s="652" t="str">
        <f>VLOOKUP(A1145,'[1]Raw data'!$B:$Z,4,FALSE)</f>
        <v>YSM20R-2</v>
      </c>
      <c r="T1145" s="652" t="str">
        <f>VLOOKUP(A1145,'[1]Raw data'!$B:$Z,8,FALSE)</f>
        <v>R-&gt;L</v>
      </c>
      <c r="U1145" s="652" t="str">
        <f>VLOOKUP(A1145,'[1]Raw data'!$B:$Z,9,FALSE)</f>
        <v>No</v>
      </c>
      <c r="V1145" s="572" t="str">
        <f t="shared" si="244"/>
        <v>OK</v>
      </c>
      <c r="W1145" s="568" t="str">
        <f>VLOOKUP(A1145,'[1]Raw data'!$B:$AG,32,FALSE)</f>
        <v>CIF HK</v>
      </c>
      <c r="X1145" s="652">
        <f>VLOOKUP(A1145,'[1]Raw data'!$B:$BA,31,FALSE)</f>
        <v>44614</v>
      </c>
      <c r="Y1145" s="652" t="str">
        <f>VLOOKUP(A1145,'[1]Raw data'!$B:$AS,39,FALSE)</f>
        <v>Yes</v>
      </c>
      <c r="Z1145" s="664"/>
      <c r="AA1145" s="665"/>
      <c r="AB1145" s="666"/>
      <c r="AC1145" s="652" t="s">
        <v>2174</v>
      </c>
      <c r="AD1145" s="580">
        <v>301</v>
      </c>
      <c r="AE1145" s="580">
        <v>10</v>
      </c>
      <c r="AF1145" s="580">
        <v>302</v>
      </c>
      <c r="AG1145" s="580">
        <v>10</v>
      </c>
      <c r="AH1145" s="580"/>
      <c r="AI1145" s="684"/>
      <c r="AJ1145" s="569"/>
      <c r="AK1145" s="569"/>
      <c r="AL1145" s="569"/>
      <c r="AM1145" s="569"/>
      <c r="AN1145" s="619"/>
      <c r="AO1145" s="829" t="str">
        <f t="shared" si="227"/>
        <v>Yes</v>
      </c>
      <c r="AP1145" s="259" t="str">
        <f t="shared" si="228"/>
        <v>MAY 22</v>
      </c>
      <c r="AQ1145" s="547" t="str">
        <f t="shared" si="229"/>
        <v>有定金+有預留客戶</v>
      </c>
      <c r="AR1145" s="259" t="str">
        <f t="shared" si="230"/>
        <v>Shipped_Stock</v>
      </c>
      <c r="AS1145" s="259" t="str">
        <f t="shared" si="231"/>
        <v/>
      </c>
      <c r="AT1145" s="259" t="str">
        <f t="shared" si="232"/>
        <v>朗特</v>
      </c>
      <c r="AU1145" s="259" t="str">
        <f t="shared" si="233"/>
        <v>C49SZX20220013DZ</v>
      </c>
      <c r="AV1145" s="259" t="str">
        <f t="shared" si="234"/>
        <v>Apr-29</v>
      </c>
    </row>
    <row r="1146" spans="1:48" hidden="1">
      <c r="A1146" s="604">
        <v>1301</v>
      </c>
      <c r="B1146" s="669" t="s">
        <v>1125</v>
      </c>
      <c r="C1146" s="669" t="s">
        <v>281</v>
      </c>
      <c r="D1146" s="766">
        <v>110838</v>
      </c>
      <c r="E1146" s="651" t="s">
        <v>2201</v>
      </c>
      <c r="F1146" s="652" t="s">
        <v>58</v>
      </c>
      <c r="G1146" s="652" t="s">
        <v>24</v>
      </c>
      <c r="H1146" s="652" t="s">
        <v>26</v>
      </c>
      <c r="I1146" s="580" t="s">
        <v>2202</v>
      </c>
      <c r="J1146" s="580">
        <v>1</v>
      </c>
      <c r="K1146" s="652" t="s">
        <v>85</v>
      </c>
      <c r="L1146" s="662">
        <v>44680</v>
      </c>
      <c r="M1146" s="670" t="s">
        <v>906</v>
      </c>
      <c r="N1146" s="652" t="s">
        <v>1903</v>
      </c>
      <c r="O1146" s="580">
        <v>2022.4</v>
      </c>
      <c r="P1146" s="670" t="str">
        <f>VLOOKUP(A1146,'[1]Raw data'!$B:$BA,23,FALSE)</f>
        <v>JPY</v>
      </c>
      <c r="Q1146" s="652" t="str">
        <f>VLOOKUP(A1146,'[1]Raw data'!$B:$Z,2,FALSE)</f>
        <v>C49SZX20210106JY</v>
      </c>
      <c r="R1146" s="652" t="str">
        <f>VLOOKUP(A1146,'[1]Raw data'!$B:$Z,3,FALSE)</f>
        <v>辉拓</v>
      </c>
      <c r="S1146" s="652" t="str">
        <f>VLOOKUP(A1146,'[1]Raw data'!$B:$Z,4,FALSE)</f>
        <v>YSM20R-2</v>
      </c>
      <c r="T1146" s="652" t="str">
        <f>VLOOKUP(A1146,'[1]Raw data'!$B:$Z,8,FALSE)</f>
        <v>L-&gt;R</v>
      </c>
      <c r="U1146" s="652" t="str">
        <f>VLOOKUP(A1146,'[1]Raw data'!$B:$Z,9,FALSE)</f>
        <v>MVC</v>
      </c>
      <c r="V1146" s="572" t="str">
        <f t="shared" si="244"/>
        <v>WRONG</v>
      </c>
      <c r="W1146" s="568" t="str">
        <f>VLOOKUP(A1146,'[1]Raw data'!$B:$AG,32,FALSE)</f>
        <v>DAP SZ</v>
      </c>
      <c r="X1146" s="652">
        <f>VLOOKUP(A1146,'[1]Raw data'!$B:$BA,31,FALSE)</f>
        <v>44293</v>
      </c>
      <c r="Y1146" s="652" t="str">
        <f>VLOOKUP(A1146,'[1]Raw data'!$B:$AS,39,FALSE)</f>
        <v>Yes</v>
      </c>
      <c r="Z1146" s="664"/>
      <c r="AA1146" s="665"/>
      <c r="AB1146" s="666"/>
      <c r="AC1146" s="652" t="s">
        <v>2203</v>
      </c>
      <c r="AD1146" s="580">
        <v>301</v>
      </c>
      <c r="AE1146" s="580">
        <v>10</v>
      </c>
      <c r="AF1146" s="580">
        <v>302</v>
      </c>
      <c r="AG1146" s="580">
        <v>10</v>
      </c>
      <c r="AH1146" s="580"/>
      <c r="AI1146" s="684"/>
      <c r="AJ1146" s="569"/>
      <c r="AK1146" s="569"/>
      <c r="AL1146" s="569"/>
      <c r="AM1146" s="569"/>
      <c r="AN1146" s="619"/>
      <c r="AO1146" s="829" t="str">
        <f t="shared" si="227"/>
        <v>Yes</v>
      </c>
      <c r="AP1146" s="259" t="str">
        <f t="shared" si="228"/>
        <v>MAY 22</v>
      </c>
      <c r="AQ1146" s="547" t="str">
        <f t="shared" si="229"/>
        <v>有定金+有預留客戶</v>
      </c>
      <c r="AR1146" s="259" t="str">
        <f t="shared" si="230"/>
        <v>Shipped_Stock</v>
      </c>
      <c r="AS1146" s="259" t="str">
        <f t="shared" si="231"/>
        <v/>
      </c>
      <c r="AT1146" s="259" t="str">
        <f t="shared" si="232"/>
        <v>辉拓</v>
      </c>
      <c r="AU1146" s="259" t="str">
        <f t="shared" si="233"/>
        <v>C49SZX20210106JY</v>
      </c>
      <c r="AV1146" s="259" t="str">
        <f t="shared" si="234"/>
        <v>Apr-29</v>
      </c>
    </row>
    <row r="1147" spans="1:48" hidden="1">
      <c r="A1147" s="604">
        <v>1302</v>
      </c>
      <c r="B1147" s="669" t="s">
        <v>1125</v>
      </c>
      <c r="C1147" s="669" t="s">
        <v>281</v>
      </c>
      <c r="D1147" s="760">
        <v>110838</v>
      </c>
      <c r="E1147" s="651" t="s">
        <v>2201</v>
      </c>
      <c r="F1147" s="652" t="s">
        <v>58</v>
      </c>
      <c r="G1147" s="652" t="s">
        <v>24</v>
      </c>
      <c r="H1147" s="652" t="s">
        <v>26</v>
      </c>
      <c r="I1147" s="580" t="s">
        <v>2204</v>
      </c>
      <c r="J1147" s="580">
        <v>1</v>
      </c>
      <c r="K1147" s="652" t="s">
        <v>85</v>
      </c>
      <c r="L1147" s="662">
        <v>44680</v>
      </c>
      <c r="M1147" s="670" t="s">
        <v>906</v>
      </c>
      <c r="N1147" s="652" t="s">
        <v>1903</v>
      </c>
      <c r="O1147" s="580">
        <v>2022.4</v>
      </c>
      <c r="P1147" s="670" t="str">
        <f>VLOOKUP(A1147,'[1]Raw data'!$B:$BA,23,FALSE)</f>
        <v>JPY</v>
      </c>
      <c r="Q1147" s="652" t="str">
        <f>VLOOKUP(A1147,'[1]Raw data'!$B:$Z,2,FALSE)</f>
        <v>C49SZX20210106JY</v>
      </c>
      <c r="R1147" s="652" t="str">
        <f>VLOOKUP(A1147,'[1]Raw data'!$B:$Z,3,FALSE)</f>
        <v>辉拓</v>
      </c>
      <c r="S1147" s="652" t="str">
        <f>VLOOKUP(A1147,'[1]Raw data'!$B:$Z,4,FALSE)</f>
        <v>YSM20R-2</v>
      </c>
      <c r="T1147" s="652" t="str">
        <f>VLOOKUP(A1147,'[1]Raw data'!$B:$Z,8,FALSE)</f>
        <v>L-&gt;R</v>
      </c>
      <c r="U1147" s="652" t="str">
        <f>VLOOKUP(A1147,'[1]Raw data'!$B:$Z,9,FALSE)</f>
        <v>MVC</v>
      </c>
      <c r="V1147" s="572" t="str">
        <f t="shared" si="244"/>
        <v>WRONG</v>
      </c>
      <c r="W1147" s="568" t="str">
        <f>VLOOKUP(A1147,'[1]Raw data'!$B:$AG,32,FALSE)</f>
        <v>DAP SZ</v>
      </c>
      <c r="X1147" s="652">
        <f>VLOOKUP(A1147,'[1]Raw data'!$B:$BA,31,FALSE)</f>
        <v>44293</v>
      </c>
      <c r="Y1147" s="652" t="str">
        <f>VLOOKUP(A1147,'[1]Raw data'!$B:$AS,39,FALSE)</f>
        <v>Yes</v>
      </c>
      <c r="Z1147" s="664"/>
      <c r="AA1147" s="665"/>
      <c r="AB1147" s="666"/>
      <c r="AC1147" s="652" t="s">
        <v>2203</v>
      </c>
      <c r="AD1147" s="580">
        <v>301</v>
      </c>
      <c r="AE1147" s="580">
        <v>10</v>
      </c>
      <c r="AF1147" s="580">
        <v>302</v>
      </c>
      <c r="AG1147" s="580">
        <v>10</v>
      </c>
      <c r="AH1147" s="580"/>
      <c r="AI1147" s="684"/>
      <c r="AJ1147" s="569"/>
      <c r="AK1147" s="569"/>
      <c r="AL1147" s="569"/>
      <c r="AM1147" s="569"/>
      <c r="AN1147" s="619"/>
      <c r="AO1147" s="829" t="str">
        <f t="shared" si="227"/>
        <v>Yes</v>
      </c>
      <c r="AP1147" s="259" t="str">
        <f t="shared" si="228"/>
        <v>MAY 22</v>
      </c>
      <c r="AQ1147" s="547" t="str">
        <f t="shared" si="229"/>
        <v>有定金+有預留客戶</v>
      </c>
      <c r="AR1147" s="259" t="str">
        <f t="shared" si="230"/>
        <v>Shipped_Stock</v>
      </c>
      <c r="AS1147" s="259" t="str">
        <f t="shared" si="231"/>
        <v/>
      </c>
      <c r="AT1147" s="259" t="str">
        <f t="shared" si="232"/>
        <v>辉拓</v>
      </c>
      <c r="AU1147" s="259" t="str">
        <f t="shared" si="233"/>
        <v>C49SZX20210106JY</v>
      </c>
      <c r="AV1147" s="259" t="str">
        <f t="shared" si="234"/>
        <v>Apr-29</v>
      </c>
    </row>
    <row r="1148" spans="1:48" hidden="1">
      <c r="A1148" s="564">
        <v>1561</v>
      </c>
      <c r="B1148" s="669" t="s">
        <v>1125</v>
      </c>
      <c r="C1148" s="669" t="s">
        <v>281</v>
      </c>
      <c r="D1148" s="760">
        <v>110834</v>
      </c>
      <c r="E1148" s="761" t="s">
        <v>2205</v>
      </c>
      <c r="F1148" s="652" t="s">
        <v>58</v>
      </c>
      <c r="G1148" s="652" t="s">
        <v>18</v>
      </c>
      <c r="H1148" s="652" t="s">
        <v>26</v>
      </c>
      <c r="I1148" s="580" t="s">
        <v>2206</v>
      </c>
      <c r="J1148" s="580">
        <v>1</v>
      </c>
      <c r="K1148" s="652" t="s">
        <v>78</v>
      </c>
      <c r="L1148" s="662">
        <v>44680</v>
      </c>
      <c r="M1148" s="670" t="s">
        <v>906</v>
      </c>
      <c r="N1148" s="652" t="s">
        <v>1903</v>
      </c>
      <c r="O1148" s="580">
        <v>2022.4</v>
      </c>
      <c r="P1148" s="670" t="str">
        <f>VLOOKUP(A1148,'[1]Raw data'!$B:$BA,23,FALSE)</f>
        <v>JPY</v>
      </c>
      <c r="Q1148" s="652" t="str">
        <f>VLOOKUP(A1148,'[1]Raw data'!$B:$Z,2,FALSE)</f>
        <v>C49SZX20220003EC</v>
      </c>
      <c r="R1148" s="652" t="str">
        <f>VLOOKUP(A1148,'[1]Raw data'!$B:$Z,3,FALSE)</f>
        <v>海红天远</v>
      </c>
      <c r="S1148" s="652" t="str">
        <f>VLOOKUP(A1148,'[1]Raw data'!$B:$Z,4,FALSE)</f>
        <v>YSM20R-2</v>
      </c>
      <c r="T1148" s="652" t="str">
        <f>VLOOKUP(A1148,'[1]Raw data'!$B:$Z,8,FALSE)</f>
        <v>R-&gt;L</v>
      </c>
      <c r="U1148" s="652" t="str">
        <f>VLOOKUP(A1148,'[1]Raw data'!$B:$Z,9,FALSE)</f>
        <v>No</v>
      </c>
      <c r="V1148" s="572" t="str">
        <f t="shared" si="244"/>
        <v>OK</v>
      </c>
      <c r="W1148" s="568" t="str">
        <f>VLOOKUP(A1148,'[1]Raw data'!$B:$AG,32,FALSE)</f>
        <v>CIF HK</v>
      </c>
      <c r="X1148" s="652">
        <f>VLOOKUP(A1148,'[1]Raw data'!$B:$BA,31,FALSE)</f>
        <v>44585</v>
      </c>
      <c r="Y1148" s="652" t="str">
        <f>VLOOKUP(A1148,'[1]Raw data'!$B:$AS,39,FALSE)</f>
        <v>Yes</v>
      </c>
      <c r="Z1148" s="664"/>
      <c r="AA1148" s="665"/>
      <c r="AB1148" s="666"/>
      <c r="AC1148" s="652" t="s">
        <v>2207</v>
      </c>
      <c r="AD1148" s="667">
        <v>303</v>
      </c>
      <c r="AE1148" s="667">
        <v>10</v>
      </c>
      <c r="AF1148" s="667">
        <v>304</v>
      </c>
      <c r="AG1148" s="667">
        <v>10</v>
      </c>
      <c r="AH1148" s="667"/>
      <c r="AI1148" s="668"/>
      <c r="AN1148" s="547"/>
      <c r="AO1148" s="829" t="str">
        <f t="shared" si="227"/>
        <v>Yes</v>
      </c>
      <c r="AP1148" s="259" t="str">
        <f t="shared" si="228"/>
        <v>MAY 22</v>
      </c>
      <c r="AQ1148" s="547" t="str">
        <f t="shared" si="229"/>
        <v>有定金+有預留客戶</v>
      </c>
      <c r="AR1148" s="259" t="str">
        <f t="shared" si="230"/>
        <v>Shipped_Stock</v>
      </c>
      <c r="AS1148" s="259" t="str">
        <f t="shared" si="231"/>
        <v/>
      </c>
      <c r="AT1148" s="259" t="str">
        <f t="shared" si="232"/>
        <v>海红天远</v>
      </c>
      <c r="AU1148" s="259" t="str">
        <f t="shared" si="233"/>
        <v>C49SZX20220003EC</v>
      </c>
      <c r="AV1148" s="259" t="str">
        <f t="shared" si="234"/>
        <v>Apr-29</v>
      </c>
    </row>
    <row r="1149" spans="1:48" hidden="1">
      <c r="A1149" s="564">
        <v>1588</v>
      </c>
      <c r="B1149" s="669" t="s">
        <v>1125</v>
      </c>
      <c r="C1149" s="669" t="s">
        <v>281</v>
      </c>
      <c r="D1149" s="760">
        <v>110836</v>
      </c>
      <c r="E1149" s="651" t="s">
        <v>2208</v>
      </c>
      <c r="F1149" s="652" t="s">
        <v>58</v>
      </c>
      <c r="G1149" s="652" t="s">
        <v>18</v>
      </c>
      <c r="H1149" s="652" t="s">
        <v>26</v>
      </c>
      <c r="I1149" s="580" t="s">
        <v>2209</v>
      </c>
      <c r="J1149" s="580">
        <v>1</v>
      </c>
      <c r="K1149" s="652" t="s">
        <v>78</v>
      </c>
      <c r="L1149" s="662">
        <v>44680</v>
      </c>
      <c r="M1149" s="670" t="s">
        <v>906</v>
      </c>
      <c r="N1149" s="652" t="s">
        <v>1903</v>
      </c>
      <c r="O1149" s="580">
        <v>2022.4</v>
      </c>
      <c r="P1149" s="670" t="str">
        <f>VLOOKUP(A1149,'[1]Raw data'!$B:$BA,23,FALSE)</f>
        <v>JPY</v>
      </c>
      <c r="Q1149" s="652" t="str">
        <f>VLOOKUP(A1149,'[1]Raw data'!$B:$Z,2,FALSE)</f>
        <v>C49SZX20220013DZ</v>
      </c>
      <c r="R1149" s="652" t="str">
        <f>VLOOKUP(A1149,'[1]Raw data'!$B:$Z,3,FALSE)</f>
        <v>朗特</v>
      </c>
      <c r="S1149" s="652" t="str">
        <f>VLOOKUP(A1149,'[1]Raw data'!$B:$Z,4,FALSE)</f>
        <v>YSM20R-2</v>
      </c>
      <c r="T1149" s="652" t="str">
        <f>VLOOKUP(A1149,'[1]Raw data'!$B:$Z,8,FALSE)</f>
        <v>R-&gt;L</v>
      </c>
      <c r="U1149" s="652" t="str">
        <f>VLOOKUP(A1149,'[1]Raw data'!$B:$Z,9,FALSE)</f>
        <v>No</v>
      </c>
      <c r="V1149" s="572" t="str">
        <f t="shared" si="244"/>
        <v>OK</v>
      </c>
      <c r="W1149" s="568" t="str">
        <f>VLOOKUP(A1149,'[1]Raw data'!$B:$AG,32,FALSE)</f>
        <v>CIF HK</v>
      </c>
      <c r="X1149" s="652">
        <f>VLOOKUP(A1149,'[1]Raw data'!$B:$BA,31,FALSE)</f>
        <v>44614</v>
      </c>
      <c r="Y1149" s="652" t="str">
        <f>VLOOKUP(A1149,'[1]Raw data'!$B:$AS,39,FALSE)</f>
        <v>Yes</v>
      </c>
      <c r="Z1149" s="664"/>
      <c r="AA1149" s="665"/>
      <c r="AB1149" s="666"/>
      <c r="AC1149" s="652" t="s">
        <v>1005</v>
      </c>
      <c r="AD1149" s="667">
        <v>301</v>
      </c>
      <c r="AE1149" s="667">
        <v>10</v>
      </c>
      <c r="AF1149" s="667">
        <v>302</v>
      </c>
      <c r="AG1149" s="667">
        <v>10</v>
      </c>
      <c r="AH1149" s="667"/>
      <c r="AI1149" s="668"/>
      <c r="AN1149" s="547"/>
      <c r="AO1149" s="829" t="str">
        <f t="shared" si="227"/>
        <v>Yes</v>
      </c>
      <c r="AP1149" s="259" t="str">
        <f t="shared" si="228"/>
        <v>MAY 22</v>
      </c>
      <c r="AQ1149" s="547" t="str">
        <f t="shared" si="229"/>
        <v>有定金+有預留客戶</v>
      </c>
      <c r="AR1149" s="259" t="str">
        <f t="shared" si="230"/>
        <v>Shipped_Stock</v>
      </c>
      <c r="AS1149" s="259" t="str">
        <f t="shared" si="231"/>
        <v/>
      </c>
      <c r="AT1149" s="259" t="str">
        <f t="shared" si="232"/>
        <v>朗特</v>
      </c>
      <c r="AU1149" s="259" t="str">
        <f t="shared" si="233"/>
        <v>C49SZX20220013DZ</v>
      </c>
      <c r="AV1149" s="259" t="str">
        <f t="shared" si="234"/>
        <v>Apr-29</v>
      </c>
    </row>
    <row r="1150" spans="1:48" hidden="1">
      <c r="A1150" s="604">
        <v>1637</v>
      </c>
      <c r="B1150" s="669" t="s">
        <v>1125</v>
      </c>
      <c r="C1150" s="669" t="s">
        <v>15</v>
      </c>
      <c r="D1150" s="628" t="s">
        <v>2210</v>
      </c>
      <c r="E1150" s="651" t="s">
        <v>2135</v>
      </c>
      <c r="F1150" s="652" t="s">
        <v>17</v>
      </c>
      <c r="G1150" s="652" t="s">
        <v>18</v>
      </c>
      <c r="H1150" s="652" t="s">
        <v>27</v>
      </c>
      <c r="I1150" s="580" t="s">
        <v>2211</v>
      </c>
      <c r="J1150" s="580">
        <v>1</v>
      </c>
      <c r="K1150" s="652" t="s">
        <v>1419</v>
      </c>
      <c r="L1150" s="662">
        <v>44688</v>
      </c>
      <c r="M1150" s="670" t="s">
        <v>2212</v>
      </c>
      <c r="N1150" s="652" t="s">
        <v>1982</v>
      </c>
      <c r="O1150" s="580">
        <v>2022.4</v>
      </c>
      <c r="P1150" s="670" t="str">
        <f>VLOOKUP(A1150,'[1]Raw data'!$B:$BA,23,FALSE)</f>
        <v>JPY</v>
      </c>
      <c r="Q1150" s="652" t="str">
        <f>VLOOKUP(A1150,'[1]Raw data'!$B:$Z,2,FALSE)</f>
        <v>C49SZX20220045SX</v>
      </c>
      <c r="R1150" s="652" t="str">
        <f>VLOOKUP(A1150,'[1]Raw data'!$B:$Z,3,FALSE)</f>
        <v>恒磊</v>
      </c>
      <c r="S1150" s="652" t="str">
        <f>VLOOKUP(A1150,'[1]Raw data'!$B:$Z,4,FALSE)</f>
        <v>YSM10</v>
      </c>
      <c r="T1150" s="652" t="str">
        <f>VLOOKUP(A1150,'[1]Raw data'!$B:$Z,8,FALSE)</f>
        <v>L-&gt;R</v>
      </c>
      <c r="U1150" s="652" t="str">
        <f>VLOOKUP(A1150,'[1]Raw data'!$B:$Z,9,FALSE)</f>
        <v>MVC</v>
      </c>
      <c r="V1150" s="572" t="str">
        <f t="shared" ref="V1150:V1159" si="245">IF(G1150&amp;H1150=T1150&amp;U1150,"OK","WRONG")</f>
        <v>WRONG</v>
      </c>
      <c r="W1150" s="568" t="str">
        <f>VLOOKUP(A1150,'[1]Raw data'!$B:$AG,32,FALSE)</f>
        <v>DAP SZ</v>
      </c>
      <c r="X1150" s="652">
        <f>VLOOKUP(A1150,'[1]Raw data'!$B:$BA,31,FALSE)</f>
        <v>44664</v>
      </c>
      <c r="Y1150" s="652" t="str">
        <f>VLOOKUP(A1150,'[1]Raw data'!$B:$AS,39,FALSE)</f>
        <v>Yes</v>
      </c>
      <c r="Z1150" s="664"/>
      <c r="AA1150" s="665"/>
      <c r="AB1150" s="666"/>
      <c r="AC1150" s="652" t="s">
        <v>2129</v>
      </c>
      <c r="AD1150" s="667">
        <v>302</v>
      </c>
      <c r="AE1150" s="667">
        <v>10</v>
      </c>
      <c r="AF1150" s="667"/>
      <c r="AG1150" s="667"/>
      <c r="AH1150" s="667"/>
      <c r="AI1150" s="668"/>
      <c r="AN1150" s="547"/>
      <c r="AO1150" s="829" t="str">
        <f t="shared" si="227"/>
        <v>Yes</v>
      </c>
      <c r="AP1150" s="259" t="str">
        <f t="shared" si="228"/>
        <v>JUN 22</v>
      </c>
      <c r="AQ1150" s="547" t="str">
        <f t="shared" si="229"/>
        <v>有定金+有預留客戶</v>
      </c>
      <c r="AR1150" s="259" t="str">
        <f t="shared" si="230"/>
        <v>Shipped_Stock</v>
      </c>
      <c r="AS1150" s="259" t="str">
        <f t="shared" si="231"/>
        <v/>
      </c>
      <c r="AT1150" s="259" t="str">
        <f t="shared" si="232"/>
        <v>恒磊</v>
      </c>
      <c r="AU1150" s="259" t="str">
        <f t="shared" si="233"/>
        <v>C49SZX20220045SX</v>
      </c>
      <c r="AV1150" s="259" t="str">
        <f t="shared" si="234"/>
        <v>May-07</v>
      </c>
    </row>
    <row r="1151" spans="1:48" hidden="1">
      <c r="A1151" s="604">
        <v>1638</v>
      </c>
      <c r="B1151" s="669" t="s">
        <v>1125</v>
      </c>
      <c r="C1151" s="669" t="s">
        <v>15</v>
      </c>
      <c r="D1151" s="630" t="s">
        <v>2210</v>
      </c>
      <c r="E1151" s="651" t="s">
        <v>2135</v>
      </c>
      <c r="F1151" s="652" t="s">
        <v>17</v>
      </c>
      <c r="G1151" s="652" t="s">
        <v>18</v>
      </c>
      <c r="H1151" s="652" t="s">
        <v>27</v>
      </c>
      <c r="I1151" s="580" t="s">
        <v>2213</v>
      </c>
      <c r="J1151" s="580">
        <v>1</v>
      </c>
      <c r="K1151" s="652" t="s">
        <v>1419</v>
      </c>
      <c r="L1151" s="662">
        <v>44688</v>
      </c>
      <c r="M1151" s="670" t="s">
        <v>2212</v>
      </c>
      <c r="N1151" s="652" t="s">
        <v>1982</v>
      </c>
      <c r="O1151" s="580">
        <v>2022.4</v>
      </c>
      <c r="P1151" s="670" t="str">
        <f>VLOOKUP(A1151,'[1]Raw data'!$B:$BA,23,FALSE)</f>
        <v>JPY</v>
      </c>
      <c r="Q1151" s="652" t="str">
        <f>VLOOKUP(A1151,'[1]Raw data'!$B:$Z,2,FALSE)</f>
        <v>C49SZX20220045SX</v>
      </c>
      <c r="R1151" s="652" t="str">
        <f>VLOOKUP(A1151,'[1]Raw data'!$B:$Z,3,FALSE)</f>
        <v>恒磊</v>
      </c>
      <c r="S1151" s="652" t="str">
        <f>VLOOKUP(A1151,'[1]Raw data'!$B:$Z,4,FALSE)</f>
        <v>YSM10</v>
      </c>
      <c r="T1151" s="652" t="str">
        <f>VLOOKUP(A1151,'[1]Raw data'!$B:$Z,8,FALSE)</f>
        <v>L-&gt;R</v>
      </c>
      <c r="U1151" s="652" t="str">
        <f>VLOOKUP(A1151,'[1]Raw data'!$B:$Z,9,FALSE)</f>
        <v>MVC</v>
      </c>
      <c r="V1151" s="572" t="str">
        <f t="shared" si="245"/>
        <v>WRONG</v>
      </c>
      <c r="W1151" s="568" t="str">
        <f>VLOOKUP(A1151,'[1]Raw data'!$B:$AG,32,FALSE)</f>
        <v>DDP SZ</v>
      </c>
      <c r="X1151" s="652">
        <f>VLOOKUP(A1151,'[1]Raw data'!$B:$BA,31,FALSE)</f>
        <v>44664</v>
      </c>
      <c r="Y1151" s="652" t="str">
        <f>VLOOKUP(A1151,'[1]Raw data'!$B:$AS,39,FALSE)</f>
        <v>Yes</v>
      </c>
      <c r="Z1151" s="664"/>
      <c r="AA1151" s="665"/>
      <c r="AB1151" s="666"/>
      <c r="AC1151" s="652" t="s">
        <v>2129</v>
      </c>
      <c r="AD1151" s="667">
        <v>302</v>
      </c>
      <c r="AE1151" s="667">
        <v>10</v>
      </c>
      <c r="AF1151" s="667"/>
      <c r="AG1151" s="667"/>
      <c r="AH1151" s="667"/>
      <c r="AI1151" s="668"/>
      <c r="AN1151" s="547"/>
      <c r="AO1151" s="829" t="str">
        <f t="shared" si="227"/>
        <v>Yes</v>
      </c>
      <c r="AP1151" s="259" t="str">
        <f t="shared" si="228"/>
        <v>JUN 22</v>
      </c>
      <c r="AQ1151" s="547" t="str">
        <f t="shared" si="229"/>
        <v>有定金+有預留客戶</v>
      </c>
      <c r="AR1151" s="259" t="str">
        <f t="shared" si="230"/>
        <v>Shipped_Stock</v>
      </c>
      <c r="AS1151" s="259" t="str">
        <f t="shared" si="231"/>
        <v/>
      </c>
      <c r="AT1151" s="259" t="str">
        <f t="shared" si="232"/>
        <v>恒磊</v>
      </c>
      <c r="AU1151" s="259" t="str">
        <f t="shared" si="233"/>
        <v>C49SZX20220045SX</v>
      </c>
      <c r="AV1151" s="259" t="str">
        <f t="shared" si="234"/>
        <v>May-07</v>
      </c>
    </row>
    <row r="1152" spans="1:48" hidden="1">
      <c r="A1152" s="564">
        <v>1667</v>
      </c>
      <c r="B1152" s="669" t="s">
        <v>1125</v>
      </c>
      <c r="C1152" s="669" t="s">
        <v>15</v>
      </c>
      <c r="D1152" s="760">
        <v>110810</v>
      </c>
      <c r="E1152" s="651" t="s">
        <v>2135</v>
      </c>
      <c r="F1152" s="652" t="s">
        <v>17</v>
      </c>
      <c r="G1152" s="652" t="s">
        <v>18</v>
      </c>
      <c r="H1152" s="652" t="s">
        <v>102</v>
      </c>
      <c r="I1152" s="580" t="s">
        <v>2214</v>
      </c>
      <c r="J1152" s="580">
        <v>1</v>
      </c>
      <c r="K1152" s="652" t="s">
        <v>1419</v>
      </c>
      <c r="L1152" s="662">
        <v>44688</v>
      </c>
      <c r="M1152" s="670" t="s">
        <v>2215</v>
      </c>
      <c r="N1152" s="652" t="s">
        <v>1982</v>
      </c>
      <c r="O1152" s="580">
        <v>2022.4</v>
      </c>
      <c r="P1152" s="670" t="str">
        <f>VLOOKUP(A1152,'[1]Raw data'!$B:$BA,23,FALSE)</f>
        <v>JPY</v>
      </c>
      <c r="Q1152" s="652" t="str">
        <f>VLOOKUP(A1152,'[1]Raw data'!$B:$Z,2,FALSE)</f>
        <v>C49SZX20220056EC</v>
      </c>
      <c r="R1152" s="652" t="str">
        <f>VLOOKUP(A1152,'[1]Raw data'!$B:$Z,3,FALSE)</f>
        <v>鑫天泰</v>
      </c>
      <c r="S1152" s="652" t="str">
        <f>VLOOKUP(A1152,'[1]Raw data'!$B:$Z,4,FALSE)</f>
        <v>YSM10</v>
      </c>
      <c r="T1152" s="652" t="str">
        <f>VLOOKUP(A1152,'[1]Raw data'!$B:$Z,8,FALSE)</f>
        <v>L-&gt;R</v>
      </c>
      <c r="U1152" s="652" t="str">
        <f>VLOOKUP(A1152,'[1]Raw data'!$B:$Z,9,FALSE)</f>
        <v>MVC</v>
      </c>
      <c r="V1152" s="572" t="str">
        <f>IF(G1152&amp;H1152=T1152&amp;U1152,"OK","WRONG")</f>
        <v>WRONG</v>
      </c>
      <c r="W1152" s="568" t="str">
        <f>VLOOKUP(A1152,'[1]Raw data'!$B:$AG,32,FALSE)</f>
        <v>DAP SZ</v>
      </c>
      <c r="X1152" s="652">
        <f>VLOOKUP(A1152,'[1]Raw data'!$B:$BA,31,FALSE)</f>
        <v>44694</v>
      </c>
      <c r="Y1152" s="652" t="str">
        <f>VLOOKUP(A1152,'[1]Raw data'!$B:$AS,39,FALSE)</f>
        <v>Yes</v>
      </c>
      <c r="Z1152" s="664"/>
      <c r="AA1152" s="665"/>
      <c r="AB1152" s="666"/>
      <c r="AC1152" s="652" t="s">
        <v>2216</v>
      </c>
      <c r="AD1152" s="667">
        <v>301</v>
      </c>
      <c r="AE1152" s="667">
        <v>10</v>
      </c>
      <c r="AF1152" s="667"/>
      <c r="AG1152" s="667"/>
      <c r="AH1152" s="667"/>
      <c r="AI1152" s="668"/>
      <c r="AN1152" s="547"/>
      <c r="AO1152" s="829" t="str">
        <f t="shared" si="227"/>
        <v>Yes</v>
      </c>
      <c r="AP1152" s="259" t="str">
        <f t="shared" si="228"/>
        <v>JUN 22</v>
      </c>
      <c r="AQ1152" s="547" t="str">
        <f t="shared" si="229"/>
        <v>有定金+有預留客戶</v>
      </c>
      <c r="AR1152" s="259" t="str">
        <f t="shared" si="230"/>
        <v>Shipped_Stock</v>
      </c>
      <c r="AS1152" s="259" t="str">
        <f t="shared" si="231"/>
        <v/>
      </c>
      <c r="AT1152" s="259" t="str">
        <f t="shared" si="232"/>
        <v>鑫天泰</v>
      </c>
      <c r="AU1152" s="259" t="str">
        <f t="shared" si="233"/>
        <v>C49SZX20220056EC</v>
      </c>
      <c r="AV1152" s="259" t="str">
        <f t="shared" si="234"/>
        <v>May-07</v>
      </c>
    </row>
    <row r="1153" spans="1:48" ht="22.5" hidden="1">
      <c r="A1153" s="604">
        <v>1683</v>
      </c>
      <c r="B1153" s="669" t="s">
        <v>1125</v>
      </c>
      <c r="C1153" s="669" t="s">
        <v>15</v>
      </c>
      <c r="D1153" s="760">
        <v>110810</v>
      </c>
      <c r="E1153" s="651" t="s">
        <v>2135</v>
      </c>
      <c r="F1153" s="652" t="s">
        <v>17</v>
      </c>
      <c r="G1153" s="652" t="s">
        <v>18</v>
      </c>
      <c r="H1153" s="652" t="s">
        <v>102</v>
      </c>
      <c r="I1153" s="580" t="s">
        <v>2217</v>
      </c>
      <c r="J1153" s="580">
        <v>1</v>
      </c>
      <c r="K1153" s="652" t="s">
        <v>1419</v>
      </c>
      <c r="L1153" s="662">
        <v>44688</v>
      </c>
      <c r="M1153" s="670" t="s">
        <v>2218</v>
      </c>
      <c r="N1153" s="652" t="s">
        <v>1982</v>
      </c>
      <c r="O1153" s="580">
        <v>2022.4</v>
      </c>
      <c r="P1153" s="670" t="str">
        <f>VLOOKUP(A1153,'[1]Raw data'!$B:$BA,23,FALSE)</f>
        <v>RMB</v>
      </c>
      <c r="Q1153" s="652" t="str">
        <f>VLOOKUP(A1153,'[1]Raw data'!$B:$Z,2,FALSE)</f>
        <v>C49SZX20220063JY</v>
      </c>
      <c r="R1153" s="652" t="str">
        <f>VLOOKUP(A1153,'[1]Raw data'!$B:$Z,3,FALSE)</f>
        <v>芯联鑫</v>
      </c>
      <c r="S1153" s="652" t="str">
        <f>VLOOKUP(A1153,'[1]Raw data'!$B:$Z,4,FALSE)</f>
        <v>YSM10</v>
      </c>
      <c r="T1153" s="652" t="str">
        <f>VLOOKUP(A1153,'[1]Raw data'!$B:$Z,8,FALSE)</f>
        <v>L-&gt;R</v>
      </c>
      <c r="U1153" s="652" t="str">
        <f>VLOOKUP(A1153,'[1]Raw data'!$B:$Z,9,FALSE)</f>
        <v>No</v>
      </c>
      <c r="V1153" s="572" t="str">
        <f>IF(G1153&amp;H1153=T1153&amp;U1153,"OK","WRONG")</f>
        <v>WRONG</v>
      </c>
      <c r="W1153" s="568" t="str">
        <f>VLOOKUP(A1153,'[1]Raw data'!$B:$AG,32,FALSE)</f>
        <v>DDP GZ</v>
      </c>
      <c r="X1153" s="652">
        <f>VLOOKUP(A1153,'[1]Raw data'!$B:$BA,31,FALSE)</f>
        <v>44723</v>
      </c>
      <c r="Y1153" s="652" t="str">
        <f>VLOOKUP(A1153,'[1]Raw data'!$B:$AS,39,FALSE)</f>
        <v>Yes</v>
      </c>
      <c r="Z1153" s="664"/>
      <c r="AA1153" s="665"/>
      <c r="AB1153" s="666"/>
      <c r="AC1153" s="652" t="s">
        <v>1088</v>
      </c>
      <c r="AD1153" s="580">
        <v>301</v>
      </c>
      <c r="AE1153" s="580">
        <v>10</v>
      </c>
      <c r="AF1153" s="580"/>
      <c r="AG1153" s="580"/>
      <c r="AH1153" s="580"/>
      <c r="AI1153" s="684"/>
      <c r="AJ1153" s="569"/>
      <c r="AK1153" s="569"/>
      <c r="AL1153" s="569"/>
      <c r="AM1153" s="569"/>
      <c r="AN1153" s="619"/>
      <c r="AO1153" s="829" t="str">
        <f t="shared" si="227"/>
        <v>Yes</v>
      </c>
      <c r="AP1153" s="259" t="str">
        <f t="shared" si="228"/>
        <v>JUN 22</v>
      </c>
      <c r="AQ1153" s="547" t="str">
        <f t="shared" si="229"/>
        <v>有定金+有預留客戶</v>
      </c>
      <c r="AR1153" s="259" t="str">
        <f t="shared" si="230"/>
        <v>Shipped_Stock</v>
      </c>
      <c r="AS1153" s="259" t="str">
        <f t="shared" si="231"/>
        <v/>
      </c>
      <c r="AT1153" s="259" t="str">
        <f t="shared" si="232"/>
        <v>芯联鑫</v>
      </c>
      <c r="AU1153" s="259" t="str">
        <f t="shared" si="233"/>
        <v>C49SZX20220063JY</v>
      </c>
      <c r="AV1153" s="259" t="str">
        <f t="shared" si="234"/>
        <v>May-07</v>
      </c>
    </row>
    <row r="1154" spans="1:48" hidden="1">
      <c r="A1154" s="604">
        <v>1684</v>
      </c>
      <c r="B1154" s="669" t="s">
        <v>1125</v>
      </c>
      <c r="C1154" s="669" t="s">
        <v>15</v>
      </c>
      <c r="D1154" s="760">
        <v>110810</v>
      </c>
      <c r="E1154" s="651" t="s">
        <v>2135</v>
      </c>
      <c r="F1154" s="652" t="s">
        <v>17</v>
      </c>
      <c r="G1154" s="652" t="s">
        <v>18</v>
      </c>
      <c r="H1154" s="652" t="s">
        <v>102</v>
      </c>
      <c r="I1154" s="580" t="s">
        <v>2219</v>
      </c>
      <c r="J1154" s="580">
        <v>1</v>
      </c>
      <c r="K1154" s="652" t="s">
        <v>1419</v>
      </c>
      <c r="L1154" s="662">
        <v>44688</v>
      </c>
      <c r="M1154" s="670" t="s">
        <v>2220</v>
      </c>
      <c r="N1154" s="652" t="s">
        <v>1982</v>
      </c>
      <c r="O1154" s="580">
        <v>2022.4</v>
      </c>
      <c r="P1154" s="670" t="str">
        <f>VLOOKUP(A1154,'[1]Raw data'!$B:$BA,23,FALSE)</f>
        <v>RMB</v>
      </c>
      <c r="Q1154" s="652" t="str">
        <f>VLOOKUP(A1154,'[1]Raw data'!$B:$Z,2,FALSE)</f>
        <v>C49SZX20220063JY</v>
      </c>
      <c r="R1154" s="652" t="str">
        <f>VLOOKUP(A1154,'[1]Raw data'!$B:$Z,3,FALSE)</f>
        <v>芯联鑫</v>
      </c>
      <c r="S1154" s="652" t="str">
        <f>VLOOKUP(A1154,'[1]Raw data'!$B:$Z,4,FALSE)</f>
        <v>YSM10</v>
      </c>
      <c r="T1154" s="652" t="str">
        <f>VLOOKUP(A1154,'[1]Raw data'!$B:$Z,8,FALSE)</f>
        <v>L-&gt;R</v>
      </c>
      <c r="U1154" s="652" t="str">
        <f>VLOOKUP(A1154,'[1]Raw data'!$B:$Z,9,FALSE)</f>
        <v>No</v>
      </c>
      <c r="V1154" s="572" t="str">
        <f>IF(G1154&amp;H1154=T1154&amp;U1154,"OK","WRONG")</f>
        <v>WRONG</v>
      </c>
      <c r="W1154" s="568" t="str">
        <f>VLOOKUP(A1154,'[1]Raw data'!$B:$AG,32,FALSE)</f>
        <v>DDP GZ</v>
      </c>
      <c r="X1154" s="652">
        <f>VLOOKUP(A1154,'[1]Raw data'!$B:$BA,31,FALSE)</f>
        <v>44723</v>
      </c>
      <c r="Y1154" s="652" t="str">
        <f>VLOOKUP(A1154,'[1]Raw data'!$B:$AS,39,FALSE)</f>
        <v>Yes</v>
      </c>
      <c r="Z1154" s="664"/>
      <c r="AA1154" s="665"/>
      <c r="AB1154" s="666"/>
      <c r="AC1154" s="652" t="s">
        <v>1088</v>
      </c>
      <c r="AD1154" s="580">
        <v>301</v>
      </c>
      <c r="AE1154" s="580">
        <v>10</v>
      </c>
      <c r="AF1154" s="580"/>
      <c r="AG1154" s="580"/>
      <c r="AH1154" s="580"/>
      <c r="AI1154" s="684"/>
      <c r="AJ1154" s="569"/>
      <c r="AK1154" s="569"/>
      <c r="AL1154" s="569"/>
      <c r="AM1154" s="569"/>
      <c r="AN1154" s="619"/>
      <c r="AO1154" s="829" t="str">
        <f t="shared" si="227"/>
        <v>Yes</v>
      </c>
      <c r="AP1154" s="259" t="str">
        <f t="shared" si="228"/>
        <v>JUN 22</v>
      </c>
      <c r="AQ1154" s="547" t="str">
        <f t="shared" si="229"/>
        <v>有定金+有預留客戶</v>
      </c>
      <c r="AR1154" s="259" t="str">
        <f t="shared" si="230"/>
        <v>Shipped_Stock</v>
      </c>
      <c r="AS1154" s="259" t="str">
        <f t="shared" si="231"/>
        <v/>
      </c>
      <c r="AT1154" s="259" t="str">
        <f t="shared" si="232"/>
        <v>芯联鑫</v>
      </c>
      <c r="AU1154" s="259" t="str">
        <f t="shared" si="233"/>
        <v>C49SZX20220063JY</v>
      </c>
      <c r="AV1154" s="259" t="str">
        <f t="shared" si="234"/>
        <v>May-07</v>
      </c>
    </row>
    <row r="1155" spans="1:48" hidden="1">
      <c r="A1155" s="604">
        <v>1581</v>
      </c>
      <c r="B1155" s="669" t="s">
        <v>1125</v>
      </c>
      <c r="C1155" s="669" t="s">
        <v>15</v>
      </c>
      <c r="D1155" s="628" t="s">
        <v>2210</v>
      </c>
      <c r="E1155" s="651" t="s">
        <v>2135</v>
      </c>
      <c r="F1155" s="652" t="s">
        <v>17</v>
      </c>
      <c r="G1155" s="652" t="s">
        <v>18</v>
      </c>
      <c r="H1155" s="652" t="s">
        <v>27</v>
      </c>
      <c r="I1155" s="580" t="s">
        <v>2221</v>
      </c>
      <c r="J1155" s="580">
        <v>1</v>
      </c>
      <c r="K1155" s="568" t="s">
        <v>85</v>
      </c>
      <c r="L1155" s="662">
        <v>44688</v>
      </c>
      <c r="M1155" s="670" t="s">
        <v>906</v>
      </c>
      <c r="N1155" s="652" t="s">
        <v>1903</v>
      </c>
      <c r="O1155" s="580">
        <v>2022.4</v>
      </c>
      <c r="P1155" s="670" t="str">
        <f>VLOOKUP(A1155,'[1]Raw data'!$B:$BA,23,FALSE)</f>
        <v>JPY</v>
      </c>
      <c r="Q1155" s="652" t="str">
        <f>VLOOKUP(A1155,'[1]Raw data'!$B:$Z,2,FALSE)</f>
        <v>C49SZX20220018SX</v>
      </c>
      <c r="R1155" s="652" t="str">
        <f>VLOOKUP(A1155,'[1]Raw data'!$B:$Z,3,FALSE)</f>
        <v>岚新</v>
      </c>
      <c r="S1155" s="652" t="str">
        <f>VLOOKUP(A1155,'[1]Raw data'!$B:$Z,4,FALSE)</f>
        <v>YSM10</v>
      </c>
      <c r="T1155" s="652" t="str">
        <f>VLOOKUP(A1155,'[1]Raw data'!$B:$Z,8,FALSE)</f>
        <v>L-&gt;R</v>
      </c>
      <c r="U1155" s="652" t="str">
        <f>VLOOKUP(A1155,'[1]Raw data'!$B:$Z,9,FALSE)</f>
        <v>MVC</v>
      </c>
      <c r="V1155" s="572" t="str">
        <f t="shared" si="245"/>
        <v>WRONG</v>
      </c>
      <c r="W1155" s="568" t="str">
        <f>VLOOKUP(A1155,'[1]Raw data'!$B:$AG,32,FALSE)</f>
        <v>DAP SZ</v>
      </c>
      <c r="X1155" s="652">
        <f>VLOOKUP(A1155,'[1]Raw data'!$B:$BA,31,FALSE)</f>
        <v>44608</v>
      </c>
      <c r="Y1155" s="652" t="str">
        <f>VLOOKUP(A1155,'[1]Raw data'!$B:$AS,39,FALSE)</f>
        <v>Yes</v>
      </c>
      <c r="Z1155" s="664"/>
      <c r="AA1155" s="665"/>
      <c r="AB1155" s="666"/>
      <c r="AC1155" s="652" t="s">
        <v>2222</v>
      </c>
      <c r="AD1155" s="580">
        <v>302</v>
      </c>
      <c r="AE1155" s="580">
        <v>10</v>
      </c>
      <c r="AF1155" s="580"/>
      <c r="AG1155" s="580"/>
      <c r="AH1155" s="580"/>
      <c r="AI1155" s="684"/>
      <c r="AJ1155" s="569"/>
      <c r="AK1155" s="569"/>
      <c r="AL1155" s="569"/>
      <c r="AM1155" s="569"/>
      <c r="AN1155" s="619"/>
      <c r="AO1155" s="829" t="str">
        <f t="shared" ref="AO1155:AO1218" si="246">IFERROR(IF(Y1155&lt;&gt;"",Y1155,"No"),"No")</f>
        <v>Yes</v>
      </c>
      <c r="AP1155" s="259" t="str">
        <f t="shared" ref="AP1155:AP1218" si="247">IFERROR(IF(N1155&lt;&gt;"",N1155,"blank"),"NA")</f>
        <v>MAY 22</v>
      </c>
      <c r="AQ1155" s="547" t="str">
        <f t="shared" ref="AQ1155:AQ1218" si="248">IFERROR(IF(AND(AO1155="Yes", AP1155&lt;&gt;"blank"), "有定金+有預留客戶", IF(AND(AO1155="Yes", AP1155="blank"), "有定金+无客戶送貨期", IF(AND(OR(AO1155="No", ISBLANK(AO1155), AO1155="NA"), AP1155&lt;&gt;"blank"), "无定金+有預留客戶", IF(AND(OR(AO1155="No", ISBLANK(AO1155), AO1155="NA"), AP1155="blank"), "无定金+无預留客戶", "")))), "")</f>
        <v>有定金+有預留客戶</v>
      </c>
      <c r="AR1155" s="259" t="str">
        <f t="shared" ref="AR1155:AR1218" si="249">IFERROR(IF(B1155="已经到货", "Instock", IF(B1155="有交期", "Incoming_Stock_With_YAMAHA_Schedule", IF(B1155="TBA.", "Incoming_Stock_No_YAMAHA_Schedule", IF(B1155="已发货", "Shipped_Stock", "")))), "")</f>
        <v>Shipped_Stock</v>
      </c>
      <c r="AS1155" s="259" t="str">
        <f t="shared" ref="AS1155:AS1218" si="250">IF(AND(B1155="有交期", L1155&lt;&gt;""), L1155, "")</f>
        <v/>
      </c>
      <c r="AT1155" s="259" t="str">
        <f t="shared" ref="AT1155:AT1218" si="251">IFERROR(IF(R1155&lt;&gt;"",R1155),"-")</f>
        <v>岚新</v>
      </c>
      <c r="AU1155" s="259" t="str">
        <f t="shared" ref="AU1155:AU1218" si="252">IFERROR(IF(Q1155&lt;&gt;"",Q1155),"-")</f>
        <v>C49SZX20220018SX</v>
      </c>
      <c r="AV1155" s="259" t="str">
        <f t="shared" ref="AV1155:AV1218" si="253">IF(L1155="","-",TEXT(L1155,"mmm-dd"))</f>
        <v>May-07</v>
      </c>
    </row>
    <row r="1156" spans="1:48" hidden="1">
      <c r="A1156" s="604">
        <v>1582</v>
      </c>
      <c r="B1156" s="669" t="s">
        <v>1125</v>
      </c>
      <c r="C1156" s="669" t="s">
        <v>15</v>
      </c>
      <c r="D1156" s="630" t="s">
        <v>2210</v>
      </c>
      <c r="E1156" s="651" t="s">
        <v>2135</v>
      </c>
      <c r="F1156" s="652" t="s">
        <v>17</v>
      </c>
      <c r="G1156" s="652" t="s">
        <v>18</v>
      </c>
      <c r="H1156" s="652" t="s">
        <v>27</v>
      </c>
      <c r="I1156" s="580" t="s">
        <v>2223</v>
      </c>
      <c r="J1156" s="580">
        <v>1</v>
      </c>
      <c r="K1156" s="568" t="s">
        <v>85</v>
      </c>
      <c r="L1156" s="662">
        <v>44688</v>
      </c>
      <c r="M1156" s="670" t="s">
        <v>906</v>
      </c>
      <c r="N1156" s="652" t="s">
        <v>1903</v>
      </c>
      <c r="O1156" s="580">
        <v>2022.4</v>
      </c>
      <c r="P1156" s="670" t="str">
        <f>VLOOKUP(A1156,'[1]Raw data'!$B:$BA,23,FALSE)</f>
        <v>JPY</v>
      </c>
      <c r="Q1156" s="652" t="str">
        <f>VLOOKUP(A1156,'[1]Raw data'!$B:$Z,2,FALSE)</f>
        <v>C49SZX20220018SX</v>
      </c>
      <c r="R1156" s="652" t="str">
        <f>VLOOKUP(A1156,'[1]Raw data'!$B:$Z,3,FALSE)</f>
        <v>岚新</v>
      </c>
      <c r="S1156" s="652" t="str">
        <f>VLOOKUP(A1156,'[1]Raw data'!$B:$Z,4,FALSE)</f>
        <v>YSM10</v>
      </c>
      <c r="T1156" s="652" t="str">
        <f>VLOOKUP(A1156,'[1]Raw data'!$B:$Z,8,FALSE)</f>
        <v>L-&gt;R</v>
      </c>
      <c r="U1156" s="652" t="str">
        <f>VLOOKUP(A1156,'[1]Raw data'!$B:$Z,9,FALSE)</f>
        <v>No</v>
      </c>
      <c r="V1156" s="572" t="str">
        <f t="shared" si="245"/>
        <v>WRONG</v>
      </c>
      <c r="W1156" s="568" t="str">
        <f>VLOOKUP(A1156,'[1]Raw data'!$B:$AG,32,FALSE)</f>
        <v>DAP SZ</v>
      </c>
      <c r="X1156" s="652">
        <f>VLOOKUP(A1156,'[1]Raw data'!$B:$BA,31,FALSE)</f>
        <v>44608</v>
      </c>
      <c r="Y1156" s="652" t="str">
        <f>VLOOKUP(A1156,'[1]Raw data'!$B:$AS,39,FALSE)</f>
        <v>Yes</v>
      </c>
      <c r="Z1156" s="664"/>
      <c r="AA1156" s="665"/>
      <c r="AB1156" s="666"/>
      <c r="AC1156" s="652" t="s">
        <v>2222</v>
      </c>
      <c r="AD1156" s="580">
        <v>312</v>
      </c>
      <c r="AE1156" s="580">
        <v>10</v>
      </c>
      <c r="AF1156" s="580"/>
      <c r="AG1156" s="580"/>
      <c r="AH1156" s="580"/>
      <c r="AI1156" s="684"/>
      <c r="AJ1156" s="569"/>
      <c r="AK1156" s="569"/>
      <c r="AL1156" s="569"/>
      <c r="AM1156" s="569"/>
      <c r="AN1156" s="619"/>
      <c r="AO1156" s="829" t="str">
        <f t="shared" si="246"/>
        <v>Yes</v>
      </c>
      <c r="AP1156" s="259" t="str">
        <f t="shared" si="247"/>
        <v>MAY 22</v>
      </c>
      <c r="AQ1156" s="547" t="str">
        <f t="shared" si="248"/>
        <v>有定金+有預留客戶</v>
      </c>
      <c r="AR1156" s="259" t="str">
        <f t="shared" si="249"/>
        <v>Shipped_Stock</v>
      </c>
      <c r="AS1156" s="259" t="str">
        <f t="shared" si="250"/>
        <v/>
      </c>
      <c r="AT1156" s="259" t="str">
        <f t="shared" si="251"/>
        <v>岚新</v>
      </c>
      <c r="AU1156" s="259" t="str">
        <f t="shared" si="252"/>
        <v>C49SZX20220018SX</v>
      </c>
      <c r="AV1156" s="259" t="str">
        <f t="shared" si="253"/>
        <v>May-07</v>
      </c>
    </row>
    <row r="1157" spans="1:48" hidden="1">
      <c r="A1157" s="604">
        <v>1618</v>
      </c>
      <c r="B1157" s="669" t="s">
        <v>1125</v>
      </c>
      <c r="C1157" s="669" t="s">
        <v>15</v>
      </c>
      <c r="D1157" s="630">
        <v>110810</v>
      </c>
      <c r="E1157" s="651" t="s">
        <v>2135</v>
      </c>
      <c r="F1157" s="652" t="s">
        <v>17</v>
      </c>
      <c r="G1157" s="652" t="s">
        <v>18</v>
      </c>
      <c r="H1157" s="652" t="s">
        <v>27</v>
      </c>
      <c r="I1157" s="580" t="s">
        <v>2224</v>
      </c>
      <c r="J1157" s="580">
        <v>1</v>
      </c>
      <c r="K1157" s="568" t="s">
        <v>1419</v>
      </c>
      <c r="L1157" s="662">
        <v>44688</v>
      </c>
      <c r="M1157" s="670">
        <v>5.0200000000000002E-2</v>
      </c>
      <c r="N1157" s="652"/>
      <c r="O1157" s="580">
        <v>2022.4</v>
      </c>
      <c r="P1157" s="670" t="str">
        <f>VLOOKUP(A1157,'[1]Raw data'!$B:$BA,23,FALSE)</f>
        <v>RMB</v>
      </c>
      <c r="Q1157" s="652" t="str">
        <f>VLOOKUP(A1157,'[1]Raw data'!$B:$Z,2,FALSE)</f>
        <v>C49SZX20220025AY</v>
      </c>
      <c r="R1157" s="652" t="str">
        <f>VLOOKUP(A1157,'[1]Raw data'!$B:$Z,3,FALSE)</f>
        <v>创舰</v>
      </c>
      <c r="S1157" s="652" t="str">
        <f>VLOOKUP(A1157,'[1]Raw data'!$B:$Z,4,FALSE)</f>
        <v>YSM10</v>
      </c>
      <c r="T1157" s="652" t="str">
        <f>VLOOKUP(A1157,'[1]Raw data'!$B:$Z,8,FALSE)</f>
        <v>R-&gt;L</v>
      </c>
      <c r="U1157" s="652" t="str">
        <f>VLOOKUP(A1157,'[1]Raw data'!$B:$Z,9,FALSE)</f>
        <v>MVC</v>
      </c>
      <c r="V1157" s="572" t="str">
        <f t="shared" si="245"/>
        <v>OK</v>
      </c>
      <c r="W1157" s="568" t="str">
        <f>VLOOKUP(A1157,'[1]Raw data'!$B:$AG,32,FALSE)</f>
        <v>DDP HZ</v>
      </c>
      <c r="X1157" s="652">
        <f>VLOOKUP(A1157,'[1]Raw data'!$B:$BA,31,FALSE)</f>
        <v>44634</v>
      </c>
      <c r="Y1157" s="652" t="str">
        <f>VLOOKUP(A1157,'[1]Raw data'!$B:$AS,39,FALSE)</f>
        <v>Yes</v>
      </c>
      <c r="Z1157" s="664"/>
      <c r="AA1157" s="665"/>
      <c r="AB1157" s="666"/>
      <c r="AC1157" s="652" t="s">
        <v>2225</v>
      </c>
      <c r="AD1157" s="667">
        <v>312</v>
      </c>
      <c r="AE1157" s="667">
        <v>10</v>
      </c>
      <c r="AF1157" s="667"/>
      <c r="AG1157" s="667"/>
      <c r="AH1157" s="667"/>
      <c r="AI1157" s="668"/>
      <c r="AN1157" s="547"/>
      <c r="AO1157" s="829" t="str">
        <f t="shared" si="246"/>
        <v>Yes</v>
      </c>
      <c r="AP1157" s="259" t="str">
        <f t="shared" si="247"/>
        <v>blank</v>
      </c>
      <c r="AQ1157" s="547" t="str">
        <f t="shared" si="248"/>
        <v>有定金+无客戶送貨期</v>
      </c>
      <c r="AR1157" s="259" t="str">
        <f t="shared" si="249"/>
        <v>Shipped_Stock</v>
      </c>
      <c r="AS1157" s="259" t="str">
        <f t="shared" si="250"/>
        <v/>
      </c>
      <c r="AT1157" s="259" t="str">
        <f t="shared" si="251"/>
        <v>创舰</v>
      </c>
      <c r="AU1157" s="259" t="str">
        <f t="shared" si="252"/>
        <v>C49SZX20220025AY</v>
      </c>
      <c r="AV1157" s="259" t="str">
        <f t="shared" si="253"/>
        <v>May-07</v>
      </c>
    </row>
    <row r="1158" spans="1:48" hidden="1">
      <c r="A1158" s="604">
        <v>1619</v>
      </c>
      <c r="B1158" s="669" t="s">
        <v>1125</v>
      </c>
      <c r="C1158" s="669" t="s">
        <v>15</v>
      </c>
      <c r="D1158" s="630">
        <v>110810</v>
      </c>
      <c r="E1158" s="651" t="s">
        <v>2135</v>
      </c>
      <c r="F1158" s="652" t="s">
        <v>17</v>
      </c>
      <c r="G1158" s="652" t="s">
        <v>18</v>
      </c>
      <c r="H1158" s="652" t="s">
        <v>102</v>
      </c>
      <c r="I1158" s="580" t="s">
        <v>2226</v>
      </c>
      <c r="J1158" s="580">
        <v>1</v>
      </c>
      <c r="K1158" s="568" t="s">
        <v>1419</v>
      </c>
      <c r="L1158" s="662">
        <v>44688</v>
      </c>
      <c r="M1158" s="670">
        <v>5.0200000000000002E-2</v>
      </c>
      <c r="N1158" s="652"/>
      <c r="O1158" s="580">
        <v>2022.4</v>
      </c>
      <c r="P1158" s="670" t="str">
        <f>VLOOKUP(A1158,'[1]Raw data'!$B:$BA,23,FALSE)</f>
        <v>RMB</v>
      </c>
      <c r="Q1158" s="652" t="str">
        <f>VLOOKUP(A1158,'[1]Raw data'!$B:$Z,2,FALSE)</f>
        <v>C49SZX20220025AY</v>
      </c>
      <c r="R1158" s="652" t="str">
        <f>VLOOKUP(A1158,'[1]Raw data'!$B:$Z,3,FALSE)</f>
        <v>创舰</v>
      </c>
      <c r="S1158" s="652" t="str">
        <f>VLOOKUP(A1158,'[1]Raw data'!$B:$Z,4,FALSE)</f>
        <v>YSM10</v>
      </c>
      <c r="T1158" s="652" t="str">
        <f>VLOOKUP(A1158,'[1]Raw data'!$B:$Z,8,FALSE)</f>
        <v>R-&gt;L</v>
      </c>
      <c r="U1158" s="652" t="str">
        <f>VLOOKUP(A1158,'[1]Raw data'!$B:$Z,9,FALSE)</f>
        <v>No</v>
      </c>
      <c r="V1158" s="572" t="str">
        <f t="shared" si="245"/>
        <v>WRONG</v>
      </c>
      <c r="W1158" s="568" t="str">
        <f>VLOOKUP(A1158,'[1]Raw data'!$B:$AG,32,FALSE)</f>
        <v>DDP HZ</v>
      </c>
      <c r="X1158" s="652">
        <f>VLOOKUP(A1158,'[1]Raw data'!$B:$BA,31,FALSE)</f>
        <v>44634</v>
      </c>
      <c r="Y1158" s="652" t="str">
        <f>VLOOKUP(A1158,'[1]Raw data'!$B:$AS,39,FALSE)</f>
        <v>Yes</v>
      </c>
      <c r="Z1158" s="664"/>
      <c r="AA1158" s="665"/>
      <c r="AB1158" s="666"/>
      <c r="AC1158" s="652" t="s">
        <v>2225</v>
      </c>
      <c r="AD1158" s="667">
        <v>302</v>
      </c>
      <c r="AE1158" s="667">
        <v>10</v>
      </c>
      <c r="AF1158" s="667"/>
      <c r="AG1158" s="667"/>
      <c r="AH1158" s="667"/>
      <c r="AI1158" s="668"/>
      <c r="AN1158" s="547"/>
      <c r="AO1158" s="829" t="str">
        <f t="shared" si="246"/>
        <v>Yes</v>
      </c>
      <c r="AP1158" s="259" t="str">
        <f t="shared" si="247"/>
        <v>blank</v>
      </c>
      <c r="AQ1158" s="547" t="str">
        <f t="shared" si="248"/>
        <v>有定金+无客戶送貨期</v>
      </c>
      <c r="AR1158" s="259" t="str">
        <f t="shared" si="249"/>
        <v>Shipped_Stock</v>
      </c>
      <c r="AS1158" s="259" t="str">
        <f t="shared" si="250"/>
        <v/>
      </c>
      <c r="AT1158" s="259" t="str">
        <f t="shared" si="251"/>
        <v>创舰</v>
      </c>
      <c r="AU1158" s="259" t="str">
        <f t="shared" si="252"/>
        <v>C49SZX20220025AY</v>
      </c>
      <c r="AV1158" s="259" t="str">
        <f t="shared" si="253"/>
        <v>May-07</v>
      </c>
    </row>
    <row r="1159" spans="1:48" ht="23.25" hidden="1" thickBot="1">
      <c r="A1159" s="650">
        <v>1593</v>
      </c>
      <c r="B1159" s="669" t="s">
        <v>1125</v>
      </c>
      <c r="C1159" s="669" t="s">
        <v>15</v>
      </c>
      <c r="D1159" s="629">
        <v>110810</v>
      </c>
      <c r="E1159" s="651" t="s">
        <v>2135</v>
      </c>
      <c r="F1159" s="652" t="s">
        <v>17</v>
      </c>
      <c r="G1159" s="652" t="s">
        <v>18</v>
      </c>
      <c r="H1159" s="652" t="s">
        <v>102</v>
      </c>
      <c r="I1159" s="580" t="s">
        <v>2227</v>
      </c>
      <c r="J1159" s="580">
        <v>1</v>
      </c>
      <c r="K1159" s="652" t="s">
        <v>78</v>
      </c>
      <c r="L1159" s="662">
        <v>44688</v>
      </c>
      <c r="M1159" s="670" t="s">
        <v>2228</v>
      </c>
      <c r="N1159" s="652" t="s">
        <v>1982</v>
      </c>
      <c r="O1159" s="580">
        <v>2022.4</v>
      </c>
      <c r="P1159" s="670" t="str">
        <f>VLOOKUP(A1159,'[1]Raw data'!$B:$BA,23,FALSE)</f>
        <v>JPY</v>
      </c>
      <c r="Q1159" s="652" t="str">
        <f>VLOOKUP(A1159,'[1]Raw data'!$B:$Z,2,FALSE)</f>
        <v>C49SZX20220013DZ</v>
      </c>
      <c r="R1159" s="652" t="str">
        <f>VLOOKUP(A1159,'[1]Raw data'!$B:$Z,3,FALSE)</f>
        <v>朗特</v>
      </c>
      <c r="S1159" s="652" t="str">
        <f>VLOOKUP(A1159,'[1]Raw data'!$B:$Z,4,FALSE)</f>
        <v>YSM10</v>
      </c>
      <c r="T1159" s="652" t="str">
        <f>VLOOKUP(A1159,'[1]Raw data'!$B:$Z,8,FALSE)</f>
        <v>R-&gt;L</v>
      </c>
      <c r="U1159" s="652" t="str">
        <f>VLOOKUP(A1159,'[1]Raw data'!$B:$Z,9,FALSE)</f>
        <v>No</v>
      </c>
      <c r="V1159" s="572" t="str">
        <f t="shared" si="245"/>
        <v>WRONG</v>
      </c>
      <c r="W1159" s="568" t="str">
        <f>VLOOKUP(A1159,'[1]Raw data'!$B:$AG,32,FALSE)</f>
        <v>CIF HK</v>
      </c>
      <c r="X1159" s="652">
        <f>VLOOKUP(A1159,'[1]Raw data'!$B:$BA,31,FALSE)</f>
        <v>44614</v>
      </c>
      <c r="Y1159" s="652" t="str">
        <f>VLOOKUP(A1159,'[1]Raw data'!$B:$AS,39,FALSE)</f>
        <v>Yes</v>
      </c>
      <c r="Z1159" s="664"/>
      <c r="AA1159" s="665"/>
      <c r="AB1159" s="666"/>
      <c r="AC1159" s="652" t="s">
        <v>2174</v>
      </c>
      <c r="AD1159" s="580">
        <v>311</v>
      </c>
      <c r="AE1159" s="580">
        <v>10</v>
      </c>
      <c r="AF1159" s="580"/>
      <c r="AG1159" s="580"/>
      <c r="AH1159" s="580"/>
      <c r="AI1159" s="684"/>
      <c r="AJ1159" s="569"/>
      <c r="AK1159" s="569"/>
      <c r="AL1159" s="569"/>
      <c r="AM1159" s="569"/>
      <c r="AN1159" s="619"/>
      <c r="AO1159" s="829" t="str">
        <f t="shared" si="246"/>
        <v>Yes</v>
      </c>
      <c r="AP1159" s="259" t="str">
        <f t="shared" si="247"/>
        <v>JUN 22</v>
      </c>
      <c r="AQ1159" s="547" t="str">
        <f t="shared" si="248"/>
        <v>有定金+有預留客戶</v>
      </c>
      <c r="AR1159" s="259" t="str">
        <f t="shared" si="249"/>
        <v>Shipped_Stock</v>
      </c>
      <c r="AS1159" s="259" t="str">
        <f t="shared" si="250"/>
        <v/>
      </c>
      <c r="AT1159" s="259" t="str">
        <f t="shared" si="251"/>
        <v>朗特</v>
      </c>
      <c r="AU1159" s="259" t="str">
        <f t="shared" si="252"/>
        <v>C49SZX20220013DZ</v>
      </c>
      <c r="AV1159" s="259" t="str">
        <f t="shared" si="253"/>
        <v>May-07</v>
      </c>
    </row>
    <row r="1160" spans="1:48" hidden="1">
      <c r="A1160" s="650">
        <v>1583</v>
      </c>
      <c r="B1160" s="669" t="s">
        <v>1125</v>
      </c>
      <c r="C1160" s="568" t="s">
        <v>281</v>
      </c>
      <c r="D1160" s="695">
        <v>110436</v>
      </c>
      <c r="E1160" s="568" t="s">
        <v>886</v>
      </c>
      <c r="F1160" s="568" t="s">
        <v>17</v>
      </c>
      <c r="G1160" s="568" t="s">
        <v>18</v>
      </c>
      <c r="H1160" s="568" t="s">
        <v>26</v>
      </c>
      <c r="I1160" s="569" t="s">
        <v>2229</v>
      </c>
      <c r="J1160" s="569">
        <v>1</v>
      </c>
      <c r="K1160" s="568" t="s">
        <v>85</v>
      </c>
      <c r="L1160" s="662">
        <v>44688</v>
      </c>
      <c r="M1160" s="670" t="s">
        <v>2230</v>
      </c>
      <c r="N1160" s="652" t="s">
        <v>2231</v>
      </c>
      <c r="O1160" s="580">
        <v>2022.4</v>
      </c>
      <c r="P1160" s="670" t="str">
        <f>VLOOKUP(A1160,'[1]Raw data'!$B:$BA,23,FALSE)</f>
        <v>JPY</v>
      </c>
      <c r="Q1160" s="652" t="str">
        <f>VLOOKUP(A1160,'[1]Raw data'!$B:$Z,2,FALSE)</f>
        <v>C49SZX20220020R1SS</v>
      </c>
      <c r="R1160" s="652" t="str">
        <f>VLOOKUP(A1160,'[1]Raw data'!$B:$Z,3,FALSE)</f>
        <v>弛瑞</v>
      </c>
      <c r="S1160" s="652" t="str">
        <f>VLOOKUP(A1160,'[1]Raw data'!$B:$Z,4,FALSE)</f>
        <v>YSM10</v>
      </c>
      <c r="T1160" s="652" t="str">
        <f>VLOOKUP(A1160,'[1]Raw data'!$B:$Z,8,FALSE)</f>
        <v>L-&gt;R</v>
      </c>
      <c r="U1160" s="652" t="str">
        <f>VLOOKUP(A1160,'[1]Raw data'!$B:$Z,9,FALSE)</f>
        <v>No</v>
      </c>
      <c r="V1160" s="572" t="str">
        <f t="shared" ref="V1160" si="254">IF(G1160&amp;H1160=T1160&amp;U1160,"OK","WRONG")</f>
        <v>WRONG</v>
      </c>
      <c r="W1160" s="568" t="str">
        <f>VLOOKUP(A1160,'[1]Raw data'!$B:$AG,32,FALSE)</f>
        <v>DAP SZ</v>
      </c>
      <c r="X1160" s="652">
        <f>VLOOKUP(A1160,'[1]Raw data'!$B:$BA,31,FALSE)</f>
        <v>44614</v>
      </c>
      <c r="Y1160" s="652" t="str">
        <f>VLOOKUP(A1160,'[1]Raw data'!$B:$AS,39,FALSE)</f>
        <v>Yes</v>
      </c>
      <c r="Z1160" s="664"/>
      <c r="AA1160" s="665"/>
      <c r="AB1160" s="666"/>
      <c r="AC1160" s="652" t="s">
        <v>1817</v>
      </c>
      <c r="AD1160" s="580">
        <v>301</v>
      </c>
      <c r="AE1160" s="580">
        <v>10</v>
      </c>
      <c r="AF1160" s="580"/>
      <c r="AG1160" s="580"/>
      <c r="AH1160" s="580"/>
      <c r="AI1160" s="684"/>
      <c r="AJ1160" s="569"/>
      <c r="AK1160" s="569"/>
      <c r="AL1160" s="569"/>
      <c r="AM1160" s="569"/>
      <c r="AN1160" s="619"/>
      <c r="AO1160" s="829" t="str">
        <f t="shared" si="246"/>
        <v>Yes</v>
      </c>
      <c r="AP1160" s="259" t="str">
        <f t="shared" si="247"/>
        <v>JUL 22</v>
      </c>
      <c r="AQ1160" s="547" t="str">
        <f t="shared" si="248"/>
        <v>有定金+有預留客戶</v>
      </c>
      <c r="AR1160" s="259" t="str">
        <f t="shared" si="249"/>
        <v>Shipped_Stock</v>
      </c>
      <c r="AS1160" s="259" t="str">
        <f t="shared" si="250"/>
        <v/>
      </c>
      <c r="AT1160" s="259" t="str">
        <f t="shared" si="251"/>
        <v>弛瑞</v>
      </c>
      <c r="AU1160" s="259" t="str">
        <f t="shared" si="252"/>
        <v>C49SZX20220020R1SS</v>
      </c>
      <c r="AV1160" s="259" t="str">
        <f t="shared" si="253"/>
        <v>May-07</v>
      </c>
    </row>
    <row r="1161" spans="1:48" hidden="1">
      <c r="A1161" s="784">
        <v>1387</v>
      </c>
      <c r="B1161" s="669" t="s">
        <v>1125</v>
      </c>
      <c r="C1161" s="776" t="s">
        <v>281</v>
      </c>
      <c r="D1161" s="766">
        <v>110429</v>
      </c>
      <c r="E1161" s="635" t="s">
        <v>886</v>
      </c>
      <c r="F1161" s="697" t="s">
        <v>17</v>
      </c>
      <c r="G1161" s="697" t="s">
        <v>18</v>
      </c>
      <c r="H1161" s="697" t="s">
        <v>26</v>
      </c>
      <c r="I1161" s="698" t="s">
        <v>2232</v>
      </c>
      <c r="J1161" s="698">
        <v>1</v>
      </c>
      <c r="K1161" s="568" t="s">
        <v>85</v>
      </c>
      <c r="L1161" s="662">
        <v>44694</v>
      </c>
      <c r="M1161" s="670">
        <v>6.0600000000000001E-2</v>
      </c>
      <c r="N1161" s="652" t="s">
        <v>1903</v>
      </c>
      <c r="O1161" s="580">
        <v>2022.4</v>
      </c>
      <c r="P1161" s="670" t="str">
        <f>VLOOKUP(A1161,'[1]Raw data'!$B:$BA,23,FALSE)</f>
        <v>JPY</v>
      </c>
      <c r="Q1161" s="652" t="str">
        <f>VLOOKUP(A1161,'[1]Raw data'!$B:$Z,2,FALSE)</f>
        <v>C49SZX20220057DZ</v>
      </c>
      <c r="R1161" s="652" t="str">
        <f>VLOOKUP(A1161,'[1]Raw data'!$B:$Z,3,FALSE)</f>
        <v>广恒创新（enduser:深圳比尔乔）</v>
      </c>
      <c r="S1161" s="652" t="str">
        <f>VLOOKUP(A1161,'[1]Raw data'!$B:$Z,4,FALSE)</f>
        <v>YSM10</v>
      </c>
      <c r="T1161" s="652" t="str">
        <f>VLOOKUP(A1161,'[1]Raw data'!$B:$Z,8,FALSE)</f>
        <v>R-&gt;L</v>
      </c>
      <c r="U1161" s="652" t="str">
        <f>VLOOKUP(A1161,'[1]Raw data'!$B:$Z,9,FALSE)</f>
        <v>MVC</v>
      </c>
      <c r="V1161" s="572" t="str">
        <f t="shared" ref="V1161:V1170" si="255">IF(G1161&amp;H1161=T1161&amp;U1161,"OK","WRONG")</f>
        <v>WRONG</v>
      </c>
      <c r="W1161" s="568" t="str">
        <f>VLOOKUP(A1161,'[1]Raw data'!$B:$AG,32,FALSE)</f>
        <v>CIF HK</v>
      </c>
      <c r="X1161" s="652">
        <f>VLOOKUP(A1161,'[1]Raw data'!$B:$BA,31,FALSE)</f>
        <v>44340</v>
      </c>
      <c r="Y1161" s="652" t="str">
        <f>VLOOKUP(A1161,'[1]Raw data'!$B:$AS,39,FALSE)</f>
        <v>Yes</v>
      </c>
      <c r="Z1161" s="664"/>
      <c r="AA1161" s="665"/>
      <c r="AB1161" s="666"/>
      <c r="AC1161" s="580" t="s">
        <v>1659</v>
      </c>
      <c r="AD1161" s="667">
        <v>301</v>
      </c>
      <c r="AE1161" s="667">
        <v>10</v>
      </c>
      <c r="AF1161" s="667"/>
      <c r="AG1161" s="667"/>
      <c r="AH1161" s="667"/>
      <c r="AI1161" s="668"/>
      <c r="AN1161" s="547"/>
      <c r="AO1161" s="829" t="str">
        <f t="shared" si="246"/>
        <v>Yes</v>
      </c>
      <c r="AP1161" s="259" t="str">
        <f t="shared" si="247"/>
        <v>MAY 22</v>
      </c>
      <c r="AQ1161" s="547" t="str">
        <f t="shared" si="248"/>
        <v>有定金+有預留客戶</v>
      </c>
      <c r="AR1161" s="259" t="str">
        <f t="shared" si="249"/>
        <v>Shipped_Stock</v>
      </c>
      <c r="AS1161" s="259" t="str">
        <f t="shared" si="250"/>
        <v/>
      </c>
      <c r="AT1161" s="259" t="str">
        <f t="shared" si="251"/>
        <v>广恒创新（enduser:深圳比尔乔）</v>
      </c>
      <c r="AU1161" s="259" t="str">
        <f t="shared" si="252"/>
        <v>C49SZX20220057DZ</v>
      </c>
      <c r="AV1161" s="259" t="str">
        <f t="shared" si="253"/>
        <v>May-13</v>
      </c>
    </row>
    <row r="1162" spans="1:48" hidden="1">
      <c r="A1162" s="604">
        <v>1635</v>
      </c>
      <c r="B1162" s="669" t="s">
        <v>1125</v>
      </c>
      <c r="C1162" s="669" t="s">
        <v>281</v>
      </c>
      <c r="D1162" s="760">
        <v>110429</v>
      </c>
      <c r="E1162" s="567" t="s">
        <v>886</v>
      </c>
      <c r="F1162" s="652" t="s">
        <v>17</v>
      </c>
      <c r="G1162" s="652" t="s">
        <v>18</v>
      </c>
      <c r="H1162" s="652" t="s">
        <v>26</v>
      </c>
      <c r="I1162" s="580" t="s">
        <v>2233</v>
      </c>
      <c r="J1162" s="580">
        <v>1</v>
      </c>
      <c r="K1162" s="568" t="s">
        <v>85</v>
      </c>
      <c r="L1162" s="662">
        <v>44694</v>
      </c>
      <c r="M1162" s="670">
        <v>6.0600000000000001E-2</v>
      </c>
      <c r="N1162" s="652" t="s">
        <v>1903</v>
      </c>
      <c r="O1162" s="580">
        <v>2022.4</v>
      </c>
      <c r="P1162" s="670" t="str">
        <f>VLOOKUP(A1162,'[1]Raw data'!$B:$BA,23,FALSE)</f>
        <v>JPY</v>
      </c>
      <c r="Q1162" s="652" t="str">
        <f>VLOOKUP(A1162,'[1]Raw data'!$B:$Z,2,FALSE)</f>
        <v>C49SZX20220041SQ</v>
      </c>
      <c r="R1162" s="652" t="str">
        <f>VLOOKUP(A1162,'[1]Raw data'!$B:$Z,3,FALSE)</f>
        <v>华富快捷</v>
      </c>
      <c r="S1162" s="652" t="str">
        <f>VLOOKUP(A1162,'[1]Raw data'!$B:$Z,4,FALSE)</f>
        <v>YSM10</v>
      </c>
      <c r="T1162" s="652" t="str">
        <f>VLOOKUP(A1162,'[1]Raw data'!$B:$Z,8,FALSE)</f>
        <v>R-&gt;L</v>
      </c>
      <c r="U1162" s="652" t="str">
        <f>VLOOKUP(A1162,'[1]Raw data'!$B:$Z,9,FALSE)</f>
        <v>MVC</v>
      </c>
      <c r="V1162" s="572" t="str">
        <f t="shared" si="255"/>
        <v>WRONG</v>
      </c>
      <c r="W1162" s="568" t="str">
        <f>VLOOKUP(A1162,'[1]Raw data'!$B:$AG,32,FALSE)</f>
        <v>DAP SZ</v>
      </c>
      <c r="X1162" s="652">
        <f>VLOOKUP(A1162,'[1]Raw data'!$B:$BA,31,FALSE)</f>
        <v>44650</v>
      </c>
      <c r="Y1162" s="652" t="str">
        <f>VLOOKUP(A1162,'[1]Raw data'!$B:$AS,39,FALSE)</f>
        <v>Yes</v>
      </c>
      <c r="Z1162" s="664"/>
      <c r="AA1162" s="665"/>
      <c r="AB1162" s="666"/>
      <c r="AC1162" s="652" t="s">
        <v>2234</v>
      </c>
      <c r="AD1162" s="580">
        <v>301</v>
      </c>
      <c r="AE1162" s="580">
        <v>10</v>
      </c>
      <c r="AF1162" s="580"/>
      <c r="AG1162" s="580"/>
      <c r="AH1162" s="580"/>
      <c r="AI1162" s="684"/>
      <c r="AJ1162" s="569"/>
      <c r="AK1162" s="569"/>
      <c r="AL1162" s="569"/>
      <c r="AM1162" s="569"/>
      <c r="AN1162" s="619"/>
      <c r="AO1162" s="829" t="str">
        <f t="shared" si="246"/>
        <v>Yes</v>
      </c>
      <c r="AP1162" s="259" t="str">
        <f t="shared" si="247"/>
        <v>MAY 22</v>
      </c>
      <c r="AQ1162" s="547" t="str">
        <f t="shared" si="248"/>
        <v>有定金+有預留客戶</v>
      </c>
      <c r="AR1162" s="259" t="str">
        <f t="shared" si="249"/>
        <v>Shipped_Stock</v>
      </c>
      <c r="AS1162" s="259" t="str">
        <f t="shared" si="250"/>
        <v/>
      </c>
      <c r="AT1162" s="259" t="str">
        <f t="shared" si="251"/>
        <v>华富快捷</v>
      </c>
      <c r="AU1162" s="259" t="str">
        <f t="shared" si="252"/>
        <v>C49SZX20220041SQ</v>
      </c>
      <c r="AV1162" s="259" t="str">
        <f t="shared" si="253"/>
        <v>May-13</v>
      </c>
    </row>
    <row r="1163" spans="1:48" hidden="1">
      <c r="A1163" s="564">
        <v>1388</v>
      </c>
      <c r="B1163" s="669" t="s">
        <v>1125</v>
      </c>
      <c r="C1163" s="669" t="s">
        <v>281</v>
      </c>
      <c r="D1163" s="760">
        <v>110429</v>
      </c>
      <c r="E1163" s="567" t="s">
        <v>886</v>
      </c>
      <c r="F1163" s="652" t="s">
        <v>17</v>
      </c>
      <c r="G1163" s="652" t="s">
        <v>18</v>
      </c>
      <c r="H1163" s="652" t="s">
        <v>26</v>
      </c>
      <c r="I1163" s="580" t="s">
        <v>2235</v>
      </c>
      <c r="J1163" s="580">
        <v>1</v>
      </c>
      <c r="K1163" s="568" t="s">
        <v>85</v>
      </c>
      <c r="L1163" s="662">
        <v>44694</v>
      </c>
      <c r="M1163" s="670">
        <v>6.0600000000000001E-2</v>
      </c>
      <c r="N1163" s="652" t="s">
        <v>1903</v>
      </c>
      <c r="O1163" s="580">
        <v>2022.4</v>
      </c>
      <c r="P1163" s="670" t="str">
        <f>VLOOKUP(A1163,'[1]Raw data'!$B:$BA,23,FALSE)</f>
        <v>JPY</v>
      </c>
      <c r="Q1163" s="652" t="str">
        <f>VLOOKUP(A1163,'[1]Raw data'!$B:$Z,2,FALSE)</f>
        <v>C49SZX20220057DZ</v>
      </c>
      <c r="R1163" s="652" t="str">
        <f>VLOOKUP(A1163,'[1]Raw data'!$B:$Z,3,FALSE)</f>
        <v>广恒创新（enduser:深圳比尔乔）</v>
      </c>
      <c r="S1163" s="652" t="str">
        <f>VLOOKUP(A1163,'[1]Raw data'!$B:$Z,4,FALSE)</f>
        <v>YSM10</v>
      </c>
      <c r="T1163" s="652" t="str">
        <f>VLOOKUP(A1163,'[1]Raw data'!$B:$Z,8,FALSE)</f>
        <v>R-&gt;L</v>
      </c>
      <c r="U1163" s="652" t="str">
        <f>VLOOKUP(A1163,'[1]Raw data'!$B:$Z,9,FALSE)</f>
        <v>MVC</v>
      </c>
      <c r="V1163" s="572" t="str">
        <f t="shared" si="255"/>
        <v>WRONG</v>
      </c>
      <c r="W1163" s="568" t="str">
        <f>VLOOKUP(A1163,'[1]Raw data'!$B:$AG,32,FALSE)</f>
        <v>CIF HK</v>
      </c>
      <c r="X1163" s="652">
        <f>VLOOKUP(A1163,'[1]Raw data'!$B:$BA,31,FALSE)</f>
        <v>44340</v>
      </c>
      <c r="Y1163" s="652" t="str">
        <f>VLOOKUP(A1163,'[1]Raw data'!$B:$AS,39,FALSE)</f>
        <v>Yes</v>
      </c>
      <c r="Z1163" s="664"/>
      <c r="AA1163" s="665"/>
      <c r="AB1163" s="666"/>
      <c r="AC1163" s="580" t="s">
        <v>1659</v>
      </c>
      <c r="AD1163" s="667">
        <v>301</v>
      </c>
      <c r="AE1163" s="667">
        <v>10</v>
      </c>
      <c r="AF1163" s="667"/>
      <c r="AG1163" s="667"/>
      <c r="AH1163" s="667"/>
      <c r="AI1163" s="668"/>
      <c r="AN1163" s="547"/>
      <c r="AO1163" s="829" t="str">
        <f t="shared" si="246"/>
        <v>Yes</v>
      </c>
      <c r="AP1163" s="259" t="str">
        <f t="shared" si="247"/>
        <v>MAY 22</v>
      </c>
      <c r="AQ1163" s="547" t="str">
        <f t="shared" si="248"/>
        <v>有定金+有預留客戶</v>
      </c>
      <c r="AR1163" s="259" t="str">
        <f t="shared" si="249"/>
        <v>Shipped_Stock</v>
      </c>
      <c r="AS1163" s="259" t="str">
        <f t="shared" si="250"/>
        <v/>
      </c>
      <c r="AT1163" s="259" t="str">
        <f t="shared" si="251"/>
        <v>广恒创新（enduser:深圳比尔乔）</v>
      </c>
      <c r="AU1163" s="259" t="str">
        <f t="shared" si="252"/>
        <v>C49SZX20220057DZ</v>
      </c>
      <c r="AV1163" s="259" t="str">
        <f t="shared" si="253"/>
        <v>May-13</v>
      </c>
    </row>
    <row r="1164" spans="1:48" hidden="1">
      <c r="A1164" s="604">
        <v>1674</v>
      </c>
      <c r="B1164" s="669" t="s">
        <v>1125</v>
      </c>
      <c r="C1164" s="669" t="s">
        <v>281</v>
      </c>
      <c r="D1164" s="760">
        <v>110870</v>
      </c>
      <c r="E1164" s="761" t="s">
        <v>2236</v>
      </c>
      <c r="F1164" s="652" t="s">
        <v>17</v>
      </c>
      <c r="G1164" s="652" t="s">
        <v>18</v>
      </c>
      <c r="H1164" s="652" t="s">
        <v>102</v>
      </c>
      <c r="I1164" s="580" t="s">
        <v>2237</v>
      </c>
      <c r="J1164" s="580">
        <v>1</v>
      </c>
      <c r="K1164" s="568" t="s">
        <v>1419</v>
      </c>
      <c r="L1164" s="662">
        <v>44694</v>
      </c>
      <c r="M1164" s="670">
        <v>5.21E-2</v>
      </c>
      <c r="N1164" s="652" t="s">
        <v>1982</v>
      </c>
      <c r="O1164" s="580">
        <v>2022.4</v>
      </c>
      <c r="P1164" s="670" t="str">
        <f>VLOOKUP(A1164,'[1]Raw data'!$B:$BA,23,FALSE)</f>
        <v>RMB</v>
      </c>
      <c r="Q1164" s="652" t="str">
        <f>VLOOKUP(A1164,'[1]Raw data'!$B:$Z,2,FALSE)</f>
        <v>C49SZX20220062SS</v>
      </c>
      <c r="R1164" s="652" t="str">
        <f>VLOOKUP(A1164,'[1]Raw data'!$B:$Z,3,FALSE)</f>
        <v>世启纳</v>
      </c>
      <c r="S1164" s="652" t="str">
        <f>VLOOKUP(A1164,'[1]Raw data'!$B:$Z,4,FALSE)</f>
        <v>YSM10</v>
      </c>
      <c r="T1164" s="652" t="str">
        <f>VLOOKUP(A1164,'[1]Raw data'!$B:$Z,8,FALSE)</f>
        <v>L-&gt;R</v>
      </c>
      <c r="U1164" s="652" t="str">
        <f>VLOOKUP(A1164,'[1]Raw data'!$B:$Z,9,FALSE)</f>
        <v>MVC</v>
      </c>
      <c r="V1164" s="572" t="str">
        <f t="shared" si="255"/>
        <v>WRONG</v>
      </c>
      <c r="W1164" s="568" t="str">
        <f>VLOOKUP(A1164,'[1]Raw data'!$B:$AG,32,FALSE)</f>
        <v>DDP SZ</v>
      </c>
      <c r="X1164" s="652">
        <f>VLOOKUP(A1164,'[1]Raw data'!$B:$BA,31,FALSE)</f>
        <v>44707</v>
      </c>
      <c r="Y1164" s="652" t="str">
        <f>VLOOKUP(A1164,'[1]Raw data'!$B:$AS,39,FALSE)</f>
        <v>Yes</v>
      </c>
      <c r="Z1164" s="664"/>
      <c r="AA1164" s="665"/>
      <c r="AB1164" s="666"/>
      <c r="AC1164" s="652" t="s">
        <v>2038</v>
      </c>
      <c r="AD1164" s="580">
        <v>301</v>
      </c>
      <c r="AE1164" s="580">
        <v>10</v>
      </c>
      <c r="AF1164" s="580"/>
      <c r="AG1164" s="580"/>
      <c r="AH1164" s="580"/>
      <c r="AI1164" s="684"/>
      <c r="AJ1164" s="569"/>
      <c r="AK1164" s="569"/>
      <c r="AL1164" s="569"/>
      <c r="AM1164" s="569"/>
      <c r="AN1164" s="619"/>
      <c r="AO1164" s="829" t="str">
        <f t="shared" si="246"/>
        <v>Yes</v>
      </c>
      <c r="AP1164" s="259" t="str">
        <f t="shared" si="247"/>
        <v>JUN 22</v>
      </c>
      <c r="AQ1164" s="547" t="str">
        <f t="shared" si="248"/>
        <v>有定金+有預留客戶</v>
      </c>
      <c r="AR1164" s="259" t="str">
        <f t="shared" si="249"/>
        <v>Shipped_Stock</v>
      </c>
      <c r="AS1164" s="259" t="str">
        <f t="shared" si="250"/>
        <v/>
      </c>
      <c r="AT1164" s="259" t="str">
        <f t="shared" si="251"/>
        <v>世启纳</v>
      </c>
      <c r="AU1164" s="259" t="str">
        <f t="shared" si="252"/>
        <v>C49SZX20220062SS</v>
      </c>
      <c r="AV1164" s="259" t="str">
        <f t="shared" si="253"/>
        <v>May-13</v>
      </c>
    </row>
    <row r="1165" spans="1:48" ht="17.25" hidden="1" thickBot="1">
      <c r="A1165" s="564">
        <v>1677</v>
      </c>
      <c r="B1165" s="669" t="s">
        <v>1125</v>
      </c>
      <c r="C1165" s="669" t="s">
        <v>281</v>
      </c>
      <c r="D1165" s="629">
        <v>110870</v>
      </c>
      <c r="E1165" s="761" t="s">
        <v>2236</v>
      </c>
      <c r="F1165" s="652" t="s">
        <v>17</v>
      </c>
      <c r="G1165" s="652" t="s">
        <v>18</v>
      </c>
      <c r="H1165" s="652" t="s">
        <v>102</v>
      </c>
      <c r="I1165" s="580" t="s">
        <v>2238</v>
      </c>
      <c r="J1165" s="580">
        <v>1</v>
      </c>
      <c r="K1165" s="785" t="s">
        <v>2239</v>
      </c>
      <c r="L1165" s="662">
        <v>44694</v>
      </c>
      <c r="M1165" s="670">
        <v>5.21E-2</v>
      </c>
      <c r="N1165" s="652" t="s">
        <v>1982</v>
      </c>
      <c r="O1165" s="580">
        <v>2022.4</v>
      </c>
      <c r="P1165" s="670" t="str">
        <f>VLOOKUP(A1165,'[1]Raw data'!$B:$BA,23,FALSE)</f>
        <v>RMB</v>
      </c>
      <c r="Q1165" s="652" t="str">
        <f>VLOOKUP(A1165,'[1]Raw data'!$B:$Z,2,FALSE)</f>
        <v>C49SZX202200066SS</v>
      </c>
      <c r="R1165" s="652" t="str">
        <f>VLOOKUP(A1165,'[1]Raw data'!$B:$Z,3,FALSE)</f>
        <v>思迈</v>
      </c>
      <c r="S1165" s="652" t="str">
        <f>VLOOKUP(A1165,'[1]Raw data'!$B:$Z,4,FALSE)</f>
        <v>YSM10</v>
      </c>
      <c r="T1165" s="652" t="str">
        <f>VLOOKUP(A1165,'[1]Raw data'!$B:$Z,8,FALSE)</f>
        <v>L-&gt;R</v>
      </c>
      <c r="U1165" s="652" t="str">
        <f>VLOOKUP(A1165,'[1]Raw data'!$B:$Z,9,FALSE)</f>
        <v>MVC</v>
      </c>
      <c r="V1165" s="572" t="str">
        <f t="shared" si="255"/>
        <v>WRONG</v>
      </c>
      <c r="W1165" s="568" t="str">
        <f>VLOOKUP(A1165,'[1]Raw data'!$B:$AG,32,FALSE)</f>
        <v>DDP SZ</v>
      </c>
      <c r="X1165" s="652">
        <f>VLOOKUP(A1165,'[1]Raw data'!$B:$BA,31,FALSE)</f>
        <v>44718</v>
      </c>
      <c r="Y1165" s="652" t="str">
        <f>VLOOKUP(A1165,'[1]Raw data'!$B:$AS,39,FALSE)</f>
        <v>Yes</v>
      </c>
      <c r="Z1165" s="664"/>
      <c r="AA1165" s="665"/>
      <c r="AB1165" s="666"/>
      <c r="AC1165" s="652" t="s">
        <v>770</v>
      </c>
      <c r="AD1165" s="667">
        <v>301</v>
      </c>
      <c r="AE1165" s="667">
        <v>10</v>
      </c>
      <c r="AF1165" s="667"/>
      <c r="AG1165" s="667"/>
      <c r="AH1165" s="667"/>
      <c r="AI1165" s="668"/>
      <c r="AN1165" s="547"/>
      <c r="AO1165" s="829" t="str">
        <f t="shared" si="246"/>
        <v>Yes</v>
      </c>
      <c r="AP1165" s="259" t="str">
        <f t="shared" si="247"/>
        <v>JUN 22</v>
      </c>
      <c r="AQ1165" s="547" t="str">
        <f t="shared" si="248"/>
        <v>有定金+有預留客戶</v>
      </c>
      <c r="AR1165" s="259" t="str">
        <f t="shared" si="249"/>
        <v>Shipped_Stock</v>
      </c>
      <c r="AS1165" s="259" t="str">
        <f t="shared" si="250"/>
        <v/>
      </c>
      <c r="AT1165" s="259" t="str">
        <f t="shared" si="251"/>
        <v>思迈</v>
      </c>
      <c r="AU1165" s="259" t="str">
        <f t="shared" si="252"/>
        <v>C49SZX202200066SS</v>
      </c>
      <c r="AV1165" s="259" t="str">
        <f t="shared" si="253"/>
        <v>May-13</v>
      </c>
    </row>
    <row r="1166" spans="1:48" hidden="1">
      <c r="A1166" s="564">
        <v>1525</v>
      </c>
      <c r="B1166" s="669" t="s">
        <v>1125</v>
      </c>
      <c r="C1166" s="669" t="s">
        <v>281</v>
      </c>
      <c r="D1166" s="781">
        <v>110882</v>
      </c>
      <c r="E1166" s="567" t="s">
        <v>886</v>
      </c>
      <c r="F1166" s="652" t="s">
        <v>58</v>
      </c>
      <c r="G1166" s="652" t="s">
        <v>24</v>
      </c>
      <c r="H1166" s="652" t="s">
        <v>27</v>
      </c>
      <c r="I1166" s="580" t="s">
        <v>2240</v>
      </c>
      <c r="J1166" s="580">
        <v>1</v>
      </c>
      <c r="K1166" s="568" t="s">
        <v>85</v>
      </c>
      <c r="L1166" s="662">
        <v>44700</v>
      </c>
      <c r="M1166" s="670" t="s">
        <v>2241</v>
      </c>
      <c r="N1166" s="652" t="s">
        <v>1903</v>
      </c>
      <c r="O1166" s="580">
        <v>2022.4</v>
      </c>
      <c r="P1166" s="670" t="str">
        <f>VLOOKUP(A1166,'[1]Raw data'!$B:$BA,23,FALSE)</f>
        <v>JPY</v>
      </c>
      <c r="Q1166" s="652" t="str">
        <f>VLOOKUP(A1166,'[1]Raw data'!$B:$Z,2,FALSE)</f>
        <v>C49SZX20220030SS</v>
      </c>
      <c r="R1166" s="652" t="str">
        <f>VLOOKUP(A1166,'[1]Raw data'!$B:$Z,3,FALSE)</f>
        <v>微克（end user：蓝极光）</v>
      </c>
      <c r="S1166" s="652" t="str">
        <f>VLOOKUP(A1166,'[1]Raw data'!$B:$Z,4,FALSE)</f>
        <v>YSM20R-2</v>
      </c>
      <c r="T1166" s="652" t="str">
        <f>VLOOKUP(A1166,'[1]Raw data'!$B:$Z,8,FALSE)</f>
        <v>L-&gt;R</v>
      </c>
      <c r="U1166" s="652" t="str">
        <f>VLOOKUP(A1166,'[1]Raw data'!$B:$Z,9,FALSE)</f>
        <v>No</v>
      </c>
      <c r="V1166" s="572" t="str">
        <f t="shared" ref="V1166:V1168" si="256">IF(G1166&amp;H1166=T1166&amp;U1166,"OK","WRONG")</f>
        <v>WRONG</v>
      </c>
      <c r="W1166" s="568" t="str">
        <f>VLOOKUP(A1166,'[1]Raw data'!$B:$AG,32,FALSE)</f>
        <v>DAP SZ</v>
      </c>
      <c r="X1166" s="652">
        <f>VLOOKUP(A1166,'[1]Raw data'!$B:$BA,31,FALSE)</f>
        <v>44551</v>
      </c>
      <c r="Y1166" s="652" t="str">
        <f>VLOOKUP(A1166,'[1]Raw data'!$B:$AS,39,FALSE)</f>
        <v>Yes</v>
      </c>
      <c r="Z1166" s="664"/>
      <c r="AA1166" s="665"/>
      <c r="AB1166" s="666"/>
      <c r="AC1166" s="652" t="s">
        <v>2242</v>
      </c>
      <c r="AD1166" s="667">
        <v>301</v>
      </c>
      <c r="AE1166" s="667">
        <v>10</v>
      </c>
      <c r="AF1166" s="667">
        <v>313</v>
      </c>
      <c r="AG1166" s="667">
        <v>10</v>
      </c>
      <c r="AH1166" s="667"/>
      <c r="AI1166" s="668"/>
      <c r="AN1166" s="547"/>
      <c r="AO1166" s="829" t="str">
        <f t="shared" si="246"/>
        <v>Yes</v>
      </c>
      <c r="AP1166" s="259" t="str">
        <f t="shared" si="247"/>
        <v>MAY 22</v>
      </c>
      <c r="AQ1166" s="547" t="str">
        <f t="shared" si="248"/>
        <v>有定金+有預留客戶</v>
      </c>
      <c r="AR1166" s="259" t="str">
        <f t="shared" si="249"/>
        <v>Shipped_Stock</v>
      </c>
      <c r="AS1166" s="259" t="str">
        <f t="shared" si="250"/>
        <v/>
      </c>
      <c r="AT1166" s="259" t="str">
        <f t="shared" si="251"/>
        <v>微克（end user：蓝极光）</v>
      </c>
      <c r="AU1166" s="259" t="str">
        <f t="shared" si="252"/>
        <v>C49SZX20220030SS</v>
      </c>
      <c r="AV1166" s="259" t="str">
        <f t="shared" si="253"/>
        <v>May-19</v>
      </c>
    </row>
    <row r="1167" spans="1:48" hidden="1">
      <c r="A1167" s="564">
        <v>1526</v>
      </c>
      <c r="B1167" s="669" t="s">
        <v>1125</v>
      </c>
      <c r="C1167" s="669" t="s">
        <v>281</v>
      </c>
      <c r="D1167" s="760">
        <v>110882</v>
      </c>
      <c r="E1167" s="567" t="s">
        <v>886</v>
      </c>
      <c r="F1167" s="652" t="s">
        <v>58</v>
      </c>
      <c r="G1167" s="652" t="s">
        <v>24</v>
      </c>
      <c r="H1167" s="652" t="s">
        <v>26</v>
      </c>
      <c r="I1167" s="580" t="s">
        <v>2243</v>
      </c>
      <c r="J1167" s="580">
        <v>1</v>
      </c>
      <c r="K1167" s="568" t="s">
        <v>85</v>
      </c>
      <c r="L1167" s="662">
        <v>44700</v>
      </c>
      <c r="M1167" s="670" t="s">
        <v>2244</v>
      </c>
      <c r="N1167" s="652" t="s">
        <v>1903</v>
      </c>
      <c r="O1167" s="580">
        <v>2022.4</v>
      </c>
      <c r="P1167" s="670" t="str">
        <f>VLOOKUP(A1167,'[1]Raw data'!$B:$BA,23,FALSE)</f>
        <v>JPY</v>
      </c>
      <c r="Q1167" s="652" t="str">
        <f>VLOOKUP(A1167,'[1]Raw data'!$B:$Z,2,FALSE)</f>
        <v>C49SZX20220030SS</v>
      </c>
      <c r="R1167" s="652" t="str">
        <f>VLOOKUP(A1167,'[1]Raw data'!$B:$Z,3,FALSE)</f>
        <v>微克（end user：蓝极光）</v>
      </c>
      <c r="S1167" s="652" t="str">
        <f>VLOOKUP(A1167,'[1]Raw data'!$B:$Z,4,FALSE)</f>
        <v>YSM20R-2</v>
      </c>
      <c r="T1167" s="652" t="str">
        <f>VLOOKUP(A1167,'[1]Raw data'!$B:$Z,8,FALSE)</f>
        <v>L-&gt;R</v>
      </c>
      <c r="U1167" s="652" t="str">
        <f>VLOOKUP(A1167,'[1]Raw data'!$B:$Z,9,FALSE)</f>
        <v>No</v>
      </c>
      <c r="V1167" s="572" t="str">
        <f t="shared" si="256"/>
        <v>OK</v>
      </c>
      <c r="W1167" s="568" t="str">
        <f>VLOOKUP(A1167,'[1]Raw data'!$B:$AG,32,FALSE)</f>
        <v>DAP SZ</v>
      </c>
      <c r="X1167" s="652">
        <f>VLOOKUP(A1167,'[1]Raw data'!$B:$BA,31,FALSE)</f>
        <v>44551</v>
      </c>
      <c r="Y1167" s="652" t="str">
        <f>VLOOKUP(A1167,'[1]Raw data'!$B:$AS,39,FALSE)</f>
        <v>Yes</v>
      </c>
      <c r="Z1167" s="664"/>
      <c r="AA1167" s="665"/>
      <c r="AB1167" s="666"/>
      <c r="AC1167" s="652" t="s">
        <v>2242</v>
      </c>
      <c r="AD1167" s="667">
        <v>302</v>
      </c>
      <c r="AE1167" s="667">
        <v>10</v>
      </c>
      <c r="AF1167" s="667">
        <v>303</v>
      </c>
      <c r="AG1167" s="667">
        <v>10</v>
      </c>
      <c r="AH1167" s="667"/>
      <c r="AI1167" s="668"/>
      <c r="AN1167" s="547"/>
      <c r="AO1167" s="829" t="str">
        <f t="shared" si="246"/>
        <v>Yes</v>
      </c>
      <c r="AP1167" s="259" t="str">
        <f t="shared" si="247"/>
        <v>MAY 22</v>
      </c>
      <c r="AQ1167" s="547" t="str">
        <f t="shared" si="248"/>
        <v>有定金+有預留客戶</v>
      </c>
      <c r="AR1167" s="259" t="str">
        <f t="shared" si="249"/>
        <v>Shipped_Stock</v>
      </c>
      <c r="AS1167" s="259" t="str">
        <f t="shared" si="250"/>
        <v/>
      </c>
      <c r="AT1167" s="259" t="str">
        <f t="shared" si="251"/>
        <v>微克（end user：蓝极光）</v>
      </c>
      <c r="AU1167" s="259" t="str">
        <f t="shared" si="252"/>
        <v>C49SZX20220030SS</v>
      </c>
      <c r="AV1167" s="259" t="str">
        <f t="shared" si="253"/>
        <v>May-19</v>
      </c>
    </row>
    <row r="1168" spans="1:48" ht="13.5" hidden="1" thickBot="1">
      <c r="A1168" s="564">
        <v>1597</v>
      </c>
      <c r="B1168" s="669" t="s">
        <v>280</v>
      </c>
      <c r="C1168" s="669" t="s">
        <v>281</v>
      </c>
      <c r="D1168" s="629">
        <v>110882</v>
      </c>
      <c r="E1168" s="567" t="s">
        <v>886</v>
      </c>
      <c r="F1168" s="652" t="s">
        <v>58</v>
      </c>
      <c r="G1168" s="652" t="s">
        <v>24</v>
      </c>
      <c r="H1168" s="652" t="s">
        <v>26</v>
      </c>
      <c r="I1168" s="580" t="s">
        <v>2245</v>
      </c>
      <c r="J1168" s="580">
        <v>1</v>
      </c>
      <c r="K1168" s="568" t="s">
        <v>85</v>
      </c>
      <c r="L1168" s="662">
        <v>44700</v>
      </c>
      <c r="M1168" s="670" t="s">
        <v>2246</v>
      </c>
      <c r="N1168" s="652" t="s">
        <v>1982</v>
      </c>
      <c r="O1168" s="580">
        <v>2022.4</v>
      </c>
      <c r="P1168" s="670" t="str">
        <f>VLOOKUP(A1168,'[1]Raw data'!$B:$BA,23,FALSE)</f>
        <v>JPY</v>
      </c>
      <c r="Q1168" s="652" t="str">
        <f>VLOOKUP(A1168,'[1]Raw data'!$B:$Z,2,FALSE)</f>
        <v>C49SZX20220021SS</v>
      </c>
      <c r="R1168" s="652" t="str">
        <f>VLOOKUP(A1168,'[1]Raw data'!$B:$Z,3,FALSE)</f>
        <v>钧溢电子</v>
      </c>
      <c r="S1168" s="652" t="str">
        <f>VLOOKUP(A1168,'[1]Raw data'!$B:$Z,4,FALSE)</f>
        <v>YSM20R-2</v>
      </c>
      <c r="T1168" s="652" t="str">
        <f>VLOOKUP(A1168,'[1]Raw data'!$B:$Z,8,FALSE)</f>
        <v>L-&gt;R</v>
      </c>
      <c r="U1168" s="652" t="str">
        <f>VLOOKUP(A1168,'[1]Raw data'!$B:$Z,9,FALSE)</f>
        <v>No</v>
      </c>
      <c r="V1168" s="572" t="str">
        <f t="shared" si="256"/>
        <v>OK</v>
      </c>
      <c r="W1168" s="568" t="str">
        <f>VLOOKUP(A1168,'[1]Raw data'!$B:$AG,32,FALSE)</f>
        <v>DAP SZ</v>
      </c>
      <c r="X1168" s="652">
        <f>VLOOKUP(A1168,'[1]Raw data'!$B:$BA,31,FALSE)</f>
        <v>44617</v>
      </c>
      <c r="Y1168" s="652" t="str">
        <f>VLOOKUP(A1168,'[1]Raw data'!$B:$AS,39,FALSE)</f>
        <v>Yes</v>
      </c>
      <c r="Z1168" s="664"/>
      <c r="AA1168" s="665"/>
      <c r="AB1168" s="666"/>
      <c r="AC1168" s="652" t="s">
        <v>2247</v>
      </c>
      <c r="AD1168" s="667">
        <v>302</v>
      </c>
      <c r="AE1168" s="667">
        <v>10</v>
      </c>
      <c r="AF1168" s="667">
        <v>303</v>
      </c>
      <c r="AG1168" s="667">
        <v>10</v>
      </c>
      <c r="AH1168" s="667"/>
      <c r="AI1168" s="668"/>
      <c r="AN1168" s="547"/>
      <c r="AO1168" s="829" t="str">
        <f t="shared" si="246"/>
        <v>Yes</v>
      </c>
      <c r="AP1168" s="259" t="str">
        <f t="shared" si="247"/>
        <v>JUN 22</v>
      </c>
      <c r="AQ1168" s="547" t="str">
        <f t="shared" si="248"/>
        <v>有定金+有預留客戶</v>
      </c>
      <c r="AR1168" s="259" t="str">
        <f t="shared" si="249"/>
        <v>Shipped_Stock</v>
      </c>
      <c r="AS1168" s="259" t="str">
        <f t="shared" si="250"/>
        <v/>
      </c>
      <c r="AT1168" s="259" t="str">
        <f t="shared" si="251"/>
        <v>钧溢电子</v>
      </c>
      <c r="AU1168" s="259" t="str">
        <f t="shared" si="252"/>
        <v>C49SZX20220021SS</v>
      </c>
      <c r="AV1168" s="259" t="str">
        <f t="shared" si="253"/>
        <v>May-19</v>
      </c>
    </row>
    <row r="1169" spans="1:48" ht="13.5" hidden="1">
      <c r="A1169" s="604">
        <v>1655</v>
      </c>
      <c r="B1169" s="669" t="s">
        <v>1125</v>
      </c>
      <c r="C1169" s="669" t="s">
        <v>281</v>
      </c>
      <c r="D1169" s="628">
        <v>110873</v>
      </c>
      <c r="E1169" s="651" t="s">
        <v>2248</v>
      </c>
      <c r="F1169" s="652" t="s">
        <v>17</v>
      </c>
      <c r="G1169" s="652" t="s">
        <v>18</v>
      </c>
      <c r="H1169" s="652" t="s">
        <v>48</v>
      </c>
      <c r="I1169" s="580" t="s">
        <v>2249</v>
      </c>
      <c r="J1169" s="580">
        <v>1</v>
      </c>
      <c r="K1169" s="652" t="s">
        <v>85</v>
      </c>
      <c r="L1169" s="662">
        <v>44702</v>
      </c>
      <c r="M1169" s="670" t="s">
        <v>2250</v>
      </c>
      <c r="N1169" s="652" t="s">
        <v>221</v>
      </c>
      <c r="O1169" s="580">
        <v>2022.4</v>
      </c>
      <c r="P1169" s="670" t="str">
        <f>VLOOKUP(A1169,'[1]Raw data'!$B:$BA,23,FALSE)</f>
        <v>JPY</v>
      </c>
      <c r="Q1169" s="652" t="str">
        <f>VLOOKUP(A1169,'[1]Raw data'!$B:$Z,2,FALSE)</f>
        <v>C49SZX20220049JY</v>
      </c>
      <c r="R1169" s="652" t="str">
        <f>VLOOKUP(A1169,'[1]Raw data'!$B:$Z,3,FALSE)</f>
        <v>辉拓</v>
      </c>
      <c r="S1169" s="652" t="str">
        <f>VLOOKUP(A1169,'[1]Raw data'!$B:$Z,4,FALSE)</f>
        <v>YSM10</v>
      </c>
      <c r="T1169" s="652" t="str">
        <f>VLOOKUP(A1169,'[1]Raw data'!$B:$Z,8,FALSE)</f>
        <v>L-&gt;R</v>
      </c>
      <c r="U1169" s="652" t="str">
        <f>VLOOKUP(A1169,'[1]Raw data'!$B:$Z,9,FALSE)</f>
        <v>MVC F&amp;R+ATS15</v>
      </c>
      <c r="V1169" s="572" t="str">
        <f t="shared" si="255"/>
        <v>WRONG</v>
      </c>
      <c r="W1169" s="568" t="str">
        <f>VLOOKUP(A1169,'[1]Raw data'!$B:$AG,32,FALSE)</f>
        <v>CIF HK</v>
      </c>
      <c r="X1169" s="652">
        <f>VLOOKUP(A1169,'[1]Raw data'!$B:$BA,31,FALSE)</f>
        <v>44672</v>
      </c>
      <c r="Y1169" s="652" t="str">
        <f>VLOOKUP(A1169,'[1]Raw data'!$B:$AS,39,FALSE)</f>
        <v>Yes</v>
      </c>
      <c r="Z1169" s="664"/>
      <c r="AA1169" s="665"/>
      <c r="AB1169" s="666"/>
      <c r="AC1169" s="652" t="s">
        <v>2251</v>
      </c>
      <c r="AD1169" s="580">
        <v>302</v>
      </c>
      <c r="AE1169" s="580">
        <v>10</v>
      </c>
      <c r="AF1169" s="580"/>
      <c r="AG1169" s="580"/>
      <c r="AH1169" s="580"/>
      <c r="AI1169" s="684"/>
      <c r="AJ1169" s="569"/>
      <c r="AK1169" s="569"/>
      <c r="AL1169" s="569"/>
      <c r="AM1169" s="569"/>
      <c r="AN1169" s="619"/>
      <c r="AO1169" s="829" t="str">
        <f t="shared" si="246"/>
        <v>Yes</v>
      </c>
      <c r="AP1169" s="259" t="str">
        <f t="shared" si="247"/>
        <v>AUG 22</v>
      </c>
      <c r="AQ1169" s="547" t="str">
        <f t="shared" si="248"/>
        <v>有定金+有預留客戶</v>
      </c>
      <c r="AR1169" s="259" t="str">
        <f t="shared" si="249"/>
        <v>Shipped_Stock</v>
      </c>
      <c r="AS1169" s="259" t="str">
        <f t="shared" si="250"/>
        <v/>
      </c>
      <c r="AT1169" s="259" t="str">
        <f t="shared" si="251"/>
        <v>辉拓</v>
      </c>
      <c r="AU1169" s="259" t="str">
        <f t="shared" si="252"/>
        <v>C49SZX20220049JY</v>
      </c>
      <c r="AV1169" s="259" t="str">
        <f t="shared" si="253"/>
        <v>May-21</v>
      </c>
    </row>
    <row r="1170" spans="1:48" hidden="1">
      <c r="A1170" s="564">
        <v>1704</v>
      </c>
      <c r="B1170" s="669" t="s">
        <v>1125</v>
      </c>
      <c r="C1170" s="669" t="s">
        <v>281</v>
      </c>
      <c r="D1170" s="630">
        <v>110873</v>
      </c>
      <c r="E1170" s="651" t="s">
        <v>2248</v>
      </c>
      <c r="F1170" s="652" t="s">
        <v>17</v>
      </c>
      <c r="G1170" s="652" t="s">
        <v>18</v>
      </c>
      <c r="H1170" s="652" t="s">
        <v>48</v>
      </c>
      <c r="I1170" s="580" t="s">
        <v>2252</v>
      </c>
      <c r="J1170" s="580">
        <v>1</v>
      </c>
      <c r="K1170" s="652" t="s">
        <v>78</v>
      </c>
      <c r="L1170" s="662">
        <v>44702</v>
      </c>
      <c r="M1170" s="670" t="s">
        <v>2253</v>
      </c>
      <c r="N1170" s="652" t="s">
        <v>221</v>
      </c>
      <c r="O1170" s="580">
        <v>2022.4</v>
      </c>
      <c r="P1170" s="670" t="str">
        <f>VLOOKUP(A1170,'[1]Raw data'!$B:$BA,23,FALSE)</f>
        <v>JPY</v>
      </c>
      <c r="Q1170" s="652" t="str">
        <f>VLOOKUP(A1170,'[1]Raw data'!$B:$Z,2,FALSE)</f>
        <v>C49SZX20220073DZ</v>
      </c>
      <c r="R1170" s="652" t="str">
        <f>VLOOKUP(A1170,'[1]Raw data'!$B:$Z,3,FALSE)</f>
        <v>朗特</v>
      </c>
      <c r="S1170" s="652" t="str">
        <f>VLOOKUP(A1170,'[1]Raw data'!$B:$Z,4,FALSE)</f>
        <v>YSM10</v>
      </c>
      <c r="T1170" s="652" t="str">
        <f>VLOOKUP(A1170,'[1]Raw data'!$B:$Z,8,FALSE)</f>
        <v>L-&gt;R</v>
      </c>
      <c r="U1170" s="652" t="str">
        <f>VLOOKUP(A1170,'[1]Raw data'!$B:$Z,9,FALSE)</f>
        <v>MVC+ATS15</v>
      </c>
      <c r="V1170" s="572" t="str">
        <f t="shared" si="255"/>
        <v>WRONG</v>
      </c>
      <c r="W1170" s="568" t="str">
        <f>VLOOKUP(A1170,'[1]Raw data'!$B:$AG,32,FALSE)</f>
        <v>CIF HK</v>
      </c>
      <c r="X1170" s="652">
        <f>VLOOKUP(A1170,'[1]Raw data'!$B:$BA,31,FALSE)</f>
        <v>44754</v>
      </c>
      <c r="Y1170" s="652" t="str">
        <f>VLOOKUP(A1170,'[1]Raw data'!$B:$AS,39,FALSE)</f>
        <v>Yes</v>
      </c>
      <c r="Z1170" s="664"/>
      <c r="AA1170" s="665"/>
      <c r="AB1170" s="666"/>
      <c r="AC1170" s="652" t="s">
        <v>933</v>
      </c>
      <c r="AD1170" s="667">
        <v>302</v>
      </c>
      <c r="AE1170" s="667">
        <v>10</v>
      </c>
      <c r="AF1170" s="667"/>
      <c r="AG1170" s="667"/>
      <c r="AH1170" s="667"/>
      <c r="AI1170" s="668"/>
      <c r="AN1170" s="547"/>
      <c r="AO1170" s="829" t="str">
        <f t="shared" si="246"/>
        <v>Yes</v>
      </c>
      <c r="AP1170" s="259" t="str">
        <f t="shared" si="247"/>
        <v>AUG 22</v>
      </c>
      <c r="AQ1170" s="547" t="str">
        <f t="shared" si="248"/>
        <v>有定金+有預留客戶</v>
      </c>
      <c r="AR1170" s="259" t="str">
        <f t="shared" si="249"/>
        <v>Shipped_Stock</v>
      </c>
      <c r="AS1170" s="259" t="str">
        <f t="shared" si="250"/>
        <v/>
      </c>
      <c r="AT1170" s="259" t="str">
        <f t="shared" si="251"/>
        <v>朗特</v>
      </c>
      <c r="AU1170" s="259" t="str">
        <f t="shared" si="252"/>
        <v>C49SZX20220073DZ</v>
      </c>
      <c r="AV1170" s="259" t="str">
        <f t="shared" si="253"/>
        <v>May-21</v>
      </c>
    </row>
    <row r="1171" spans="1:48" ht="12" hidden="1" customHeight="1">
      <c r="A1171" s="604">
        <v>1628</v>
      </c>
      <c r="B1171" s="669" t="s">
        <v>1125</v>
      </c>
      <c r="C1171" s="669" t="s">
        <v>281</v>
      </c>
      <c r="D1171" s="630">
        <v>110873</v>
      </c>
      <c r="E1171" s="651" t="s">
        <v>2248</v>
      </c>
      <c r="F1171" s="652" t="s">
        <v>17</v>
      </c>
      <c r="G1171" s="652" t="s">
        <v>18</v>
      </c>
      <c r="H1171" s="652" t="s">
        <v>102</v>
      </c>
      <c r="I1171" s="580" t="s">
        <v>2254</v>
      </c>
      <c r="J1171" s="580">
        <v>1</v>
      </c>
      <c r="K1171" s="652" t="s">
        <v>85</v>
      </c>
      <c r="L1171" s="662">
        <v>44702</v>
      </c>
      <c r="M1171" s="670" t="s">
        <v>906</v>
      </c>
      <c r="N1171" s="652" t="s">
        <v>2231</v>
      </c>
      <c r="O1171" s="580">
        <v>2022.4</v>
      </c>
      <c r="P1171" s="670" t="str">
        <f>VLOOKUP(A1171,'[1]Raw data'!$B:$BA,23,FALSE)</f>
        <v>JPY</v>
      </c>
      <c r="Q1171" s="652" t="str">
        <f>VLOOKUP(A1171,'[1]Raw data'!$B:$Z,2,FALSE)</f>
        <v>C49SZX20220035R1SS</v>
      </c>
      <c r="R1171" s="652" t="str">
        <f>VLOOKUP(A1171,'[1]Raw data'!$B:$Z,3,FALSE)</f>
        <v>中润互联</v>
      </c>
      <c r="S1171" s="652" t="str">
        <f>VLOOKUP(A1171,'[1]Raw data'!$B:$Z,4,FALSE)</f>
        <v>YSM10</v>
      </c>
      <c r="T1171" s="652" t="str">
        <f>VLOOKUP(A1171,'[1]Raw data'!$B:$Z,8,FALSE)</f>
        <v>R-&gt;L</v>
      </c>
      <c r="U1171" s="652" t="str">
        <f>VLOOKUP(A1171,'[1]Raw data'!$B:$Z,9,FALSE)</f>
        <v>MVC</v>
      </c>
      <c r="V1171" s="572" t="str">
        <f>IF(G1171&amp;H1171=T1171&amp;U1171,"OK","WRONG")</f>
        <v>WRONG</v>
      </c>
      <c r="W1171" s="568" t="str">
        <f>VLOOKUP(A1171,'[1]Raw data'!$B:$AG,32,FALSE)</f>
        <v>DAP SZ</v>
      </c>
      <c r="X1171" s="652">
        <f>VLOOKUP(A1171,'[1]Raw data'!$B:$BA,31,FALSE)</f>
        <v>44641</v>
      </c>
      <c r="Y1171" s="652" t="str">
        <f>VLOOKUP(A1171,'[1]Raw data'!$B:$AS,39,FALSE)</f>
        <v>Yes</v>
      </c>
      <c r="Z1171" s="664"/>
      <c r="AA1171" s="665"/>
      <c r="AB1171" s="666"/>
      <c r="AC1171" s="652" t="s">
        <v>2255</v>
      </c>
      <c r="AD1171" s="580">
        <v>302</v>
      </c>
      <c r="AE1171" s="580">
        <v>10</v>
      </c>
      <c r="AF1171" s="580"/>
      <c r="AG1171" s="580"/>
      <c r="AH1171" s="580"/>
      <c r="AI1171" s="684"/>
      <c r="AJ1171" s="569"/>
      <c r="AK1171" s="569"/>
      <c r="AL1171" s="569"/>
      <c r="AM1171" s="569"/>
      <c r="AN1171" s="619"/>
      <c r="AO1171" s="829" t="str">
        <f t="shared" si="246"/>
        <v>Yes</v>
      </c>
      <c r="AP1171" s="259" t="str">
        <f t="shared" si="247"/>
        <v>JUL 22</v>
      </c>
      <c r="AQ1171" s="547" t="str">
        <f t="shared" si="248"/>
        <v>有定金+有預留客戶</v>
      </c>
      <c r="AR1171" s="259" t="str">
        <f t="shared" si="249"/>
        <v>Shipped_Stock</v>
      </c>
      <c r="AS1171" s="259" t="str">
        <f t="shared" si="250"/>
        <v/>
      </c>
      <c r="AT1171" s="259" t="str">
        <f t="shared" si="251"/>
        <v>中润互联</v>
      </c>
      <c r="AU1171" s="259" t="str">
        <f t="shared" si="252"/>
        <v>C49SZX20220035R1SS</v>
      </c>
      <c r="AV1171" s="259" t="str">
        <f t="shared" si="253"/>
        <v>May-21</v>
      </c>
    </row>
    <row r="1172" spans="1:48" ht="13.5" hidden="1" thickBot="1">
      <c r="A1172" s="564">
        <v>1580</v>
      </c>
      <c r="B1172" s="669" t="s">
        <v>1125</v>
      </c>
      <c r="C1172" s="565" t="s">
        <v>281</v>
      </c>
      <c r="D1172" s="629">
        <v>110874</v>
      </c>
      <c r="E1172" s="567" t="s">
        <v>2256</v>
      </c>
      <c r="F1172" s="568" t="s">
        <v>17</v>
      </c>
      <c r="G1172" s="568" t="s">
        <v>18</v>
      </c>
      <c r="H1172" s="568" t="s">
        <v>48</v>
      </c>
      <c r="I1172" s="569" t="s">
        <v>2257</v>
      </c>
      <c r="J1172" s="569">
        <v>1</v>
      </c>
      <c r="K1172" s="568" t="s">
        <v>85</v>
      </c>
      <c r="L1172" s="662">
        <v>44702</v>
      </c>
      <c r="M1172" s="670" t="s">
        <v>906</v>
      </c>
      <c r="N1172" s="652" t="s">
        <v>1982</v>
      </c>
      <c r="O1172" s="580">
        <v>2022.4</v>
      </c>
      <c r="P1172" s="670" t="str">
        <f>VLOOKUP(A1172,'[1]Raw data'!$B:$BA,23,FALSE)</f>
        <v>JPY</v>
      </c>
      <c r="Q1172" s="652" t="str">
        <f>VLOOKUP(A1172,'[1]Raw data'!$B:$Z,2,FALSE)</f>
        <v>C49SZX20220016JL</v>
      </c>
      <c r="R1172" s="652" t="str">
        <f>VLOOKUP(A1172,'[1]Raw data'!$B:$Z,3,FALSE)</f>
        <v>伯莱科</v>
      </c>
      <c r="S1172" s="652" t="str">
        <f>VLOOKUP(A1172,'[1]Raw data'!$B:$Z,4,FALSE)</f>
        <v>YSM10</v>
      </c>
      <c r="T1172" s="652" t="str">
        <f>VLOOKUP(A1172,'[1]Raw data'!$B:$Z,8,FALSE)</f>
        <v>L-&gt;R</v>
      </c>
      <c r="U1172" s="652" t="str">
        <f>VLOOKUP(A1172,'[1]Raw data'!$B:$Z,9,FALSE)</f>
        <v>MVC+ATS15</v>
      </c>
      <c r="V1172" s="572" t="str">
        <f>IF(G1172&amp;H1172=T1172&amp;U1172,"OK","WRONG")</f>
        <v>WRONG</v>
      </c>
      <c r="W1172" s="568" t="str">
        <f>VLOOKUP(A1172,'[1]Raw data'!$B:$AG,32,FALSE)</f>
        <v>DAP SZ</v>
      </c>
      <c r="X1172" s="652">
        <f>VLOOKUP(A1172,'[1]Raw data'!$B:$BA,31,FALSE)</f>
        <v>44607</v>
      </c>
      <c r="Y1172" s="652" t="str">
        <f>VLOOKUP(A1172,'[1]Raw data'!$B:$AS,39,FALSE)</f>
        <v>Yes</v>
      </c>
      <c r="Z1172" s="664"/>
      <c r="AA1172" s="665"/>
      <c r="AB1172" s="666"/>
      <c r="AC1172" s="652" t="s">
        <v>1951</v>
      </c>
      <c r="AD1172" s="667">
        <v>302</v>
      </c>
      <c r="AE1172" s="667">
        <v>10</v>
      </c>
      <c r="AF1172" s="667"/>
      <c r="AG1172" s="667"/>
      <c r="AH1172" s="667"/>
      <c r="AI1172" s="668"/>
      <c r="AN1172" s="547"/>
      <c r="AO1172" s="829" t="str">
        <f t="shared" si="246"/>
        <v>Yes</v>
      </c>
      <c r="AP1172" s="259" t="str">
        <f t="shared" si="247"/>
        <v>JUN 22</v>
      </c>
      <c r="AQ1172" s="547" t="str">
        <f t="shared" si="248"/>
        <v>有定金+有預留客戶</v>
      </c>
      <c r="AR1172" s="259" t="str">
        <f t="shared" si="249"/>
        <v>Shipped_Stock</v>
      </c>
      <c r="AS1172" s="259" t="str">
        <f t="shared" si="250"/>
        <v/>
      </c>
      <c r="AT1172" s="259" t="str">
        <f t="shared" si="251"/>
        <v>伯莱科</v>
      </c>
      <c r="AU1172" s="259" t="str">
        <f t="shared" si="252"/>
        <v>C49SZX20220016JL</v>
      </c>
      <c r="AV1172" s="259" t="str">
        <f t="shared" si="253"/>
        <v>May-21</v>
      </c>
    </row>
    <row r="1173" spans="1:48" hidden="1">
      <c r="A1173" s="564">
        <v>1605</v>
      </c>
      <c r="B1173" s="669" t="s">
        <v>1125</v>
      </c>
      <c r="C1173" s="669" t="s">
        <v>281</v>
      </c>
      <c r="D1173" s="628">
        <v>110869</v>
      </c>
      <c r="E1173" s="749" t="s">
        <v>2258</v>
      </c>
      <c r="F1173" s="652" t="s">
        <v>58</v>
      </c>
      <c r="G1173" s="652" t="s">
        <v>24</v>
      </c>
      <c r="H1173" s="652" t="s">
        <v>2259</v>
      </c>
      <c r="I1173" s="580" t="s">
        <v>2260</v>
      </c>
      <c r="J1173" s="580">
        <v>1</v>
      </c>
      <c r="K1173" s="652" t="s">
        <v>78</v>
      </c>
      <c r="L1173" s="662">
        <v>44704</v>
      </c>
      <c r="M1173" s="670" t="s">
        <v>906</v>
      </c>
      <c r="N1173" s="652" t="s">
        <v>1982</v>
      </c>
      <c r="O1173" s="580">
        <v>2022.4</v>
      </c>
      <c r="P1173" s="670" t="str">
        <f>VLOOKUP(A1173,'[1]Raw data'!$B:$BA,23,FALSE)</f>
        <v>JPY</v>
      </c>
      <c r="Q1173" s="652" t="str">
        <f>VLOOKUP(A1173,'[1]Raw data'!$B:$Z,2,FALSE)</f>
        <v>C49SZX20220028R1SX</v>
      </c>
      <c r="R1173" s="652" t="str">
        <f>VLOOKUP(A1173,'[1]Raw data'!$B:$Z,3,FALSE)</f>
        <v>通达科信</v>
      </c>
      <c r="S1173" s="652" t="str">
        <f>VLOOKUP(A1173,'[1]Raw data'!$B:$Z,4,FALSE)</f>
        <v>YSM20R-2</v>
      </c>
      <c r="T1173" s="652" t="str">
        <f>VLOOKUP(A1173,'[1]Raw data'!$B:$Z,8,FALSE)</f>
        <v>L-&gt;R</v>
      </c>
      <c r="U1173" s="652" t="str">
        <f>VLOOKUP(A1173,'[1]Raw data'!$B:$Z,9,FALSE)</f>
        <v>cATS10+MVC+6pcs special layout</v>
      </c>
      <c r="V1173" s="572" t="str">
        <f t="shared" ref="V1173:V1179" si="257">IF(G1173&amp;H1173=T1173&amp;U1173,"OK","WRONG")</f>
        <v>OK</v>
      </c>
      <c r="W1173" s="568" t="str">
        <f>VLOOKUP(A1173,'[1]Raw data'!$B:$AG,32,FALSE)</f>
        <v>CIF HK</v>
      </c>
      <c r="X1173" s="652">
        <f>VLOOKUP(A1173,'[1]Raw data'!$B:$BA,31,FALSE)</f>
        <v>44627</v>
      </c>
      <c r="Y1173" s="652" t="str">
        <f>VLOOKUP(A1173,'[1]Raw data'!$B:$AS,39,FALSE)</f>
        <v>Yes</v>
      </c>
      <c r="Z1173" s="664"/>
      <c r="AA1173" s="665"/>
      <c r="AB1173" s="666"/>
      <c r="AC1173" s="652" t="s">
        <v>1951</v>
      </c>
      <c r="AD1173" s="667">
        <v>301</v>
      </c>
      <c r="AE1173" s="667">
        <v>20</v>
      </c>
      <c r="AF1173" s="667"/>
      <c r="AG1173" s="667"/>
      <c r="AH1173" s="667"/>
      <c r="AI1173" s="668"/>
      <c r="AN1173" s="547"/>
      <c r="AO1173" s="829" t="str">
        <f t="shared" si="246"/>
        <v>Yes</v>
      </c>
      <c r="AP1173" s="259" t="str">
        <f t="shared" si="247"/>
        <v>JUN 22</v>
      </c>
      <c r="AQ1173" s="547" t="str">
        <f t="shared" si="248"/>
        <v>有定金+有預留客戶</v>
      </c>
      <c r="AR1173" s="259" t="str">
        <f t="shared" si="249"/>
        <v>Shipped_Stock</v>
      </c>
      <c r="AS1173" s="259" t="str">
        <f t="shared" si="250"/>
        <v/>
      </c>
      <c r="AT1173" s="259" t="str">
        <f t="shared" si="251"/>
        <v>通达科信</v>
      </c>
      <c r="AU1173" s="259" t="str">
        <f t="shared" si="252"/>
        <v>C49SZX20220028R1SX</v>
      </c>
      <c r="AV1173" s="259" t="str">
        <f t="shared" si="253"/>
        <v>May-23</v>
      </c>
    </row>
    <row r="1174" spans="1:48" hidden="1">
      <c r="A1174" s="604">
        <v>1601</v>
      </c>
      <c r="B1174" s="669" t="s">
        <v>1125</v>
      </c>
      <c r="C1174" s="669" t="s">
        <v>281</v>
      </c>
      <c r="D1174" s="630">
        <v>110866</v>
      </c>
      <c r="E1174" s="651" t="s">
        <v>2261</v>
      </c>
      <c r="F1174" s="652" t="s">
        <v>58</v>
      </c>
      <c r="G1174" s="652" t="s">
        <v>24</v>
      </c>
      <c r="H1174" s="652" t="s">
        <v>26</v>
      </c>
      <c r="I1174" s="580" t="s">
        <v>2262</v>
      </c>
      <c r="J1174" s="580">
        <v>1</v>
      </c>
      <c r="K1174" s="568" t="s">
        <v>85</v>
      </c>
      <c r="L1174" s="662">
        <v>44704</v>
      </c>
      <c r="M1174" s="670" t="s">
        <v>906</v>
      </c>
      <c r="N1174" s="652" t="s">
        <v>1982</v>
      </c>
      <c r="O1174" s="580">
        <v>2022.4</v>
      </c>
      <c r="P1174" s="670" t="str">
        <f>VLOOKUP(A1174,'[1]Raw data'!$B:$BA,23,FALSE)</f>
        <v>JPY</v>
      </c>
      <c r="Q1174" s="652" t="str">
        <f>VLOOKUP(A1174,'[1]Raw data'!$B:$Z,2,FALSE)</f>
        <v>C49SZX20220026SX</v>
      </c>
      <c r="R1174" s="652" t="str">
        <f>VLOOKUP(A1174,'[1]Raw data'!$B:$Z,3,FALSE)</f>
        <v>骏仁达</v>
      </c>
      <c r="S1174" s="652" t="str">
        <f>VLOOKUP(A1174,'[1]Raw data'!$B:$Z,4,FALSE)</f>
        <v>YSM20R-2</v>
      </c>
      <c r="T1174" s="652" t="str">
        <f>VLOOKUP(A1174,'[1]Raw data'!$B:$Z,8,FALSE)</f>
        <v>L-&gt;R</v>
      </c>
      <c r="U1174" s="652" t="str">
        <f>VLOOKUP(A1174,'[1]Raw data'!$B:$Z,9,FALSE)</f>
        <v>No</v>
      </c>
      <c r="V1174" s="572" t="str">
        <f t="shared" si="257"/>
        <v>OK</v>
      </c>
      <c r="W1174" s="568" t="str">
        <f>VLOOKUP(A1174,'[1]Raw data'!$B:$AG,32,FALSE)</f>
        <v>DAP SZ</v>
      </c>
      <c r="X1174" s="652">
        <f>VLOOKUP(A1174,'[1]Raw data'!$B:$BA,31,FALSE)</f>
        <v>44621</v>
      </c>
      <c r="Y1174" s="652" t="str">
        <f>VLOOKUP(A1174,'[1]Raw data'!$B:$AS,39,FALSE)</f>
        <v>Yes</v>
      </c>
      <c r="Z1174" s="664"/>
      <c r="AA1174" s="665"/>
      <c r="AB1174" s="666"/>
      <c r="AC1174" s="652" t="s">
        <v>2263</v>
      </c>
      <c r="AD1174" s="580">
        <v>302</v>
      </c>
      <c r="AE1174" s="580">
        <v>20</v>
      </c>
      <c r="AF1174" s="580"/>
      <c r="AG1174" s="580"/>
      <c r="AH1174" s="580"/>
      <c r="AI1174" s="684"/>
      <c r="AJ1174" s="569"/>
      <c r="AK1174" s="569"/>
      <c r="AL1174" s="569"/>
      <c r="AM1174" s="569"/>
      <c r="AN1174" s="619"/>
      <c r="AO1174" s="829" t="str">
        <f t="shared" si="246"/>
        <v>Yes</v>
      </c>
      <c r="AP1174" s="259" t="str">
        <f t="shared" si="247"/>
        <v>JUN 22</v>
      </c>
      <c r="AQ1174" s="547" t="str">
        <f t="shared" si="248"/>
        <v>有定金+有預留客戶</v>
      </c>
      <c r="AR1174" s="259" t="str">
        <f t="shared" si="249"/>
        <v>Shipped_Stock</v>
      </c>
      <c r="AS1174" s="259" t="str">
        <f t="shared" si="250"/>
        <v/>
      </c>
      <c r="AT1174" s="259" t="str">
        <f t="shared" si="251"/>
        <v>骏仁达</v>
      </c>
      <c r="AU1174" s="259" t="str">
        <f t="shared" si="252"/>
        <v>C49SZX20220026SX</v>
      </c>
      <c r="AV1174" s="259" t="str">
        <f t="shared" si="253"/>
        <v>May-23</v>
      </c>
    </row>
    <row r="1175" spans="1:48" hidden="1">
      <c r="A1175" s="564">
        <v>1528</v>
      </c>
      <c r="B1175" s="669" t="s">
        <v>1125</v>
      </c>
      <c r="C1175" s="669" t="s">
        <v>281</v>
      </c>
      <c r="D1175" s="630">
        <v>110866</v>
      </c>
      <c r="E1175" s="651" t="s">
        <v>2261</v>
      </c>
      <c r="F1175" s="652" t="s">
        <v>58</v>
      </c>
      <c r="G1175" s="652" t="s">
        <v>24</v>
      </c>
      <c r="H1175" s="652" t="s">
        <v>307</v>
      </c>
      <c r="I1175" s="580" t="s">
        <v>2264</v>
      </c>
      <c r="J1175" s="580">
        <v>1</v>
      </c>
      <c r="K1175" s="568" t="s">
        <v>85</v>
      </c>
      <c r="L1175" s="662">
        <v>44704</v>
      </c>
      <c r="M1175" s="670" t="s">
        <v>906</v>
      </c>
      <c r="N1175" s="652" t="s">
        <v>1903</v>
      </c>
      <c r="O1175" s="580">
        <v>2022.4</v>
      </c>
      <c r="P1175" s="670" t="str">
        <f>VLOOKUP(A1175,'[1]Raw data'!$B:$BA,23,FALSE)</f>
        <v>JPY</v>
      </c>
      <c r="Q1175" s="652" t="str">
        <f>VLOOKUP(A1175,'[1]Raw data'!$B:$Z,2,FALSE)</f>
        <v>C49SZX20220030SS</v>
      </c>
      <c r="R1175" s="652" t="str">
        <f>VLOOKUP(A1175,'[1]Raw data'!$B:$Z,3,FALSE)</f>
        <v>微克（end user：蓝极光）</v>
      </c>
      <c r="S1175" s="652" t="str">
        <f>VLOOKUP(A1175,'[1]Raw data'!$B:$Z,4,FALSE)</f>
        <v>YSM20R-2</v>
      </c>
      <c r="T1175" s="652" t="str">
        <f>VLOOKUP(A1175,'[1]Raw data'!$B:$Z,8,FALSE)</f>
        <v>L-&gt;R</v>
      </c>
      <c r="U1175" s="652" t="str">
        <f>VLOOKUP(A1175,'[1]Raw data'!$B:$Z,9,FALSE)</f>
        <v>No</v>
      </c>
      <c r="V1175" s="572" t="str">
        <f t="shared" si="257"/>
        <v>OK</v>
      </c>
      <c r="W1175" s="568" t="str">
        <f>VLOOKUP(A1175,'[1]Raw data'!$B:$AG,32,FALSE)</f>
        <v>DAP SZ</v>
      </c>
      <c r="X1175" s="652">
        <f>VLOOKUP(A1178,'[1]Raw data'!$B:$BA,31,FALSE)</f>
        <v>44644</v>
      </c>
      <c r="Y1175" s="652" t="str">
        <f>VLOOKUP(A1178,'[1]Raw data'!$B:$AS,39,FALSE)</f>
        <v>Yes</v>
      </c>
      <c r="Z1175" s="664"/>
      <c r="AA1175" s="665"/>
      <c r="AB1175" s="666"/>
      <c r="AC1175" s="652" t="s">
        <v>2242</v>
      </c>
      <c r="AD1175" s="667">
        <v>302</v>
      </c>
      <c r="AE1175" s="667">
        <v>20</v>
      </c>
      <c r="AF1175" s="667"/>
      <c r="AG1175" s="667"/>
      <c r="AH1175" s="667"/>
      <c r="AI1175" s="668"/>
      <c r="AN1175" s="547"/>
      <c r="AO1175" s="829" t="str">
        <f t="shared" si="246"/>
        <v>Yes</v>
      </c>
      <c r="AP1175" s="259" t="str">
        <f t="shared" si="247"/>
        <v>MAY 22</v>
      </c>
      <c r="AQ1175" s="547" t="str">
        <f t="shared" si="248"/>
        <v>有定金+有預留客戶</v>
      </c>
      <c r="AR1175" s="259" t="str">
        <f t="shared" si="249"/>
        <v>Shipped_Stock</v>
      </c>
      <c r="AS1175" s="259" t="str">
        <f t="shared" si="250"/>
        <v/>
      </c>
      <c r="AT1175" s="259" t="str">
        <f t="shared" si="251"/>
        <v>微克（end user：蓝极光）</v>
      </c>
      <c r="AU1175" s="259" t="str">
        <f t="shared" si="252"/>
        <v>C49SZX20220030SS</v>
      </c>
      <c r="AV1175" s="259" t="str">
        <f t="shared" si="253"/>
        <v>May-23</v>
      </c>
    </row>
    <row r="1176" spans="1:48" ht="13.5" hidden="1" thickBot="1">
      <c r="A1176" s="564">
        <v>1527</v>
      </c>
      <c r="B1176" s="669" t="s">
        <v>1125</v>
      </c>
      <c r="C1176" s="669" t="s">
        <v>281</v>
      </c>
      <c r="D1176" s="629">
        <v>110864</v>
      </c>
      <c r="E1176" s="651" t="s">
        <v>2265</v>
      </c>
      <c r="F1176" s="652" t="s">
        <v>58</v>
      </c>
      <c r="G1176" s="652" t="s">
        <v>24</v>
      </c>
      <c r="H1176" s="652" t="s">
        <v>26</v>
      </c>
      <c r="I1176" s="580" t="s">
        <v>2266</v>
      </c>
      <c r="J1176" s="580">
        <v>1</v>
      </c>
      <c r="K1176" s="568" t="s">
        <v>85</v>
      </c>
      <c r="L1176" s="662">
        <v>44704</v>
      </c>
      <c r="M1176" s="670" t="s">
        <v>906</v>
      </c>
      <c r="N1176" s="652" t="s">
        <v>1903</v>
      </c>
      <c r="O1176" s="580">
        <v>2022.4</v>
      </c>
      <c r="P1176" s="670" t="str">
        <f>VLOOKUP(A1176,'[1]Raw data'!$B:$BA,23,FALSE)</f>
        <v>JPY</v>
      </c>
      <c r="Q1176" s="652" t="str">
        <f>VLOOKUP(A1176,'[1]Raw data'!$B:$Z,2,FALSE)</f>
        <v>C49SZX20220030SS</v>
      </c>
      <c r="R1176" s="652" t="str">
        <f>VLOOKUP(A1176,'[1]Raw data'!$B:$Z,3,FALSE)</f>
        <v>微克（end user：蓝极光）</v>
      </c>
      <c r="S1176" s="652" t="str">
        <f>VLOOKUP(A1176,'[1]Raw data'!$B:$Z,4,FALSE)</f>
        <v>YSM20R-2</v>
      </c>
      <c r="T1176" s="652" t="str">
        <f>VLOOKUP(A1176,'[1]Raw data'!$B:$Z,8,FALSE)</f>
        <v>L-&gt;R</v>
      </c>
      <c r="U1176" s="652" t="str">
        <f>VLOOKUP(A1176,'[1]Raw data'!$B:$Z,9,FALSE)</f>
        <v>No</v>
      </c>
      <c r="V1176" s="572" t="str">
        <f>IF(G1176&amp;H1176=T1176&amp;U1176,"OK","WRONG")</f>
        <v>OK</v>
      </c>
      <c r="W1176" s="568" t="str">
        <f>VLOOKUP(A1176,'[1]Raw data'!$B:$AG,32,FALSE)</f>
        <v>DAP SZ</v>
      </c>
      <c r="X1176" s="652">
        <f>VLOOKUP(A1176,'[1]Raw data'!$B:$BA,31,FALSE)</f>
        <v>44551</v>
      </c>
      <c r="Y1176" s="652" t="str">
        <f>VLOOKUP(A1176,'[1]Raw data'!$B:$AS,39,FALSE)</f>
        <v>Yes</v>
      </c>
      <c r="Z1176" s="664"/>
      <c r="AA1176" s="665"/>
      <c r="AB1176" s="666"/>
      <c r="AC1176" s="652" t="s">
        <v>2242</v>
      </c>
      <c r="AD1176" s="667">
        <v>301</v>
      </c>
      <c r="AE1176" s="667">
        <v>20</v>
      </c>
      <c r="AF1176" s="667"/>
      <c r="AG1176" s="667"/>
      <c r="AH1176" s="667"/>
      <c r="AI1176" s="668"/>
      <c r="AN1176" s="547"/>
      <c r="AO1176" s="829" t="str">
        <f t="shared" si="246"/>
        <v>Yes</v>
      </c>
      <c r="AP1176" s="259" t="str">
        <f t="shared" si="247"/>
        <v>MAY 22</v>
      </c>
      <c r="AQ1176" s="547" t="str">
        <f t="shared" si="248"/>
        <v>有定金+有預留客戶</v>
      </c>
      <c r="AR1176" s="259" t="str">
        <f t="shared" si="249"/>
        <v>Shipped_Stock</v>
      </c>
      <c r="AS1176" s="259" t="str">
        <f t="shared" si="250"/>
        <v/>
      </c>
      <c r="AT1176" s="259" t="str">
        <f t="shared" si="251"/>
        <v>微克（end user：蓝极光）</v>
      </c>
      <c r="AU1176" s="259" t="str">
        <f t="shared" si="252"/>
        <v>C49SZX20220030SS</v>
      </c>
      <c r="AV1176" s="259" t="str">
        <f t="shared" si="253"/>
        <v>May-23</v>
      </c>
    </row>
    <row r="1177" spans="1:48" hidden="1">
      <c r="A1177" s="604">
        <v>1687</v>
      </c>
      <c r="B1177" s="669" t="s">
        <v>1125</v>
      </c>
      <c r="C1177" s="669" t="s">
        <v>281</v>
      </c>
      <c r="D1177" s="760">
        <v>110867</v>
      </c>
      <c r="E1177" s="651" t="s">
        <v>2248</v>
      </c>
      <c r="F1177" s="652" t="s">
        <v>58</v>
      </c>
      <c r="G1177" s="652" t="s">
        <v>18</v>
      </c>
      <c r="H1177" s="652" t="s">
        <v>26</v>
      </c>
      <c r="I1177" s="580" t="s">
        <v>2267</v>
      </c>
      <c r="J1177" s="580">
        <v>1</v>
      </c>
      <c r="K1177" s="785" t="s">
        <v>1419</v>
      </c>
      <c r="L1177" s="662">
        <v>44704</v>
      </c>
      <c r="M1177" s="670" t="s">
        <v>2268</v>
      </c>
      <c r="N1177" s="652" t="s">
        <v>2231</v>
      </c>
      <c r="O1177" s="580">
        <v>2022.4</v>
      </c>
      <c r="P1177" s="670" t="str">
        <f>VLOOKUP(A1177,'[1]Raw data'!$B:$BA,23,FALSE)</f>
        <v>RMB</v>
      </c>
      <c r="Q1177" s="652" t="str">
        <f>VLOOKUP(A1177,'[1]Raw data'!$B:$Z,2,FALSE)</f>
        <v>C49SZX20220072DZ</v>
      </c>
      <c r="R1177" s="652" t="str">
        <f>VLOOKUP(A1177,'[1]Raw data'!$B:$Z,3,FALSE)</f>
        <v>朗特</v>
      </c>
      <c r="S1177" s="652" t="str">
        <f>VLOOKUP(A1177,'[1]Raw data'!$B:$Z,4,FALSE)</f>
        <v>YSM20R-2</v>
      </c>
      <c r="T1177" s="652" t="str">
        <f>VLOOKUP(A1177,'[1]Raw data'!$B:$Z,8,FALSE)</f>
        <v>R-&gt;L</v>
      </c>
      <c r="U1177" s="652" t="str">
        <f>VLOOKUP(A1177,'[1]Raw data'!$B:$Z,9,FALSE)</f>
        <v>No</v>
      </c>
      <c r="V1177" s="572" t="str">
        <f t="shared" si="257"/>
        <v>OK</v>
      </c>
      <c r="W1177" s="568" t="str">
        <f>VLOOKUP(A1177,'[1]Raw data'!$B:$AG,32,FALSE)</f>
        <v>DDP SZ</v>
      </c>
      <c r="X1177" s="652">
        <f>VLOOKUP(A1177,'[1]Raw data'!$B:$BA,31,FALSE)</f>
        <v>44734</v>
      </c>
      <c r="Y1177" s="652" t="str">
        <f>VLOOKUP(A1177,'[1]Raw data'!$B:$AS,39,FALSE)</f>
        <v>Yes</v>
      </c>
      <c r="Z1177" s="715"/>
      <c r="AA1177" s="667"/>
      <c r="AB1177" s="667"/>
      <c r="AC1177" s="580" t="s">
        <v>2174</v>
      </c>
      <c r="AD1177" s="580">
        <v>303</v>
      </c>
      <c r="AE1177" s="580">
        <v>10</v>
      </c>
      <c r="AF1177" s="684">
        <v>304</v>
      </c>
      <c r="AG1177" s="569">
        <v>10</v>
      </c>
      <c r="AH1177" s="569"/>
      <c r="AI1177" s="569"/>
      <c r="AJ1177" s="569"/>
      <c r="AK1177" s="619"/>
      <c r="AL1177" s="619"/>
      <c r="AM1177" s="619"/>
      <c r="AN1177" s="619"/>
      <c r="AO1177" s="829" t="str">
        <f t="shared" si="246"/>
        <v>Yes</v>
      </c>
      <c r="AP1177" s="259" t="str">
        <f t="shared" si="247"/>
        <v>JUL 22</v>
      </c>
      <c r="AQ1177" s="547" t="str">
        <f t="shared" si="248"/>
        <v>有定金+有預留客戶</v>
      </c>
      <c r="AR1177" s="259" t="str">
        <f t="shared" si="249"/>
        <v>Shipped_Stock</v>
      </c>
      <c r="AS1177" s="259" t="str">
        <f t="shared" si="250"/>
        <v/>
      </c>
      <c r="AT1177" s="259" t="str">
        <f t="shared" si="251"/>
        <v>朗特</v>
      </c>
      <c r="AU1177" s="259" t="str">
        <f t="shared" si="252"/>
        <v>C49SZX20220072DZ</v>
      </c>
      <c r="AV1177" s="259" t="str">
        <f t="shared" si="253"/>
        <v>May-23</v>
      </c>
    </row>
    <row r="1178" spans="1:48" hidden="1">
      <c r="A1178" s="604">
        <v>1633</v>
      </c>
      <c r="B1178" s="669" t="s">
        <v>1125</v>
      </c>
      <c r="C1178" s="669" t="s">
        <v>281</v>
      </c>
      <c r="D1178" s="760">
        <v>110867</v>
      </c>
      <c r="E1178" s="651" t="s">
        <v>2248</v>
      </c>
      <c r="F1178" s="652" t="s">
        <v>58</v>
      </c>
      <c r="G1178" s="652" t="s">
        <v>18</v>
      </c>
      <c r="H1178" s="652" t="s">
        <v>26</v>
      </c>
      <c r="I1178" s="580" t="s">
        <v>2269</v>
      </c>
      <c r="J1178" s="580">
        <v>1</v>
      </c>
      <c r="K1178" s="568" t="s">
        <v>1419</v>
      </c>
      <c r="L1178" s="662">
        <v>44704</v>
      </c>
      <c r="M1178" s="670">
        <v>5.21E-2</v>
      </c>
      <c r="N1178" s="652" t="s">
        <v>1982</v>
      </c>
      <c r="O1178" s="580">
        <v>2022.4</v>
      </c>
      <c r="P1178" s="670" t="str">
        <f>VLOOKUP(A1178,'[1]Raw data'!$B:$BA,23,FALSE)</f>
        <v>RMB</v>
      </c>
      <c r="Q1178" s="652" t="str">
        <f>VLOOKUP(A1178,'[1]Raw data'!$B:$Z,2,FALSE)</f>
        <v>C49SZX20220038JY</v>
      </c>
      <c r="R1178" s="652" t="str">
        <f>VLOOKUP(A1178,'[1]Raw data'!$B:$Z,3,FALSE)</f>
        <v>和创永泰</v>
      </c>
      <c r="S1178" s="652" t="str">
        <f>VLOOKUP(A1178,'[1]Raw data'!$B:$Z,4,FALSE)</f>
        <v>YSM20R-2</v>
      </c>
      <c r="T1178" s="652" t="str">
        <f>VLOOKUP(A1178,'[1]Raw data'!$B:$Z,8,FALSE)</f>
        <v>R-&gt;L</v>
      </c>
      <c r="U1178" s="652" t="str">
        <f>VLOOKUP(A1178,'[1]Raw data'!$B:$Z,9,FALSE)</f>
        <v>No</v>
      </c>
      <c r="V1178" s="572" t="str">
        <f t="shared" si="257"/>
        <v>OK</v>
      </c>
      <c r="W1178" s="568" t="str">
        <f>VLOOKUP(A1178,'[1]Raw data'!$B:$AG,32,FALSE)</f>
        <v>DDP SZ</v>
      </c>
      <c r="X1178" s="652">
        <f>VLOOKUP(A1178,'[1]Raw data'!$B:$BA,31,FALSE)</f>
        <v>44644</v>
      </c>
      <c r="Y1178" s="652" t="str">
        <f>VLOOKUP(A1178,'[1]Raw data'!$B:$AS,39,FALSE)</f>
        <v>Yes</v>
      </c>
      <c r="Z1178" s="664"/>
      <c r="AA1178" s="665"/>
      <c r="AB1178" s="666"/>
      <c r="AC1178" s="652" t="s">
        <v>2270</v>
      </c>
      <c r="AD1178" s="580">
        <v>303</v>
      </c>
      <c r="AE1178" s="580">
        <v>20</v>
      </c>
      <c r="AF1178" s="580"/>
      <c r="AG1178" s="580"/>
      <c r="AH1178" s="580"/>
      <c r="AI1178" s="684"/>
      <c r="AJ1178" s="569"/>
      <c r="AK1178" s="569"/>
      <c r="AL1178" s="569"/>
      <c r="AM1178" s="569"/>
      <c r="AN1178" s="619"/>
      <c r="AO1178" s="829" t="str">
        <f t="shared" si="246"/>
        <v>Yes</v>
      </c>
      <c r="AP1178" s="259" t="str">
        <f t="shared" si="247"/>
        <v>JUN 22</v>
      </c>
      <c r="AQ1178" s="547" t="str">
        <f t="shared" si="248"/>
        <v>有定金+有預留客戶</v>
      </c>
      <c r="AR1178" s="259" t="str">
        <f t="shared" si="249"/>
        <v>Shipped_Stock</v>
      </c>
      <c r="AS1178" s="259" t="str">
        <f t="shared" si="250"/>
        <v/>
      </c>
      <c r="AT1178" s="259" t="str">
        <f t="shared" si="251"/>
        <v>和创永泰</v>
      </c>
      <c r="AU1178" s="259" t="str">
        <f t="shared" si="252"/>
        <v>C49SZX20220038JY</v>
      </c>
      <c r="AV1178" s="259" t="str">
        <f t="shared" si="253"/>
        <v>May-23</v>
      </c>
    </row>
    <row r="1179" spans="1:48" hidden="1">
      <c r="A1179" s="604">
        <v>1589</v>
      </c>
      <c r="B1179" s="669" t="s">
        <v>1125</v>
      </c>
      <c r="C1179" s="669" t="s">
        <v>281</v>
      </c>
      <c r="D1179" s="628">
        <v>110867</v>
      </c>
      <c r="E1179" s="567" t="s">
        <v>2248</v>
      </c>
      <c r="F1179" s="568" t="s">
        <v>58</v>
      </c>
      <c r="G1179" s="568" t="s">
        <v>18</v>
      </c>
      <c r="H1179" s="568" t="s">
        <v>26</v>
      </c>
      <c r="I1179" s="569" t="s">
        <v>2271</v>
      </c>
      <c r="J1179" s="569">
        <v>1</v>
      </c>
      <c r="K1179" s="568" t="s">
        <v>78</v>
      </c>
      <c r="L1179" s="662">
        <v>44704</v>
      </c>
      <c r="M1179" s="670">
        <v>5.21E-2</v>
      </c>
      <c r="N1179" s="652" t="s">
        <v>1982</v>
      </c>
      <c r="O1179" s="580">
        <v>2022.4</v>
      </c>
      <c r="P1179" s="670" t="str">
        <f>VLOOKUP(A1179,'[1]Raw data'!$B:$BA,23,FALSE)</f>
        <v>JPY</v>
      </c>
      <c r="Q1179" s="652" t="str">
        <f>VLOOKUP(A1179,'[1]Raw data'!$B:$Z,2,FALSE)</f>
        <v>C49SZX20220013DZ</v>
      </c>
      <c r="R1179" s="652" t="str">
        <f>VLOOKUP(A1179,'[1]Raw data'!$B:$Z,3,FALSE)</f>
        <v>朗特</v>
      </c>
      <c r="S1179" s="652" t="str">
        <f>VLOOKUP(A1179,'[1]Raw data'!$B:$Z,4,FALSE)</f>
        <v>YSM20R-2</v>
      </c>
      <c r="T1179" s="652" t="str">
        <f>VLOOKUP(A1179,'[1]Raw data'!$B:$Z,8,FALSE)</f>
        <v>R-&gt;L</v>
      </c>
      <c r="U1179" s="652" t="str">
        <f>VLOOKUP(A1179,'[1]Raw data'!$B:$Z,9,FALSE)</f>
        <v>No</v>
      </c>
      <c r="V1179" s="572" t="str">
        <f t="shared" si="257"/>
        <v>OK</v>
      </c>
      <c r="W1179" s="568" t="str">
        <f>VLOOKUP(A1179,'[1]Raw data'!$B:$AG,32,FALSE)</f>
        <v>CIF HK</v>
      </c>
      <c r="X1179" s="652">
        <f>VLOOKUP(A1179,'[1]Raw data'!$B:$BA,31,FALSE)</f>
        <v>44614</v>
      </c>
      <c r="Y1179" s="652" t="str">
        <f>VLOOKUP(A1179,'[1]Raw data'!$B:$AS,39,FALSE)</f>
        <v>Yes</v>
      </c>
      <c r="Z1179" s="715"/>
      <c r="AA1179" s="667"/>
      <c r="AB1179" s="667"/>
      <c r="AC1179" s="652" t="s">
        <v>2174</v>
      </c>
      <c r="AD1179" s="580">
        <v>303</v>
      </c>
      <c r="AE1179" s="580">
        <v>20</v>
      </c>
      <c r="AF1179" s="684"/>
      <c r="AG1179" s="569"/>
      <c r="AH1179" s="569"/>
      <c r="AI1179" s="569"/>
      <c r="AJ1179" s="569"/>
      <c r="AK1179" s="619"/>
      <c r="AL1179" s="619"/>
      <c r="AM1179" s="619"/>
      <c r="AN1179" s="619"/>
      <c r="AO1179" s="829" t="str">
        <f t="shared" si="246"/>
        <v>Yes</v>
      </c>
      <c r="AP1179" s="259" t="str">
        <f t="shared" si="247"/>
        <v>JUN 22</v>
      </c>
      <c r="AQ1179" s="547" t="str">
        <f t="shared" si="248"/>
        <v>有定金+有預留客戶</v>
      </c>
      <c r="AR1179" s="259" t="str">
        <f t="shared" si="249"/>
        <v>Shipped_Stock</v>
      </c>
      <c r="AS1179" s="259" t="str">
        <f t="shared" si="250"/>
        <v/>
      </c>
      <c r="AT1179" s="259" t="str">
        <f t="shared" si="251"/>
        <v>朗特</v>
      </c>
      <c r="AU1179" s="259" t="str">
        <f t="shared" si="252"/>
        <v>C49SZX20220013DZ</v>
      </c>
      <c r="AV1179" s="259" t="str">
        <f t="shared" si="253"/>
        <v>May-23</v>
      </c>
    </row>
    <row r="1180" spans="1:48" ht="16.5" hidden="1">
      <c r="A1180" s="604">
        <v>1602</v>
      </c>
      <c r="B1180" s="669" t="s">
        <v>1125</v>
      </c>
      <c r="C1180" s="669" t="s">
        <v>281</v>
      </c>
      <c r="D1180" s="628">
        <v>110883</v>
      </c>
      <c r="E1180" s="741" t="s">
        <v>2272</v>
      </c>
      <c r="F1180" s="652" t="s">
        <v>17</v>
      </c>
      <c r="G1180" s="652" t="s">
        <v>18</v>
      </c>
      <c r="H1180" s="652" t="s">
        <v>27</v>
      </c>
      <c r="I1180" s="580" t="s">
        <v>2273</v>
      </c>
      <c r="J1180" s="580">
        <v>1</v>
      </c>
      <c r="K1180" s="762" t="s">
        <v>2071</v>
      </c>
      <c r="L1180" s="662">
        <v>44704</v>
      </c>
      <c r="M1180" s="670" t="s">
        <v>906</v>
      </c>
      <c r="N1180" s="652" t="s">
        <v>1982</v>
      </c>
      <c r="O1180" s="580">
        <v>2022.4</v>
      </c>
      <c r="P1180" s="670" t="str">
        <f>VLOOKUP(A1180,'[1]Raw data'!$B:$BA,23,FALSE)</f>
        <v>JPY</v>
      </c>
      <c r="Q1180" s="652" t="str">
        <f>VLOOKUP(A1180,'[1]Raw data'!$B:$Z,2,FALSE)</f>
        <v>C49SZX20220026SX</v>
      </c>
      <c r="R1180" s="652" t="str">
        <f>VLOOKUP(A1180,'[1]Raw data'!$B:$Z,3,FALSE)</f>
        <v>骏仁达</v>
      </c>
      <c r="S1180" s="652" t="str">
        <f>VLOOKUP(A1180,'[1]Raw data'!$B:$Z,4,FALSE)</f>
        <v>YSM10</v>
      </c>
      <c r="T1180" s="652" t="str">
        <f>VLOOKUP(A1180,'[1]Raw data'!$B:$Z,8,FALSE)</f>
        <v>L-&gt;R</v>
      </c>
      <c r="U1180" s="652" t="str">
        <f>VLOOKUP(A1180,'[1]Raw data'!$B:$Z,9,FALSE)</f>
        <v>MVC</v>
      </c>
      <c r="V1180" s="572" t="str">
        <f>IF(G1180&amp;H1180=T1180&amp;U1180,"OK","WRONG")</f>
        <v>WRONG</v>
      </c>
      <c r="W1180" s="568" t="str">
        <f>VLOOKUP(A1180,'[1]Raw data'!$B:$AG,32,FALSE)</f>
        <v>DAP SZ</v>
      </c>
      <c r="X1180" s="652">
        <f>VLOOKUP(A1180,'[1]Raw data'!$B:$BA,31,FALSE)</f>
        <v>44621</v>
      </c>
      <c r="Y1180" s="652" t="str">
        <f>VLOOKUP(A1180,'[1]Raw data'!$B:$AS,39,FALSE)</f>
        <v>Yes</v>
      </c>
      <c r="Z1180" s="664"/>
      <c r="AA1180" s="665"/>
      <c r="AB1180" s="666"/>
      <c r="AC1180" s="652" t="s">
        <v>2263</v>
      </c>
      <c r="AD1180" s="580">
        <v>301</v>
      </c>
      <c r="AE1180" s="580">
        <v>4</v>
      </c>
      <c r="AF1180" s="580">
        <v>302</v>
      </c>
      <c r="AG1180" s="580">
        <v>3</v>
      </c>
      <c r="AH1180" s="580">
        <v>303</v>
      </c>
      <c r="AI1180" s="684">
        <v>2</v>
      </c>
      <c r="AJ1180" s="569">
        <v>304</v>
      </c>
      <c r="AK1180" s="569">
        <v>1</v>
      </c>
      <c r="AL1180" s="569"/>
      <c r="AM1180" s="569"/>
      <c r="AN1180" s="619"/>
      <c r="AO1180" s="829" t="str">
        <f t="shared" si="246"/>
        <v>Yes</v>
      </c>
      <c r="AP1180" s="259" t="str">
        <f t="shared" si="247"/>
        <v>JUN 22</v>
      </c>
      <c r="AQ1180" s="547" t="str">
        <f t="shared" si="248"/>
        <v>有定金+有預留客戶</v>
      </c>
      <c r="AR1180" s="259" t="str">
        <f t="shared" si="249"/>
        <v>Shipped_Stock</v>
      </c>
      <c r="AS1180" s="259" t="str">
        <f t="shared" si="250"/>
        <v/>
      </c>
      <c r="AT1180" s="259" t="str">
        <f t="shared" si="251"/>
        <v>骏仁达</v>
      </c>
      <c r="AU1180" s="259" t="str">
        <f t="shared" si="252"/>
        <v>C49SZX20220026SX</v>
      </c>
      <c r="AV1180" s="259" t="str">
        <f t="shared" si="253"/>
        <v>May-23</v>
      </c>
    </row>
    <row r="1181" spans="1:48" hidden="1">
      <c r="A1181" s="604">
        <v>1603</v>
      </c>
      <c r="B1181" s="669" t="s">
        <v>1125</v>
      </c>
      <c r="C1181" s="669" t="s">
        <v>281</v>
      </c>
      <c r="D1181" s="630">
        <v>110883</v>
      </c>
      <c r="E1181" s="741" t="s">
        <v>2272</v>
      </c>
      <c r="F1181" s="652" t="s">
        <v>17</v>
      </c>
      <c r="G1181" s="652" t="s">
        <v>18</v>
      </c>
      <c r="H1181" s="652" t="s">
        <v>27</v>
      </c>
      <c r="I1181" s="580" t="s">
        <v>2274</v>
      </c>
      <c r="J1181" s="580">
        <v>1</v>
      </c>
      <c r="K1181" s="652" t="s">
        <v>85</v>
      </c>
      <c r="L1181" s="662">
        <v>44704</v>
      </c>
      <c r="M1181" s="670" t="s">
        <v>906</v>
      </c>
      <c r="N1181" s="652" t="s">
        <v>1982</v>
      </c>
      <c r="O1181" s="580">
        <v>2022.4</v>
      </c>
      <c r="P1181" s="670" t="str">
        <f>VLOOKUP(A1181,'[1]Raw data'!$B:$BA,23,FALSE)</f>
        <v>JPY</v>
      </c>
      <c r="Q1181" s="652" t="str">
        <f>VLOOKUP(A1181,'[1]Raw data'!$B:$Z,2,FALSE)</f>
        <v>C49SZX20220026SX</v>
      </c>
      <c r="R1181" s="652" t="str">
        <f>VLOOKUP(A1181,'[1]Raw data'!$B:$Z,3,FALSE)</f>
        <v>骏仁达</v>
      </c>
      <c r="S1181" s="652" t="str">
        <f>VLOOKUP(A1181,'[1]Raw data'!$B:$Z,4,FALSE)</f>
        <v>YSM10</v>
      </c>
      <c r="T1181" s="652" t="str">
        <f>VLOOKUP(A1181,'[1]Raw data'!$B:$Z,8,FALSE)</f>
        <v>R-&gt;L</v>
      </c>
      <c r="U1181" s="652" t="str">
        <f>VLOOKUP(A1181,'[1]Raw data'!$B:$Z,9,FALSE)</f>
        <v>MVC</v>
      </c>
      <c r="V1181" s="572" t="str">
        <f>IF(G1181&amp;H1181=T1181&amp;U1181,"OK","WRONG")</f>
        <v>OK</v>
      </c>
      <c r="W1181" s="568" t="str">
        <f>VLOOKUP(A1181,'[1]Raw data'!$B:$AG,32,FALSE)</f>
        <v>DAP SZ</v>
      </c>
      <c r="X1181" s="652">
        <f>VLOOKUP(A1181,'[1]Raw data'!$B:$BA,31,FALSE)</f>
        <v>44621</v>
      </c>
      <c r="Y1181" s="652" t="str">
        <f>VLOOKUP(A1181,'[1]Raw data'!$B:$AS,39,FALSE)</f>
        <v>Yes</v>
      </c>
      <c r="Z1181" s="664"/>
      <c r="AA1181" s="665"/>
      <c r="AB1181" s="666"/>
      <c r="AC1181" s="652" t="s">
        <v>2263</v>
      </c>
      <c r="AD1181" s="580">
        <v>301</v>
      </c>
      <c r="AE1181" s="580">
        <v>4</v>
      </c>
      <c r="AF1181" s="580">
        <v>302</v>
      </c>
      <c r="AG1181" s="580">
        <v>3</v>
      </c>
      <c r="AH1181" s="580">
        <v>303</v>
      </c>
      <c r="AI1181" s="684">
        <v>2</v>
      </c>
      <c r="AJ1181" s="569">
        <v>304</v>
      </c>
      <c r="AK1181" s="569">
        <v>1</v>
      </c>
      <c r="AL1181" s="569"/>
      <c r="AM1181" s="569"/>
      <c r="AN1181" s="619"/>
      <c r="AO1181" s="829" t="str">
        <f t="shared" si="246"/>
        <v>Yes</v>
      </c>
      <c r="AP1181" s="259" t="str">
        <f t="shared" si="247"/>
        <v>JUN 22</v>
      </c>
      <c r="AQ1181" s="547" t="str">
        <f t="shared" si="248"/>
        <v>有定金+有預留客戶</v>
      </c>
      <c r="AR1181" s="259" t="str">
        <f t="shared" si="249"/>
        <v>Shipped_Stock</v>
      </c>
      <c r="AS1181" s="259" t="str">
        <f t="shared" si="250"/>
        <v/>
      </c>
      <c r="AT1181" s="259" t="str">
        <f t="shared" si="251"/>
        <v>骏仁达</v>
      </c>
      <c r="AU1181" s="259" t="str">
        <f t="shared" si="252"/>
        <v>C49SZX20220026SX</v>
      </c>
      <c r="AV1181" s="259" t="str">
        <f t="shared" si="253"/>
        <v>May-23</v>
      </c>
    </row>
    <row r="1182" spans="1:48" ht="26.25" hidden="1" customHeight="1">
      <c r="A1182" s="564">
        <v>1645</v>
      </c>
      <c r="B1182" s="669" t="s">
        <v>1125</v>
      </c>
      <c r="C1182" s="669" t="s">
        <v>281</v>
      </c>
      <c r="D1182" s="630">
        <v>110883</v>
      </c>
      <c r="E1182" s="741" t="s">
        <v>2272</v>
      </c>
      <c r="F1182" s="652" t="s">
        <v>17</v>
      </c>
      <c r="G1182" s="652" t="s">
        <v>18</v>
      </c>
      <c r="H1182" s="652" t="s">
        <v>27</v>
      </c>
      <c r="I1182" s="580" t="s">
        <v>2275</v>
      </c>
      <c r="J1182" s="580">
        <v>1</v>
      </c>
      <c r="K1182" s="652" t="s">
        <v>85</v>
      </c>
      <c r="L1182" s="662">
        <v>44704</v>
      </c>
      <c r="M1182" s="670" t="s">
        <v>2276</v>
      </c>
      <c r="N1182" s="652" t="s">
        <v>1982</v>
      </c>
      <c r="O1182" s="580">
        <v>2022.4</v>
      </c>
      <c r="P1182" s="670" t="str">
        <f>VLOOKUP(A1182,'[1]Raw data'!$B:$BA,23,FALSE)</f>
        <v>JPY</v>
      </c>
      <c r="Q1182" s="652" t="str">
        <f>VLOOKUP(A1182,'[1]Raw data'!$B:$Z,2,FALSE)</f>
        <v>C49SZX20220046JL</v>
      </c>
      <c r="R1182" s="652" t="str">
        <f>VLOOKUP(A1182,'[1]Raw data'!$B:$Z,3,FALSE)</f>
        <v>快宇</v>
      </c>
      <c r="S1182" s="652" t="str">
        <f>VLOOKUP(A1182,'[1]Raw data'!$B:$Z,4,FALSE)</f>
        <v>YSM10</v>
      </c>
      <c r="T1182" s="652" t="str">
        <f>VLOOKUP(A1182,'[1]Raw data'!$B:$Z,8,FALSE)</f>
        <v>L-&gt;R</v>
      </c>
      <c r="U1182" s="652" t="str">
        <f>VLOOKUP(A1182,'[1]Raw data'!$B:$Z,9,FALSE)</f>
        <v>MVC</v>
      </c>
      <c r="V1182" s="572" t="str">
        <f>IF(G1182&amp;H1182=T1182&amp;U1182,"OK","WRONG")</f>
        <v>WRONG</v>
      </c>
      <c r="W1182" s="568" t="str">
        <f>VLOOKUP(A1182,'[1]Raw data'!$B:$AG,32,FALSE)</f>
        <v>DAP SZ</v>
      </c>
      <c r="X1182" s="652">
        <f>VLOOKUP(A1182,'[1]Raw data'!$B:$BA,31,FALSE)</f>
        <v>44669</v>
      </c>
      <c r="Y1182" s="652" t="str">
        <f>VLOOKUP(A1182,'[1]Raw data'!$B:$AS,39,FALSE)</f>
        <v>Yes</v>
      </c>
      <c r="Z1182" s="664"/>
      <c r="AA1182" s="665"/>
      <c r="AB1182" s="666"/>
      <c r="AC1182" s="652" t="s">
        <v>589</v>
      </c>
      <c r="AD1182" s="667">
        <v>301</v>
      </c>
      <c r="AE1182" s="667">
        <v>4</v>
      </c>
      <c r="AF1182" s="667">
        <v>302</v>
      </c>
      <c r="AG1182" s="667">
        <v>3</v>
      </c>
      <c r="AH1182" s="667">
        <v>303</v>
      </c>
      <c r="AI1182" s="668">
        <v>2</v>
      </c>
      <c r="AJ1182" s="576">
        <v>304</v>
      </c>
      <c r="AK1182" s="576">
        <v>1</v>
      </c>
      <c r="AN1182" s="547"/>
      <c r="AO1182" s="829" t="str">
        <f t="shared" si="246"/>
        <v>Yes</v>
      </c>
      <c r="AP1182" s="259" t="str">
        <f t="shared" si="247"/>
        <v>JUN 22</v>
      </c>
      <c r="AQ1182" s="547" t="str">
        <f t="shared" si="248"/>
        <v>有定金+有預留客戶</v>
      </c>
      <c r="AR1182" s="259" t="str">
        <f t="shared" si="249"/>
        <v>Shipped_Stock</v>
      </c>
      <c r="AS1182" s="259" t="str">
        <f t="shared" si="250"/>
        <v/>
      </c>
      <c r="AT1182" s="259" t="str">
        <f t="shared" si="251"/>
        <v>快宇</v>
      </c>
      <c r="AU1182" s="259" t="str">
        <f t="shared" si="252"/>
        <v>C49SZX20220046JL</v>
      </c>
      <c r="AV1182" s="259" t="str">
        <f t="shared" si="253"/>
        <v>May-23</v>
      </c>
    </row>
    <row r="1183" spans="1:48" ht="22.5" hidden="1">
      <c r="A1183" s="604">
        <v>1691</v>
      </c>
      <c r="B1183" s="669" t="s">
        <v>1125</v>
      </c>
      <c r="C1183" s="669" t="s">
        <v>281</v>
      </c>
      <c r="D1183" s="630">
        <v>110872</v>
      </c>
      <c r="E1183" s="749" t="s">
        <v>2277</v>
      </c>
      <c r="F1183" s="652" t="s">
        <v>17</v>
      </c>
      <c r="G1183" s="652" t="s">
        <v>18</v>
      </c>
      <c r="H1183" s="652" t="s">
        <v>102</v>
      </c>
      <c r="I1183" s="580" t="s">
        <v>2278</v>
      </c>
      <c r="J1183" s="580">
        <v>1</v>
      </c>
      <c r="K1183" s="786" t="s">
        <v>1419</v>
      </c>
      <c r="L1183" s="662">
        <v>44704</v>
      </c>
      <c r="M1183" s="670" t="s">
        <v>2279</v>
      </c>
      <c r="N1183" s="652" t="s">
        <v>2231</v>
      </c>
      <c r="O1183" s="580">
        <v>2022.4</v>
      </c>
      <c r="P1183" s="670" t="str">
        <f>VLOOKUP(A1183,'[1]Raw data'!$B:$BA,23,FALSE)</f>
        <v>RMB</v>
      </c>
      <c r="Q1183" s="652" t="str">
        <f>VLOOKUP(A1183,'[1]Raw data'!$B:$Z,2,FALSE)</f>
        <v>C49SZX20220075SX</v>
      </c>
      <c r="R1183" s="652" t="str">
        <f>VLOOKUP(A1183,'[1]Raw data'!$B:$Z,3,FALSE)</f>
        <v>柏星</v>
      </c>
      <c r="S1183" s="652" t="str">
        <f>VLOOKUP(A1183,'[1]Raw data'!$B:$Z,4,FALSE)</f>
        <v>YSM10</v>
      </c>
      <c r="T1183" s="652" t="str">
        <f>VLOOKUP(A1183,'[1]Raw data'!$B:$Z,8,FALSE)</f>
        <v>R-&gt;L</v>
      </c>
      <c r="U1183" s="652" t="str">
        <f>VLOOKUP(A1183,'[1]Raw data'!$B:$Z,9,FALSE)</f>
        <v>MVC</v>
      </c>
      <c r="V1183" s="572" t="str">
        <f>IF(G1183&amp;H1183=T1183&amp;U1183,"OK","WRONG")</f>
        <v>WRONG</v>
      </c>
      <c r="W1183" s="568" t="str">
        <f>VLOOKUP(A1183,'[1]Raw data'!$B:$AG,32,FALSE)</f>
        <v>DDP DG</v>
      </c>
      <c r="X1183" s="652">
        <f>VLOOKUP(A1183,'[1]Raw data'!$B:$BA,31,FALSE)</f>
        <v>44735</v>
      </c>
      <c r="Y1183" s="652" t="str">
        <f>VLOOKUP(A1183,'[1]Raw data'!$B:$AS,39,FALSE)</f>
        <v>Yes</v>
      </c>
      <c r="Z1183" s="664"/>
      <c r="AA1183" s="665"/>
      <c r="AB1183" s="666"/>
      <c r="AC1183" s="652" t="s">
        <v>410</v>
      </c>
      <c r="AD1183" s="580">
        <v>301</v>
      </c>
      <c r="AE1183" s="580">
        <v>10</v>
      </c>
      <c r="AF1183" s="580"/>
      <c r="AG1183" s="580"/>
      <c r="AH1183" s="580"/>
      <c r="AI1183" s="684"/>
      <c r="AJ1183" s="569"/>
      <c r="AK1183" s="569"/>
      <c r="AL1183" s="569"/>
      <c r="AM1183" s="569"/>
      <c r="AN1183" s="619"/>
      <c r="AO1183" s="829" t="str">
        <f t="shared" si="246"/>
        <v>Yes</v>
      </c>
      <c r="AP1183" s="259" t="str">
        <f t="shared" si="247"/>
        <v>JUL 22</v>
      </c>
      <c r="AQ1183" s="547" t="str">
        <f t="shared" si="248"/>
        <v>有定金+有預留客戶</v>
      </c>
      <c r="AR1183" s="259" t="str">
        <f t="shared" si="249"/>
        <v>Shipped_Stock</v>
      </c>
      <c r="AS1183" s="259" t="str">
        <f t="shared" si="250"/>
        <v/>
      </c>
      <c r="AT1183" s="259" t="str">
        <f t="shared" si="251"/>
        <v>柏星</v>
      </c>
      <c r="AU1183" s="259" t="str">
        <f t="shared" si="252"/>
        <v>C49SZX20220075SX</v>
      </c>
      <c r="AV1183" s="259" t="str">
        <f t="shared" si="253"/>
        <v>May-23</v>
      </c>
    </row>
    <row r="1184" spans="1:48" hidden="1">
      <c r="A1184" s="564">
        <v>1164</v>
      </c>
      <c r="B1184" s="669" t="s">
        <v>1125</v>
      </c>
      <c r="C1184" s="669" t="s">
        <v>281</v>
      </c>
      <c r="D1184" s="760">
        <v>110872</v>
      </c>
      <c r="E1184" s="749" t="s">
        <v>2277</v>
      </c>
      <c r="F1184" s="652" t="s">
        <v>17</v>
      </c>
      <c r="G1184" s="652" t="s">
        <v>18</v>
      </c>
      <c r="H1184" s="652" t="s">
        <v>102</v>
      </c>
      <c r="I1184" s="580" t="s">
        <v>2280</v>
      </c>
      <c r="J1184" s="580">
        <v>1</v>
      </c>
      <c r="K1184" s="786" t="s">
        <v>1419</v>
      </c>
      <c r="L1184" s="662">
        <v>44704</v>
      </c>
      <c r="M1184" s="670" t="s">
        <v>2281</v>
      </c>
      <c r="N1184" s="652" t="s">
        <v>2231</v>
      </c>
      <c r="O1184" s="580">
        <v>2022.4</v>
      </c>
      <c r="P1184" s="670" t="str">
        <f>VLOOKUP(A1184,'[1]Raw data'!$B:$BA,23,FALSE)</f>
        <v>JPY</v>
      </c>
      <c r="Q1184" s="652" t="str">
        <f>VLOOKUP(A1184,'[1]Raw data'!$B:$Z,2,FALSE)</f>
        <v>C49SZX20210059EC</v>
      </c>
      <c r="R1184" s="652" t="str">
        <f>VLOOKUP(A1184,'[1]Raw data'!$B:$Z,3,FALSE)</f>
        <v>骏孚</v>
      </c>
      <c r="S1184" s="652" t="str">
        <f>VLOOKUP(A1184,'[1]Raw data'!$B:$Z,4,FALSE)</f>
        <v>YSM10</v>
      </c>
      <c r="T1184" s="652" t="str">
        <f>VLOOKUP(A1184,'[1]Raw data'!$B:$Z,8,FALSE)</f>
        <v>L-&gt;R</v>
      </c>
      <c r="U1184" s="652" t="str">
        <f>VLOOKUP(A1184,'[1]Raw data'!$B:$Z,9,FALSE)</f>
        <v>MVC</v>
      </c>
      <c r="V1184" s="572" t="str">
        <f>IF(G1184&amp;H1184=T1184&amp;U1184,"OK","WRONG")</f>
        <v>WRONG</v>
      </c>
      <c r="W1184" s="568" t="str">
        <f>VLOOKUP(A1184,'[1]Raw data'!$B:$AG,32,FALSE)</f>
        <v>DAP GZ</v>
      </c>
      <c r="X1184" s="652">
        <f>VLOOKUP(A1184,'[1]Raw data'!$B:$BA,31,FALSE)</f>
        <v>44256</v>
      </c>
      <c r="Y1184" s="652" t="str">
        <f>VLOOKUP(A1184,'[1]Raw data'!$B:$AS,39,FALSE)</f>
        <v>Yes</v>
      </c>
      <c r="Z1184" s="664"/>
      <c r="AA1184" s="665"/>
      <c r="AB1184" s="666"/>
      <c r="AC1184" s="652" t="s">
        <v>1854</v>
      </c>
      <c r="AD1184" s="667">
        <v>301</v>
      </c>
      <c r="AE1184" s="667">
        <v>10</v>
      </c>
      <c r="AF1184" s="667"/>
      <c r="AG1184" s="667"/>
      <c r="AH1184" s="667"/>
      <c r="AI1184" s="668"/>
      <c r="AN1184" s="547"/>
      <c r="AO1184" s="829" t="str">
        <f t="shared" si="246"/>
        <v>Yes</v>
      </c>
      <c r="AP1184" s="259" t="str">
        <f t="shared" si="247"/>
        <v>JUL 22</v>
      </c>
      <c r="AQ1184" s="547" t="str">
        <f t="shared" si="248"/>
        <v>有定金+有預留客戶</v>
      </c>
      <c r="AR1184" s="259" t="str">
        <f t="shared" si="249"/>
        <v>Shipped_Stock</v>
      </c>
      <c r="AS1184" s="259" t="str">
        <f t="shared" si="250"/>
        <v/>
      </c>
      <c r="AT1184" s="259" t="str">
        <f t="shared" si="251"/>
        <v>骏孚</v>
      </c>
      <c r="AU1184" s="259" t="str">
        <f t="shared" si="252"/>
        <v>C49SZX20210059EC</v>
      </c>
      <c r="AV1184" s="259" t="str">
        <f t="shared" si="253"/>
        <v>May-23</v>
      </c>
    </row>
    <row r="1185" spans="1:48" hidden="1">
      <c r="A1185" s="604">
        <v>1689</v>
      </c>
      <c r="B1185" s="669" t="s">
        <v>1125</v>
      </c>
      <c r="C1185" s="669" t="s">
        <v>15</v>
      </c>
      <c r="D1185" s="628">
        <v>110896</v>
      </c>
      <c r="E1185" s="567" t="s">
        <v>2135</v>
      </c>
      <c r="F1185" s="568" t="s">
        <v>17</v>
      </c>
      <c r="G1185" s="568" t="s">
        <v>18</v>
      </c>
      <c r="H1185" s="568" t="s">
        <v>34</v>
      </c>
      <c r="I1185" s="569" t="s">
        <v>2282</v>
      </c>
      <c r="J1185" s="569">
        <v>1</v>
      </c>
      <c r="K1185" s="568" t="s">
        <v>1419</v>
      </c>
      <c r="L1185" s="662">
        <v>44714</v>
      </c>
      <c r="M1185" s="670" t="s">
        <v>2283</v>
      </c>
      <c r="N1185" s="652" t="s">
        <v>2231</v>
      </c>
      <c r="O1185" s="580">
        <v>2022.4</v>
      </c>
      <c r="P1185" s="670" t="str">
        <f>VLOOKUP(A1185,'[1]Raw data'!$B:$BA,23,FALSE)</f>
        <v>RMB</v>
      </c>
      <c r="Q1185" s="652" t="str">
        <f>VLOOKUP(A1185,'[1]Raw data'!$B:$Z,2,FALSE)</f>
        <v>C49SZX20220072DZ</v>
      </c>
      <c r="R1185" s="652" t="str">
        <f>VLOOKUP(A1185,'[1]Raw data'!$B:$Z,3,FALSE)</f>
        <v>朗特</v>
      </c>
      <c r="S1185" s="652" t="str">
        <f>VLOOKUP(A1185,'[1]Raw data'!$B:$Z,4,FALSE)</f>
        <v>YSM10</v>
      </c>
      <c r="T1185" s="652" t="str">
        <f>VLOOKUP(A1185,'[1]Raw data'!$B:$Z,8,FALSE)</f>
        <v>R-&gt;L</v>
      </c>
      <c r="U1185" s="652" t="str">
        <f>VLOOKUP(A1185,'[1]Raw data'!$B:$Z,9,FALSE)</f>
        <v>MVC+ATS15</v>
      </c>
      <c r="V1185" s="572" t="str">
        <f t="shared" ref="V1185:V1190" si="258">IF(G1185&amp;H1185=T1185&amp;U1185,"OK","WRONG")</f>
        <v>OK</v>
      </c>
      <c r="W1185" s="568" t="str">
        <f>VLOOKUP(A1185,'[1]Raw data'!$B:$AG,32,FALSE)</f>
        <v>DDP SZ</v>
      </c>
      <c r="X1185" s="652">
        <f>VLOOKUP(A1185,'[1]Raw data'!$B:$BA,31,FALSE)</f>
        <v>44734</v>
      </c>
      <c r="Y1185" s="652" t="str">
        <f>VLOOKUP(A1185,'[1]Raw data'!$B:$AS,39,FALSE)</f>
        <v>Yes</v>
      </c>
      <c r="Z1185" s="664"/>
      <c r="AA1185" s="665"/>
      <c r="AB1185" s="666"/>
      <c r="AC1185" s="652" t="s">
        <v>2174</v>
      </c>
      <c r="AD1185" s="580">
        <v>302</v>
      </c>
      <c r="AE1185" s="580">
        <v>10</v>
      </c>
      <c r="AF1185" s="580"/>
      <c r="AG1185" s="580"/>
      <c r="AH1185" s="580"/>
      <c r="AI1185" s="684"/>
      <c r="AJ1185" s="569"/>
      <c r="AK1185" s="569"/>
      <c r="AL1185" s="569"/>
      <c r="AM1185" s="569"/>
      <c r="AN1185" s="619"/>
      <c r="AO1185" s="829" t="str">
        <f t="shared" si="246"/>
        <v>Yes</v>
      </c>
      <c r="AP1185" s="259" t="str">
        <f t="shared" si="247"/>
        <v>JUL 22</v>
      </c>
      <c r="AQ1185" s="547" t="str">
        <f t="shared" si="248"/>
        <v>有定金+有預留客戶</v>
      </c>
      <c r="AR1185" s="259" t="str">
        <f t="shared" si="249"/>
        <v>Shipped_Stock</v>
      </c>
      <c r="AS1185" s="259" t="str">
        <f t="shared" si="250"/>
        <v/>
      </c>
      <c r="AT1185" s="259" t="str">
        <f t="shared" si="251"/>
        <v>朗特</v>
      </c>
      <c r="AU1185" s="259" t="str">
        <f t="shared" si="252"/>
        <v>C49SZX20220072DZ</v>
      </c>
      <c r="AV1185" s="259" t="str">
        <f t="shared" si="253"/>
        <v>Jun-02</v>
      </c>
    </row>
    <row r="1186" spans="1:48" ht="13.5" hidden="1" thickBot="1">
      <c r="A1186" s="604">
        <v>1673</v>
      </c>
      <c r="B1186" s="669" t="s">
        <v>1125</v>
      </c>
      <c r="C1186" s="669" t="s">
        <v>15</v>
      </c>
      <c r="D1186" s="629">
        <v>110896</v>
      </c>
      <c r="E1186" s="567" t="s">
        <v>2135</v>
      </c>
      <c r="F1186" s="568" t="s">
        <v>17</v>
      </c>
      <c r="G1186" s="568" t="s">
        <v>18</v>
      </c>
      <c r="H1186" s="568" t="s">
        <v>34</v>
      </c>
      <c r="I1186" s="569" t="s">
        <v>2284</v>
      </c>
      <c r="J1186" s="569">
        <v>1</v>
      </c>
      <c r="K1186" s="568" t="s">
        <v>85</v>
      </c>
      <c r="L1186" s="662">
        <v>44714</v>
      </c>
      <c r="M1186" s="670" t="s">
        <v>2285</v>
      </c>
      <c r="N1186" s="652" t="s">
        <v>2231</v>
      </c>
      <c r="O1186" s="580">
        <v>2022.4</v>
      </c>
      <c r="P1186" s="670" t="str">
        <f>VLOOKUP(A1186,'[1]Raw data'!$B:$BA,23,FALSE)</f>
        <v>JPY</v>
      </c>
      <c r="Q1186" s="652" t="str">
        <f>VLOOKUP(A1186,'[1]Raw data'!$B:$Z,2,FALSE)</f>
        <v>C49SZX20220060DZ</v>
      </c>
      <c r="R1186" s="652" t="str">
        <f>VLOOKUP(A1186,'[1]Raw data'!$B:$Z,3,FALSE)</f>
        <v>方案集</v>
      </c>
      <c r="S1186" s="652" t="str">
        <f>VLOOKUP(A1186,'[1]Raw data'!$B:$Z,4,FALSE)</f>
        <v>YSM10</v>
      </c>
      <c r="T1186" s="652" t="str">
        <f>VLOOKUP(A1186,'[1]Raw data'!$B:$Z,8,FALSE)</f>
        <v>L-&gt;R</v>
      </c>
      <c r="U1186" s="652" t="str">
        <f>VLOOKUP(A1186,'[1]Raw data'!$B:$Z,9,FALSE)</f>
        <v>MVC+ATS15</v>
      </c>
      <c r="V1186" s="572" t="str">
        <f t="shared" si="258"/>
        <v>WRONG</v>
      </c>
      <c r="W1186" s="568" t="str">
        <f>VLOOKUP(A1186,'[1]Raw data'!$B:$AG,32,FALSE)</f>
        <v>CIF HK</v>
      </c>
      <c r="X1186" s="652">
        <f>VLOOKUP(A1186,'[1]Raw data'!$B:$BA,31,FALSE)</f>
        <v>44705</v>
      </c>
      <c r="Y1186" s="652" t="str">
        <f>VLOOKUP(A1186,'[1]Raw data'!$B:$AS,39,FALSE)</f>
        <v>Yes</v>
      </c>
      <c r="Z1186" s="664"/>
      <c r="AA1186" s="665"/>
      <c r="AB1186" s="666"/>
      <c r="AC1186" s="652" t="s">
        <v>1165</v>
      </c>
      <c r="AD1186" s="580">
        <v>302</v>
      </c>
      <c r="AE1186" s="580">
        <v>10</v>
      </c>
      <c r="AF1186" s="580"/>
      <c r="AG1186" s="580"/>
      <c r="AH1186" s="580"/>
      <c r="AI1186" s="684"/>
      <c r="AJ1186" s="569"/>
      <c r="AK1186" s="569"/>
      <c r="AL1186" s="569"/>
      <c r="AM1186" s="569"/>
      <c r="AN1186" s="619"/>
      <c r="AO1186" s="829" t="str">
        <f t="shared" si="246"/>
        <v>Yes</v>
      </c>
      <c r="AP1186" s="259" t="str">
        <f t="shared" si="247"/>
        <v>JUL 22</v>
      </c>
      <c r="AQ1186" s="547" t="str">
        <f t="shared" si="248"/>
        <v>有定金+有預留客戶</v>
      </c>
      <c r="AR1186" s="259" t="str">
        <f t="shared" si="249"/>
        <v>Shipped_Stock</v>
      </c>
      <c r="AS1186" s="259" t="str">
        <f t="shared" si="250"/>
        <v/>
      </c>
      <c r="AT1186" s="259" t="str">
        <f t="shared" si="251"/>
        <v>方案集</v>
      </c>
      <c r="AU1186" s="259" t="str">
        <f t="shared" si="252"/>
        <v>C49SZX20220060DZ</v>
      </c>
      <c r="AV1186" s="259" t="str">
        <f t="shared" si="253"/>
        <v>Jun-02</v>
      </c>
    </row>
    <row r="1187" spans="1:48" hidden="1">
      <c r="A1187" s="604">
        <v>1614</v>
      </c>
      <c r="B1187" s="669" t="s">
        <v>1125</v>
      </c>
      <c r="C1187" s="669" t="s">
        <v>15</v>
      </c>
      <c r="D1187" s="628">
        <v>110896</v>
      </c>
      <c r="E1187" s="567" t="s">
        <v>2135</v>
      </c>
      <c r="F1187" s="568" t="s">
        <v>17</v>
      </c>
      <c r="G1187" s="568" t="s">
        <v>18</v>
      </c>
      <c r="H1187" s="568" t="s">
        <v>34</v>
      </c>
      <c r="I1187" s="569" t="s">
        <v>2286</v>
      </c>
      <c r="J1187" s="569">
        <v>1</v>
      </c>
      <c r="K1187" s="568" t="s">
        <v>85</v>
      </c>
      <c r="L1187" s="662">
        <v>44714</v>
      </c>
      <c r="M1187" s="670" t="s">
        <v>2287</v>
      </c>
      <c r="N1187" s="652" t="s">
        <v>221</v>
      </c>
      <c r="O1187" s="580">
        <v>2022.5</v>
      </c>
      <c r="P1187" s="670" t="str">
        <f>VLOOKUP(A1187,'[1]Raw data'!$B:$BA,23,FALSE)</f>
        <v>JPY</v>
      </c>
      <c r="Q1187" s="652" t="str">
        <f>VLOOKUP(A1187,'[1]Raw data'!$B:$Z,2,FALSE)</f>
        <v>C49SZX20220033JL</v>
      </c>
      <c r="R1187" s="652" t="str">
        <f>VLOOKUP(A1187,'[1]Raw data'!$B:$Z,3,FALSE)</f>
        <v>拓普艾</v>
      </c>
      <c r="S1187" s="652" t="str">
        <f>VLOOKUP(A1187,'[1]Raw data'!$B:$Z,4,FALSE)</f>
        <v>YSM10</v>
      </c>
      <c r="T1187" s="652" t="str">
        <f>VLOOKUP(A1187,'[1]Raw data'!$B:$Z,8,FALSE)</f>
        <v>L-&gt;R</v>
      </c>
      <c r="U1187" s="652" t="str">
        <f>VLOOKUP(A1187,'[1]Raw data'!$B:$Z,9,FALSE)</f>
        <v>MVC+ATS15</v>
      </c>
      <c r="V1187" s="572" t="str">
        <f t="shared" si="258"/>
        <v>WRONG</v>
      </c>
      <c r="W1187" s="568" t="str">
        <f>VLOOKUP(A1187,'[1]Raw data'!$B:$AG,32,FALSE)</f>
        <v>CIF HK</v>
      </c>
      <c r="X1187" s="652">
        <f>VLOOKUP(A1187,'[1]Raw data'!$B:$BA,31,FALSE)</f>
        <v>44630</v>
      </c>
      <c r="Y1187" s="652" t="str">
        <f>VLOOKUP(A1187,'[1]Raw data'!$B:$AS,39,FALSE)</f>
        <v>Yes</v>
      </c>
      <c r="Z1187" s="664"/>
      <c r="AA1187" s="665"/>
      <c r="AB1187" s="666"/>
      <c r="AC1187" s="652" t="s">
        <v>2288</v>
      </c>
      <c r="AD1187" s="580">
        <v>302</v>
      </c>
      <c r="AE1187" s="580">
        <v>10</v>
      </c>
      <c r="AF1187" s="580"/>
      <c r="AG1187" s="580"/>
      <c r="AH1187" s="580"/>
      <c r="AI1187" s="684"/>
      <c r="AJ1187" s="569"/>
      <c r="AK1187" s="569"/>
      <c r="AL1187" s="569"/>
      <c r="AM1187" s="569"/>
      <c r="AN1187" s="619"/>
      <c r="AO1187" s="829" t="str">
        <f t="shared" si="246"/>
        <v>Yes</v>
      </c>
      <c r="AP1187" s="259" t="str">
        <f t="shared" si="247"/>
        <v>AUG 22</v>
      </c>
      <c r="AQ1187" s="547" t="str">
        <f t="shared" si="248"/>
        <v>有定金+有預留客戶</v>
      </c>
      <c r="AR1187" s="259" t="str">
        <f t="shared" si="249"/>
        <v>Shipped_Stock</v>
      </c>
      <c r="AS1187" s="259" t="str">
        <f t="shared" si="250"/>
        <v/>
      </c>
      <c r="AT1187" s="259" t="str">
        <f t="shared" si="251"/>
        <v>拓普艾</v>
      </c>
      <c r="AU1187" s="259" t="str">
        <f t="shared" si="252"/>
        <v>C49SZX20220033JL</v>
      </c>
      <c r="AV1187" s="259" t="str">
        <f t="shared" si="253"/>
        <v>Jun-02</v>
      </c>
    </row>
    <row r="1188" spans="1:48" hidden="1">
      <c r="A1188" s="604">
        <v>1520</v>
      </c>
      <c r="B1188" s="669" t="s">
        <v>1125</v>
      </c>
      <c r="C1188" s="669" t="s">
        <v>15</v>
      </c>
      <c r="D1188" s="630">
        <v>110896</v>
      </c>
      <c r="E1188" s="567" t="s">
        <v>2135</v>
      </c>
      <c r="F1188" s="568" t="s">
        <v>241</v>
      </c>
      <c r="G1188" s="568" t="s">
        <v>18</v>
      </c>
      <c r="H1188" s="568" t="s">
        <v>34</v>
      </c>
      <c r="I1188" s="569" t="s">
        <v>2289</v>
      </c>
      <c r="J1188" s="569">
        <v>1</v>
      </c>
      <c r="K1188" s="568" t="s">
        <v>1419</v>
      </c>
      <c r="L1188" s="662">
        <v>44714</v>
      </c>
      <c r="M1188" s="670" t="s">
        <v>2290</v>
      </c>
      <c r="N1188" s="652" t="s">
        <v>219</v>
      </c>
      <c r="O1188" s="580">
        <v>2022.5</v>
      </c>
      <c r="P1188" s="670" t="str">
        <f>VLOOKUP(A1188,'[1]Raw data'!$B:$BA,23,FALSE)</f>
        <v>JPY</v>
      </c>
      <c r="Q1188" s="652" t="str">
        <f>VLOOKUP(A1188,'[1]Raw data'!$B:$Z,2,FALSE)</f>
        <v>C49SZX20210215MZ</v>
      </c>
      <c r="R1188" s="652" t="str">
        <f>VLOOKUP(A1188,'[1]Raw data'!$B:$Z,3,FALSE)</f>
        <v>魔乐视</v>
      </c>
      <c r="S1188" s="652" t="str">
        <f>VLOOKUP(A1188,'[1]Raw data'!$B:$Z,4,FALSE)</f>
        <v>YSM10</v>
      </c>
      <c r="T1188" s="652" t="str">
        <f>VLOOKUP(A1188,'[1]Raw data'!$B:$Z,8,FALSE)</f>
        <v>L-&gt;R</v>
      </c>
      <c r="U1188" s="652" t="str">
        <f>VLOOKUP(A1188,'[1]Raw data'!$B:$Z,9,FALSE)</f>
        <v>MVC+ATS15</v>
      </c>
      <c r="V1188" s="572" t="str">
        <f t="shared" si="258"/>
        <v>WRONG</v>
      </c>
      <c r="W1188" s="568" t="str">
        <f>VLOOKUP(A1188,'[1]Raw data'!$B:$AG,32,FALSE)</f>
        <v>DAP SZ</v>
      </c>
      <c r="X1188" s="652">
        <f>VLOOKUP(A1188,'[1]Raw data'!$B:$BA,31,FALSE)</f>
        <v>44540</v>
      </c>
      <c r="Y1188" s="652" t="str">
        <f>VLOOKUP(A1188,'[1]Raw data'!$B:$AS,39,FALSE)</f>
        <v>Yes</v>
      </c>
      <c r="Z1188" s="664"/>
      <c r="AA1188" s="665"/>
      <c r="AB1188" s="666"/>
      <c r="AC1188" s="652" t="s">
        <v>2011</v>
      </c>
      <c r="AD1188" s="580">
        <v>312</v>
      </c>
      <c r="AE1188" s="580">
        <v>10</v>
      </c>
      <c r="AF1188" s="580"/>
      <c r="AG1188" s="580"/>
      <c r="AH1188" s="580"/>
      <c r="AI1188" s="684"/>
      <c r="AJ1188" s="569"/>
      <c r="AK1188" s="569"/>
      <c r="AL1188" s="569"/>
      <c r="AM1188" s="569"/>
      <c r="AN1188" s="619"/>
      <c r="AO1188" s="829" t="str">
        <f t="shared" si="246"/>
        <v>Yes</v>
      </c>
      <c r="AP1188" s="259" t="str">
        <f t="shared" si="247"/>
        <v>SEP 22</v>
      </c>
      <c r="AQ1188" s="547" t="str">
        <f t="shared" si="248"/>
        <v>有定金+有預留客戶</v>
      </c>
      <c r="AR1188" s="259" t="str">
        <f t="shared" si="249"/>
        <v>Shipped_Stock</v>
      </c>
      <c r="AS1188" s="259" t="str">
        <f t="shared" si="250"/>
        <v/>
      </c>
      <c r="AT1188" s="259" t="str">
        <f t="shared" si="251"/>
        <v>魔乐视</v>
      </c>
      <c r="AU1188" s="259" t="str">
        <f t="shared" si="252"/>
        <v>C49SZX20210215MZ</v>
      </c>
      <c r="AV1188" s="259" t="str">
        <f t="shared" si="253"/>
        <v>Jun-02</v>
      </c>
    </row>
    <row r="1189" spans="1:48" hidden="1">
      <c r="A1189" s="604">
        <v>1521</v>
      </c>
      <c r="B1189" s="669" t="s">
        <v>1125</v>
      </c>
      <c r="C1189" s="669" t="s">
        <v>15</v>
      </c>
      <c r="D1189" s="630">
        <v>110896</v>
      </c>
      <c r="E1189" s="567" t="s">
        <v>2135</v>
      </c>
      <c r="F1189" s="568" t="s">
        <v>17</v>
      </c>
      <c r="G1189" s="568" t="s">
        <v>18</v>
      </c>
      <c r="H1189" s="568" t="s">
        <v>34</v>
      </c>
      <c r="I1189" s="569" t="s">
        <v>2291</v>
      </c>
      <c r="J1189" s="569">
        <v>1</v>
      </c>
      <c r="K1189" s="568" t="s">
        <v>1419</v>
      </c>
      <c r="L1189" s="662">
        <v>44714</v>
      </c>
      <c r="M1189" s="670" t="s">
        <v>2290</v>
      </c>
      <c r="N1189" s="652" t="s">
        <v>219</v>
      </c>
      <c r="O1189" s="580">
        <v>2022.5</v>
      </c>
      <c r="P1189" s="670" t="str">
        <f>VLOOKUP(A1189,'[1]Raw data'!$B:$BA,23,FALSE)</f>
        <v>JPY</v>
      </c>
      <c r="Q1189" s="652" t="str">
        <f>VLOOKUP(A1189,'[1]Raw data'!$B:$Z,2,FALSE)</f>
        <v>C49SZX20210215MZ</v>
      </c>
      <c r="R1189" s="652" t="str">
        <f>VLOOKUP(A1189,'[1]Raw data'!$B:$Z,3,FALSE)</f>
        <v>魔乐视</v>
      </c>
      <c r="S1189" s="652" t="str">
        <f>VLOOKUP(A1189,'[1]Raw data'!$B:$Z,4,FALSE)</f>
        <v>YSM10</v>
      </c>
      <c r="T1189" s="652" t="str">
        <f>VLOOKUP(A1189,'[1]Raw data'!$B:$Z,8,FALSE)</f>
        <v>L-&gt;R</v>
      </c>
      <c r="U1189" s="652" t="str">
        <f>VLOOKUP(A1189,'[1]Raw data'!$B:$Z,9,FALSE)</f>
        <v>MVC+ATS15</v>
      </c>
      <c r="V1189" s="572" t="str">
        <f t="shared" si="258"/>
        <v>WRONG</v>
      </c>
      <c r="W1189" s="568" t="str">
        <f>VLOOKUP(A1189,'[1]Raw data'!$B:$AG,32,FALSE)</f>
        <v>DAP SZ</v>
      </c>
      <c r="X1189" s="652">
        <f>VLOOKUP(A1189,'[1]Raw data'!$B:$BA,31,FALSE)</f>
        <v>44540</v>
      </c>
      <c r="Y1189" s="652" t="str">
        <f>VLOOKUP(A1189,'[1]Raw data'!$B:$AS,39,FALSE)</f>
        <v>Yes</v>
      </c>
      <c r="Z1189" s="664"/>
      <c r="AA1189" s="665"/>
      <c r="AB1189" s="666"/>
      <c r="AC1189" s="652" t="s">
        <v>2011</v>
      </c>
      <c r="AD1189" s="580">
        <v>312</v>
      </c>
      <c r="AE1189" s="580">
        <v>10</v>
      </c>
      <c r="AF1189" s="580"/>
      <c r="AG1189" s="580"/>
      <c r="AH1189" s="580"/>
      <c r="AI1189" s="684"/>
      <c r="AJ1189" s="569"/>
      <c r="AK1189" s="569"/>
      <c r="AL1189" s="569"/>
      <c r="AM1189" s="569"/>
      <c r="AN1189" s="619"/>
      <c r="AO1189" s="829" t="str">
        <f t="shared" si="246"/>
        <v>Yes</v>
      </c>
      <c r="AP1189" s="259" t="str">
        <f t="shared" si="247"/>
        <v>SEP 22</v>
      </c>
      <c r="AQ1189" s="547" t="str">
        <f t="shared" si="248"/>
        <v>有定金+有預留客戶</v>
      </c>
      <c r="AR1189" s="259" t="str">
        <f t="shared" si="249"/>
        <v>Shipped_Stock</v>
      </c>
      <c r="AS1189" s="259" t="str">
        <f t="shared" si="250"/>
        <v/>
      </c>
      <c r="AT1189" s="259" t="str">
        <f t="shared" si="251"/>
        <v>魔乐视</v>
      </c>
      <c r="AU1189" s="259" t="str">
        <f t="shared" si="252"/>
        <v>C49SZX20210215MZ</v>
      </c>
      <c r="AV1189" s="259" t="str">
        <f t="shared" si="253"/>
        <v>Jun-02</v>
      </c>
    </row>
    <row r="1190" spans="1:48" hidden="1">
      <c r="A1190" s="604">
        <v>1734</v>
      </c>
      <c r="B1190" s="669" t="s">
        <v>1125</v>
      </c>
      <c r="C1190" s="669" t="s">
        <v>15</v>
      </c>
      <c r="D1190" s="760">
        <v>110896</v>
      </c>
      <c r="E1190" s="567" t="s">
        <v>2135</v>
      </c>
      <c r="F1190" s="568" t="s">
        <v>17</v>
      </c>
      <c r="G1190" s="568" t="s">
        <v>18</v>
      </c>
      <c r="H1190" s="568" t="s">
        <v>34</v>
      </c>
      <c r="I1190" s="569" t="s">
        <v>2292</v>
      </c>
      <c r="J1190" s="569">
        <v>1</v>
      </c>
      <c r="K1190" s="568" t="s">
        <v>1419</v>
      </c>
      <c r="L1190" s="662">
        <v>44714</v>
      </c>
      <c r="M1190" s="670" t="s">
        <v>2283</v>
      </c>
      <c r="N1190" s="652" t="s">
        <v>219</v>
      </c>
      <c r="O1190" s="580">
        <v>2022.5</v>
      </c>
      <c r="P1190" s="670" t="str">
        <f>VLOOKUP(A1190,'[1]Raw data'!$B:$BA,23,FALSE)</f>
        <v>RMB</v>
      </c>
      <c r="Q1190" s="652" t="str">
        <f>VLOOKUP(A1190,'[1]Raw data'!$B:$Z,2,FALSE)</f>
        <v>C49SZX20220102DZ</v>
      </c>
      <c r="R1190" s="652" t="str">
        <f>VLOOKUP(A1190,'[1]Raw data'!$B:$Z,3,FALSE)</f>
        <v>朗特</v>
      </c>
      <c r="S1190" s="652" t="str">
        <f>VLOOKUP(A1190,'[1]Raw data'!$B:$Z,4,FALSE)</f>
        <v>YSM10</v>
      </c>
      <c r="T1190" s="652" t="str">
        <f>VLOOKUP(A1190,'[1]Raw data'!$B:$Z,8,FALSE)</f>
        <v>L-&gt;R</v>
      </c>
      <c r="U1190" s="652" t="str">
        <f>VLOOKUP(A1190,'[1]Raw data'!$B:$Z,9,FALSE)</f>
        <v>MVC+ATS15</v>
      </c>
      <c r="V1190" s="572" t="str">
        <f t="shared" si="258"/>
        <v>WRONG</v>
      </c>
      <c r="W1190" s="568" t="str">
        <f>VLOOKUP(A1190,'[1]Raw data'!$B:$AG,32,FALSE)</f>
        <v>DDP JX</v>
      </c>
      <c r="X1190" s="652">
        <f>VLOOKUP(A1190,'[1]Raw data'!$B:$BA,31,FALSE)</f>
        <v>44834</v>
      </c>
      <c r="Y1190" s="652" t="str">
        <f>VLOOKUP(A1190,'[1]Raw data'!$B:$AS,39,FALSE)</f>
        <v>Yes</v>
      </c>
      <c r="Z1190" s="664"/>
      <c r="AA1190" s="665"/>
      <c r="AB1190" s="666"/>
      <c r="AC1190" s="652" t="s">
        <v>933</v>
      </c>
      <c r="AD1190" s="580">
        <v>312</v>
      </c>
      <c r="AE1190" s="580">
        <v>10</v>
      </c>
      <c r="AF1190" s="580"/>
      <c r="AG1190" s="580"/>
      <c r="AH1190" s="580"/>
      <c r="AI1190" s="684"/>
      <c r="AJ1190" s="569"/>
      <c r="AK1190" s="569"/>
      <c r="AL1190" s="569"/>
      <c r="AM1190" s="569"/>
      <c r="AN1190" s="619"/>
      <c r="AO1190" s="829" t="str">
        <f t="shared" si="246"/>
        <v>Yes</v>
      </c>
      <c r="AP1190" s="259" t="str">
        <f t="shared" si="247"/>
        <v>SEP 22</v>
      </c>
      <c r="AQ1190" s="547" t="str">
        <f t="shared" si="248"/>
        <v>有定金+有預留客戶</v>
      </c>
      <c r="AR1190" s="259" t="str">
        <f t="shared" si="249"/>
        <v>Shipped_Stock</v>
      </c>
      <c r="AS1190" s="259" t="str">
        <f t="shared" si="250"/>
        <v/>
      </c>
      <c r="AT1190" s="259" t="str">
        <f t="shared" si="251"/>
        <v>朗特</v>
      </c>
      <c r="AU1190" s="259" t="str">
        <f t="shared" si="252"/>
        <v>C49SZX20220102DZ</v>
      </c>
      <c r="AV1190" s="259" t="str">
        <f t="shared" si="253"/>
        <v>Jun-02</v>
      </c>
    </row>
    <row r="1191" spans="1:48" hidden="1">
      <c r="A1191" s="767" t="s">
        <v>2293</v>
      </c>
      <c r="B1191" s="669" t="s">
        <v>1125</v>
      </c>
      <c r="C1191" s="669" t="s">
        <v>281</v>
      </c>
      <c r="D1191" s="628">
        <v>110863</v>
      </c>
      <c r="E1191" s="761" t="s">
        <v>2294</v>
      </c>
      <c r="F1191" s="652" t="s">
        <v>58</v>
      </c>
      <c r="G1191" s="652" t="s">
        <v>24</v>
      </c>
      <c r="H1191" s="652" t="s">
        <v>159</v>
      </c>
      <c r="I1191" s="580" t="s">
        <v>2295</v>
      </c>
      <c r="J1191" s="580">
        <v>1</v>
      </c>
      <c r="K1191" s="568" t="s">
        <v>1419</v>
      </c>
      <c r="L1191" s="662">
        <v>44714</v>
      </c>
      <c r="M1191" s="670" t="s">
        <v>2296</v>
      </c>
      <c r="N1191" s="652" t="s">
        <v>217</v>
      </c>
      <c r="O1191" s="580">
        <v>2022.5</v>
      </c>
      <c r="P1191" s="670" t="s">
        <v>1246</v>
      </c>
      <c r="Q1191" s="652" t="s">
        <v>2297</v>
      </c>
      <c r="R1191" s="786" t="s">
        <v>2298</v>
      </c>
      <c r="S1191" s="652" t="s">
        <v>58</v>
      </c>
      <c r="T1191" s="652" t="s">
        <v>24</v>
      </c>
      <c r="U1191" s="652" t="s">
        <v>159</v>
      </c>
      <c r="V1191" s="572" t="str">
        <f t="shared" ref="V1191" si="259">IF(G1191&amp;H1191=T1191&amp;U1191,"OK","WRONG")</f>
        <v>OK</v>
      </c>
      <c r="W1191" s="568" t="e">
        <f>VLOOKUP(A1191,'[1]Raw data'!$B:$AG,32,FALSE)</f>
        <v>#N/A</v>
      </c>
      <c r="X1191" s="652" t="e">
        <f>VLOOKUP(A1191,'[1]Raw data'!$B:$BA,31,FALSE)</f>
        <v>#N/A</v>
      </c>
      <c r="Y1191" s="652" t="e">
        <f>VLOOKUP(A1191,'[1]Raw data'!$B:$AS,39,FALSE)</f>
        <v>#N/A</v>
      </c>
      <c r="Z1191" s="671"/>
      <c r="AA1191" s="665"/>
      <c r="AB1191" s="666"/>
      <c r="AC1191" s="652" t="s">
        <v>2299</v>
      </c>
      <c r="AD1191" s="580">
        <v>301</v>
      </c>
      <c r="AE1191" s="580">
        <v>20</v>
      </c>
      <c r="AF1191" s="580"/>
      <c r="AG1191" s="580"/>
      <c r="AH1191" s="580"/>
      <c r="AI1191" s="684"/>
      <c r="AJ1191" s="569"/>
      <c r="AK1191" s="569"/>
      <c r="AL1191" s="569"/>
      <c r="AM1191" s="569"/>
      <c r="AN1191" s="619"/>
      <c r="AO1191" s="829" t="str">
        <f t="shared" si="246"/>
        <v>No</v>
      </c>
      <c r="AP1191" s="259" t="str">
        <f t="shared" si="247"/>
        <v>FEB 23</v>
      </c>
      <c r="AQ1191" s="547" t="str">
        <f t="shared" si="248"/>
        <v>无定金+有預留客戶</v>
      </c>
      <c r="AR1191" s="259" t="str">
        <f t="shared" si="249"/>
        <v>Shipped_Stock</v>
      </c>
      <c r="AS1191" s="259" t="str">
        <f t="shared" si="250"/>
        <v/>
      </c>
      <c r="AT1191" s="259" t="str">
        <f t="shared" si="251"/>
        <v>四川乃迁科技有限公司 LogBook.xlsx]Raw data'!$B:$Z,3,FALSE)</v>
      </c>
      <c r="AU1191" s="259" t="str">
        <f t="shared" si="252"/>
        <v>C49CTUSHA20221203/FZM</v>
      </c>
      <c r="AV1191" s="259" t="str">
        <f t="shared" si="253"/>
        <v>Jun-02</v>
      </c>
    </row>
    <row r="1192" spans="1:48" hidden="1">
      <c r="A1192" s="604">
        <v>1343</v>
      </c>
      <c r="B1192" s="669" t="s">
        <v>1125</v>
      </c>
      <c r="C1192" s="669" t="s">
        <v>281</v>
      </c>
      <c r="D1192" s="630">
        <v>110865</v>
      </c>
      <c r="E1192" s="651" t="s">
        <v>2300</v>
      </c>
      <c r="F1192" s="652" t="s">
        <v>58</v>
      </c>
      <c r="G1192" s="652" t="s">
        <v>24</v>
      </c>
      <c r="H1192" s="652" t="s">
        <v>26</v>
      </c>
      <c r="I1192" s="580" t="s">
        <v>2301</v>
      </c>
      <c r="J1192" s="580">
        <v>1</v>
      </c>
      <c r="K1192" s="652" t="s">
        <v>1419</v>
      </c>
      <c r="L1192" s="662">
        <v>44714</v>
      </c>
      <c r="M1192" s="670" t="s">
        <v>2302</v>
      </c>
      <c r="N1192" s="652" t="s">
        <v>2231</v>
      </c>
      <c r="O1192" s="580">
        <v>2022.5</v>
      </c>
      <c r="P1192" s="670" t="str">
        <f>VLOOKUP(A1192,'[1]Raw data'!$B:$BA,23,FALSE)</f>
        <v>JPY</v>
      </c>
      <c r="Q1192" s="652" t="str">
        <f>VLOOKUP(A1192,'[1]Raw data'!$B:$Z,2,FALSE)</f>
        <v>C49SZX20210118R1JY</v>
      </c>
      <c r="R1192" s="652" t="str">
        <f>VLOOKUP(A1192,'[1]Raw data'!$B:$Z,3,FALSE)</f>
        <v>精德鸿</v>
      </c>
      <c r="S1192" s="652" t="str">
        <f>VLOOKUP(A1192,'[1]Raw data'!$B:$Z,4,FALSE)</f>
        <v>YSM20R-2</v>
      </c>
      <c r="T1192" s="652" t="str">
        <f>VLOOKUP(A1192,'[1]Raw data'!$B:$Z,8,FALSE)</f>
        <v>L-&gt;R</v>
      </c>
      <c r="U1192" s="652" t="str">
        <f>VLOOKUP(A1192,'[1]Raw data'!$B:$Z,9,FALSE)</f>
        <v>No</v>
      </c>
      <c r="V1192" s="572" t="str">
        <f t="shared" ref="V1192" si="260">IF(G1192&amp;H1192=T1192&amp;U1192,"OK","WRONG")</f>
        <v>OK</v>
      </c>
      <c r="W1192" s="568" t="str">
        <f>VLOOKUP(A1192,'[1]Raw data'!$B:$AG,32,FALSE)</f>
        <v>DAP SZ</v>
      </c>
      <c r="X1192" s="652">
        <f>VLOOKUP(A1192,'[1]Raw data'!$B:$BA,31,FALSE)</f>
        <v>44306</v>
      </c>
      <c r="Y1192" s="652" t="str">
        <f>VLOOKUP(A1192,'[1]Raw data'!$B:$AS,39,FALSE)</f>
        <v>Yes</v>
      </c>
      <c r="Z1192" s="664"/>
      <c r="AA1192" s="665"/>
      <c r="AB1192" s="666"/>
      <c r="AC1192" s="652" t="s">
        <v>1389</v>
      </c>
      <c r="AD1192" s="580">
        <v>301</v>
      </c>
      <c r="AE1192" s="580">
        <v>20</v>
      </c>
      <c r="AF1192" s="580"/>
      <c r="AG1192" s="580"/>
      <c r="AH1192" s="580"/>
      <c r="AI1192" s="684"/>
      <c r="AJ1192" s="569"/>
      <c r="AK1192" s="569"/>
      <c r="AL1192" s="569"/>
      <c r="AM1192" s="569"/>
      <c r="AN1192" s="619"/>
      <c r="AO1192" s="829" t="str">
        <f t="shared" si="246"/>
        <v>Yes</v>
      </c>
      <c r="AP1192" s="259" t="str">
        <f t="shared" si="247"/>
        <v>JUL 22</v>
      </c>
      <c r="AQ1192" s="547" t="str">
        <f t="shared" si="248"/>
        <v>有定金+有預留客戶</v>
      </c>
      <c r="AR1192" s="259" t="str">
        <f t="shared" si="249"/>
        <v>Shipped_Stock</v>
      </c>
      <c r="AS1192" s="259" t="str">
        <f t="shared" si="250"/>
        <v/>
      </c>
      <c r="AT1192" s="259" t="str">
        <f t="shared" si="251"/>
        <v>精德鸿</v>
      </c>
      <c r="AU1192" s="259" t="str">
        <f t="shared" si="252"/>
        <v>C49SZX20210118R1JY</v>
      </c>
      <c r="AV1192" s="259" t="str">
        <f t="shared" si="253"/>
        <v>Jun-02</v>
      </c>
    </row>
    <row r="1193" spans="1:48" ht="13.5" hidden="1" thickBot="1">
      <c r="A1193" s="564">
        <v>1643</v>
      </c>
      <c r="B1193" s="669" t="s">
        <v>1125</v>
      </c>
      <c r="C1193" s="669" t="s">
        <v>281</v>
      </c>
      <c r="D1193" s="629">
        <v>110868</v>
      </c>
      <c r="E1193" s="651" t="s">
        <v>2303</v>
      </c>
      <c r="F1193" s="652" t="s">
        <v>58</v>
      </c>
      <c r="G1193" s="652" t="s">
        <v>24</v>
      </c>
      <c r="H1193" s="652" t="s">
        <v>26</v>
      </c>
      <c r="I1193" s="580" t="s">
        <v>2304</v>
      </c>
      <c r="J1193" s="580">
        <v>1</v>
      </c>
      <c r="K1193" s="652" t="s">
        <v>85</v>
      </c>
      <c r="L1193" s="662">
        <v>44714</v>
      </c>
      <c r="M1193" s="670" t="s">
        <v>2305</v>
      </c>
      <c r="N1193" s="652" t="s">
        <v>1982</v>
      </c>
      <c r="O1193" s="580">
        <v>2022.5</v>
      </c>
      <c r="P1193" s="670" t="str">
        <f>VLOOKUP(A1193,'[1]Raw data'!$B:$BA,23,FALSE)</f>
        <v>JPY</v>
      </c>
      <c r="Q1193" s="652" t="str">
        <f>VLOOKUP(A1193,'[1]Raw data'!$B:$Z,2,FALSE)</f>
        <v>C49SZX20220046JL</v>
      </c>
      <c r="R1193" s="652" t="str">
        <f>VLOOKUP(A1193,'[1]Raw data'!$B:$Z,3,FALSE)</f>
        <v>快宇</v>
      </c>
      <c r="S1193" s="652" t="str">
        <f>VLOOKUP(A1193,'[1]Raw data'!$B:$Z,4,FALSE)</f>
        <v>YSM20R-2</v>
      </c>
      <c r="T1193" s="652" t="str">
        <f>VLOOKUP(A1193,'[1]Raw data'!$B:$Z,8,FALSE)</f>
        <v>L-&gt;R</v>
      </c>
      <c r="U1193" s="652" t="str">
        <f>VLOOKUP(A1193,'[1]Raw data'!$B:$Z,9,FALSE)</f>
        <v>No</v>
      </c>
      <c r="V1193" s="572" t="str">
        <f t="shared" ref="V1193" si="261">IF(G1193&amp;H1193=T1193&amp;U1193,"OK","WRONG")</f>
        <v>OK</v>
      </c>
      <c r="W1193" s="568" t="str">
        <f>VLOOKUP(A1193,'[1]Raw data'!$B:$AG,32,FALSE)</f>
        <v>DAP SZ</v>
      </c>
      <c r="X1193" s="652">
        <f>VLOOKUP(A1193,'[1]Raw data'!$B:$BA,31,FALSE)</f>
        <v>44669</v>
      </c>
      <c r="Y1193" s="652" t="str">
        <f>VLOOKUP(A1193,'[1]Raw data'!$B:$AS,39,FALSE)</f>
        <v>Yes</v>
      </c>
      <c r="Z1193" s="664"/>
      <c r="AA1193" s="665"/>
      <c r="AB1193" s="666"/>
      <c r="AC1193" s="652" t="s">
        <v>2306</v>
      </c>
      <c r="AD1193" s="667">
        <v>301</v>
      </c>
      <c r="AE1193" s="667">
        <v>20</v>
      </c>
      <c r="AF1193" s="667"/>
      <c r="AG1193" s="667"/>
      <c r="AH1193" s="667"/>
      <c r="AI1193" s="668"/>
      <c r="AN1193" s="547"/>
      <c r="AO1193" s="829" t="str">
        <f t="shared" si="246"/>
        <v>Yes</v>
      </c>
      <c r="AP1193" s="259" t="str">
        <f t="shared" si="247"/>
        <v>JUN 22</v>
      </c>
      <c r="AQ1193" s="547" t="str">
        <f t="shared" si="248"/>
        <v>有定金+有預留客戶</v>
      </c>
      <c r="AR1193" s="259" t="str">
        <f t="shared" si="249"/>
        <v>Shipped_Stock</v>
      </c>
      <c r="AS1193" s="259" t="str">
        <f t="shared" si="250"/>
        <v/>
      </c>
      <c r="AT1193" s="259" t="str">
        <f t="shared" si="251"/>
        <v>快宇</v>
      </c>
      <c r="AU1193" s="259" t="str">
        <f t="shared" si="252"/>
        <v>C49SZX20220046JL</v>
      </c>
      <c r="AV1193" s="259" t="str">
        <f t="shared" si="253"/>
        <v>Jun-02</v>
      </c>
    </row>
    <row r="1194" spans="1:48" ht="16.5" hidden="1">
      <c r="A1194" s="564">
        <v>1604</v>
      </c>
      <c r="B1194" s="669" t="s">
        <v>1125</v>
      </c>
      <c r="C1194" s="568" t="s">
        <v>4056</v>
      </c>
      <c r="D1194" s="766">
        <v>110877</v>
      </c>
      <c r="E1194" s="749" t="s">
        <v>2258</v>
      </c>
      <c r="F1194" s="652" t="s">
        <v>551</v>
      </c>
      <c r="G1194" s="652" t="s">
        <v>24</v>
      </c>
      <c r="H1194" s="652" t="s">
        <v>26</v>
      </c>
      <c r="I1194" s="580" t="s">
        <v>2307</v>
      </c>
      <c r="J1194" s="580">
        <v>1</v>
      </c>
      <c r="K1194" s="652" t="s">
        <v>1572</v>
      </c>
      <c r="L1194" s="662">
        <v>44720</v>
      </c>
      <c r="M1194" s="670" t="s">
        <v>906</v>
      </c>
      <c r="N1194" s="652" t="s">
        <v>1982</v>
      </c>
      <c r="O1194" s="580">
        <v>2022.5</v>
      </c>
      <c r="P1194" s="670" t="str">
        <f>VLOOKUP(A1194,'[1]Raw data'!$B:$BA,23,FALSE)</f>
        <v>JPY</v>
      </c>
      <c r="Q1194" s="652" t="str">
        <f>VLOOKUP(A1194,'[1]Raw data'!$B:$Z,2,FALSE)</f>
        <v>C49SZX20220028R1SX</v>
      </c>
      <c r="R1194" s="652" t="str">
        <f>VLOOKUP(A1194,'[1]Raw data'!$B:$Z,3,FALSE)</f>
        <v>通达科信</v>
      </c>
      <c r="S1194" s="652" t="str">
        <f>VLOOKUP(A1194,'[1]Raw data'!$B:$Z,4,FALSE)</f>
        <v>YCP10</v>
      </c>
      <c r="T1194" s="652" t="str">
        <f>VLOOKUP(A1194,'[1]Raw data'!$B:$Z,8,FALSE)</f>
        <v>L-&gt;R</v>
      </c>
      <c r="U1194" s="652" t="str">
        <f>VLOOKUP(A1194,'[1]Raw data'!$B:$Z,9,FALSE)</f>
        <v>No</v>
      </c>
      <c r="V1194" s="572" t="str">
        <f>IF(G1194&amp;H1194=T1194&amp;U1194,"OK","WRONG")</f>
        <v>OK</v>
      </c>
      <c r="W1194" s="568" t="str">
        <f>VLOOKUP(A1194,'[1]Raw data'!$B:$AG,32,FALSE)</f>
        <v>CIF HK</v>
      </c>
      <c r="X1194" s="652">
        <f>VLOOKUP(A1194,'[1]Raw data'!$B:$BA,31,FALSE)</f>
        <v>44627</v>
      </c>
      <c r="Y1194" s="652" t="str">
        <f>VLOOKUP(A1194,'[1]Raw data'!$B:$AS,39,FALSE)</f>
        <v>Yes</v>
      </c>
      <c r="Z1194" s="664"/>
      <c r="AA1194" s="665"/>
      <c r="AB1194" s="666"/>
      <c r="AC1194" s="652" t="s">
        <v>1951</v>
      </c>
      <c r="AD1194" s="667"/>
      <c r="AE1194" s="667"/>
      <c r="AF1194" s="667"/>
      <c r="AG1194" s="667"/>
      <c r="AH1194" s="667"/>
      <c r="AI1194" s="668"/>
      <c r="AN1194" s="547"/>
      <c r="AO1194" s="829" t="str">
        <f t="shared" si="246"/>
        <v>Yes</v>
      </c>
      <c r="AP1194" s="259" t="str">
        <f t="shared" si="247"/>
        <v>JUN 22</v>
      </c>
      <c r="AQ1194" s="547" t="str">
        <f t="shared" si="248"/>
        <v>有定金+有預留客戶</v>
      </c>
      <c r="AR1194" s="259" t="str">
        <f t="shared" si="249"/>
        <v>Shipped_Stock</v>
      </c>
      <c r="AS1194" s="259" t="str">
        <f t="shared" si="250"/>
        <v/>
      </c>
      <c r="AT1194" s="259" t="str">
        <f t="shared" si="251"/>
        <v>通达科信</v>
      </c>
      <c r="AU1194" s="259" t="str">
        <f t="shared" si="252"/>
        <v>C49SZX20220028R1SX</v>
      </c>
      <c r="AV1194" s="259" t="str">
        <f t="shared" si="253"/>
        <v>Jun-08</v>
      </c>
    </row>
    <row r="1195" spans="1:48" ht="17.25" hidden="1" thickBot="1">
      <c r="A1195" s="604">
        <v>1005</v>
      </c>
      <c r="B1195" s="669" t="s">
        <v>1125</v>
      </c>
      <c r="C1195" s="669" t="s">
        <v>281</v>
      </c>
      <c r="D1195" s="629">
        <v>110910</v>
      </c>
      <c r="E1195" s="567" t="s">
        <v>886</v>
      </c>
      <c r="F1195" s="652" t="s">
        <v>17</v>
      </c>
      <c r="G1195" s="652" t="s">
        <v>18</v>
      </c>
      <c r="H1195" s="652" t="s">
        <v>26</v>
      </c>
      <c r="I1195" s="580" t="s">
        <v>2308</v>
      </c>
      <c r="J1195" s="580">
        <v>1</v>
      </c>
      <c r="K1195" s="652" t="s">
        <v>1572</v>
      </c>
      <c r="L1195" s="662">
        <v>44720</v>
      </c>
      <c r="M1195" s="670" t="s">
        <v>2309</v>
      </c>
      <c r="N1195" s="652" t="s">
        <v>2231</v>
      </c>
      <c r="O1195" s="580">
        <v>2022.5</v>
      </c>
      <c r="P1195" s="670" t="str">
        <f>VLOOKUP(A1195,'[1]Raw data'!$B:$BA,23,FALSE)</f>
        <v>JPY</v>
      </c>
      <c r="Q1195" s="652" t="str">
        <f>VLOOKUP(A1195,'[1]Raw data'!$B:$Z,2,FALSE)</f>
        <v>C49SZX20200233JL</v>
      </c>
      <c r="R1195" s="652" t="str">
        <f>VLOOKUP(A1195,'[1]Raw data'!$B:$Z,3,FALSE)</f>
        <v>瑞福联</v>
      </c>
      <c r="S1195" s="652" t="str">
        <f>VLOOKUP(A1195,'[1]Raw data'!$B:$Z,4,FALSE)</f>
        <v>YSM10</v>
      </c>
      <c r="T1195" s="652" t="str">
        <f>VLOOKUP(A1195,'[1]Raw data'!$B:$Z,8,FALSE)</f>
        <v>L-&gt;R</v>
      </c>
      <c r="U1195" s="652" t="str">
        <f>VLOOKUP(A1195,'[1]Raw data'!$B:$Z,9,FALSE)</f>
        <v>MVC</v>
      </c>
      <c r="V1195" s="572" t="str">
        <f>IF(G1195&amp;H1195=T1195&amp;U1195,"OK","WRONG")</f>
        <v>WRONG</v>
      </c>
      <c r="W1195" s="568" t="str">
        <f>VLOOKUP(A1195,'[1]Raw data'!$B:$AG,32,FALSE)</f>
        <v>CIF HK</v>
      </c>
      <c r="X1195" s="652">
        <f>VLOOKUP(A1195,'[1]Raw data'!$B:$BA,31,FALSE)</f>
        <v>44175</v>
      </c>
      <c r="Y1195" s="652" t="str">
        <f>VLOOKUP(A1195,'[1]Raw data'!$B:$AS,39,FALSE)</f>
        <v>Yes</v>
      </c>
      <c r="Z1195" s="664"/>
      <c r="AA1195" s="665"/>
      <c r="AB1195" s="666"/>
      <c r="AC1195" s="652" t="s">
        <v>2079</v>
      </c>
      <c r="AD1195" s="580">
        <v>301</v>
      </c>
      <c r="AE1195" s="580">
        <v>10</v>
      </c>
      <c r="AF1195" s="580"/>
      <c r="AG1195" s="580"/>
      <c r="AH1195" s="580"/>
      <c r="AI1195" s="684"/>
      <c r="AJ1195" s="569"/>
      <c r="AK1195" s="569"/>
      <c r="AL1195" s="569"/>
      <c r="AM1195" s="569"/>
      <c r="AN1195" s="619"/>
      <c r="AO1195" s="829" t="str">
        <f t="shared" si="246"/>
        <v>Yes</v>
      </c>
      <c r="AP1195" s="259" t="str">
        <f t="shared" si="247"/>
        <v>JUL 22</v>
      </c>
      <c r="AQ1195" s="547" t="str">
        <f t="shared" si="248"/>
        <v>有定金+有預留客戶</v>
      </c>
      <c r="AR1195" s="259" t="str">
        <f t="shared" si="249"/>
        <v>Shipped_Stock</v>
      </c>
      <c r="AS1195" s="259" t="str">
        <f t="shared" si="250"/>
        <v/>
      </c>
      <c r="AT1195" s="259" t="str">
        <f t="shared" si="251"/>
        <v>瑞福联</v>
      </c>
      <c r="AU1195" s="259" t="str">
        <f t="shared" si="252"/>
        <v>C49SZX20200233JL</v>
      </c>
      <c r="AV1195" s="259" t="str">
        <f t="shared" si="253"/>
        <v>Jun-08</v>
      </c>
    </row>
    <row r="1196" spans="1:48" ht="22.5" hidden="1">
      <c r="A1196" s="604">
        <v>1697</v>
      </c>
      <c r="B1196" s="669" t="s">
        <v>1125</v>
      </c>
      <c r="C1196" s="669" t="s">
        <v>281</v>
      </c>
      <c r="D1196" s="766">
        <v>110871</v>
      </c>
      <c r="E1196" s="761" t="s">
        <v>2310</v>
      </c>
      <c r="F1196" s="652" t="s">
        <v>17</v>
      </c>
      <c r="G1196" s="652" t="s">
        <v>18</v>
      </c>
      <c r="H1196" s="652" t="s">
        <v>102</v>
      </c>
      <c r="I1196" s="580" t="s">
        <v>2311</v>
      </c>
      <c r="J1196" s="580">
        <v>1</v>
      </c>
      <c r="K1196" s="652" t="s">
        <v>1419</v>
      </c>
      <c r="L1196" s="662">
        <v>44724</v>
      </c>
      <c r="M1196" s="670" t="s">
        <v>2312</v>
      </c>
      <c r="N1196" s="652" t="s">
        <v>2231</v>
      </c>
      <c r="O1196" s="580">
        <v>2022.5</v>
      </c>
      <c r="P1196" s="670" t="str">
        <f>VLOOKUP(A1196,'[1]Raw data'!$B:$BA,23,FALSE)</f>
        <v>RMB</v>
      </c>
      <c r="Q1196" s="652" t="str">
        <f>VLOOKUP(A1196,'[1]Raw data'!$B:$Z,2,FALSE)</f>
        <v>C49SZX20220053SS</v>
      </c>
      <c r="R1196" s="652" t="str">
        <f>VLOOKUP(A1196,'[1]Raw data'!$B:$Z,3,FALSE)</f>
        <v>阿姆斯特</v>
      </c>
      <c r="S1196" s="652" t="str">
        <f>VLOOKUP(A1196,'[1]Raw data'!$B:$Z,4,FALSE)</f>
        <v>YSM10</v>
      </c>
      <c r="T1196" s="652" t="str">
        <f>VLOOKUP(A1196,'[1]Raw data'!$B:$Z,8,FALSE)</f>
        <v>L-&gt;R</v>
      </c>
      <c r="U1196" s="652" t="str">
        <f>VLOOKUP(A1196,'[1]Raw data'!$B:$Z,9,FALSE)</f>
        <v>MVC</v>
      </c>
      <c r="V1196" s="572" t="str">
        <f t="shared" ref="V1196:V1199" si="262">IF(G1196&amp;H1196=T1196&amp;U1196,"OK","WRONG")</f>
        <v>WRONG</v>
      </c>
      <c r="W1196" s="568" t="str">
        <f>VLOOKUP(A1196,'[1]Raw data'!$B:$AG,32,FALSE)</f>
        <v>DDP DG</v>
      </c>
      <c r="X1196" s="652">
        <f>VLOOKUP(A1196,'[1]Raw data'!$B:$BA,31,FALSE)</f>
        <v>44750</v>
      </c>
      <c r="Y1196" s="652" t="str">
        <f>VLOOKUP(A1196,'[1]Raw data'!$B:$AS,39,FALSE)</f>
        <v>Yes</v>
      </c>
      <c r="Z1196" s="664"/>
      <c r="AA1196" s="665"/>
      <c r="AB1196" s="666"/>
      <c r="AC1196" s="652" t="s">
        <v>2313</v>
      </c>
      <c r="AD1196" s="667">
        <v>301</v>
      </c>
      <c r="AE1196" s="667">
        <v>10</v>
      </c>
      <c r="AF1196" s="667"/>
      <c r="AG1196" s="667"/>
      <c r="AH1196" s="667"/>
      <c r="AI1196" s="668"/>
      <c r="AN1196" s="547"/>
      <c r="AO1196" s="829" t="str">
        <f t="shared" si="246"/>
        <v>Yes</v>
      </c>
      <c r="AP1196" s="259" t="str">
        <f t="shared" si="247"/>
        <v>JUL 22</v>
      </c>
      <c r="AQ1196" s="547" t="str">
        <f t="shared" si="248"/>
        <v>有定金+有預留客戶</v>
      </c>
      <c r="AR1196" s="259" t="str">
        <f t="shared" si="249"/>
        <v>Shipped_Stock</v>
      </c>
      <c r="AS1196" s="259" t="str">
        <f t="shared" si="250"/>
        <v/>
      </c>
      <c r="AT1196" s="259" t="str">
        <f t="shared" si="251"/>
        <v>阿姆斯特</v>
      </c>
      <c r="AU1196" s="259" t="str">
        <f t="shared" si="252"/>
        <v>C49SZX20220053SS</v>
      </c>
      <c r="AV1196" s="259" t="str">
        <f t="shared" si="253"/>
        <v>Jun-12</v>
      </c>
    </row>
    <row r="1197" spans="1:48" ht="13.5" hidden="1" thickBot="1">
      <c r="A1197" s="564">
        <v>1705</v>
      </c>
      <c r="B1197" s="669" t="s">
        <v>1125</v>
      </c>
      <c r="C1197" s="669" t="s">
        <v>281</v>
      </c>
      <c r="D1197" s="629">
        <v>110887</v>
      </c>
      <c r="E1197" s="741" t="s">
        <v>2272</v>
      </c>
      <c r="F1197" s="652" t="s">
        <v>17</v>
      </c>
      <c r="G1197" s="652" t="s">
        <v>18</v>
      </c>
      <c r="H1197" s="652" t="s">
        <v>48</v>
      </c>
      <c r="I1197" s="580" t="s">
        <v>2314</v>
      </c>
      <c r="J1197" s="580">
        <v>1</v>
      </c>
      <c r="K1197" s="652" t="s">
        <v>2315</v>
      </c>
      <c r="L1197" s="662">
        <v>44724</v>
      </c>
      <c r="M1197" s="670" t="s">
        <v>906</v>
      </c>
      <c r="N1197" s="652" t="s">
        <v>221</v>
      </c>
      <c r="O1197" s="580">
        <v>2022.5</v>
      </c>
      <c r="P1197" s="670" t="str">
        <f>VLOOKUP(A1197,'[1]Raw data'!$B:$BA,23,FALSE)</f>
        <v>JPY</v>
      </c>
      <c r="Q1197" s="652" t="str">
        <f>VLOOKUP(A1197,'[1]Raw data'!$B:$Z,2,FALSE)</f>
        <v>C49SZX20220073DZ</v>
      </c>
      <c r="R1197" s="652" t="str">
        <f>VLOOKUP(A1197,'[1]Raw data'!$B:$Z,3,FALSE)</f>
        <v>朗特</v>
      </c>
      <c r="S1197" s="652" t="str">
        <f>VLOOKUP(A1197,'[1]Raw data'!$B:$Z,4,FALSE)</f>
        <v>YSM10</v>
      </c>
      <c r="T1197" s="652" t="str">
        <f>VLOOKUP(A1197,'[1]Raw data'!$B:$Z,8,FALSE)</f>
        <v>L-&gt;R</v>
      </c>
      <c r="U1197" s="652" t="str">
        <f>VLOOKUP(A1197,'[1]Raw data'!$B:$Z,9,FALSE)</f>
        <v>MVC+ATS15</v>
      </c>
      <c r="V1197" s="572" t="str">
        <f t="shared" ref="V1197" si="263">IF(G1197&amp;H1197=T1197&amp;U1197,"OK","WRONG")</f>
        <v>WRONG</v>
      </c>
      <c r="W1197" s="568" t="str">
        <f>VLOOKUP(A1197,'[1]Raw data'!$B:$AG,32,FALSE)</f>
        <v>CIF HK</v>
      </c>
      <c r="X1197" s="652">
        <f>VLOOKUP(A1197,'[1]Raw data'!$B:$BA,31,FALSE)</f>
        <v>44754</v>
      </c>
      <c r="Y1197" s="652" t="str">
        <f>VLOOKUP(A1197,'[1]Raw data'!$B:$AS,39,FALSE)</f>
        <v>Yes</v>
      </c>
      <c r="Z1197" s="664"/>
      <c r="AA1197" s="665"/>
      <c r="AB1197" s="666"/>
      <c r="AC1197" s="652" t="s">
        <v>933</v>
      </c>
      <c r="AD1197" s="667">
        <v>301</v>
      </c>
      <c r="AE1197" s="667">
        <v>5</v>
      </c>
      <c r="AF1197" s="667">
        <v>302</v>
      </c>
      <c r="AG1197" s="667">
        <v>5</v>
      </c>
      <c r="AH1197" s="667"/>
      <c r="AI1197" s="668"/>
      <c r="AN1197" s="547"/>
      <c r="AO1197" s="829" t="str">
        <f t="shared" si="246"/>
        <v>Yes</v>
      </c>
      <c r="AP1197" s="259" t="str">
        <f t="shared" si="247"/>
        <v>AUG 22</v>
      </c>
      <c r="AQ1197" s="547" t="str">
        <f t="shared" si="248"/>
        <v>有定金+有預留客戶</v>
      </c>
      <c r="AR1197" s="259" t="str">
        <f t="shared" si="249"/>
        <v>Shipped_Stock</v>
      </c>
      <c r="AS1197" s="259" t="str">
        <f t="shared" si="250"/>
        <v/>
      </c>
      <c r="AT1197" s="259" t="str">
        <f t="shared" si="251"/>
        <v>朗特</v>
      </c>
      <c r="AU1197" s="259" t="str">
        <f t="shared" si="252"/>
        <v>C49SZX20220073DZ</v>
      </c>
      <c r="AV1197" s="259" t="str">
        <f t="shared" si="253"/>
        <v>Jun-12</v>
      </c>
    </row>
    <row r="1198" spans="1:48" ht="22.5" hidden="1">
      <c r="A1198" s="604">
        <v>1615</v>
      </c>
      <c r="B1198" s="669" t="s">
        <v>1125</v>
      </c>
      <c r="C1198" s="669" t="s">
        <v>281</v>
      </c>
      <c r="D1198" s="766" t="s">
        <v>2316</v>
      </c>
      <c r="E1198" s="761" t="s">
        <v>2317</v>
      </c>
      <c r="F1198" s="652" t="s">
        <v>17</v>
      </c>
      <c r="G1198" s="652" t="s">
        <v>18</v>
      </c>
      <c r="H1198" s="652" t="s">
        <v>102</v>
      </c>
      <c r="I1198" s="580" t="s">
        <v>2318</v>
      </c>
      <c r="J1198" s="580">
        <v>1</v>
      </c>
      <c r="K1198" s="652" t="s">
        <v>85</v>
      </c>
      <c r="L1198" s="662">
        <v>44725</v>
      </c>
      <c r="M1198" s="670" t="s">
        <v>2319</v>
      </c>
      <c r="N1198" s="652" t="s">
        <v>221</v>
      </c>
      <c r="O1198" s="580">
        <v>2022.5</v>
      </c>
      <c r="P1198" s="670" t="str">
        <f>VLOOKUP(A1198,'[1]Raw data'!$B:$BA,23,FALSE)</f>
        <v>JPY</v>
      </c>
      <c r="Q1198" s="652" t="str">
        <f>VLOOKUP(A1198,'[1]Raw data'!$B:$Z,2,FALSE)</f>
        <v>C49SZX20220033JL</v>
      </c>
      <c r="R1198" s="652" t="str">
        <f>VLOOKUP(A1198,'[1]Raw data'!$B:$Z,3,FALSE)</f>
        <v>拓普艾</v>
      </c>
      <c r="S1198" s="652" t="str">
        <f>VLOOKUP(A1198,'[1]Raw data'!$B:$Z,4,FALSE)</f>
        <v>YSM10</v>
      </c>
      <c r="T1198" s="652" t="str">
        <f>VLOOKUP(A1198,'[1]Raw data'!$B:$Z,8,FALSE)</f>
        <v>L-&gt;R</v>
      </c>
      <c r="U1198" s="652" t="str">
        <f>VLOOKUP(A1198,'[1]Raw data'!$B:$Z,9,FALSE)</f>
        <v>MVC</v>
      </c>
      <c r="V1198" s="572" t="str">
        <f t="shared" si="262"/>
        <v>WRONG</v>
      </c>
      <c r="W1198" s="568" t="str">
        <f>VLOOKUP(A1198,'[1]Raw data'!$B:$AG,32,FALSE)</f>
        <v>CIF HK</v>
      </c>
      <c r="X1198" s="652">
        <f>VLOOKUP(A1198,'[1]Raw data'!$B:$BA,31,FALSE)</f>
        <v>44630</v>
      </c>
      <c r="Y1198" s="652" t="str">
        <f>VLOOKUP(A1198,'[1]Raw data'!$B:$AS,39,FALSE)</f>
        <v>Yes</v>
      </c>
      <c r="Z1198" s="664"/>
      <c r="AA1198" s="665"/>
      <c r="AB1198" s="666"/>
      <c r="AC1198" s="652" t="s">
        <v>2288</v>
      </c>
      <c r="AD1198" s="580">
        <v>302</v>
      </c>
      <c r="AE1198" s="580">
        <v>10</v>
      </c>
      <c r="AF1198" s="580"/>
      <c r="AG1198" s="580"/>
      <c r="AH1198" s="580"/>
      <c r="AI1198" s="684"/>
      <c r="AJ1198" s="569"/>
      <c r="AK1198" s="569"/>
      <c r="AL1198" s="569"/>
      <c r="AM1198" s="569"/>
      <c r="AN1198" s="619"/>
      <c r="AO1198" s="829" t="str">
        <f t="shared" si="246"/>
        <v>Yes</v>
      </c>
      <c r="AP1198" s="259" t="str">
        <f t="shared" si="247"/>
        <v>AUG 22</v>
      </c>
      <c r="AQ1198" s="547" t="str">
        <f t="shared" si="248"/>
        <v>有定金+有預留客戶</v>
      </c>
      <c r="AR1198" s="259" t="str">
        <f t="shared" si="249"/>
        <v>Shipped_Stock</v>
      </c>
      <c r="AS1198" s="259" t="str">
        <f t="shared" si="250"/>
        <v/>
      </c>
      <c r="AT1198" s="259" t="str">
        <f t="shared" si="251"/>
        <v>拓普艾</v>
      </c>
      <c r="AU1198" s="259" t="str">
        <f t="shared" si="252"/>
        <v>C49SZX20220033JL</v>
      </c>
      <c r="AV1198" s="259" t="str">
        <f t="shared" si="253"/>
        <v>Jun-13</v>
      </c>
    </row>
    <row r="1199" spans="1:48" ht="22.5" hidden="1">
      <c r="A1199" s="604">
        <v>1616</v>
      </c>
      <c r="B1199" s="669" t="s">
        <v>1125</v>
      </c>
      <c r="C1199" s="669" t="s">
        <v>281</v>
      </c>
      <c r="D1199" s="760">
        <v>110875</v>
      </c>
      <c r="E1199" s="761" t="s">
        <v>2317</v>
      </c>
      <c r="F1199" s="652" t="s">
        <v>17</v>
      </c>
      <c r="G1199" s="652" t="s">
        <v>18</v>
      </c>
      <c r="H1199" s="652" t="s">
        <v>102</v>
      </c>
      <c r="I1199" s="580" t="s">
        <v>2320</v>
      </c>
      <c r="J1199" s="580">
        <v>1</v>
      </c>
      <c r="K1199" s="652" t="s">
        <v>85</v>
      </c>
      <c r="L1199" s="662">
        <v>44725</v>
      </c>
      <c r="M1199" s="670" t="s">
        <v>2319</v>
      </c>
      <c r="N1199" s="652" t="s">
        <v>221</v>
      </c>
      <c r="O1199" s="580">
        <v>2022.5</v>
      </c>
      <c r="P1199" s="670" t="str">
        <f>VLOOKUP(A1199,'[1]Raw data'!$B:$BA,23,FALSE)</f>
        <v>JPY</v>
      </c>
      <c r="Q1199" s="652" t="str">
        <f>VLOOKUP(A1199,'[1]Raw data'!$B:$Z,2,FALSE)</f>
        <v>C49SZX20220033JL</v>
      </c>
      <c r="R1199" s="652" t="str">
        <f>VLOOKUP(A1199,'[1]Raw data'!$B:$Z,3,FALSE)</f>
        <v>拓普艾</v>
      </c>
      <c r="S1199" s="652" t="str">
        <f>VLOOKUP(A1199,'[1]Raw data'!$B:$Z,4,FALSE)</f>
        <v>YSM10</v>
      </c>
      <c r="T1199" s="652" t="str">
        <f>VLOOKUP(A1199,'[1]Raw data'!$B:$Z,8,FALSE)</f>
        <v>L-&gt;R</v>
      </c>
      <c r="U1199" s="652" t="str">
        <f>VLOOKUP(A1199,'[1]Raw data'!$B:$Z,9,FALSE)</f>
        <v>MVC</v>
      </c>
      <c r="V1199" s="572" t="str">
        <f t="shared" si="262"/>
        <v>WRONG</v>
      </c>
      <c r="W1199" s="568" t="str">
        <f>VLOOKUP(A1199,'[1]Raw data'!$B:$AG,32,FALSE)</f>
        <v>CIF HK</v>
      </c>
      <c r="X1199" s="652">
        <f>VLOOKUP(A1199,'[1]Raw data'!$B:$BA,31,FALSE)</f>
        <v>44630</v>
      </c>
      <c r="Y1199" s="652" t="str">
        <f>VLOOKUP(A1199,'[1]Raw data'!$B:$AS,39,FALSE)</f>
        <v>Yes</v>
      </c>
      <c r="Z1199" s="664"/>
      <c r="AA1199" s="665"/>
      <c r="AB1199" s="666"/>
      <c r="AC1199" s="652" t="s">
        <v>2288</v>
      </c>
      <c r="AD1199" s="580">
        <v>302</v>
      </c>
      <c r="AE1199" s="580">
        <v>10</v>
      </c>
      <c r="AF1199" s="580"/>
      <c r="AG1199" s="580"/>
      <c r="AH1199" s="580"/>
      <c r="AI1199" s="684"/>
      <c r="AJ1199" s="569"/>
      <c r="AK1199" s="569"/>
      <c r="AL1199" s="569"/>
      <c r="AM1199" s="569"/>
      <c r="AN1199" s="619"/>
      <c r="AO1199" s="829" t="str">
        <f t="shared" si="246"/>
        <v>Yes</v>
      </c>
      <c r="AP1199" s="259" t="str">
        <f t="shared" si="247"/>
        <v>AUG 22</v>
      </c>
      <c r="AQ1199" s="547" t="str">
        <f t="shared" si="248"/>
        <v>有定金+有預留客戶</v>
      </c>
      <c r="AR1199" s="259" t="str">
        <f t="shared" si="249"/>
        <v>Shipped_Stock</v>
      </c>
      <c r="AS1199" s="259" t="str">
        <f t="shared" si="250"/>
        <v/>
      </c>
      <c r="AT1199" s="259" t="str">
        <f t="shared" si="251"/>
        <v>拓普艾</v>
      </c>
      <c r="AU1199" s="259" t="str">
        <f t="shared" si="252"/>
        <v>C49SZX20220033JL</v>
      </c>
      <c r="AV1199" s="259" t="str">
        <f t="shared" si="253"/>
        <v>Jun-13</v>
      </c>
    </row>
    <row r="1200" spans="1:48" ht="22.5" hidden="1">
      <c r="A1200" s="604">
        <v>1617</v>
      </c>
      <c r="B1200" s="669" t="s">
        <v>1125</v>
      </c>
      <c r="C1200" s="669" t="s">
        <v>281</v>
      </c>
      <c r="D1200" s="760">
        <v>110935</v>
      </c>
      <c r="E1200" s="741" t="s">
        <v>2321</v>
      </c>
      <c r="F1200" s="652" t="s">
        <v>17</v>
      </c>
      <c r="G1200" s="652" t="s">
        <v>18</v>
      </c>
      <c r="H1200" s="652" t="s">
        <v>26</v>
      </c>
      <c r="I1200" s="580" t="s">
        <v>2322</v>
      </c>
      <c r="J1200" s="580">
        <v>1</v>
      </c>
      <c r="K1200" s="652" t="s">
        <v>85</v>
      </c>
      <c r="L1200" s="662">
        <v>44725</v>
      </c>
      <c r="M1200" s="670" t="s">
        <v>2319</v>
      </c>
      <c r="N1200" s="652" t="s">
        <v>221</v>
      </c>
      <c r="O1200" s="580">
        <v>2022.5</v>
      </c>
      <c r="P1200" s="670" t="str">
        <f>VLOOKUP(A1200,'[1]Raw data'!$B:$BA,23,FALSE)</f>
        <v>JPY</v>
      </c>
      <c r="Q1200" s="652" t="str">
        <f>VLOOKUP(A1200,'[1]Raw data'!$B:$Z,2,FALSE)</f>
        <v>C49SZX20220033JL</v>
      </c>
      <c r="R1200" s="652" t="str">
        <f>VLOOKUP(A1200,'[1]Raw data'!$B:$Z,3,FALSE)</f>
        <v>拓普艾</v>
      </c>
      <c r="S1200" s="652" t="str">
        <f>VLOOKUP(A1200,'[1]Raw data'!$B:$Z,4,FALSE)</f>
        <v>YSM10</v>
      </c>
      <c r="T1200" s="652" t="str">
        <f>VLOOKUP(A1200,'[1]Raw data'!$B:$Z,8,FALSE)</f>
        <v>L-&gt;R</v>
      </c>
      <c r="U1200" s="652" t="str">
        <f>VLOOKUP(A1200,'[1]Raw data'!$B:$Z,9,FALSE)</f>
        <v>MVC</v>
      </c>
      <c r="V1200" s="572" t="str">
        <f t="shared" ref="V1200:V1208" si="264">IF(G1200&amp;H1200=T1200&amp;U1200,"OK","WRONG")</f>
        <v>WRONG</v>
      </c>
      <c r="W1200" s="568" t="str">
        <f>VLOOKUP(A1200,'[1]Raw data'!$B:$AG,32,FALSE)</f>
        <v>CIF HK</v>
      </c>
      <c r="X1200" s="652">
        <f>VLOOKUP(A1200,'[1]Raw data'!$B:$BA,31,FALSE)</f>
        <v>44630</v>
      </c>
      <c r="Y1200" s="652" t="str">
        <f>VLOOKUP(A1200,'[1]Raw data'!$B:$AS,39,FALSE)</f>
        <v>Yes</v>
      </c>
      <c r="Z1200" s="664"/>
      <c r="AA1200" s="665"/>
      <c r="AB1200" s="666"/>
      <c r="AC1200" s="652" t="s">
        <v>2288</v>
      </c>
      <c r="AD1200" s="580">
        <v>301</v>
      </c>
      <c r="AE1200" s="580">
        <v>10</v>
      </c>
      <c r="AF1200" s="580"/>
      <c r="AG1200" s="580"/>
      <c r="AH1200" s="580"/>
      <c r="AI1200" s="684"/>
      <c r="AJ1200" s="569"/>
      <c r="AK1200" s="569"/>
      <c r="AL1200" s="569"/>
      <c r="AM1200" s="569"/>
      <c r="AN1200" s="619"/>
      <c r="AO1200" s="829" t="str">
        <f t="shared" si="246"/>
        <v>Yes</v>
      </c>
      <c r="AP1200" s="259" t="str">
        <f t="shared" si="247"/>
        <v>AUG 22</v>
      </c>
      <c r="AQ1200" s="547" t="str">
        <f t="shared" si="248"/>
        <v>有定金+有預留客戶</v>
      </c>
      <c r="AR1200" s="259" t="str">
        <f t="shared" si="249"/>
        <v>Shipped_Stock</v>
      </c>
      <c r="AS1200" s="259" t="str">
        <f t="shared" si="250"/>
        <v/>
      </c>
      <c r="AT1200" s="259" t="str">
        <f t="shared" si="251"/>
        <v>拓普艾</v>
      </c>
      <c r="AU1200" s="259" t="str">
        <f t="shared" si="252"/>
        <v>C49SZX20220033JL</v>
      </c>
      <c r="AV1200" s="259" t="str">
        <f t="shared" si="253"/>
        <v>Jun-13</v>
      </c>
    </row>
    <row r="1201" spans="1:48" ht="13.5" hidden="1" thickBot="1">
      <c r="A1201" s="604">
        <v>1680</v>
      </c>
      <c r="B1201" s="669" t="s">
        <v>1125</v>
      </c>
      <c r="C1201" s="669" t="s">
        <v>281</v>
      </c>
      <c r="D1201" s="629">
        <v>110935</v>
      </c>
      <c r="E1201" s="741" t="s">
        <v>2321</v>
      </c>
      <c r="F1201" s="652" t="s">
        <v>17</v>
      </c>
      <c r="G1201" s="652" t="s">
        <v>18</v>
      </c>
      <c r="H1201" s="652" t="s">
        <v>26</v>
      </c>
      <c r="I1201" s="580" t="s">
        <v>2323</v>
      </c>
      <c r="J1201" s="580">
        <v>1</v>
      </c>
      <c r="K1201" s="652" t="s">
        <v>1419</v>
      </c>
      <c r="L1201" s="662">
        <v>44725</v>
      </c>
      <c r="M1201" s="670" t="s">
        <v>2324</v>
      </c>
      <c r="N1201" s="652" t="s">
        <v>2231</v>
      </c>
      <c r="O1201" s="580">
        <v>2022.5</v>
      </c>
      <c r="P1201" s="670" t="str">
        <f>VLOOKUP(A1201,'[1]Raw data'!$B:$BA,23,FALSE)</f>
        <v>RMB</v>
      </c>
      <c r="Q1201" s="652" t="str">
        <f>VLOOKUP(A1201,'[1]Raw data'!$B:$Z,2,FALSE)</f>
        <v>C49SZX20220067SQ</v>
      </c>
      <c r="R1201" s="652" t="str">
        <f>VLOOKUP(A1201,'[1]Raw data'!$B:$Z,3,FALSE)</f>
        <v>湘浩</v>
      </c>
      <c r="S1201" s="652" t="str">
        <f>VLOOKUP(A1201,'[1]Raw data'!$B:$Z,4,FALSE)</f>
        <v>YSM10</v>
      </c>
      <c r="T1201" s="652" t="str">
        <f>VLOOKUP(A1201,'[1]Raw data'!$B:$Z,8,FALSE)</f>
        <v>L-&gt;R</v>
      </c>
      <c r="U1201" s="652" t="str">
        <f>VLOOKUP(A1201,'[1]Raw data'!$B:$Z,9,FALSE)</f>
        <v>No</v>
      </c>
      <c r="V1201" s="572" t="str">
        <f t="shared" si="264"/>
        <v>WRONG</v>
      </c>
      <c r="W1201" s="568" t="str">
        <f>VLOOKUP(A1201,'[1]Raw data'!$B:$AG,32,FALSE)</f>
        <v>DDP FS</v>
      </c>
      <c r="X1201" s="652">
        <f>VLOOKUP(A1201,'[1]Raw data'!$B:$BA,31,FALSE)</f>
        <v>44720</v>
      </c>
      <c r="Y1201" s="652" t="str">
        <f>VLOOKUP(A1201,'[1]Raw data'!$B:$AS,39,FALSE)</f>
        <v>Yes</v>
      </c>
      <c r="Z1201" s="664"/>
      <c r="AA1201" s="665"/>
      <c r="AB1201" s="666"/>
      <c r="AC1201" s="652" t="s">
        <v>2325</v>
      </c>
      <c r="AD1201" s="580">
        <v>301</v>
      </c>
      <c r="AE1201" s="580">
        <v>10</v>
      </c>
      <c r="AF1201" s="580"/>
      <c r="AG1201" s="580"/>
      <c r="AH1201" s="580"/>
      <c r="AI1201" s="684"/>
      <c r="AJ1201" s="569"/>
      <c r="AK1201" s="569"/>
      <c r="AL1201" s="569"/>
      <c r="AM1201" s="569"/>
      <c r="AN1201" s="619"/>
      <c r="AO1201" s="829" t="str">
        <f t="shared" si="246"/>
        <v>Yes</v>
      </c>
      <c r="AP1201" s="259" t="str">
        <f t="shared" si="247"/>
        <v>JUL 22</v>
      </c>
      <c r="AQ1201" s="547" t="str">
        <f t="shared" si="248"/>
        <v>有定金+有預留客戶</v>
      </c>
      <c r="AR1201" s="259" t="str">
        <f t="shared" si="249"/>
        <v>Shipped_Stock</v>
      </c>
      <c r="AS1201" s="259" t="str">
        <f t="shared" si="250"/>
        <v/>
      </c>
      <c r="AT1201" s="259" t="str">
        <f t="shared" si="251"/>
        <v>湘浩</v>
      </c>
      <c r="AU1201" s="259" t="str">
        <f t="shared" si="252"/>
        <v>C49SZX20220067SQ</v>
      </c>
      <c r="AV1201" s="259" t="str">
        <f t="shared" si="253"/>
        <v>Jun-13</v>
      </c>
    </row>
    <row r="1202" spans="1:48" ht="14.25" hidden="1" customHeight="1">
      <c r="A1202" s="604">
        <v>1443</v>
      </c>
      <c r="B1202" s="669" t="s">
        <v>1125</v>
      </c>
      <c r="C1202" s="669" t="s">
        <v>15</v>
      </c>
      <c r="D1202" s="650">
        <v>110949</v>
      </c>
      <c r="E1202" s="568" t="s">
        <v>886</v>
      </c>
      <c r="F1202" s="652" t="s">
        <v>58</v>
      </c>
      <c r="G1202" s="652" t="s">
        <v>24</v>
      </c>
      <c r="H1202" s="652" t="s">
        <v>26</v>
      </c>
      <c r="I1202" s="580" t="s">
        <v>2326</v>
      </c>
      <c r="J1202" s="580">
        <v>1</v>
      </c>
      <c r="K1202" s="652" t="s">
        <v>85</v>
      </c>
      <c r="L1202" s="662">
        <v>44730</v>
      </c>
      <c r="M1202" s="670" t="s">
        <v>906</v>
      </c>
      <c r="N1202" s="652" t="s">
        <v>1982</v>
      </c>
      <c r="O1202" s="580">
        <v>2022.6</v>
      </c>
      <c r="P1202" s="670" t="str">
        <f>VLOOKUP(A1202,'[1]Raw data'!$B:$BA,23,FALSE)</f>
        <v>JPY</v>
      </c>
      <c r="Q1202" s="652" t="str">
        <f>VLOOKUP(A1202,'[1]Raw data'!$B:$Z,2,FALSE)</f>
        <v>C49SZX20210176R1JY</v>
      </c>
      <c r="R1202" s="652" t="str">
        <f>VLOOKUP(A1202,'[1]Raw data'!$B:$Z,3,FALSE)</f>
        <v>建航</v>
      </c>
      <c r="S1202" s="652" t="str">
        <f>VLOOKUP(A1202,'[1]Raw data'!$B:$Z,4,FALSE)</f>
        <v>YSM20R-2</v>
      </c>
      <c r="T1202" s="652" t="str">
        <f>VLOOKUP(A1202,'[1]Raw data'!$B:$Z,8,FALSE)</f>
        <v>L-&gt;R</v>
      </c>
      <c r="U1202" s="652" t="str">
        <f>VLOOKUP(A1202,'[1]Raw data'!$B:$Z,9,FALSE)</f>
        <v>No</v>
      </c>
      <c r="V1202" s="572" t="str">
        <f>IF(G1202&amp;H1202=T1202&amp;U1202,"OK","WRONG")</f>
        <v>OK</v>
      </c>
      <c r="W1202" s="568" t="str">
        <f>VLOOKUP(A1202,'[1]Raw data'!$B:$AG,32,FALSE)</f>
        <v>DAP SZ</v>
      </c>
      <c r="X1202" s="652">
        <f>VLOOKUP(A1202,'[1]Raw data'!$B:$BA,31,FALSE)</f>
        <v>44372</v>
      </c>
      <c r="Y1202" s="652" t="str">
        <f>VLOOKUP(A1202,'[1]Raw data'!$B:$AS,39,FALSE)</f>
        <v>Yes</v>
      </c>
      <c r="Z1202" s="667"/>
      <c r="AA1202" s="667"/>
      <c r="AB1202" s="667"/>
      <c r="AC1202" s="580" t="s">
        <v>321</v>
      </c>
      <c r="AD1202" s="580">
        <v>301</v>
      </c>
      <c r="AE1202" s="580">
        <v>10</v>
      </c>
      <c r="AF1202" s="580">
        <v>303</v>
      </c>
      <c r="AG1202" s="580">
        <v>10</v>
      </c>
      <c r="AH1202" s="580"/>
      <c r="AI1202" s="684"/>
      <c r="AJ1202" s="569"/>
      <c r="AK1202" s="569"/>
      <c r="AL1202" s="569"/>
      <c r="AM1202" s="569"/>
      <c r="AN1202" s="619"/>
      <c r="AO1202" s="829" t="str">
        <f t="shared" si="246"/>
        <v>Yes</v>
      </c>
      <c r="AP1202" s="259" t="str">
        <f t="shared" si="247"/>
        <v>JUN 22</v>
      </c>
      <c r="AQ1202" s="547" t="str">
        <f t="shared" si="248"/>
        <v>有定金+有預留客戶</v>
      </c>
      <c r="AR1202" s="259" t="str">
        <f t="shared" si="249"/>
        <v>Shipped_Stock</v>
      </c>
      <c r="AS1202" s="259" t="str">
        <f t="shared" si="250"/>
        <v/>
      </c>
      <c r="AT1202" s="259" t="str">
        <f t="shared" si="251"/>
        <v>建航</v>
      </c>
      <c r="AU1202" s="259" t="str">
        <f t="shared" si="252"/>
        <v>C49SZX20210176R1JY</v>
      </c>
      <c r="AV1202" s="259" t="str">
        <f t="shared" si="253"/>
        <v>Jun-18</v>
      </c>
    </row>
    <row r="1203" spans="1:48" hidden="1">
      <c r="A1203" s="604">
        <v>1444</v>
      </c>
      <c r="B1203" s="669" t="s">
        <v>1125</v>
      </c>
      <c r="C1203" s="669" t="s">
        <v>15</v>
      </c>
      <c r="D1203" s="787">
        <v>110949</v>
      </c>
      <c r="E1203" s="589" t="s">
        <v>886</v>
      </c>
      <c r="F1203" s="678" t="s">
        <v>58</v>
      </c>
      <c r="G1203" s="678" t="s">
        <v>24</v>
      </c>
      <c r="H1203" s="678" t="s">
        <v>26</v>
      </c>
      <c r="I1203" s="679" t="s">
        <v>2327</v>
      </c>
      <c r="J1203" s="679">
        <v>1</v>
      </c>
      <c r="K1203" s="652" t="s">
        <v>85</v>
      </c>
      <c r="L1203" s="662">
        <v>44730</v>
      </c>
      <c r="M1203" s="670" t="s">
        <v>906</v>
      </c>
      <c r="N1203" s="652" t="s">
        <v>1982</v>
      </c>
      <c r="O1203" s="580">
        <v>2022.6</v>
      </c>
      <c r="P1203" s="670" t="str">
        <f>VLOOKUP(A1203,'[1]Raw data'!$B:$BA,23,FALSE)</f>
        <v>JPY</v>
      </c>
      <c r="Q1203" s="652" t="str">
        <f>VLOOKUP(A1203,'[1]Raw data'!$B:$Z,2,FALSE)</f>
        <v>C49SZX20210176R1JY</v>
      </c>
      <c r="R1203" s="652" t="str">
        <f>VLOOKUP(A1203,'[1]Raw data'!$B:$Z,3,FALSE)</f>
        <v>建航</v>
      </c>
      <c r="S1203" s="652" t="str">
        <f>VLOOKUP(A1203,'[1]Raw data'!$B:$Z,4,FALSE)</f>
        <v>YSM20R-2</v>
      </c>
      <c r="T1203" s="652" t="str">
        <f>VLOOKUP(A1203,'[1]Raw data'!$B:$Z,8,FALSE)</f>
        <v>L-&gt;R</v>
      </c>
      <c r="U1203" s="652" t="str">
        <f>VLOOKUP(A1203,'[1]Raw data'!$B:$Z,9,FALSE)</f>
        <v>No</v>
      </c>
      <c r="V1203" s="572" t="str">
        <f>IF(G1203&amp;H1203=T1203&amp;U1203,"OK","WRONG")</f>
        <v>OK</v>
      </c>
      <c r="W1203" s="568" t="str">
        <f>VLOOKUP(A1203,'[1]Raw data'!$B:$AG,32,FALSE)</f>
        <v>DAP SZ</v>
      </c>
      <c r="X1203" s="652">
        <f>VLOOKUP(A1203,'[1]Raw data'!$B:$BA,31,FALSE)</f>
        <v>44372</v>
      </c>
      <c r="Y1203" s="652" t="str">
        <f>VLOOKUP(A1203,'[1]Raw data'!$B:$AS,39,FALSE)</f>
        <v>Yes</v>
      </c>
      <c r="Z1203" s="667"/>
      <c r="AA1203" s="667"/>
      <c r="AB1203" s="667"/>
      <c r="AC1203" s="580" t="s">
        <v>321</v>
      </c>
      <c r="AD1203" s="580">
        <v>301</v>
      </c>
      <c r="AE1203" s="580">
        <v>10</v>
      </c>
      <c r="AF1203" s="580">
        <v>304</v>
      </c>
      <c r="AG1203" s="580">
        <v>10</v>
      </c>
      <c r="AH1203" s="580"/>
      <c r="AI1203" s="684"/>
      <c r="AJ1203" s="569"/>
      <c r="AK1203" s="569"/>
      <c r="AL1203" s="569"/>
      <c r="AM1203" s="569"/>
      <c r="AN1203" s="619"/>
      <c r="AO1203" s="829" t="str">
        <f t="shared" si="246"/>
        <v>Yes</v>
      </c>
      <c r="AP1203" s="259" t="str">
        <f t="shared" si="247"/>
        <v>JUN 22</v>
      </c>
      <c r="AQ1203" s="547" t="str">
        <f t="shared" si="248"/>
        <v>有定金+有預留客戶</v>
      </c>
      <c r="AR1203" s="259" t="str">
        <f t="shared" si="249"/>
        <v>Shipped_Stock</v>
      </c>
      <c r="AS1203" s="259" t="str">
        <f t="shared" si="250"/>
        <v/>
      </c>
      <c r="AT1203" s="259" t="str">
        <f t="shared" si="251"/>
        <v>建航</v>
      </c>
      <c r="AU1203" s="259" t="str">
        <f t="shared" si="252"/>
        <v>C49SZX20210176R1JY</v>
      </c>
      <c r="AV1203" s="259" t="str">
        <f t="shared" si="253"/>
        <v>Jun-18</v>
      </c>
    </row>
    <row r="1204" spans="1:48" ht="33.75" hidden="1">
      <c r="A1204" s="604">
        <v>1696</v>
      </c>
      <c r="B1204" s="669" t="s">
        <v>1125</v>
      </c>
      <c r="C1204" s="669" t="s">
        <v>15</v>
      </c>
      <c r="D1204" s="787">
        <v>110949</v>
      </c>
      <c r="E1204" s="589" t="s">
        <v>886</v>
      </c>
      <c r="F1204" s="678" t="s">
        <v>58</v>
      </c>
      <c r="G1204" s="678" t="s">
        <v>24</v>
      </c>
      <c r="H1204" s="678" t="s">
        <v>26</v>
      </c>
      <c r="I1204" s="679" t="s">
        <v>2328</v>
      </c>
      <c r="J1204" s="679">
        <v>1</v>
      </c>
      <c r="K1204" s="678" t="s">
        <v>1419</v>
      </c>
      <c r="L1204" s="662">
        <v>44730</v>
      </c>
      <c r="M1204" s="670" t="s">
        <v>2329</v>
      </c>
      <c r="N1204" s="652" t="s">
        <v>2231</v>
      </c>
      <c r="O1204" s="580">
        <v>2022.6</v>
      </c>
      <c r="P1204" s="670" t="str">
        <f>VLOOKUP(A1204,'[1]Raw data'!$B:$BA,23,FALSE)</f>
        <v>RMB</v>
      </c>
      <c r="Q1204" s="652" t="str">
        <f>VLOOKUP(A1204,'[1]Raw data'!$B:$Z,2,FALSE)</f>
        <v>C49SZX20220053SS</v>
      </c>
      <c r="R1204" s="652" t="str">
        <f>VLOOKUP(A1204,'[1]Raw data'!$B:$Z,3,FALSE)</f>
        <v>阿姆斯特</v>
      </c>
      <c r="S1204" s="652" t="str">
        <f>VLOOKUP(A1204,'[1]Raw data'!$B:$Z,4,FALSE)</f>
        <v>YSM20R-2</v>
      </c>
      <c r="T1204" s="652" t="str">
        <f>VLOOKUP(A1204,'[1]Raw data'!$B:$Z,8,FALSE)</f>
        <v>L-&gt;R</v>
      </c>
      <c r="U1204" s="652" t="str">
        <f>VLOOKUP(A1204,'[1]Raw data'!$B:$Z,9,FALSE)</f>
        <v>No</v>
      </c>
      <c r="V1204" s="572" t="str">
        <f>IF(G1204&amp;H1204=T1204&amp;U1204,"OK","WRONG")</f>
        <v>OK</v>
      </c>
      <c r="W1204" s="568" t="str">
        <f>VLOOKUP(A1204,'[1]Raw data'!$B:$AG,32,FALSE)</f>
        <v>DDP DG</v>
      </c>
      <c r="X1204" s="652">
        <f>VLOOKUP(A1204,'[1]Raw data'!$B:$BA,31,FALSE)</f>
        <v>44750</v>
      </c>
      <c r="Y1204" s="652" t="str">
        <f>VLOOKUP(A1204,'[1]Raw data'!$B:$AS,39,FALSE)</f>
        <v>Yes</v>
      </c>
      <c r="Z1204" s="667"/>
      <c r="AA1204" s="667"/>
      <c r="AB1204" s="667"/>
      <c r="AC1204" s="580" t="s">
        <v>2313</v>
      </c>
      <c r="AD1204" s="580">
        <v>301</v>
      </c>
      <c r="AE1204" s="580">
        <v>10</v>
      </c>
      <c r="AF1204" s="580">
        <v>304</v>
      </c>
      <c r="AG1204" s="580">
        <v>10</v>
      </c>
      <c r="AH1204" s="580"/>
      <c r="AI1204" s="684"/>
      <c r="AJ1204" s="569"/>
      <c r="AK1204" s="569"/>
      <c r="AL1204" s="569"/>
      <c r="AM1204" s="569"/>
      <c r="AN1204" s="619"/>
      <c r="AO1204" s="829" t="str">
        <f t="shared" si="246"/>
        <v>Yes</v>
      </c>
      <c r="AP1204" s="259" t="str">
        <f t="shared" si="247"/>
        <v>JUL 22</v>
      </c>
      <c r="AQ1204" s="547" t="str">
        <f t="shared" si="248"/>
        <v>有定金+有預留客戶</v>
      </c>
      <c r="AR1204" s="259" t="str">
        <f t="shared" si="249"/>
        <v>Shipped_Stock</v>
      </c>
      <c r="AS1204" s="259" t="str">
        <f t="shared" si="250"/>
        <v/>
      </c>
      <c r="AT1204" s="259" t="str">
        <f t="shared" si="251"/>
        <v>阿姆斯特</v>
      </c>
      <c r="AU1204" s="259" t="str">
        <f t="shared" si="252"/>
        <v>C49SZX20220053SS</v>
      </c>
      <c r="AV1204" s="259" t="str">
        <f t="shared" si="253"/>
        <v>Jun-18</v>
      </c>
    </row>
    <row r="1205" spans="1:48" hidden="1">
      <c r="A1205" s="604">
        <v>1744</v>
      </c>
      <c r="B1205" s="669" t="s">
        <v>1125</v>
      </c>
      <c r="C1205" s="669" t="s">
        <v>15</v>
      </c>
      <c r="D1205" s="695">
        <v>110809</v>
      </c>
      <c r="E1205" s="651" t="s">
        <v>2135</v>
      </c>
      <c r="F1205" s="652" t="s">
        <v>17</v>
      </c>
      <c r="G1205" s="652" t="s">
        <v>18</v>
      </c>
      <c r="H1205" s="652" t="s">
        <v>34</v>
      </c>
      <c r="I1205" s="580" t="s">
        <v>2330</v>
      </c>
      <c r="J1205" s="580">
        <v>1</v>
      </c>
      <c r="K1205" s="652" t="s">
        <v>1419</v>
      </c>
      <c r="L1205" s="662">
        <v>44736</v>
      </c>
      <c r="M1205" s="670" t="s">
        <v>2331</v>
      </c>
      <c r="N1205" s="652" t="s">
        <v>205</v>
      </c>
      <c r="O1205" s="580">
        <v>2022.5</v>
      </c>
      <c r="P1205" s="670" t="str">
        <f>VLOOKUP(A1205,'[1]Raw data'!$B:$BA,23,FALSE)</f>
        <v>RMB</v>
      </c>
      <c r="Q1205" s="652" t="str">
        <f>VLOOKUP(A1205,'[1]Raw data'!$B:$Z,2,FALSE)</f>
        <v>C49SZX20220107DZ</v>
      </c>
      <c r="R1205" s="652" t="str">
        <f>VLOOKUP(A1205,'[1]Raw data'!$B:$Z,3,FALSE)</f>
        <v>朗特</v>
      </c>
      <c r="S1205" s="652" t="str">
        <f>VLOOKUP(A1205,'[1]Raw data'!$B:$Z,4,FALSE)</f>
        <v>YSM10</v>
      </c>
      <c r="T1205" s="652" t="str">
        <f>VLOOKUP(A1205,'[1]Raw data'!$B:$Z,8,FALSE)</f>
        <v>L-&gt;R</v>
      </c>
      <c r="U1205" s="652" t="str">
        <f>VLOOKUP(A1205,'[1]Raw data'!$B:$Z,9,FALSE)</f>
        <v>MVC+ATS15</v>
      </c>
      <c r="V1205" s="572" t="str">
        <f t="shared" si="264"/>
        <v>WRONG</v>
      </c>
      <c r="W1205" s="568" t="str">
        <f>VLOOKUP(A1205,'[1]Raw data'!$B:$AG,32,FALSE)</f>
        <v>DDP SZ</v>
      </c>
      <c r="X1205" s="652">
        <f>VLOOKUP(A1205,'[1]Raw data'!$B:$BA,31,FALSE)</f>
        <v>44846</v>
      </c>
      <c r="Y1205" s="652" t="str">
        <f>VLOOKUP(A1205,'[1]Raw data'!$B:$AS,39,FALSE)</f>
        <v>Yes</v>
      </c>
      <c r="Z1205" s="671"/>
      <c r="AA1205" s="665"/>
      <c r="AB1205" s="666"/>
      <c r="AC1205" s="652" t="s">
        <v>933</v>
      </c>
      <c r="AD1205" s="580">
        <v>301</v>
      </c>
      <c r="AE1205" s="580">
        <v>10</v>
      </c>
      <c r="AF1205" s="580"/>
      <c r="AG1205" s="580"/>
      <c r="AH1205" s="580"/>
      <c r="AI1205" s="684"/>
      <c r="AJ1205" s="569"/>
      <c r="AK1205" s="569"/>
      <c r="AL1205" s="569"/>
      <c r="AM1205" s="569"/>
      <c r="AN1205" s="619"/>
      <c r="AO1205" s="829" t="str">
        <f t="shared" si="246"/>
        <v>Yes</v>
      </c>
      <c r="AP1205" s="259" t="str">
        <f t="shared" si="247"/>
        <v>OCT 22</v>
      </c>
      <c r="AQ1205" s="547" t="str">
        <f t="shared" si="248"/>
        <v>有定金+有預留客戶</v>
      </c>
      <c r="AR1205" s="259" t="str">
        <f t="shared" si="249"/>
        <v>Shipped_Stock</v>
      </c>
      <c r="AS1205" s="259" t="str">
        <f t="shared" si="250"/>
        <v/>
      </c>
      <c r="AT1205" s="259" t="str">
        <f t="shared" si="251"/>
        <v>朗特</v>
      </c>
      <c r="AU1205" s="259" t="str">
        <f t="shared" si="252"/>
        <v>C49SZX20220107DZ</v>
      </c>
      <c r="AV1205" s="259" t="str">
        <f t="shared" si="253"/>
        <v>Jun-24</v>
      </c>
    </row>
    <row r="1206" spans="1:48" hidden="1">
      <c r="A1206" s="604">
        <v>1745</v>
      </c>
      <c r="B1206" s="669" t="s">
        <v>1125</v>
      </c>
      <c r="C1206" s="669" t="s">
        <v>15</v>
      </c>
      <c r="D1206" s="650">
        <v>110809</v>
      </c>
      <c r="E1206" s="651" t="s">
        <v>2135</v>
      </c>
      <c r="F1206" s="652" t="s">
        <v>17</v>
      </c>
      <c r="G1206" s="652" t="s">
        <v>18</v>
      </c>
      <c r="H1206" s="652" t="s">
        <v>34</v>
      </c>
      <c r="I1206" s="580" t="s">
        <v>2332</v>
      </c>
      <c r="J1206" s="580">
        <v>1</v>
      </c>
      <c r="K1206" s="652" t="s">
        <v>1419</v>
      </c>
      <c r="L1206" s="662">
        <v>44736</v>
      </c>
      <c r="M1206" s="670" t="s">
        <v>2331</v>
      </c>
      <c r="N1206" s="652" t="s">
        <v>205</v>
      </c>
      <c r="O1206" s="580">
        <v>2022.5</v>
      </c>
      <c r="P1206" s="670" t="str">
        <f>VLOOKUP(A1206,'[1]Raw data'!$B:$BA,23,FALSE)</f>
        <v>RMB</v>
      </c>
      <c r="Q1206" s="652" t="str">
        <f>VLOOKUP(A1206,'[1]Raw data'!$B:$Z,2,FALSE)</f>
        <v>C49SZX20220107DZ</v>
      </c>
      <c r="R1206" s="652" t="str">
        <f>VLOOKUP(A1206,'[1]Raw data'!$B:$Z,3,FALSE)</f>
        <v>朗特</v>
      </c>
      <c r="S1206" s="652" t="str">
        <f>VLOOKUP(A1206,'[1]Raw data'!$B:$Z,4,FALSE)</f>
        <v>YSM10</v>
      </c>
      <c r="T1206" s="652" t="str">
        <f>VLOOKUP(A1206,'[1]Raw data'!$B:$Z,8,FALSE)</f>
        <v>R-&gt;L</v>
      </c>
      <c r="U1206" s="652" t="str">
        <f>VLOOKUP(A1206,'[1]Raw data'!$B:$Z,9,FALSE)</f>
        <v>MVC+ATS15</v>
      </c>
      <c r="V1206" s="572" t="str">
        <f t="shared" si="264"/>
        <v>OK</v>
      </c>
      <c r="W1206" s="568" t="str">
        <f>VLOOKUP(A1206,'[1]Raw data'!$B:$AG,32,FALSE)</f>
        <v>DDP SZ</v>
      </c>
      <c r="X1206" s="652">
        <f>VLOOKUP(A1206,'[1]Raw data'!$B:$BA,31,FALSE)</f>
        <v>44846</v>
      </c>
      <c r="Y1206" s="652" t="str">
        <f>VLOOKUP(A1206,'[1]Raw data'!$B:$AS,39,FALSE)</f>
        <v>Yes</v>
      </c>
      <c r="Z1206" s="671"/>
      <c r="AA1206" s="665"/>
      <c r="AB1206" s="666"/>
      <c r="AC1206" s="652" t="s">
        <v>933</v>
      </c>
      <c r="AD1206" s="580">
        <v>301</v>
      </c>
      <c r="AE1206" s="580">
        <v>10</v>
      </c>
      <c r="AF1206" s="580"/>
      <c r="AG1206" s="580"/>
      <c r="AH1206" s="580"/>
      <c r="AI1206" s="684"/>
      <c r="AJ1206" s="569"/>
      <c r="AK1206" s="569"/>
      <c r="AL1206" s="569"/>
      <c r="AM1206" s="569"/>
      <c r="AN1206" s="619"/>
      <c r="AO1206" s="829" t="str">
        <f t="shared" si="246"/>
        <v>Yes</v>
      </c>
      <c r="AP1206" s="259" t="str">
        <f t="shared" si="247"/>
        <v>OCT 22</v>
      </c>
      <c r="AQ1206" s="547" t="str">
        <f t="shared" si="248"/>
        <v>有定金+有預留客戶</v>
      </c>
      <c r="AR1206" s="259" t="str">
        <f t="shared" si="249"/>
        <v>Shipped_Stock</v>
      </c>
      <c r="AS1206" s="259" t="str">
        <f t="shared" si="250"/>
        <v/>
      </c>
      <c r="AT1206" s="259" t="str">
        <f t="shared" si="251"/>
        <v>朗特</v>
      </c>
      <c r="AU1206" s="259" t="str">
        <f t="shared" si="252"/>
        <v>C49SZX20220107DZ</v>
      </c>
      <c r="AV1206" s="259" t="str">
        <f t="shared" si="253"/>
        <v>Jun-24</v>
      </c>
    </row>
    <row r="1207" spans="1:48" ht="18.75" hidden="1" customHeight="1">
      <c r="A1207" s="604">
        <v>1749</v>
      </c>
      <c r="B1207" s="669" t="s">
        <v>1125</v>
      </c>
      <c r="C1207" s="669" t="s">
        <v>15</v>
      </c>
      <c r="D1207" s="650">
        <v>110809</v>
      </c>
      <c r="E1207" s="651" t="s">
        <v>2135</v>
      </c>
      <c r="F1207" s="652" t="s">
        <v>17</v>
      </c>
      <c r="G1207" s="652" t="s">
        <v>18</v>
      </c>
      <c r="H1207" s="652" t="s">
        <v>34</v>
      </c>
      <c r="I1207" s="580" t="s">
        <v>2333</v>
      </c>
      <c r="J1207" s="580">
        <v>1</v>
      </c>
      <c r="K1207" s="652" t="s">
        <v>1419</v>
      </c>
      <c r="L1207" s="662">
        <v>44736</v>
      </c>
      <c r="M1207" s="670" t="s">
        <v>2331</v>
      </c>
      <c r="N1207" s="652" t="s">
        <v>208</v>
      </c>
      <c r="O1207" s="580">
        <v>2022.5</v>
      </c>
      <c r="P1207" s="670" t="str">
        <f>VLOOKUP(A1207,'[1]Raw data'!$B:$BA,23,FALSE)</f>
        <v>RMB</v>
      </c>
      <c r="Q1207" s="652" t="str">
        <f>VLOOKUP(A1207,'[1]Raw data'!$B:$Z,2,FALSE)</f>
        <v>C49SZX20220111MZ</v>
      </c>
      <c r="R1207" s="652" t="str">
        <f>VLOOKUP(A1207,'[1]Raw data'!$B:$Z,3,FALSE)</f>
        <v>天星创展</v>
      </c>
      <c r="S1207" s="652" t="str">
        <f>VLOOKUP(A1207,'[1]Raw data'!$B:$Z,4,FALSE)</f>
        <v>YSM10</v>
      </c>
      <c r="T1207" s="652" t="str">
        <f>VLOOKUP(A1207,'[1]Raw data'!$B:$Z,8,FALSE)</f>
        <v>L-&gt;R</v>
      </c>
      <c r="U1207" s="652" t="str">
        <f>VLOOKUP(A1207,'[1]Raw data'!$B:$Z,9,FALSE)</f>
        <v>MVC+ATS15</v>
      </c>
      <c r="V1207" s="572" t="str">
        <f t="shared" si="264"/>
        <v>WRONG</v>
      </c>
      <c r="W1207" s="568" t="str">
        <f>VLOOKUP(A1207,'[1]Raw data'!$B:$AG,32,FALSE)</f>
        <v>DDP SZ</v>
      </c>
      <c r="X1207" s="652">
        <f>VLOOKUP(A1207,'[1]Raw data'!$B:$BA,31,FALSE)</f>
        <v>44862</v>
      </c>
      <c r="Y1207" s="652" t="str">
        <f>VLOOKUP(A1207,'[1]Raw data'!$B:$AS,39,FALSE)</f>
        <v>Yes</v>
      </c>
      <c r="Z1207" s="671"/>
      <c r="AA1207" s="665"/>
      <c r="AB1207" s="666"/>
      <c r="AC1207" s="652" t="s">
        <v>2334</v>
      </c>
      <c r="AD1207" s="580">
        <v>301</v>
      </c>
      <c r="AE1207" s="580">
        <v>10</v>
      </c>
      <c r="AF1207" s="580"/>
      <c r="AG1207" s="580"/>
      <c r="AH1207" s="580"/>
      <c r="AI1207" s="684"/>
      <c r="AJ1207" s="569"/>
      <c r="AK1207" s="569"/>
      <c r="AL1207" s="569"/>
      <c r="AM1207" s="569"/>
      <c r="AN1207" s="619"/>
      <c r="AO1207" s="829" t="str">
        <f t="shared" si="246"/>
        <v>Yes</v>
      </c>
      <c r="AP1207" s="259" t="str">
        <f t="shared" si="247"/>
        <v>NOV 22</v>
      </c>
      <c r="AQ1207" s="547" t="str">
        <f t="shared" si="248"/>
        <v>有定金+有預留客戶</v>
      </c>
      <c r="AR1207" s="259" t="str">
        <f t="shared" si="249"/>
        <v>Shipped_Stock</v>
      </c>
      <c r="AS1207" s="259" t="str">
        <f t="shared" si="250"/>
        <v/>
      </c>
      <c r="AT1207" s="259" t="str">
        <f t="shared" si="251"/>
        <v>天星创展</v>
      </c>
      <c r="AU1207" s="259" t="str">
        <f t="shared" si="252"/>
        <v>C49SZX20220111MZ</v>
      </c>
      <c r="AV1207" s="259" t="str">
        <f t="shared" si="253"/>
        <v>Jun-24</v>
      </c>
    </row>
    <row r="1208" spans="1:48" hidden="1">
      <c r="A1208" s="604">
        <v>1759</v>
      </c>
      <c r="B1208" s="669" t="s">
        <v>1125</v>
      </c>
      <c r="C1208" s="669" t="s">
        <v>15</v>
      </c>
      <c r="D1208" s="650">
        <v>110809</v>
      </c>
      <c r="E1208" s="651" t="s">
        <v>2135</v>
      </c>
      <c r="F1208" s="652" t="s">
        <v>17</v>
      </c>
      <c r="G1208" s="652" t="s">
        <v>18</v>
      </c>
      <c r="H1208" s="652" t="s">
        <v>34</v>
      </c>
      <c r="I1208" s="580" t="s">
        <v>2335</v>
      </c>
      <c r="J1208" s="580">
        <v>1</v>
      </c>
      <c r="K1208" s="652" t="s">
        <v>1419</v>
      </c>
      <c r="L1208" s="662">
        <v>44736</v>
      </c>
      <c r="M1208" s="670" t="s">
        <v>2331</v>
      </c>
      <c r="N1208" s="652" t="s">
        <v>208</v>
      </c>
      <c r="O1208" s="580">
        <v>2022.5</v>
      </c>
      <c r="P1208" s="670" t="str">
        <f>VLOOKUP(A1208,'[1]Raw data'!$B:$BA,23,FALSE)</f>
        <v>RMB</v>
      </c>
      <c r="Q1208" s="652" t="str">
        <f>VLOOKUP(A1208,'[1]Raw data'!$B:$Z,2,FALSE)</f>
        <v>C49SZX20220117DZ</v>
      </c>
      <c r="R1208" s="652" t="str">
        <f>VLOOKUP(A1208,'[1]Raw data'!$B:$Z,3,FALSE)</f>
        <v>朗特</v>
      </c>
      <c r="S1208" s="652" t="str">
        <f>VLOOKUP(A1208,'[1]Raw data'!$B:$Z,4,FALSE)</f>
        <v>YSM10</v>
      </c>
      <c r="T1208" s="652" t="str">
        <f>VLOOKUP(A1208,'[1]Raw data'!$B:$Z,8,FALSE)</f>
        <v>L-&gt;R</v>
      </c>
      <c r="U1208" s="652" t="str">
        <f>VLOOKUP(A1208,'[1]Raw data'!$B:$Z,9,FALSE)</f>
        <v>MVC+ATS15</v>
      </c>
      <c r="V1208" s="572" t="str">
        <f t="shared" si="264"/>
        <v>WRONG</v>
      </c>
      <c r="W1208" s="568" t="str">
        <f>VLOOKUP(A1208,'[1]Raw data'!$B:$AG,32,FALSE)</f>
        <v>DDP SZ</v>
      </c>
      <c r="X1208" s="652">
        <f>VLOOKUP(A1208,'[1]Raw data'!$B:$BA,31,FALSE)</f>
        <v>44879</v>
      </c>
      <c r="Y1208" s="652" t="str">
        <f>VLOOKUP(A1208,'[1]Raw data'!$B:$AS,39,FALSE)</f>
        <v>Yes</v>
      </c>
      <c r="Z1208" s="671"/>
      <c r="AA1208" s="665"/>
      <c r="AB1208" s="666"/>
      <c r="AC1208" s="652" t="s">
        <v>2336</v>
      </c>
      <c r="AD1208" s="580">
        <v>311</v>
      </c>
      <c r="AE1208" s="580">
        <v>10</v>
      </c>
      <c r="AF1208" s="580"/>
      <c r="AG1208" s="580"/>
      <c r="AH1208" s="580"/>
      <c r="AI1208" s="684"/>
      <c r="AJ1208" s="569"/>
      <c r="AK1208" s="569"/>
      <c r="AL1208" s="569"/>
      <c r="AM1208" s="569"/>
      <c r="AN1208" s="619"/>
      <c r="AO1208" s="829" t="str">
        <f t="shared" si="246"/>
        <v>Yes</v>
      </c>
      <c r="AP1208" s="259" t="str">
        <f t="shared" si="247"/>
        <v>NOV 22</v>
      </c>
      <c r="AQ1208" s="547" t="str">
        <f t="shared" si="248"/>
        <v>有定金+有預留客戶</v>
      </c>
      <c r="AR1208" s="259" t="str">
        <f t="shared" si="249"/>
        <v>Shipped_Stock</v>
      </c>
      <c r="AS1208" s="259" t="str">
        <f t="shared" si="250"/>
        <v/>
      </c>
      <c r="AT1208" s="259" t="str">
        <f t="shared" si="251"/>
        <v>朗特</v>
      </c>
      <c r="AU1208" s="259" t="str">
        <f t="shared" si="252"/>
        <v>C49SZX20220117DZ</v>
      </c>
      <c r="AV1208" s="259" t="str">
        <f t="shared" si="253"/>
        <v>Jun-24</v>
      </c>
    </row>
    <row r="1209" spans="1:48" hidden="1">
      <c r="A1209" s="604">
        <v>1760</v>
      </c>
      <c r="B1209" s="669" t="s">
        <v>1125</v>
      </c>
      <c r="C1209" s="669" t="s">
        <v>281</v>
      </c>
      <c r="D1209" s="766">
        <v>110918</v>
      </c>
      <c r="E1209" s="749" t="s">
        <v>2337</v>
      </c>
      <c r="F1209" s="652" t="s">
        <v>17</v>
      </c>
      <c r="G1209" s="652" t="s">
        <v>18</v>
      </c>
      <c r="H1209" s="652" t="s">
        <v>48</v>
      </c>
      <c r="I1209" s="580" t="s">
        <v>2338</v>
      </c>
      <c r="J1209" s="580">
        <v>1</v>
      </c>
      <c r="K1209" s="652" t="s">
        <v>1419</v>
      </c>
      <c r="L1209" s="754">
        <v>44739</v>
      </c>
      <c r="M1209" s="670" t="s">
        <v>2339</v>
      </c>
      <c r="N1209" s="652" t="s">
        <v>208</v>
      </c>
      <c r="O1209" s="580">
        <v>2022.6</v>
      </c>
      <c r="P1209" s="670" t="str">
        <f>VLOOKUP(A1209,'[1]Raw data'!$B:$BA,23,FALSE)</f>
        <v>RMB</v>
      </c>
      <c r="Q1209" s="652" t="str">
        <f>VLOOKUP(A1209,'[1]Raw data'!$B:$Z,2,FALSE)</f>
        <v>C49SZX20220117DZ</v>
      </c>
      <c r="R1209" s="652" t="str">
        <f>VLOOKUP(A1209,'[1]Raw data'!$B:$Z,3,FALSE)</f>
        <v>朗特</v>
      </c>
      <c r="S1209" s="652" t="str">
        <f>VLOOKUP(A1209,'[1]Raw data'!$B:$Z,4,FALSE)</f>
        <v>YSM10</v>
      </c>
      <c r="T1209" s="652" t="str">
        <f>VLOOKUP(A1209,'[1]Raw data'!$B:$Z,8,FALSE)</f>
        <v>L-&gt;R</v>
      </c>
      <c r="U1209" s="652" t="str">
        <f>VLOOKUP(A1209,'[1]Raw data'!$B:$Z,9,FALSE)</f>
        <v>MVC+ATS15</v>
      </c>
      <c r="V1209" s="572" t="str">
        <f>IF(G1209&amp;H1209=T1209&amp;U1209,"OK","WRONG")</f>
        <v>WRONG</v>
      </c>
      <c r="W1209" s="568" t="str">
        <f>VLOOKUP(A1209,'[1]Raw data'!$B:$AG,32,FALSE)</f>
        <v>DDP SZ</v>
      </c>
      <c r="X1209" s="652">
        <f>VLOOKUP(A1209,'[1]Raw data'!$B:$BA,31,FALSE)</f>
        <v>44879</v>
      </c>
      <c r="Y1209" s="652" t="str">
        <f>VLOOKUP(A1209,'[1]Raw data'!$B:$AS,39,FALSE)</f>
        <v>Yes</v>
      </c>
      <c r="Z1209" s="671"/>
      <c r="AA1209" s="665"/>
      <c r="AB1209" s="666"/>
      <c r="AC1209" s="652" t="s">
        <v>2336</v>
      </c>
      <c r="AD1209" s="580">
        <v>301</v>
      </c>
      <c r="AE1209" s="580">
        <v>10</v>
      </c>
      <c r="AF1209" s="580"/>
      <c r="AG1209" s="580"/>
      <c r="AH1209" s="580"/>
      <c r="AI1209" s="684"/>
      <c r="AJ1209" s="569"/>
      <c r="AK1209" s="569"/>
      <c r="AL1209" s="569"/>
      <c r="AM1209" s="569"/>
      <c r="AN1209" s="619"/>
      <c r="AO1209" s="829" t="str">
        <f t="shared" si="246"/>
        <v>Yes</v>
      </c>
      <c r="AP1209" s="259" t="str">
        <f t="shared" si="247"/>
        <v>NOV 22</v>
      </c>
      <c r="AQ1209" s="547" t="str">
        <f t="shared" si="248"/>
        <v>有定金+有預留客戶</v>
      </c>
      <c r="AR1209" s="259" t="str">
        <f t="shared" si="249"/>
        <v>Shipped_Stock</v>
      </c>
      <c r="AS1209" s="259" t="str">
        <f t="shared" si="250"/>
        <v/>
      </c>
      <c r="AT1209" s="259" t="str">
        <f t="shared" si="251"/>
        <v>朗特</v>
      </c>
      <c r="AU1209" s="259" t="str">
        <f t="shared" si="252"/>
        <v>C49SZX20220117DZ</v>
      </c>
      <c r="AV1209" s="259" t="str">
        <f t="shared" si="253"/>
        <v>Jun-27</v>
      </c>
    </row>
    <row r="1210" spans="1:48" hidden="1">
      <c r="A1210" s="604">
        <v>1761</v>
      </c>
      <c r="B1210" s="669" t="s">
        <v>1125</v>
      </c>
      <c r="C1210" s="669" t="s">
        <v>281</v>
      </c>
      <c r="D1210" s="760">
        <v>110918</v>
      </c>
      <c r="E1210" s="749" t="s">
        <v>2337</v>
      </c>
      <c r="F1210" s="652" t="s">
        <v>17</v>
      </c>
      <c r="G1210" s="652" t="s">
        <v>18</v>
      </c>
      <c r="H1210" s="652" t="s">
        <v>48</v>
      </c>
      <c r="I1210" s="580" t="s">
        <v>2340</v>
      </c>
      <c r="J1210" s="580">
        <v>1</v>
      </c>
      <c r="K1210" s="652" t="s">
        <v>1419</v>
      </c>
      <c r="L1210" s="754">
        <v>44739</v>
      </c>
      <c r="M1210" s="670" t="s">
        <v>2339</v>
      </c>
      <c r="N1210" s="652" t="s">
        <v>208</v>
      </c>
      <c r="O1210" s="580">
        <v>2022.6</v>
      </c>
      <c r="P1210" s="670" t="str">
        <f>VLOOKUP(A1210,'[1]Raw data'!$B:$BA,23,FALSE)</f>
        <v>RMB</v>
      </c>
      <c r="Q1210" s="652" t="str">
        <f>VLOOKUP(A1210,'[1]Raw data'!$B:$Z,2,FALSE)</f>
        <v>C49SZX20220117DZ</v>
      </c>
      <c r="R1210" s="652" t="str">
        <f>VLOOKUP(A1210,'[1]Raw data'!$B:$Z,3,FALSE)</f>
        <v>朗特</v>
      </c>
      <c r="S1210" s="652" t="str">
        <f>VLOOKUP(A1210,'[1]Raw data'!$B:$Z,4,FALSE)</f>
        <v>YSM10</v>
      </c>
      <c r="T1210" s="652" t="str">
        <f>VLOOKUP(A1210,'[1]Raw data'!$B:$Z,8,FALSE)</f>
        <v>R-&gt;L</v>
      </c>
      <c r="U1210" s="652" t="str">
        <f>VLOOKUP(A1210,'[1]Raw data'!$B:$Z,9,FALSE)</f>
        <v>MVC+ATS15</v>
      </c>
      <c r="V1210" s="572" t="str">
        <f>IF(G1210&amp;H1210=T1210&amp;U1210,"OK","WRONG")</f>
        <v>WRONG</v>
      </c>
      <c r="W1210" s="568" t="str">
        <f>VLOOKUP(A1210,'[1]Raw data'!$B:$AG,32,FALSE)</f>
        <v>DDP SZ</v>
      </c>
      <c r="X1210" s="652">
        <f>VLOOKUP(A1210,'[1]Raw data'!$B:$BA,31,FALSE)</f>
        <v>44879</v>
      </c>
      <c r="Y1210" s="652" t="str">
        <f>VLOOKUP(A1210,'[1]Raw data'!$B:$AS,39,FALSE)</f>
        <v>Yes</v>
      </c>
      <c r="Z1210" s="671"/>
      <c r="AA1210" s="665"/>
      <c r="AB1210" s="666"/>
      <c r="AC1210" s="652" t="s">
        <v>2336</v>
      </c>
      <c r="AD1210" s="580">
        <v>301</v>
      </c>
      <c r="AE1210" s="580">
        <v>10</v>
      </c>
      <c r="AF1210" s="580"/>
      <c r="AG1210" s="580"/>
      <c r="AH1210" s="580"/>
      <c r="AI1210" s="684"/>
      <c r="AJ1210" s="569"/>
      <c r="AK1210" s="569"/>
      <c r="AL1210" s="569"/>
      <c r="AM1210" s="569"/>
      <c r="AN1210" s="619"/>
      <c r="AO1210" s="829" t="str">
        <f t="shared" si="246"/>
        <v>Yes</v>
      </c>
      <c r="AP1210" s="259" t="str">
        <f t="shared" si="247"/>
        <v>NOV 22</v>
      </c>
      <c r="AQ1210" s="547" t="str">
        <f t="shared" si="248"/>
        <v>有定金+有預留客戶</v>
      </c>
      <c r="AR1210" s="259" t="str">
        <f t="shared" si="249"/>
        <v>Shipped_Stock</v>
      </c>
      <c r="AS1210" s="259" t="str">
        <f t="shared" si="250"/>
        <v/>
      </c>
      <c r="AT1210" s="259" t="str">
        <f t="shared" si="251"/>
        <v>朗特</v>
      </c>
      <c r="AU1210" s="259" t="str">
        <f t="shared" si="252"/>
        <v>C49SZX20220117DZ</v>
      </c>
      <c r="AV1210" s="259" t="str">
        <f t="shared" si="253"/>
        <v>Jun-27</v>
      </c>
    </row>
    <row r="1211" spans="1:48" hidden="1">
      <c r="A1211" s="604">
        <v>1435</v>
      </c>
      <c r="B1211" s="669" t="s">
        <v>1125</v>
      </c>
      <c r="C1211" s="669" t="s">
        <v>281</v>
      </c>
      <c r="D1211" s="760">
        <v>110921</v>
      </c>
      <c r="E1211" s="761" t="s">
        <v>2341</v>
      </c>
      <c r="F1211" s="652" t="s">
        <v>17</v>
      </c>
      <c r="G1211" s="652" t="s">
        <v>18</v>
      </c>
      <c r="H1211" s="652" t="s">
        <v>102</v>
      </c>
      <c r="I1211" s="580" t="s">
        <v>2342</v>
      </c>
      <c r="J1211" s="580">
        <v>1</v>
      </c>
      <c r="K1211" s="652" t="s">
        <v>85</v>
      </c>
      <c r="L1211" s="754">
        <v>44739</v>
      </c>
      <c r="M1211" s="670" t="s">
        <v>2343</v>
      </c>
      <c r="N1211" s="652" t="s">
        <v>221</v>
      </c>
      <c r="O1211" s="580">
        <v>2022.6</v>
      </c>
      <c r="P1211" s="670" t="str">
        <f>VLOOKUP(A1211,'[1]Raw data'!$B:$BA,23,FALSE)</f>
        <v>JPY</v>
      </c>
      <c r="Q1211" s="652" t="str">
        <f>VLOOKUP(A1211,'[1]Raw data'!$B:$Z,2,FALSE)</f>
        <v>C49SZX20210173AY</v>
      </c>
      <c r="R1211" s="652" t="str">
        <f>VLOOKUP(A1211,'[1]Raw data'!$B:$Z,3,FALSE)</f>
        <v>三丽（End user:东莞长志）</v>
      </c>
      <c r="S1211" s="652" t="str">
        <f>VLOOKUP(A1211,'[1]Raw data'!$B:$Z,4,FALSE)</f>
        <v>YSM10</v>
      </c>
      <c r="T1211" s="652" t="str">
        <f>VLOOKUP(A1211,'[1]Raw data'!$B:$Z,8,FALSE)</f>
        <v>L-&gt;R</v>
      </c>
      <c r="U1211" s="652" t="str">
        <f>VLOOKUP(A1211,'[1]Raw data'!$B:$Z,9,FALSE)</f>
        <v>No</v>
      </c>
      <c r="V1211" s="572" t="str">
        <f>IF(G1211&amp;H1211=T1211&amp;U1211,"OK","WRONG")</f>
        <v>WRONG</v>
      </c>
      <c r="W1211" s="568" t="str">
        <f>VLOOKUP(A1211,'[1]Raw data'!$B:$AG,32,FALSE)</f>
        <v>DAP SZ</v>
      </c>
      <c r="X1211" s="652">
        <f>VLOOKUP(A1211,'[1]Raw data'!$B:$BA,31,FALSE)</f>
        <v>44369</v>
      </c>
      <c r="Y1211" s="652" t="str">
        <f>VLOOKUP(A1211,'[1]Raw data'!$B:$AS,39,FALSE)</f>
        <v>Yes</v>
      </c>
      <c r="Z1211" s="664"/>
      <c r="AA1211" s="665"/>
      <c r="AB1211" s="666"/>
      <c r="AC1211" s="652" t="s">
        <v>2344</v>
      </c>
      <c r="AD1211" s="580">
        <v>301</v>
      </c>
      <c r="AE1211" s="580">
        <v>5</v>
      </c>
      <c r="AF1211" s="580">
        <v>302</v>
      </c>
      <c r="AG1211" s="580">
        <v>5</v>
      </c>
      <c r="AH1211" s="580"/>
      <c r="AI1211" s="684"/>
      <c r="AJ1211" s="569"/>
      <c r="AK1211" s="569"/>
      <c r="AL1211" s="569"/>
      <c r="AM1211" s="569"/>
      <c r="AN1211" s="619"/>
      <c r="AO1211" s="829" t="str">
        <f t="shared" si="246"/>
        <v>Yes</v>
      </c>
      <c r="AP1211" s="259" t="str">
        <f t="shared" si="247"/>
        <v>AUG 22</v>
      </c>
      <c r="AQ1211" s="547" t="str">
        <f t="shared" si="248"/>
        <v>有定金+有預留客戶</v>
      </c>
      <c r="AR1211" s="259" t="str">
        <f t="shared" si="249"/>
        <v>Shipped_Stock</v>
      </c>
      <c r="AS1211" s="259" t="str">
        <f t="shared" si="250"/>
        <v/>
      </c>
      <c r="AT1211" s="259" t="str">
        <f t="shared" si="251"/>
        <v>三丽（End user:东莞长志）</v>
      </c>
      <c r="AU1211" s="259" t="str">
        <f t="shared" si="252"/>
        <v>C49SZX20210173AY</v>
      </c>
      <c r="AV1211" s="259" t="str">
        <f t="shared" si="253"/>
        <v>Jun-27</v>
      </c>
    </row>
    <row r="1212" spans="1:48" ht="13.5" hidden="1" thickBot="1">
      <c r="A1212" s="604">
        <v>1629</v>
      </c>
      <c r="B1212" s="669" t="s">
        <v>1125</v>
      </c>
      <c r="C1212" s="669" t="s">
        <v>281</v>
      </c>
      <c r="D1212" s="629">
        <v>110930</v>
      </c>
      <c r="E1212" s="761" t="s">
        <v>2345</v>
      </c>
      <c r="F1212" s="652" t="s">
        <v>17</v>
      </c>
      <c r="G1212" s="652" t="s">
        <v>18</v>
      </c>
      <c r="H1212" s="652" t="s">
        <v>34</v>
      </c>
      <c r="I1212" s="580" t="s">
        <v>2346</v>
      </c>
      <c r="J1212" s="580">
        <v>1</v>
      </c>
      <c r="K1212" s="652" t="s">
        <v>85</v>
      </c>
      <c r="L1212" s="754">
        <v>44739</v>
      </c>
      <c r="M1212" s="670">
        <v>5.2699999999999997E-2</v>
      </c>
      <c r="N1212" s="652" t="s">
        <v>2231</v>
      </c>
      <c r="O1212" s="580">
        <v>2022.6</v>
      </c>
      <c r="P1212" s="670" t="str">
        <f>VLOOKUP(A1212,'[1]Raw data'!$B:$BA,23,FALSE)</f>
        <v>JPY</v>
      </c>
      <c r="Q1212" s="652" t="str">
        <f>VLOOKUP(A1212,'[1]Raw data'!$B:$Z,2,FALSE)</f>
        <v>C49SZX20220035R1SS</v>
      </c>
      <c r="R1212" s="652" t="str">
        <f>VLOOKUP(A1212,'[1]Raw data'!$B:$Z,3,FALSE)</f>
        <v>中润互联</v>
      </c>
      <c r="S1212" s="652" t="str">
        <f>VLOOKUP(A1212,'[1]Raw data'!$B:$Z,4,FALSE)</f>
        <v>YSM10</v>
      </c>
      <c r="T1212" s="652" t="str">
        <f>VLOOKUP(A1212,'[1]Raw data'!$B:$Z,8,FALSE)</f>
        <v>L-&gt;R</v>
      </c>
      <c r="U1212" s="652" t="str">
        <f>VLOOKUP(A1212,'[1]Raw data'!$B:$Z,9,FALSE)</f>
        <v>MVC+ATS15</v>
      </c>
      <c r="V1212" s="572" t="str">
        <f t="shared" ref="V1212:V1238" si="265">IF(G1212&amp;H1212=T1212&amp;U1212,"OK","WRONG")</f>
        <v>WRONG</v>
      </c>
      <c r="W1212" s="568" t="str">
        <f>VLOOKUP(A1212,'[1]Raw data'!$B:$AG,32,FALSE)</f>
        <v>DAP SZ</v>
      </c>
      <c r="X1212" s="652">
        <f>VLOOKUP(A1212,'[1]Raw data'!$B:$BA,31,FALSE)</f>
        <v>44641</v>
      </c>
      <c r="Y1212" s="652" t="str">
        <f>VLOOKUP(A1212,'[1]Raw data'!$B:$AS,39,FALSE)</f>
        <v>Yes</v>
      </c>
      <c r="Z1212" s="664"/>
      <c r="AA1212" s="665"/>
      <c r="AB1212" s="666"/>
      <c r="AC1212" s="652" t="s">
        <v>2255</v>
      </c>
      <c r="AD1212" s="580">
        <v>301</v>
      </c>
      <c r="AE1212" s="580">
        <v>5</v>
      </c>
      <c r="AF1212" s="580">
        <v>302</v>
      </c>
      <c r="AG1212" s="580">
        <v>2</v>
      </c>
      <c r="AH1212" s="580">
        <v>303</v>
      </c>
      <c r="AI1212" s="684">
        <v>2</v>
      </c>
      <c r="AJ1212" s="580">
        <v>304</v>
      </c>
      <c r="AK1212" s="569">
        <v>1</v>
      </c>
      <c r="AL1212" s="569"/>
      <c r="AM1212" s="569"/>
      <c r="AN1212" s="619"/>
      <c r="AO1212" s="829" t="str">
        <f t="shared" si="246"/>
        <v>Yes</v>
      </c>
      <c r="AP1212" s="259" t="str">
        <f t="shared" si="247"/>
        <v>JUL 22</v>
      </c>
      <c r="AQ1212" s="547" t="str">
        <f t="shared" si="248"/>
        <v>有定金+有預留客戶</v>
      </c>
      <c r="AR1212" s="259" t="str">
        <f t="shared" si="249"/>
        <v>Shipped_Stock</v>
      </c>
      <c r="AS1212" s="259" t="str">
        <f t="shared" si="250"/>
        <v/>
      </c>
      <c r="AT1212" s="259" t="str">
        <f t="shared" si="251"/>
        <v>中润互联</v>
      </c>
      <c r="AU1212" s="259" t="str">
        <f t="shared" si="252"/>
        <v>C49SZX20220035R1SS</v>
      </c>
      <c r="AV1212" s="259" t="str">
        <f t="shared" si="253"/>
        <v>Jun-27</v>
      </c>
    </row>
    <row r="1213" spans="1:48" ht="22.5" hidden="1">
      <c r="A1213" s="604">
        <v>1646</v>
      </c>
      <c r="B1213" s="669" t="s">
        <v>1125</v>
      </c>
      <c r="C1213" s="669" t="s">
        <v>281</v>
      </c>
      <c r="D1213" s="788">
        <v>110924</v>
      </c>
      <c r="E1213" s="789" t="s">
        <v>2347</v>
      </c>
      <c r="F1213" s="790" t="s">
        <v>17</v>
      </c>
      <c r="G1213" s="790" t="s">
        <v>18</v>
      </c>
      <c r="H1213" s="790" t="s">
        <v>102</v>
      </c>
      <c r="I1213" s="740" t="s">
        <v>2348</v>
      </c>
      <c r="J1213" s="740">
        <v>1</v>
      </c>
      <c r="K1213" s="790" t="s">
        <v>85</v>
      </c>
      <c r="L1213" s="791">
        <v>44739</v>
      </c>
      <c r="M1213" s="792" t="s">
        <v>2349</v>
      </c>
      <c r="N1213" s="652" t="s">
        <v>221</v>
      </c>
      <c r="O1213" s="580">
        <v>2022.6</v>
      </c>
      <c r="P1213" s="670" t="str">
        <f>VLOOKUP(A1213,'[1]Raw data'!$B:$BA,23,FALSE)</f>
        <v>JPY</v>
      </c>
      <c r="Q1213" s="652" t="str">
        <f>VLOOKUP(A1213,'[1]Raw data'!$B:$Z,2,FALSE)</f>
        <v>C49SZX20220046JL</v>
      </c>
      <c r="R1213" s="652" t="str">
        <f>VLOOKUP(A1213,'[1]Raw data'!$B:$Z,3,FALSE)</f>
        <v>快宇</v>
      </c>
      <c r="S1213" s="652" t="str">
        <f>VLOOKUP(A1213,'[1]Raw data'!$B:$Z,4,FALSE)</f>
        <v>YSM10</v>
      </c>
      <c r="T1213" s="652" t="str">
        <f>VLOOKUP(A1213,'[1]Raw data'!$B:$Z,8,FALSE)</f>
        <v>L-&gt;R</v>
      </c>
      <c r="U1213" s="652" t="str">
        <f>VLOOKUP(A1213,'[1]Raw data'!$B:$Z,9,FALSE)</f>
        <v>MVC</v>
      </c>
      <c r="V1213" s="572" t="str">
        <f>IF(G1213&amp;H1213=T1213&amp;U1213,"OK","WRONG")</f>
        <v>WRONG</v>
      </c>
      <c r="W1213" s="568" t="str">
        <f>VLOOKUP(A1213,'[1]Raw data'!$B:$AG,32,FALSE)</f>
        <v>DAP SZ</v>
      </c>
      <c r="X1213" s="652">
        <f>VLOOKUP(A1213,'[1]Raw data'!$B:$BA,31,FALSE)</f>
        <v>44669</v>
      </c>
      <c r="Y1213" s="652" t="str">
        <f>VLOOKUP(A1213,'[1]Raw data'!$B:$AS,39,FALSE)</f>
        <v>Yes</v>
      </c>
      <c r="Z1213" s="664"/>
      <c r="AA1213" s="665"/>
      <c r="AB1213" s="666"/>
      <c r="AC1213" s="652" t="s">
        <v>2306</v>
      </c>
      <c r="AD1213" s="580">
        <v>301</v>
      </c>
      <c r="AE1213" s="580">
        <v>5</v>
      </c>
      <c r="AF1213" s="580">
        <v>302</v>
      </c>
      <c r="AG1213" s="580">
        <v>5</v>
      </c>
      <c r="AH1213" s="580"/>
      <c r="AI1213" s="684"/>
      <c r="AJ1213" s="569"/>
      <c r="AK1213" s="569"/>
      <c r="AL1213" s="569"/>
      <c r="AM1213" s="569"/>
      <c r="AN1213" s="619"/>
      <c r="AO1213" s="829" t="str">
        <f t="shared" si="246"/>
        <v>Yes</v>
      </c>
      <c r="AP1213" s="259" t="str">
        <f t="shared" si="247"/>
        <v>AUG 22</v>
      </c>
      <c r="AQ1213" s="547" t="str">
        <f t="shared" si="248"/>
        <v>有定金+有預留客戶</v>
      </c>
      <c r="AR1213" s="259" t="str">
        <f t="shared" si="249"/>
        <v>Shipped_Stock</v>
      </c>
      <c r="AS1213" s="259" t="str">
        <f t="shared" si="250"/>
        <v/>
      </c>
      <c r="AT1213" s="259" t="str">
        <f t="shared" si="251"/>
        <v>快宇</v>
      </c>
      <c r="AU1213" s="259" t="str">
        <f t="shared" si="252"/>
        <v>C49SZX20220046JL</v>
      </c>
      <c r="AV1213" s="259" t="str">
        <f t="shared" si="253"/>
        <v>Jun-27</v>
      </c>
    </row>
    <row r="1214" spans="1:48" ht="24.75" hidden="1">
      <c r="A1214" s="604">
        <v>1699</v>
      </c>
      <c r="B1214" s="669" t="s">
        <v>1125</v>
      </c>
      <c r="C1214" s="669" t="s">
        <v>281</v>
      </c>
      <c r="D1214" s="760">
        <v>110922</v>
      </c>
      <c r="E1214" s="761" t="s">
        <v>2350</v>
      </c>
      <c r="F1214" s="652" t="s">
        <v>17</v>
      </c>
      <c r="G1214" s="652" t="s">
        <v>18</v>
      </c>
      <c r="H1214" s="652" t="s">
        <v>102</v>
      </c>
      <c r="I1214" s="756" t="s">
        <v>2351</v>
      </c>
      <c r="J1214" s="580">
        <v>1</v>
      </c>
      <c r="K1214" s="652" t="s">
        <v>1419</v>
      </c>
      <c r="L1214" s="754">
        <v>44739</v>
      </c>
      <c r="M1214" s="670" t="s">
        <v>2331</v>
      </c>
      <c r="N1214" s="652" t="s">
        <v>219</v>
      </c>
      <c r="O1214" s="580">
        <v>2022.6</v>
      </c>
      <c r="P1214" s="670" t="str">
        <f>VLOOKUP(A1214,'[1]Raw data'!$B:$BA,23,FALSE)</f>
        <v>RMB</v>
      </c>
      <c r="Q1214" s="652" t="str">
        <f>VLOOKUP(A1214,'[1]Raw data'!$B:$Z,2,FALSE)</f>
        <v>C49SZX20220079JL</v>
      </c>
      <c r="R1214" s="652" t="str">
        <f>VLOOKUP(A1214,'[1]Raw data'!$B:$Z,3,FALSE)</f>
        <v>铭翔</v>
      </c>
      <c r="S1214" s="652" t="str">
        <f>VLOOKUP(A1214,'[1]Raw data'!$B:$Z,4,FALSE)</f>
        <v>YSM10</v>
      </c>
      <c r="T1214" s="652" t="str">
        <f>VLOOKUP(A1214,'[1]Raw data'!$B:$Z,8,FALSE)</f>
        <v>L-&gt;R</v>
      </c>
      <c r="U1214" s="652" t="str">
        <f>VLOOKUP(A1214,'[1]Raw data'!$B:$Z,9,FALSE)</f>
        <v>MVC</v>
      </c>
      <c r="V1214" s="572" t="str">
        <f>IF(G1214&amp;H1214=T1214&amp;U1214,"OK","WRONG")</f>
        <v>WRONG</v>
      </c>
      <c r="W1214" s="568" t="str">
        <f>VLOOKUP(A1214,'[1]Raw data'!$B:$AG,32,FALSE)</f>
        <v>DDP  DG</v>
      </c>
      <c r="X1214" s="652">
        <f>VLOOKUP(A1214,'[1]Raw data'!$B:$BA,31,FALSE)</f>
        <v>44751</v>
      </c>
      <c r="Y1214" s="652" t="str">
        <f>VLOOKUP(A1214,'[1]Raw data'!$B:$AS,39,FALSE)</f>
        <v>Yes</v>
      </c>
      <c r="Z1214" s="664"/>
      <c r="AA1214" s="665"/>
      <c r="AB1214" s="666"/>
      <c r="AC1214" s="652" t="s">
        <v>772</v>
      </c>
      <c r="AD1214" s="580">
        <v>301</v>
      </c>
      <c r="AE1214" s="580">
        <v>10</v>
      </c>
      <c r="AF1214" s="580"/>
      <c r="AG1214" s="580"/>
      <c r="AH1214" s="580"/>
      <c r="AI1214" s="684"/>
      <c r="AJ1214" s="569"/>
      <c r="AK1214" s="569"/>
      <c r="AL1214" s="569"/>
      <c r="AM1214" s="569"/>
      <c r="AN1214" s="619"/>
      <c r="AO1214" s="829" t="str">
        <f t="shared" si="246"/>
        <v>Yes</v>
      </c>
      <c r="AP1214" s="259" t="str">
        <f t="shared" si="247"/>
        <v>SEP 22</v>
      </c>
      <c r="AQ1214" s="547" t="str">
        <f t="shared" si="248"/>
        <v>有定金+有預留客戶</v>
      </c>
      <c r="AR1214" s="259" t="str">
        <f t="shared" si="249"/>
        <v>Shipped_Stock</v>
      </c>
      <c r="AS1214" s="259" t="str">
        <f t="shared" si="250"/>
        <v/>
      </c>
      <c r="AT1214" s="259" t="str">
        <f t="shared" si="251"/>
        <v>铭翔</v>
      </c>
      <c r="AU1214" s="259" t="str">
        <f t="shared" si="252"/>
        <v>C49SZX20220079JL</v>
      </c>
      <c r="AV1214" s="259" t="str">
        <f t="shared" si="253"/>
        <v>Jun-27</v>
      </c>
    </row>
    <row r="1215" spans="1:48" hidden="1">
      <c r="A1215" s="564">
        <v>1717</v>
      </c>
      <c r="B1215" s="669" t="s">
        <v>1125</v>
      </c>
      <c r="C1215" s="669" t="s">
        <v>281</v>
      </c>
      <c r="D1215" s="760">
        <v>110922</v>
      </c>
      <c r="E1215" s="761" t="s">
        <v>2350</v>
      </c>
      <c r="F1215" s="652" t="s">
        <v>17</v>
      </c>
      <c r="G1215" s="652" t="s">
        <v>18</v>
      </c>
      <c r="H1215" s="652" t="s">
        <v>102</v>
      </c>
      <c r="I1215" s="580" t="s">
        <v>2352</v>
      </c>
      <c r="J1215" s="580">
        <v>1</v>
      </c>
      <c r="K1215" s="652" t="s">
        <v>1419</v>
      </c>
      <c r="L1215" s="754">
        <v>44739</v>
      </c>
      <c r="M1215" s="670" t="s">
        <v>2331</v>
      </c>
      <c r="N1215" s="652" t="s">
        <v>219</v>
      </c>
      <c r="O1215" s="580">
        <v>2022.6</v>
      </c>
      <c r="P1215" s="670" t="str">
        <f>VLOOKUP(A1215,'[1]Raw data'!$B:$BA,23,FALSE)</f>
        <v>RMB</v>
      </c>
      <c r="Q1215" s="652" t="str">
        <f>VLOOKUP(A1215,'[1]Raw data'!$B:$Z,2,FALSE)</f>
        <v>C49SZX20220090SQ</v>
      </c>
      <c r="R1215" s="652" t="str">
        <f>VLOOKUP(A1215,'[1]Raw data'!$B:$Z,3,FALSE)</f>
        <v>维创斯特</v>
      </c>
      <c r="S1215" s="652" t="str">
        <f>VLOOKUP(A1215,'[1]Raw data'!$B:$Z,4,FALSE)</f>
        <v>YSM10</v>
      </c>
      <c r="T1215" s="652" t="str">
        <f>VLOOKUP(A1215,'[1]Raw data'!$B:$Z,8,FALSE)</f>
        <v>L-&gt;R</v>
      </c>
      <c r="U1215" s="652" t="str">
        <f>VLOOKUP(A1215,'[1]Raw data'!$B:$Z,9,FALSE)</f>
        <v>MVC</v>
      </c>
      <c r="V1215" s="572" t="str">
        <f>IF(G1215&amp;H1215=T1215&amp;U1215,"OK","WRONG")</f>
        <v>WRONG</v>
      </c>
      <c r="W1215" s="568" t="str">
        <f>VLOOKUP(A1215,'[1]Raw data'!$B:$AG,32,FALSE)</f>
        <v>DDP SZ</v>
      </c>
      <c r="X1215" s="652">
        <f>VLOOKUP(A1215,'[1]Raw data'!$B:$BA,31,FALSE)</f>
        <v>44791</v>
      </c>
      <c r="Y1215" s="652" t="str">
        <f>VLOOKUP(A1215,'[1]Raw data'!$B:$AS,39,FALSE)</f>
        <v>Yes</v>
      </c>
      <c r="Z1215" s="664"/>
      <c r="AA1215" s="665"/>
      <c r="AB1215" s="666"/>
      <c r="AC1215" s="652" t="s">
        <v>2353</v>
      </c>
      <c r="AD1215" s="667">
        <v>301</v>
      </c>
      <c r="AE1215" s="667">
        <v>10</v>
      </c>
      <c r="AF1215" s="667"/>
      <c r="AG1215" s="667"/>
      <c r="AH1215" s="667"/>
      <c r="AI1215" s="668"/>
      <c r="AN1215" s="547"/>
      <c r="AO1215" s="829" t="str">
        <f t="shared" si="246"/>
        <v>Yes</v>
      </c>
      <c r="AP1215" s="259" t="str">
        <f t="shared" si="247"/>
        <v>SEP 22</v>
      </c>
      <c r="AQ1215" s="547" t="str">
        <f t="shared" si="248"/>
        <v>有定金+有預留客戶</v>
      </c>
      <c r="AR1215" s="259" t="str">
        <f t="shared" si="249"/>
        <v>Shipped_Stock</v>
      </c>
      <c r="AS1215" s="259" t="str">
        <f t="shared" si="250"/>
        <v/>
      </c>
      <c r="AT1215" s="259" t="str">
        <f t="shared" si="251"/>
        <v>维创斯特</v>
      </c>
      <c r="AU1215" s="259" t="str">
        <f t="shared" si="252"/>
        <v>C49SZX20220090SQ</v>
      </c>
      <c r="AV1215" s="259" t="str">
        <f t="shared" si="253"/>
        <v>Jun-27</v>
      </c>
    </row>
    <row r="1216" spans="1:48" hidden="1">
      <c r="A1216" s="604">
        <v>1542</v>
      </c>
      <c r="B1216" s="669" t="s">
        <v>1125</v>
      </c>
      <c r="C1216" s="669" t="s">
        <v>281</v>
      </c>
      <c r="D1216" s="760">
        <v>110922</v>
      </c>
      <c r="E1216" s="761" t="s">
        <v>2350</v>
      </c>
      <c r="F1216" s="652" t="s">
        <v>17</v>
      </c>
      <c r="G1216" s="652" t="s">
        <v>18</v>
      </c>
      <c r="H1216" s="652" t="s">
        <v>102</v>
      </c>
      <c r="I1216" s="580" t="s">
        <v>2354</v>
      </c>
      <c r="J1216" s="580">
        <v>1</v>
      </c>
      <c r="K1216" s="652" t="s">
        <v>1419</v>
      </c>
      <c r="L1216" s="754">
        <v>44739</v>
      </c>
      <c r="M1216" s="670" t="s">
        <v>2355</v>
      </c>
      <c r="N1216" s="652" t="s">
        <v>219</v>
      </c>
      <c r="O1216" s="580">
        <v>2022.6</v>
      </c>
      <c r="P1216" s="670" t="str">
        <f>VLOOKUP(A1216,'[1]Raw data'!$B:$BA,23,FALSE)</f>
        <v>JPY</v>
      </c>
      <c r="Q1216" s="652" t="str">
        <f>VLOOKUP(A1216,'[1]Raw data'!$B:$Z,2,FALSE)</f>
        <v>C49SZX20220004EC</v>
      </c>
      <c r="R1216" s="652" t="str">
        <f>VLOOKUP(A1216,'[1]Raw data'!$B:$Z,3,FALSE)</f>
        <v>恒泰创新</v>
      </c>
      <c r="S1216" s="652" t="str">
        <f>VLOOKUP(A1216,'[1]Raw data'!$B:$Z,4,FALSE)</f>
        <v>YSM10</v>
      </c>
      <c r="T1216" s="652" t="str">
        <f>VLOOKUP(A1216,'[1]Raw data'!$B:$Z,8,FALSE)</f>
        <v>L-&gt;R</v>
      </c>
      <c r="U1216" s="652" t="str">
        <f>VLOOKUP(A1216,'[1]Raw data'!$B:$Z,9,FALSE)</f>
        <v>MVC</v>
      </c>
      <c r="V1216" s="572" t="str">
        <f>IF(G1216&amp;H1216=T1216&amp;U1216,"OK","WRONG")</f>
        <v>WRONG</v>
      </c>
      <c r="W1216" s="568" t="str">
        <f>VLOOKUP(A1216,'[1]Raw data'!$B:$AG,32,FALSE)</f>
        <v>DAP SZ</v>
      </c>
      <c r="X1216" s="652">
        <f>VLOOKUP(A1216,'[1]Raw data'!$B:$BA,31,FALSE)</f>
        <v>44568</v>
      </c>
      <c r="Y1216" s="652" t="str">
        <f>VLOOKUP(A1216,'[1]Raw data'!$B:$AS,39,FALSE)</f>
        <v>Yes</v>
      </c>
      <c r="Z1216" s="664"/>
      <c r="AA1216" s="665"/>
      <c r="AB1216" s="666"/>
      <c r="AC1216" s="652" t="s">
        <v>2356</v>
      </c>
      <c r="AD1216" s="580">
        <v>302</v>
      </c>
      <c r="AE1216" s="580">
        <v>10</v>
      </c>
      <c r="AF1216" s="580"/>
      <c r="AG1216" s="580"/>
      <c r="AH1216" s="580"/>
      <c r="AI1216" s="684"/>
      <c r="AJ1216" s="569"/>
      <c r="AK1216" s="569"/>
      <c r="AL1216" s="569"/>
      <c r="AM1216" s="569"/>
      <c r="AN1216" s="619"/>
      <c r="AO1216" s="829" t="str">
        <f t="shared" si="246"/>
        <v>Yes</v>
      </c>
      <c r="AP1216" s="259" t="str">
        <f t="shared" si="247"/>
        <v>SEP 22</v>
      </c>
      <c r="AQ1216" s="547" t="str">
        <f t="shared" si="248"/>
        <v>有定金+有預留客戶</v>
      </c>
      <c r="AR1216" s="259" t="str">
        <f t="shared" si="249"/>
        <v>Shipped_Stock</v>
      </c>
      <c r="AS1216" s="259" t="str">
        <f t="shared" si="250"/>
        <v/>
      </c>
      <c r="AT1216" s="259" t="str">
        <f t="shared" si="251"/>
        <v>恒泰创新</v>
      </c>
      <c r="AU1216" s="259" t="str">
        <f t="shared" si="252"/>
        <v>C49SZX20220004EC</v>
      </c>
      <c r="AV1216" s="259" t="str">
        <f t="shared" si="253"/>
        <v>Jun-27</v>
      </c>
    </row>
    <row r="1217" spans="1:48" hidden="1">
      <c r="A1217" s="604">
        <v>1728</v>
      </c>
      <c r="B1217" s="669" t="s">
        <v>1125</v>
      </c>
      <c r="C1217" s="669" t="s">
        <v>281</v>
      </c>
      <c r="D1217" s="760">
        <v>110922</v>
      </c>
      <c r="E1217" s="761" t="s">
        <v>2350</v>
      </c>
      <c r="F1217" s="652" t="s">
        <v>17</v>
      </c>
      <c r="G1217" s="652" t="s">
        <v>18</v>
      </c>
      <c r="H1217" s="652" t="s">
        <v>102</v>
      </c>
      <c r="I1217" s="580" t="s">
        <v>2357</v>
      </c>
      <c r="J1217" s="580">
        <v>1</v>
      </c>
      <c r="K1217" s="652" t="s">
        <v>1419</v>
      </c>
      <c r="L1217" s="754">
        <v>44739</v>
      </c>
      <c r="M1217" s="670" t="s">
        <v>2331</v>
      </c>
      <c r="N1217" s="652" t="s">
        <v>205</v>
      </c>
      <c r="O1217" s="580">
        <v>2022.6</v>
      </c>
      <c r="P1217" s="670" t="str">
        <f>VLOOKUP(A1217,'[1]Raw data'!$B:$BA,23,FALSE)</f>
        <v>RMB</v>
      </c>
      <c r="Q1217" s="652" t="str">
        <f>VLOOKUP(A1217,'[1]Raw data'!$B:$Z,2,FALSE)</f>
        <v>C49SZX20220100SS</v>
      </c>
      <c r="R1217" s="652" t="str">
        <f>VLOOKUP(A1217,'[1]Raw data'!$B:$Z,3,FALSE)</f>
        <v>世启纳</v>
      </c>
      <c r="S1217" s="652" t="str">
        <f>VLOOKUP(A1217,'[1]Raw data'!$B:$Z,4,FALSE)</f>
        <v>YSM10</v>
      </c>
      <c r="T1217" s="652" t="str">
        <f>VLOOKUP(A1217,'[1]Raw data'!$B:$Z,8,FALSE)</f>
        <v>R-&gt;L</v>
      </c>
      <c r="U1217" s="652" t="str">
        <f>VLOOKUP(A1217,'[1]Raw data'!$B:$Z,9,FALSE)</f>
        <v>MVC</v>
      </c>
      <c r="V1217" s="572" t="str">
        <f>IF(G1217&amp;H1217=T1217&amp;U1217,"OK","WRONG")</f>
        <v>WRONG</v>
      </c>
      <c r="W1217" s="568" t="str">
        <f>VLOOKUP(A1217,'[1]Raw data'!$B:$AG,32,FALSE)</f>
        <v>DDP SZ</v>
      </c>
      <c r="X1217" s="652">
        <f>VLOOKUP(A1217,'[1]Raw data'!$B:$BA,31,FALSE)</f>
        <v>44825</v>
      </c>
      <c r="Y1217" s="652" t="str">
        <f>VLOOKUP(A1217,'[1]Raw data'!$B:$AS,39,FALSE)</f>
        <v>Yes</v>
      </c>
      <c r="Z1217" s="671"/>
      <c r="AA1217" s="665"/>
      <c r="AB1217" s="666"/>
      <c r="AC1217" s="652" t="s">
        <v>2038</v>
      </c>
      <c r="AD1217" s="580">
        <v>302</v>
      </c>
      <c r="AE1217" s="580">
        <v>10</v>
      </c>
      <c r="AF1217" s="580"/>
      <c r="AG1217" s="580"/>
      <c r="AH1217" s="580"/>
      <c r="AI1217" s="684"/>
      <c r="AJ1217" s="569"/>
      <c r="AK1217" s="569"/>
      <c r="AL1217" s="569"/>
      <c r="AM1217" s="569"/>
      <c r="AN1217" s="619"/>
      <c r="AO1217" s="829" t="str">
        <f t="shared" si="246"/>
        <v>Yes</v>
      </c>
      <c r="AP1217" s="259" t="str">
        <f t="shared" si="247"/>
        <v>OCT 22</v>
      </c>
      <c r="AQ1217" s="547" t="str">
        <f t="shared" si="248"/>
        <v>有定金+有預留客戶</v>
      </c>
      <c r="AR1217" s="259" t="str">
        <f t="shared" si="249"/>
        <v>Shipped_Stock</v>
      </c>
      <c r="AS1217" s="259" t="str">
        <f t="shared" si="250"/>
        <v/>
      </c>
      <c r="AT1217" s="259" t="str">
        <f t="shared" si="251"/>
        <v>世启纳</v>
      </c>
      <c r="AU1217" s="259" t="str">
        <f t="shared" si="252"/>
        <v>C49SZX20220100SS</v>
      </c>
      <c r="AV1217" s="259" t="str">
        <f t="shared" si="253"/>
        <v>Jun-27</v>
      </c>
    </row>
    <row r="1218" spans="1:48" hidden="1">
      <c r="A1218" s="604">
        <v>1762</v>
      </c>
      <c r="B1218" s="669" t="s">
        <v>1125</v>
      </c>
      <c r="C1218" s="669" t="s">
        <v>281</v>
      </c>
      <c r="D1218" s="628">
        <v>110919</v>
      </c>
      <c r="E1218" s="793" t="s">
        <v>2358</v>
      </c>
      <c r="F1218" s="652" t="s">
        <v>17</v>
      </c>
      <c r="G1218" s="652" t="s">
        <v>18</v>
      </c>
      <c r="H1218" s="652" t="s">
        <v>48</v>
      </c>
      <c r="I1218" s="580" t="s">
        <v>2359</v>
      </c>
      <c r="J1218" s="580">
        <v>1</v>
      </c>
      <c r="K1218" s="652" t="s">
        <v>1419</v>
      </c>
      <c r="L1218" s="754">
        <v>44739</v>
      </c>
      <c r="M1218" s="670" t="s">
        <v>2360</v>
      </c>
      <c r="N1218" s="652" t="s">
        <v>208</v>
      </c>
      <c r="O1218" s="580">
        <v>2022.6</v>
      </c>
      <c r="P1218" s="670" t="str">
        <f>VLOOKUP(A1218,'[1]Raw data'!$B:$BA,23,FALSE)</f>
        <v>RMB</v>
      </c>
      <c r="Q1218" s="652" t="str">
        <f>VLOOKUP(A1218,'[1]Raw data'!$B:$Z,2,FALSE)</f>
        <v>C49SZX20220117DZ</v>
      </c>
      <c r="R1218" s="652" t="str">
        <f>VLOOKUP(A1218,'[1]Raw data'!$B:$Z,3,FALSE)</f>
        <v>朗特</v>
      </c>
      <c r="S1218" s="652" t="str">
        <f>VLOOKUP(A1218,'[1]Raw data'!$B:$Z,4,FALSE)</f>
        <v>YSM10</v>
      </c>
      <c r="T1218" s="652" t="str">
        <f>VLOOKUP(A1218,'[1]Raw data'!$B:$Z,8,FALSE)</f>
        <v>R-&gt;L</v>
      </c>
      <c r="U1218" s="652" t="str">
        <f>VLOOKUP(A1218,'[1]Raw data'!$B:$Z,9,FALSE)</f>
        <v>MVC+ATS15</v>
      </c>
      <c r="V1218" s="572" t="str">
        <f t="shared" ref="V1218:V1225" si="266">IF(G1218&amp;H1218=T1218&amp;U1218,"OK","WRONG")</f>
        <v>WRONG</v>
      </c>
      <c r="W1218" s="568" t="str">
        <f>VLOOKUP(A1218,'[1]Raw data'!$B:$AG,32,FALSE)</f>
        <v>DDP SZ</v>
      </c>
      <c r="X1218" s="652">
        <f>VLOOKUP(A1218,'[1]Raw data'!$B:$BA,31,FALSE)</f>
        <v>44879</v>
      </c>
      <c r="Y1218" s="652" t="str">
        <f>VLOOKUP(A1218,'[1]Raw data'!$B:$AS,39,FALSE)</f>
        <v>Yes</v>
      </c>
      <c r="Z1218" s="671"/>
      <c r="AA1218" s="665"/>
      <c r="AB1218" s="666"/>
      <c r="AC1218" s="652" t="s">
        <v>2336</v>
      </c>
      <c r="AD1218" s="580">
        <v>301</v>
      </c>
      <c r="AE1218" s="580">
        <v>10</v>
      </c>
      <c r="AF1218" s="580"/>
      <c r="AG1218" s="580"/>
      <c r="AH1218" s="580"/>
      <c r="AI1218" s="684"/>
      <c r="AJ1218" s="569"/>
      <c r="AK1218" s="569"/>
      <c r="AL1218" s="569"/>
      <c r="AM1218" s="569"/>
      <c r="AN1218" s="619"/>
      <c r="AO1218" s="829" t="str">
        <f t="shared" si="246"/>
        <v>Yes</v>
      </c>
      <c r="AP1218" s="259" t="str">
        <f t="shared" si="247"/>
        <v>NOV 22</v>
      </c>
      <c r="AQ1218" s="547" t="str">
        <f t="shared" si="248"/>
        <v>有定金+有預留客戶</v>
      </c>
      <c r="AR1218" s="259" t="str">
        <f t="shared" si="249"/>
        <v>Shipped_Stock</v>
      </c>
      <c r="AS1218" s="259" t="str">
        <f t="shared" si="250"/>
        <v/>
      </c>
      <c r="AT1218" s="259" t="str">
        <f t="shared" si="251"/>
        <v>朗特</v>
      </c>
      <c r="AU1218" s="259" t="str">
        <f t="shared" si="252"/>
        <v>C49SZX20220117DZ</v>
      </c>
      <c r="AV1218" s="259" t="str">
        <f t="shared" si="253"/>
        <v>Jun-27</v>
      </c>
    </row>
    <row r="1219" spans="1:48" hidden="1">
      <c r="A1219" s="604">
        <v>1785</v>
      </c>
      <c r="B1219" s="669" t="s">
        <v>1125</v>
      </c>
      <c r="C1219" s="669" t="s">
        <v>281</v>
      </c>
      <c r="D1219" s="630">
        <v>110919</v>
      </c>
      <c r="E1219" s="793" t="s">
        <v>2358</v>
      </c>
      <c r="F1219" s="652" t="s">
        <v>17</v>
      </c>
      <c r="G1219" s="652" t="s">
        <v>18</v>
      </c>
      <c r="H1219" s="652" t="s">
        <v>48</v>
      </c>
      <c r="I1219" s="580" t="s">
        <v>2361</v>
      </c>
      <c r="J1219" s="580">
        <v>1</v>
      </c>
      <c r="K1219" s="652" t="s">
        <v>1419</v>
      </c>
      <c r="L1219" s="754">
        <v>44739</v>
      </c>
      <c r="M1219" s="670" t="s">
        <v>2360</v>
      </c>
      <c r="N1219" s="652" t="s">
        <v>220</v>
      </c>
      <c r="O1219" s="580">
        <v>2022.6</v>
      </c>
      <c r="P1219" s="670" t="str">
        <f>VLOOKUP(A1219,'[1]Raw data'!$B:$BA,23,FALSE)</f>
        <v>RMB</v>
      </c>
      <c r="Q1219" s="652" t="str">
        <f>VLOOKUP(A1219,'[1]Raw data'!$B:$Z,2,FALSE)</f>
        <v>C49SZX20220127EC</v>
      </c>
      <c r="R1219" s="652" t="str">
        <f>VLOOKUP(A1219,'[1]Raw data'!$B:$Z,3,FALSE)</f>
        <v>海红天远</v>
      </c>
      <c r="S1219" s="652" t="str">
        <f>VLOOKUP(A1219,'[1]Raw data'!$B:$Z,4,FALSE)</f>
        <v>YSM10</v>
      </c>
      <c r="T1219" s="652" t="str">
        <f>VLOOKUP(A1219,'[1]Raw data'!$B:$Z,8,FALSE)</f>
        <v>L-&gt;R</v>
      </c>
      <c r="U1219" s="652" t="str">
        <f>VLOOKUP(A1219,'[1]Raw data'!$B:$Z,9,FALSE)</f>
        <v>MVC+ATS15</v>
      </c>
      <c r="V1219" s="572" t="str">
        <f t="shared" si="266"/>
        <v>WRONG</v>
      </c>
      <c r="W1219" s="568" t="str">
        <f>VLOOKUP(A1219,'[1]Raw data'!$B:$AG,32,FALSE)</f>
        <v>DDP SZ</v>
      </c>
      <c r="X1219" s="652">
        <f>VLOOKUP(A1219,'[1]Raw data'!$B:$BA,31,FALSE)</f>
        <v>44914</v>
      </c>
      <c r="Y1219" s="652" t="str">
        <f>VLOOKUP(A1219,'[1]Raw data'!$B:$AS,39,FALSE)</f>
        <v>Yes</v>
      </c>
      <c r="Z1219" s="671"/>
      <c r="AA1219" s="665"/>
      <c r="AB1219" s="666"/>
      <c r="AC1219" s="652" t="s">
        <v>2207</v>
      </c>
      <c r="AD1219" s="580">
        <v>301</v>
      </c>
      <c r="AE1219" s="580">
        <v>10</v>
      </c>
      <c r="AF1219" s="580"/>
      <c r="AG1219" s="580"/>
      <c r="AH1219" s="580"/>
      <c r="AI1219" s="684"/>
      <c r="AJ1219" s="569"/>
      <c r="AK1219" s="569"/>
      <c r="AL1219" s="569"/>
      <c r="AM1219" s="569"/>
      <c r="AN1219" s="619"/>
      <c r="AO1219" s="829" t="str">
        <f t="shared" ref="AO1219:AO1282" si="267">IFERROR(IF(Y1219&lt;&gt;"",Y1219,"No"),"No")</f>
        <v>Yes</v>
      </c>
      <c r="AP1219" s="259" t="str">
        <f t="shared" ref="AP1219:AP1282" si="268">IFERROR(IF(N1219&lt;&gt;"",N1219,"blank"),"NA")</f>
        <v>DEC 22</v>
      </c>
      <c r="AQ1219" s="547" t="str">
        <f t="shared" ref="AQ1219:AQ1282" si="269">IFERROR(IF(AND(AO1219="Yes", AP1219&lt;&gt;"blank"), "有定金+有預留客戶", IF(AND(AO1219="Yes", AP1219="blank"), "有定金+无客戶送貨期", IF(AND(OR(AO1219="No", ISBLANK(AO1219), AO1219="NA"), AP1219&lt;&gt;"blank"), "无定金+有預留客戶", IF(AND(OR(AO1219="No", ISBLANK(AO1219), AO1219="NA"), AP1219="blank"), "无定金+无預留客戶", "")))), "")</f>
        <v>有定金+有預留客戶</v>
      </c>
      <c r="AR1219" s="259" t="str">
        <f t="shared" ref="AR1219:AR1282" si="270">IFERROR(IF(B1219="已经到货", "Instock", IF(B1219="有交期", "Incoming_Stock_With_YAMAHA_Schedule", IF(B1219="TBA.", "Incoming_Stock_No_YAMAHA_Schedule", IF(B1219="已发货", "Shipped_Stock", "")))), "")</f>
        <v>Shipped_Stock</v>
      </c>
      <c r="AS1219" s="259" t="str">
        <f t="shared" ref="AS1219:AS1282" si="271">IF(AND(B1219="有交期", L1219&lt;&gt;""), L1219, "")</f>
        <v/>
      </c>
      <c r="AT1219" s="259" t="str">
        <f t="shared" ref="AT1219:AT1282" si="272">IFERROR(IF(R1219&lt;&gt;"",R1219),"-")</f>
        <v>海红天远</v>
      </c>
      <c r="AU1219" s="259" t="str">
        <f t="shared" ref="AU1219:AU1282" si="273">IFERROR(IF(Q1219&lt;&gt;"",Q1219),"-")</f>
        <v>C49SZX20220127EC</v>
      </c>
      <c r="AV1219" s="259" t="str">
        <f t="shared" ref="AV1219:AV1282" si="274">IF(L1219="","-",TEXT(L1219,"mmm-dd"))</f>
        <v>Jun-27</v>
      </c>
    </row>
    <row r="1220" spans="1:48" hidden="1">
      <c r="A1220" s="604">
        <v>1786</v>
      </c>
      <c r="B1220" s="669" t="s">
        <v>1125</v>
      </c>
      <c r="C1220" s="669" t="s">
        <v>281</v>
      </c>
      <c r="D1220" s="630">
        <v>110919</v>
      </c>
      <c r="E1220" s="793" t="s">
        <v>2358</v>
      </c>
      <c r="F1220" s="652" t="s">
        <v>17</v>
      </c>
      <c r="G1220" s="652" t="s">
        <v>18</v>
      </c>
      <c r="H1220" s="652" t="s">
        <v>48</v>
      </c>
      <c r="I1220" s="580" t="s">
        <v>2362</v>
      </c>
      <c r="J1220" s="580">
        <v>1</v>
      </c>
      <c r="K1220" s="652" t="s">
        <v>1419</v>
      </c>
      <c r="L1220" s="754">
        <v>44739</v>
      </c>
      <c r="M1220" s="670" t="s">
        <v>2360</v>
      </c>
      <c r="N1220" s="652" t="s">
        <v>220</v>
      </c>
      <c r="O1220" s="580">
        <v>2022.6</v>
      </c>
      <c r="P1220" s="670" t="str">
        <f>VLOOKUP(A1220,'[1]Raw data'!$B:$BA,23,FALSE)</f>
        <v>RMB</v>
      </c>
      <c r="Q1220" s="652" t="str">
        <f>VLOOKUP(A1220,'[1]Raw data'!$B:$Z,2,FALSE)</f>
        <v>C49SZX20220127EC</v>
      </c>
      <c r="R1220" s="652" t="str">
        <f>VLOOKUP(A1220,'[1]Raw data'!$B:$Z,3,FALSE)</f>
        <v>海红天远</v>
      </c>
      <c r="S1220" s="652" t="str">
        <f>VLOOKUP(A1220,'[1]Raw data'!$B:$Z,4,FALSE)</f>
        <v>YSM10</v>
      </c>
      <c r="T1220" s="652" t="str">
        <f>VLOOKUP(A1220,'[1]Raw data'!$B:$Z,8,FALSE)</f>
        <v>R-&gt;L</v>
      </c>
      <c r="U1220" s="652" t="str">
        <f>VLOOKUP(A1220,'[1]Raw data'!$B:$Z,9,FALSE)</f>
        <v>MVC+ATS15</v>
      </c>
      <c r="V1220" s="572" t="str">
        <f t="shared" si="266"/>
        <v>WRONG</v>
      </c>
      <c r="W1220" s="568" t="str">
        <f>VLOOKUP(A1220,'[1]Raw data'!$B:$AG,32,FALSE)</f>
        <v>DDP SZ</v>
      </c>
      <c r="X1220" s="652">
        <f>VLOOKUP(A1220,'[1]Raw data'!$B:$BA,31,FALSE)</f>
        <v>44914</v>
      </c>
      <c r="Y1220" s="652" t="str">
        <f>VLOOKUP(A1220,'[1]Raw data'!$B:$AS,39,FALSE)</f>
        <v>Yes</v>
      </c>
      <c r="Z1220" s="671"/>
      <c r="AA1220" s="665"/>
      <c r="AB1220" s="666"/>
      <c r="AC1220" s="652" t="s">
        <v>2207</v>
      </c>
      <c r="AD1220" s="580">
        <v>301</v>
      </c>
      <c r="AE1220" s="580">
        <v>10</v>
      </c>
      <c r="AF1220" s="580"/>
      <c r="AG1220" s="580"/>
      <c r="AH1220" s="580"/>
      <c r="AI1220" s="684"/>
      <c r="AJ1220" s="569"/>
      <c r="AK1220" s="569"/>
      <c r="AL1220" s="569"/>
      <c r="AM1220" s="569"/>
      <c r="AN1220" s="619"/>
      <c r="AO1220" s="829" t="str">
        <f t="shared" si="267"/>
        <v>Yes</v>
      </c>
      <c r="AP1220" s="259" t="str">
        <f t="shared" si="268"/>
        <v>DEC 22</v>
      </c>
      <c r="AQ1220" s="547" t="str">
        <f t="shared" si="269"/>
        <v>有定金+有預留客戶</v>
      </c>
      <c r="AR1220" s="259" t="str">
        <f t="shared" si="270"/>
        <v>Shipped_Stock</v>
      </c>
      <c r="AS1220" s="259" t="str">
        <f t="shared" si="271"/>
        <v/>
      </c>
      <c r="AT1220" s="259" t="str">
        <f t="shared" si="272"/>
        <v>海红天远</v>
      </c>
      <c r="AU1220" s="259" t="str">
        <f t="shared" si="273"/>
        <v>C49SZX20220127EC</v>
      </c>
      <c r="AV1220" s="259" t="str">
        <f t="shared" si="274"/>
        <v>Jun-27</v>
      </c>
    </row>
    <row r="1221" spans="1:48" ht="22.5" hidden="1">
      <c r="A1221" s="604">
        <v>1721</v>
      </c>
      <c r="B1221" s="669" t="s">
        <v>1125</v>
      </c>
      <c r="C1221" s="669" t="s">
        <v>281</v>
      </c>
      <c r="D1221" s="630" t="s">
        <v>2363</v>
      </c>
      <c r="E1221" s="793" t="s">
        <v>2358</v>
      </c>
      <c r="F1221" s="652" t="s">
        <v>17</v>
      </c>
      <c r="G1221" s="652" t="s">
        <v>18</v>
      </c>
      <c r="H1221" s="652" t="s">
        <v>102</v>
      </c>
      <c r="I1221" s="580" t="s">
        <v>2364</v>
      </c>
      <c r="J1221" s="580">
        <v>1</v>
      </c>
      <c r="K1221" s="652" t="s">
        <v>1419</v>
      </c>
      <c r="L1221" s="754">
        <v>44739</v>
      </c>
      <c r="M1221" s="670" t="s">
        <v>2365</v>
      </c>
      <c r="N1221" s="652" t="s">
        <v>205</v>
      </c>
      <c r="O1221" s="580">
        <v>2022.6</v>
      </c>
      <c r="P1221" s="670" t="str">
        <f>VLOOKUP(A1221,'[1]Raw data'!$B:$BA,23,FALSE)</f>
        <v>JPY</v>
      </c>
      <c r="Q1221" s="652" t="str">
        <f>VLOOKUP(A1221,'[1]Raw data'!$B:$Z,2,FALSE)</f>
        <v>C49SZX20220096JL</v>
      </c>
      <c r="R1221" s="652" t="str">
        <f>VLOOKUP(A1221,'[1]Raw data'!$B:$Z,3,FALSE)</f>
        <v>倍斯特</v>
      </c>
      <c r="S1221" s="652" t="str">
        <f>VLOOKUP(A1221,'[1]Raw data'!$B:$Z,4,FALSE)</f>
        <v>YSM10</v>
      </c>
      <c r="T1221" s="652" t="str">
        <f>VLOOKUP(A1221,'[1]Raw data'!$B:$Z,8,FALSE)</f>
        <v>L-&gt;R</v>
      </c>
      <c r="U1221" s="652" t="str">
        <f>VLOOKUP(A1221,'[1]Raw data'!$B:$Z,9,FALSE)</f>
        <v>MVC</v>
      </c>
      <c r="V1221" s="572" t="str">
        <f t="shared" si="266"/>
        <v>WRONG</v>
      </c>
      <c r="W1221" s="568" t="str">
        <f>VLOOKUP(A1221,'[1]Raw data'!$B:$AG,32,FALSE)</f>
        <v>DAP SZ</v>
      </c>
      <c r="X1221" s="652">
        <f>VLOOKUP(A1221,'[1]Raw data'!$B:$BA,31,FALSE)</f>
        <v>44819</v>
      </c>
      <c r="Y1221" s="652" t="str">
        <f>VLOOKUP(A1221,'[1]Raw data'!$B:$AS,39,FALSE)</f>
        <v>Yes</v>
      </c>
      <c r="Z1221" s="671"/>
      <c r="AA1221" s="665"/>
      <c r="AB1221" s="666"/>
      <c r="AC1221" s="652" t="s">
        <v>2366</v>
      </c>
      <c r="AD1221" s="580">
        <v>302</v>
      </c>
      <c r="AE1221" s="580">
        <v>10</v>
      </c>
      <c r="AF1221" s="580"/>
      <c r="AG1221" s="580"/>
      <c r="AH1221" s="580"/>
      <c r="AI1221" s="684"/>
      <c r="AJ1221" s="569"/>
      <c r="AK1221" s="569"/>
      <c r="AL1221" s="569"/>
      <c r="AM1221" s="569"/>
      <c r="AN1221" s="619"/>
      <c r="AO1221" s="829" t="str">
        <f t="shared" si="267"/>
        <v>Yes</v>
      </c>
      <c r="AP1221" s="259" t="str">
        <f t="shared" si="268"/>
        <v>OCT 22</v>
      </c>
      <c r="AQ1221" s="547" t="str">
        <f t="shared" si="269"/>
        <v>有定金+有預留客戶</v>
      </c>
      <c r="AR1221" s="259" t="str">
        <f t="shared" si="270"/>
        <v>Shipped_Stock</v>
      </c>
      <c r="AS1221" s="259" t="str">
        <f t="shared" si="271"/>
        <v/>
      </c>
      <c r="AT1221" s="259" t="str">
        <f t="shared" si="272"/>
        <v>倍斯特</v>
      </c>
      <c r="AU1221" s="259" t="str">
        <f t="shared" si="273"/>
        <v>C49SZX20220096JL</v>
      </c>
      <c r="AV1221" s="259" t="str">
        <f t="shared" si="274"/>
        <v>Jun-27</v>
      </c>
    </row>
    <row r="1222" spans="1:48" ht="23.25" hidden="1" thickBot="1">
      <c r="A1222" s="604">
        <v>1722</v>
      </c>
      <c r="B1222" s="669" t="s">
        <v>1125</v>
      </c>
      <c r="C1222" s="669" t="s">
        <v>281</v>
      </c>
      <c r="D1222" s="629">
        <v>110919</v>
      </c>
      <c r="E1222" s="793" t="s">
        <v>2358</v>
      </c>
      <c r="F1222" s="652" t="s">
        <v>17</v>
      </c>
      <c r="G1222" s="652" t="s">
        <v>18</v>
      </c>
      <c r="H1222" s="652" t="s">
        <v>102</v>
      </c>
      <c r="I1222" s="580" t="s">
        <v>2367</v>
      </c>
      <c r="J1222" s="580">
        <v>1</v>
      </c>
      <c r="K1222" s="652" t="s">
        <v>1419</v>
      </c>
      <c r="L1222" s="754">
        <v>44739</v>
      </c>
      <c r="M1222" s="670" t="s">
        <v>2365</v>
      </c>
      <c r="N1222" s="652" t="s">
        <v>205</v>
      </c>
      <c r="O1222" s="580">
        <v>2022.6</v>
      </c>
      <c r="P1222" s="670" t="str">
        <f>VLOOKUP(A1222,'[1]Raw data'!$B:$BA,23,FALSE)</f>
        <v>JPY</v>
      </c>
      <c r="Q1222" s="652" t="str">
        <f>VLOOKUP(A1222,'[1]Raw data'!$B:$Z,2,FALSE)</f>
        <v>C49SZX20220096JL</v>
      </c>
      <c r="R1222" s="652" t="str">
        <f>VLOOKUP(A1222,'[1]Raw data'!$B:$Z,3,FALSE)</f>
        <v>倍斯特</v>
      </c>
      <c r="S1222" s="652" t="str">
        <f>VLOOKUP(A1222,'[1]Raw data'!$B:$Z,4,FALSE)</f>
        <v>YSM10</v>
      </c>
      <c r="T1222" s="652" t="str">
        <f>VLOOKUP(A1222,'[1]Raw data'!$B:$Z,8,FALSE)</f>
        <v>R-&gt;L</v>
      </c>
      <c r="U1222" s="652" t="str">
        <f>VLOOKUP(A1222,'[1]Raw data'!$B:$Z,9,FALSE)</f>
        <v>MVC</v>
      </c>
      <c r="V1222" s="572" t="str">
        <f t="shared" si="266"/>
        <v>WRONG</v>
      </c>
      <c r="W1222" s="568" t="str">
        <f>VLOOKUP(A1222,'[1]Raw data'!$B:$AG,32,FALSE)</f>
        <v>DAP SZ</v>
      </c>
      <c r="X1222" s="652">
        <f>VLOOKUP(A1222,'[1]Raw data'!$B:$BA,31,FALSE)</f>
        <v>44819</v>
      </c>
      <c r="Y1222" s="652" t="str">
        <f>VLOOKUP(A1222,'[1]Raw data'!$B:$AS,39,FALSE)</f>
        <v>Yes</v>
      </c>
      <c r="Z1222" s="671"/>
      <c r="AA1222" s="665"/>
      <c r="AB1222" s="666"/>
      <c r="AC1222" s="652" t="s">
        <v>2366</v>
      </c>
      <c r="AD1222" s="580">
        <v>302</v>
      </c>
      <c r="AE1222" s="580">
        <v>10</v>
      </c>
      <c r="AF1222" s="580"/>
      <c r="AG1222" s="580"/>
      <c r="AH1222" s="580"/>
      <c r="AI1222" s="684"/>
      <c r="AJ1222" s="569"/>
      <c r="AK1222" s="569"/>
      <c r="AL1222" s="569"/>
      <c r="AM1222" s="569"/>
      <c r="AN1222" s="619"/>
      <c r="AO1222" s="829" t="str">
        <f t="shared" si="267"/>
        <v>Yes</v>
      </c>
      <c r="AP1222" s="259" t="str">
        <f t="shared" si="268"/>
        <v>OCT 22</v>
      </c>
      <c r="AQ1222" s="547" t="str">
        <f t="shared" si="269"/>
        <v>有定金+有預留客戶</v>
      </c>
      <c r="AR1222" s="259" t="str">
        <f t="shared" si="270"/>
        <v>Shipped_Stock</v>
      </c>
      <c r="AS1222" s="259" t="str">
        <f t="shared" si="271"/>
        <v/>
      </c>
      <c r="AT1222" s="259" t="str">
        <f t="shared" si="272"/>
        <v>倍斯特</v>
      </c>
      <c r="AU1222" s="259" t="str">
        <f t="shared" si="273"/>
        <v>C49SZX20220096JL</v>
      </c>
      <c r="AV1222" s="259" t="str">
        <f t="shared" si="274"/>
        <v>Jun-27</v>
      </c>
    </row>
    <row r="1223" spans="1:48" ht="13.5" hidden="1" thickBot="1">
      <c r="A1223" s="604">
        <v>1723</v>
      </c>
      <c r="B1223" s="669" t="s">
        <v>1125</v>
      </c>
      <c r="C1223" s="669" t="s">
        <v>281</v>
      </c>
      <c r="D1223" s="794">
        <v>110919</v>
      </c>
      <c r="E1223" s="793" t="s">
        <v>2358</v>
      </c>
      <c r="F1223" s="652" t="s">
        <v>17</v>
      </c>
      <c r="G1223" s="652" t="s">
        <v>18</v>
      </c>
      <c r="H1223" s="652" t="s">
        <v>102</v>
      </c>
      <c r="I1223" s="580" t="s">
        <v>2368</v>
      </c>
      <c r="J1223" s="580">
        <v>1</v>
      </c>
      <c r="K1223" s="652" t="s">
        <v>1419</v>
      </c>
      <c r="L1223" s="754">
        <v>44739</v>
      </c>
      <c r="M1223" s="670" t="s">
        <v>2369</v>
      </c>
      <c r="N1223" s="652" t="s">
        <v>205</v>
      </c>
      <c r="O1223" s="580">
        <v>2022.6</v>
      </c>
      <c r="P1223" s="670" t="str">
        <f>VLOOKUP(A1223,'[1]Raw data'!$B:$BA,23,FALSE)</f>
        <v>JPY</v>
      </c>
      <c r="Q1223" s="652" t="str">
        <f>VLOOKUP(A1223,'[1]Raw data'!$B:$Z,2,FALSE)</f>
        <v>C49SZX20220096JL</v>
      </c>
      <c r="R1223" s="652" t="str">
        <f>VLOOKUP(A1223,'[1]Raw data'!$B:$Z,3,FALSE)</f>
        <v>倍斯特</v>
      </c>
      <c r="S1223" s="652" t="str">
        <f>VLOOKUP(A1223,'[1]Raw data'!$B:$Z,4,FALSE)</f>
        <v>YSM10</v>
      </c>
      <c r="T1223" s="652" t="str">
        <f>VLOOKUP(A1223,'[1]Raw data'!$B:$Z,8,FALSE)</f>
        <v>R-&gt;L</v>
      </c>
      <c r="U1223" s="652" t="str">
        <f>VLOOKUP(A1223,'[1]Raw data'!$B:$Z,9,FALSE)</f>
        <v>MVC</v>
      </c>
      <c r="V1223" s="572" t="str">
        <f t="shared" si="266"/>
        <v>WRONG</v>
      </c>
      <c r="W1223" s="568" t="str">
        <f>VLOOKUP(A1223,'[1]Raw data'!$B:$AG,32,FALSE)</f>
        <v>DAP SZ</v>
      </c>
      <c r="X1223" s="652">
        <f>VLOOKUP(A1223,'[1]Raw data'!$B:$BA,31,FALSE)</f>
        <v>44819</v>
      </c>
      <c r="Y1223" s="652" t="str">
        <f>VLOOKUP(A1223,'[1]Raw data'!$B:$AS,39,FALSE)</f>
        <v>Yes</v>
      </c>
      <c r="Z1223" s="671"/>
      <c r="AA1223" s="665"/>
      <c r="AB1223" s="666"/>
      <c r="AC1223" s="652" t="s">
        <v>2366</v>
      </c>
      <c r="AD1223" s="580">
        <v>302</v>
      </c>
      <c r="AE1223" s="580">
        <v>10</v>
      </c>
      <c r="AF1223" s="580"/>
      <c r="AG1223" s="580"/>
      <c r="AH1223" s="580"/>
      <c r="AI1223" s="684"/>
      <c r="AJ1223" s="569"/>
      <c r="AK1223" s="569"/>
      <c r="AL1223" s="569"/>
      <c r="AM1223" s="569"/>
      <c r="AN1223" s="619"/>
      <c r="AO1223" s="829" t="str">
        <f t="shared" si="267"/>
        <v>Yes</v>
      </c>
      <c r="AP1223" s="259" t="str">
        <f t="shared" si="268"/>
        <v>OCT 22</v>
      </c>
      <c r="AQ1223" s="547" t="str">
        <f t="shared" si="269"/>
        <v>有定金+有預留客戶</v>
      </c>
      <c r="AR1223" s="259" t="str">
        <f t="shared" si="270"/>
        <v>Shipped_Stock</v>
      </c>
      <c r="AS1223" s="259" t="str">
        <f t="shared" si="271"/>
        <v/>
      </c>
      <c r="AT1223" s="259" t="str">
        <f t="shared" si="272"/>
        <v>倍斯特</v>
      </c>
      <c r="AU1223" s="259" t="str">
        <f t="shared" si="273"/>
        <v>C49SZX20220096JL</v>
      </c>
      <c r="AV1223" s="259" t="str">
        <f t="shared" si="274"/>
        <v>Jun-27</v>
      </c>
    </row>
    <row r="1224" spans="1:48" hidden="1">
      <c r="A1224" s="604">
        <v>1746</v>
      </c>
      <c r="B1224" s="669" t="s">
        <v>1125</v>
      </c>
      <c r="C1224" s="669" t="s">
        <v>281</v>
      </c>
      <c r="D1224" s="766">
        <v>110923</v>
      </c>
      <c r="E1224" s="749" t="s">
        <v>2370</v>
      </c>
      <c r="F1224" s="652" t="s">
        <v>17</v>
      </c>
      <c r="G1224" s="652" t="s">
        <v>18</v>
      </c>
      <c r="H1224" s="652" t="s">
        <v>102</v>
      </c>
      <c r="I1224" s="580" t="s">
        <v>2371</v>
      </c>
      <c r="J1224" s="580">
        <v>1</v>
      </c>
      <c r="K1224" s="652" t="s">
        <v>1419</v>
      </c>
      <c r="L1224" s="662">
        <v>44746</v>
      </c>
      <c r="M1224" s="670" t="s">
        <v>2339</v>
      </c>
      <c r="N1224" s="652" t="s">
        <v>205</v>
      </c>
      <c r="O1224" s="580">
        <v>2022.6</v>
      </c>
      <c r="P1224" s="670" t="str">
        <f>VLOOKUP(A1224,'[1]Raw data'!$B:$BA,23,FALSE)</f>
        <v>RMB</v>
      </c>
      <c r="Q1224" s="652" t="str">
        <f>VLOOKUP(A1224,'[1]Raw data'!$B:$Z,2,FALSE)</f>
        <v>C49SZX20220108SX</v>
      </c>
      <c r="R1224" s="652" t="str">
        <f>VLOOKUP(A1224,'[1]Raw data'!$B:$Z,3,FALSE)</f>
        <v>赛朗斯</v>
      </c>
      <c r="S1224" s="652" t="str">
        <f>VLOOKUP(A1224,'[1]Raw data'!$B:$Z,4,FALSE)</f>
        <v>YSM10</v>
      </c>
      <c r="T1224" s="652" t="str">
        <f>VLOOKUP(A1224,'[1]Raw data'!$B:$Z,8,FALSE)</f>
        <v>R-&gt;L</v>
      </c>
      <c r="U1224" s="652" t="str">
        <f>VLOOKUP(A1224,'[1]Raw data'!$B:$Z,9,FALSE)</f>
        <v>MVC</v>
      </c>
      <c r="V1224" s="572" t="str">
        <f t="shared" si="266"/>
        <v>WRONG</v>
      </c>
      <c r="W1224" s="568" t="str">
        <f>VLOOKUP(A1224,'[1]Raw data'!$B:$AG,32,FALSE)</f>
        <v>DDP FS</v>
      </c>
      <c r="X1224" s="652">
        <f>VLOOKUP(A1224,'[1]Raw data'!$B:$BA,31,FALSE)</f>
        <v>44846</v>
      </c>
      <c r="Y1224" s="652" t="str">
        <f>VLOOKUP(A1224,'[1]Raw data'!$B:$AS,39,FALSE)</f>
        <v>Yes</v>
      </c>
      <c r="Z1224" s="671"/>
      <c r="AA1224" s="665"/>
      <c r="AB1224" s="666"/>
      <c r="AC1224" s="652" t="s">
        <v>1372</v>
      </c>
      <c r="AD1224" s="580">
        <v>313</v>
      </c>
      <c r="AE1224" s="580">
        <v>10</v>
      </c>
      <c r="AF1224" s="580"/>
      <c r="AG1224" s="580"/>
      <c r="AH1224" s="580"/>
      <c r="AI1224" s="684"/>
      <c r="AJ1224" s="569"/>
      <c r="AK1224" s="569"/>
      <c r="AL1224" s="569"/>
      <c r="AM1224" s="569"/>
      <c r="AN1224" s="619"/>
      <c r="AO1224" s="829" t="str">
        <f t="shared" si="267"/>
        <v>Yes</v>
      </c>
      <c r="AP1224" s="259" t="str">
        <f t="shared" si="268"/>
        <v>OCT 22</v>
      </c>
      <c r="AQ1224" s="547" t="str">
        <f t="shared" si="269"/>
        <v>有定金+有預留客戶</v>
      </c>
      <c r="AR1224" s="259" t="str">
        <f t="shared" si="270"/>
        <v>Shipped_Stock</v>
      </c>
      <c r="AS1224" s="259" t="str">
        <f t="shared" si="271"/>
        <v/>
      </c>
      <c r="AT1224" s="259" t="str">
        <f t="shared" si="272"/>
        <v>赛朗斯</v>
      </c>
      <c r="AU1224" s="259" t="str">
        <f t="shared" si="273"/>
        <v>C49SZX20220108SX</v>
      </c>
      <c r="AV1224" s="259" t="str">
        <f t="shared" si="274"/>
        <v>Jul-04</v>
      </c>
    </row>
    <row r="1225" spans="1:48" ht="22.5" hidden="1">
      <c r="A1225" s="604">
        <v>1763</v>
      </c>
      <c r="B1225" s="669" t="s">
        <v>1125</v>
      </c>
      <c r="C1225" s="669" t="s">
        <v>281</v>
      </c>
      <c r="D1225" s="760">
        <v>110923</v>
      </c>
      <c r="E1225" s="749" t="s">
        <v>2370</v>
      </c>
      <c r="F1225" s="652" t="s">
        <v>17</v>
      </c>
      <c r="G1225" s="652" t="s">
        <v>18</v>
      </c>
      <c r="H1225" s="652" t="s">
        <v>102</v>
      </c>
      <c r="I1225" s="580" t="s">
        <v>2372</v>
      </c>
      <c r="J1225" s="580">
        <v>1</v>
      </c>
      <c r="K1225" s="652" t="s">
        <v>1419</v>
      </c>
      <c r="L1225" s="662">
        <v>44746</v>
      </c>
      <c r="M1225" s="670" t="s">
        <v>2373</v>
      </c>
      <c r="N1225" s="652" t="s">
        <v>220</v>
      </c>
      <c r="O1225" s="580">
        <v>2022.6</v>
      </c>
      <c r="P1225" s="670" t="str">
        <f>VLOOKUP(A1225,'[1]Raw data'!$B:$BA,23,FALSE)</f>
        <v>RMB</v>
      </c>
      <c r="Q1225" s="652" t="str">
        <f>VLOOKUP(A1225,'[1]Raw data'!$B:$Z,2,FALSE)</f>
        <v>C49SZX20220122SX</v>
      </c>
      <c r="R1225" s="652" t="str">
        <f>VLOOKUP(A1225,'[1]Raw data'!$B:$Z,3,FALSE)</f>
        <v>莫思特</v>
      </c>
      <c r="S1225" s="652" t="str">
        <f>VLOOKUP(A1225,'[1]Raw data'!$B:$Z,4,FALSE)</f>
        <v>YSM10</v>
      </c>
      <c r="T1225" s="652" t="str">
        <f>VLOOKUP(A1225,'[1]Raw data'!$B:$Z,8,FALSE)</f>
        <v>L-&gt;R</v>
      </c>
      <c r="U1225" s="652" t="str">
        <f>VLOOKUP(A1225,'[1]Raw data'!$B:$Z,9,FALSE)</f>
        <v>MVC</v>
      </c>
      <c r="V1225" s="572" t="str">
        <f t="shared" si="266"/>
        <v>WRONG</v>
      </c>
      <c r="W1225" s="568" t="str">
        <f>VLOOKUP(A1225,'[1]Raw data'!$B:$AG,32,FALSE)</f>
        <v>DDP HZ</v>
      </c>
      <c r="X1225" s="652">
        <f>VLOOKUP(A1225,'[1]Raw data'!$B:$BA,31,FALSE)</f>
        <v>44887</v>
      </c>
      <c r="Y1225" s="652" t="str">
        <f>VLOOKUP(A1225,'[1]Raw data'!$B:$AS,39,FALSE)</f>
        <v>Yes</v>
      </c>
      <c r="Z1225" s="671"/>
      <c r="AA1225" s="665"/>
      <c r="AB1225" s="666"/>
      <c r="AC1225" s="652" t="s">
        <v>2374</v>
      </c>
      <c r="AD1225" s="580">
        <v>304</v>
      </c>
      <c r="AE1225" s="580">
        <v>10</v>
      </c>
      <c r="AF1225" s="580"/>
      <c r="AG1225" s="580"/>
      <c r="AH1225" s="580"/>
      <c r="AI1225" s="684"/>
      <c r="AJ1225" s="569"/>
      <c r="AK1225" s="569"/>
      <c r="AL1225" s="569"/>
      <c r="AM1225" s="569"/>
      <c r="AN1225" s="619"/>
      <c r="AO1225" s="829" t="str">
        <f t="shared" si="267"/>
        <v>Yes</v>
      </c>
      <c r="AP1225" s="259" t="str">
        <f t="shared" si="268"/>
        <v>DEC 22</v>
      </c>
      <c r="AQ1225" s="547" t="str">
        <f t="shared" si="269"/>
        <v>有定金+有預留客戶</v>
      </c>
      <c r="AR1225" s="259" t="str">
        <f t="shared" si="270"/>
        <v>Shipped_Stock</v>
      </c>
      <c r="AS1225" s="259" t="str">
        <f t="shared" si="271"/>
        <v/>
      </c>
      <c r="AT1225" s="259" t="str">
        <f t="shared" si="272"/>
        <v>莫思特</v>
      </c>
      <c r="AU1225" s="259" t="str">
        <f t="shared" si="273"/>
        <v>C49SZX20220122SX</v>
      </c>
      <c r="AV1225" s="259" t="str">
        <f t="shared" si="274"/>
        <v>Jul-04</v>
      </c>
    </row>
    <row r="1226" spans="1:48" ht="16.5" hidden="1">
      <c r="A1226" s="604">
        <v>1672</v>
      </c>
      <c r="B1226" s="669" t="s">
        <v>1125</v>
      </c>
      <c r="C1226" s="669" t="s">
        <v>281</v>
      </c>
      <c r="D1226" s="760">
        <v>110917</v>
      </c>
      <c r="E1226" s="765" t="s">
        <v>2350</v>
      </c>
      <c r="F1226" s="652" t="s">
        <v>58</v>
      </c>
      <c r="G1226" s="652" t="s">
        <v>18</v>
      </c>
      <c r="H1226" s="652" t="s">
        <v>26</v>
      </c>
      <c r="I1226" s="580" t="s">
        <v>2375</v>
      </c>
      <c r="J1226" s="580">
        <v>1</v>
      </c>
      <c r="K1226" s="652" t="s">
        <v>85</v>
      </c>
      <c r="L1226" s="662">
        <v>44746</v>
      </c>
      <c r="M1226" s="670">
        <v>5.0299999999999997E-2</v>
      </c>
      <c r="N1226" s="652" t="s">
        <v>2231</v>
      </c>
      <c r="O1226" s="580">
        <v>2022.6</v>
      </c>
      <c r="P1226" s="670" t="str">
        <f>VLOOKUP(A1226,'[1]Raw data'!$B:$BA,23,FALSE)</f>
        <v>JPY</v>
      </c>
      <c r="Q1226" s="652" t="str">
        <f>VLOOKUP(A1226,'[1]Raw data'!$B:$Z,2,FALSE)</f>
        <v>C49SZX20220060DZ</v>
      </c>
      <c r="R1226" s="652" t="str">
        <f>VLOOKUP(A1226,'[1]Raw data'!$B:$Z,3,FALSE)</f>
        <v>方案集</v>
      </c>
      <c r="S1226" s="652" t="str">
        <f>VLOOKUP(A1226,'[1]Raw data'!$B:$Z,4,FALSE)</f>
        <v>YSM20R-2</v>
      </c>
      <c r="T1226" s="652" t="str">
        <f>VLOOKUP(A1226,'[1]Raw data'!$B:$Z,8,FALSE)</f>
        <v>R-&gt;L</v>
      </c>
      <c r="U1226" s="652" t="str">
        <f>VLOOKUP(A1226,'[1]Raw data'!$B:$Z,9,FALSE)</f>
        <v>No</v>
      </c>
      <c r="V1226" s="572" t="str">
        <f t="shared" ref="V1226:V1228" si="275">IF(G1226&amp;H1226=T1226&amp;U1226,"OK","WRONG")</f>
        <v>OK</v>
      </c>
      <c r="W1226" s="568" t="str">
        <f>VLOOKUP(A1226,'[1]Raw data'!$B:$AG,32,FALSE)</f>
        <v>CIF HK</v>
      </c>
      <c r="X1226" s="652">
        <f>VLOOKUP(A1226,'[1]Raw data'!$B:$BA,31,FALSE)</f>
        <v>44705</v>
      </c>
      <c r="Y1226" s="652" t="str">
        <f>VLOOKUP(A1226,'[1]Raw data'!$B:$AS,39,FALSE)</f>
        <v>Yes</v>
      </c>
      <c r="Z1226" s="664"/>
      <c r="AA1226" s="665"/>
      <c r="AB1226" s="666"/>
      <c r="AC1226" s="652" t="s">
        <v>1165</v>
      </c>
      <c r="AD1226" s="580">
        <v>301</v>
      </c>
      <c r="AE1226" s="580">
        <v>20</v>
      </c>
      <c r="AF1226" s="580"/>
      <c r="AG1226" s="580"/>
      <c r="AH1226" s="580"/>
      <c r="AI1226" s="684"/>
      <c r="AJ1226" s="569"/>
      <c r="AK1226" s="569"/>
      <c r="AL1226" s="569"/>
      <c r="AM1226" s="569"/>
      <c r="AN1226" s="619"/>
      <c r="AO1226" s="829" t="str">
        <f t="shared" si="267"/>
        <v>Yes</v>
      </c>
      <c r="AP1226" s="259" t="str">
        <f t="shared" si="268"/>
        <v>JUL 22</v>
      </c>
      <c r="AQ1226" s="547" t="str">
        <f t="shared" si="269"/>
        <v>有定金+有預留客戶</v>
      </c>
      <c r="AR1226" s="259" t="str">
        <f t="shared" si="270"/>
        <v>Shipped_Stock</v>
      </c>
      <c r="AS1226" s="259" t="str">
        <f t="shared" si="271"/>
        <v/>
      </c>
      <c r="AT1226" s="259" t="str">
        <f t="shared" si="272"/>
        <v>方案集</v>
      </c>
      <c r="AU1226" s="259" t="str">
        <f t="shared" si="273"/>
        <v>C49SZX20220060DZ</v>
      </c>
      <c r="AV1226" s="259" t="str">
        <f t="shared" si="274"/>
        <v>Jul-04</v>
      </c>
    </row>
    <row r="1227" spans="1:48" ht="16.5" hidden="1">
      <c r="A1227" s="564">
        <v>1688</v>
      </c>
      <c r="B1227" s="669" t="s">
        <v>1125</v>
      </c>
      <c r="C1227" s="669" t="s">
        <v>281</v>
      </c>
      <c r="D1227" s="760">
        <v>110917</v>
      </c>
      <c r="E1227" s="765" t="s">
        <v>2350</v>
      </c>
      <c r="F1227" s="652" t="s">
        <v>58</v>
      </c>
      <c r="G1227" s="652" t="s">
        <v>18</v>
      </c>
      <c r="H1227" s="652" t="s">
        <v>26</v>
      </c>
      <c r="I1227" s="580" t="s">
        <v>2376</v>
      </c>
      <c r="J1227" s="580">
        <v>1</v>
      </c>
      <c r="K1227" s="652" t="s">
        <v>1419</v>
      </c>
      <c r="L1227" s="662">
        <v>44746</v>
      </c>
      <c r="M1227" s="670">
        <v>5.0299999999999997E-2</v>
      </c>
      <c r="N1227" s="652" t="s">
        <v>2231</v>
      </c>
      <c r="O1227" s="580">
        <v>2022.6</v>
      </c>
      <c r="P1227" s="670" t="str">
        <f>VLOOKUP(A1227,'[1]Raw data'!$B:$BA,23,FALSE)</f>
        <v>RMB</v>
      </c>
      <c r="Q1227" s="652" t="str">
        <f>VLOOKUP(A1227,'[1]Raw data'!$B:$Z,2,FALSE)</f>
        <v>C49SZX20220072DZ</v>
      </c>
      <c r="R1227" s="652" t="str">
        <f>VLOOKUP(A1227,'[1]Raw data'!$B:$Z,3,FALSE)</f>
        <v>朗特</v>
      </c>
      <c r="S1227" s="652" t="str">
        <f>VLOOKUP(A1227,'[1]Raw data'!$B:$Z,4,FALSE)</f>
        <v>YSM20R-2</v>
      </c>
      <c r="T1227" s="652" t="str">
        <f>VLOOKUP(A1227,'[1]Raw data'!$B:$Z,8,FALSE)</f>
        <v>R-&gt;L</v>
      </c>
      <c r="U1227" s="652" t="str">
        <f>VLOOKUP(A1227,'[1]Raw data'!$B:$Z,9,FALSE)</f>
        <v>No</v>
      </c>
      <c r="V1227" s="572" t="str">
        <f t="shared" si="275"/>
        <v>OK</v>
      </c>
      <c r="W1227" s="568" t="str">
        <f>VLOOKUP(A1227,'[1]Raw data'!$B:$AG,32,FALSE)</f>
        <v>DDP SZ</v>
      </c>
      <c r="X1227" s="652">
        <f>VLOOKUP(A1227,'[1]Raw data'!$B:$BA,31,FALSE)</f>
        <v>44734</v>
      </c>
      <c r="Y1227" s="652" t="str">
        <f>VLOOKUP(A1227,'[1]Raw data'!$B:$AS,39,FALSE)</f>
        <v>Yes</v>
      </c>
      <c r="Z1227" s="664"/>
      <c r="AA1227" s="665"/>
      <c r="AB1227" s="666"/>
      <c r="AC1227" s="652" t="s">
        <v>2174</v>
      </c>
      <c r="AD1227" s="667">
        <v>311</v>
      </c>
      <c r="AE1227" s="667">
        <v>20</v>
      </c>
      <c r="AF1227" s="667"/>
      <c r="AG1227" s="667"/>
      <c r="AH1227" s="667"/>
      <c r="AI1227" s="668"/>
      <c r="AN1227" s="547"/>
      <c r="AO1227" s="829" t="str">
        <f t="shared" si="267"/>
        <v>Yes</v>
      </c>
      <c r="AP1227" s="259" t="str">
        <f t="shared" si="268"/>
        <v>JUL 22</v>
      </c>
      <c r="AQ1227" s="547" t="str">
        <f t="shared" si="269"/>
        <v>有定金+有預留客戶</v>
      </c>
      <c r="AR1227" s="259" t="str">
        <f t="shared" si="270"/>
        <v>Shipped_Stock</v>
      </c>
      <c r="AS1227" s="259" t="str">
        <f t="shared" si="271"/>
        <v/>
      </c>
      <c r="AT1227" s="259" t="str">
        <f t="shared" si="272"/>
        <v>朗特</v>
      </c>
      <c r="AU1227" s="259" t="str">
        <f t="shared" si="273"/>
        <v>C49SZX20220072DZ</v>
      </c>
      <c r="AV1227" s="259" t="str">
        <f t="shared" si="274"/>
        <v>Jul-04</v>
      </c>
    </row>
    <row r="1228" spans="1:48" ht="17.25" hidden="1" thickBot="1">
      <c r="A1228" s="604">
        <v>1695</v>
      </c>
      <c r="B1228" s="669" t="s">
        <v>1125</v>
      </c>
      <c r="C1228" s="669" t="s">
        <v>281</v>
      </c>
      <c r="D1228" s="629">
        <v>110917</v>
      </c>
      <c r="E1228" s="765" t="s">
        <v>2350</v>
      </c>
      <c r="F1228" s="652" t="s">
        <v>58</v>
      </c>
      <c r="G1228" s="652" t="s">
        <v>18</v>
      </c>
      <c r="H1228" s="652" t="s">
        <v>26</v>
      </c>
      <c r="I1228" s="580" t="s">
        <v>2377</v>
      </c>
      <c r="J1228" s="580">
        <v>1</v>
      </c>
      <c r="K1228" s="652" t="s">
        <v>1419</v>
      </c>
      <c r="L1228" s="662">
        <v>44746</v>
      </c>
      <c r="M1228" s="670" t="s">
        <v>2331</v>
      </c>
      <c r="N1228" s="652" t="s">
        <v>2231</v>
      </c>
      <c r="O1228" s="580">
        <v>2022.6</v>
      </c>
      <c r="P1228" s="670" t="str">
        <f>VLOOKUP(A1228,'[1]Raw data'!$B:$BA,23,FALSE)</f>
        <v>RMB</v>
      </c>
      <c r="Q1228" s="652" t="str">
        <f>VLOOKUP(A1228,'[1]Raw data'!$B:$Z,2,FALSE)</f>
        <v>C49SZX20220077SS</v>
      </c>
      <c r="R1228" s="652" t="str">
        <f>VLOOKUP(A1228,'[1]Raw data'!$B:$Z,3,FALSE)</f>
        <v>世启纳</v>
      </c>
      <c r="S1228" s="652" t="str">
        <f>VLOOKUP(A1228,'[1]Raw data'!$B:$Z,4,FALSE)</f>
        <v>YSM20R-2</v>
      </c>
      <c r="T1228" s="652" t="str">
        <f>VLOOKUP(A1228,'[1]Raw data'!$B:$Z,8,FALSE)</f>
        <v>R-&gt;L</v>
      </c>
      <c r="U1228" s="652" t="str">
        <f>VLOOKUP(A1228,'[1]Raw data'!$B:$Z,9,FALSE)</f>
        <v>No</v>
      </c>
      <c r="V1228" s="572" t="str">
        <f t="shared" si="275"/>
        <v>OK</v>
      </c>
      <c r="W1228" s="568" t="str">
        <f>VLOOKUP(A1228,'[1]Raw data'!$B:$AG,32,FALSE)</f>
        <v>DDP SZ</v>
      </c>
      <c r="X1228" s="652">
        <f>VLOOKUP(A1228,'[1]Raw data'!$B:$BA,31,FALSE)</f>
        <v>44747</v>
      </c>
      <c r="Y1228" s="652" t="str">
        <f>VLOOKUP(A1228,'[1]Raw data'!$B:$AS,39,FALSE)</f>
        <v>Yes</v>
      </c>
      <c r="Z1228" s="664"/>
      <c r="AA1228" s="665"/>
      <c r="AB1228" s="666"/>
      <c r="AC1228" s="652" t="s">
        <v>2038</v>
      </c>
      <c r="AD1228" s="580">
        <v>302</v>
      </c>
      <c r="AE1228" s="580">
        <v>20</v>
      </c>
      <c r="AF1228" s="580"/>
      <c r="AG1228" s="580"/>
      <c r="AH1228" s="580"/>
      <c r="AI1228" s="684"/>
      <c r="AJ1228" s="569"/>
      <c r="AK1228" s="569"/>
      <c r="AL1228" s="569"/>
      <c r="AM1228" s="569"/>
      <c r="AN1228" s="619"/>
      <c r="AO1228" s="829" t="str">
        <f t="shared" si="267"/>
        <v>Yes</v>
      </c>
      <c r="AP1228" s="259" t="str">
        <f t="shared" si="268"/>
        <v>JUL 22</v>
      </c>
      <c r="AQ1228" s="547" t="str">
        <f t="shared" si="269"/>
        <v>有定金+有預留客戶</v>
      </c>
      <c r="AR1228" s="259" t="str">
        <f t="shared" si="270"/>
        <v>Shipped_Stock</v>
      </c>
      <c r="AS1228" s="259" t="str">
        <f t="shared" si="271"/>
        <v/>
      </c>
      <c r="AT1228" s="259" t="str">
        <f t="shared" si="272"/>
        <v>世启纳</v>
      </c>
      <c r="AU1228" s="259" t="str">
        <f t="shared" si="273"/>
        <v>C49SZX20220077SS</v>
      </c>
      <c r="AV1228" s="259" t="str">
        <f t="shared" si="274"/>
        <v>Jul-04</v>
      </c>
    </row>
    <row r="1229" spans="1:48" hidden="1">
      <c r="A1229" s="604">
        <v>1715</v>
      </c>
      <c r="B1229" s="669" t="s">
        <v>1125</v>
      </c>
      <c r="C1229" s="669" t="s">
        <v>281</v>
      </c>
      <c r="D1229" s="766">
        <v>110931</v>
      </c>
      <c r="E1229" s="749" t="s">
        <v>2378</v>
      </c>
      <c r="F1229" s="652" t="s">
        <v>17</v>
      </c>
      <c r="G1229" s="652" t="s">
        <v>18</v>
      </c>
      <c r="H1229" s="652" t="s">
        <v>27</v>
      </c>
      <c r="I1229" s="580" t="s">
        <v>2379</v>
      </c>
      <c r="J1229" s="580">
        <v>1</v>
      </c>
      <c r="K1229" s="652" t="s">
        <v>1419</v>
      </c>
      <c r="L1229" s="662">
        <v>44746</v>
      </c>
      <c r="M1229" s="670" t="s">
        <v>2324</v>
      </c>
      <c r="N1229" s="652" t="s">
        <v>221</v>
      </c>
      <c r="O1229" s="580">
        <v>2022.6</v>
      </c>
      <c r="P1229" s="670" t="str">
        <f>VLOOKUP(A1229,'[1]Raw data'!$B:$BA,23,FALSE)</f>
        <v>RMB</v>
      </c>
      <c r="Q1229" s="652" t="str">
        <f>VLOOKUP(A1229,'[1]Raw data'!$B:$Z,2,FALSE)</f>
        <v>C49SZX20220088SX</v>
      </c>
      <c r="R1229" s="652" t="str">
        <f>VLOOKUP(A1229,'[1]Raw data'!$B:$Z,3,FALSE)</f>
        <v>安林</v>
      </c>
      <c r="S1229" s="652" t="str">
        <f>VLOOKUP(A1229,'[1]Raw data'!$B:$Z,4,FALSE)</f>
        <v>YSM10</v>
      </c>
      <c r="T1229" s="652" t="str">
        <f>VLOOKUP(A1229,'[1]Raw data'!$B:$Z,8,FALSE)</f>
        <v>L-&gt;R</v>
      </c>
      <c r="U1229" s="652" t="str">
        <f>VLOOKUP(A1229,'[1]Raw data'!$B:$Z,9,FALSE)</f>
        <v>MVC</v>
      </c>
      <c r="V1229" s="572" t="str">
        <f t="shared" si="265"/>
        <v>WRONG</v>
      </c>
      <c r="W1229" s="568" t="str">
        <f>VLOOKUP(A1229,'[1]Raw data'!$B:$AG,32,FALSE)</f>
        <v>DDP SZ</v>
      </c>
      <c r="X1229" s="652">
        <f>VLOOKUP(A1229,'[1]Raw data'!$B:$BA,31,FALSE)</f>
        <v>44783</v>
      </c>
      <c r="Y1229" s="652" t="str">
        <f>VLOOKUP(A1229,'[1]Raw data'!$B:$AS,39,FALSE)</f>
        <v>Yes</v>
      </c>
      <c r="Z1229" s="664"/>
      <c r="AA1229" s="665"/>
      <c r="AB1229" s="666"/>
      <c r="AC1229" s="652" t="s">
        <v>287</v>
      </c>
      <c r="AD1229" s="580">
        <v>301</v>
      </c>
      <c r="AE1229" s="580">
        <v>5</v>
      </c>
      <c r="AF1229" s="580">
        <v>302</v>
      </c>
      <c r="AG1229" s="580">
        <v>2</v>
      </c>
      <c r="AH1229" s="580">
        <v>303</v>
      </c>
      <c r="AI1229" s="684">
        <v>2</v>
      </c>
      <c r="AJ1229" s="580">
        <v>304</v>
      </c>
      <c r="AK1229" s="569">
        <v>1</v>
      </c>
      <c r="AL1229" s="569"/>
      <c r="AM1229" s="569"/>
      <c r="AN1229" s="619"/>
      <c r="AO1229" s="829" t="str">
        <f t="shared" si="267"/>
        <v>Yes</v>
      </c>
      <c r="AP1229" s="259" t="str">
        <f t="shared" si="268"/>
        <v>AUG 22</v>
      </c>
      <c r="AQ1229" s="547" t="str">
        <f t="shared" si="269"/>
        <v>有定金+有預留客戶</v>
      </c>
      <c r="AR1229" s="259" t="str">
        <f t="shared" si="270"/>
        <v>Shipped_Stock</v>
      </c>
      <c r="AS1229" s="259" t="str">
        <f t="shared" si="271"/>
        <v/>
      </c>
      <c r="AT1229" s="259" t="str">
        <f t="shared" si="272"/>
        <v>安林</v>
      </c>
      <c r="AU1229" s="259" t="str">
        <f t="shared" si="273"/>
        <v>C49SZX20220088SX</v>
      </c>
      <c r="AV1229" s="259" t="str">
        <f t="shared" si="274"/>
        <v>Jul-04</v>
      </c>
    </row>
    <row r="1230" spans="1:48" ht="24.75" hidden="1">
      <c r="A1230" s="604">
        <v>1700</v>
      </c>
      <c r="B1230" s="669" t="s">
        <v>1125</v>
      </c>
      <c r="C1230" s="669" t="s">
        <v>281</v>
      </c>
      <c r="D1230" s="760">
        <v>110931</v>
      </c>
      <c r="E1230" s="749" t="s">
        <v>2378</v>
      </c>
      <c r="F1230" s="652" t="s">
        <v>17</v>
      </c>
      <c r="G1230" s="652" t="s">
        <v>18</v>
      </c>
      <c r="H1230" s="652" t="s">
        <v>27</v>
      </c>
      <c r="I1230" s="756" t="s">
        <v>2380</v>
      </c>
      <c r="J1230" s="580">
        <v>1</v>
      </c>
      <c r="K1230" s="652" t="s">
        <v>1419</v>
      </c>
      <c r="L1230" s="662">
        <v>44746</v>
      </c>
      <c r="M1230" s="670" t="s">
        <v>2324</v>
      </c>
      <c r="N1230" s="652" t="s">
        <v>219</v>
      </c>
      <c r="O1230" s="580">
        <v>2022.6</v>
      </c>
      <c r="P1230" s="670" t="str">
        <f>VLOOKUP(A1230,'[1]Raw data'!$B:$BA,23,FALSE)</f>
        <v>RMB</v>
      </c>
      <c r="Q1230" s="652" t="str">
        <f>VLOOKUP(A1230,'[1]Raw data'!$B:$Z,2,FALSE)</f>
        <v>C49SZX20220079JL</v>
      </c>
      <c r="R1230" s="652" t="str">
        <f>VLOOKUP(A1230,'[1]Raw data'!$B:$Z,3,FALSE)</f>
        <v>铭翔</v>
      </c>
      <c r="S1230" s="652" t="str">
        <f>VLOOKUP(A1230,'[1]Raw data'!$B:$Z,4,FALSE)</f>
        <v>YSM10</v>
      </c>
      <c r="T1230" s="652" t="str">
        <f>VLOOKUP(A1230,'[1]Raw data'!$B:$Z,8,FALSE)</f>
        <v>L-&gt;R</v>
      </c>
      <c r="U1230" s="652" t="str">
        <f>VLOOKUP(A1230,'[1]Raw data'!$B:$Z,9,FALSE)</f>
        <v>MVC</v>
      </c>
      <c r="V1230" s="572" t="str">
        <f t="shared" si="265"/>
        <v>WRONG</v>
      </c>
      <c r="W1230" s="568" t="str">
        <f>VLOOKUP(A1230,'[1]Raw data'!$B:$AG,32,FALSE)</f>
        <v>DDP  DG</v>
      </c>
      <c r="X1230" s="652">
        <f>VLOOKUP(A1230,'[1]Raw data'!$B:$BA,31,FALSE)</f>
        <v>44751</v>
      </c>
      <c r="Y1230" s="652" t="str">
        <f>VLOOKUP(A1230,'[1]Raw data'!$B:$AS,39,FALSE)</f>
        <v>Yes</v>
      </c>
      <c r="Z1230" s="664"/>
      <c r="AA1230" s="665"/>
      <c r="AB1230" s="666"/>
      <c r="AC1230" s="652" t="s">
        <v>772</v>
      </c>
      <c r="AD1230" s="580">
        <v>301</v>
      </c>
      <c r="AE1230" s="580">
        <v>5</v>
      </c>
      <c r="AF1230" s="580">
        <v>302</v>
      </c>
      <c r="AG1230" s="580">
        <v>2</v>
      </c>
      <c r="AH1230" s="580">
        <v>303</v>
      </c>
      <c r="AI1230" s="684">
        <v>2</v>
      </c>
      <c r="AJ1230" s="580">
        <v>304</v>
      </c>
      <c r="AK1230" s="569">
        <v>1</v>
      </c>
      <c r="AL1230" s="569"/>
      <c r="AM1230" s="569"/>
      <c r="AN1230" s="619"/>
      <c r="AO1230" s="829" t="str">
        <f t="shared" si="267"/>
        <v>Yes</v>
      </c>
      <c r="AP1230" s="259" t="str">
        <f t="shared" si="268"/>
        <v>SEP 22</v>
      </c>
      <c r="AQ1230" s="547" t="str">
        <f t="shared" si="269"/>
        <v>有定金+有預留客戶</v>
      </c>
      <c r="AR1230" s="259" t="str">
        <f t="shared" si="270"/>
        <v>Shipped_Stock</v>
      </c>
      <c r="AS1230" s="259" t="str">
        <f t="shared" si="271"/>
        <v/>
      </c>
      <c r="AT1230" s="259" t="str">
        <f t="shared" si="272"/>
        <v>铭翔</v>
      </c>
      <c r="AU1230" s="259" t="str">
        <f t="shared" si="273"/>
        <v>C49SZX20220079JL</v>
      </c>
      <c r="AV1230" s="259" t="str">
        <f t="shared" si="274"/>
        <v>Jul-04</v>
      </c>
    </row>
    <row r="1231" spans="1:48" hidden="1">
      <c r="A1231" s="564">
        <v>1730</v>
      </c>
      <c r="B1231" s="669" t="s">
        <v>1125</v>
      </c>
      <c r="C1231" s="669" t="s">
        <v>281</v>
      </c>
      <c r="D1231" s="760">
        <v>110932</v>
      </c>
      <c r="E1231" s="761" t="s">
        <v>2381</v>
      </c>
      <c r="F1231" s="652" t="s">
        <v>17</v>
      </c>
      <c r="G1231" s="652" t="s">
        <v>18</v>
      </c>
      <c r="H1231" s="652" t="s">
        <v>102</v>
      </c>
      <c r="I1231" s="580" t="s">
        <v>2382</v>
      </c>
      <c r="J1231" s="580">
        <v>1</v>
      </c>
      <c r="K1231" s="652" t="s">
        <v>1419</v>
      </c>
      <c r="L1231" s="662">
        <v>44746</v>
      </c>
      <c r="M1231" s="670" t="s">
        <v>2383</v>
      </c>
      <c r="N1231" s="652" t="s">
        <v>220</v>
      </c>
      <c r="O1231" s="580">
        <v>2022.6</v>
      </c>
      <c r="P1231" s="670" t="str">
        <f>VLOOKUP(A1231,'[1]Raw data'!$B:$BA,23,FALSE)</f>
        <v>JPY</v>
      </c>
      <c r="Q1231" s="652" t="str">
        <f>VLOOKUP(A1231,'[1]Raw data'!$B:$Z,2,FALSE)</f>
        <v>C49SZX20220099JY</v>
      </c>
      <c r="R1231" s="652" t="str">
        <f>VLOOKUP(A1231,'[1]Raw data'!$B:$Z,3,FALSE)</f>
        <v>创荣发</v>
      </c>
      <c r="S1231" s="652" t="str">
        <f>VLOOKUP(A1231,'[1]Raw data'!$B:$Z,4,FALSE)</f>
        <v>YSM10</v>
      </c>
      <c r="T1231" s="652" t="str">
        <f>VLOOKUP(A1231,'[1]Raw data'!$B:$Z,8,FALSE)</f>
        <v>R-&gt;L</v>
      </c>
      <c r="U1231" s="652" t="str">
        <f>VLOOKUP(A1231,'[1]Raw data'!$B:$Z,9,FALSE)</f>
        <v>MVC</v>
      </c>
      <c r="V1231" s="572" t="str">
        <f t="shared" si="265"/>
        <v>WRONG</v>
      </c>
      <c r="W1231" s="650"/>
      <c r="X1231" s="652">
        <f>VLOOKUP(A1231,'[1]Raw data'!$B:$BA,31,FALSE)</f>
        <v>44826</v>
      </c>
      <c r="Y1231" s="652" t="str">
        <f>VLOOKUP(A1231,'[1]Raw data'!$B:$AS,39,FALSE)</f>
        <v>Yes</v>
      </c>
      <c r="Z1231" s="671"/>
      <c r="AA1231" s="665"/>
      <c r="AB1231" s="666"/>
      <c r="AC1231" s="652" t="s">
        <v>2384</v>
      </c>
      <c r="AD1231" s="667">
        <v>301</v>
      </c>
      <c r="AE1231" s="667">
        <v>5</v>
      </c>
      <c r="AF1231" s="667">
        <v>302</v>
      </c>
      <c r="AG1231" s="667">
        <v>5</v>
      </c>
      <c r="AH1231" s="667"/>
      <c r="AI1231" s="668"/>
      <c r="AN1231" s="547"/>
      <c r="AO1231" s="829" t="str">
        <f t="shared" si="267"/>
        <v>Yes</v>
      </c>
      <c r="AP1231" s="259" t="str">
        <f t="shared" si="268"/>
        <v>DEC 22</v>
      </c>
      <c r="AQ1231" s="547" t="str">
        <f t="shared" si="269"/>
        <v>有定金+有預留客戶</v>
      </c>
      <c r="AR1231" s="259" t="str">
        <f t="shared" si="270"/>
        <v>Shipped_Stock</v>
      </c>
      <c r="AS1231" s="259" t="str">
        <f t="shared" si="271"/>
        <v/>
      </c>
      <c r="AT1231" s="259" t="str">
        <f t="shared" si="272"/>
        <v>创荣发</v>
      </c>
      <c r="AU1231" s="259" t="str">
        <f t="shared" si="273"/>
        <v>C49SZX20220099JY</v>
      </c>
      <c r="AV1231" s="259" t="str">
        <f t="shared" si="274"/>
        <v>Jul-04</v>
      </c>
    </row>
    <row r="1232" spans="1:48" ht="24.75" hidden="1">
      <c r="A1232" s="564">
        <v>1777</v>
      </c>
      <c r="B1232" s="669" t="s">
        <v>1125</v>
      </c>
      <c r="C1232" s="669" t="s">
        <v>281</v>
      </c>
      <c r="D1232" s="760">
        <v>110965</v>
      </c>
      <c r="E1232" s="741" t="s">
        <v>2321</v>
      </c>
      <c r="F1232" s="652" t="s">
        <v>17</v>
      </c>
      <c r="G1232" s="652" t="s">
        <v>18</v>
      </c>
      <c r="H1232" s="652" t="s">
        <v>26</v>
      </c>
      <c r="I1232" s="580" t="s">
        <v>2385</v>
      </c>
      <c r="J1232" s="580">
        <v>1</v>
      </c>
      <c r="K1232" s="652" t="s">
        <v>1419</v>
      </c>
      <c r="L1232" s="662">
        <v>44746</v>
      </c>
      <c r="M1232" s="670" t="s">
        <v>2386</v>
      </c>
      <c r="N1232" s="652" t="s">
        <v>226</v>
      </c>
      <c r="O1232" s="580">
        <v>2022.6</v>
      </c>
      <c r="P1232" s="670" t="str">
        <f>VLOOKUP(A1232,'[1]Raw data'!$B:$BA,23,FALSE)</f>
        <v>RMB</v>
      </c>
      <c r="Q1232" s="568" t="str">
        <f>VLOOKUP(A1232,'[1]Raw data'!$B:$Z,2,FALSE)</f>
        <v>C49SZX20220132R1ZX(H207006-BET-221214 ESE)</v>
      </c>
      <c r="R1232" s="652" t="str">
        <f>VLOOKUP(A1232,'[1]Raw data'!$B:$Z,3,FALSE)</f>
        <v>海星</v>
      </c>
      <c r="S1232" s="652" t="str">
        <f>VLOOKUP(A1232,'[1]Raw data'!$B:$Z,4,FALSE)</f>
        <v>YSM10</v>
      </c>
      <c r="T1232" s="652" t="str">
        <f>VLOOKUP(A1232,'[1]Raw data'!$B:$Z,8,FALSE)</f>
        <v>L-&gt;R</v>
      </c>
      <c r="U1232" s="652" t="str">
        <f>VLOOKUP(A1232,'[1]Raw data'!$B:$Z,9,FALSE)</f>
        <v>No</v>
      </c>
      <c r="V1232" s="572" t="str">
        <f>IF(G1232&amp;H1232=T1232&amp;U1232,"OK","WRONG")</f>
        <v>WRONG</v>
      </c>
      <c r="W1232" s="568" t="str">
        <f>VLOOKUP(A1232,'[1]Raw data'!$B:$AG,32,FALSE)</f>
        <v>DDP SZ</v>
      </c>
      <c r="X1232" s="652">
        <f>VLOOKUP(A1232,'[1]Raw data'!$B:$BA,31,FALSE)</f>
        <v>44900</v>
      </c>
      <c r="Y1232" s="652" t="str">
        <f>VLOOKUP(A1232,'[1]Raw data'!$B:$AS,39,FALSE)</f>
        <v>Yes</v>
      </c>
      <c r="Z1232" s="664"/>
      <c r="AA1232" s="665"/>
      <c r="AB1232" s="666"/>
      <c r="AC1232" s="652" t="s">
        <v>2387</v>
      </c>
      <c r="AD1232" s="667">
        <v>301</v>
      </c>
      <c r="AE1232" s="667">
        <v>10</v>
      </c>
      <c r="AF1232" s="667"/>
      <c r="AG1232" s="667"/>
      <c r="AH1232" s="667"/>
      <c r="AI1232" s="668"/>
      <c r="AN1232" s="547"/>
      <c r="AO1232" s="829" t="str">
        <f t="shared" si="267"/>
        <v>Yes</v>
      </c>
      <c r="AP1232" s="259" t="str">
        <f t="shared" si="268"/>
        <v>APR 23</v>
      </c>
      <c r="AQ1232" s="547" t="str">
        <f t="shared" si="269"/>
        <v>有定金+有預留客戶</v>
      </c>
      <c r="AR1232" s="259" t="str">
        <f t="shared" si="270"/>
        <v>Shipped_Stock</v>
      </c>
      <c r="AS1232" s="259" t="str">
        <f t="shared" si="271"/>
        <v/>
      </c>
      <c r="AT1232" s="259" t="str">
        <f t="shared" si="272"/>
        <v>海星</v>
      </c>
      <c r="AU1232" s="259" t="str">
        <f t="shared" si="273"/>
        <v>C49SZX20220132R1ZX(H207006-BET-221214 ESE)</v>
      </c>
      <c r="AV1232" s="259" t="str">
        <f t="shared" si="274"/>
        <v>Jul-04</v>
      </c>
    </row>
    <row r="1233" spans="1:48" ht="24.75" hidden="1">
      <c r="A1233" s="721" t="s">
        <v>2293</v>
      </c>
      <c r="B1233" s="669" t="s">
        <v>1125</v>
      </c>
      <c r="C1233" s="669" t="s">
        <v>281</v>
      </c>
      <c r="D1233" s="628">
        <v>110920</v>
      </c>
      <c r="E1233" s="749" t="s">
        <v>2388</v>
      </c>
      <c r="F1233" s="652" t="s">
        <v>17</v>
      </c>
      <c r="G1233" s="652" t="s">
        <v>18</v>
      </c>
      <c r="H1233" s="652" t="s">
        <v>48</v>
      </c>
      <c r="I1233" s="580" t="s">
        <v>2389</v>
      </c>
      <c r="J1233" s="580">
        <v>1</v>
      </c>
      <c r="K1233" s="652" t="s">
        <v>1419</v>
      </c>
      <c r="L1233" s="662">
        <v>44746</v>
      </c>
      <c r="M1233" s="670" t="s">
        <v>2390</v>
      </c>
      <c r="N1233" s="652" t="s">
        <v>216</v>
      </c>
      <c r="O1233" s="580">
        <v>2022.6</v>
      </c>
      <c r="P1233" s="670" t="s">
        <v>1246</v>
      </c>
      <c r="Q1233" s="795" t="s">
        <v>2391</v>
      </c>
      <c r="R1233" s="795" t="s">
        <v>2392</v>
      </c>
      <c r="S1233" s="652" t="s">
        <v>241</v>
      </c>
      <c r="T1233" s="652" t="s">
        <v>24</v>
      </c>
      <c r="U1233" s="652" t="s">
        <v>34</v>
      </c>
      <c r="V1233" s="572" t="str">
        <f>IF(G1233&amp;H1233=T1233&amp;U1233,"OK","WRONG")</f>
        <v>WRONG</v>
      </c>
      <c r="W1233" s="568" t="e">
        <f>VLOOKUP(A1233,'[1]Raw data'!$B:$AG,32,FALSE)</f>
        <v>#N/A</v>
      </c>
      <c r="X1233" s="652" t="e">
        <f>VLOOKUP(A1233,'[1]Raw data'!$B:$BA,31,FALSE)</f>
        <v>#N/A</v>
      </c>
      <c r="Y1233" s="652" t="e">
        <f>VLOOKUP(A1233,'[1]Raw data'!$B:$AS,39,FALSE)</f>
        <v>#N/A</v>
      </c>
      <c r="Z1233" s="671"/>
      <c r="AA1233" s="672"/>
      <c r="AB1233" s="673"/>
      <c r="AC1233" s="652" t="s">
        <v>2299</v>
      </c>
      <c r="AD1233" s="667">
        <v>303</v>
      </c>
      <c r="AE1233" s="667">
        <v>10</v>
      </c>
      <c r="AF1233" s="667"/>
      <c r="AG1233" s="667"/>
      <c r="AH1233" s="667"/>
      <c r="AI1233" s="668"/>
      <c r="AN1233" s="547"/>
      <c r="AO1233" s="829" t="str">
        <f t="shared" si="267"/>
        <v>No</v>
      </c>
      <c r="AP1233" s="259" t="str">
        <f t="shared" si="268"/>
        <v>MAR 23</v>
      </c>
      <c r="AQ1233" s="547" t="str">
        <f t="shared" si="269"/>
        <v>无定金+有預留客戶</v>
      </c>
      <c r="AR1233" s="259" t="str">
        <f t="shared" si="270"/>
        <v>Shipped_Stock</v>
      </c>
      <c r="AS1233" s="259" t="str">
        <f t="shared" si="271"/>
        <v/>
      </c>
      <c r="AT1233" s="259" t="str">
        <f t="shared" si="272"/>
        <v xml:space="preserve">苏州朋协智控科技有限公司 </v>
      </c>
      <c r="AU1233" s="259" t="str">
        <f t="shared" si="273"/>
        <v xml:space="preserve">苏州朋协智控科技有限公司 </v>
      </c>
      <c r="AV1233" s="259" t="str">
        <f t="shared" si="274"/>
        <v>Jul-04</v>
      </c>
    </row>
    <row r="1234" spans="1:48" hidden="1">
      <c r="A1234" s="604">
        <v>1524</v>
      </c>
      <c r="B1234" s="669" t="s">
        <v>1125</v>
      </c>
      <c r="C1234" s="669" t="s">
        <v>281</v>
      </c>
      <c r="D1234" s="630">
        <v>110920</v>
      </c>
      <c r="E1234" s="749" t="s">
        <v>2388</v>
      </c>
      <c r="F1234" s="652" t="s">
        <v>17</v>
      </c>
      <c r="G1234" s="652" t="s">
        <v>18</v>
      </c>
      <c r="H1234" s="652" t="s">
        <v>102</v>
      </c>
      <c r="I1234" s="580" t="s">
        <v>2393</v>
      </c>
      <c r="J1234" s="580">
        <v>1</v>
      </c>
      <c r="K1234" s="652" t="s">
        <v>85</v>
      </c>
      <c r="L1234" s="662">
        <v>44746</v>
      </c>
      <c r="M1234" s="670" t="s">
        <v>906</v>
      </c>
      <c r="N1234" s="652" t="s">
        <v>221</v>
      </c>
      <c r="O1234" s="580">
        <v>2022.6</v>
      </c>
      <c r="P1234" s="670" t="str">
        <f>VLOOKUP(A1234,'[1]Raw data'!$B:$BA,23,FALSE)</f>
        <v>JPY</v>
      </c>
      <c r="Q1234" s="652" t="str">
        <f>VLOOKUP(A1234,'[1]Raw data'!$B:$Z,2,FALSE)</f>
        <v>C49SZX20210220SX</v>
      </c>
      <c r="R1234" s="652" t="str">
        <f>VLOOKUP(A1234,'[1]Raw data'!$B:$Z,3,FALSE)</f>
        <v>赛美达</v>
      </c>
      <c r="S1234" s="652" t="str">
        <f>VLOOKUP(A1234,'[1]Raw data'!$B:$Z,4,FALSE)</f>
        <v>YSM10</v>
      </c>
      <c r="T1234" s="652" t="str">
        <f>VLOOKUP(A1234,'[1]Raw data'!$B:$Z,8,FALSE)</f>
        <v>R-&gt;L</v>
      </c>
      <c r="U1234" s="652" t="str">
        <f>VLOOKUP(A1234,'[1]Raw data'!$B:$Z,9,FALSE)</f>
        <v>MVC</v>
      </c>
      <c r="V1234" s="572" t="str">
        <f>IF(G1234&amp;H1234=T1234&amp;U1234,"OK","WRONG")</f>
        <v>WRONG</v>
      </c>
      <c r="W1234" s="568" t="str">
        <f>VLOOKUP(A1234,'[1]Raw data'!$B:$AG,32,FALSE)</f>
        <v>DAP SZ</v>
      </c>
      <c r="X1234" s="652">
        <f>VLOOKUP(A1234,'[1]Raw data'!$B:$BA,31,FALSE)</f>
        <v>44547</v>
      </c>
      <c r="Y1234" s="652" t="str">
        <f>VLOOKUP(A1234,'[1]Raw data'!$B:$AS,39,FALSE)</f>
        <v>Yes</v>
      </c>
      <c r="Z1234" s="664"/>
      <c r="AA1234" s="665"/>
      <c r="AB1234" s="666"/>
      <c r="AC1234" s="652" t="s">
        <v>2394</v>
      </c>
      <c r="AD1234" s="580">
        <v>304</v>
      </c>
      <c r="AE1234" s="580">
        <v>10</v>
      </c>
      <c r="AF1234" s="580"/>
      <c r="AG1234" s="580"/>
      <c r="AH1234" s="580"/>
      <c r="AI1234" s="684"/>
      <c r="AJ1234" s="569"/>
      <c r="AK1234" s="569"/>
      <c r="AL1234" s="569"/>
      <c r="AM1234" s="569"/>
      <c r="AN1234" s="619"/>
      <c r="AO1234" s="829" t="str">
        <f t="shared" si="267"/>
        <v>Yes</v>
      </c>
      <c r="AP1234" s="259" t="str">
        <f t="shared" si="268"/>
        <v>AUG 22</v>
      </c>
      <c r="AQ1234" s="547" t="str">
        <f t="shared" si="269"/>
        <v>有定金+有預留客戶</v>
      </c>
      <c r="AR1234" s="259" t="str">
        <f t="shared" si="270"/>
        <v>Shipped_Stock</v>
      </c>
      <c r="AS1234" s="259" t="str">
        <f t="shared" si="271"/>
        <v/>
      </c>
      <c r="AT1234" s="259" t="str">
        <f t="shared" si="272"/>
        <v>赛美达</v>
      </c>
      <c r="AU1234" s="259" t="str">
        <f t="shared" si="273"/>
        <v>C49SZX20210220SX</v>
      </c>
      <c r="AV1234" s="259" t="str">
        <f t="shared" si="274"/>
        <v>Jul-04</v>
      </c>
    </row>
    <row r="1235" spans="1:48" hidden="1">
      <c r="A1235" s="604">
        <v>1626</v>
      </c>
      <c r="B1235" s="669" t="s">
        <v>1125</v>
      </c>
      <c r="C1235" s="669" t="s">
        <v>281</v>
      </c>
      <c r="D1235" s="630">
        <v>110916</v>
      </c>
      <c r="E1235" s="761" t="s">
        <v>2395</v>
      </c>
      <c r="F1235" s="652" t="s">
        <v>58</v>
      </c>
      <c r="G1235" s="652" t="s">
        <v>18</v>
      </c>
      <c r="H1235" s="652" t="s">
        <v>26</v>
      </c>
      <c r="I1235" s="580" t="s">
        <v>2396</v>
      </c>
      <c r="J1235" s="580">
        <v>1</v>
      </c>
      <c r="K1235" s="652" t="s">
        <v>85</v>
      </c>
      <c r="L1235" s="662">
        <v>44746</v>
      </c>
      <c r="M1235" s="670" t="s">
        <v>906</v>
      </c>
      <c r="N1235" s="652" t="s">
        <v>2231</v>
      </c>
      <c r="O1235" s="580">
        <v>2022.6</v>
      </c>
      <c r="P1235" s="670" t="str">
        <f>VLOOKUP(A1235,'[1]Raw data'!$B:$BA,23,FALSE)</f>
        <v>JPY</v>
      </c>
      <c r="Q1235" s="652" t="str">
        <f>VLOOKUP(A1235,'[1]Raw data'!$B:$Z,2,FALSE)</f>
        <v>C49SZX20220035R1SS</v>
      </c>
      <c r="R1235" s="652" t="str">
        <f>VLOOKUP(A1235,'[1]Raw data'!$B:$Z,3,FALSE)</f>
        <v>中润互联</v>
      </c>
      <c r="S1235" s="652" t="str">
        <f>VLOOKUP(A1235,'[1]Raw data'!$B:$Z,4,FALSE)</f>
        <v>YSM20R-2</v>
      </c>
      <c r="T1235" s="652" t="str">
        <f>VLOOKUP(A1235,'[1]Raw data'!$B:$Z,8,FALSE)</f>
        <v>R-&gt;L</v>
      </c>
      <c r="U1235" s="652" t="str">
        <f>VLOOKUP(A1235,'[1]Raw data'!$B:$Z,9,FALSE)</f>
        <v>No</v>
      </c>
      <c r="V1235" s="572" t="str">
        <f>IF(G1235&amp;H1235=T1235&amp;U1235,"OK","WRONG")</f>
        <v>OK</v>
      </c>
      <c r="W1235" s="568" t="str">
        <f>VLOOKUP(A1235,'[1]Raw data'!$B:$AG,32,FALSE)</f>
        <v>DAP SZ</v>
      </c>
      <c r="X1235" s="652">
        <f>VLOOKUP(A1235,'[1]Raw data'!$B:$BA,31,FALSE)</f>
        <v>44641</v>
      </c>
      <c r="Y1235" s="652" t="str">
        <f>VLOOKUP(A1235,'[1]Raw data'!$B:$AS,39,FALSE)</f>
        <v>Yes</v>
      </c>
      <c r="Z1235" s="664"/>
      <c r="AA1235" s="665"/>
      <c r="AB1235" s="666"/>
      <c r="AC1235" s="652" t="s">
        <v>2255</v>
      </c>
      <c r="AD1235" s="580">
        <v>301</v>
      </c>
      <c r="AE1235" s="580">
        <v>10</v>
      </c>
      <c r="AF1235" s="580">
        <v>302</v>
      </c>
      <c r="AG1235" s="580">
        <v>10</v>
      </c>
      <c r="AH1235" s="580"/>
      <c r="AI1235" s="684"/>
      <c r="AJ1235" s="569"/>
      <c r="AK1235" s="569"/>
      <c r="AL1235" s="569"/>
      <c r="AM1235" s="569"/>
      <c r="AN1235" s="619"/>
      <c r="AO1235" s="829" t="str">
        <f t="shared" si="267"/>
        <v>Yes</v>
      </c>
      <c r="AP1235" s="259" t="str">
        <f t="shared" si="268"/>
        <v>JUL 22</v>
      </c>
      <c r="AQ1235" s="547" t="str">
        <f t="shared" si="269"/>
        <v>有定金+有預留客戶</v>
      </c>
      <c r="AR1235" s="259" t="str">
        <f t="shared" si="270"/>
        <v>Shipped_Stock</v>
      </c>
      <c r="AS1235" s="259" t="str">
        <f t="shared" si="271"/>
        <v/>
      </c>
      <c r="AT1235" s="259" t="str">
        <f t="shared" si="272"/>
        <v>中润互联</v>
      </c>
      <c r="AU1235" s="259" t="str">
        <f t="shared" si="273"/>
        <v>C49SZX20220035R1SS</v>
      </c>
      <c r="AV1235" s="259" t="str">
        <f t="shared" si="274"/>
        <v>Jul-04</v>
      </c>
    </row>
    <row r="1236" spans="1:48" ht="17.25" hidden="1" thickBot="1">
      <c r="A1236" s="604">
        <v>1627</v>
      </c>
      <c r="B1236" s="669" t="s">
        <v>1125</v>
      </c>
      <c r="C1236" s="669" t="s">
        <v>281</v>
      </c>
      <c r="D1236" s="629">
        <v>110916</v>
      </c>
      <c r="E1236" s="651" t="s">
        <v>2397</v>
      </c>
      <c r="F1236" s="652" t="s">
        <v>58</v>
      </c>
      <c r="G1236" s="652" t="s">
        <v>18</v>
      </c>
      <c r="H1236" s="652" t="s">
        <v>26</v>
      </c>
      <c r="I1236" s="580" t="s">
        <v>2398</v>
      </c>
      <c r="J1236" s="580">
        <v>1</v>
      </c>
      <c r="K1236" s="652" t="s">
        <v>85</v>
      </c>
      <c r="L1236" s="662">
        <v>44746</v>
      </c>
      <c r="M1236" s="670" t="s">
        <v>906</v>
      </c>
      <c r="N1236" s="652" t="s">
        <v>2231</v>
      </c>
      <c r="O1236" s="580">
        <v>2022.6</v>
      </c>
      <c r="P1236" s="670" t="str">
        <f>VLOOKUP(A1236,'[1]Raw data'!$B:$BA,23,FALSE)</f>
        <v>JPY</v>
      </c>
      <c r="Q1236" s="652" t="str">
        <f>VLOOKUP(A1236,'[1]Raw data'!$B:$Z,2,FALSE)</f>
        <v>C49SZX20220035R1SS</v>
      </c>
      <c r="R1236" s="652" t="str">
        <f>VLOOKUP(A1236,'[1]Raw data'!$B:$Z,3,FALSE)</f>
        <v>中润互联</v>
      </c>
      <c r="S1236" s="652" t="str">
        <f>VLOOKUP(A1236,'[1]Raw data'!$B:$Z,4,FALSE)</f>
        <v>YSM20R-2</v>
      </c>
      <c r="T1236" s="652" t="str">
        <f>VLOOKUP(A1236,'[1]Raw data'!$B:$Z,8,FALSE)</f>
        <v>R-&gt;L</v>
      </c>
      <c r="U1236" s="652" t="str">
        <f>VLOOKUP(A1236,'[1]Raw data'!$B:$Z,9,FALSE)</f>
        <v>No</v>
      </c>
      <c r="V1236" s="572" t="str">
        <f>IF(G1236&amp;H1236=T1236&amp;U1236,"OK","WRONG")</f>
        <v>OK</v>
      </c>
      <c r="W1236" s="568" t="str">
        <f>VLOOKUP(A1236,'[1]Raw data'!$B:$AG,32,FALSE)</f>
        <v>DAP SZ</v>
      </c>
      <c r="X1236" s="652">
        <f>VLOOKUP(A1236,'[1]Raw data'!$B:$BA,31,FALSE)</f>
        <v>44641</v>
      </c>
      <c r="Y1236" s="652" t="str">
        <f>VLOOKUP(A1236,'[1]Raw data'!$B:$AS,39,FALSE)</f>
        <v>Yes</v>
      </c>
      <c r="Z1236" s="664"/>
      <c r="AA1236" s="665"/>
      <c r="AB1236" s="666"/>
      <c r="AC1236" s="652" t="s">
        <v>2255</v>
      </c>
      <c r="AD1236" s="580">
        <v>301</v>
      </c>
      <c r="AE1236" s="580">
        <v>10</v>
      </c>
      <c r="AF1236" s="580">
        <v>302</v>
      </c>
      <c r="AG1236" s="580">
        <v>10</v>
      </c>
      <c r="AH1236" s="580"/>
      <c r="AI1236" s="684"/>
      <c r="AJ1236" s="569"/>
      <c r="AK1236" s="569"/>
      <c r="AL1236" s="569"/>
      <c r="AM1236" s="569"/>
      <c r="AN1236" s="619"/>
      <c r="AO1236" s="829" t="str">
        <f t="shared" si="267"/>
        <v>Yes</v>
      </c>
      <c r="AP1236" s="259" t="str">
        <f t="shared" si="268"/>
        <v>JUL 22</v>
      </c>
      <c r="AQ1236" s="547" t="str">
        <f t="shared" si="269"/>
        <v>有定金+有預留客戶</v>
      </c>
      <c r="AR1236" s="259" t="str">
        <f t="shared" si="270"/>
        <v>Shipped_Stock</v>
      </c>
      <c r="AS1236" s="259" t="str">
        <f t="shared" si="271"/>
        <v/>
      </c>
      <c r="AT1236" s="259" t="str">
        <f t="shared" si="272"/>
        <v>中润互联</v>
      </c>
      <c r="AU1236" s="259" t="str">
        <f t="shared" si="273"/>
        <v>C49SZX20220035R1SS</v>
      </c>
      <c r="AV1236" s="259" t="str">
        <f t="shared" si="274"/>
        <v>Jul-04</v>
      </c>
    </row>
    <row r="1237" spans="1:48" hidden="1">
      <c r="A1237" s="604">
        <v>1625</v>
      </c>
      <c r="B1237" s="669" t="s">
        <v>1125</v>
      </c>
      <c r="C1237" s="669" t="s">
        <v>281</v>
      </c>
      <c r="D1237" s="766">
        <v>110933</v>
      </c>
      <c r="E1237" s="753" t="s">
        <v>2399</v>
      </c>
      <c r="F1237" s="652" t="s">
        <v>58</v>
      </c>
      <c r="G1237" s="652" t="s">
        <v>24</v>
      </c>
      <c r="H1237" s="652" t="s">
        <v>26</v>
      </c>
      <c r="I1237" s="580" t="s">
        <v>2400</v>
      </c>
      <c r="J1237" s="580">
        <v>1</v>
      </c>
      <c r="K1237" s="652" t="s">
        <v>85</v>
      </c>
      <c r="L1237" s="754">
        <v>44750</v>
      </c>
      <c r="M1237" s="670" t="s">
        <v>906</v>
      </c>
      <c r="N1237" s="652" t="s">
        <v>2231</v>
      </c>
      <c r="O1237" s="580">
        <v>2022.6</v>
      </c>
      <c r="P1237" s="670" t="str">
        <f>VLOOKUP(A1237,'[1]Raw data'!$B:$BA,23,FALSE)</f>
        <v>JPY</v>
      </c>
      <c r="Q1237" s="652" t="str">
        <f>VLOOKUP(A1237,'[1]Raw data'!$B:$Z,2,FALSE)</f>
        <v>C49SZX20220035R1SS</v>
      </c>
      <c r="R1237" s="652" t="str">
        <f>VLOOKUP(A1237,'[1]Raw data'!$B:$Z,3,FALSE)</f>
        <v>中润互联</v>
      </c>
      <c r="S1237" s="652" t="str">
        <f>VLOOKUP(A1237,'[1]Raw data'!$B:$Z,4,FALSE)</f>
        <v>YSM20R-2</v>
      </c>
      <c r="T1237" s="652" t="str">
        <f>VLOOKUP(A1237,'[1]Raw data'!$B:$Z,8,FALSE)</f>
        <v>L-&gt;R</v>
      </c>
      <c r="U1237" s="652" t="str">
        <f>VLOOKUP(A1237,'[1]Raw data'!$B:$Z,9,FALSE)</f>
        <v>No</v>
      </c>
      <c r="V1237" s="572" t="str">
        <f t="shared" si="265"/>
        <v>OK</v>
      </c>
      <c r="W1237" s="568" t="str">
        <f>VLOOKUP(A1237,'[1]Raw data'!$B:$AG,32,FALSE)</f>
        <v>DDP SZ</v>
      </c>
      <c r="X1237" s="652">
        <f>VLOOKUP(A1237,'[1]Raw data'!$B:$BA,31,FALSE)</f>
        <v>44641</v>
      </c>
      <c r="Y1237" s="652" t="str">
        <f>VLOOKUP(A1237,'[1]Raw data'!$B:$AS,39,FALSE)</f>
        <v>Yes</v>
      </c>
      <c r="Z1237" s="664"/>
      <c r="AA1237" s="665"/>
      <c r="AB1237" s="666"/>
      <c r="AC1237" s="652" t="s">
        <v>2255</v>
      </c>
      <c r="AD1237" s="580">
        <v>301</v>
      </c>
      <c r="AE1237" s="580">
        <v>10</v>
      </c>
      <c r="AF1237" s="580">
        <v>302</v>
      </c>
      <c r="AG1237" s="580">
        <v>10</v>
      </c>
      <c r="AH1237" s="580">
        <v>303</v>
      </c>
      <c r="AI1237" s="684">
        <v>5</v>
      </c>
      <c r="AJ1237" s="569"/>
      <c r="AK1237" s="569"/>
      <c r="AL1237" s="569"/>
      <c r="AM1237" s="569"/>
      <c r="AN1237" s="619"/>
      <c r="AO1237" s="829" t="str">
        <f t="shared" si="267"/>
        <v>Yes</v>
      </c>
      <c r="AP1237" s="259" t="str">
        <f t="shared" si="268"/>
        <v>JUL 22</v>
      </c>
      <c r="AQ1237" s="547" t="str">
        <f t="shared" si="269"/>
        <v>有定金+有預留客戶</v>
      </c>
      <c r="AR1237" s="259" t="str">
        <f t="shared" si="270"/>
        <v>Shipped_Stock</v>
      </c>
      <c r="AS1237" s="259" t="str">
        <f t="shared" si="271"/>
        <v/>
      </c>
      <c r="AT1237" s="259" t="str">
        <f t="shared" si="272"/>
        <v>中润互联</v>
      </c>
      <c r="AU1237" s="259" t="str">
        <f t="shared" si="273"/>
        <v>C49SZX20220035R1SS</v>
      </c>
      <c r="AV1237" s="259" t="str">
        <f t="shared" si="274"/>
        <v>Jul-08</v>
      </c>
    </row>
    <row r="1238" spans="1:48" ht="13.5" hidden="1" thickBot="1">
      <c r="A1238" s="604">
        <v>1600</v>
      </c>
      <c r="B1238" s="669" t="s">
        <v>1125</v>
      </c>
      <c r="C1238" s="669" t="s">
        <v>281</v>
      </c>
      <c r="D1238" s="629">
        <v>110934</v>
      </c>
      <c r="E1238" s="749" t="s">
        <v>2401</v>
      </c>
      <c r="F1238" s="652" t="s">
        <v>58</v>
      </c>
      <c r="G1238" s="652" t="s">
        <v>24</v>
      </c>
      <c r="H1238" s="652" t="s">
        <v>26</v>
      </c>
      <c r="I1238" s="580" t="s">
        <v>2402</v>
      </c>
      <c r="J1238" s="580">
        <v>1</v>
      </c>
      <c r="K1238" s="652" t="s">
        <v>85</v>
      </c>
      <c r="L1238" s="754">
        <v>44750</v>
      </c>
      <c r="M1238" s="670" t="s">
        <v>906</v>
      </c>
      <c r="N1238" s="652" t="s">
        <v>2231</v>
      </c>
      <c r="O1238" s="580">
        <v>2022.6</v>
      </c>
      <c r="P1238" s="670" t="str">
        <f>VLOOKUP(A1238,'[1]Raw data'!$B:$BA,23,FALSE)</f>
        <v>JPY</v>
      </c>
      <c r="Q1238" s="652" t="str">
        <f>VLOOKUP(A1238,'[1]Raw data'!$B:$Z,2,FALSE)</f>
        <v>C49SZX20220024VC</v>
      </c>
      <c r="R1238" s="652" t="str">
        <f>VLOOKUP(A1238,'[1]Raw data'!$B:$Z,3,FALSE)</f>
        <v>友艺</v>
      </c>
      <c r="S1238" s="652" t="str">
        <f>VLOOKUP(A1238,'[1]Raw data'!$B:$Z,4,FALSE)</f>
        <v>YSM20R-2</v>
      </c>
      <c r="T1238" s="652" t="str">
        <f>VLOOKUP(A1238,'[1]Raw data'!$B:$Z,8,FALSE)</f>
        <v>L-&gt;R</v>
      </c>
      <c r="U1238" s="652" t="str">
        <f>VLOOKUP(A1238,'[1]Raw data'!$B:$Z,9,FALSE)</f>
        <v>No</v>
      </c>
      <c r="V1238" s="572" t="str">
        <f t="shared" si="265"/>
        <v>OK</v>
      </c>
      <c r="W1238" s="568" t="str">
        <f>VLOOKUP(A1238,'[1]Raw data'!$B:$AG,32,FALSE)</f>
        <v>DAP SZ</v>
      </c>
      <c r="X1238" s="652">
        <f>VLOOKUP(A1238,'[1]Raw data'!$B:$BA,31,FALSE)</f>
        <v>44620</v>
      </c>
      <c r="Y1238" s="652" t="str">
        <f>VLOOKUP(A1238,'[1]Raw data'!$B:$AS,39,FALSE)</f>
        <v>Yes</v>
      </c>
      <c r="Z1238" s="664"/>
      <c r="AA1238" s="665"/>
      <c r="AB1238" s="666"/>
      <c r="AC1238" s="652" t="s">
        <v>1951</v>
      </c>
      <c r="AD1238" s="667">
        <v>301</v>
      </c>
      <c r="AE1238" s="667">
        <v>10</v>
      </c>
      <c r="AF1238" s="667">
        <v>302</v>
      </c>
      <c r="AG1238" s="667">
        <v>10</v>
      </c>
      <c r="AH1238" s="667"/>
      <c r="AI1238" s="668"/>
      <c r="AN1238" s="547"/>
      <c r="AO1238" s="829" t="str">
        <f t="shared" si="267"/>
        <v>Yes</v>
      </c>
      <c r="AP1238" s="259" t="str">
        <f t="shared" si="268"/>
        <v>JUL 22</v>
      </c>
      <c r="AQ1238" s="547" t="str">
        <f t="shared" si="269"/>
        <v>有定金+有預留客戶</v>
      </c>
      <c r="AR1238" s="259" t="str">
        <f t="shared" si="270"/>
        <v>Shipped_Stock</v>
      </c>
      <c r="AS1238" s="259" t="str">
        <f t="shared" si="271"/>
        <v/>
      </c>
      <c r="AT1238" s="259" t="str">
        <f t="shared" si="272"/>
        <v>友艺</v>
      </c>
      <c r="AU1238" s="259" t="str">
        <f t="shared" si="273"/>
        <v>C49SZX20220024VC</v>
      </c>
      <c r="AV1238" s="259" t="str">
        <f t="shared" si="274"/>
        <v>Jul-08</v>
      </c>
    </row>
    <row r="1239" spans="1:48" hidden="1">
      <c r="A1239" s="604">
        <v>1003</v>
      </c>
      <c r="B1239" s="669" t="s">
        <v>1125</v>
      </c>
      <c r="C1239" s="669" t="s">
        <v>281</v>
      </c>
      <c r="D1239" s="628">
        <v>110948</v>
      </c>
      <c r="E1239" s="567" t="s">
        <v>886</v>
      </c>
      <c r="F1239" s="652" t="s">
        <v>58</v>
      </c>
      <c r="G1239" s="652" t="s">
        <v>24</v>
      </c>
      <c r="H1239" s="652" t="s">
        <v>26</v>
      </c>
      <c r="I1239" s="580" t="s">
        <v>2403</v>
      </c>
      <c r="J1239" s="580">
        <v>1</v>
      </c>
      <c r="K1239" s="652" t="s">
        <v>78</v>
      </c>
      <c r="L1239" s="662">
        <v>44756</v>
      </c>
      <c r="M1239" s="670">
        <v>5.1200000000000002E-2</v>
      </c>
      <c r="N1239" s="652" t="s">
        <v>2231</v>
      </c>
      <c r="O1239" s="580">
        <v>2022.6</v>
      </c>
      <c r="P1239" s="670" t="str">
        <f>VLOOKUP(A1239,'[1]Raw data'!$B:$BA,23,FALSE)</f>
        <v>JPY</v>
      </c>
      <c r="Q1239" s="652" t="str">
        <f>VLOOKUP(A1239,'[1]Raw data'!$B:$Z,2,FALSE)</f>
        <v>C49SZX20200233JL</v>
      </c>
      <c r="R1239" s="652" t="str">
        <f>VLOOKUP(A1239,'[1]Raw data'!$B:$Z,3,FALSE)</f>
        <v>瑞福联</v>
      </c>
      <c r="S1239" s="652" t="str">
        <f>VLOOKUP(A1239,'[1]Raw data'!$B:$Z,4,FALSE)</f>
        <v>YSM20R-2</v>
      </c>
      <c r="T1239" s="652" t="str">
        <f>VLOOKUP(A1239,'[1]Raw data'!$B:$Z,8,FALSE)</f>
        <v>L-&gt;R</v>
      </c>
      <c r="U1239" s="652" t="str">
        <f>VLOOKUP(A1239,'[1]Raw data'!$B:$Z,9,FALSE)</f>
        <v>No</v>
      </c>
      <c r="V1239" s="572" t="str">
        <f t="shared" ref="V1239" si="276">IF(G1239&amp;H1239=T1239&amp;U1239,"OK","WRONG")</f>
        <v>OK</v>
      </c>
      <c r="W1239" s="568" t="str">
        <f>VLOOKUP(A1239,'[1]Raw data'!$B:$AG,32,FALSE)</f>
        <v>CIF HK</v>
      </c>
      <c r="X1239" s="652">
        <f>VLOOKUP(A1239,'[1]Raw data'!$B:$BA,31,FALSE)</f>
        <v>44175</v>
      </c>
      <c r="Y1239" s="652" t="str">
        <f>VLOOKUP(A1239,'[1]Raw data'!$B:$AS,39,FALSE)</f>
        <v>Yes</v>
      </c>
      <c r="Z1239" s="664"/>
      <c r="AA1239" s="665"/>
      <c r="AB1239" s="666"/>
      <c r="AC1239" s="652" t="s">
        <v>2404</v>
      </c>
      <c r="AD1239" s="580">
        <v>302</v>
      </c>
      <c r="AE1239" s="580">
        <v>10</v>
      </c>
      <c r="AF1239" s="580">
        <v>303</v>
      </c>
      <c r="AG1239" s="580">
        <v>10</v>
      </c>
      <c r="AH1239" s="580"/>
      <c r="AI1239" s="684"/>
      <c r="AJ1239" s="569"/>
      <c r="AK1239" s="569"/>
      <c r="AL1239" s="569"/>
      <c r="AM1239" s="569"/>
      <c r="AN1239" s="619"/>
      <c r="AO1239" s="829" t="str">
        <f t="shared" si="267"/>
        <v>Yes</v>
      </c>
      <c r="AP1239" s="259" t="str">
        <f t="shared" si="268"/>
        <v>JUL 22</v>
      </c>
      <c r="AQ1239" s="547" t="str">
        <f t="shared" si="269"/>
        <v>有定金+有預留客戶</v>
      </c>
      <c r="AR1239" s="259" t="str">
        <f t="shared" si="270"/>
        <v>Shipped_Stock</v>
      </c>
      <c r="AS1239" s="259" t="str">
        <f t="shared" si="271"/>
        <v/>
      </c>
      <c r="AT1239" s="259" t="str">
        <f t="shared" si="272"/>
        <v>瑞福联</v>
      </c>
      <c r="AU1239" s="259" t="str">
        <f t="shared" si="273"/>
        <v>C49SZX20200233JL</v>
      </c>
      <c r="AV1239" s="259" t="str">
        <f t="shared" si="274"/>
        <v>Jul-14</v>
      </c>
    </row>
    <row r="1240" spans="1:48" ht="16.5" hidden="1">
      <c r="A1240" s="564">
        <v>1819</v>
      </c>
      <c r="B1240" s="669" t="s">
        <v>1125</v>
      </c>
      <c r="C1240" s="669" t="s">
        <v>281</v>
      </c>
      <c r="D1240" s="760">
        <v>110915</v>
      </c>
      <c r="E1240" s="765" t="s">
        <v>2405</v>
      </c>
      <c r="F1240" s="652" t="s">
        <v>58</v>
      </c>
      <c r="G1240" s="652" t="s">
        <v>24</v>
      </c>
      <c r="H1240" s="652" t="s">
        <v>1823</v>
      </c>
      <c r="I1240" s="580" t="s">
        <v>2406</v>
      </c>
      <c r="J1240" s="580">
        <v>1</v>
      </c>
      <c r="K1240" s="652" t="s">
        <v>2407</v>
      </c>
      <c r="L1240" s="662">
        <v>44756</v>
      </c>
      <c r="M1240" s="670">
        <v>5.2699999999999997E-2</v>
      </c>
      <c r="N1240" s="652" t="s">
        <v>216</v>
      </c>
      <c r="O1240" s="580">
        <v>2022.6</v>
      </c>
      <c r="P1240" s="670" t="str">
        <f>VLOOKUP(A1240,'[1]Raw data'!$B:$BA,23,FALSE)</f>
        <v>RMB</v>
      </c>
      <c r="Q1240" s="652" t="str">
        <f>VLOOKUP(A1240,'[1]Raw data'!$B:$Z,2,FALSE)</f>
        <v>C49SZX20230007SX</v>
      </c>
      <c r="R1240" s="652" t="str">
        <f>VLOOKUP(A1240,'[1]Raw data'!$B:$Z,3,FALSE)</f>
        <v>雷特</v>
      </c>
      <c r="S1240" s="652" t="str">
        <f>VLOOKUP(A1240,'[1]Raw data'!$B:$Z,4,FALSE)</f>
        <v>YSM20R-2</v>
      </c>
      <c r="T1240" s="652" t="str">
        <f>VLOOKUP(A1240,'[1]Raw data'!$B:$Z,8,FALSE)</f>
        <v>L-&gt;R</v>
      </c>
      <c r="U1240" s="652" t="str">
        <f>VLOOKUP(A1240,'[1]Raw data'!$B:$Z,9,FALSE)</f>
        <v>Feeder Carriage</v>
      </c>
      <c r="V1240" s="572" t="str">
        <f t="shared" ref="V1240:V1242" si="277">IF(G1240&amp;H1240=T1240&amp;U1240,"OK","WRONG")</f>
        <v>OK</v>
      </c>
      <c r="W1240" s="568" t="str">
        <f>VLOOKUP(A1240,'[1]Raw data'!$B:$AG,32,FALSE)</f>
        <v>DDP ZH</v>
      </c>
      <c r="X1240" s="652">
        <f>VLOOKUP(A1240,'[1]Raw data'!$B:$BA,31,FALSE)</f>
        <v>44942</v>
      </c>
      <c r="Y1240" s="652" t="str">
        <f>VLOOKUP(A1240,'[1]Raw data'!$B:$AS,39,FALSE)</f>
        <v>Yes</v>
      </c>
      <c r="Z1240" s="664"/>
      <c r="AA1240" s="665"/>
      <c r="AB1240" s="666"/>
      <c r="AC1240" s="652" t="s">
        <v>2408</v>
      </c>
      <c r="AD1240" s="667">
        <v>301</v>
      </c>
      <c r="AE1240" s="667">
        <v>20</v>
      </c>
      <c r="AF1240" s="667"/>
      <c r="AG1240" s="667"/>
      <c r="AH1240" s="667"/>
      <c r="AI1240" s="668"/>
      <c r="AN1240" s="547"/>
      <c r="AO1240" s="829" t="str">
        <f t="shared" si="267"/>
        <v>Yes</v>
      </c>
      <c r="AP1240" s="259" t="str">
        <f t="shared" si="268"/>
        <v>MAR 23</v>
      </c>
      <c r="AQ1240" s="547" t="str">
        <f t="shared" si="269"/>
        <v>有定金+有預留客戶</v>
      </c>
      <c r="AR1240" s="259" t="str">
        <f t="shared" si="270"/>
        <v>Shipped_Stock</v>
      </c>
      <c r="AS1240" s="259" t="str">
        <f t="shared" si="271"/>
        <v/>
      </c>
      <c r="AT1240" s="259" t="str">
        <f t="shared" si="272"/>
        <v>雷特</v>
      </c>
      <c r="AU1240" s="259" t="str">
        <f t="shared" si="273"/>
        <v>C49SZX20230007SX</v>
      </c>
      <c r="AV1240" s="259" t="str">
        <f t="shared" si="274"/>
        <v>Jul-14</v>
      </c>
    </row>
    <row r="1241" spans="1:48" ht="16.5" hidden="1">
      <c r="A1241" s="564">
        <v>1820</v>
      </c>
      <c r="B1241" s="669" t="s">
        <v>1125</v>
      </c>
      <c r="C1241" s="669" t="s">
        <v>281</v>
      </c>
      <c r="D1241" s="760">
        <v>110915</v>
      </c>
      <c r="E1241" s="765" t="s">
        <v>2405</v>
      </c>
      <c r="F1241" s="652" t="s">
        <v>58</v>
      </c>
      <c r="G1241" s="652" t="s">
        <v>24</v>
      </c>
      <c r="H1241" s="652" t="s">
        <v>1823</v>
      </c>
      <c r="I1241" s="580" t="s">
        <v>2409</v>
      </c>
      <c r="J1241" s="580">
        <v>1</v>
      </c>
      <c r="K1241" s="652" t="s">
        <v>2407</v>
      </c>
      <c r="L1241" s="662">
        <v>44756</v>
      </c>
      <c r="M1241" s="670">
        <v>5.2699999999999997E-2</v>
      </c>
      <c r="N1241" s="652" t="s">
        <v>216</v>
      </c>
      <c r="O1241" s="580">
        <v>2022.6</v>
      </c>
      <c r="P1241" s="670" t="str">
        <f>VLOOKUP(A1241,'[1]Raw data'!$B:$BA,23,FALSE)</f>
        <v>RMB</v>
      </c>
      <c r="Q1241" s="652" t="str">
        <f>VLOOKUP(A1241,'[1]Raw data'!$B:$Z,2,FALSE)</f>
        <v>C49SZX20230007SX</v>
      </c>
      <c r="R1241" s="652" t="str">
        <f>VLOOKUP(A1241,'[1]Raw data'!$B:$Z,3,FALSE)</f>
        <v>雷特</v>
      </c>
      <c r="S1241" s="652" t="str">
        <f>VLOOKUP(A1241,'[1]Raw data'!$B:$Z,4,FALSE)</f>
        <v>YSM20R-2</v>
      </c>
      <c r="T1241" s="652" t="str">
        <f>VLOOKUP(A1241,'[1]Raw data'!$B:$Z,8,FALSE)</f>
        <v>L-&gt;R</v>
      </c>
      <c r="U1241" s="652" t="str">
        <f>VLOOKUP(A1241,'[1]Raw data'!$B:$Z,9,FALSE)</f>
        <v>Feeder Carriage</v>
      </c>
      <c r="V1241" s="572" t="str">
        <f t="shared" si="277"/>
        <v>OK</v>
      </c>
      <c r="W1241" s="568" t="str">
        <f>VLOOKUP(A1241,'[1]Raw data'!$B:$AG,32,FALSE)</f>
        <v>DDP ZH</v>
      </c>
      <c r="X1241" s="652">
        <f>VLOOKUP(A1241,'[1]Raw data'!$B:$BA,31,FALSE)</f>
        <v>44942</v>
      </c>
      <c r="Y1241" s="652" t="str">
        <f>VLOOKUP(A1241,'[1]Raw data'!$B:$AS,39,FALSE)</f>
        <v>Yes</v>
      </c>
      <c r="Z1241" s="664"/>
      <c r="AA1241" s="665"/>
      <c r="AB1241" s="666"/>
      <c r="AC1241" s="652" t="s">
        <v>2408</v>
      </c>
      <c r="AD1241" s="667">
        <v>302</v>
      </c>
      <c r="AE1241" s="667">
        <v>20</v>
      </c>
      <c r="AF1241" s="667"/>
      <c r="AG1241" s="667"/>
      <c r="AH1241" s="667"/>
      <c r="AI1241" s="668"/>
      <c r="AN1241" s="547"/>
      <c r="AO1241" s="829" t="str">
        <f t="shared" si="267"/>
        <v>Yes</v>
      </c>
      <c r="AP1241" s="259" t="str">
        <f t="shared" si="268"/>
        <v>MAR 23</v>
      </c>
      <c r="AQ1241" s="547" t="str">
        <f t="shared" si="269"/>
        <v>有定金+有預留客戶</v>
      </c>
      <c r="AR1241" s="259" t="str">
        <f t="shared" si="270"/>
        <v>Shipped_Stock</v>
      </c>
      <c r="AS1241" s="259" t="str">
        <f t="shared" si="271"/>
        <v/>
      </c>
      <c r="AT1241" s="259" t="str">
        <f t="shared" si="272"/>
        <v>雷特</v>
      </c>
      <c r="AU1241" s="259" t="str">
        <f t="shared" si="273"/>
        <v>C49SZX20230007SX</v>
      </c>
      <c r="AV1241" s="259" t="str">
        <f t="shared" si="274"/>
        <v>Jul-14</v>
      </c>
    </row>
    <row r="1242" spans="1:48" ht="17.25" hidden="1" thickBot="1">
      <c r="A1242" s="564">
        <v>1817</v>
      </c>
      <c r="B1242" s="669" t="s">
        <v>1125</v>
      </c>
      <c r="C1242" s="669" t="s">
        <v>281</v>
      </c>
      <c r="D1242" s="629">
        <v>110915</v>
      </c>
      <c r="E1242" s="765" t="s">
        <v>2405</v>
      </c>
      <c r="F1242" s="652" t="s">
        <v>58</v>
      </c>
      <c r="G1242" s="652" t="s">
        <v>24</v>
      </c>
      <c r="H1242" s="652" t="s">
        <v>2410</v>
      </c>
      <c r="I1242" s="580" t="s">
        <v>2411</v>
      </c>
      <c r="J1242" s="580">
        <v>1</v>
      </c>
      <c r="K1242" s="652" t="s">
        <v>2407</v>
      </c>
      <c r="L1242" s="662">
        <v>44756</v>
      </c>
      <c r="M1242" s="670">
        <v>5.2699999999999997E-2</v>
      </c>
      <c r="N1242" s="652" t="s">
        <v>216</v>
      </c>
      <c r="O1242" s="580">
        <v>2022.6</v>
      </c>
      <c r="P1242" s="670" t="str">
        <f>VLOOKUP(A1242,'[1]Raw data'!$B:$BA,23,FALSE)</f>
        <v>RMB</v>
      </c>
      <c r="Q1242" s="652" t="str">
        <f>VLOOKUP(A1242,'[1]Raw data'!$B:$Z,2,FALSE)</f>
        <v>C49SZX20230007SX</v>
      </c>
      <c r="R1242" s="652" t="str">
        <f>VLOOKUP(A1242,'[1]Raw data'!$B:$Z,3,FALSE)</f>
        <v>雷特</v>
      </c>
      <c r="S1242" s="652" t="str">
        <f>VLOOKUP(A1242,'[1]Raw data'!$B:$Z,4,FALSE)</f>
        <v>YSM20R-2</v>
      </c>
      <c r="T1242" s="652" t="str">
        <f>VLOOKUP(A1242,'[1]Raw data'!$B:$Z,8,FALSE)</f>
        <v>L-&gt;R</v>
      </c>
      <c r="U1242" s="652" t="str">
        <f>VLOOKUP(A1242,'[1]Raw data'!$B:$Z,9,FALSE)</f>
        <v>cATS10+MVC+Feeder Carriage</v>
      </c>
      <c r="V1242" s="572" t="str">
        <f t="shared" si="277"/>
        <v>OK</v>
      </c>
      <c r="W1242" s="568" t="str">
        <f>VLOOKUP(A1242,'[1]Raw data'!$B:$AG,32,FALSE)</f>
        <v>DDP ZH</v>
      </c>
      <c r="X1242" s="652">
        <f>VLOOKUP(A1242,'[1]Raw data'!$B:$BA,31,FALSE)</f>
        <v>44942</v>
      </c>
      <c r="Y1242" s="652" t="str">
        <f>VLOOKUP(A1242,'[1]Raw data'!$B:$AS,39,FALSE)</f>
        <v>Yes</v>
      </c>
      <c r="Z1242" s="664"/>
      <c r="AA1242" s="665"/>
      <c r="AB1242" s="666"/>
      <c r="AC1242" s="652" t="s">
        <v>2408</v>
      </c>
      <c r="AD1242" s="667">
        <v>312</v>
      </c>
      <c r="AE1242" s="667">
        <v>20</v>
      </c>
      <c r="AF1242" s="667"/>
      <c r="AG1242" s="667"/>
      <c r="AH1242" s="667"/>
      <c r="AI1242" s="668"/>
      <c r="AN1242" s="547"/>
      <c r="AO1242" s="829" t="str">
        <f t="shared" si="267"/>
        <v>Yes</v>
      </c>
      <c r="AP1242" s="259" t="str">
        <f t="shared" si="268"/>
        <v>MAR 23</v>
      </c>
      <c r="AQ1242" s="547" t="str">
        <f t="shared" si="269"/>
        <v>有定金+有預留客戶</v>
      </c>
      <c r="AR1242" s="259" t="str">
        <f t="shared" si="270"/>
        <v>Shipped_Stock</v>
      </c>
      <c r="AS1242" s="259" t="str">
        <f t="shared" si="271"/>
        <v/>
      </c>
      <c r="AT1242" s="259" t="str">
        <f t="shared" si="272"/>
        <v>雷特</v>
      </c>
      <c r="AU1242" s="259" t="str">
        <f t="shared" si="273"/>
        <v>C49SZX20230007SX</v>
      </c>
      <c r="AV1242" s="259" t="str">
        <f t="shared" si="274"/>
        <v>Jul-14</v>
      </c>
    </row>
    <row r="1243" spans="1:48" ht="40.5" hidden="1">
      <c r="A1243" s="564">
        <v>1778</v>
      </c>
      <c r="B1243" s="669" t="s">
        <v>1125</v>
      </c>
      <c r="C1243" s="669" t="s">
        <v>281</v>
      </c>
      <c r="D1243" s="766">
        <v>110951</v>
      </c>
      <c r="E1243" s="749" t="s">
        <v>2412</v>
      </c>
      <c r="F1243" s="652" t="s">
        <v>17</v>
      </c>
      <c r="G1243" s="652" t="s">
        <v>18</v>
      </c>
      <c r="H1243" s="652" t="s">
        <v>2413</v>
      </c>
      <c r="I1243" s="580" t="s">
        <v>2414</v>
      </c>
      <c r="J1243" s="580">
        <v>1</v>
      </c>
      <c r="K1243" s="652" t="s">
        <v>1419</v>
      </c>
      <c r="L1243" s="662">
        <v>44769</v>
      </c>
      <c r="M1243" s="670" t="s">
        <v>2415</v>
      </c>
      <c r="N1243" s="652" t="s">
        <v>226</v>
      </c>
      <c r="O1243" s="580">
        <v>2022.7</v>
      </c>
      <c r="P1243" s="670" t="str">
        <f>VLOOKUP(A1243,'[1]Raw data'!$B:$BA,23,FALSE)</f>
        <v>RMB</v>
      </c>
      <c r="Q1243" s="652" t="str">
        <f>VLOOKUP(A1243,'[1]Raw data'!$B:$Z,2,FALSE)</f>
        <v>C49SZX20220132R1ZX(H207006-BET-221214 ESE)</v>
      </c>
      <c r="R1243" s="652" t="str">
        <f>VLOOKUP(A1243,'[1]Raw data'!$B:$Z,3,FALSE)</f>
        <v>海星</v>
      </c>
      <c r="S1243" s="652" t="str">
        <f>VLOOKUP(A1243,'[1]Raw data'!$B:$Z,4,FALSE)</f>
        <v>YSM10</v>
      </c>
      <c r="T1243" s="652" t="str">
        <f>VLOOKUP(A1243,'[1]Raw data'!$B:$Z,8,FALSE)</f>
        <v>L-&gt;R</v>
      </c>
      <c r="U1243" s="652" t="str">
        <f>VLOOKUP(A1243,'[1]Raw data'!$B:$Z,9,FALSE)</f>
        <v>No</v>
      </c>
      <c r="V1243" s="572" t="str">
        <f t="shared" ref="V1243:V1248" si="278">IF(G1243&amp;H1243=T1243&amp;U1243,"OK","WRONG")</f>
        <v>WRONG</v>
      </c>
      <c r="W1243" s="568" t="str">
        <f>VLOOKUP(A1243,'[1]Raw data'!$B:$AG,32,FALSE)</f>
        <v>DDP SZ</v>
      </c>
      <c r="X1243" s="652">
        <f>VLOOKUP(A1243,'[1]Raw data'!$B:$BA,31,FALSE)</f>
        <v>44900</v>
      </c>
      <c r="Y1243" s="652" t="str">
        <f>VLOOKUP(A1243,'[1]Raw data'!$B:$AS,39,FALSE)</f>
        <v>Yes</v>
      </c>
      <c r="Z1243" s="664"/>
      <c r="AA1243" s="665"/>
      <c r="AB1243" s="666"/>
      <c r="AC1243" s="652" t="s">
        <v>1557</v>
      </c>
      <c r="AD1243" s="667">
        <v>301</v>
      </c>
      <c r="AE1243" s="667">
        <v>10</v>
      </c>
      <c r="AF1243" s="667"/>
      <c r="AG1243" s="667"/>
      <c r="AH1243" s="667"/>
      <c r="AI1243" s="668"/>
      <c r="AN1243" s="547"/>
      <c r="AO1243" s="829" t="str">
        <f t="shared" si="267"/>
        <v>Yes</v>
      </c>
      <c r="AP1243" s="259" t="str">
        <f t="shared" si="268"/>
        <v>APR 23</v>
      </c>
      <c r="AQ1243" s="547" t="str">
        <f t="shared" si="269"/>
        <v>有定金+有預留客戶</v>
      </c>
      <c r="AR1243" s="259" t="str">
        <f t="shared" si="270"/>
        <v>Shipped_Stock</v>
      </c>
      <c r="AS1243" s="259" t="str">
        <f t="shared" si="271"/>
        <v/>
      </c>
      <c r="AT1243" s="259" t="str">
        <f t="shared" si="272"/>
        <v>海星</v>
      </c>
      <c r="AU1243" s="259" t="str">
        <f t="shared" si="273"/>
        <v>C49SZX20220132R1ZX(H207006-BET-221214 ESE)</v>
      </c>
      <c r="AV1243" s="259" t="str">
        <f t="shared" si="274"/>
        <v>Jul-27</v>
      </c>
    </row>
    <row r="1244" spans="1:48" ht="24.75" hidden="1">
      <c r="A1244" s="564">
        <v>1779</v>
      </c>
      <c r="B1244" s="669" t="s">
        <v>1125</v>
      </c>
      <c r="C1244" s="669" t="s">
        <v>281</v>
      </c>
      <c r="D1244" s="760">
        <v>110951</v>
      </c>
      <c r="E1244" s="749" t="s">
        <v>2412</v>
      </c>
      <c r="F1244" s="652" t="s">
        <v>17</v>
      </c>
      <c r="G1244" s="652" t="s">
        <v>18</v>
      </c>
      <c r="H1244" s="652" t="s">
        <v>102</v>
      </c>
      <c r="I1244" s="580" t="s">
        <v>2416</v>
      </c>
      <c r="J1244" s="580">
        <v>1</v>
      </c>
      <c r="K1244" s="652" t="s">
        <v>1419</v>
      </c>
      <c r="L1244" s="662">
        <v>44769</v>
      </c>
      <c r="M1244" s="670" t="s">
        <v>2417</v>
      </c>
      <c r="N1244" s="652" t="s">
        <v>226</v>
      </c>
      <c r="O1244" s="580">
        <v>2022.7</v>
      </c>
      <c r="P1244" s="670" t="str">
        <f>VLOOKUP(A1244,'[1]Raw data'!$B:$BA,23,FALSE)</f>
        <v>RMB</v>
      </c>
      <c r="Q1244" s="652" t="str">
        <f>VLOOKUP(A1244,'[1]Raw data'!$B:$Z,2,FALSE)</f>
        <v>C49SZX20220132R1ZX(H207006-BET-221214 ESE)</v>
      </c>
      <c r="R1244" s="652" t="str">
        <f>VLOOKUP(A1244,'[1]Raw data'!$B:$Z,3,FALSE)</f>
        <v>海星</v>
      </c>
      <c r="S1244" s="652" t="str">
        <f>VLOOKUP(A1244,'[1]Raw data'!$B:$Z,4,FALSE)</f>
        <v>YSM10</v>
      </c>
      <c r="T1244" s="652" t="str">
        <f>VLOOKUP(A1244,'[1]Raw data'!$B:$Z,8,FALSE)</f>
        <v>L-&gt;R</v>
      </c>
      <c r="U1244" s="652" t="str">
        <f>VLOOKUP(A1244,'[1]Raw data'!$B:$Z,9,FALSE)</f>
        <v>No</v>
      </c>
      <c r="V1244" s="572" t="str">
        <f t="shared" si="278"/>
        <v>WRONG</v>
      </c>
      <c r="W1244" s="568" t="str">
        <f>VLOOKUP(A1244,'[1]Raw data'!$B:$AG,32,FALSE)</f>
        <v>DDP SZ</v>
      </c>
      <c r="X1244" s="652">
        <f>VLOOKUP(A1244,'[1]Raw data'!$B:$BA,31,FALSE)</f>
        <v>44900</v>
      </c>
      <c r="Y1244" s="652" t="str">
        <f>VLOOKUP(A1244,'[1]Raw data'!$B:$AS,39,FALSE)</f>
        <v>Yes</v>
      </c>
      <c r="Z1244" s="664"/>
      <c r="AA1244" s="665"/>
      <c r="AB1244" s="666"/>
      <c r="AC1244" s="652" t="s">
        <v>1557</v>
      </c>
      <c r="AD1244" s="667">
        <v>302</v>
      </c>
      <c r="AE1244" s="667">
        <v>10</v>
      </c>
      <c r="AF1244" s="667"/>
      <c r="AG1244" s="667"/>
      <c r="AH1244" s="667"/>
      <c r="AI1244" s="668"/>
      <c r="AN1244" s="547"/>
      <c r="AO1244" s="829" t="str">
        <f t="shared" si="267"/>
        <v>Yes</v>
      </c>
      <c r="AP1244" s="259" t="str">
        <f t="shared" si="268"/>
        <v>APR 23</v>
      </c>
      <c r="AQ1244" s="547" t="str">
        <f t="shared" si="269"/>
        <v>有定金+有預留客戶</v>
      </c>
      <c r="AR1244" s="259" t="str">
        <f t="shared" si="270"/>
        <v>Shipped_Stock</v>
      </c>
      <c r="AS1244" s="259" t="str">
        <f t="shared" si="271"/>
        <v/>
      </c>
      <c r="AT1244" s="259" t="str">
        <f t="shared" si="272"/>
        <v>海星</v>
      </c>
      <c r="AU1244" s="259" t="str">
        <f t="shared" si="273"/>
        <v>C49SZX20220132R1ZX(H207006-BET-221214 ESE)</v>
      </c>
      <c r="AV1244" s="259" t="str">
        <f t="shared" si="274"/>
        <v>Jul-27</v>
      </c>
    </row>
    <row r="1245" spans="1:48" ht="24.75" hidden="1">
      <c r="A1245" s="564">
        <v>1780</v>
      </c>
      <c r="B1245" s="669" t="s">
        <v>1125</v>
      </c>
      <c r="C1245" s="669" t="s">
        <v>281</v>
      </c>
      <c r="D1245" s="760">
        <v>110951</v>
      </c>
      <c r="E1245" s="749" t="s">
        <v>2418</v>
      </c>
      <c r="F1245" s="652" t="s">
        <v>17</v>
      </c>
      <c r="G1245" s="652" t="s">
        <v>18</v>
      </c>
      <c r="H1245" s="652" t="s">
        <v>102</v>
      </c>
      <c r="I1245" s="580" t="s">
        <v>2419</v>
      </c>
      <c r="J1245" s="580">
        <v>1</v>
      </c>
      <c r="K1245" s="652" t="s">
        <v>1419</v>
      </c>
      <c r="L1245" s="662">
        <v>44769</v>
      </c>
      <c r="M1245" s="670" t="s">
        <v>2420</v>
      </c>
      <c r="N1245" s="652" t="s">
        <v>226</v>
      </c>
      <c r="O1245" s="580">
        <v>2022.7</v>
      </c>
      <c r="P1245" s="670" t="str">
        <f>VLOOKUP(A1245,'[1]Raw data'!$B:$BA,23,FALSE)</f>
        <v>RMB</v>
      </c>
      <c r="Q1245" s="652" t="str">
        <f>VLOOKUP(A1245,'[1]Raw data'!$B:$Z,2,FALSE)</f>
        <v>C49SZX20220132R1ZX(H207006-BET-221214 ESE)</v>
      </c>
      <c r="R1245" s="652" t="str">
        <f>VLOOKUP(A1245,'[1]Raw data'!$B:$Z,3,FALSE)</f>
        <v>海星</v>
      </c>
      <c r="S1245" s="652" t="str">
        <f>VLOOKUP(A1245,'[1]Raw data'!$B:$Z,4,FALSE)</f>
        <v>YSM10</v>
      </c>
      <c r="T1245" s="652" t="str">
        <f>VLOOKUP(A1245,'[1]Raw data'!$B:$Z,8,FALSE)</f>
        <v>L-&gt;R</v>
      </c>
      <c r="U1245" s="652" t="str">
        <f>VLOOKUP(A1245,'[1]Raw data'!$B:$Z,9,FALSE)</f>
        <v>No</v>
      </c>
      <c r="V1245" s="572" t="str">
        <f t="shared" si="278"/>
        <v>WRONG</v>
      </c>
      <c r="W1245" s="568" t="str">
        <f>VLOOKUP(A1245,'[1]Raw data'!$B:$AG,32,FALSE)</f>
        <v>DDP SZ</v>
      </c>
      <c r="X1245" s="652">
        <f>VLOOKUP(A1245,'[1]Raw data'!$B:$BA,31,FALSE)</f>
        <v>44900</v>
      </c>
      <c r="Y1245" s="652" t="str">
        <f>VLOOKUP(A1245,'[1]Raw data'!$B:$AS,39,FALSE)</f>
        <v>Yes</v>
      </c>
      <c r="Z1245" s="664"/>
      <c r="AA1245" s="665"/>
      <c r="AB1245" s="666"/>
      <c r="AC1245" s="652" t="s">
        <v>1557</v>
      </c>
      <c r="AD1245" s="667">
        <v>312</v>
      </c>
      <c r="AE1245" s="667">
        <v>10</v>
      </c>
      <c r="AF1245" s="667"/>
      <c r="AG1245" s="667"/>
      <c r="AH1245" s="667"/>
      <c r="AI1245" s="668"/>
      <c r="AN1245" s="547"/>
      <c r="AO1245" s="829" t="str">
        <f t="shared" si="267"/>
        <v>Yes</v>
      </c>
      <c r="AP1245" s="259" t="str">
        <f t="shared" si="268"/>
        <v>APR 23</v>
      </c>
      <c r="AQ1245" s="547" t="str">
        <f t="shared" si="269"/>
        <v>有定金+有預留客戶</v>
      </c>
      <c r="AR1245" s="259" t="str">
        <f t="shared" si="270"/>
        <v>Shipped_Stock</v>
      </c>
      <c r="AS1245" s="259" t="str">
        <f t="shared" si="271"/>
        <v/>
      </c>
      <c r="AT1245" s="259" t="str">
        <f t="shared" si="272"/>
        <v>海星</v>
      </c>
      <c r="AU1245" s="259" t="str">
        <f t="shared" si="273"/>
        <v>C49SZX20220132R1ZX(H207006-BET-221214 ESE)</v>
      </c>
      <c r="AV1245" s="259" t="str">
        <f t="shared" si="274"/>
        <v>Jul-27</v>
      </c>
    </row>
    <row r="1246" spans="1:48" ht="13.5" hidden="1" thickBot="1">
      <c r="A1246" s="604">
        <v>1630</v>
      </c>
      <c r="B1246" s="669" t="s">
        <v>1125</v>
      </c>
      <c r="C1246" s="669" t="s">
        <v>281</v>
      </c>
      <c r="D1246" s="629">
        <v>110957</v>
      </c>
      <c r="E1246" s="749" t="s">
        <v>2412</v>
      </c>
      <c r="F1246" s="652" t="s">
        <v>58</v>
      </c>
      <c r="G1246" s="652" t="s">
        <v>24</v>
      </c>
      <c r="H1246" s="652" t="s">
        <v>26</v>
      </c>
      <c r="I1246" s="580" t="s">
        <v>2421</v>
      </c>
      <c r="J1246" s="580">
        <v>1</v>
      </c>
      <c r="K1246" s="652" t="s">
        <v>85</v>
      </c>
      <c r="L1246" s="662">
        <v>44769</v>
      </c>
      <c r="M1246" s="670">
        <v>5.1200000000000002E-2</v>
      </c>
      <c r="N1246" s="652" t="s">
        <v>221</v>
      </c>
      <c r="O1246" s="580">
        <v>2022.7</v>
      </c>
      <c r="P1246" s="670" t="str">
        <f>VLOOKUP(A1246,'[1]Raw data'!$B:$BA,23,FALSE)</f>
        <v>JPY</v>
      </c>
      <c r="Q1246" s="652" t="str">
        <f>VLOOKUP(A1246,'[1]Raw data'!$B:$Z,2,FALSE)</f>
        <v>C49SZX20220036SS</v>
      </c>
      <c r="R1246" s="652" t="str">
        <f>VLOOKUP(A1246,'[1]Raw data'!$B:$Z,3,FALSE)</f>
        <v>泰鑫荣</v>
      </c>
      <c r="S1246" s="652" t="str">
        <f>VLOOKUP(A1246,'[1]Raw data'!$B:$Z,4,FALSE)</f>
        <v>YSM20R-2</v>
      </c>
      <c r="T1246" s="652" t="str">
        <f>VLOOKUP(A1246,'[1]Raw data'!$B:$Z,8,FALSE)</f>
        <v>L-&gt;R</v>
      </c>
      <c r="U1246" s="652" t="str">
        <f>VLOOKUP(A1246,'[1]Raw data'!$B:$Z,9,FALSE)</f>
        <v>No</v>
      </c>
      <c r="V1246" s="572" t="str">
        <f t="shared" si="278"/>
        <v>OK</v>
      </c>
      <c r="W1246" s="568" t="str">
        <f>VLOOKUP(A1246,'[1]Raw data'!$B:$AG,32,FALSE)</f>
        <v>DAP SZ</v>
      </c>
      <c r="X1246" s="652">
        <f>VLOOKUP(A1246,'[1]Raw data'!$B:$BA,31,FALSE)</f>
        <v>44641</v>
      </c>
      <c r="Y1246" s="652" t="str">
        <f>VLOOKUP(A1246,'[1]Raw data'!$B:$AS,39,FALSE)</f>
        <v>Yes</v>
      </c>
      <c r="Z1246" s="664"/>
      <c r="AA1246" s="665"/>
      <c r="AB1246" s="666"/>
      <c r="AC1246" s="652" t="s">
        <v>1038</v>
      </c>
      <c r="AD1246" s="580">
        <v>301</v>
      </c>
      <c r="AE1246" s="580">
        <v>20</v>
      </c>
      <c r="AF1246" s="580"/>
      <c r="AG1246" s="580"/>
      <c r="AH1246" s="580"/>
      <c r="AI1246" s="684"/>
      <c r="AJ1246" s="569"/>
      <c r="AK1246" s="569"/>
      <c r="AL1246" s="569"/>
      <c r="AM1246" s="569"/>
      <c r="AN1246" s="619"/>
      <c r="AO1246" s="829" t="str">
        <f t="shared" si="267"/>
        <v>Yes</v>
      </c>
      <c r="AP1246" s="259" t="str">
        <f t="shared" si="268"/>
        <v>AUG 22</v>
      </c>
      <c r="AQ1246" s="547" t="str">
        <f t="shared" si="269"/>
        <v>有定金+有預留客戶</v>
      </c>
      <c r="AR1246" s="259" t="str">
        <f t="shared" si="270"/>
        <v>Shipped_Stock</v>
      </c>
      <c r="AS1246" s="259" t="str">
        <f t="shared" si="271"/>
        <v/>
      </c>
      <c r="AT1246" s="259" t="str">
        <f t="shared" si="272"/>
        <v>泰鑫荣</v>
      </c>
      <c r="AU1246" s="259" t="str">
        <f t="shared" si="273"/>
        <v>C49SZX20220036SS</v>
      </c>
      <c r="AV1246" s="259" t="str">
        <f t="shared" si="274"/>
        <v>Jul-27</v>
      </c>
    </row>
    <row r="1247" spans="1:48" hidden="1">
      <c r="A1247" s="604">
        <v>1653</v>
      </c>
      <c r="B1247" s="669" t="s">
        <v>1125</v>
      </c>
      <c r="C1247" s="669" t="s">
        <v>281</v>
      </c>
      <c r="D1247" s="766">
        <v>110957</v>
      </c>
      <c r="E1247" s="749" t="s">
        <v>2412</v>
      </c>
      <c r="F1247" s="652" t="s">
        <v>58</v>
      </c>
      <c r="G1247" s="652" t="s">
        <v>24</v>
      </c>
      <c r="H1247" s="652" t="s">
        <v>26</v>
      </c>
      <c r="I1247" s="580" t="s">
        <v>2422</v>
      </c>
      <c r="J1247" s="580">
        <v>1</v>
      </c>
      <c r="K1247" s="652" t="s">
        <v>85</v>
      </c>
      <c r="L1247" s="662">
        <v>44769</v>
      </c>
      <c r="M1247" s="670">
        <v>5.1200000000000002E-2</v>
      </c>
      <c r="N1247" s="652" t="s">
        <v>221</v>
      </c>
      <c r="O1247" s="580">
        <v>2022.7</v>
      </c>
      <c r="P1247" s="670" t="str">
        <f>VLOOKUP(A1247,'[1]Raw data'!$B:$BA,23,FALSE)</f>
        <v>JPY</v>
      </c>
      <c r="Q1247" s="652" t="str">
        <f>VLOOKUP(A1247,'[1]Raw data'!$B:$Z,2,FALSE)</f>
        <v>C49SZX20220049JY</v>
      </c>
      <c r="R1247" s="652" t="str">
        <f>VLOOKUP(A1247,'[1]Raw data'!$B:$Z,3,FALSE)</f>
        <v>辉拓</v>
      </c>
      <c r="S1247" s="652" t="str">
        <f>VLOOKUP(A1247,'[1]Raw data'!$B:$Z,4,FALSE)</f>
        <v>YSM20R-2</v>
      </c>
      <c r="T1247" s="652" t="str">
        <f>VLOOKUP(A1247,'[1]Raw data'!$B:$Z,8,FALSE)</f>
        <v>L-&gt;R</v>
      </c>
      <c r="U1247" s="652" t="str">
        <f>VLOOKUP(A1247,'[1]Raw data'!$B:$Z,9,FALSE)</f>
        <v>No</v>
      </c>
      <c r="V1247" s="572" t="str">
        <f t="shared" si="278"/>
        <v>OK</v>
      </c>
      <c r="W1247" s="568" t="str">
        <f>VLOOKUP(A1247,'[1]Raw data'!$B:$AG,32,FALSE)</f>
        <v>CIF HK</v>
      </c>
      <c r="X1247" s="652">
        <f>VLOOKUP(A1247,'[1]Raw data'!$B:$BA,31,FALSE)</f>
        <v>44672</v>
      </c>
      <c r="Y1247" s="652" t="str">
        <f>VLOOKUP(A1247,'[1]Raw data'!$B:$AS,39,FALSE)</f>
        <v>Yes</v>
      </c>
      <c r="Z1247" s="664"/>
      <c r="AA1247" s="665"/>
      <c r="AB1247" s="666"/>
      <c r="AC1247" s="652" t="s">
        <v>2251</v>
      </c>
      <c r="AD1247" s="580">
        <v>302</v>
      </c>
      <c r="AE1247" s="580">
        <v>20</v>
      </c>
      <c r="AF1247" s="580"/>
      <c r="AG1247" s="580"/>
      <c r="AH1247" s="580"/>
      <c r="AI1247" s="684"/>
      <c r="AJ1247" s="569"/>
      <c r="AK1247" s="569"/>
      <c r="AL1247" s="569"/>
      <c r="AM1247" s="569"/>
      <c r="AN1247" s="619"/>
      <c r="AO1247" s="829" t="str">
        <f t="shared" si="267"/>
        <v>Yes</v>
      </c>
      <c r="AP1247" s="259" t="str">
        <f t="shared" si="268"/>
        <v>AUG 22</v>
      </c>
      <c r="AQ1247" s="547" t="str">
        <f t="shared" si="269"/>
        <v>有定金+有預留客戶</v>
      </c>
      <c r="AR1247" s="259" t="str">
        <f t="shared" si="270"/>
        <v>Shipped_Stock</v>
      </c>
      <c r="AS1247" s="259" t="str">
        <f t="shared" si="271"/>
        <v/>
      </c>
      <c r="AT1247" s="259" t="str">
        <f t="shared" si="272"/>
        <v>辉拓</v>
      </c>
      <c r="AU1247" s="259" t="str">
        <f t="shared" si="273"/>
        <v>C49SZX20220049JY</v>
      </c>
      <c r="AV1247" s="259" t="str">
        <f t="shared" si="274"/>
        <v>Jul-27</v>
      </c>
    </row>
    <row r="1248" spans="1:48" ht="13.5" hidden="1" thickBot="1">
      <c r="A1248" s="604">
        <v>1523</v>
      </c>
      <c r="B1248" s="669" t="s">
        <v>1125</v>
      </c>
      <c r="C1248" s="669" t="s">
        <v>281</v>
      </c>
      <c r="D1248" s="629">
        <v>110957</v>
      </c>
      <c r="E1248" s="749" t="s">
        <v>2412</v>
      </c>
      <c r="F1248" s="652" t="s">
        <v>58</v>
      </c>
      <c r="G1248" s="652" t="s">
        <v>24</v>
      </c>
      <c r="H1248" s="652" t="s">
        <v>26</v>
      </c>
      <c r="I1248" s="580" t="s">
        <v>2423</v>
      </c>
      <c r="J1248" s="580">
        <v>1</v>
      </c>
      <c r="K1248" s="652" t="s">
        <v>85</v>
      </c>
      <c r="L1248" s="662">
        <v>44769</v>
      </c>
      <c r="M1248" s="670">
        <v>5.1200000000000002E-2</v>
      </c>
      <c r="N1248" s="652" t="s">
        <v>221</v>
      </c>
      <c r="O1248" s="580">
        <v>2022.7</v>
      </c>
      <c r="P1248" s="670" t="str">
        <f>VLOOKUP(A1248,'[1]Raw data'!$B:$BA,23,FALSE)</f>
        <v>JPY</v>
      </c>
      <c r="Q1248" s="652" t="str">
        <f>VLOOKUP(A1248,'[1]Raw data'!$B:$Z,2,FALSE)</f>
        <v>C49SZX20210220SX</v>
      </c>
      <c r="R1248" s="652" t="str">
        <f>VLOOKUP(A1248,'[1]Raw data'!$B:$Z,3,FALSE)</f>
        <v>赛美达</v>
      </c>
      <c r="S1248" s="652" t="str">
        <f>VLOOKUP(A1248,'[1]Raw data'!$B:$Z,4,FALSE)</f>
        <v>YSM20R-2</v>
      </c>
      <c r="T1248" s="652" t="str">
        <f>VLOOKUP(A1248,'[1]Raw data'!$B:$Z,8,FALSE)</f>
        <v>L-&gt;R</v>
      </c>
      <c r="U1248" s="652" t="str">
        <f>VLOOKUP(A1248,'[1]Raw data'!$B:$Z,9,FALSE)</f>
        <v>No</v>
      </c>
      <c r="V1248" s="572" t="str">
        <f t="shared" si="278"/>
        <v>OK</v>
      </c>
      <c r="W1248" s="568" t="str">
        <f>VLOOKUP(A1248,'[1]Raw data'!$B:$AG,32,FALSE)</f>
        <v>DAP SZ</v>
      </c>
      <c r="X1248" s="652">
        <f>VLOOKUP(A1248,'[1]Raw data'!$B:$BA,31,FALSE)</f>
        <v>44547</v>
      </c>
      <c r="Y1248" s="652" t="str">
        <f>VLOOKUP(A1248,'[1]Raw data'!$B:$AS,39,FALSE)</f>
        <v>Yes</v>
      </c>
      <c r="Z1248" s="664"/>
      <c r="AA1248" s="665"/>
      <c r="AB1248" s="666"/>
      <c r="AC1248" s="652" t="s">
        <v>2394</v>
      </c>
      <c r="AD1248" s="580">
        <v>304</v>
      </c>
      <c r="AE1248" s="580">
        <v>20</v>
      </c>
      <c r="AF1248" s="580"/>
      <c r="AG1248" s="580"/>
      <c r="AH1248" s="580"/>
      <c r="AI1248" s="684"/>
      <c r="AJ1248" s="569"/>
      <c r="AK1248" s="569"/>
      <c r="AL1248" s="569"/>
      <c r="AM1248" s="569"/>
      <c r="AN1248" s="619"/>
      <c r="AO1248" s="829" t="str">
        <f t="shared" si="267"/>
        <v>Yes</v>
      </c>
      <c r="AP1248" s="259" t="str">
        <f t="shared" si="268"/>
        <v>AUG 22</v>
      </c>
      <c r="AQ1248" s="547" t="str">
        <f t="shared" si="269"/>
        <v>有定金+有預留客戶</v>
      </c>
      <c r="AR1248" s="259" t="str">
        <f t="shared" si="270"/>
        <v>Shipped_Stock</v>
      </c>
      <c r="AS1248" s="259" t="str">
        <f t="shared" si="271"/>
        <v/>
      </c>
      <c r="AT1248" s="259" t="str">
        <f t="shared" si="272"/>
        <v>赛美达</v>
      </c>
      <c r="AU1248" s="259" t="str">
        <f t="shared" si="273"/>
        <v>C49SZX20210220SX</v>
      </c>
      <c r="AV1248" s="259" t="str">
        <f t="shared" si="274"/>
        <v>Jul-27</v>
      </c>
    </row>
    <row r="1249" spans="1:48" hidden="1">
      <c r="A1249" s="604">
        <v>1664</v>
      </c>
      <c r="B1249" s="669" t="s">
        <v>1125</v>
      </c>
      <c r="C1249" s="669" t="s">
        <v>281</v>
      </c>
      <c r="D1249" s="766">
        <v>110962</v>
      </c>
      <c r="E1249" s="761" t="s">
        <v>2424</v>
      </c>
      <c r="F1249" s="652" t="s">
        <v>58</v>
      </c>
      <c r="G1249" s="652" t="s">
        <v>24</v>
      </c>
      <c r="H1249" s="652" t="s">
        <v>26</v>
      </c>
      <c r="I1249" s="580" t="s">
        <v>2425</v>
      </c>
      <c r="J1249" s="580">
        <v>1</v>
      </c>
      <c r="K1249" s="652" t="s">
        <v>85</v>
      </c>
      <c r="L1249" s="662">
        <v>44773</v>
      </c>
      <c r="M1249" s="670"/>
      <c r="N1249" s="652" t="s">
        <v>221</v>
      </c>
      <c r="O1249" s="580">
        <v>2022.7</v>
      </c>
      <c r="P1249" s="670" t="str">
        <f>VLOOKUP(A1249,'[1]Raw data'!$B:$BA,23,FALSE)</f>
        <v>JPY</v>
      </c>
      <c r="Q1249" s="652" t="str">
        <f>VLOOKUP(A1249,'[1]Raw data'!$B:$Z,2,FALSE)</f>
        <v>C49SZX20220051DZ</v>
      </c>
      <c r="R1249" s="652" t="str">
        <f>VLOOKUP(A1249,'[1]Raw data'!$B:$Z,3,FALSE)</f>
        <v>诺亚兴</v>
      </c>
      <c r="S1249" s="652" t="str">
        <f>VLOOKUP(A1249,'[1]Raw data'!$B:$Z,4,FALSE)</f>
        <v>YSM20R-2</v>
      </c>
      <c r="T1249" s="652" t="str">
        <f>VLOOKUP(A1249,'[1]Raw data'!$B:$Z,8,FALSE)</f>
        <v>L-&gt;R</v>
      </c>
      <c r="U1249" s="652" t="str">
        <f>VLOOKUP(A1249,'[1]Raw data'!$B:$Z,9,FALSE)</f>
        <v>MVC</v>
      </c>
      <c r="V1249" s="572" t="str">
        <f t="shared" ref="V1249:V1250" si="279">IF(G1249&amp;H1249=T1249&amp;U1249,"OK","WRONG")</f>
        <v>WRONG</v>
      </c>
      <c r="W1249" s="568" t="str">
        <f>VLOOKUP(A1249,'[1]Raw data'!$B:$AG,32,FALSE)</f>
        <v>CIF HK</v>
      </c>
      <c r="X1249" s="652">
        <f>VLOOKUP(A1249,'[1]Raw data'!$B:$BA,31,FALSE)</f>
        <v>44680</v>
      </c>
      <c r="Y1249" s="652" t="str">
        <f>VLOOKUP(A1249,'[1]Raw data'!$B:$AS,39,FALSE)</f>
        <v>Yes</v>
      </c>
      <c r="Z1249" s="664"/>
      <c r="AA1249" s="665"/>
      <c r="AB1249" s="666"/>
      <c r="AC1249" s="652" t="s">
        <v>2426</v>
      </c>
      <c r="AD1249" s="580">
        <v>301</v>
      </c>
      <c r="AE1249" s="580">
        <v>10</v>
      </c>
      <c r="AF1249" s="580">
        <v>302</v>
      </c>
      <c r="AG1249" s="580">
        <v>10</v>
      </c>
      <c r="AH1249" s="580"/>
      <c r="AI1249" s="684"/>
      <c r="AJ1249" s="569"/>
      <c r="AK1249" s="569"/>
      <c r="AL1249" s="569"/>
      <c r="AM1249" s="569"/>
      <c r="AN1249" s="619"/>
      <c r="AO1249" s="829" t="str">
        <f t="shared" si="267"/>
        <v>Yes</v>
      </c>
      <c r="AP1249" s="259" t="str">
        <f t="shared" si="268"/>
        <v>AUG 22</v>
      </c>
      <c r="AQ1249" s="547" t="str">
        <f t="shared" si="269"/>
        <v>有定金+有預留客戶</v>
      </c>
      <c r="AR1249" s="259" t="str">
        <f t="shared" si="270"/>
        <v>Shipped_Stock</v>
      </c>
      <c r="AS1249" s="259" t="str">
        <f t="shared" si="271"/>
        <v/>
      </c>
      <c r="AT1249" s="259" t="str">
        <f t="shared" si="272"/>
        <v>诺亚兴</v>
      </c>
      <c r="AU1249" s="259" t="str">
        <f t="shared" si="273"/>
        <v>C49SZX20220051DZ</v>
      </c>
      <c r="AV1249" s="259" t="str">
        <f t="shared" si="274"/>
        <v>Jul-31</v>
      </c>
    </row>
    <row r="1250" spans="1:48" ht="24.75" hidden="1">
      <c r="A1250" s="604">
        <v>1731</v>
      </c>
      <c r="B1250" s="669" t="s">
        <v>1125</v>
      </c>
      <c r="C1250" s="669" t="s">
        <v>281</v>
      </c>
      <c r="D1250" s="760" t="s">
        <v>2427</v>
      </c>
      <c r="E1250" s="761" t="s">
        <v>2424</v>
      </c>
      <c r="F1250" s="652" t="s">
        <v>58</v>
      </c>
      <c r="G1250" s="652" t="s">
        <v>24</v>
      </c>
      <c r="H1250" s="652" t="s">
        <v>26</v>
      </c>
      <c r="I1250" s="756" t="s">
        <v>2428</v>
      </c>
      <c r="J1250" s="580">
        <v>1</v>
      </c>
      <c r="K1250" s="652" t="s">
        <v>1419</v>
      </c>
      <c r="L1250" s="662">
        <v>44773</v>
      </c>
      <c r="M1250" s="670" t="s">
        <v>2429</v>
      </c>
      <c r="N1250" s="652" t="s">
        <v>205</v>
      </c>
      <c r="O1250" s="580">
        <v>2022.7</v>
      </c>
      <c r="P1250" s="670" t="str">
        <f>VLOOKUP(A1250,'[1]Raw data'!$B:$BA,23,FALSE)</f>
        <v>RMB</v>
      </c>
      <c r="Q1250" s="652" t="str">
        <f>VLOOKUP(A1250,'[1]Raw data'!$B:$Z,2,FALSE)</f>
        <v>C49SZX20220098MZ</v>
      </c>
      <c r="R1250" s="652" t="str">
        <f>VLOOKUP(A1250,'[1]Raw data'!$B:$Z,3,FALSE)</f>
        <v>河南融创</v>
      </c>
      <c r="S1250" s="652" t="str">
        <f>VLOOKUP(A1250,'[1]Raw data'!$B:$Z,4,FALSE)</f>
        <v>YSM20R-2</v>
      </c>
      <c r="T1250" s="652" t="str">
        <f>VLOOKUP(A1250,'[1]Raw data'!$B:$Z,8,FALSE)</f>
        <v>L-&gt;R</v>
      </c>
      <c r="U1250" s="652" t="str">
        <f>VLOOKUP(A1250,'[1]Raw data'!$B:$Z,9,FALSE)</f>
        <v>No</v>
      </c>
      <c r="V1250" s="572" t="str">
        <f t="shared" si="279"/>
        <v>OK</v>
      </c>
      <c r="W1250" s="568" t="str">
        <f>VLOOKUP(A1250,'[1]Raw data'!$B:$AG,32,FALSE)</f>
        <v>DDP HN</v>
      </c>
      <c r="X1250" s="652">
        <f>VLOOKUP(A1250,'[1]Raw data'!$B:$BA,31,FALSE)</f>
        <v>44827</v>
      </c>
      <c r="Y1250" s="652" t="str">
        <f>VLOOKUP(A1250,'[1]Raw data'!$B:$AS,39,FALSE)</f>
        <v>Yes</v>
      </c>
      <c r="Z1250" s="671"/>
      <c r="AA1250" s="665"/>
      <c r="AB1250" s="666"/>
      <c r="AC1250" s="652" t="s">
        <v>2430</v>
      </c>
      <c r="AD1250" s="580">
        <v>301</v>
      </c>
      <c r="AE1250" s="580">
        <v>10</v>
      </c>
      <c r="AF1250" s="580">
        <v>302</v>
      </c>
      <c r="AG1250" s="580">
        <v>10</v>
      </c>
      <c r="AH1250" s="580"/>
      <c r="AI1250" s="684"/>
      <c r="AJ1250" s="569"/>
      <c r="AK1250" s="569"/>
      <c r="AL1250" s="569"/>
      <c r="AM1250" s="569"/>
      <c r="AN1250" s="619"/>
      <c r="AO1250" s="829" t="str">
        <f t="shared" si="267"/>
        <v>Yes</v>
      </c>
      <c r="AP1250" s="259" t="str">
        <f t="shared" si="268"/>
        <v>OCT 22</v>
      </c>
      <c r="AQ1250" s="547" t="str">
        <f t="shared" si="269"/>
        <v>有定金+有預留客戶</v>
      </c>
      <c r="AR1250" s="259" t="str">
        <f t="shared" si="270"/>
        <v>Shipped_Stock</v>
      </c>
      <c r="AS1250" s="259" t="str">
        <f t="shared" si="271"/>
        <v/>
      </c>
      <c r="AT1250" s="259" t="str">
        <f t="shared" si="272"/>
        <v>河南融创</v>
      </c>
      <c r="AU1250" s="259" t="str">
        <f t="shared" si="273"/>
        <v>C49SZX20220098MZ</v>
      </c>
      <c r="AV1250" s="259" t="str">
        <f t="shared" si="274"/>
        <v>Jul-31</v>
      </c>
    </row>
    <row r="1251" spans="1:48" hidden="1">
      <c r="A1251" s="564">
        <v>1781</v>
      </c>
      <c r="B1251" s="669" t="s">
        <v>1125</v>
      </c>
      <c r="C1251" s="669" t="s">
        <v>281</v>
      </c>
      <c r="D1251" s="781">
        <v>110953</v>
      </c>
      <c r="E1251" s="761" t="s">
        <v>2431</v>
      </c>
      <c r="F1251" s="652" t="s">
        <v>17</v>
      </c>
      <c r="G1251" s="652" t="s">
        <v>18</v>
      </c>
      <c r="H1251" s="652" t="s">
        <v>27</v>
      </c>
      <c r="I1251" s="580" t="s">
        <v>2432</v>
      </c>
      <c r="J1251" s="580">
        <v>1</v>
      </c>
      <c r="K1251" s="652" t="s">
        <v>1419</v>
      </c>
      <c r="L1251" s="662">
        <v>44773</v>
      </c>
      <c r="M1251" s="670" t="s">
        <v>2339</v>
      </c>
      <c r="N1251" s="652" t="s">
        <v>226</v>
      </c>
      <c r="O1251" s="580">
        <v>2022.7</v>
      </c>
      <c r="P1251" s="670" t="str">
        <f>VLOOKUP(A1251,'[1]Raw data'!$B:$BA,23,FALSE)</f>
        <v>RMB</v>
      </c>
      <c r="Q1251" s="652" t="str">
        <f>VLOOKUP(A1251,'[1]Raw data'!$B:$Z,2,FALSE)</f>
        <v>C49SZX20220132R1ZX(H207006-BET-221214 ESE)</v>
      </c>
      <c r="R1251" s="652" t="str">
        <f>VLOOKUP(A1251,'[1]Raw data'!$B:$Z,3,FALSE)</f>
        <v>海星</v>
      </c>
      <c r="S1251" s="652" t="str">
        <f>VLOOKUP(A1251,'[1]Raw data'!$B:$Z,4,FALSE)</f>
        <v>YSM10</v>
      </c>
      <c r="T1251" s="652" t="str">
        <f>VLOOKUP(A1251,'[1]Raw data'!$B:$Z,8,FALSE)</f>
        <v>L-&gt;R</v>
      </c>
      <c r="U1251" s="652" t="str">
        <f>VLOOKUP(A1251,'[1]Raw data'!$B:$Z,9,FALSE)</f>
        <v>No</v>
      </c>
      <c r="V1251" s="572" t="str">
        <f t="shared" ref="V1251:V1272" si="280">IF(G1251&amp;H1251=T1251&amp;U1251,"OK","WRONG")</f>
        <v>WRONG</v>
      </c>
      <c r="W1251" s="568" t="str">
        <f>VLOOKUP(A1251,'[1]Raw data'!$B:$AG,32,FALSE)</f>
        <v>DDP SZ</v>
      </c>
      <c r="X1251" s="652">
        <f>VLOOKUP(A1251,'[1]Raw data'!$B:$BA,31,FALSE)</f>
        <v>44900</v>
      </c>
      <c r="Y1251" s="652" t="str">
        <f>VLOOKUP(A1251,'[1]Raw data'!$B:$AS,39,FALSE)</f>
        <v>Yes</v>
      </c>
      <c r="Z1251" s="664"/>
      <c r="AA1251" s="665"/>
      <c r="AB1251" s="666"/>
      <c r="AC1251" s="652" t="s">
        <v>2387</v>
      </c>
      <c r="AD1251" s="667">
        <v>301</v>
      </c>
      <c r="AE1251" s="667">
        <v>10</v>
      </c>
      <c r="AF1251" s="667"/>
      <c r="AG1251" s="667"/>
      <c r="AH1251" s="667"/>
      <c r="AI1251" s="668"/>
      <c r="AN1251" s="547"/>
      <c r="AO1251" s="829" t="str">
        <f t="shared" si="267"/>
        <v>Yes</v>
      </c>
      <c r="AP1251" s="259" t="str">
        <f t="shared" si="268"/>
        <v>APR 23</v>
      </c>
      <c r="AQ1251" s="547" t="str">
        <f t="shared" si="269"/>
        <v>有定金+有預留客戶</v>
      </c>
      <c r="AR1251" s="259" t="str">
        <f t="shared" si="270"/>
        <v>Shipped_Stock</v>
      </c>
      <c r="AS1251" s="259" t="str">
        <f t="shared" si="271"/>
        <v/>
      </c>
      <c r="AT1251" s="259" t="str">
        <f t="shared" si="272"/>
        <v>海星</v>
      </c>
      <c r="AU1251" s="259" t="str">
        <f t="shared" si="273"/>
        <v>C49SZX20220132R1ZX(H207006-BET-221214 ESE)</v>
      </c>
      <c r="AV1251" s="259" t="str">
        <f t="shared" si="274"/>
        <v>Jul-31</v>
      </c>
    </row>
    <row r="1252" spans="1:48" ht="24.75" hidden="1">
      <c r="A1252" s="564">
        <v>1782</v>
      </c>
      <c r="B1252" s="669" t="s">
        <v>1125</v>
      </c>
      <c r="C1252" s="669" t="s">
        <v>281</v>
      </c>
      <c r="D1252" s="760">
        <v>110953</v>
      </c>
      <c r="E1252" s="761" t="s">
        <v>2431</v>
      </c>
      <c r="F1252" s="652" t="s">
        <v>17</v>
      </c>
      <c r="G1252" s="652" t="s">
        <v>18</v>
      </c>
      <c r="H1252" s="652" t="s">
        <v>27</v>
      </c>
      <c r="I1252" s="756" t="s">
        <v>2433</v>
      </c>
      <c r="J1252" s="580">
        <v>1</v>
      </c>
      <c r="K1252" s="652" t="s">
        <v>1419</v>
      </c>
      <c r="L1252" s="662">
        <v>44773</v>
      </c>
      <c r="M1252" s="670" t="s">
        <v>2339</v>
      </c>
      <c r="N1252" s="652" t="s">
        <v>226</v>
      </c>
      <c r="O1252" s="580">
        <v>2022.7</v>
      </c>
      <c r="P1252" s="670" t="str">
        <f>VLOOKUP(A1252,'[1]Raw data'!$B:$BA,23,FALSE)</f>
        <v>RMB</v>
      </c>
      <c r="Q1252" s="652" t="str">
        <f>VLOOKUP(A1252,'[1]Raw data'!$B:$Z,2,FALSE)</f>
        <v>C49SZX20220132R1ZX(H207006-BET-221214 ESE)</v>
      </c>
      <c r="R1252" s="652" t="str">
        <f>VLOOKUP(A1252,'[1]Raw data'!$B:$Z,3,FALSE)</f>
        <v>海星</v>
      </c>
      <c r="S1252" s="652" t="str">
        <f>VLOOKUP(A1252,'[1]Raw data'!$B:$Z,4,FALSE)</f>
        <v>YSM10</v>
      </c>
      <c r="T1252" s="652" t="str">
        <f>VLOOKUP(A1252,'[1]Raw data'!$B:$Z,8,FALSE)</f>
        <v>L-&gt;R</v>
      </c>
      <c r="U1252" s="652" t="str">
        <f>VLOOKUP(A1252,'[1]Raw data'!$B:$Z,9,FALSE)</f>
        <v>No</v>
      </c>
      <c r="V1252" s="572" t="str">
        <f t="shared" si="280"/>
        <v>WRONG</v>
      </c>
      <c r="W1252" s="568" t="str">
        <f>VLOOKUP(A1252,'[1]Raw data'!$B:$AG,32,FALSE)</f>
        <v>DDP SZ</v>
      </c>
      <c r="X1252" s="652">
        <f>VLOOKUP(A1252,'[1]Raw data'!$B:$BA,31,FALSE)</f>
        <v>44900</v>
      </c>
      <c r="Y1252" s="652" t="str">
        <f>VLOOKUP(A1252,'[1]Raw data'!$B:$AS,39,FALSE)</f>
        <v>Yes</v>
      </c>
      <c r="Z1252" s="664"/>
      <c r="AA1252" s="665"/>
      <c r="AB1252" s="666"/>
      <c r="AC1252" s="652" t="s">
        <v>2387</v>
      </c>
      <c r="AD1252" s="667">
        <v>302</v>
      </c>
      <c r="AE1252" s="667">
        <v>10</v>
      </c>
      <c r="AF1252" s="667"/>
      <c r="AG1252" s="667"/>
      <c r="AH1252" s="667"/>
      <c r="AI1252" s="668"/>
      <c r="AN1252" s="547"/>
      <c r="AO1252" s="829" t="str">
        <f t="shared" si="267"/>
        <v>Yes</v>
      </c>
      <c r="AP1252" s="259" t="str">
        <f t="shared" si="268"/>
        <v>APR 23</v>
      </c>
      <c r="AQ1252" s="547" t="str">
        <f t="shared" si="269"/>
        <v>有定金+有預留客戶</v>
      </c>
      <c r="AR1252" s="259" t="str">
        <f t="shared" si="270"/>
        <v>Shipped_Stock</v>
      </c>
      <c r="AS1252" s="259" t="str">
        <f t="shared" si="271"/>
        <v/>
      </c>
      <c r="AT1252" s="259" t="str">
        <f t="shared" si="272"/>
        <v>海星</v>
      </c>
      <c r="AU1252" s="259" t="str">
        <f t="shared" si="273"/>
        <v>C49SZX20220132R1ZX(H207006-BET-221214 ESE)</v>
      </c>
      <c r="AV1252" s="259" t="str">
        <f t="shared" si="274"/>
        <v>Jul-31</v>
      </c>
    </row>
    <row r="1253" spans="1:48" ht="25.5" hidden="1" thickBot="1">
      <c r="A1253" s="604">
        <v>1854</v>
      </c>
      <c r="B1253" s="669" t="s">
        <v>1125</v>
      </c>
      <c r="C1253" s="669" t="s">
        <v>281</v>
      </c>
      <c r="D1253" s="629">
        <v>110952</v>
      </c>
      <c r="E1253" s="749" t="s">
        <v>2434</v>
      </c>
      <c r="F1253" s="652" t="s">
        <v>17</v>
      </c>
      <c r="G1253" s="652" t="s">
        <v>18</v>
      </c>
      <c r="H1253" s="652" t="s">
        <v>27</v>
      </c>
      <c r="I1253" s="756" t="s">
        <v>2435</v>
      </c>
      <c r="J1253" s="580">
        <v>1</v>
      </c>
      <c r="K1253" s="652" t="s">
        <v>1419</v>
      </c>
      <c r="L1253" s="662">
        <v>44773</v>
      </c>
      <c r="M1253" s="670" t="s">
        <v>2339</v>
      </c>
      <c r="N1253" s="652" t="s">
        <v>216</v>
      </c>
      <c r="O1253" s="580">
        <v>2022.7</v>
      </c>
      <c r="P1253" s="670" t="str">
        <f>VLOOKUP(A1253,'[1]Raw data'!$B:$BA,23,FALSE)</f>
        <v>RMB</v>
      </c>
      <c r="Q1253" s="652" t="str">
        <f>VLOOKUP(A1253,'[1]Raw data'!$B:$Z,2,FALSE)</f>
        <v>C49SZX20230030JY</v>
      </c>
      <c r="R1253" s="652" t="str">
        <f>VLOOKUP(A1253,'[1]Raw data'!$B:$Z,3,FALSE)</f>
        <v>和创永泰</v>
      </c>
      <c r="S1253" s="652" t="str">
        <f>VLOOKUP(A1253,'[1]Raw data'!$B:$Z,4,FALSE)</f>
        <v>YSM10</v>
      </c>
      <c r="T1253" s="652" t="str">
        <f>VLOOKUP(A1253,'[1]Raw data'!$B:$Z,8,FALSE)</f>
        <v>L-&gt;R</v>
      </c>
      <c r="U1253" s="652" t="str">
        <f>VLOOKUP(A1253,'[1]Raw data'!$B:$Z,9,FALSE)</f>
        <v>MVC</v>
      </c>
      <c r="V1253" s="572" t="str">
        <f t="shared" si="280"/>
        <v>WRONG</v>
      </c>
      <c r="W1253" s="568" t="str">
        <f>VLOOKUP(A1253,'[1]Raw data'!$B:$AG,32,FALSE)</f>
        <v>DDP SZ</v>
      </c>
      <c r="X1253" s="652">
        <f>VLOOKUP(A1253,'[1]Raw data'!$B:$BA,31,FALSE)</f>
        <v>44980</v>
      </c>
      <c r="Y1253" s="652" t="str">
        <f>VLOOKUP(A1253,'[1]Raw data'!$B:$AS,39,FALSE)</f>
        <v>Yes</v>
      </c>
      <c r="Z1253" s="671"/>
      <c r="AA1253" s="665"/>
      <c r="AB1253" s="666"/>
      <c r="AC1253" s="652" t="s">
        <v>2436</v>
      </c>
      <c r="AD1253" s="580">
        <v>302</v>
      </c>
      <c r="AE1253" s="580">
        <v>10</v>
      </c>
      <c r="AF1253" s="580"/>
      <c r="AG1253" s="580"/>
      <c r="AH1253" s="580"/>
      <c r="AI1253" s="684"/>
      <c r="AJ1253" s="569"/>
      <c r="AK1253" s="569"/>
      <c r="AL1253" s="569"/>
      <c r="AM1253" s="569"/>
      <c r="AN1253" s="619"/>
      <c r="AO1253" s="829" t="str">
        <f t="shared" si="267"/>
        <v>Yes</v>
      </c>
      <c r="AP1253" s="259" t="str">
        <f t="shared" si="268"/>
        <v>MAR 23</v>
      </c>
      <c r="AQ1253" s="547" t="str">
        <f t="shared" si="269"/>
        <v>有定金+有預留客戶</v>
      </c>
      <c r="AR1253" s="259" t="str">
        <f t="shared" si="270"/>
        <v>Shipped_Stock</v>
      </c>
      <c r="AS1253" s="259" t="str">
        <f t="shared" si="271"/>
        <v/>
      </c>
      <c r="AT1253" s="259" t="str">
        <f t="shared" si="272"/>
        <v>和创永泰</v>
      </c>
      <c r="AU1253" s="259" t="str">
        <f t="shared" si="273"/>
        <v>C49SZX20230030JY</v>
      </c>
      <c r="AV1253" s="259" t="str">
        <f t="shared" si="274"/>
        <v>Jul-31</v>
      </c>
    </row>
    <row r="1254" spans="1:48" ht="22.5" hidden="1">
      <c r="A1254" s="564">
        <v>1718</v>
      </c>
      <c r="B1254" s="669" t="s">
        <v>1125</v>
      </c>
      <c r="C1254" s="669" t="s">
        <v>281</v>
      </c>
      <c r="D1254" s="766" t="s">
        <v>2437</v>
      </c>
      <c r="E1254" s="749" t="s">
        <v>2438</v>
      </c>
      <c r="F1254" s="652" t="s">
        <v>58</v>
      </c>
      <c r="G1254" s="652" t="s">
        <v>24</v>
      </c>
      <c r="H1254" s="652" t="s">
        <v>26</v>
      </c>
      <c r="I1254" s="580" t="s">
        <v>2439</v>
      </c>
      <c r="J1254" s="580">
        <v>1</v>
      </c>
      <c r="K1254" s="652" t="s">
        <v>1419</v>
      </c>
      <c r="L1254" s="662">
        <v>44773</v>
      </c>
      <c r="M1254" s="670" t="s">
        <v>2440</v>
      </c>
      <c r="N1254" s="652" t="s">
        <v>219</v>
      </c>
      <c r="O1254" s="580">
        <v>2022.7</v>
      </c>
      <c r="P1254" s="670" t="str">
        <f>VLOOKUP(A1254,'[1]Raw data'!$B:$BA,23,FALSE)</f>
        <v>RMB</v>
      </c>
      <c r="Q1254" s="652" t="str">
        <f>VLOOKUP(A1254,'[1]Raw data'!$B:$Z,2,FALSE)</f>
        <v>C49SZX20220090SQ</v>
      </c>
      <c r="R1254" s="652" t="str">
        <f>VLOOKUP(A1254,'[1]Raw data'!$B:$Z,3,FALSE)</f>
        <v>维创斯特</v>
      </c>
      <c r="S1254" s="652" t="str">
        <f>VLOOKUP(A1254,'[1]Raw data'!$B:$Z,4,FALSE)</f>
        <v>YSM20R-2</v>
      </c>
      <c r="T1254" s="652" t="str">
        <f>VLOOKUP(A1254,'[1]Raw data'!$B:$Z,8,FALSE)</f>
        <v>L-&gt;R</v>
      </c>
      <c r="U1254" s="652" t="str">
        <f>VLOOKUP(A1254,'[1]Raw data'!$B:$Z,9,FALSE)</f>
        <v>No</v>
      </c>
      <c r="V1254" s="572" t="str">
        <f>IF(G1254&amp;H1254=T1254&amp;U1254,"OK","WRONG")</f>
        <v>OK</v>
      </c>
      <c r="W1254" s="568" t="str">
        <f>VLOOKUP(A1254,'[1]Raw data'!$B:$AG,32,FALSE)</f>
        <v>DDP SZ</v>
      </c>
      <c r="X1254" s="652">
        <f>VLOOKUP(A1254,'[1]Raw data'!$B:$BA,31,FALSE)</f>
        <v>44791</v>
      </c>
      <c r="Y1254" s="652" t="str">
        <f>VLOOKUP(A1254,'[1]Raw data'!$B:$AS,39,FALSE)</f>
        <v>Yes</v>
      </c>
      <c r="Z1254" s="664"/>
      <c r="AA1254" s="665"/>
      <c r="AB1254" s="666"/>
      <c r="AC1254" s="652" t="s">
        <v>2353</v>
      </c>
      <c r="AD1254" s="667">
        <v>301</v>
      </c>
      <c r="AE1254" s="667">
        <v>10</v>
      </c>
      <c r="AF1254" s="667">
        <v>311</v>
      </c>
      <c r="AG1254" s="667">
        <v>5</v>
      </c>
      <c r="AH1254" s="667">
        <v>312</v>
      </c>
      <c r="AI1254" s="667">
        <v>5</v>
      </c>
      <c r="AN1254" s="547"/>
      <c r="AO1254" s="829" t="str">
        <f t="shared" si="267"/>
        <v>Yes</v>
      </c>
      <c r="AP1254" s="259" t="str">
        <f t="shared" si="268"/>
        <v>SEP 22</v>
      </c>
      <c r="AQ1254" s="547" t="str">
        <f t="shared" si="269"/>
        <v>有定金+有預留客戶</v>
      </c>
      <c r="AR1254" s="259" t="str">
        <f t="shared" si="270"/>
        <v>Shipped_Stock</v>
      </c>
      <c r="AS1254" s="259" t="str">
        <f t="shared" si="271"/>
        <v/>
      </c>
      <c r="AT1254" s="259" t="str">
        <f t="shared" si="272"/>
        <v>维创斯特</v>
      </c>
      <c r="AU1254" s="259" t="str">
        <f t="shared" si="273"/>
        <v>C49SZX20220090SQ</v>
      </c>
      <c r="AV1254" s="259" t="str">
        <f t="shared" si="274"/>
        <v>Jul-31</v>
      </c>
    </row>
    <row r="1255" spans="1:48" hidden="1">
      <c r="A1255" s="604">
        <v>1518</v>
      </c>
      <c r="B1255" s="669" t="s">
        <v>1125</v>
      </c>
      <c r="C1255" s="669" t="s">
        <v>281</v>
      </c>
      <c r="D1255" s="760">
        <v>110961</v>
      </c>
      <c r="E1255" s="749" t="s">
        <v>2438</v>
      </c>
      <c r="F1255" s="652" t="s">
        <v>58</v>
      </c>
      <c r="G1255" s="652" t="s">
        <v>24</v>
      </c>
      <c r="H1255" s="652" t="s">
        <v>26</v>
      </c>
      <c r="I1255" s="580" t="s">
        <v>2441</v>
      </c>
      <c r="J1255" s="580">
        <v>1</v>
      </c>
      <c r="K1255" s="652" t="s">
        <v>85</v>
      </c>
      <c r="L1255" s="662">
        <v>44773</v>
      </c>
      <c r="M1255" s="670" t="s">
        <v>906</v>
      </c>
      <c r="N1255" s="652" t="s">
        <v>219</v>
      </c>
      <c r="O1255" s="580">
        <v>2022.7</v>
      </c>
      <c r="P1255" s="670" t="str">
        <f>VLOOKUP(A1255,'[1]Raw data'!$B:$BA,23,FALSE)</f>
        <v>JPY</v>
      </c>
      <c r="Q1255" s="652" t="str">
        <f>VLOOKUP(A1255,'[1]Raw data'!$B:$Z,2,FALSE)</f>
        <v>C49SZX20210215MZ</v>
      </c>
      <c r="R1255" s="652" t="str">
        <f>VLOOKUP(A1255,'[1]Raw data'!$B:$Z,3,FALSE)</f>
        <v>魔乐视</v>
      </c>
      <c r="S1255" s="652" t="str">
        <f>VLOOKUP(A1255,'[1]Raw data'!$B:$Z,4,FALSE)</f>
        <v>YSM20R-2</v>
      </c>
      <c r="T1255" s="652" t="str">
        <f>VLOOKUP(A1255,'[1]Raw data'!$B:$Z,8,FALSE)</f>
        <v>L-&gt;R</v>
      </c>
      <c r="U1255" s="652" t="str">
        <f>VLOOKUP(A1255,'[1]Raw data'!$B:$Z,9,FALSE)</f>
        <v>No</v>
      </c>
      <c r="V1255" s="572" t="str">
        <f>IF(G1255&amp;H1255=T1255&amp;U1255,"OK","WRONG")</f>
        <v>OK</v>
      </c>
      <c r="W1255" s="568" t="str">
        <f>VLOOKUP(A1255,'[1]Raw data'!$B:$AG,32,FALSE)</f>
        <v>DAP SZ</v>
      </c>
      <c r="X1255" s="652">
        <f>VLOOKUP(A1255,'[1]Raw data'!$B:$BA,31,FALSE)</f>
        <v>44540</v>
      </c>
      <c r="Y1255" s="652" t="str">
        <f>VLOOKUP(A1255,'[1]Raw data'!$B:$AS,39,FALSE)</f>
        <v>Yes</v>
      </c>
      <c r="Z1255" s="664"/>
      <c r="AA1255" s="665"/>
      <c r="AB1255" s="666"/>
      <c r="AC1255" s="652" t="s">
        <v>2011</v>
      </c>
      <c r="AD1255" s="580">
        <v>301</v>
      </c>
      <c r="AE1255" s="580">
        <v>10</v>
      </c>
      <c r="AF1255" s="580">
        <v>311</v>
      </c>
      <c r="AG1255" s="580">
        <v>5</v>
      </c>
      <c r="AH1255" s="580">
        <v>312</v>
      </c>
      <c r="AI1255" s="580">
        <v>5</v>
      </c>
      <c r="AJ1255" s="569"/>
      <c r="AK1255" s="569"/>
      <c r="AL1255" s="569"/>
      <c r="AM1255" s="569"/>
      <c r="AN1255" s="619"/>
      <c r="AO1255" s="829" t="str">
        <f t="shared" si="267"/>
        <v>Yes</v>
      </c>
      <c r="AP1255" s="259" t="str">
        <f t="shared" si="268"/>
        <v>SEP 22</v>
      </c>
      <c r="AQ1255" s="547" t="str">
        <f t="shared" si="269"/>
        <v>有定金+有預留客戶</v>
      </c>
      <c r="AR1255" s="259" t="str">
        <f t="shared" si="270"/>
        <v>Shipped_Stock</v>
      </c>
      <c r="AS1255" s="259" t="str">
        <f t="shared" si="271"/>
        <v/>
      </c>
      <c r="AT1255" s="259" t="str">
        <f t="shared" si="272"/>
        <v>魔乐视</v>
      </c>
      <c r="AU1255" s="259" t="str">
        <f t="shared" si="273"/>
        <v>C49SZX20210215MZ</v>
      </c>
      <c r="AV1255" s="259" t="str">
        <f t="shared" si="274"/>
        <v>Jul-31</v>
      </c>
    </row>
    <row r="1256" spans="1:48" hidden="1">
      <c r="A1256" s="564">
        <v>1171</v>
      </c>
      <c r="B1256" s="669" t="s">
        <v>1125</v>
      </c>
      <c r="C1256" s="669" t="s">
        <v>281</v>
      </c>
      <c r="D1256" s="760" t="s">
        <v>2442</v>
      </c>
      <c r="E1256" s="749" t="s">
        <v>2345</v>
      </c>
      <c r="F1256" s="652" t="s">
        <v>58</v>
      </c>
      <c r="G1256" s="652" t="s">
        <v>24</v>
      </c>
      <c r="H1256" s="652" t="s">
        <v>26</v>
      </c>
      <c r="I1256" s="580" t="s">
        <v>2443</v>
      </c>
      <c r="J1256" s="580">
        <v>1</v>
      </c>
      <c r="K1256" s="652" t="s">
        <v>85</v>
      </c>
      <c r="L1256" s="662">
        <v>44773</v>
      </c>
      <c r="M1256" s="670" t="s">
        <v>2444</v>
      </c>
      <c r="N1256" s="652" t="s">
        <v>221</v>
      </c>
      <c r="O1256" s="580">
        <v>2022.7</v>
      </c>
      <c r="P1256" s="670" t="str">
        <f>VLOOKUP(A1256,'[1]Raw data'!$B:$BA,23,FALSE)</f>
        <v>JPY</v>
      </c>
      <c r="Q1256" s="652" t="str">
        <f>VLOOKUP(A1256,'[1]Raw data'!$B:$Z,2,FALSE)</f>
        <v>C49SZX20210049MX</v>
      </c>
      <c r="R1256" s="652" t="str">
        <f>VLOOKUP(A1256,'[1]Raw data'!$B:$Z,3,FALSE)</f>
        <v>智序</v>
      </c>
      <c r="S1256" s="652" t="str">
        <f>VLOOKUP(A1256,'[1]Raw data'!$B:$Z,4,FALSE)</f>
        <v>YSM20R-2</v>
      </c>
      <c r="T1256" s="652" t="str">
        <f>VLOOKUP(A1256,'[1]Raw data'!$B:$Z,8,FALSE)</f>
        <v>L-&gt;R</v>
      </c>
      <c r="U1256" s="652" t="str">
        <f>VLOOKUP(A1256,'[1]Raw data'!$B:$Z,9,FALSE)</f>
        <v>No</v>
      </c>
      <c r="V1256" s="572" t="str">
        <f>IF(G1256&amp;H1256=T1256&amp;U1256,"OK","WRONG")</f>
        <v>OK</v>
      </c>
      <c r="W1256" s="568" t="str">
        <f>VLOOKUP(A1256,'[1]Raw data'!$B:$AG,32,FALSE)</f>
        <v>DAP SZ</v>
      </c>
      <c r="X1256" s="652">
        <f>VLOOKUP(A1256,'[1]Raw data'!$B:$BA,31,FALSE)</f>
        <v>44256</v>
      </c>
      <c r="Y1256" s="652" t="str">
        <f>VLOOKUP(A1256,'[1]Raw data'!$B:$AS,39,FALSE)</f>
        <v>Yes</v>
      </c>
      <c r="Z1256" s="664"/>
      <c r="AA1256" s="665"/>
      <c r="AB1256" s="666"/>
      <c r="AC1256" s="652" t="s">
        <v>2445</v>
      </c>
      <c r="AD1256" s="667">
        <v>313</v>
      </c>
      <c r="AE1256" s="667">
        <v>20</v>
      </c>
      <c r="AF1256" s="667"/>
      <c r="AG1256" s="667"/>
      <c r="AH1256" s="667"/>
      <c r="AI1256" s="668"/>
      <c r="AN1256" s="547"/>
      <c r="AO1256" s="829" t="str">
        <f t="shared" si="267"/>
        <v>Yes</v>
      </c>
      <c r="AP1256" s="259" t="str">
        <f t="shared" si="268"/>
        <v>AUG 22</v>
      </c>
      <c r="AQ1256" s="547" t="str">
        <f t="shared" si="269"/>
        <v>有定金+有預留客戶</v>
      </c>
      <c r="AR1256" s="259" t="str">
        <f t="shared" si="270"/>
        <v>Shipped_Stock</v>
      </c>
      <c r="AS1256" s="259" t="str">
        <f t="shared" si="271"/>
        <v/>
      </c>
      <c r="AT1256" s="259" t="str">
        <f t="shared" si="272"/>
        <v>智序</v>
      </c>
      <c r="AU1256" s="259" t="str">
        <f t="shared" si="273"/>
        <v>C49SZX20210049MX</v>
      </c>
      <c r="AV1256" s="259" t="str">
        <f t="shared" si="274"/>
        <v>Jul-31</v>
      </c>
    </row>
    <row r="1257" spans="1:48" ht="16.5" hidden="1">
      <c r="A1257" s="604">
        <v>1709</v>
      </c>
      <c r="B1257" s="669" t="s">
        <v>1125</v>
      </c>
      <c r="C1257" s="669" t="s">
        <v>281</v>
      </c>
      <c r="D1257" s="760">
        <v>110960</v>
      </c>
      <c r="E1257" s="749" t="s">
        <v>2345</v>
      </c>
      <c r="F1257" s="652" t="s">
        <v>58</v>
      </c>
      <c r="G1257" s="652" t="s">
        <v>24</v>
      </c>
      <c r="H1257" s="652" t="s">
        <v>26</v>
      </c>
      <c r="I1257" s="580" t="s">
        <v>2446</v>
      </c>
      <c r="J1257" s="580">
        <v>1</v>
      </c>
      <c r="K1257" s="786" t="s">
        <v>2239</v>
      </c>
      <c r="L1257" s="662">
        <v>44773</v>
      </c>
      <c r="M1257" s="670">
        <v>4.9799999999999997E-2</v>
      </c>
      <c r="N1257" s="652" t="s">
        <v>221</v>
      </c>
      <c r="O1257" s="580">
        <v>2022.7</v>
      </c>
      <c r="P1257" s="670" t="str">
        <f>VLOOKUP(A1257,'[1]Raw data'!$B:$BA,23,FALSE)</f>
        <v>RMB</v>
      </c>
      <c r="Q1257" s="652" t="str">
        <f>VLOOKUP(A1257,'[1]Raw data'!$B:$Z,2,FALSE)</f>
        <v>C49SZX20220080JY</v>
      </c>
      <c r="R1257" s="652" t="str">
        <f>VLOOKUP(A1257,'[1]Raw data'!$B:$Z,3,FALSE)</f>
        <v>顺禾</v>
      </c>
      <c r="S1257" s="652" t="str">
        <f>VLOOKUP(A1257,'[1]Raw data'!$B:$Z,4,FALSE)</f>
        <v>YSM20R-2</v>
      </c>
      <c r="T1257" s="652" t="str">
        <f>VLOOKUP(A1257,'[1]Raw data'!$B:$Z,8,FALSE)</f>
        <v>L-&gt;R</v>
      </c>
      <c r="U1257" s="652" t="str">
        <f>VLOOKUP(A1257,'[1]Raw data'!$B:$Z,9,FALSE)</f>
        <v>No</v>
      </c>
      <c r="V1257" s="572" t="str">
        <f>IF(G1257&amp;H1257=T1257&amp;U1257,"OK","WRONG")</f>
        <v>OK</v>
      </c>
      <c r="W1257" s="568" t="str">
        <f>VLOOKUP(A1257,'[1]Raw data'!$B:$AG,32,FALSE)</f>
        <v>DDP SZ</v>
      </c>
      <c r="X1257" s="652">
        <f>VLOOKUP(A1257,'[1]Raw data'!$B:$BA,31,FALSE)</f>
        <v>44762</v>
      </c>
      <c r="Y1257" s="652" t="str">
        <f>VLOOKUP(A1257,'[1]Raw data'!$B:$AS,39,FALSE)</f>
        <v>Yes</v>
      </c>
      <c r="Z1257" s="664"/>
      <c r="AA1257" s="665"/>
      <c r="AB1257" s="666"/>
      <c r="AC1257" s="652" t="s">
        <v>2447</v>
      </c>
      <c r="AD1257" s="580">
        <v>301</v>
      </c>
      <c r="AE1257" s="580">
        <v>20</v>
      </c>
      <c r="AF1257" s="580"/>
      <c r="AG1257" s="580"/>
      <c r="AH1257" s="580"/>
      <c r="AI1257" s="684"/>
      <c r="AJ1257" s="569"/>
      <c r="AK1257" s="569"/>
      <c r="AL1257" s="569"/>
      <c r="AM1257" s="569"/>
      <c r="AN1257" s="619"/>
      <c r="AO1257" s="829" t="str">
        <f t="shared" si="267"/>
        <v>Yes</v>
      </c>
      <c r="AP1257" s="259" t="str">
        <f t="shared" si="268"/>
        <v>AUG 22</v>
      </c>
      <c r="AQ1257" s="547" t="str">
        <f t="shared" si="269"/>
        <v>有定金+有預留客戶</v>
      </c>
      <c r="AR1257" s="259" t="str">
        <f t="shared" si="270"/>
        <v>Shipped_Stock</v>
      </c>
      <c r="AS1257" s="259" t="str">
        <f t="shared" si="271"/>
        <v/>
      </c>
      <c r="AT1257" s="259" t="str">
        <f t="shared" si="272"/>
        <v>顺禾</v>
      </c>
      <c r="AU1257" s="259" t="str">
        <f t="shared" si="273"/>
        <v>C49SZX20220080JY</v>
      </c>
      <c r="AV1257" s="259" t="str">
        <f t="shared" si="274"/>
        <v>Jul-31</v>
      </c>
    </row>
    <row r="1258" spans="1:48" ht="13.5" hidden="1" thickBot="1">
      <c r="A1258" s="604">
        <v>1747</v>
      </c>
      <c r="B1258" s="669" t="s">
        <v>1125</v>
      </c>
      <c r="C1258" s="669" t="s">
        <v>281</v>
      </c>
      <c r="D1258" s="629">
        <v>110960</v>
      </c>
      <c r="E1258" s="651" t="s">
        <v>2345</v>
      </c>
      <c r="F1258" s="652" t="s">
        <v>58</v>
      </c>
      <c r="G1258" s="652" t="s">
        <v>24</v>
      </c>
      <c r="H1258" s="652" t="s">
        <v>26</v>
      </c>
      <c r="I1258" s="580" t="s">
        <v>2448</v>
      </c>
      <c r="J1258" s="580">
        <v>1</v>
      </c>
      <c r="K1258" s="652" t="s">
        <v>85</v>
      </c>
      <c r="L1258" s="662">
        <v>44773</v>
      </c>
      <c r="M1258" s="670">
        <v>4.9799999999999997E-2</v>
      </c>
      <c r="N1258" s="652" t="s">
        <v>205</v>
      </c>
      <c r="O1258" s="580">
        <v>2022.7</v>
      </c>
      <c r="P1258" s="670" t="str">
        <f>VLOOKUP(A1258,'[1]Raw data'!$B:$BA,23,FALSE)</f>
        <v>JPY</v>
      </c>
      <c r="Q1258" s="652" t="str">
        <f>VLOOKUP(A1258,'[1]Raw data'!$B:$Z,2,FALSE)</f>
        <v>C49SZX20220103SS</v>
      </c>
      <c r="R1258" s="769" t="s">
        <v>2449</v>
      </c>
      <c r="S1258" s="652" t="str">
        <f>VLOOKUP(A1258,'[1]Raw data'!$B:$Z,4,FALSE)</f>
        <v>YSM20R-2</v>
      </c>
      <c r="T1258" s="652" t="str">
        <f>VLOOKUP(A1258,'[1]Raw data'!$B:$Z,8,FALSE)</f>
        <v>L-&gt;R</v>
      </c>
      <c r="U1258" s="652" t="str">
        <f>VLOOKUP(A1258,'[1]Raw data'!$B:$Z,9,FALSE)</f>
        <v>MVC</v>
      </c>
      <c r="V1258" s="572" t="str">
        <f>IF(G1258&amp;H1258=T1258&amp;U1258,"OK","WRONG")</f>
        <v>WRONG</v>
      </c>
      <c r="W1258" s="568" t="str">
        <f>VLOOKUP(A1258,'[1]Raw data'!$B:$AG,32,FALSE)</f>
        <v>DAP CS</v>
      </c>
      <c r="X1258" s="652">
        <f>VLOOKUP(A1258,'[1]Raw data'!$B:$BA,31,FALSE)</f>
        <v>44846</v>
      </c>
      <c r="Y1258" s="652" t="str">
        <f>VLOOKUP(A1258,'[1]Raw data'!$B:$AS,39,FALSE)</f>
        <v>Yes</v>
      </c>
      <c r="Z1258" s="671"/>
      <c r="AA1258" s="665"/>
      <c r="AB1258" s="666"/>
      <c r="AC1258" s="652" t="s">
        <v>2450</v>
      </c>
      <c r="AD1258" s="580">
        <v>304</v>
      </c>
      <c r="AE1258" s="580">
        <v>10</v>
      </c>
      <c r="AF1258" s="580">
        <v>302</v>
      </c>
      <c r="AG1258" s="580">
        <v>10</v>
      </c>
      <c r="AH1258" s="580"/>
      <c r="AI1258" s="684"/>
      <c r="AJ1258" s="569"/>
      <c r="AK1258" s="569"/>
      <c r="AL1258" s="569"/>
      <c r="AM1258" s="569"/>
      <c r="AN1258" s="619"/>
      <c r="AO1258" s="829" t="str">
        <f t="shared" si="267"/>
        <v>Yes</v>
      </c>
      <c r="AP1258" s="259" t="str">
        <f t="shared" si="268"/>
        <v>OCT 22</v>
      </c>
      <c r="AQ1258" s="547" t="str">
        <f t="shared" si="269"/>
        <v>有定金+有預留客戶</v>
      </c>
      <c r="AR1258" s="259" t="str">
        <f t="shared" si="270"/>
        <v>Shipped_Stock</v>
      </c>
      <c r="AS1258" s="259" t="str">
        <f t="shared" si="271"/>
        <v/>
      </c>
      <c r="AT1258" s="259" t="str">
        <f t="shared" si="272"/>
        <v>银杏（虽然机器安装在银杏，但是给到Yamaha的资料都是三才）</v>
      </c>
      <c r="AU1258" s="259" t="str">
        <f t="shared" si="273"/>
        <v>C49SZX20220103SS</v>
      </c>
      <c r="AV1258" s="259" t="str">
        <f t="shared" si="274"/>
        <v>Jul-31</v>
      </c>
    </row>
    <row r="1259" spans="1:48" ht="22.5" hidden="1">
      <c r="A1259" s="604">
        <v>1814</v>
      </c>
      <c r="B1259" s="669" t="s">
        <v>1125</v>
      </c>
      <c r="C1259" s="669" t="s">
        <v>281</v>
      </c>
      <c r="D1259" s="766">
        <v>110954</v>
      </c>
      <c r="E1259" s="749" t="s">
        <v>2277</v>
      </c>
      <c r="F1259" s="652" t="s">
        <v>17</v>
      </c>
      <c r="G1259" s="652" t="s">
        <v>18</v>
      </c>
      <c r="H1259" s="652" t="s">
        <v>27</v>
      </c>
      <c r="I1259" s="580" t="s">
        <v>2451</v>
      </c>
      <c r="J1259" s="580">
        <v>1</v>
      </c>
      <c r="K1259" s="786" t="s">
        <v>2239</v>
      </c>
      <c r="L1259" s="662">
        <v>44773</v>
      </c>
      <c r="M1259" s="670" t="s">
        <v>2452</v>
      </c>
      <c r="N1259" s="652" t="s">
        <v>215</v>
      </c>
      <c r="O1259" s="580">
        <v>2022.7</v>
      </c>
      <c r="P1259" s="670" t="str">
        <f>VLOOKUP(A1259,'[1]Raw data'!$B:$BA,23,FALSE)</f>
        <v>RMB</v>
      </c>
      <c r="Q1259" s="652" t="str">
        <f>VLOOKUP(A1259,'[1]Raw data'!$B:$Z,2,FALSE)</f>
        <v>C49SZX20230010SX</v>
      </c>
      <c r="R1259" s="652" t="str">
        <f>VLOOKUP(A1259,'[1]Raw data'!$B:$Z,3,FALSE)</f>
        <v>嘉普达</v>
      </c>
      <c r="S1259" s="652" t="str">
        <f>VLOOKUP(A1259,'[1]Raw data'!$B:$Z,4,FALSE)</f>
        <v>YSM10</v>
      </c>
      <c r="T1259" s="652" t="str">
        <f>VLOOKUP(A1259,'[1]Raw data'!$B:$Z,8,FALSE)</f>
        <v>L-&gt;R</v>
      </c>
      <c r="U1259" s="652" t="str">
        <f>VLOOKUP(A1259,'[1]Raw data'!$B:$Z,9,FALSE)</f>
        <v>MVC</v>
      </c>
      <c r="V1259" s="572" t="str">
        <f t="shared" ref="V1259:V1271" si="281">IF(G1259&amp;H1259=T1259&amp;U1259,"OK","WRONG")</f>
        <v>WRONG</v>
      </c>
      <c r="W1259" s="568" t="str">
        <f>VLOOKUP(A1259,'[1]Raw data'!$B:$AG,32,FALSE)</f>
        <v>DDP SZ</v>
      </c>
      <c r="X1259" s="652">
        <f>VLOOKUP(A1259,'[1]Raw data'!$B:$BA,31,FALSE)</f>
        <v>44938</v>
      </c>
      <c r="Y1259" s="652" t="str">
        <f>VLOOKUP(A1259,'[1]Raw data'!$B:$AS,39,FALSE)</f>
        <v>Yes</v>
      </c>
      <c r="Z1259" s="671"/>
      <c r="AA1259" s="665"/>
      <c r="AB1259" s="666"/>
      <c r="AC1259" s="652" t="s">
        <v>2453</v>
      </c>
      <c r="AD1259" s="580">
        <v>304</v>
      </c>
      <c r="AE1259" s="580">
        <v>10</v>
      </c>
      <c r="AF1259" s="580"/>
      <c r="AG1259" s="580"/>
      <c r="AH1259" s="580"/>
      <c r="AI1259" s="684"/>
      <c r="AJ1259" s="569"/>
      <c r="AK1259" s="569"/>
      <c r="AL1259" s="569"/>
      <c r="AM1259" s="569"/>
      <c r="AN1259" s="619"/>
      <c r="AO1259" s="829" t="str">
        <f t="shared" si="267"/>
        <v>Yes</v>
      </c>
      <c r="AP1259" s="259" t="str">
        <f t="shared" si="268"/>
        <v>JAN 23</v>
      </c>
      <c r="AQ1259" s="547" t="str">
        <f t="shared" si="269"/>
        <v>有定金+有預留客戶</v>
      </c>
      <c r="AR1259" s="259" t="str">
        <f t="shared" si="270"/>
        <v>Shipped_Stock</v>
      </c>
      <c r="AS1259" s="259" t="str">
        <f t="shared" si="271"/>
        <v/>
      </c>
      <c r="AT1259" s="259" t="str">
        <f t="shared" si="272"/>
        <v>嘉普达</v>
      </c>
      <c r="AU1259" s="259" t="str">
        <f t="shared" si="273"/>
        <v>C49SZX20230010SX</v>
      </c>
      <c r="AV1259" s="259" t="str">
        <f t="shared" si="274"/>
        <v>Jul-31</v>
      </c>
    </row>
    <row r="1260" spans="1:48" ht="24.75" hidden="1">
      <c r="A1260" s="604">
        <v>1666</v>
      </c>
      <c r="B1260" s="669" t="s">
        <v>1125</v>
      </c>
      <c r="C1260" s="669" t="s">
        <v>281</v>
      </c>
      <c r="D1260" s="760">
        <v>110954</v>
      </c>
      <c r="E1260" s="749" t="s">
        <v>2277</v>
      </c>
      <c r="F1260" s="652" t="s">
        <v>17</v>
      </c>
      <c r="G1260" s="652" t="s">
        <v>18</v>
      </c>
      <c r="H1260" s="652" t="s">
        <v>27</v>
      </c>
      <c r="I1260" s="756" t="s">
        <v>2454</v>
      </c>
      <c r="J1260" s="580">
        <v>1</v>
      </c>
      <c r="K1260" s="652" t="s">
        <v>85</v>
      </c>
      <c r="L1260" s="662">
        <v>44773</v>
      </c>
      <c r="M1260" s="670" t="s">
        <v>906</v>
      </c>
      <c r="N1260" s="652" t="s">
        <v>219</v>
      </c>
      <c r="O1260" s="580">
        <v>2022.7</v>
      </c>
      <c r="P1260" s="670" t="str">
        <f>VLOOKUP(A1260,'[1]Raw data'!$B:$BA,23,FALSE)</f>
        <v>JPY</v>
      </c>
      <c r="Q1260" s="652" t="str">
        <f>VLOOKUP(A1260,'[1]Raw data'!$B:$Z,2,FALSE)</f>
        <v>C49SZX20220055SX</v>
      </c>
      <c r="R1260" s="652" t="str">
        <f>VLOOKUP(A1260,'[1]Raw data'!$B:$Z,3,FALSE)</f>
        <v>利速达</v>
      </c>
      <c r="S1260" s="652" t="str">
        <f>VLOOKUP(A1260,'[1]Raw data'!$B:$Z,4,FALSE)</f>
        <v>YSM10</v>
      </c>
      <c r="T1260" s="652" t="str">
        <f>VLOOKUP(A1260,'[1]Raw data'!$B:$Z,8,FALSE)</f>
        <v>L-&gt;R</v>
      </c>
      <c r="U1260" s="652" t="str">
        <f>VLOOKUP(A1260,'[1]Raw data'!$B:$Z,9,FALSE)</f>
        <v>MVC</v>
      </c>
      <c r="V1260" s="572" t="str">
        <f t="shared" si="281"/>
        <v>WRONG</v>
      </c>
      <c r="W1260" s="568" t="str">
        <f>VLOOKUP(A1260,'[1]Raw data'!$B:$AG,32,FALSE)</f>
        <v>DAP SZ</v>
      </c>
      <c r="X1260" s="652">
        <f>VLOOKUP(A1260,'[1]Raw data'!$B:$BA,31,FALSE)</f>
        <v>44691</v>
      </c>
      <c r="Y1260" s="652" t="str">
        <f>VLOOKUP(A1260,'[1]Raw data'!$B:$AS,39,FALSE)</f>
        <v>Yes</v>
      </c>
      <c r="Z1260" s="664"/>
      <c r="AA1260" s="665"/>
      <c r="AB1260" s="666"/>
      <c r="AC1260" s="652" t="s">
        <v>2455</v>
      </c>
      <c r="AD1260" s="580">
        <v>301</v>
      </c>
      <c r="AE1260" s="580">
        <v>10</v>
      </c>
      <c r="AF1260" s="580"/>
      <c r="AG1260" s="580"/>
      <c r="AH1260" s="580"/>
      <c r="AI1260" s="684"/>
      <c r="AJ1260" s="569"/>
      <c r="AK1260" s="569"/>
      <c r="AL1260" s="569"/>
      <c r="AM1260" s="569"/>
      <c r="AN1260" s="619"/>
      <c r="AO1260" s="829" t="str">
        <f t="shared" si="267"/>
        <v>Yes</v>
      </c>
      <c r="AP1260" s="259" t="str">
        <f t="shared" si="268"/>
        <v>SEP 22</v>
      </c>
      <c r="AQ1260" s="547" t="str">
        <f t="shared" si="269"/>
        <v>有定金+有預留客戶</v>
      </c>
      <c r="AR1260" s="259" t="str">
        <f t="shared" si="270"/>
        <v>Shipped_Stock</v>
      </c>
      <c r="AS1260" s="259" t="str">
        <f t="shared" si="271"/>
        <v/>
      </c>
      <c r="AT1260" s="259" t="str">
        <f t="shared" si="272"/>
        <v>利速达</v>
      </c>
      <c r="AU1260" s="259" t="str">
        <f t="shared" si="273"/>
        <v>C49SZX20220055SX</v>
      </c>
      <c r="AV1260" s="259" t="str">
        <f t="shared" si="274"/>
        <v>Jul-31</v>
      </c>
    </row>
    <row r="1261" spans="1:48" hidden="1">
      <c r="A1261" s="604">
        <v>1644</v>
      </c>
      <c r="B1261" s="669" t="s">
        <v>1125</v>
      </c>
      <c r="C1261" s="669" t="s">
        <v>281</v>
      </c>
      <c r="D1261" s="760">
        <v>110958</v>
      </c>
      <c r="E1261" s="761" t="s">
        <v>2456</v>
      </c>
      <c r="F1261" s="652" t="s">
        <v>58</v>
      </c>
      <c r="G1261" s="652" t="s">
        <v>24</v>
      </c>
      <c r="H1261" s="652" t="s">
        <v>26</v>
      </c>
      <c r="I1261" s="580" t="s">
        <v>2457</v>
      </c>
      <c r="J1261" s="580">
        <v>1</v>
      </c>
      <c r="K1261" s="652" t="s">
        <v>85</v>
      </c>
      <c r="L1261" s="662">
        <v>44773</v>
      </c>
      <c r="M1261" s="670" t="s">
        <v>906</v>
      </c>
      <c r="N1261" s="652" t="s">
        <v>221</v>
      </c>
      <c r="O1261" s="580">
        <v>2022.7</v>
      </c>
      <c r="P1261" s="670" t="str">
        <f>VLOOKUP(A1261,'[1]Raw data'!$B:$BA,23,FALSE)</f>
        <v>JPY</v>
      </c>
      <c r="Q1261" s="652" t="str">
        <f>VLOOKUP(A1261,'[1]Raw data'!$B:$Z,2,FALSE)</f>
        <v>C49SZX20220046JL</v>
      </c>
      <c r="R1261" s="652" t="str">
        <f>VLOOKUP(A1261,'[1]Raw data'!$B:$Z,3,FALSE)</f>
        <v>快宇</v>
      </c>
      <c r="S1261" s="652" t="str">
        <f>VLOOKUP(A1261,'[1]Raw data'!$B:$Z,4,FALSE)</f>
        <v>YSM20R-2</v>
      </c>
      <c r="T1261" s="652" t="str">
        <f>VLOOKUP(A1261,'[1]Raw data'!$B:$Z,8,FALSE)</f>
        <v>L-&gt;R</v>
      </c>
      <c r="U1261" s="652" t="str">
        <f>VLOOKUP(A1261,'[1]Raw data'!$B:$Z,9,FALSE)</f>
        <v>No</v>
      </c>
      <c r="V1261" s="572" t="str">
        <f t="shared" si="281"/>
        <v>OK</v>
      </c>
      <c r="W1261" s="568" t="str">
        <f>VLOOKUP(A1261,'[1]Raw data'!$B:$AG,32,FALSE)</f>
        <v>DAP SZ</v>
      </c>
      <c r="X1261" s="652">
        <f>VLOOKUP(A1261,'[1]Raw data'!$B:$BA,31,FALSE)</f>
        <v>44669</v>
      </c>
      <c r="Y1261" s="652" t="str">
        <f>VLOOKUP(A1261,'[1]Raw data'!$B:$AS,39,FALSE)</f>
        <v>Yes</v>
      </c>
      <c r="Z1261" s="664"/>
      <c r="AA1261" s="665"/>
      <c r="AB1261" s="666"/>
      <c r="AC1261" s="652" t="s">
        <v>2306</v>
      </c>
      <c r="AD1261" s="580">
        <v>301</v>
      </c>
      <c r="AE1261" s="580">
        <v>10</v>
      </c>
      <c r="AF1261" s="580">
        <v>302</v>
      </c>
      <c r="AG1261" s="580">
        <v>10</v>
      </c>
      <c r="AH1261" s="580"/>
      <c r="AI1261" s="684"/>
      <c r="AJ1261" s="569"/>
      <c r="AK1261" s="569"/>
      <c r="AL1261" s="569"/>
      <c r="AM1261" s="569"/>
      <c r="AN1261" s="619"/>
      <c r="AO1261" s="829" t="str">
        <f t="shared" si="267"/>
        <v>Yes</v>
      </c>
      <c r="AP1261" s="259" t="str">
        <f t="shared" si="268"/>
        <v>AUG 22</v>
      </c>
      <c r="AQ1261" s="547" t="str">
        <f t="shared" si="269"/>
        <v>有定金+有預留客戶</v>
      </c>
      <c r="AR1261" s="259" t="str">
        <f t="shared" si="270"/>
        <v>Shipped_Stock</v>
      </c>
      <c r="AS1261" s="259" t="str">
        <f t="shared" si="271"/>
        <v/>
      </c>
      <c r="AT1261" s="259" t="str">
        <f t="shared" si="272"/>
        <v>快宇</v>
      </c>
      <c r="AU1261" s="259" t="str">
        <f t="shared" si="273"/>
        <v>C49SZX20220046JL</v>
      </c>
      <c r="AV1261" s="259" t="str">
        <f t="shared" si="274"/>
        <v>Jul-31</v>
      </c>
    </row>
    <row r="1262" spans="1:48" ht="24.75" hidden="1">
      <c r="A1262" s="604">
        <v>1665</v>
      </c>
      <c r="B1262" s="669" t="s">
        <v>1125</v>
      </c>
      <c r="C1262" s="669" t="s">
        <v>281</v>
      </c>
      <c r="D1262" s="760">
        <v>110958</v>
      </c>
      <c r="E1262" s="761" t="s">
        <v>2456</v>
      </c>
      <c r="F1262" s="652" t="s">
        <v>58</v>
      </c>
      <c r="G1262" s="652" t="s">
        <v>24</v>
      </c>
      <c r="H1262" s="652" t="s">
        <v>26</v>
      </c>
      <c r="I1262" s="756" t="s">
        <v>2458</v>
      </c>
      <c r="J1262" s="580">
        <v>1</v>
      </c>
      <c r="K1262" s="652" t="s">
        <v>85</v>
      </c>
      <c r="L1262" s="662">
        <v>44773</v>
      </c>
      <c r="M1262" s="670" t="s">
        <v>906</v>
      </c>
      <c r="N1262" s="652" t="s">
        <v>219</v>
      </c>
      <c r="O1262" s="580">
        <v>2022.7</v>
      </c>
      <c r="P1262" s="670" t="str">
        <f>VLOOKUP(A1262,'[1]Raw data'!$B:$BA,23,FALSE)</f>
        <v>JPY</v>
      </c>
      <c r="Q1262" s="652" t="str">
        <f>VLOOKUP(A1262,'[1]Raw data'!$B:$Z,2,FALSE)</f>
        <v>C49SZX20220055SX</v>
      </c>
      <c r="R1262" s="652" t="str">
        <f>VLOOKUP(A1262,'[1]Raw data'!$B:$Z,3,FALSE)</f>
        <v>利速达</v>
      </c>
      <c r="S1262" s="652" t="str">
        <f>VLOOKUP(A1262,'[1]Raw data'!$B:$Z,4,FALSE)</f>
        <v>YSM20R-2</v>
      </c>
      <c r="T1262" s="652" t="str">
        <f>VLOOKUP(A1262,'[1]Raw data'!$B:$Z,8,FALSE)</f>
        <v>L-&gt;R</v>
      </c>
      <c r="U1262" s="652" t="str">
        <f>VLOOKUP(A1262,'[1]Raw data'!$B:$Z,9,FALSE)</f>
        <v>No</v>
      </c>
      <c r="V1262" s="572" t="str">
        <f t="shared" si="281"/>
        <v>OK</v>
      </c>
      <c r="W1262" s="568" t="str">
        <f>VLOOKUP(A1262,'[1]Raw data'!$B:$AG,32,FALSE)</f>
        <v>DAP SZ</v>
      </c>
      <c r="X1262" s="652">
        <f>VLOOKUP(A1262,'[1]Raw data'!$B:$BA,31,FALSE)</f>
        <v>44691</v>
      </c>
      <c r="Y1262" s="652" t="str">
        <f>VLOOKUP(A1262,'[1]Raw data'!$B:$AS,39,FALSE)</f>
        <v>Yes</v>
      </c>
      <c r="Z1262" s="664"/>
      <c r="AA1262" s="665"/>
      <c r="AB1262" s="666"/>
      <c r="AC1262" s="652" t="s">
        <v>2129</v>
      </c>
      <c r="AD1262" s="580">
        <v>301</v>
      </c>
      <c r="AE1262" s="580">
        <v>10</v>
      </c>
      <c r="AF1262" s="580">
        <v>302</v>
      </c>
      <c r="AG1262" s="580">
        <v>10</v>
      </c>
      <c r="AH1262" s="580"/>
      <c r="AI1262" s="684"/>
      <c r="AJ1262" s="569"/>
      <c r="AK1262" s="569"/>
      <c r="AL1262" s="569"/>
      <c r="AM1262" s="569"/>
      <c r="AN1262" s="619"/>
      <c r="AO1262" s="829" t="str">
        <f t="shared" si="267"/>
        <v>Yes</v>
      </c>
      <c r="AP1262" s="259" t="str">
        <f t="shared" si="268"/>
        <v>SEP 22</v>
      </c>
      <c r="AQ1262" s="547" t="str">
        <f t="shared" si="269"/>
        <v>有定金+有預留客戶</v>
      </c>
      <c r="AR1262" s="259" t="str">
        <f t="shared" si="270"/>
        <v>Shipped_Stock</v>
      </c>
      <c r="AS1262" s="259" t="str">
        <f t="shared" si="271"/>
        <v/>
      </c>
      <c r="AT1262" s="259" t="str">
        <f t="shared" si="272"/>
        <v>利速达</v>
      </c>
      <c r="AU1262" s="259" t="str">
        <f t="shared" si="273"/>
        <v>C49SZX20220055SX</v>
      </c>
      <c r="AV1262" s="259" t="str">
        <f t="shared" si="274"/>
        <v>Jul-31</v>
      </c>
    </row>
    <row r="1263" spans="1:48" ht="23.25" hidden="1" thickBot="1">
      <c r="A1263" s="564">
        <v>1821</v>
      </c>
      <c r="B1263" s="669" t="s">
        <v>1125</v>
      </c>
      <c r="C1263" s="669" t="s">
        <v>281</v>
      </c>
      <c r="D1263" s="629">
        <v>110956</v>
      </c>
      <c r="E1263" s="761" t="s">
        <v>2459</v>
      </c>
      <c r="F1263" s="652" t="s">
        <v>17</v>
      </c>
      <c r="G1263" s="652" t="s">
        <v>18</v>
      </c>
      <c r="H1263" s="652" t="s">
        <v>27</v>
      </c>
      <c r="I1263" s="580" t="s">
        <v>2460</v>
      </c>
      <c r="J1263" s="580">
        <v>1</v>
      </c>
      <c r="K1263" s="786" t="s">
        <v>2239</v>
      </c>
      <c r="L1263" s="662">
        <v>44773</v>
      </c>
      <c r="M1263" s="670" t="s">
        <v>2461</v>
      </c>
      <c r="N1263" s="652" t="s">
        <v>217</v>
      </c>
      <c r="O1263" s="580">
        <v>2022.7</v>
      </c>
      <c r="P1263" s="670" t="str">
        <f>VLOOKUP(A1263,'[1]Raw data'!$B:$BA,23,FALSE)</f>
        <v>RMB</v>
      </c>
      <c r="Q1263" s="652" t="str">
        <f>VLOOKUP(A1263,'[1]Raw data'!$B:$Z,2,FALSE)</f>
        <v>C49SZX202300011SX</v>
      </c>
      <c r="R1263" s="652" t="str">
        <f>VLOOKUP(A1263,'[1]Raw data'!$B:$Z,3,FALSE)</f>
        <v>益田科技</v>
      </c>
      <c r="S1263" s="652" t="str">
        <f>VLOOKUP(A1263,'[1]Raw data'!$B:$Z,4,FALSE)</f>
        <v>YSM10</v>
      </c>
      <c r="T1263" s="652" t="str">
        <f>VLOOKUP(A1263,'[1]Raw data'!$B:$Z,8,FALSE)</f>
        <v>L-&gt;R</v>
      </c>
      <c r="U1263" s="652" t="str">
        <f>VLOOKUP(A1263,'[1]Raw data'!$B:$Z,9,FALSE)</f>
        <v>No</v>
      </c>
      <c r="V1263" s="572" t="str">
        <f>IF(G1263&amp;H1263=T1263&amp;U1263,"OK","WRONG")</f>
        <v>WRONG</v>
      </c>
      <c r="W1263" s="568" t="str">
        <f>VLOOKUP(A1263,'[1]Raw data'!$B:$AG,32,FALSE)</f>
        <v>DDP SZ</v>
      </c>
      <c r="X1263" s="652">
        <f>VLOOKUP(A1263,'[1]Raw data'!$B:$BA,31,FALSE)</f>
        <v>44960</v>
      </c>
      <c r="Y1263" s="652" t="str">
        <f>VLOOKUP(A1263,'[1]Raw data'!$B:$AS,39,FALSE)</f>
        <v>Yes</v>
      </c>
      <c r="Z1263" s="671"/>
      <c r="AA1263" s="665"/>
      <c r="AB1263" s="666"/>
      <c r="AC1263" s="652" t="s">
        <v>1172</v>
      </c>
      <c r="AD1263" s="580">
        <v>301</v>
      </c>
      <c r="AE1263" s="580">
        <v>10</v>
      </c>
      <c r="AF1263" s="580"/>
      <c r="AG1263" s="580"/>
      <c r="AH1263" s="580"/>
      <c r="AI1263" s="684"/>
      <c r="AN1263" s="547"/>
      <c r="AO1263" s="829" t="str">
        <f t="shared" si="267"/>
        <v>Yes</v>
      </c>
      <c r="AP1263" s="259" t="str">
        <f t="shared" si="268"/>
        <v>FEB 23</v>
      </c>
      <c r="AQ1263" s="547" t="str">
        <f t="shared" si="269"/>
        <v>有定金+有預留客戶</v>
      </c>
      <c r="AR1263" s="259" t="str">
        <f t="shared" si="270"/>
        <v>Shipped_Stock</v>
      </c>
      <c r="AS1263" s="259" t="str">
        <f t="shared" si="271"/>
        <v/>
      </c>
      <c r="AT1263" s="259" t="str">
        <f t="shared" si="272"/>
        <v>益田科技</v>
      </c>
      <c r="AU1263" s="259" t="str">
        <f t="shared" si="273"/>
        <v>C49SZX202300011SX</v>
      </c>
      <c r="AV1263" s="259" t="str">
        <f t="shared" si="274"/>
        <v>Jul-31</v>
      </c>
    </row>
    <row r="1264" spans="1:48" hidden="1">
      <c r="A1264" s="604">
        <v>1609</v>
      </c>
      <c r="B1264" s="669" t="s">
        <v>1125</v>
      </c>
      <c r="C1264" s="669" t="s">
        <v>281</v>
      </c>
      <c r="D1264" s="766">
        <v>110959</v>
      </c>
      <c r="E1264" s="761" t="s">
        <v>2272</v>
      </c>
      <c r="F1264" s="652" t="s">
        <v>58</v>
      </c>
      <c r="G1264" s="652" t="s">
        <v>24</v>
      </c>
      <c r="H1264" s="652" t="s">
        <v>26</v>
      </c>
      <c r="I1264" s="580" t="s">
        <v>2462</v>
      </c>
      <c r="J1264" s="580">
        <v>1</v>
      </c>
      <c r="K1264" s="652"/>
      <c r="L1264" s="662">
        <v>44774</v>
      </c>
      <c r="M1264" s="670" t="s">
        <v>906</v>
      </c>
      <c r="N1264" s="652" t="s">
        <v>221</v>
      </c>
      <c r="O1264" s="580">
        <v>2022.7</v>
      </c>
      <c r="P1264" s="670" t="str">
        <f>VLOOKUP(A1264,'[1]Raw data'!$B:$BA,23,FALSE)</f>
        <v>JPY</v>
      </c>
      <c r="Q1264" s="652" t="str">
        <f>VLOOKUP(A1264,'[1]Raw data'!$B:$Z,2,FALSE)</f>
        <v>C49SZX20220033JL</v>
      </c>
      <c r="R1264" s="652" t="str">
        <f>VLOOKUP(A1264,'[1]Raw data'!$B:$Z,3,FALSE)</f>
        <v>拓普艾</v>
      </c>
      <c r="S1264" s="652" t="str">
        <f>VLOOKUP(A1264,'[1]Raw data'!$B:$Z,4,FALSE)</f>
        <v>YSM20R-2</v>
      </c>
      <c r="T1264" s="652" t="str">
        <f>VLOOKUP(A1264,'[1]Raw data'!$B:$Z,8,FALSE)</f>
        <v>L-&gt;R</v>
      </c>
      <c r="U1264" s="652" t="str">
        <f>VLOOKUP(A1264,'[1]Raw data'!$B:$Z,9,FALSE)</f>
        <v>No</v>
      </c>
      <c r="V1264" s="572" t="str">
        <f t="shared" si="281"/>
        <v>OK</v>
      </c>
      <c r="W1264" s="568" t="str">
        <f>VLOOKUP(A1264,'[1]Raw data'!$B:$AG,32,FALSE)</f>
        <v>CIF HK</v>
      </c>
      <c r="X1264" s="652">
        <f>VLOOKUP(A1264,'[1]Raw data'!$B:$BA,31,FALSE)</f>
        <v>44630</v>
      </c>
      <c r="Y1264" s="652" t="str">
        <f>VLOOKUP(A1264,'[1]Raw data'!$B:$AS,39,FALSE)</f>
        <v>Yes</v>
      </c>
      <c r="Z1264" s="664"/>
      <c r="AA1264" s="665"/>
      <c r="AB1264" s="666"/>
      <c r="AC1264" s="652" t="s">
        <v>2288</v>
      </c>
      <c r="AD1264" s="580">
        <v>311</v>
      </c>
      <c r="AE1264" s="580">
        <v>20</v>
      </c>
      <c r="AF1264" s="580"/>
      <c r="AG1264" s="580"/>
      <c r="AH1264" s="580"/>
      <c r="AI1264" s="684"/>
      <c r="AJ1264" s="569"/>
      <c r="AK1264" s="569"/>
      <c r="AL1264" s="569"/>
      <c r="AM1264" s="569"/>
      <c r="AN1264" s="619"/>
      <c r="AO1264" s="829" t="str">
        <f t="shared" si="267"/>
        <v>Yes</v>
      </c>
      <c r="AP1264" s="259" t="str">
        <f t="shared" si="268"/>
        <v>AUG 22</v>
      </c>
      <c r="AQ1264" s="547" t="str">
        <f t="shared" si="269"/>
        <v>有定金+有預留客戶</v>
      </c>
      <c r="AR1264" s="259" t="str">
        <f t="shared" si="270"/>
        <v>Shipped_Stock</v>
      </c>
      <c r="AS1264" s="259" t="str">
        <f t="shared" si="271"/>
        <v/>
      </c>
      <c r="AT1264" s="259" t="str">
        <f t="shared" si="272"/>
        <v>拓普艾</v>
      </c>
      <c r="AU1264" s="259" t="str">
        <f t="shared" si="273"/>
        <v>C49SZX20220033JL</v>
      </c>
      <c r="AV1264" s="259" t="str">
        <f t="shared" si="274"/>
        <v>Aug-01</v>
      </c>
    </row>
    <row r="1265" spans="1:48" hidden="1">
      <c r="A1265" s="604">
        <v>1610</v>
      </c>
      <c r="B1265" s="669" t="s">
        <v>1125</v>
      </c>
      <c r="C1265" s="669" t="s">
        <v>281</v>
      </c>
      <c r="D1265" s="760">
        <v>110959</v>
      </c>
      <c r="E1265" s="761" t="s">
        <v>2272</v>
      </c>
      <c r="F1265" s="652" t="s">
        <v>58</v>
      </c>
      <c r="G1265" s="652" t="s">
        <v>24</v>
      </c>
      <c r="H1265" s="652" t="s">
        <v>26</v>
      </c>
      <c r="I1265" s="580" t="s">
        <v>2463</v>
      </c>
      <c r="J1265" s="580">
        <v>1</v>
      </c>
      <c r="K1265" s="652"/>
      <c r="L1265" s="662">
        <v>44774</v>
      </c>
      <c r="M1265" s="670" t="s">
        <v>906</v>
      </c>
      <c r="N1265" s="652" t="s">
        <v>221</v>
      </c>
      <c r="O1265" s="580">
        <v>2022.7</v>
      </c>
      <c r="P1265" s="670" t="str">
        <f>VLOOKUP(A1265,'[1]Raw data'!$B:$BA,23,FALSE)</f>
        <v>JPY</v>
      </c>
      <c r="Q1265" s="652" t="str">
        <f>VLOOKUP(A1265,'[1]Raw data'!$B:$Z,2,FALSE)</f>
        <v>C49SZX20220033JL</v>
      </c>
      <c r="R1265" s="652" t="str">
        <f>VLOOKUP(A1265,'[1]Raw data'!$B:$Z,3,FALSE)</f>
        <v>拓普艾</v>
      </c>
      <c r="S1265" s="652" t="str">
        <f>VLOOKUP(A1265,'[1]Raw data'!$B:$Z,4,FALSE)</f>
        <v>YSM20R-2</v>
      </c>
      <c r="T1265" s="652" t="str">
        <f>VLOOKUP(A1265,'[1]Raw data'!$B:$Z,8,FALSE)</f>
        <v>L-&gt;R</v>
      </c>
      <c r="U1265" s="652" t="str">
        <f>VLOOKUP(A1265,'[1]Raw data'!$B:$Z,9,FALSE)</f>
        <v>No</v>
      </c>
      <c r="V1265" s="572" t="str">
        <f t="shared" si="281"/>
        <v>OK</v>
      </c>
      <c r="W1265" s="568" t="str">
        <f>VLOOKUP(A1265,'[1]Raw data'!$B:$AG,32,FALSE)</f>
        <v>CIF HK</v>
      </c>
      <c r="X1265" s="652">
        <f>VLOOKUP(A1265,'[1]Raw data'!$B:$BA,31,FALSE)</f>
        <v>44630</v>
      </c>
      <c r="Y1265" s="652" t="str">
        <f>VLOOKUP(A1265,'[1]Raw data'!$B:$AS,39,FALSE)</f>
        <v>Yes</v>
      </c>
      <c r="Z1265" s="664"/>
      <c r="AA1265" s="665"/>
      <c r="AB1265" s="666"/>
      <c r="AC1265" s="652" t="s">
        <v>2288</v>
      </c>
      <c r="AD1265" s="580">
        <v>302</v>
      </c>
      <c r="AE1265" s="580">
        <v>20</v>
      </c>
      <c r="AF1265" s="580"/>
      <c r="AG1265" s="580"/>
      <c r="AH1265" s="580"/>
      <c r="AI1265" s="684"/>
      <c r="AJ1265" s="569"/>
      <c r="AK1265" s="569"/>
      <c r="AL1265" s="569"/>
      <c r="AM1265" s="569"/>
      <c r="AN1265" s="619"/>
      <c r="AO1265" s="829" t="str">
        <f t="shared" si="267"/>
        <v>Yes</v>
      </c>
      <c r="AP1265" s="259" t="str">
        <f t="shared" si="268"/>
        <v>AUG 22</v>
      </c>
      <c r="AQ1265" s="547" t="str">
        <f t="shared" si="269"/>
        <v>有定金+有預留客戶</v>
      </c>
      <c r="AR1265" s="259" t="str">
        <f t="shared" si="270"/>
        <v>Shipped_Stock</v>
      </c>
      <c r="AS1265" s="259" t="str">
        <f t="shared" si="271"/>
        <v/>
      </c>
      <c r="AT1265" s="259" t="str">
        <f t="shared" si="272"/>
        <v>拓普艾</v>
      </c>
      <c r="AU1265" s="259" t="str">
        <f t="shared" si="273"/>
        <v>C49SZX20220033JL</v>
      </c>
      <c r="AV1265" s="259" t="str">
        <f t="shared" si="274"/>
        <v>Aug-01</v>
      </c>
    </row>
    <row r="1266" spans="1:48" hidden="1">
      <c r="A1266" s="604">
        <v>1611</v>
      </c>
      <c r="B1266" s="669" t="s">
        <v>1125</v>
      </c>
      <c r="C1266" s="669" t="s">
        <v>281</v>
      </c>
      <c r="D1266" s="760">
        <v>110959</v>
      </c>
      <c r="E1266" s="761" t="s">
        <v>2272</v>
      </c>
      <c r="F1266" s="652" t="s">
        <v>58</v>
      </c>
      <c r="G1266" s="652" t="s">
        <v>24</v>
      </c>
      <c r="H1266" s="652" t="s">
        <v>26</v>
      </c>
      <c r="I1266" s="580" t="s">
        <v>2464</v>
      </c>
      <c r="J1266" s="580">
        <v>1</v>
      </c>
      <c r="K1266" s="652"/>
      <c r="L1266" s="662">
        <v>44774</v>
      </c>
      <c r="M1266" s="670" t="s">
        <v>906</v>
      </c>
      <c r="N1266" s="652" t="s">
        <v>221</v>
      </c>
      <c r="O1266" s="580">
        <v>2022.7</v>
      </c>
      <c r="P1266" s="670" t="str">
        <f>VLOOKUP(A1266,'[1]Raw data'!$B:$BA,23,FALSE)</f>
        <v>JPY</v>
      </c>
      <c r="Q1266" s="652" t="str">
        <f>VLOOKUP(A1266,'[1]Raw data'!$B:$Z,2,FALSE)</f>
        <v>C49SZX20220033JL</v>
      </c>
      <c r="R1266" s="652" t="str">
        <f>VLOOKUP(A1266,'[1]Raw data'!$B:$Z,3,FALSE)</f>
        <v>拓普艾</v>
      </c>
      <c r="S1266" s="652" t="str">
        <f>VLOOKUP(A1266,'[1]Raw data'!$B:$Z,4,FALSE)</f>
        <v>YSM20R-2</v>
      </c>
      <c r="T1266" s="652" t="str">
        <f>VLOOKUP(A1266,'[1]Raw data'!$B:$Z,8,FALSE)</f>
        <v>L-&gt;R</v>
      </c>
      <c r="U1266" s="652" t="str">
        <f>VLOOKUP(A1266,'[1]Raw data'!$B:$Z,9,FALSE)</f>
        <v>No</v>
      </c>
      <c r="V1266" s="572" t="str">
        <f t="shared" si="281"/>
        <v>OK</v>
      </c>
      <c r="W1266" s="568" t="str">
        <f>VLOOKUP(A1266,'[1]Raw data'!$B:$AG,32,FALSE)</f>
        <v>CIF HK</v>
      </c>
      <c r="X1266" s="652">
        <f>VLOOKUP(A1266,'[1]Raw data'!$B:$BA,31,FALSE)</f>
        <v>44630</v>
      </c>
      <c r="Y1266" s="652" t="str">
        <f>VLOOKUP(A1266,'[1]Raw data'!$B:$AS,39,FALSE)</f>
        <v>Yes</v>
      </c>
      <c r="Z1266" s="664"/>
      <c r="AA1266" s="665"/>
      <c r="AB1266" s="666"/>
      <c r="AC1266" s="652" t="s">
        <v>2288</v>
      </c>
      <c r="AD1266" s="580">
        <v>302</v>
      </c>
      <c r="AE1266" s="580">
        <v>20</v>
      </c>
      <c r="AF1266" s="580"/>
      <c r="AG1266" s="580"/>
      <c r="AH1266" s="580"/>
      <c r="AI1266" s="684"/>
      <c r="AJ1266" s="569"/>
      <c r="AK1266" s="569"/>
      <c r="AL1266" s="569"/>
      <c r="AM1266" s="569"/>
      <c r="AN1266" s="619"/>
      <c r="AO1266" s="829" t="str">
        <f t="shared" si="267"/>
        <v>Yes</v>
      </c>
      <c r="AP1266" s="259" t="str">
        <f t="shared" si="268"/>
        <v>AUG 22</v>
      </c>
      <c r="AQ1266" s="547" t="str">
        <f t="shared" si="269"/>
        <v>有定金+有預留客戶</v>
      </c>
      <c r="AR1266" s="259" t="str">
        <f t="shared" si="270"/>
        <v>Shipped_Stock</v>
      </c>
      <c r="AS1266" s="259" t="str">
        <f t="shared" si="271"/>
        <v/>
      </c>
      <c r="AT1266" s="259" t="str">
        <f t="shared" si="272"/>
        <v>拓普艾</v>
      </c>
      <c r="AU1266" s="259" t="str">
        <f t="shared" si="273"/>
        <v>C49SZX20220033JL</v>
      </c>
      <c r="AV1266" s="259" t="str">
        <f t="shared" si="274"/>
        <v>Aug-01</v>
      </c>
    </row>
    <row r="1267" spans="1:48" hidden="1">
      <c r="A1267" s="604">
        <v>1612</v>
      </c>
      <c r="B1267" s="669" t="s">
        <v>1125</v>
      </c>
      <c r="C1267" s="669" t="s">
        <v>281</v>
      </c>
      <c r="D1267" s="760">
        <v>110959</v>
      </c>
      <c r="E1267" s="761" t="s">
        <v>2272</v>
      </c>
      <c r="F1267" s="652" t="s">
        <v>58</v>
      </c>
      <c r="G1267" s="652" t="s">
        <v>24</v>
      </c>
      <c r="H1267" s="652" t="s">
        <v>26</v>
      </c>
      <c r="I1267" s="580" t="s">
        <v>2465</v>
      </c>
      <c r="J1267" s="580">
        <v>1</v>
      </c>
      <c r="K1267" s="652"/>
      <c r="L1267" s="662">
        <v>44774</v>
      </c>
      <c r="M1267" s="670" t="s">
        <v>906</v>
      </c>
      <c r="N1267" s="652" t="s">
        <v>221</v>
      </c>
      <c r="O1267" s="580">
        <v>2022.7</v>
      </c>
      <c r="P1267" s="670" t="str">
        <f>VLOOKUP(A1267,'[1]Raw data'!$B:$BA,23,FALSE)</f>
        <v>JPY</v>
      </c>
      <c r="Q1267" s="652" t="str">
        <f>VLOOKUP(A1267,'[1]Raw data'!$B:$Z,2,FALSE)</f>
        <v>C49SZX20220033JL</v>
      </c>
      <c r="R1267" s="652" t="str">
        <f>VLOOKUP(A1267,'[1]Raw data'!$B:$Z,3,FALSE)</f>
        <v>拓普艾</v>
      </c>
      <c r="S1267" s="652" t="str">
        <f>VLOOKUP(A1267,'[1]Raw data'!$B:$Z,4,FALSE)</f>
        <v>YSM20R-2</v>
      </c>
      <c r="T1267" s="652" t="str">
        <f>VLOOKUP(A1267,'[1]Raw data'!$B:$Z,8,FALSE)</f>
        <v>L-&gt;R</v>
      </c>
      <c r="U1267" s="652" t="str">
        <f>VLOOKUP(A1267,'[1]Raw data'!$B:$Z,9,FALSE)</f>
        <v>No</v>
      </c>
      <c r="V1267" s="572" t="str">
        <f t="shared" si="281"/>
        <v>OK</v>
      </c>
      <c r="W1267" s="568" t="str">
        <f>VLOOKUP(A1267,'[1]Raw data'!$B:$AG,32,FALSE)</f>
        <v>CIF HK</v>
      </c>
      <c r="X1267" s="652">
        <f>VLOOKUP(A1267,'[1]Raw data'!$B:$BA,31,FALSE)</f>
        <v>44630</v>
      </c>
      <c r="Y1267" s="652" t="str">
        <f>VLOOKUP(A1267,'[1]Raw data'!$B:$AS,39,FALSE)</f>
        <v>Yes</v>
      </c>
      <c r="Z1267" s="664"/>
      <c r="AA1267" s="665"/>
      <c r="AB1267" s="666"/>
      <c r="AC1267" s="652" t="s">
        <v>2288</v>
      </c>
      <c r="AD1267" s="580">
        <v>301</v>
      </c>
      <c r="AE1267" s="580">
        <v>20</v>
      </c>
      <c r="AF1267" s="580"/>
      <c r="AG1267" s="580"/>
      <c r="AH1267" s="580"/>
      <c r="AI1267" s="684"/>
      <c r="AJ1267" s="569"/>
      <c r="AK1267" s="569"/>
      <c r="AL1267" s="569"/>
      <c r="AM1267" s="569"/>
      <c r="AN1267" s="619"/>
      <c r="AO1267" s="829" t="str">
        <f t="shared" si="267"/>
        <v>Yes</v>
      </c>
      <c r="AP1267" s="259" t="str">
        <f t="shared" si="268"/>
        <v>AUG 22</v>
      </c>
      <c r="AQ1267" s="547" t="str">
        <f t="shared" si="269"/>
        <v>有定金+有預留客戶</v>
      </c>
      <c r="AR1267" s="259" t="str">
        <f t="shared" si="270"/>
        <v>Shipped_Stock</v>
      </c>
      <c r="AS1267" s="259" t="str">
        <f t="shared" si="271"/>
        <v/>
      </c>
      <c r="AT1267" s="259" t="str">
        <f t="shared" si="272"/>
        <v>拓普艾</v>
      </c>
      <c r="AU1267" s="259" t="str">
        <f t="shared" si="273"/>
        <v>C49SZX20220033JL</v>
      </c>
      <c r="AV1267" s="259" t="str">
        <f t="shared" si="274"/>
        <v>Aug-01</v>
      </c>
    </row>
    <row r="1268" spans="1:48" ht="13.5" hidden="1" thickBot="1">
      <c r="A1268" s="604">
        <v>1613</v>
      </c>
      <c r="B1268" s="669" t="s">
        <v>1125</v>
      </c>
      <c r="C1268" s="669" t="s">
        <v>281</v>
      </c>
      <c r="D1268" s="629">
        <v>110959</v>
      </c>
      <c r="E1268" s="761" t="s">
        <v>2272</v>
      </c>
      <c r="F1268" s="652" t="s">
        <v>58</v>
      </c>
      <c r="G1268" s="652" t="s">
        <v>24</v>
      </c>
      <c r="H1268" s="652" t="s">
        <v>26</v>
      </c>
      <c r="I1268" s="580" t="s">
        <v>2466</v>
      </c>
      <c r="J1268" s="580">
        <v>1</v>
      </c>
      <c r="K1268" s="652"/>
      <c r="L1268" s="662">
        <v>44774</v>
      </c>
      <c r="M1268" s="670" t="s">
        <v>906</v>
      </c>
      <c r="N1268" s="652" t="s">
        <v>221</v>
      </c>
      <c r="O1268" s="580">
        <v>2022.7</v>
      </c>
      <c r="P1268" s="670" t="str">
        <f>VLOOKUP(A1268,'[1]Raw data'!$B:$BA,23,FALSE)</f>
        <v>JPY</v>
      </c>
      <c r="Q1268" s="652" t="str">
        <f>VLOOKUP(A1268,'[1]Raw data'!$B:$Z,2,FALSE)</f>
        <v>C49SZX20220033JL</v>
      </c>
      <c r="R1268" s="652" t="str">
        <f>VLOOKUP(A1268,'[1]Raw data'!$B:$Z,3,FALSE)</f>
        <v>拓普艾</v>
      </c>
      <c r="S1268" s="652" t="str">
        <f>VLOOKUP(A1268,'[1]Raw data'!$B:$Z,4,FALSE)</f>
        <v>YSM20R-2</v>
      </c>
      <c r="T1268" s="652" t="str">
        <f>VLOOKUP(A1268,'[1]Raw data'!$B:$Z,8,FALSE)</f>
        <v>L-&gt;R</v>
      </c>
      <c r="U1268" s="652" t="str">
        <f>VLOOKUP(A1268,'[1]Raw data'!$B:$Z,9,FALSE)</f>
        <v>No</v>
      </c>
      <c r="V1268" s="572" t="str">
        <f t="shared" si="281"/>
        <v>OK</v>
      </c>
      <c r="W1268" s="568" t="str">
        <f>VLOOKUP(A1268,'[1]Raw data'!$B:$AG,32,FALSE)</f>
        <v>CIF HK</v>
      </c>
      <c r="X1268" s="652">
        <f>VLOOKUP(A1268,'[1]Raw data'!$B:$BA,31,FALSE)</f>
        <v>44630</v>
      </c>
      <c r="Y1268" s="652" t="str">
        <f>VLOOKUP(A1268,'[1]Raw data'!$B:$AS,39,FALSE)</f>
        <v>Yes</v>
      </c>
      <c r="Z1268" s="664"/>
      <c r="AA1268" s="665"/>
      <c r="AB1268" s="666"/>
      <c r="AC1268" s="652" t="s">
        <v>2288</v>
      </c>
      <c r="AD1268" s="580">
        <v>301</v>
      </c>
      <c r="AE1268" s="580">
        <v>10</v>
      </c>
      <c r="AF1268" s="580">
        <v>312</v>
      </c>
      <c r="AG1268" s="580">
        <v>10</v>
      </c>
      <c r="AH1268" s="580"/>
      <c r="AI1268" s="684"/>
      <c r="AJ1268" s="569"/>
      <c r="AK1268" s="569"/>
      <c r="AL1268" s="569"/>
      <c r="AM1268" s="569"/>
      <c r="AN1268" s="619"/>
      <c r="AO1268" s="829" t="str">
        <f t="shared" si="267"/>
        <v>Yes</v>
      </c>
      <c r="AP1268" s="259" t="str">
        <f t="shared" si="268"/>
        <v>AUG 22</v>
      </c>
      <c r="AQ1268" s="547" t="str">
        <f t="shared" si="269"/>
        <v>有定金+有預留客戶</v>
      </c>
      <c r="AR1268" s="259" t="str">
        <f t="shared" si="270"/>
        <v>Shipped_Stock</v>
      </c>
      <c r="AS1268" s="259" t="str">
        <f t="shared" si="271"/>
        <v/>
      </c>
      <c r="AT1268" s="259" t="str">
        <f t="shared" si="272"/>
        <v>拓普艾</v>
      </c>
      <c r="AU1268" s="259" t="str">
        <f t="shared" si="273"/>
        <v>C49SZX20220033JL</v>
      </c>
      <c r="AV1268" s="259" t="str">
        <f t="shared" si="274"/>
        <v>Aug-01</v>
      </c>
    </row>
    <row r="1269" spans="1:48" hidden="1">
      <c r="A1269" s="564">
        <v>1701</v>
      </c>
      <c r="B1269" s="669" t="s">
        <v>1125</v>
      </c>
      <c r="C1269" s="669" t="s">
        <v>281</v>
      </c>
      <c r="D1269" s="766">
        <v>110959</v>
      </c>
      <c r="E1269" s="761" t="s">
        <v>2272</v>
      </c>
      <c r="F1269" s="652" t="s">
        <v>58</v>
      </c>
      <c r="G1269" s="652" t="s">
        <v>24</v>
      </c>
      <c r="H1269" s="652" t="s">
        <v>26</v>
      </c>
      <c r="I1269" s="580" t="s">
        <v>2467</v>
      </c>
      <c r="J1269" s="580">
        <v>1</v>
      </c>
      <c r="K1269" s="652" t="s">
        <v>78</v>
      </c>
      <c r="L1269" s="662">
        <v>44774</v>
      </c>
      <c r="M1269" s="670" t="s">
        <v>906</v>
      </c>
      <c r="N1269" s="652" t="s">
        <v>221</v>
      </c>
      <c r="O1269" s="580">
        <v>2022.7</v>
      </c>
      <c r="P1269" s="670" t="str">
        <f>VLOOKUP(A1269,'[1]Raw data'!$B:$BA,23,FALSE)</f>
        <v>JPY</v>
      </c>
      <c r="Q1269" s="652" t="str">
        <f>VLOOKUP(A1269,'[1]Raw data'!$B:$Z,2,FALSE)</f>
        <v>C49SZX20220073DZ</v>
      </c>
      <c r="R1269" s="652" t="str">
        <f>VLOOKUP(A1269,'[1]Raw data'!$B:$Z,3,FALSE)</f>
        <v>朗特</v>
      </c>
      <c r="S1269" s="652" t="str">
        <f>VLOOKUP(A1269,'[1]Raw data'!$B:$Z,4,FALSE)</f>
        <v>YSM20R-2</v>
      </c>
      <c r="T1269" s="652" t="str">
        <f>VLOOKUP(A1269,'[1]Raw data'!$B:$Z,8,FALSE)</f>
        <v>L-&gt;R</v>
      </c>
      <c r="U1269" s="652" t="str">
        <f>VLOOKUP(A1269,'[1]Raw data'!$B:$Z,9,FALSE)</f>
        <v>No</v>
      </c>
      <c r="V1269" s="572" t="str">
        <f t="shared" si="281"/>
        <v>OK</v>
      </c>
      <c r="W1269" s="568" t="str">
        <f>VLOOKUP(A1269,'[1]Raw data'!$B:$AG,32,FALSE)</f>
        <v>CIF HK</v>
      </c>
      <c r="X1269" s="652">
        <f>VLOOKUP(A1269,'[1]Raw data'!$B:$BA,31,FALSE)</f>
        <v>44754</v>
      </c>
      <c r="Y1269" s="652" t="str">
        <f>VLOOKUP(A1269,'[1]Raw data'!$B:$AS,39,FALSE)</f>
        <v>Yes</v>
      </c>
      <c r="Z1269" s="664"/>
      <c r="AA1269" s="665"/>
      <c r="AB1269" s="666"/>
      <c r="AC1269" s="652" t="s">
        <v>2336</v>
      </c>
      <c r="AD1269" s="667">
        <v>301</v>
      </c>
      <c r="AE1269" s="667">
        <v>10</v>
      </c>
      <c r="AF1269" s="667">
        <v>313</v>
      </c>
      <c r="AG1269" s="667">
        <v>10</v>
      </c>
      <c r="AH1269" s="667"/>
      <c r="AI1269" s="668"/>
      <c r="AN1269" s="547"/>
      <c r="AO1269" s="829" t="str">
        <f t="shared" si="267"/>
        <v>Yes</v>
      </c>
      <c r="AP1269" s="259" t="str">
        <f t="shared" si="268"/>
        <v>AUG 22</v>
      </c>
      <c r="AQ1269" s="547" t="str">
        <f t="shared" si="269"/>
        <v>有定金+有預留客戶</v>
      </c>
      <c r="AR1269" s="259" t="str">
        <f t="shared" si="270"/>
        <v>Shipped_Stock</v>
      </c>
      <c r="AS1269" s="259" t="str">
        <f t="shared" si="271"/>
        <v/>
      </c>
      <c r="AT1269" s="259" t="str">
        <f t="shared" si="272"/>
        <v>朗特</v>
      </c>
      <c r="AU1269" s="259" t="str">
        <f t="shared" si="273"/>
        <v>C49SZX20220073DZ</v>
      </c>
      <c r="AV1269" s="259" t="str">
        <f t="shared" si="274"/>
        <v>Aug-01</v>
      </c>
    </row>
    <row r="1270" spans="1:48" hidden="1">
      <c r="A1270" s="564">
        <v>1702</v>
      </c>
      <c r="B1270" s="669" t="s">
        <v>1125</v>
      </c>
      <c r="C1270" s="669" t="s">
        <v>281</v>
      </c>
      <c r="D1270" s="760">
        <v>110959</v>
      </c>
      <c r="E1270" s="761" t="s">
        <v>2272</v>
      </c>
      <c r="F1270" s="652" t="s">
        <v>58</v>
      </c>
      <c r="G1270" s="652" t="s">
        <v>24</v>
      </c>
      <c r="H1270" s="652" t="s">
        <v>26</v>
      </c>
      <c r="I1270" s="580" t="s">
        <v>2468</v>
      </c>
      <c r="J1270" s="580">
        <v>1</v>
      </c>
      <c r="K1270" s="652" t="s">
        <v>78</v>
      </c>
      <c r="L1270" s="662">
        <v>44774</v>
      </c>
      <c r="M1270" s="670" t="s">
        <v>906</v>
      </c>
      <c r="N1270" s="652" t="s">
        <v>221</v>
      </c>
      <c r="O1270" s="580">
        <v>2022.7</v>
      </c>
      <c r="P1270" s="670" t="str">
        <f>VLOOKUP(A1270,'[1]Raw data'!$B:$BA,23,FALSE)</f>
        <v>JPY</v>
      </c>
      <c r="Q1270" s="652" t="str">
        <f>VLOOKUP(A1270,'[1]Raw data'!$B:$Z,2,FALSE)</f>
        <v>C49SZX20220073DZ</v>
      </c>
      <c r="R1270" s="652" t="str">
        <f>VLOOKUP(A1270,'[1]Raw data'!$B:$Z,3,FALSE)</f>
        <v>朗特</v>
      </c>
      <c r="S1270" s="652" t="str">
        <f>VLOOKUP(A1270,'[1]Raw data'!$B:$Z,4,FALSE)</f>
        <v>YSM20R-2</v>
      </c>
      <c r="T1270" s="652" t="str">
        <f>VLOOKUP(A1270,'[1]Raw data'!$B:$Z,8,FALSE)</f>
        <v>L-&gt;R</v>
      </c>
      <c r="U1270" s="652" t="str">
        <f>VLOOKUP(A1270,'[1]Raw data'!$B:$Z,9,FALSE)</f>
        <v>No</v>
      </c>
      <c r="V1270" s="572" t="str">
        <f t="shared" si="281"/>
        <v>OK</v>
      </c>
      <c r="W1270" s="568" t="str">
        <f>VLOOKUP(A1270,'[1]Raw data'!$B:$AG,32,FALSE)</f>
        <v>CIF HK</v>
      </c>
      <c r="X1270" s="652">
        <f>VLOOKUP(A1270,'[1]Raw data'!$B:$BA,31,FALSE)</f>
        <v>44754</v>
      </c>
      <c r="Y1270" s="652" t="str">
        <f>VLOOKUP(A1270,'[1]Raw data'!$B:$AS,39,FALSE)</f>
        <v>Yes</v>
      </c>
      <c r="Z1270" s="664"/>
      <c r="AA1270" s="665"/>
      <c r="AB1270" s="666"/>
      <c r="AC1270" s="652" t="s">
        <v>2336</v>
      </c>
      <c r="AD1270" s="667">
        <v>301</v>
      </c>
      <c r="AE1270" s="667">
        <v>10</v>
      </c>
      <c r="AF1270" s="667">
        <v>312</v>
      </c>
      <c r="AG1270" s="667">
        <v>10</v>
      </c>
      <c r="AH1270" s="667"/>
      <c r="AI1270" s="668"/>
      <c r="AN1270" s="547"/>
      <c r="AO1270" s="829" t="str">
        <f t="shared" si="267"/>
        <v>Yes</v>
      </c>
      <c r="AP1270" s="259" t="str">
        <f t="shared" si="268"/>
        <v>AUG 22</v>
      </c>
      <c r="AQ1270" s="547" t="str">
        <f t="shared" si="269"/>
        <v>有定金+有預留客戶</v>
      </c>
      <c r="AR1270" s="259" t="str">
        <f t="shared" si="270"/>
        <v>Shipped_Stock</v>
      </c>
      <c r="AS1270" s="259" t="str">
        <f t="shared" si="271"/>
        <v/>
      </c>
      <c r="AT1270" s="259" t="str">
        <f t="shared" si="272"/>
        <v>朗特</v>
      </c>
      <c r="AU1270" s="259" t="str">
        <f t="shared" si="273"/>
        <v>C49SZX20220073DZ</v>
      </c>
      <c r="AV1270" s="259" t="str">
        <f t="shared" si="274"/>
        <v>Aug-01</v>
      </c>
    </row>
    <row r="1271" spans="1:48" hidden="1">
      <c r="A1271" s="564">
        <v>1703</v>
      </c>
      <c r="B1271" s="669" t="s">
        <v>1125</v>
      </c>
      <c r="C1271" s="669" t="s">
        <v>281</v>
      </c>
      <c r="D1271" s="760" t="s">
        <v>2469</v>
      </c>
      <c r="E1271" s="761" t="s">
        <v>2272</v>
      </c>
      <c r="F1271" s="652" t="s">
        <v>58</v>
      </c>
      <c r="G1271" s="652" t="s">
        <v>24</v>
      </c>
      <c r="H1271" s="652" t="s">
        <v>26</v>
      </c>
      <c r="I1271" s="580" t="s">
        <v>2470</v>
      </c>
      <c r="J1271" s="580">
        <v>1</v>
      </c>
      <c r="K1271" s="652" t="s">
        <v>78</v>
      </c>
      <c r="L1271" s="662">
        <v>44774</v>
      </c>
      <c r="M1271" s="670">
        <v>4.9200000000000001E-2</v>
      </c>
      <c r="N1271" s="652" t="s">
        <v>221</v>
      </c>
      <c r="O1271" s="580">
        <v>2022.7</v>
      </c>
      <c r="P1271" s="670" t="str">
        <f>VLOOKUP(A1271,'[1]Raw data'!$B:$BA,23,FALSE)</f>
        <v>JPY</v>
      </c>
      <c r="Q1271" s="652" t="str">
        <f>VLOOKUP(A1271,'[1]Raw data'!$B:$Z,2,FALSE)</f>
        <v>C49SZX20220073DZ</v>
      </c>
      <c r="R1271" s="652" t="str">
        <f>VLOOKUP(A1271,'[1]Raw data'!$B:$Z,3,FALSE)</f>
        <v>朗特</v>
      </c>
      <c r="S1271" s="652" t="str">
        <f>VLOOKUP(A1271,'[1]Raw data'!$B:$Z,4,FALSE)</f>
        <v>YSM20R-2</v>
      </c>
      <c r="T1271" s="652" t="str">
        <f>VLOOKUP(A1271,'[1]Raw data'!$B:$Z,8,FALSE)</f>
        <v>L-&gt;R</v>
      </c>
      <c r="U1271" s="652" t="str">
        <f>VLOOKUP(A1271,'[1]Raw data'!$B:$Z,9,FALSE)</f>
        <v>No</v>
      </c>
      <c r="V1271" s="572" t="str">
        <f t="shared" si="281"/>
        <v>OK</v>
      </c>
      <c r="W1271" s="568" t="str">
        <f>VLOOKUP(A1271,'[1]Raw data'!$B:$AG,32,FALSE)</f>
        <v>CIF HK</v>
      </c>
      <c r="X1271" s="652">
        <f>VLOOKUP(A1271,'[1]Raw data'!$B:$BA,31,FALSE)</f>
        <v>44754</v>
      </c>
      <c r="Y1271" s="652" t="str">
        <f>VLOOKUP(A1271,'[1]Raw data'!$B:$AS,39,FALSE)</f>
        <v>Yes</v>
      </c>
      <c r="Z1271" s="664"/>
      <c r="AA1271" s="665"/>
      <c r="AB1271" s="666"/>
      <c r="AC1271" s="652" t="s">
        <v>933</v>
      </c>
      <c r="AD1271" s="667">
        <v>301</v>
      </c>
      <c r="AE1271" s="667">
        <v>10</v>
      </c>
      <c r="AF1271" s="667">
        <v>306</v>
      </c>
      <c r="AG1271" s="667">
        <v>10</v>
      </c>
      <c r="AH1271" s="667"/>
      <c r="AI1271" s="668"/>
      <c r="AN1271" s="547"/>
      <c r="AO1271" s="829" t="str">
        <f t="shared" si="267"/>
        <v>Yes</v>
      </c>
      <c r="AP1271" s="259" t="str">
        <f t="shared" si="268"/>
        <v>AUG 22</v>
      </c>
      <c r="AQ1271" s="547" t="str">
        <f t="shared" si="269"/>
        <v>有定金+有預留客戶</v>
      </c>
      <c r="AR1271" s="259" t="str">
        <f t="shared" si="270"/>
        <v>Shipped_Stock</v>
      </c>
      <c r="AS1271" s="259" t="str">
        <f t="shared" si="271"/>
        <v/>
      </c>
      <c r="AT1271" s="259" t="str">
        <f t="shared" si="272"/>
        <v>朗特</v>
      </c>
      <c r="AU1271" s="259" t="str">
        <f t="shared" si="273"/>
        <v>C49SZX20220073DZ</v>
      </c>
      <c r="AV1271" s="259" t="str">
        <f t="shared" si="274"/>
        <v>Aug-01</v>
      </c>
    </row>
    <row r="1272" spans="1:48" ht="13.5" hidden="1" thickBot="1">
      <c r="A1272" s="564">
        <v>1706</v>
      </c>
      <c r="B1272" s="669" t="s">
        <v>1125</v>
      </c>
      <c r="C1272" s="669" t="s">
        <v>281</v>
      </c>
      <c r="D1272" s="629">
        <v>110963</v>
      </c>
      <c r="E1272" s="749" t="s">
        <v>2345</v>
      </c>
      <c r="F1272" s="652" t="s">
        <v>17</v>
      </c>
      <c r="G1272" s="652" t="s">
        <v>18</v>
      </c>
      <c r="H1272" s="652" t="s">
        <v>27</v>
      </c>
      <c r="I1272" s="580" t="s">
        <v>2471</v>
      </c>
      <c r="J1272" s="580">
        <v>1</v>
      </c>
      <c r="K1272" s="652" t="s">
        <v>78</v>
      </c>
      <c r="L1272" s="662">
        <v>44774</v>
      </c>
      <c r="M1272" s="670" t="s">
        <v>906</v>
      </c>
      <c r="N1272" s="652" t="s">
        <v>221</v>
      </c>
      <c r="O1272" s="580">
        <v>2022.7</v>
      </c>
      <c r="P1272" s="670" t="str">
        <f>VLOOKUP(A1272,'[1]Raw data'!$B:$BA,23,FALSE)</f>
        <v>JPY</v>
      </c>
      <c r="Q1272" s="652" t="str">
        <f>VLOOKUP(A1272,'[1]Raw data'!$B:$Z,2,FALSE)</f>
        <v>C49SZX20220073DZ</v>
      </c>
      <c r="R1272" s="652" t="str">
        <f>VLOOKUP(A1272,'[1]Raw data'!$B:$Z,3,FALSE)</f>
        <v>朗特</v>
      </c>
      <c r="S1272" s="652" t="str">
        <f>VLOOKUP(A1272,'[1]Raw data'!$B:$Z,4,FALSE)</f>
        <v>YSM10</v>
      </c>
      <c r="T1272" s="652" t="str">
        <f>VLOOKUP(A1272,'[1]Raw data'!$B:$Z,8,FALSE)</f>
        <v>L-&gt;R</v>
      </c>
      <c r="U1272" s="652" t="str">
        <f>VLOOKUP(A1272,'[1]Raw data'!$B:$Z,9,FALSE)</f>
        <v>MVC</v>
      </c>
      <c r="V1272" s="572" t="str">
        <f t="shared" si="280"/>
        <v>WRONG</v>
      </c>
      <c r="W1272" s="568" t="str">
        <f>VLOOKUP(A1272,'[1]Raw data'!$B:$AG,32,FALSE)</f>
        <v>CIF HK</v>
      </c>
      <c r="X1272" s="652">
        <f>VLOOKUP(A1272,'[1]Raw data'!$B:$BA,31,FALSE)</f>
        <v>44754</v>
      </c>
      <c r="Y1272" s="652" t="str">
        <f>VLOOKUP(A1272,'[1]Raw data'!$B:$AS,39,FALSE)</f>
        <v>Yes</v>
      </c>
      <c r="Z1272" s="664"/>
      <c r="AA1272" s="665"/>
      <c r="AB1272" s="666"/>
      <c r="AC1272" s="652" t="s">
        <v>933</v>
      </c>
      <c r="AD1272" s="667">
        <v>303</v>
      </c>
      <c r="AE1272" s="667">
        <v>10</v>
      </c>
      <c r="AF1272" s="667"/>
      <c r="AG1272" s="667"/>
      <c r="AH1272" s="667"/>
      <c r="AI1272" s="668"/>
      <c r="AN1272" s="547"/>
      <c r="AO1272" s="829" t="str">
        <f t="shared" si="267"/>
        <v>Yes</v>
      </c>
      <c r="AP1272" s="259" t="str">
        <f t="shared" si="268"/>
        <v>AUG 22</v>
      </c>
      <c r="AQ1272" s="547" t="str">
        <f t="shared" si="269"/>
        <v>有定金+有預留客戶</v>
      </c>
      <c r="AR1272" s="259" t="str">
        <f t="shared" si="270"/>
        <v>Shipped_Stock</v>
      </c>
      <c r="AS1272" s="259" t="str">
        <f t="shared" si="271"/>
        <v/>
      </c>
      <c r="AT1272" s="259" t="str">
        <f t="shared" si="272"/>
        <v>朗特</v>
      </c>
      <c r="AU1272" s="259" t="str">
        <f t="shared" si="273"/>
        <v>C49SZX20220073DZ</v>
      </c>
      <c r="AV1272" s="259" t="str">
        <f t="shared" si="274"/>
        <v>Aug-01</v>
      </c>
    </row>
    <row r="1273" spans="1:48" ht="22.5" hidden="1">
      <c r="A1273" s="564">
        <v>1791</v>
      </c>
      <c r="B1273" s="669" t="s">
        <v>1125</v>
      </c>
      <c r="C1273" s="669" t="s">
        <v>281</v>
      </c>
      <c r="D1273" s="628" t="s">
        <v>2472</v>
      </c>
      <c r="E1273" s="761" t="s">
        <v>2473</v>
      </c>
      <c r="F1273" s="652" t="s">
        <v>17</v>
      </c>
      <c r="G1273" s="652" t="s">
        <v>18</v>
      </c>
      <c r="H1273" s="652" t="s">
        <v>34</v>
      </c>
      <c r="I1273" s="580" t="s">
        <v>2474</v>
      </c>
      <c r="J1273" s="580">
        <v>1</v>
      </c>
      <c r="K1273" s="786" t="s">
        <v>2239</v>
      </c>
      <c r="L1273" s="662">
        <v>44781</v>
      </c>
      <c r="M1273" s="670" t="s">
        <v>2475</v>
      </c>
      <c r="N1273" s="652" t="s">
        <v>215</v>
      </c>
      <c r="O1273" s="580">
        <v>2022.7</v>
      </c>
      <c r="P1273" s="670" t="str">
        <f>VLOOKUP(A1273,'[1]Raw data'!$B:$BA,23,FALSE)</f>
        <v>RMB</v>
      </c>
      <c r="Q1273" s="652" t="str">
        <f>VLOOKUP(A1273,'[1]Raw data'!$B:$Z,2,FALSE)</f>
        <v>C49SZX20220141SS</v>
      </c>
      <c r="R1273" s="652" t="str">
        <f>VLOOKUP(A1273,'[1]Raw data'!$B:$Z,3,FALSE)</f>
        <v>乐凡</v>
      </c>
      <c r="S1273" s="652" t="str">
        <f>VLOOKUP(A1273,'[1]Raw data'!$B:$Z,4,FALSE)</f>
        <v>YSM10</v>
      </c>
      <c r="T1273" s="652" t="str">
        <f>VLOOKUP(A1273,'[1]Raw data'!$B:$Z,8,FALSE)</f>
        <v>R-&gt;L</v>
      </c>
      <c r="U1273" s="652" t="str">
        <f>VLOOKUP(A1273,'[1]Raw data'!$B:$Z,9,FALSE)</f>
        <v>MVC+ATS15</v>
      </c>
      <c r="V1273" s="572" t="str">
        <f>IF(G1273&amp;H1273=T1273&amp;U1273,"OK","WRONG")</f>
        <v>OK</v>
      </c>
      <c r="W1273" s="568" t="str">
        <f>VLOOKUP(A1273,'[1]Raw data'!$B:$AG,32,FALSE)</f>
        <v>DDP SZ</v>
      </c>
      <c r="X1273" s="652">
        <f>VLOOKUP(A1273,'[1]Raw data'!$B:$BA,31,FALSE)</f>
        <v>44916</v>
      </c>
      <c r="Y1273" s="652" t="str">
        <f>VLOOKUP(A1273,'[1]Raw data'!$B:$AS,39,FALSE)</f>
        <v>Yes</v>
      </c>
      <c r="Z1273" s="671"/>
      <c r="AA1273" s="665"/>
      <c r="AB1273" s="666"/>
      <c r="AC1273" s="652" t="s">
        <v>2476</v>
      </c>
      <c r="AD1273" s="667">
        <v>301</v>
      </c>
      <c r="AE1273" s="667">
        <v>5</v>
      </c>
      <c r="AF1273" s="667">
        <v>302</v>
      </c>
      <c r="AG1273" s="667">
        <v>5</v>
      </c>
      <c r="AH1273" s="667"/>
      <c r="AI1273" s="668"/>
      <c r="AN1273" s="547"/>
      <c r="AO1273" s="829" t="str">
        <f t="shared" si="267"/>
        <v>Yes</v>
      </c>
      <c r="AP1273" s="259" t="str">
        <f t="shared" si="268"/>
        <v>JAN 23</v>
      </c>
      <c r="AQ1273" s="547" t="str">
        <f t="shared" si="269"/>
        <v>有定金+有預留客戶</v>
      </c>
      <c r="AR1273" s="259" t="str">
        <f t="shared" si="270"/>
        <v>Shipped_Stock</v>
      </c>
      <c r="AS1273" s="259" t="str">
        <f t="shared" si="271"/>
        <v/>
      </c>
      <c r="AT1273" s="259" t="str">
        <f t="shared" si="272"/>
        <v>乐凡</v>
      </c>
      <c r="AU1273" s="259" t="str">
        <f t="shared" si="273"/>
        <v>C49SZX20220141SS</v>
      </c>
      <c r="AV1273" s="259" t="str">
        <f t="shared" si="274"/>
        <v>Aug-08</v>
      </c>
    </row>
    <row r="1274" spans="1:48" ht="22.5" hidden="1">
      <c r="A1274" s="564">
        <v>1866</v>
      </c>
      <c r="B1274" s="669" t="s">
        <v>1125</v>
      </c>
      <c r="C1274" s="669" t="s">
        <v>281</v>
      </c>
      <c r="D1274" s="630" t="s">
        <v>2472</v>
      </c>
      <c r="E1274" s="651" t="s">
        <v>2473</v>
      </c>
      <c r="F1274" s="652" t="s">
        <v>17</v>
      </c>
      <c r="G1274" s="652" t="s">
        <v>18</v>
      </c>
      <c r="H1274" s="652" t="s">
        <v>34</v>
      </c>
      <c r="I1274" s="580" t="s">
        <v>2477</v>
      </c>
      <c r="J1274" s="580">
        <v>1</v>
      </c>
      <c r="K1274" s="786" t="s">
        <v>2239</v>
      </c>
      <c r="L1274" s="662">
        <v>44781</v>
      </c>
      <c r="M1274" s="670" t="s">
        <v>2475</v>
      </c>
      <c r="N1274" s="652" t="s">
        <v>216</v>
      </c>
      <c r="O1274" s="580">
        <v>2022.7</v>
      </c>
      <c r="P1274" s="670" t="str">
        <f>VLOOKUP(A1274,'[1]Raw data'!$B:$BA,23,FALSE)</f>
        <v>RMB</v>
      </c>
      <c r="Q1274" s="652" t="str">
        <f>VLOOKUP(A1274,'[1]Raw data'!$B:$Z,2,FALSE)</f>
        <v>C49SZX20230035SX</v>
      </c>
      <c r="R1274" s="652" t="str">
        <f>VLOOKUP(A1274,'[1]Raw data'!$B:$Z,3,FALSE)</f>
        <v>博祯</v>
      </c>
      <c r="S1274" s="652" t="str">
        <f>VLOOKUP(A1274,'[1]Raw data'!$B:$Z,4,FALSE)</f>
        <v>YSM10</v>
      </c>
      <c r="T1274" s="652" t="str">
        <f>VLOOKUP(A1274,'[1]Raw data'!$B:$Z,8,FALSE)</f>
        <v>R-&gt;L</v>
      </c>
      <c r="U1274" s="652" t="str">
        <f>VLOOKUP(A1274,'[1]Raw data'!$B:$Z,9,FALSE)</f>
        <v>MVC+ATS15</v>
      </c>
      <c r="V1274" s="572" t="str">
        <f>IF(G1274&amp;H1274=T1274&amp;U1274,"OK","WRONG")</f>
        <v>OK</v>
      </c>
      <c r="W1274" s="568" t="str">
        <f>VLOOKUP(A1274,'[1]Raw data'!$B:$AG,32,FALSE)</f>
        <v>DDP SZ</v>
      </c>
      <c r="X1274" s="652">
        <f>VLOOKUP(A1274,'[1]Raw data'!$B:$BA,31,FALSE)</f>
        <v>44986</v>
      </c>
      <c r="Y1274" s="652" t="str">
        <f>VLOOKUP(A1274,'[1]Raw data'!$B:$AS,39,FALSE)</f>
        <v>Yes</v>
      </c>
      <c r="Z1274" s="664"/>
      <c r="AA1274" s="665"/>
      <c r="AB1274" s="666"/>
      <c r="AC1274" s="652" t="s">
        <v>2478</v>
      </c>
      <c r="AD1274" s="667">
        <v>301</v>
      </c>
      <c r="AE1274" s="667">
        <v>5</v>
      </c>
      <c r="AF1274" s="667">
        <v>302</v>
      </c>
      <c r="AG1274" s="667">
        <v>5</v>
      </c>
      <c r="AH1274" s="667"/>
      <c r="AI1274" s="668"/>
      <c r="AN1274" s="547"/>
      <c r="AO1274" s="829" t="str">
        <f t="shared" si="267"/>
        <v>Yes</v>
      </c>
      <c r="AP1274" s="259" t="str">
        <f t="shared" si="268"/>
        <v>MAR 23</v>
      </c>
      <c r="AQ1274" s="547" t="str">
        <f t="shared" si="269"/>
        <v>有定金+有預留客戶</v>
      </c>
      <c r="AR1274" s="259" t="str">
        <f t="shared" si="270"/>
        <v>Shipped_Stock</v>
      </c>
      <c r="AS1274" s="259" t="str">
        <f t="shared" si="271"/>
        <v/>
      </c>
      <c r="AT1274" s="259" t="str">
        <f t="shared" si="272"/>
        <v>博祯</v>
      </c>
      <c r="AU1274" s="259" t="str">
        <f t="shared" si="273"/>
        <v>C49SZX20230035SX</v>
      </c>
      <c r="AV1274" s="259" t="str">
        <f t="shared" si="274"/>
        <v>Aug-08</v>
      </c>
    </row>
    <row r="1275" spans="1:48" ht="22.5" hidden="1">
      <c r="A1275" s="604">
        <v>1711</v>
      </c>
      <c r="B1275" s="669" t="s">
        <v>1125</v>
      </c>
      <c r="C1275" s="669" t="s">
        <v>281</v>
      </c>
      <c r="D1275" s="630" t="s">
        <v>2479</v>
      </c>
      <c r="E1275" s="749" t="s">
        <v>2480</v>
      </c>
      <c r="F1275" s="652" t="s">
        <v>17</v>
      </c>
      <c r="G1275" s="652" t="s">
        <v>18</v>
      </c>
      <c r="H1275" s="652" t="s">
        <v>34</v>
      </c>
      <c r="I1275" s="580" t="s" ph="1">
        <v>2481</v>
      </c>
      <c r="J1275" s="580">
        <v>1</v>
      </c>
      <c r="K1275" s="652" t="s">
        <v>1419</v>
      </c>
      <c r="L1275" s="662">
        <v>44781</v>
      </c>
      <c r="M1275" s="670" t="s">
        <v>2482</v>
      </c>
      <c r="N1275" s="652" t="s">
        <v>219</v>
      </c>
      <c r="O1275" s="580">
        <v>2022.7</v>
      </c>
      <c r="P1275" s="670" t="str">
        <f>VLOOKUP(A1275,'[1]Raw data'!$B:$BA,23,FALSE)</f>
        <v>JPY</v>
      </c>
      <c r="Q1275" s="652" t="str">
        <f>VLOOKUP(A1275,'[1]Raw data'!$B:$Z,2,FALSE)</f>
        <v>C49SZX20220084DZ</v>
      </c>
      <c r="R1275" s="652" t="str">
        <f>VLOOKUP(A1275,'[1]Raw data'!$B:$Z,3,FALSE)</f>
        <v>朗特</v>
      </c>
      <c r="S1275" s="652" t="str">
        <f>VLOOKUP(A1275,'[1]Raw data'!$B:$Z,4,FALSE)</f>
        <v>YSM10</v>
      </c>
      <c r="T1275" s="652" t="str">
        <f>VLOOKUP(A1275,'[1]Raw data'!$B:$Z,8,FALSE)</f>
        <v>R-&gt;L</v>
      </c>
      <c r="U1275" s="652" t="str">
        <f>VLOOKUP(A1275,'[1]Raw data'!$B:$Z,9,FALSE)</f>
        <v>MVC F&amp;R+ATS15+MVC</v>
      </c>
      <c r="V1275" s="572" t="str">
        <f>IF(G1275&amp;H1275=T1275&amp;U1275,"OK","WRONG")</f>
        <v>WRONG</v>
      </c>
      <c r="W1275" s="568" t="str">
        <f>VLOOKUP(A1275,'[1]Raw data'!$B:$AG,32,FALSE)</f>
        <v>CIF HK</v>
      </c>
      <c r="X1275" s="652">
        <f>VLOOKUP(A1275,'[1]Raw data'!$B:$BA,31,FALSE)</f>
        <v>44768</v>
      </c>
      <c r="Y1275" s="652" t="str">
        <f>VLOOKUP(A1275,'[1]Raw data'!$B:$AS,39,FALSE)</f>
        <v>Yes</v>
      </c>
      <c r="Z1275" s="664"/>
      <c r="AA1275" s="665"/>
      <c r="AB1275" s="666"/>
      <c r="AC1275" s="652" t="s">
        <v>2174</v>
      </c>
      <c r="AD1275" s="580">
        <v>302</v>
      </c>
      <c r="AE1275" s="580">
        <v>10</v>
      </c>
      <c r="AF1275" s="580"/>
      <c r="AG1275" s="580"/>
      <c r="AH1275" s="580"/>
      <c r="AI1275" s="684"/>
      <c r="AJ1275" s="569"/>
      <c r="AK1275" s="569"/>
      <c r="AL1275" s="569"/>
      <c r="AM1275" s="569"/>
      <c r="AN1275" s="619"/>
      <c r="AO1275" s="829" t="str">
        <f t="shared" si="267"/>
        <v>Yes</v>
      </c>
      <c r="AP1275" s="259" t="str">
        <f t="shared" si="268"/>
        <v>SEP 22</v>
      </c>
      <c r="AQ1275" s="547" t="str">
        <f t="shared" si="269"/>
        <v>有定金+有預留客戶</v>
      </c>
      <c r="AR1275" s="259" t="str">
        <f t="shared" si="270"/>
        <v>Shipped_Stock</v>
      </c>
      <c r="AS1275" s="259" t="str">
        <f t="shared" si="271"/>
        <v/>
      </c>
      <c r="AT1275" s="259" t="str">
        <f t="shared" si="272"/>
        <v>朗特</v>
      </c>
      <c r="AU1275" s="259" t="str">
        <f t="shared" si="273"/>
        <v>C49SZX20220084DZ</v>
      </c>
      <c r="AV1275" s="259" t="str">
        <f t="shared" si="274"/>
        <v>Aug-08</v>
      </c>
    </row>
    <row r="1276" spans="1:48" ht="33.75" hidden="1">
      <c r="A1276" s="564">
        <v>1770</v>
      </c>
      <c r="B1276" s="669" t="s">
        <v>1125</v>
      </c>
      <c r="C1276" s="669" t="s">
        <v>281</v>
      </c>
      <c r="D1276" s="630" t="s">
        <v>2483</v>
      </c>
      <c r="E1276" s="749" t="s">
        <v>2484</v>
      </c>
      <c r="F1276" s="652" t="s">
        <v>17</v>
      </c>
      <c r="G1276" s="652" t="s">
        <v>18</v>
      </c>
      <c r="H1276" s="652" t="s">
        <v>102</v>
      </c>
      <c r="I1276" s="580" t="s">
        <v>2485</v>
      </c>
      <c r="J1276" s="580">
        <v>1</v>
      </c>
      <c r="K1276" s="786" t="s">
        <v>2239</v>
      </c>
      <c r="L1276" s="662">
        <v>44781</v>
      </c>
      <c r="M1276" s="670" t="s">
        <v>2486</v>
      </c>
      <c r="N1276" s="652" t="s">
        <v>217</v>
      </c>
      <c r="O1276" s="580">
        <v>2022.7</v>
      </c>
      <c r="P1276" s="670" t="str">
        <f>VLOOKUP(A1276,'[1]Raw data'!$B:$BA,23,FALSE)</f>
        <v>RMB</v>
      </c>
      <c r="Q1276" s="652" t="str">
        <f>VLOOKUP(A1276,'[1]Raw data'!$B:$Z,2,FALSE)</f>
        <v>C49SZX20220130SX</v>
      </c>
      <c r="R1276" s="652" t="str">
        <f>VLOOKUP(A1276,'[1]Raw data'!$B:$Z,3,FALSE)</f>
        <v>益田科技</v>
      </c>
      <c r="S1276" s="652" t="str">
        <f>VLOOKUP(A1276,'[1]Raw data'!$B:$Z,4,FALSE)</f>
        <v>YSM10</v>
      </c>
      <c r="T1276" s="652" t="str">
        <f>VLOOKUP(A1276,'[1]Raw data'!$B:$Z,8,FALSE)</f>
        <v>L-&gt;R</v>
      </c>
      <c r="U1276" s="652" t="str">
        <f>VLOOKUP(A1276,'[1]Raw data'!$B:$Z,9,FALSE)</f>
        <v>No</v>
      </c>
      <c r="V1276" s="572" t="str">
        <f>IF(G1276&amp;H1276=T1276&amp;U1276,"OK","WRONG")</f>
        <v>WRONG</v>
      </c>
      <c r="W1276" s="568" t="str">
        <f>VLOOKUP(A1276,'[1]Raw data'!$B:$AG,32,FALSE)</f>
        <v>DDP SZ</v>
      </c>
      <c r="X1276" s="652">
        <f>VLOOKUP(A1276,'[1]Raw data'!$B:$BA,31,FALSE)</f>
        <v>44903</v>
      </c>
      <c r="Y1276" s="652" t="str">
        <f>VLOOKUP(A1276,'[1]Raw data'!$B:$AS,39,FALSE)</f>
        <v>Yes</v>
      </c>
      <c r="Z1276" s="671"/>
      <c r="AA1276" s="665"/>
      <c r="AB1276" s="666"/>
      <c r="AC1276" s="652" t="s">
        <v>1172</v>
      </c>
      <c r="AD1276" s="667">
        <v>301</v>
      </c>
      <c r="AE1276" s="667">
        <v>5</v>
      </c>
      <c r="AF1276" s="667">
        <v>306</v>
      </c>
      <c r="AG1276" s="667">
        <v>1</v>
      </c>
      <c r="AH1276" s="667">
        <v>312</v>
      </c>
      <c r="AI1276" s="668">
        <v>4</v>
      </c>
      <c r="AN1276" s="547"/>
      <c r="AO1276" s="829" t="str">
        <f t="shared" si="267"/>
        <v>Yes</v>
      </c>
      <c r="AP1276" s="259" t="str">
        <f t="shared" si="268"/>
        <v>FEB 23</v>
      </c>
      <c r="AQ1276" s="547" t="str">
        <f t="shared" si="269"/>
        <v>有定金+有預留客戶</v>
      </c>
      <c r="AR1276" s="259" t="str">
        <f t="shared" si="270"/>
        <v>Shipped_Stock</v>
      </c>
      <c r="AS1276" s="259" t="str">
        <f t="shared" si="271"/>
        <v/>
      </c>
      <c r="AT1276" s="259" t="str">
        <f t="shared" si="272"/>
        <v>益田科技</v>
      </c>
      <c r="AU1276" s="259" t="str">
        <f t="shared" si="273"/>
        <v>C49SZX20220130SX</v>
      </c>
      <c r="AV1276" s="259" t="str">
        <f t="shared" si="274"/>
        <v>Aug-08</v>
      </c>
    </row>
    <row r="1277" spans="1:48" ht="23.25" hidden="1" thickBot="1">
      <c r="A1277" s="564">
        <v>1771</v>
      </c>
      <c r="B1277" s="669" t="s">
        <v>1125</v>
      </c>
      <c r="C1277" s="669" t="s">
        <v>281</v>
      </c>
      <c r="D1277" s="629" t="s">
        <v>2487</v>
      </c>
      <c r="E1277" s="749" t="s">
        <v>2484</v>
      </c>
      <c r="F1277" s="652" t="s">
        <v>17</v>
      </c>
      <c r="G1277" s="652" t="s">
        <v>18</v>
      </c>
      <c r="H1277" s="652" t="s">
        <v>102</v>
      </c>
      <c r="I1277" s="580" t="s">
        <v>2488</v>
      </c>
      <c r="J1277" s="580">
        <v>1</v>
      </c>
      <c r="K1277" s="652" t="s">
        <v>1419</v>
      </c>
      <c r="L1277" s="662">
        <v>44781</v>
      </c>
      <c r="M1277" s="670" t="s">
        <v>2489</v>
      </c>
      <c r="N1277" s="652" t="s">
        <v>217</v>
      </c>
      <c r="O1277" s="580">
        <v>2022.7</v>
      </c>
      <c r="P1277" s="670" t="str">
        <f>VLOOKUP(A1277,'[1]Raw data'!$B:$BA,23,FALSE)</f>
        <v>RMB</v>
      </c>
      <c r="Q1277" s="652" t="str">
        <f>VLOOKUP(A1277,'[1]Raw data'!$B:$Z,2,FALSE)</f>
        <v>C49SZX20220130SX</v>
      </c>
      <c r="R1277" s="652" t="str">
        <f>VLOOKUP(A1277,'[1]Raw data'!$B:$Z,3,FALSE)</f>
        <v>益田科技</v>
      </c>
      <c r="S1277" s="652" t="str">
        <f>VLOOKUP(A1277,'[1]Raw data'!$B:$Z,4,FALSE)</f>
        <v>YSM10</v>
      </c>
      <c r="T1277" s="652" t="str">
        <f>VLOOKUP(A1277,'[1]Raw data'!$B:$Z,8,FALSE)</f>
        <v>L-&gt;R</v>
      </c>
      <c r="U1277" s="652" t="str">
        <f>VLOOKUP(A1277,'[1]Raw data'!$B:$Z,9,FALSE)</f>
        <v>No</v>
      </c>
      <c r="V1277" s="572" t="str">
        <f>IF(G1277&amp;H1277=T1277&amp;U1277,"OK","WRONG")</f>
        <v>WRONG</v>
      </c>
      <c r="W1277" s="568" t="str">
        <f>VLOOKUP(A1277,'[1]Raw data'!$B:$AG,32,FALSE)</f>
        <v>DDP SZ</v>
      </c>
      <c r="X1277" s="652">
        <f>VLOOKUP(A1277,'[1]Raw data'!$B:$BA,31,FALSE)</f>
        <v>44903</v>
      </c>
      <c r="Y1277" s="652" t="str">
        <f>VLOOKUP(A1277,'[1]Raw data'!$B:$AS,39,FALSE)</f>
        <v>Yes</v>
      </c>
      <c r="Z1277" s="671"/>
      <c r="AA1277" s="665"/>
      <c r="AB1277" s="666"/>
      <c r="AC1277" s="652" t="s">
        <v>2490</v>
      </c>
      <c r="AD1277" s="667">
        <v>301</v>
      </c>
      <c r="AE1277" s="667">
        <v>5</v>
      </c>
      <c r="AF1277" s="667">
        <v>306</v>
      </c>
      <c r="AG1277" s="667">
        <v>1</v>
      </c>
      <c r="AH1277" s="667">
        <v>312</v>
      </c>
      <c r="AI1277" s="668">
        <v>4</v>
      </c>
      <c r="AN1277" s="547"/>
      <c r="AO1277" s="829" t="str">
        <f t="shared" si="267"/>
        <v>Yes</v>
      </c>
      <c r="AP1277" s="259" t="str">
        <f t="shared" si="268"/>
        <v>FEB 23</v>
      </c>
      <c r="AQ1277" s="547" t="str">
        <f t="shared" si="269"/>
        <v>有定金+有預留客戶</v>
      </c>
      <c r="AR1277" s="259" t="str">
        <f t="shared" si="270"/>
        <v>Shipped_Stock</v>
      </c>
      <c r="AS1277" s="259" t="str">
        <f t="shared" si="271"/>
        <v/>
      </c>
      <c r="AT1277" s="259" t="str">
        <f t="shared" si="272"/>
        <v>益田科技</v>
      </c>
      <c r="AU1277" s="259" t="str">
        <f t="shared" si="273"/>
        <v>C49SZX20220130SX</v>
      </c>
      <c r="AV1277" s="259" t="str">
        <f t="shared" si="274"/>
        <v>Aug-08</v>
      </c>
    </row>
    <row r="1278" spans="1:48" ht="22.5" hidden="1">
      <c r="A1278" s="564">
        <v>1772</v>
      </c>
      <c r="B1278" s="669" t="s">
        <v>1125</v>
      </c>
      <c r="C1278" s="669" t="s">
        <v>281</v>
      </c>
      <c r="D1278" s="766">
        <v>110997</v>
      </c>
      <c r="E1278" s="749" t="s">
        <v>2491</v>
      </c>
      <c r="F1278" s="652" t="s">
        <v>17</v>
      </c>
      <c r="G1278" s="652" t="s">
        <v>18</v>
      </c>
      <c r="H1278" s="652" t="s">
        <v>102</v>
      </c>
      <c r="I1278" s="580" t="s">
        <v>2492</v>
      </c>
      <c r="J1278" s="580">
        <v>1</v>
      </c>
      <c r="K1278" s="652" t="s">
        <v>1419</v>
      </c>
      <c r="L1278" s="662">
        <v>44781</v>
      </c>
      <c r="M1278" s="670" t="s">
        <v>2493</v>
      </c>
      <c r="N1278" s="652" t="s">
        <v>217</v>
      </c>
      <c r="O1278" s="580">
        <v>2022.7</v>
      </c>
      <c r="P1278" s="670" t="str">
        <f>VLOOKUP(A1278,'[1]Raw data'!$B:$BA,23,FALSE)</f>
        <v>RMB</v>
      </c>
      <c r="Q1278" s="652" t="str">
        <f>VLOOKUP(A1278,'[1]Raw data'!$B:$Z,2,FALSE)</f>
        <v>C49SZX20220130SX</v>
      </c>
      <c r="R1278" s="652" t="str">
        <f>VLOOKUP(A1278,'[1]Raw data'!$B:$Z,3,FALSE)</f>
        <v>益田科技</v>
      </c>
      <c r="S1278" s="652" t="str">
        <f>VLOOKUP(A1278,'[1]Raw data'!$B:$Z,4,FALSE)</f>
        <v>YSM10</v>
      </c>
      <c r="T1278" s="652" t="str">
        <f>VLOOKUP(A1278,'[1]Raw data'!$B:$Z,8,FALSE)</f>
        <v>L-&gt;R</v>
      </c>
      <c r="U1278" s="652" t="str">
        <f>VLOOKUP(A1278,'[1]Raw data'!$B:$Z,9,FALSE)</f>
        <v>No</v>
      </c>
      <c r="V1278" s="572" t="str">
        <f t="shared" ref="V1278:V1282" si="282">IF(G1278&amp;H1278=T1278&amp;U1278,"OK","WRONG")</f>
        <v>WRONG</v>
      </c>
      <c r="W1278" s="568" t="str">
        <f>VLOOKUP(A1278,'[1]Raw data'!$B:$AG,32,FALSE)</f>
        <v>DDP SZ</v>
      </c>
      <c r="X1278" s="652">
        <f>VLOOKUP(A1278,'[1]Raw data'!$B:$BA,31,FALSE)</f>
        <v>44903</v>
      </c>
      <c r="Y1278" s="652" t="str">
        <f>VLOOKUP(A1278,'[1]Raw data'!$B:$AS,39,FALSE)</f>
        <v>Yes</v>
      </c>
      <c r="Z1278" s="671"/>
      <c r="AA1278" s="665"/>
      <c r="AB1278" s="666"/>
      <c r="AC1278" s="652" t="s">
        <v>2490</v>
      </c>
      <c r="AD1278" s="667">
        <v>301</v>
      </c>
      <c r="AE1278" s="667">
        <v>5</v>
      </c>
      <c r="AF1278" s="667">
        <v>302</v>
      </c>
      <c r="AG1278" s="667">
        <v>4</v>
      </c>
      <c r="AH1278" s="667">
        <v>304</v>
      </c>
      <c r="AI1278" s="668">
        <v>1</v>
      </c>
      <c r="AN1278" s="547"/>
      <c r="AO1278" s="829" t="str">
        <f t="shared" si="267"/>
        <v>Yes</v>
      </c>
      <c r="AP1278" s="259" t="str">
        <f t="shared" si="268"/>
        <v>FEB 23</v>
      </c>
      <c r="AQ1278" s="547" t="str">
        <f t="shared" si="269"/>
        <v>有定金+有預留客戶</v>
      </c>
      <c r="AR1278" s="259" t="str">
        <f t="shared" si="270"/>
        <v>Shipped_Stock</v>
      </c>
      <c r="AS1278" s="259" t="str">
        <f t="shared" si="271"/>
        <v/>
      </c>
      <c r="AT1278" s="259" t="str">
        <f t="shared" si="272"/>
        <v>益田科技</v>
      </c>
      <c r="AU1278" s="259" t="str">
        <f t="shared" si="273"/>
        <v>C49SZX20220130SX</v>
      </c>
      <c r="AV1278" s="259" t="str">
        <f t="shared" si="274"/>
        <v>Aug-08</v>
      </c>
    </row>
    <row r="1279" spans="1:48" ht="22.5" hidden="1">
      <c r="A1279" s="564">
        <v>1773</v>
      </c>
      <c r="B1279" s="669" t="s">
        <v>1125</v>
      </c>
      <c r="C1279" s="669" t="s">
        <v>281</v>
      </c>
      <c r="D1279" s="760">
        <v>110997</v>
      </c>
      <c r="E1279" s="749" t="s">
        <v>2491</v>
      </c>
      <c r="F1279" s="652" t="s">
        <v>17</v>
      </c>
      <c r="G1279" s="652" t="s">
        <v>18</v>
      </c>
      <c r="H1279" s="652" t="s">
        <v>102</v>
      </c>
      <c r="I1279" s="580" t="s">
        <v>2494</v>
      </c>
      <c r="J1279" s="580">
        <v>1</v>
      </c>
      <c r="K1279" s="652" t="s">
        <v>1419</v>
      </c>
      <c r="L1279" s="662">
        <v>44781</v>
      </c>
      <c r="M1279" s="670" t="s">
        <v>2495</v>
      </c>
      <c r="N1279" s="652" t="s">
        <v>217</v>
      </c>
      <c r="O1279" s="580">
        <v>2022.7</v>
      </c>
      <c r="P1279" s="670" t="str">
        <f>VLOOKUP(A1279,'[1]Raw data'!$B:$BA,23,FALSE)</f>
        <v>RMB</v>
      </c>
      <c r="Q1279" s="652" t="str">
        <f>VLOOKUP(A1279,'[1]Raw data'!$B:$Z,2,FALSE)</f>
        <v>C49SZX20220130SX</v>
      </c>
      <c r="R1279" s="652" t="str">
        <f>VLOOKUP(A1279,'[1]Raw data'!$B:$Z,3,FALSE)</f>
        <v>益田科技</v>
      </c>
      <c r="S1279" s="652" t="str">
        <f>VLOOKUP(A1279,'[1]Raw data'!$B:$Z,4,FALSE)</f>
        <v>YSM10</v>
      </c>
      <c r="T1279" s="652" t="str">
        <f>VLOOKUP(A1279,'[1]Raw data'!$B:$Z,8,FALSE)</f>
        <v>L-&gt;R</v>
      </c>
      <c r="U1279" s="652" t="str">
        <f>VLOOKUP(A1279,'[1]Raw data'!$B:$Z,9,FALSE)</f>
        <v>No</v>
      </c>
      <c r="V1279" s="572" t="str">
        <f t="shared" si="282"/>
        <v>WRONG</v>
      </c>
      <c r="W1279" s="568" t="str">
        <f>VLOOKUP(A1279,'[1]Raw data'!$B:$AG,32,FALSE)</f>
        <v>DDP SZ</v>
      </c>
      <c r="X1279" s="652">
        <f>VLOOKUP(A1279,'[1]Raw data'!$B:$BA,31,FALSE)</f>
        <v>44903</v>
      </c>
      <c r="Y1279" s="652" t="str">
        <f>VLOOKUP(A1279,'[1]Raw data'!$B:$AS,39,FALSE)</f>
        <v>Yes</v>
      </c>
      <c r="Z1279" s="671"/>
      <c r="AA1279" s="665"/>
      <c r="AB1279" s="666"/>
      <c r="AC1279" s="652" t="s">
        <v>2490</v>
      </c>
      <c r="AD1279" s="667">
        <v>301</v>
      </c>
      <c r="AE1279" s="667">
        <v>5</v>
      </c>
      <c r="AF1279" s="667">
        <v>302</v>
      </c>
      <c r="AG1279" s="667">
        <v>4</v>
      </c>
      <c r="AH1279" s="667">
        <v>304</v>
      </c>
      <c r="AI1279" s="668">
        <v>1</v>
      </c>
      <c r="AN1279" s="547"/>
      <c r="AO1279" s="829" t="str">
        <f t="shared" si="267"/>
        <v>Yes</v>
      </c>
      <c r="AP1279" s="259" t="str">
        <f t="shared" si="268"/>
        <v>FEB 23</v>
      </c>
      <c r="AQ1279" s="547" t="str">
        <f t="shared" si="269"/>
        <v>有定金+有預留客戶</v>
      </c>
      <c r="AR1279" s="259" t="str">
        <f t="shared" si="270"/>
        <v>Shipped_Stock</v>
      </c>
      <c r="AS1279" s="259" t="str">
        <f t="shared" si="271"/>
        <v/>
      </c>
      <c r="AT1279" s="259" t="str">
        <f t="shared" si="272"/>
        <v>益田科技</v>
      </c>
      <c r="AU1279" s="259" t="str">
        <f t="shared" si="273"/>
        <v>C49SZX20220130SX</v>
      </c>
      <c r="AV1279" s="259" t="str">
        <f t="shared" si="274"/>
        <v>Aug-08</v>
      </c>
    </row>
    <row r="1280" spans="1:48" hidden="1">
      <c r="A1280" s="564">
        <v>1774</v>
      </c>
      <c r="B1280" s="669" t="s">
        <v>1125</v>
      </c>
      <c r="C1280" s="669" t="s">
        <v>281</v>
      </c>
      <c r="D1280" s="760">
        <v>111004</v>
      </c>
      <c r="E1280" s="749" t="s">
        <v>2496</v>
      </c>
      <c r="F1280" s="652" t="s">
        <v>17</v>
      </c>
      <c r="G1280" s="652" t="s">
        <v>18</v>
      </c>
      <c r="H1280" s="652" t="s">
        <v>27</v>
      </c>
      <c r="I1280" s="580" t="s">
        <v>2497</v>
      </c>
      <c r="J1280" s="580">
        <v>1</v>
      </c>
      <c r="K1280" s="652" t="s">
        <v>1419</v>
      </c>
      <c r="L1280" s="662">
        <v>44781</v>
      </c>
      <c r="M1280" s="670">
        <v>5.0299999999999997E-2</v>
      </c>
      <c r="N1280" s="652" t="s">
        <v>217</v>
      </c>
      <c r="O1280" s="580">
        <v>2022.7</v>
      </c>
      <c r="P1280" s="670" t="str">
        <f>VLOOKUP(A1280,'[1]Raw data'!$B:$BA,23,FALSE)</f>
        <v>RMB</v>
      </c>
      <c r="Q1280" s="652" t="str">
        <f>VLOOKUP(A1280,'[1]Raw data'!$B:$Z,2,FALSE)</f>
        <v>C49SZX20220130SX</v>
      </c>
      <c r="R1280" s="652" t="str">
        <f>VLOOKUP(A1280,'[1]Raw data'!$B:$Z,3,FALSE)</f>
        <v>益田科技</v>
      </c>
      <c r="S1280" s="652" t="str">
        <f>VLOOKUP(A1280,'[1]Raw data'!$B:$Z,4,FALSE)</f>
        <v>YSM10</v>
      </c>
      <c r="T1280" s="652" t="str">
        <f>VLOOKUP(A1280,'[1]Raw data'!$B:$Z,8,FALSE)</f>
        <v>L-&gt;R</v>
      </c>
      <c r="U1280" s="652" t="str">
        <f>VLOOKUP(A1280,'[1]Raw data'!$B:$Z,9,FALSE)</f>
        <v>No</v>
      </c>
      <c r="V1280" s="572" t="str">
        <f t="shared" si="282"/>
        <v>WRONG</v>
      </c>
      <c r="W1280" s="568" t="str">
        <f>VLOOKUP(A1280,'[1]Raw data'!$B:$AG,32,FALSE)</f>
        <v>DDP SZ</v>
      </c>
      <c r="X1280" s="652">
        <f>VLOOKUP(A1280,'[1]Raw data'!$B:$BA,31,FALSE)</f>
        <v>44903</v>
      </c>
      <c r="Y1280" s="652" t="str">
        <f>VLOOKUP(A1280,'[1]Raw data'!$B:$AS,39,FALSE)</f>
        <v>Yes</v>
      </c>
      <c r="Z1280" s="671"/>
      <c r="AA1280" s="665"/>
      <c r="AB1280" s="666"/>
      <c r="AC1280" s="652" t="s">
        <v>2490</v>
      </c>
      <c r="AD1280" s="667">
        <v>301</v>
      </c>
      <c r="AE1280" s="667">
        <v>5</v>
      </c>
      <c r="AF1280" s="667">
        <v>302</v>
      </c>
      <c r="AG1280" s="667">
        <v>5</v>
      </c>
      <c r="AH1280" s="667"/>
      <c r="AI1280" s="668"/>
      <c r="AN1280" s="547"/>
      <c r="AO1280" s="829" t="str">
        <f t="shared" si="267"/>
        <v>Yes</v>
      </c>
      <c r="AP1280" s="259" t="str">
        <f t="shared" si="268"/>
        <v>FEB 23</v>
      </c>
      <c r="AQ1280" s="547" t="str">
        <f t="shared" si="269"/>
        <v>有定金+有預留客戶</v>
      </c>
      <c r="AR1280" s="259" t="str">
        <f t="shared" si="270"/>
        <v>Shipped_Stock</v>
      </c>
      <c r="AS1280" s="259" t="str">
        <f t="shared" si="271"/>
        <v/>
      </c>
      <c r="AT1280" s="259" t="str">
        <f t="shared" si="272"/>
        <v>益田科技</v>
      </c>
      <c r="AU1280" s="259" t="str">
        <f t="shared" si="273"/>
        <v>C49SZX20220130SX</v>
      </c>
      <c r="AV1280" s="259" t="str">
        <f t="shared" si="274"/>
        <v>Aug-08</v>
      </c>
    </row>
    <row r="1281" spans="1:48" hidden="1">
      <c r="A1281" s="564">
        <v>1898</v>
      </c>
      <c r="B1281" s="669" t="s">
        <v>1125</v>
      </c>
      <c r="C1281" s="669" t="s">
        <v>281</v>
      </c>
      <c r="D1281" s="760">
        <v>111004</v>
      </c>
      <c r="E1281" s="749" t="s">
        <v>2496</v>
      </c>
      <c r="F1281" s="652" t="s">
        <v>17</v>
      </c>
      <c r="G1281" s="652" t="s">
        <v>18</v>
      </c>
      <c r="H1281" s="652" t="s">
        <v>27</v>
      </c>
      <c r="I1281" s="580" t="s">
        <v>3899</v>
      </c>
      <c r="J1281" s="580">
        <v>1</v>
      </c>
      <c r="K1281" s="652" t="s">
        <v>1419</v>
      </c>
      <c r="L1281" s="662">
        <v>44781</v>
      </c>
      <c r="M1281" s="670">
        <v>5.0299999999999997E-2</v>
      </c>
      <c r="N1281" s="652" t="s">
        <v>226</v>
      </c>
      <c r="O1281" s="580">
        <v>2022.7</v>
      </c>
      <c r="P1281" s="670" t="str">
        <f>VLOOKUP(A1281,'[1]Raw data'!$B:$BA,23,FALSE)</f>
        <v>RMB</v>
      </c>
      <c r="Q1281" s="652" t="str">
        <f>VLOOKUP(A1281,'[1]Raw data'!$B:$Z,2,FALSE)</f>
        <v>YJY-2023040701</v>
      </c>
      <c r="R1281" s="652" t="str">
        <f>VLOOKUP(A1281,'[1]Raw data'!$B:$Z,3,FALSE)</f>
        <v>清水湾（End use:呈承）</v>
      </c>
      <c r="S1281" s="652" t="str">
        <f>VLOOKUP(A1281,'[1]Raw data'!$B:$Z,4,FALSE)</f>
        <v>YSM10</v>
      </c>
      <c r="T1281" s="652" t="str">
        <f>VLOOKUP(A1281,'[1]Raw data'!$B:$Z,8,FALSE)</f>
        <v>L-&gt;R</v>
      </c>
      <c r="U1281" s="652" t="str">
        <f>VLOOKUP(A1281,'[1]Raw data'!$B:$Z,9,FALSE)</f>
        <v>MVC</v>
      </c>
      <c r="V1281" s="572" t="str">
        <f t="shared" si="282"/>
        <v>WRONG</v>
      </c>
      <c r="W1281" s="568" t="str">
        <f>VLOOKUP(A1281,'[1]Raw data'!$B:$AG,32,FALSE)</f>
        <v>DDP ZS</v>
      </c>
      <c r="X1281" s="652">
        <f>VLOOKUP(A1281,'[1]Raw data'!$B:$BA,31,FALSE)</f>
        <v>45019</v>
      </c>
      <c r="Y1281" s="652" t="str">
        <f>VLOOKUP(A1281,'[1]Raw data'!$B:$AS,39,FALSE)</f>
        <v>Yes</v>
      </c>
      <c r="Z1281" s="664"/>
      <c r="AA1281" s="665"/>
      <c r="AB1281" s="666"/>
      <c r="AC1281" s="652" t="s">
        <v>3911</v>
      </c>
      <c r="AD1281" s="667">
        <v>301</v>
      </c>
      <c r="AE1281" s="667">
        <v>5</v>
      </c>
      <c r="AF1281" s="667">
        <v>302</v>
      </c>
      <c r="AG1281" s="667">
        <v>5</v>
      </c>
      <c r="AH1281" s="667"/>
      <c r="AI1281" s="668"/>
      <c r="AN1281" s="547"/>
      <c r="AO1281" s="829" t="str">
        <f t="shared" si="267"/>
        <v>Yes</v>
      </c>
      <c r="AP1281" s="259" t="str">
        <f t="shared" si="268"/>
        <v>APR 23</v>
      </c>
      <c r="AQ1281" s="547" t="str">
        <f t="shared" si="269"/>
        <v>有定金+有預留客戶</v>
      </c>
      <c r="AR1281" s="259" t="str">
        <f t="shared" si="270"/>
        <v>Shipped_Stock</v>
      </c>
      <c r="AS1281" s="259" t="str">
        <f t="shared" si="271"/>
        <v/>
      </c>
      <c r="AT1281" s="259" t="str">
        <f t="shared" si="272"/>
        <v>清水湾（End use:呈承）</v>
      </c>
      <c r="AU1281" s="259" t="str">
        <f t="shared" si="273"/>
        <v>YJY-2023040701</v>
      </c>
      <c r="AV1281" s="259" t="str">
        <f t="shared" si="274"/>
        <v>Aug-08</v>
      </c>
    </row>
    <row r="1282" spans="1:48" ht="13.5" hidden="1" thickBot="1">
      <c r="A1282" s="564">
        <v>1899</v>
      </c>
      <c r="B1282" s="669" t="s">
        <v>1125</v>
      </c>
      <c r="C1282" s="669" t="s">
        <v>281</v>
      </c>
      <c r="D1282" s="629">
        <v>111004</v>
      </c>
      <c r="E1282" s="749" t="s">
        <v>2496</v>
      </c>
      <c r="F1282" s="652" t="s">
        <v>17</v>
      </c>
      <c r="G1282" s="652" t="s">
        <v>18</v>
      </c>
      <c r="H1282" s="652" t="s">
        <v>27</v>
      </c>
      <c r="I1282" s="580" t="s">
        <v>2498</v>
      </c>
      <c r="J1282" s="580">
        <v>1</v>
      </c>
      <c r="K1282" s="652" t="s">
        <v>1419</v>
      </c>
      <c r="L1282" s="662">
        <v>44781</v>
      </c>
      <c r="M1282" s="670">
        <v>5.0299999999999997E-2</v>
      </c>
      <c r="N1282" s="652" t="s">
        <v>226</v>
      </c>
      <c r="O1282" s="580">
        <v>2022.7</v>
      </c>
      <c r="P1282" s="670" t="str">
        <f>VLOOKUP(A1282,'[1]Raw data'!$B:$BA,23,FALSE)</f>
        <v>RMB</v>
      </c>
      <c r="Q1282" s="652" t="str">
        <f>VLOOKUP(A1282,'[1]Raw data'!$B:$Z,2,FALSE)</f>
        <v>YJY-2023040701</v>
      </c>
      <c r="R1282" s="652" t="str">
        <f>VLOOKUP(A1282,'[1]Raw data'!$B:$Z,3,FALSE)</f>
        <v>清水湾（End use:呈承）</v>
      </c>
      <c r="S1282" s="652" t="str">
        <f>VLOOKUP(A1282,'[1]Raw data'!$B:$Z,4,FALSE)</f>
        <v>YSM10</v>
      </c>
      <c r="T1282" s="652" t="str">
        <f>VLOOKUP(A1282,'[1]Raw data'!$B:$Z,8,FALSE)</f>
        <v>L-&gt;R</v>
      </c>
      <c r="U1282" s="652" t="str">
        <f>VLOOKUP(A1282,'[1]Raw data'!$B:$Z,9,FALSE)</f>
        <v>MVC</v>
      </c>
      <c r="V1282" s="572" t="str">
        <f t="shared" si="282"/>
        <v>WRONG</v>
      </c>
      <c r="W1282" s="568" t="str">
        <f>VLOOKUP(A1282,'[1]Raw data'!$B:$AG,32,FALSE)</f>
        <v>DDP ZS</v>
      </c>
      <c r="X1282" s="652">
        <f>VLOOKUP(A1282,'[1]Raw data'!$B:$BA,31,FALSE)</f>
        <v>45019</v>
      </c>
      <c r="Y1282" s="652" t="str">
        <f>VLOOKUP(A1282,'[1]Raw data'!$B:$AS,39,FALSE)</f>
        <v>Yes</v>
      </c>
      <c r="Z1282" s="664"/>
      <c r="AA1282" s="665"/>
      <c r="AB1282" s="666"/>
      <c r="AC1282" s="652" t="s">
        <v>3911</v>
      </c>
      <c r="AD1282" s="667">
        <v>301</v>
      </c>
      <c r="AE1282" s="667">
        <v>5</v>
      </c>
      <c r="AF1282" s="667">
        <v>302</v>
      </c>
      <c r="AG1282" s="667">
        <v>5</v>
      </c>
      <c r="AH1282" s="667"/>
      <c r="AI1282" s="668"/>
      <c r="AN1282" s="547"/>
      <c r="AO1282" s="829" t="str">
        <f t="shared" si="267"/>
        <v>Yes</v>
      </c>
      <c r="AP1282" s="259" t="str">
        <f t="shared" si="268"/>
        <v>APR 23</v>
      </c>
      <c r="AQ1282" s="547" t="str">
        <f t="shared" si="269"/>
        <v>有定金+有預留客戶</v>
      </c>
      <c r="AR1282" s="259" t="str">
        <f t="shared" si="270"/>
        <v>Shipped_Stock</v>
      </c>
      <c r="AS1282" s="259" t="str">
        <f t="shared" si="271"/>
        <v/>
      </c>
      <c r="AT1282" s="259" t="str">
        <f t="shared" si="272"/>
        <v>清水湾（End use:呈承）</v>
      </c>
      <c r="AU1282" s="259" t="str">
        <f t="shared" si="273"/>
        <v>YJY-2023040701</v>
      </c>
      <c r="AV1282" s="259" t="str">
        <f t="shared" si="274"/>
        <v>Aug-08</v>
      </c>
    </row>
    <row r="1283" spans="1:48" ht="37.5" hidden="1" customHeight="1">
      <c r="A1283" s="564">
        <v>1663</v>
      </c>
      <c r="B1283" s="669" t="s">
        <v>1125</v>
      </c>
      <c r="C1283" s="669" t="s">
        <v>281</v>
      </c>
      <c r="D1283" s="766">
        <v>110929</v>
      </c>
      <c r="E1283" s="651" t="s">
        <v>2499</v>
      </c>
      <c r="F1283" s="652" t="s">
        <v>17</v>
      </c>
      <c r="G1283" s="652" t="s">
        <v>18</v>
      </c>
      <c r="H1283" s="652" t="s">
        <v>2500</v>
      </c>
      <c r="I1283" s="580" t="s">
        <v>2501</v>
      </c>
      <c r="J1283" s="580">
        <v>1</v>
      </c>
      <c r="K1283" s="652" t="s">
        <v>1419</v>
      </c>
      <c r="L1283" s="662">
        <v>44781</v>
      </c>
      <c r="M1283" s="670" t="s">
        <v>3916</v>
      </c>
      <c r="N1283" s="652" t="s">
        <v>4045</v>
      </c>
      <c r="O1283" s="580">
        <v>2022.7</v>
      </c>
      <c r="P1283" s="670" t="str">
        <f>VLOOKUP(A1283,'[1]Raw data'!$B:$BA,23,FALSE)</f>
        <v>RMB</v>
      </c>
      <c r="Q1283" s="652" t="str">
        <f>VLOOKUP(A1283,'[1]Raw data'!$B:$Z,2,FALSE)</f>
        <v>SNFPC-CG-2022-008</v>
      </c>
      <c r="R1283" s="652" t="str">
        <f>VLOOKUP(A1283,'[1]Raw data'!$B:$Z,3,FALSE)</f>
        <v>康佳</v>
      </c>
      <c r="S1283" s="652" t="str">
        <f>VLOOKUP(A1283,'[1]Raw data'!$B:$Z,4,FALSE)</f>
        <v>YSM10</v>
      </c>
      <c r="T1283" s="652" t="str">
        <f>VLOOKUP(A1283,'[1]Raw data'!$B:$Z,8,FALSE)</f>
        <v>L-&gt;R</v>
      </c>
      <c r="U1283" s="652" t="str">
        <f>VLOOKUP(A1283,'[1]Raw data'!$B:$Z,9,FALSE)</f>
        <v>MVC+ATS15+ANC</v>
      </c>
      <c r="V1283" s="572" t="str">
        <f t="shared" ref="V1283:V1286" si="283">IF(G1283&amp;H1283=T1283&amp;U1283,"OK","WRONG")</f>
        <v>WRONG</v>
      </c>
      <c r="W1283" s="568" t="str">
        <f>VLOOKUP(A1283,'[1]Raw data'!$B:$AG,32,FALSE)</f>
        <v>DDP SN</v>
      </c>
      <c r="X1283" s="662">
        <f>VLOOKUP(A1283,'[1]Raw data'!$B:$BA,31,FALSE)</f>
        <v>44678</v>
      </c>
      <c r="Y1283" s="652" t="str">
        <f>VLOOKUP(A1283,'[1]Raw data'!$B:$AS,39,FALSE)</f>
        <v>Yes</v>
      </c>
      <c r="Z1283" s="664"/>
      <c r="AA1283" s="665"/>
      <c r="AB1283" s="666"/>
      <c r="AC1283" s="652" t="s">
        <v>1951</v>
      </c>
      <c r="AD1283" s="667">
        <v>301</v>
      </c>
      <c r="AE1283" s="667">
        <v>5</v>
      </c>
      <c r="AF1283" s="667">
        <v>303</v>
      </c>
      <c r="AG1283" s="667">
        <v>3</v>
      </c>
      <c r="AH1283" s="667">
        <v>304</v>
      </c>
      <c r="AI1283" s="667">
        <v>2</v>
      </c>
      <c r="AN1283" s="547"/>
      <c r="AO1283" s="829" t="str">
        <f t="shared" ref="AO1283:AO1346" si="284">IFERROR(IF(Y1283&lt;&gt;"",Y1283,"No"),"No")</f>
        <v>Yes</v>
      </c>
      <c r="AP1283" s="259" t="str">
        <f t="shared" ref="AP1283:AP1346" si="285">IFERROR(IF(N1283&lt;&gt;"",N1283,"blank"),"NA")</f>
        <v>AUG 23</v>
      </c>
      <c r="AQ1283" s="547" t="str">
        <f t="shared" ref="AQ1283:AQ1346" si="286">IFERROR(IF(AND(AO1283="Yes", AP1283&lt;&gt;"blank"), "有定金+有預留客戶", IF(AND(AO1283="Yes", AP1283="blank"), "有定金+无客戶送貨期", IF(AND(OR(AO1283="No", ISBLANK(AO1283), AO1283="NA"), AP1283&lt;&gt;"blank"), "无定金+有預留客戶", IF(AND(OR(AO1283="No", ISBLANK(AO1283), AO1283="NA"), AP1283="blank"), "无定金+无預留客戶", "")))), "")</f>
        <v>有定金+有預留客戶</v>
      </c>
      <c r="AR1283" s="259" t="str">
        <f t="shared" ref="AR1283:AR1346" si="287">IFERROR(IF(B1283="已经到货", "Instock", IF(B1283="有交期", "Incoming_Stock_With_YAMAHA_Schedule", IF(B1283="TBA.", "Incoming_Stock_No_YAMAHA_Schedule", IF(B1283="已发货", "Shipped_Stock", "")))), "")</f>
        <v>Shipped_Stock</v>
      </c>
      <c r="AS1283" s="259" t="str">
        <f t="shared" ref="AS1283:AS1346" si="288">IF(AND(B1283="有交期", L1283&lt;&gt;""), L1283, "")</f>
        <v/>
      </c>
      <c r="AT1283" s="259" t="str">
        <f t="shared" ref="AT1283:AT1346" si="289">IFERROR(IF(R1283&lt;&gt;"",R1283),"-")</f>
        <v>康佳</v>
      </c>
      <c r="AU1283" s="259" t="str">
        <f t="shared" ref="AU1283:AU1346" si="290">IFERROR(IF(Q1283&lt;&gt;"",Q1283),"-")</f>
        <v>SNFPC-CG-2022-008</v>
      </c>
      <c r="AV1283" s="259" t="str">
        <f t="shared" ref="AV1283:AV1346" si="291">IF(L1283="","-",TEXT(L1283,"mmm-dd"))</f>
        <v>Aug-08</v>
      </c>
    </row>
    <row r="1284" spans="1:48" hidden="1">
      <c r="A1284" s="604">
        <v>1743</v>
      </c>
      <c r="B1284" s="669" t="s">
        <v>1125</v>
      </c>
      <c r="C1284" s="669" t="s">
        <v>281</v>
      </c>
      <c r="D1284" s="760">
        <v>110929</v>
      </c>
      <c r="E1284" s="651" t="s">
        <v>2499</v>
      </c>
      <c r="F1284" s="652" t="s">
        <v>58</v>
      </c>
      <c r="G1284" s="652" t="s">
        <v>18</v>
      </c>
      <c r="H1284" s="652" t="s">
        <v>27</v>
      </c>
      <c r="I1284" s="580" t="s">
        <v>2503</v>
      </c>
      <c r="J1284" s="580">
        <v>1</v>
      </c>
      <c r="K1284" s="652" t="s">
        <v>1419</v>
      </c>
      <c r="L1284" s="662">
        <v>44781</v>
      </c>
      <c r="M1284" s="722">
        <v>5.2699999999999997E-2</v>
      </c>
      <c r="N1284" s="652" t="s">
        <v>205</v>
      </c>
      <c r="O1284" s="580">
        <v>2022.7</v>
      </c>
      <c r="P1284" s="670" t="str">
        <f>VLOOKUP(A1284,'[1]Raw data'!$B:$BA,23,FALSE)</f>
        <v>RMB</v>
      </c>
      <c r="Q1284" s="652" t="str">
        <f>VLOOKUP(A1284,'[1]Raw data'!$B:$Z,2,FALSE)</f>
        <v>C49SZX20220107DZ</v>
      </c>
      <c r="R1284" s="652" t="str">
        <f>VLOOKUP(A1284,'[1]Raw data'!$B:$Z,3,FALSE)</f>
        <v>朗特</v>
      </c>
      <c r="S1284" s="652" t="str">
        <f>VLOOKUP(A1284,'[1]Raw data'!$B:$Z,4,FALSE)</f>
        <v>YSM20R-2</v>
      </c>
      <c r="T1284" s="652" t="str">
        <f>VLOOKUP(A1284,'[1]Raw data'!$B:$Z,8,FALSE)</f>
        <v>R-&gt;L</v>
      </c>
      <c r="U1284" s="652" t="str">
        <f>VLOOKUP(A1284,'[1]Raw data'!$B:$Z,9,FALSE)</f>
        <v>No</v>
      </c>
      <c r="V1284" s="572" t="str">
        <f t="shared" si="283"/>
        <v>WRONG</v>
      </c>
      <c r="W1284" s="568" t="str">
        <f>VLOOKUP(A1284,'[1]Raw data'!$B:$AG,32,FALSE)</f>
        <v>DDP SZ</v>
      </c>
      <c r="X1284" s="652">
        <f>VLOOKUP(A1284,'[1]Raw data'!$B:$BA,31,FALSE)</f>
        <v>44846</v>
      </c>
      <c r="Y1284" s="652" t="str">
        <f>VLOOKUP(A1284,'[1]Raw data'!$B:$AS,39,FALSE)</f>
        <v>Yes</v>
      </c>
      <c r="Z1284" s="671"/>
      <c r="AA1284" s="665"/>
      <c r="AB1284" s="666"/>
      <c r="AC1284" s="652" t="s">
        <v>2336</v>
      </c>
      <c r="AD1284" s="580">
        <v>301</v>
      </c>
      <c r="AE1284" s="580">
        <v>10</v>
      </c>
      <c r="AF1284" s="580">
        <v>302</v>
      </c>
      <c r="AG1284" s="580">
        <v>5</v>
      </c>
      <c r="AH1284" s="580">
        <v>303</v>
      </c>
      <c r="AI1284" s="580">
        <v>5</v>
      </c>
      <c r="AJ1284" s="569"/>
      <c r="AK1284" s="569"/>
      <c r="AL1284" s="569"/>
      <c r="AM1284" s="569"/>
      <c r="AN1284" s="619"/>
      <c r="AO1284" s="829" t="str">
        <f t="shared" si="284"/>
        <v>Yes</v>
      </c>
      <c r="AP1284" s="259" t="str">
        <f t="shared" si="285"/>
        <v>OCT 22</v>
      </c>
      <c r="AQ1284" s="547" t="str">
        <f t="shared" si="286"/>
        <v>有定金+有預留客戶</v>
      </c>
      <c r="AR1284" s="259" t="str">
        <f t="shared" si="287"/>
        <v>Shipped_Stock</v>
      </c>
      <c r="AS1284" s="259" t="str">
        <f t="shared" si="288"/>
        <v/>
      </c>
      <c r="AT1284" s="259" t="str">
        <f t="shared" si="289"/>
        <v>朗特</v>
      </c>
      <c r="AU1284" s="259" t="str">
        <f t="shared" si="290"/>
        <v>C49SZX20220107DZ</v>
      </c>
      <c r="AV1284" s="259" t="str">
        <f t="shared" si="291"/>
        <v>Aug-08</v>
      </c>
    </row>
    <row r="1285" spans="1:48" hidden="1">
      <c r="A1285" s="564">
        <v>1656</v>
      </c>
      <c r="B1285" s="669" t="s">
        <v>1125</v>
      </c>
      <c r="C1285" s="669" t="s">
        <v>281</v>
      </c>
      <c r="D1285" s="760">
        <v>110929</v>
      </c>
      <c r="E1285" s="651" t="s">
        <v>2499</v>
      </c>
      <c r="F1285" s="652" t="s">
        <v>58</v>
      </c>
      <c r="G1285" s="652" t="s">
        <v>18</v>
      </c>
      <c r="H1285" s="652" t="s">
        <v>2504</v>
      </c>
      <c r="I1285" s="580" t="s">
        <v>2505</v>
      </c>
      <c r="J1285" s="580">
        <v>1</v>
      </c>
      <c r="K1285" s="652" t="s">
        <v>1419</v>
      </c>
      <c r="L1285" s="662">
        <v>44781</v>
      </c>
      <c r="M1285" s="670">
        <v>5.2699999999999997E-2</v>
      </c>
      <c r="N1285" s="652" t="s">
        <v>4045</v>
      </c>
      <c r="O1285" s="580">
        <v>2022.7</v>
      </c>
      <c r="P1285" s="670" t="str">
        <f>VLOOKUP(A1285,'[1]Raw data'!$B:$BA,23,FALSE)</f>
        <v>RMB</v>
      </c>
      <c r="Q1285" s="652" t="str">
        <f>VLOOKUP(A1285,'[1]Raw data'!$B:$Z,2,FALSE)</f>
        <v>SNFPC-CG-2022-008</v>
      </c>
      <c r="R1285" s="652" t="str">
        <f>VLOOKUP(A1285,'[1]Raw data'!$B:$Z,3,FALSE)</f>
        <v>康佳</v>
      </c>
      <c r="S1285" s="652" t="str">
        <f>VLOOKUP(A1285,'[1]Raw data'!$B:$Z,4,FALSE)</f>
        <v>YSM20R-2</v>
      </c>
      <c r="T1285" s="652" t="str">
        <f>VLOOKUP(A1285,'[1]Raw data'!$B:$Z,8,FALSE)</f>
        <v>R-&gt;L</v>
      </c>
      <c r="U1285" s="652" t="str">
        <f>VLOOKUP(A1285,'[1]Raw data'!$B:$Z,9,FALSE)</f>
        <v>No</v>
      </c>
      <c r="V1285" s="572" t="str">
        <f t="shared" si="283"/>
        <v>WRONG</v>
      </c>
      <c r="W1285" s="568" t="str">
        <f>VLOOKUP(A1285,'[1]Raw data'!$B:$AG,32,FALSE)</f>
        <v>DDP SN</v>
      </c>
      <c r="X1285" s="662">
        <f>VLOOKUP(A1285,'[1]Raw data'!$B:$BA,31,FALSE)</f>
        <v>44678</v>
      </c>
      <c r="Y1285" s="652" t="str">
        <f>VLOOKUP(A1285,'[1]Raw data'!$B:$AS,39,FALSE)</f>
        <v>Yes</v>
      </c>
      <c r="Z1285" s="664"/>
      <c r="AA1285" s="665"/>
      <c r="AB1285" s="666"/>
      <c r="AC1285" s="652" t="s">
        <v>1951</v>
      </c>
      <c r="AD1285" s="667">
        <v>301</v>
      </c>
      <c r="AE1285" s="667">
        <v>10</v>
      </c>
      <c r="AF1285" s="667">
        <v>302</v>
      </c>
      <c r="AG1285" s="667">
        <v>5</v>
      </c>
      <c r="AH1285" s="667">
        <v>303</v>
      </c>
      <c r="AI1285" s="667">
        <v>5</v>
      </c>
      <c r="AN1285" s="547"/>
      <c r="AO1285" s="829" t="str">
        <f t="shared" si="284"/>
        <v>Yes</v>
      </c>
      <c r="AP1285" s="259" t="str">
        <f t="shared" si="285"/>
        <v>AUG 23</v>
      </c>
      <c r="AQ1285" s="547" t="str">
        <f t="shared" si="286"/>
        <v>有定金+有預留客戶</v>
      </c>
      <c r="AR1285" s="259" t="str">
        <f t="shared" si="287"/>
        <v>Shipped_Stock</v>
      </c>
      <c r="AS1285" s="259" t="str">
        <f t="shared" si="288"/>
        <v/>
      </c>
      <c r="AT1285" s="259" t="str">
        <f t="shared" si="289"/>
        <v>康佳</v>
      </c>
      <c r="AU1285" s="259" t="str">
        <f t="shared" si="290"/>
        <v>SNFPC-CG-2022-008</v>
      </c>
      <c r="AV1285" s="259" t="str">
        <f t="shared" si="291"/>
        <v>Aug-08</v>
      </c>
    </row>
    <row r="1286" spans="1:48" ht="13.5" hidden="1" thickBot="1">
      <c r="A1286" s="564">
        <v>1657</v>
      </c>
      <c r="B1286" s="669" t="s">
        <v>1125</v>
      </c>
      <c r="C1286" s="669" t="s">
        <v>281</v>
      </c>
      <c r="D1286" s="629">
        <v>110929</v>
      </c>
      <c r="E1286" s="651" t="s">
        <v>2499</v>
      </c>
      <c r="F1286" s="652" t="s">
        <v>58</v>
      </c>
      <c r="G1286" s="652" t="s">
        <v>18</v>
      </c>
      <c r="H1286" s="652" t="s">
        <v>2504</v>
      </c>
      <c r="I1286" s="580" t="s">
        <v>2506</v>
      </c>
      <c r="J1286" s="580">
        <v>1</v>
      </c>
      <c r="K1286" s="652" t="s">
        <v>1419</v>
      </c>
      <c r="L1286" s="662">
        <v>44781</v>
      </c>
      <c r="M1286" s="670">
        <v>5.2699999999999997E-2</v>
      </c>
      <c r="N1286" s="652" t="s">
        <v>4045</v>
      </c>
      <c r="O1286" s="580">
        <v>2022.7</v>
      </c>
      <c r="P1286" s="670" t="str">
        <f>VLOOKUP(A1286,'[1]Raw data'!$B:$BA,23,FALSE)</f>
        <v>RMB</v>
      </c>
      <c r="Q1286" s="652" t="str">
        <f>VLOOKUP(A1286,'[1]Raw data'!$B:$Z,2,FALSE)</f>
        <v>SNFPC-CG-2022-008</v>
      </c>
      <c r="R1286" s="652" t="str">
        <f>VLOOKUP(A1286,'[1]Raw data'!$B:$Z,3,FALSE)</f>
        <v>康佳</v>
      </c>
      <c r="S1286" s="652" t="str">
        <f>VLOOKUP(A1286,'[1]Raw data'!$B:$Z,4,FALSE)</f>
        <v>YSM20R-2</v>
      </c>
      <c r="T1286" s="652" t="str">
        <f>VLOOKUP(A1286,'[1]Raw data'!$B:$Z,8,FALSE)</f>
        <v>R-&gt;L</v>
      </c>
      <c r="U1286" s="652" t="str">
        <f>VLOOKUP(A1286,'[1]Raw data'!$B:$Z,9,FALSE)</f>
        <v>No</v>
      </c>
      <c r="V1286" s="572" t="str">
        <f t="shared" si="283"/>
        <v>WRONG</v>
      </c>
      <c r="W1286" s="568" t="str">
        <f>VLOOKUP(A1286,'[1]Raw data'!$B:$AG,32,FALSE)</f>
        <v>DDP SN</v>
      </c>
      <c r="X1286" s="662">
        <f>VLOOKUP(A1286,'[1]Raw data'!$B:$BA,31,FALSE)</f>
        <v>44678</v>
      </c>
      <c r="Y1286" s="652" t="str">
        <f>VLOOKUP(A1286,'[1]Raw data'!$B:$AS,39,FALSE)</f>
        <v>Yes</v>
      </c>
      <c r="Z1286" s="664"/>
      <c r="AA1286" s="665"/>
      <c r="AB1286" s="666"/>
      <c r="AC1286" s="652" t="s">
        <v>1951</v>
      </c>
      <c r="AD1286" s="667">
        <v>301</v>
      </c>
      <c r="AE1286" s="667">
        <v>5</v>
      </c>
      <c r="AF1286" s="667">
        <v>302</v>
      </c>
      <c r="AG1286" s="667">
        <v>10</v>
      </c>
      <c r="AH1286" s="667">
        <v>304</v>
      </c>
      <c r="AI1286" s="668">
        <v>5</v>
      </c>
      <c r="AN1286" s="547"/>
      <c r="AO1286" s="829" t="str">
        <f t="shared" si="284"/>
        <v>Yes</v>
      </c>
      <c r="AP1286" s="259" t="str">
        <f t="shared" si="285"/>
        <v>AUG 23</v>
      </c>
      <c r="AQ1286" s="547" t="str">
        <f t="shared" si="286"/>
        <v>有定金+有預留客戶</v>
      </c>
      <c r="AR1286" s="259" t="str">
        <f t="shared" si="287"/>
        <v>Shipped_Stock</v>
      </c>
      <c r="AS1286" s="259" t="str">
        <f t="shared" si="288"/>
        <v/>
      </c>
      <c r="AT1286" s="259" t="str">
        <f t="shared" si="289"/>
        <v>康佳</v>
      </c>
      <c r="AU1286" s="259" t="str">
        <f t="shared" si="290"/>
        <v>SNFPC-CG-2022-008</v>
      </c>
      <c r="AV1286" s="259" t="str">
        <f t="shared" si="291"/>
        <v>Aug-08</v>
      </c>
    </row>
    <row r="1287" spans="1:48" hidden="1">
      <c r="A1287" s="604">
        <v>1764</v>
      </c>
      <c r="B1287" s="669" t="s">
        <v>1125</v>
      </c>
      <c r="C1287" s="669" t="s">
        <v>281</v>
      </c>
      <c r="D1287" s="766" t="s">
        <v>2507</v>
      </c>
      <c r="E1287" s="651" t="s">
        <v>2508</v>
      </c>
      <c r="F1287" s="652" t="s">
        <v>17</v>
      </c>
      <c r="G1287" s="652" t="s">
        <v>18</v>
      </c>
      <c r="H1287" s="652" t="s">
        <v>2509</v>
      </c>
      <c r="I1287" s="580" t="s">
        <v>2510</v>
      </c>
      <c r="J1287" s="580">
        <v>1</v>
      </c>
      <c r="K1287" s="652" t="s">
        <v>1419</v>
      </c>
      <c r="L1287" s="662">
        <v>44781</v>
      </c>
      <c r="M1287" s="796">
        <v>5.1200000000000002E-2</v>
      </c>
      <c r="N1287" s="652" t="s">
        <v>220</v>
      </c>
      <c r="O1287" s="580">
        <v>2022.7</v>
      </c>
      <c r="P1287" s="670" t="str">
        <f>VLOOKUP(A1287,'[1]Raw data'!$B:$BA,23,FALSE)</f>
        <v>RMB</v>
      </c>
      <c r="Q1287" s="652" t="str">
        <f>VLOOKUP(A1287,'[1]Raw data'!$B:$Z,2,FALSE)</f>
        <v>C49SZX20220125RZ</v>
      </c>
      <c r="R1287" s="652" t="str">
        <f>VLOOKUP(A1287,'[1]Raw data'!$B:$Z,3,FALSE)</f>
        <v>乐迪泰</v>
      </c>
      <c r="S1287" s="652" t="str">
        <f>VLOOKUP(A1287,'[1]Raw data'!$B:$Z,4,FALSE)</f>
        <v>YSM10</v>
      </c>
      <c r="T1287" s="652" t="str">
        <f>VLOOKUP(A1287,'[1]Raw data'!$B:$Z,8,FALSE)</f>
        <v>L-&gt;R</v>
      </c>
      <c r="U1287" s="652" t="str">
        <f>VLOOKUP(A1287,'[1]Raw data'!$B:$Z,9,FALSE)</f>
        <v>大板相机</v>
      </c>
      <c r="V1287" s="572" t="str">
        <f t="shared" ref="V1287:V1288" si="292">IF(G1287&amp;H1287=T1287&amp;U1287,"OK","WRONG")</f>
        <v>WRONG</v>
      </c>
      <c r="W1287" s="568" t="str">
        <f>VLOOKUP(A1287,'[1]Raw data'!$B:$AG,32,FALSE)</f>
        <v>DDP SZ</v>
      </c>
      <c r="X1287" s="652">
        <f>VLOOKUP(A1287,'[1]Raw data'!$B:$BA,31,FALSE)</f>
        <v>44895</v>
      </c>
      <c r="Y1287" s="652" t="str">
        <f>VLOOKUP(A1287,'[1]Raw data'!$B:$AS,39,FALSE)</f>
        <v>Yes</v>
      </c>
      <c r="Z1287" s="671"/>
      <c r="AA1287" s="665"/>
      <c r="AB1287" s="666"/>
      <c r="AC1287" s="652" t="s">
        <v>2511</v>
      </c>
      <c r="AD1287" s="580">
        <v>301</v>
      </c>
      <c r="AE1287" s="580">
        <v>5</v>
      </c>
      <c r="AF1287" s="580">
        <v>302</v>
      </c>
      <c r="AG1287" s="580">
        <v>3</v>
      </c>
      <c r="AH1287" s="580">
        <v>303</v>
      </c>
      <c r="AI1287" s="684">
        <v>1</v>
      </c>
      <c r="AJ1287" s="580">
        <v>304</v>
      </c>
      <c r="AK1287" s="684">
        <v>1</v>
      </c>
      <c r="AL1287" s="569"/>
      <c r="AM1287" s="569"/>
      <c r="AN1287" s="619"/>
      <c r="AO1287" s="829" t="str">
        <f t="shared" si="284"/>
        <v>Yes</v>
      </c>
      <c r="AP1287" s="259" t="str">
        <f t="shared" si="285"/>
        <v>DEC 22</v>
      </c>
      <c r="AQ1287" s="547" t="str">
        <f t="shared" si="286"/>
        <v>有定金+有預留客戶</v>
      </c>
      <c r="AR1287" s="259" t="str">
        <f t="shared" si="287"/>
        <v>Shipped_Stock</v>
      </c>
      <c r="AS1287" s="259" t="str">
        <f t="shared" si="288"/>
        <v/>
      </c>
      <c r="AT1287" s="259" t="str">
        <f t="shared" si="289"/>
        <v>乐迪泰</v>
      </c>
      <c r="AU1287" s="259" t="str">
        <f t="shared" si="290"/>
        <v>C49SZX20220125RZ</v>
      </c>
      <c r="AV1287" s="259" t="str">
        <f t="shared" si="291"/>
        <v>Aug-08</v>
      </c>
    </row>
    <row r="1288" spans="1:48" hidden="1">
      <c r="A1288" s="564">
        <v>1855</v>
      </c>
      <c r="B1288" s="669" t="s">
        <v>1125</v>
      </c>
      <c r="C1288" s="669" t="s">
        <v>281</v>
      </c>
      <c r="D1288" s="760" t="s">
        <v>2507</v>
      </c>
      <c r="E1288" s="651" t="s">
        <v>2508</v>
      </c>
      <c r="F1288" s="652" t="s">
        <v>17</v>
      </c>
      <c r="G1288" s="652" t="s">
        <v>18</v>
      </c>
      <c r="H1288" s="652" t="s">
        <v>2509</v>
      </c>
      <c r="I1288" s="580" t="s">
        <v>2512</v>
      </c>
      <c r="J1288" s="580">
        <v>1</v>
      </c>
      <c r="K1288" s="652" t="s">
        <v>1419</v>
      </c>
      <c r="L1288" s="662">
        <v>44781</v>
      </c>
      <c r="M1288" s="670">
        <v>5.1200000000000002E-2</v>
      </c>
      <c r="N1288" s="652" t="s">
        <v>3992</v>
      </c>
      <c r="O1288" s="580">
        <v>2022.7</v>
      </c>
      <c r="P1288" s="670" t="str">
        <f>VLOOKUP(A1288,'[1]Raw data'!$B:$BA,23,FALSE)</f>
        <v>RMB</v>
      </c>
      <c r="Q1288" s="652" t="str">
        <f>VLOOKUP(A1288,'[1]Raw data'!$B:$Z,2,FALSE)</f>
        <v>C49SZX20230020SX</v>
      </c>
      <c r="R1288" s="652" t="str">
        <f>VLOOKUP(A1288,'[1]Raw data'!$B:$Z,3,FALSE)</f>
        <v>奕东</v>
      </c>
      <c r="S1288" s="652" t="str">
        <f>VLOOKUP(A1288,'[1]Raw data'!$B:$Z,4,FALSE)</f>
        <v>YSM10</v>
      </c>
      <c r="T1288" s="652" t="str">
        <f>VLOOKUP(A1288,'[1]Raw data'!$B:$Z,8,FALSE)</f>
        <v>L-&gt;R</v>
      </c>
      <c r="U1288" s="652" t="str">
        <f>VLOOKUP(A1288,'[1]Raw data'!$B:$Z,9,FALSE)</f>
        <v>MVC +大板相机</v>
      </c>
      <c r="V1288" s="572" t="str">
        <f t="shared" si="292"/>
        <v>WRONG</v>
      </c>
      <c r="W1288" s="568" t="str">
        <f>VLOOKUP(A1288,'[1]Raw data'!$B:$AG,32,FALSE)</f>
        <v>DDP DG</v>
      </c>
      <c r="X1288" s="662" t="str">
        <f>VLOOKUP(A1288,'[1]Raw data'!$B:$BA,31,FALSE)</f>
        <v>2023-2--20</v>
      </c>
      <c r="Y1288" s="652" t="str">
        <f>VLOOKUP(A1288,'[1]Raw data'!$B:$AS,39,FALSE)</f>
        <v>Yes</v>
      </c>
      <c r="Z1288" s="664"/>
      <c r="AA1288" s="665"/>
      <c r="AB1288" s="666"/>
      <c r="AC1288" s="652" t="s">
        <v>1951</v>
      </c>
      <c r="AD1288" s="667">
        <v>301</v>
      </c>
      <c r="AE1288" s="667">
        <v>5</v>
      </c>
      <c r="AF1288" s="667">
        <v>302</v>
      </c>
      <c r="AG1288" s="667">
        <v>3</v>
      </c>
      <c r="AH1288" s="667">
        <v>303</v>
      </c>
      <c r="AI1288" s="668">
        <v>1</v>
      </c>
      <c r="AJ1288" s="667">
        <v>304</v>
      </c>
      <c r="AK1288" s="668">
        <v>1</v>
      </c>
      <c r="AN1288" s="547"/>
      <c r="AO1288" s="829" t="str">
        <f t="shared" si="284"/>
        <v>Yes</v>
      </c>
      <c r="AP1288" s="259" t="str">
        <f t="shared" si="285"/>
        <v>JUN 23</v>
      </c>
      <c r="AQ1288" s="547" t="str">
        <f t="shared" si="286"/>
        <v>有定金+有預留客戶</v>
      </c>
      <c r="AR1288" s="259" t="str">
        <f t="shared" si="287"/>
        <v>Shipped_Stock</v>
      </c>
      <c r="AS1288" s="259" t="str">
        <f t="shared" si="288"/>
        <v/>
      </c>
      <c r="AT1288" s="259" t="str">
        <f t="shared" si="289"/>
        <v>奕东</v>
      </c>
      <c r="AU1288" s="259" t="str">
        <f t="shared" si="290"/>
        <v>C49SZX20230020SX</v>
      </c>
      <c r="AV1288" s="259" t="str">
        <f t="shared" si="291"/>
        <v>Aug-08</v>
      </c>
    </row>
    <row r="1289" spans="1:48" hidden="1">
      <c r="A1289" s="604">
        <v>1813</v>
      </c>
      <c r="B1289" s="669" t="s">
        <v>1125</v>
      </c>
      <c r="C1289" s="669" t="s">
        <v>281</v>
      </c>
      <c r="D1289" s="760" t="s">
        <v>2507</v>
      </c>
      <c r="E1289" s="651" t="s">
        <v>2508</v>
      </c>
      <c r="F1289" s="652" t="s">
        <v>17</v>
      </c>
      <c r="G1289" s="652" t="s">
        <v>18</v>
      </c>
      <c r="H1289" s="652" t="s">
        <v>2509</v>
      </c>
      <c r="I1289" s="580" t="s">
        <v>2513</v>
      </c>
      <c r="J1289" s="580">
        <v>1</v>
      </c>
      <c r="K1289" s="652" t="s">
        <v>1419</v>
      </c>
      <c r="L1289" s="662">
        <v>44781</v>
      </c>
      <c r="M1289" s="722">
        <v>5.2499999999999998E-2</v>
      </c>
      <c r="N1289" s="652" t="s">
        <v>216</v>
      </c>
      <c r="O1289" s="580">
        <v>2022.7</v>
      </c>
      <c r="P1289" s="670" t="str">
        <f>VLOOKUP(A1289,'[1]Raw data'!$B:$BA,23,FALSE)</f>
        <v>RMB</v>
      </c>
      <c r="Q1289" s="652" t="str">
        <f>VLOOKUP(A1289,'[1]Raw data'!$B:$Z,2,FALSE)</f>
        <v>C49SZX20230009SX</v>
      </c>
      <c r="R1289" s="652" t="str">
        <f>VLOOKUP(A1289,'[1]Raw data'!$B:$Z,3,FALSE)</f>
        <v>利速达</v>
      </c>
      <c r="S1289" s="652" t="str">
        <f>VLOOKUP(A1289,'[1]Raw data'!$B:$Z,4,FALSE)</f>
        <v>YSM10</v>
      </c>
      <c r="T1289" s="652" t="str">
        <f>VLOOKUP(A1289,'[1]Raw data'!$B:$Z,8,FALSE)</f>
        <v>L-&gt;R</v>
      </c>
      <c r="U1289" s="652" t="str">
        <f>VLOOKUP(A1289,'[1]Raw data'!$B:$Z,9,FALSE)</f>
        <v>MVC</v>
      </c>
      <c r="V1289" s="572" t="str">
        <f t="shared" ref="V1289:V1291" si="293">IF(G1289&amp;H1289=T1289&amp;U1289,"OK","WRONG")</f>
        <v>WRONG</v>
      </c>
      <c r="W1289" s="568" t="str">
        <f>VLOOKUP(A1289,'[1]Raw data'!$B:$AG,32,FALSE)</f>
        <v>DDP SZ</v>
      </c>
      <c r="X1289" s="652">
        <f>VLOOKUP(A1289,'[1]Raw data'!$B:$BA,31,FALSE)</f>
        <v>44937</v>
      </c>
      <c r="Y1289" s="652" t="str">
        <f>VLOOKUP(A1289,'[1]Raw data'!$B:$AS,39,FALSE)</f>
        <v>Yes</v>
      </c>
      <c r="Z1289" s="664"/>
      <c r="AA1289" s="665"/>
      <c r="AB1289" s="666"/>
      <c r="AC1289" s="652" t="s">
        <v>2514</v>
      </c>
      <c r="AD1289" s="580">
        <v>301</v>
      </c>
      <c r="AE1289" s="580">
        <v>5</v>
      </c>
      <c r="AF1289" s="580">
        <v>302</v>
      </c>
      <c r="AG1289" s="580">
        <v>3</v>
      </c>
      <c r="AH1289" s="580">
        <v>303</v>
      </c>
      <c r="AI1289" s="684">
        <v>1</v>
      </c>
      <c r="AJ1289" s="580">
        <v>304</v>
      </c>
      <c r="AK1289" s="684">
        <v>1</v>
      </c>
      <c r="AL1289" s="569"/>
      <c r="AM1289" s="569"/>
      <c r="AN1289" s="619"/>
      <c r="AO1289" s="829" t="str">
        <f t="shared" si="284"/>
        <v>Yes</v>
      </c>
      <c r="AP1289" s="259" t="str">
        <f t="shared" si="285"/>
        <v>MAR 23</v>
      </c>
      <c r="AQ1289" s="547" t="str">
        <f t="shared" si="286"/>
        <v>有定金+有預留客戶</v>
      </c>
      <c r="AR1289" s="259" t="str">
        <f t="shared" si="287"/>
        <v>Shipped_Stock</v>
      </c>
      <c r="AS1289" s="259" t="str">
        <f t="shared" si="288"/>
        <v/>
      </c>
      <c r="AT1289" s="259" t="str">
        <f t="shared" si="289"/>
        <v>利速达</v>
      </c>
      <c r="AU1289" s="259" t="str">
        <f t="shared" si="290"/>
        <v>C49SZX20230009SX</v>
      </c>
      <c r="AV1289" s="259" t="str">
        <f t="shared" si="291"/>
        <v>Aug-08</v>
      </c>
    </row>
    <row r="1290" spans="1:48" hidden="1">
      <c r="A1290" s="564">
        <v>1902</v>
      </c>
      <c r="B1290" s="669" t="s">
        <v>1125</v>
      </c>
      <c r="C1290" s="669" t="s">
        <v>281</v>
      </c>
      <c r="D1290" s="760" t="s">
        <v>2507</v>
      </c>
      <c r="E1290" s="651" t="s">
        <v>2508</v>
      </c>
      <c r="F1290" s="652" t="s">
        <v>17</v>
      </c>
      <c r="G1290" s="652" t="s">
        <v>18</v>
      </c>
      <c r="H1290" s="652" t="s">
        <v>2509</v>
      </c>
      <c r="I1290" s="580" t="s">
        <v>2515</v>
      </c>
      <c r="J1290" s="580">
        <v>1</v>
      </c>
      <c r="K1290" s="652" t="s">
        <v>1419</v>
      </c>
      <c r="L1290" s="662">
        <v>44781</v>
      </c>
      <c r="M1290" s="670">
        <v>5.2499999999999998E-2</v>
      </c>
      <c r="N1290" s="652" t="s">
        <v>226</v>
      </c>
      <c r="O1290" s="580">
        <v>2022.7</v>
      </c>
      <c r="P1290" s="670" t="str">
        <f>VLOOKUP(A1290,'[1]Raw data'!$B:$BA,23,FALSE)</f>
        <v>RMB</v>
      </c>
      <c r="Q1290" s="652" t="str">
        <f>VLOOKUP(A1290,'[1]Raw data'!$B:$Z,2,FALSE)</f>
        <v>C49SZX20230049JY</v>
      </c>
      <c r="R1290" s="652" t="str">
        <f>VLOOKUP(A1290,'[1]Raw data'!$B:$Z,3,FALSE)</f>
        <v>和创永泰</v>
      </c>
      <c r="S1290" s="652" t="str">
        <f>VLOOKUP(A1290,'[1]Raw data'!$B:$Z,4,FALSE)</f>
        <v>YSM10</v>
      </c>
      <c r="T1290" s="652" t="str">
        <f>VLOOKUP(A1290,'[1]Raw data'!$B:$Z,8,FALSE)</f>
        <v>L-&gt;R</v>
      </c>
      <c r="U1290" s="652" t="str">
        <f>VLOOKUP(A1290,'[1]Raw data'!$B:$Z,9,FALSE)</f>
        <v>MVC</v>
      </c>
      <c r="V1290" s="572" t="str">
        <f t="shared" si="293"/>
        <v>WRONG</v>
      </c>
      <c r="W1290" s="568" t="str">
        <f>VLOOKUP(A1290,'[1]Raw data'!$B:$AG,32,FALSE)</f>
        <v>DDP SZ</v>
      </c>
      <c r="X1290" s="652">
        <f>VLOOKUP(A1290,'[1]Raw data'!$B:$BA,31,FALSE)</f>
        <v>45036</v>
      </c>
      <c r="Y1290" s="652" t="str">
        <f>VLOOKUP(A1290,'[1]Raw data'!$B:$AS,39,FALSE)</f>
        <v>Yes</v>
      </c>
      <c r="Z1290" s="664"/>
      <c r="AA1290" s="665"/>
      <c r="AB1290" s="666"/>
      <c r="AC1290" s="652" t="s">
        <v>2436</v>
      </c>
      <c r="AD1290" s="667">
        <v>301</v>
      </c>
      <c r="AE1290" s="667">
        <v>5</v>
      </c>
      <c r="AF1290" s="667">
        <v>302</v>
      </c>
      <c r="AG1290" s="667">
        <v>3</v>
      </c>
      <c r="AH1290" s="667">
        <v>303</v>
      </c>
      <c r="AI1290" s="668">
        <v>1</v>
      </c>
      <c r="AJ1290" s="667">
        <v>304</v>
      </c>
      <c r="AK1290" s="668">
        <v>1</v>
      </c>
      <c r="AN1290" s="547"/>
      <c r="AO1290" s="829" t="str">
        <f t="shared" si="284"/>
        <v>Yes</v>
      </c>
      <c r="AP1290" s="259" t="str">
        <f t="shared" si="285"/>
        <v>APR 23</v>
      </c>
      <c r="AQ1290" s="547" t="str">
        <f t="shared" si="286"/>
        <v>有定金+有預留客戶</v>
      </c>
      <c r="AR1290" s="259" t="str">
        <f t="shared" si="287"/>
        <v>Shipped_Stock</v>
      </c>
      <c r="AS1290" s="259" t="str">
        <f t="shared" si="288"/>
        <v/>
      </c>
      <c r="AT1290" s="259" t="str">
        <f t="shared" si="289"/>
        <v>和创永泰</v>
      </c>
      <c r="AU1290" s="259" t="str">
        <f t="shared" si="290"/>
        <v>C49SZX20230049JY</v>
      </c>
      <c r="AV1290" s="259" t="str">
        <f t="shared" si="291"/>
        <v>Aug-08</v>
      </c>
    </row>
    <row r="1291" spans="1:48" ht="13.5" hidden="1" thickBot="1">
      <c r="A1291" s="604">
        <v>1909</v>
      </c>
      <c r="B1291" s="669" t="s">
        <v>1125</v>
      </c>
      <c r="C1291" s="669" t="s">
        <v>281</v>
      </c>
      <c r="D1291" s="629" t="s">
        <v>2507</v>
      </c>
      <c r="E1291" s="651" t="s">
        <v>2508</v>
      </c>
      <c r="F1291" s="652" t="s">
        <v>17</v>
      </c>
      <c r="G1291" s="652" t="s">
        <v>18</v>
      </c>
      <c r="H1291" s="652" t="s">
        <v>2509</v>
      </c>
      <c r="I1291" s="580" t="s">
        <v>2516</v>
      </c>
      <c r="J1291" s="580">
        <v>1</v>
      </c>
      <c r="K1291" s="652" t="s">
        <v>1419</v>
      </c>
      <c r="L1291" s="662">
        <v>44781</v>
      </c>
      <c r="M1291" s="670">
        <v>5.2499999999999998E-2</v>
      </c>
      <c r="N1291" s="652" t="s">
        <v>2502</v>
      </c>
      <c r="O1291" s="580">
        <v>2022.7</v>
      </c>
      <c r="P1291" s="670" t="str">
        <f>VLOOKUP(A1291,'[1]Raw data'!$B:$BA,23,FALSE)</f>
        <v>RMB</v>
      </c>
      <c r="Q1291" s="652" t="str">
        <f>VLOOKUP(A1291,'[1]Raw data'!$B:$Z,2,FALSE)</f>
        <v>C49SZX20230052MZ</v>
      </c>
      <c r="R1291" s="652" t="str">
        <f>VLOOKUP(A1291,'[1]Raw data'!$B:$Z,3,FALSE)</f>
        <v>佳润</v>
      </c>
      <c r="S1291" s="652" t="str">
        <f>VLOOKUP(A1291,'[1]Raw data'!$B:$Z,4,FALSE)</f>
        <v>YSM10</v>
      </c>
      <c r="T1291" s="652" t="str">
        <f>VLOOKUP(A1291,'[1]Raw data'!$B:$Z,8,FALSE)</f>
        <v>R-&gt;L</v>
      </c>
      <c r="U1291" s="652" t="str">
        <f>VLOOKUP(A1291,'[1]Raw data'!$B:$Z,9,FALSE)</f>
        <v>MVC</v>
      </c>
      <c r="V1291" s="572" t="str">
        <f t="shared" si="293"/>
        <v>WRONG</v>
      </c>
      <c r="W1291" s="568" t="str">
        <f>VLOOKUP(A1291,'[1]Raw data'!$B:$AG,32,FALSE)</f>
        <v>DDP HZ</v>
      </c>
      <c r="X1291" s="652">
        <f>VLOOKUP(A1291,'[1]Raw data'!$B:$BA,31,FALSE)</f>
        <v>45037</v>
      </c>
      <c r="Y1291" s="652" t="str">
        <f>VLOOKUP(A1291,'[1]Raw data'!$B:$AS,39,FALSE)</f>
        <v>Yes</v>
      </c>
      <c r="Z1291" s="664"/>
      <c r="AA1291" s="665"/>
      <c r="AB1291" s="666"/>
      <c r="AC1291" s="652" t="s">
        <v>3965</v>
      </c>
      <c r="AD1291" s="580">
        <v>301</v>
      </c>
      <c r="AE1291" s="580">
        <v>5</v>
      </c>
      <c r="AF1291" s="580">
        <v>302</v>
      </c>
      <c r="AG1291" s="580">
        <v>3</v>
      </c>
      <c r="AH1291" s="580">
        <v>303</v>
      </c>
      <c r="AI1291" s="684">
        <v>1</v>
      </c>
      <c r="AJ1291" s="580">
        <v>304</v>
      </c>
      <c r="AK1291" s="684">
        <v>1</v>
      </c>
      <c r="AL1291" s="569"/>
      <c r="AM1291" s="569"/>
      <c r="AN1291" s="619"/>
      <c r="AO1291" s="829" t="str">
        <f t="shared" si="284"/>
        <v>Yes</v>
      </c>
      <c r="AP1291" s="259" t="str">
        <f t="shared" si="285"/>
        <v>MAY 23</v>
      </c>
      <c r="AQ1291" s="547" t="str">
        <f t="shared" si="286"/>
        <v>有定金+有預留客戶</v>
      </c>
      <c r="AR1291" s="259" t="str">
        <f t="shared" si="287"/>
        <v>Shipped_Stock</v>
      </c>
      <c r="AS1291" s="259" t="str">
        <f t="shared" si="288"/>
        <v/>
      </c>
      <c r="AT1291" s="259" t="str">
        <f t="shared" si="289"/>
        <v>佳润</v>
      </c>
      <c r="AU1291" s="259" t="str">
        <f t="shared" si="290"/>
        <v>C49SZX20230052MZ</v>
      </c>
      <c r="AV1291" s="259" t="str">
        <f t="shared" si="291"/>
        <v>Aug-08</v>
      </c>
    </row>
    <row r="1292" spans="1:48" hidden="1">
      <c r="A1292" s="564">
        <v>1837</v>
      </c>
      <c r="B1292" s="669" t="s">
        <v>1125</v>
      </c>
      <c r="C1292" s="669" t="s">
        <v>281</v>
      </c>
      <c r="D1292" s="766">
        <v>111006</v>
      </c>
      <c r="E1292" s="651" t="s">
        <v>2508</v>
      </c>
      <c r="F1292" s="652" t="s">
        <v>17</v>
      </c>
      <c r="G1292" s="652" t="s">
        <v>18</v>
      </c>
      <c r="H1292" s="652" t="s">
        <v>27</v>
      </c>
      <c r="I1292" s="580" t="s">
        <v>2517</v>
      </c>
      <c r="J1292" s="580">
        <v>1</v>
      </c>
      <c r="K1292" s="652" t="s">
        <v>1419</v>
      </c>
      <c r="L1292" s="662">
        <v>44781</v>
      </c>
      <c r="M1292" s="722">
        <v>5.2499999999999998E-2</v>
      </c>
      <c r="N1292" s="652" t="s">
        <v>216</v>
      </c>
      <c r="O1292" s="580">
        <v>2022.7</v>
      </c>
      <c r="P1292" s="670" t="str">
        <f>VLOOKUP(A1292,'[1]Raw data'!$B:$BA,23,FALSE)</f>
        <v>RMB</v>
      </c>
      <c r="Q1292" s="652" t="str">
        <f>VLOOKUP(A1292,'[1]Raw data'!$B:$Z,2,FALSE)</f>
        <v>C49SZX20230022SX</v>
      </c>
      <c r="R1292" s="652" t="str">
        <f>VLOOKUP(A1292,'[1]Raw data'!$B:$Z,3,FALSE)</f>
        <v>锐诚</v>
      </c>
      <c r="S1292" s="652" t="str">
        <f>VLOOKUP(A1292,'[1]Raw data'!$B:$Z,4,FALSE)</f>
        <v>YSM10</v>
      </c>
      <c r="T1292" s="652" t="str">
        <f>VLOOKUP(A1292,'[1]Raw data'!$B:$Z,8,FALSE)</f>
        <v>L-&gt;R</v>
      </c>
      <c r="U1292" s="652" t="str">
        <f>VLOOKUP(A1292,'[1]Raw data'!$B:$Z,9,FALSE)</f>
        <v>MVC</v>
      </c>
      <c r="V1292" s="572" t="str">
        <f t="shared" ref="V1292:V1308" si="294">IF(G1292&amp;H1292=T1292&amp;U1292,"OK","WRONG")</f>
        <v>WRONG</v>
      </c>
      <c r="W1292" s="568" t="str">
        <f>VLOOKUP(A1292,'[1]Raw data'!$B:$AG,32,FALSE)</f>
        <v>DDP HZ</v>
      </c>
      <c r="X1292" s="652">
        <f>VLOOKUP(A1292,'[1]Raw data'!$B:$BA,31,FALSE)</f>
        <v>44978</v>
      </c>
      <c r="Y1292" s="652" t="str">
        <f>VLOOKUP(A1292,'[1]Raw data'!$B:$AS,39,FALSE)</f>
        <v>Yes</v>
      </c>
      <c r="Z1292" s="671"/>
      <c r="AA1292" s="672"/>
      <c r="AB1292" s="673"/>
      <c r="AC1292" s="715" t="s">
        <v>2518</v>
      </c>
      <c r="AD1292" s="667">
        <v>301</v>
      </c>
      <c r="AE1292" s="667">
        <v>3</v>
      </c>
      <c r="AF1292" s="667">
        <v>302</v>
      </c>
      <c r="AG1292" s="667">
        <v>5</v>
      </c>
      <c r="AH1292" s="667">
        <v>303</v>
      </c>
      <c r="AI1292" s="668">
        <v>1</v>
      </c>
      <c r="AJ1292" s="667">
        <v>304</v>
      </c>
      <c r="AK1292" s="668">
        <v>1</v>
      </c>
      <c r="AN1292" s="547"/>
      <c r="AO1292" s="829" t="str">
        <f t="shared" si="284"/>
        <v>Yes</v>
      </c>
      <c r="AP1292" s="259" t="str">
        <f t="shared" si="285"/>
        <v>MAR 23</v>
      </c>
      <c r="AQ1292" s="547" t="str">
        <f t="shared" si="286"/>
        <v>有定金+有預留客戶</v>
      </c>
      <c r="AR1292" s="259" t="str">
        <f t="shared" si="287"/>
        <v>Shipped_Stock</v>
      </c>
      <c r="AS1292" s="259" t="str">
        <f t="shared" si="288"/>
        <v/>
      </c>
      <c r="AT1292" s="259" t="str">
        <f t="shared" si="289"/>
        <v>锐诚</v>
      </c>
      <c r="AU1292" s="259" t="str">
        <f t="shared" si="290"/>
        <v>C49SZX20230022SX</v>
      </c>
      <c r="AV1292" s="259" t="str">
        <f t="shared" si="291"/>
        <v>Aug-08</v>
      </c>
    </row>
    <row r="1293" spans="1:48" hidden="1">
      <c r="A1293" s="564">
        <v>1838</v>
      </c>
      <c r="B1293" s="669" t="s">
        <v>1125</v>
      </c>
      <c r="C1293" s="669" t="s">
        <v>281</v>
      </c>
      <c r="D1293" s="760">
        <v>111006</v>
      </c>
      <c r="E1293" s="651" t="s">
        <v>2508</v>
      </c>
      <c r="F1293" s="652" t="s">
        <v>17</v>
      </c>
      <c r="G1293" s="652" t="s">
        <v>18</v>
      </c>
      <c r="H1293" s="652" t="s">
        <v>27</v>
      </c>
      <c r="I1293" s="580" t="s">
        <v>2519</v>
      </c>
      <c r="J1293" s="580">
        <v>1</v>
      </c>
      <c r="K1293" s="652" t="s">
        <v>1419</v>
      </c>
      <c r="L1293" s="662">
        <v>44781</v>
      </c>
      <c r="M1293" s="722">
        <v>5.2699999999999997E-2</v>
      </c>
      <c r="N1293" s="652" t="s">
        <v>216</v>
      </c>
      <c r="O1293" s="580">
        <v>2022.7</v>
      </c>
      <c r="P1293" s="670" t="str">
        <f>VLOOKUP(A1293,'[1]Raw data'!$B:$BA,23,FALSE)</f>
        <v>RMB</v>
      </c>
      <c r="Q1293" s="652" t="str">
        <f>VLOOKUP(A1293,'[1]Raw data'!$B:$Z,2,FALSE)</f>
        <v>C49SZX20230022SX</v>
      </c>
      <c r="R1293" s="652" t="str">
        <f>VLOOKUP(A1293,'[1]Raw data'!$B:$Z,3,FALSE)</f>
        <v>锐诚</v>
      </c>
      <c r="S1293" s="652" t="str">
        <f>VLOOKUP(A1293,'[1]Raw data'!$B:$Z,4,FALSE)</f>
        <v>YSM10</v>
      </c>
      <c r="T1293" s="652" t="str">
        <f>VLOOKUP(A1293,'[1]Raw data'!$B:$Z,8,FALSE)</f>
        <v>L-&gt;R</v>
      </c>
      <c r="U1293" s="652" t="str">
        <f>VLOOKUP(A1293,'[1]Raw data'!$B:$Z,9,FALSE)</f>
        <v>MVC</v>
      </c>
      <c r="V1293" s="572" t="str">
        <f t="shared" si="294"/>
        <v>WRONG</v>
      </c>
      <c r="W1293" s="568" t="str">
        <f>VLOOKUP(A1293,'[1]Raw data'!$B:$AG,32,FALSE)</f>
        <v>DDP HZ</v>
      </c>
      <c r="X1293" s="652">
        <f>VLOOKUP(A1293,'[1]Raw data'!$B:$BA,31,FALSE)</f>
        <v>44978</v>
      </c>
      <c r="Y1293" s="652" t="str">
        <f>VLOOKUP(A1293,'[1]Raw data'!$B:$AS,39,FALSE)</f>
        <v>Yes</v>
      </c>
      <c r="Z1293" s="671"/>
      <c r="AA1293" s="672"/>
      <c r="AB1293" s="673"/>
      <c r="AC1293" s="715" t="s">
        <v>2518</v>
      </c>
      <c r="AD1293" s="667">
        <v>301</v>
      </c>
      <c r="AE1293" s="667">
        <v>3</v>
      </c>
      <c r="AF1293" s="667">
        <v>302</v>
      </c>
      <c r="AG1293" s="667">
        <v>5</v>
      </c>
      <c r="AH1293" s="667">
        <v>303</v>
      </c>
      <c r="AI1293" s="668">
        <v>1</v>
      </c>
      <c r="AJ1293" s="667">
        <v>304</v>
      </c>
      <c r="AK1293" s="668">
        <v>1</v>
      </c>
      <c r="AN1293" s="547"/>
      <c r="AO1293" s="829" t="str">
        <f t="shared" si="284"/>
        <v>Yes</v>
      </c>
      <c r="AP1293" s="259" t="str">
        <f t="shared" si="285"/>
        <v>MAR 23</v>
      </c>
      <c r="AQ1293" s="547" t="str">
        <f t="shared" si="286"/>
        <v>有定金+有預留客戶</v>
      </c>
      <c r="AR1293" s="259" t="str">
        <f t="shared" si="287"/>
        <v>Shipped_Stock</v>
      </c>
      <c r="AS1293" s="259" t="str">
        <f t="shared" si="288"/>
        <v/>
      </c>
      <c r="AT1293" s="259" t="str">
        <f t="shared" si="289"/>
        <v>锐诚</v>
      </c>
      <c r="AU1293" s="259" t="str">
        <f t="shared" si="290"/>
        <v>C49SZX20230022SX</v>
      </c>
      <c r="AV1293" s="259" t="str">
        <f t="shared" si="291"/>
        <v>Aug-08</v>
      </c>
    </row>
    <row r="1294" spans="1:48" hidden="1">
      <c r="A1294" s="564">
        <v>1822</v>
      </c>
      <c r="B1294" s="669" t="s">
        <v>1125</v>
      </c>
      <c r="C1294" s="669" t="s">
        <v>281</v>
      </c>
      <c r="D1294" s="760">
        <v>111006</v>
      </c>
      <c r="E1294" s="651" t="s">
        <v>2508</v>
      </c>
      <c r="F1294" s="652" t="s">
        <v>17</v>
      </c>
      <c r="G1294" s="652" t="s">
        <v>18</v>
      </c>
      <c r="H1294" s="652" t="s">
        <v>27</v>
      </c>
      <c r="I1294" s="580" t="s">
        <v>2520</v>
      </c>
      <c r="J1294" s="580">
        <v>1</v>
      </c>
      <c r="K1294" s="652" t="s">
        <v>1419</v>
      </c>
      <c r="L1294" s="662">
        <v>44781</v>
      </c>
      <c r="M1294" s="722">
        <v>5.2699999999999997E-2</v>
      </c>
      <c r="N1294" s="652" t="s">
        <v>217</v>
      </c>
      <c r="O1294" s="580">
        <v>2022.7</v>
      </c>
      <c r="P1294" s="670" t="str">
        <f>VLOOKUP(A1294,'[1]Raw data'!$B:$BA,23,FALSE)</f>
        <v>RMB</v>
      </c>
      <c r="Q1294" s="652" t="str">
        <f>VLOOKUP(A1294,'[1]Raw data'!$B:$Z,2,FALSE)</f>
        <v>C49SZX202300011SX</v>
      </c>
      <c r="R1294" s="652" t="str">
        <f>VLOOKUP(A1294,'[1]Raw data'!$B:$Z,3,FALSE)</f>
        <v>益田科技</v>
      </c>
      <c r="S1294" s="652" t="str">
        <f>VLOOKUP(A1294,'[1]Raw data'!$B:$Z,4,FALSE)</f>
        <v>YSM10</v>
      </c>
      <c r="T1294" s="652" t="str">
        <f>VLOOKUP(A1294,'[1]Raw data'!$B:$Z,8,FALSE)</f>
        <v>L-&gt;R</v>
      </c>
      <c r="U1294" s="652" t="str">
        <f>VLOOKUP(A1294,'[1]Raw data'!$B:$Z,9,FALSE)</f>
        <v>No</v>
      </c>
      <c r="V1294" s="572" t="str">
        <f t="shared" si="294"/>
        <v>WRONG</v>
      </c>
      <c r="W1294" s="568" t="str">
        <f>VLOOKUP(A1294,'[1]Raw data'!$B:$AG,32,FALSE)</f>
        <v>DDP SZ</v>
      </c>
      <c r="X1294" s="652">
        <f>VLOOKUP(A1294,'[1]Raw data'!$B:$BA,31,FALSE)</f>
        <v>44960</v>
      </c>
      <c r="Y1294" s="652" t="str">
        <f>VLOOKUP(A1294,'[1]Raw data'!$B:$AS,39,FALSE)</f>
        <v>Yes</v>
      </c>
      <c r="Z1294" s="671"/>
      <c r="AA1294" s="665"/>
      <c r="AB1294" s="666"/>
      <c r="AC1294" s="652" t="s">
        <v>2490</v>
      </c>
      <c r="AD1294" s="580">
        <v>301</v>
      </c>
      <c r="AE1294" s="580">
        <v>3</v>
      </c>
      <c r="AF1294" s="580">
        <v>302</v>
      </c>
      <c r="AG1294" s="580">
        <v>5</v>
      </c>
      <c r="AH1294" s="580">
        <v>303</v>
      </c>
      <c r="AI1294" s="684">
        <v>1</v>
      </c>
      <c r="AJ1294" s="667">
        <v>304</v>
      </c>
      <c r="AK1294" s="668">
        <v>1</v>
      </c>
      <c r="AN1294" s="547"/>
      <c r="AO1294" s="829" t="str">
        <f t="shared" si="284"/>
        <v>Yes</v>
      </c>
      <c r="AP1294" s="259" t="str">
        <f t="shared" si="285"/>
        <v>FEB 23</v>
      </c>
      <c r="AQ1294" s="547" t="str">
        <f t="shared" si="286"/>
        <v>有定金+有預留客戶</v>
      </c>
      <c r="AR1294" s="259" t="str">
        <f t="shared" si="287"/>
        <v>Shipped_Stock</v>
      </c>
      <c r="AS1294" s="259" t="str">
        <f t="shared" si="288"/>
        <v/>
      </c>
      <c r="AT1294" s="259" t="str">
        <f t="shared" si="289"/>
        <v>益田科技</v>
      </c>
      <c r="AU1294" s="259" t="str">
        <f t="shared" si="290"/>
        <v>C49SZX202300011SX</v>
      </c>
      <c r="AV1294" s="259" t="str">
        <f t="shared" si="291"/>
        <v>Aug-08</v>
      </c>
    </row>
    <row r="1295" spans="1:48" hidden="1">
      <c r="A1295" s="564">
        <v>1839</v>
      </c>
      <c r="B1295" s="669" t="s">
        <v>1125</v>
      </c>
      <c r="C1295" s="669" t="s">
        <v>281</v>
      </c>
      <c r="D1295" s="760" t="s">
        <v>2507</v>
      </c>
      <c r="E1295" s="651" t="s">
        <v>2508</v>
      </c>
      <c r="F1295" s="652" t="s">
        <v>17</v>
      </c>
      <c r="G1295" s="652" t="s">
        <v>18</v>
      </c>
      <c r="H1295" s="652" t="s">
        <v>27</v>
      </c>
      <c r="I1295" s="580" t="s">
        <v>2521</v>
      </c>
      <c r="J1295" s="580">
        <v>1</v>
      </c>
      <c r="K1295" s="652" t="s">
        <v>1419</v>
      </c>
      <c r="L1295" s="662">
        <v>44781</v>
      </c>
      <c r="M1295" s="722">
        <v>5.2699999999999997E-2</v>
      </c>
      <c r="N1295" s="652" t="s">
        <v>216</v>
      </c>
      <c r="O1295" s="580">
        <v>2022.7</v>
      </c>
      <c r="P1295" s="670" t="str">
        <f>VLOOKUP(A1295,'[1]Raw data'!$B:$BA,23,FALSE)</f>
        <v>RMB</v>
      </c>
      <c r="Q1295" s="652" t="str">
        <f>VLOOKUP(A1295,'[1]Raw data'!$B:$Z,2,FALSE)</f>
        <v>C49SZX20230022SX</v>
      </c>
      <c r="R1295" s="652" t="str">
        <f>VLOOKUP(A1295,'[1]Raw data'!$B:$Z,3,FALSE)</f>
        <v>锐诚</v>
      </c>
      <c r="S1295" s="652" t="str">
        <f>VLOOKUP(A1295,'[1]Raw data'!$B:$Z,4,FALSE)</f>
        <v>YSM10</v>
      </c>
      <c r="T1295" s="652" t="str">
        <f>VLOOKUP(A1295,'[1]Raw data'!$B:$Z,8,FALSE)</f>
        <v>L-&gt;R</v>
      </c>
      <c r="U1295" s="652" t="str">
        <f>VLOOKUP(A1295,'[1]Raw data'!$B:$Z,9,FALSE)</f>
        <v>MVC</v>
      </c>
      <c r="V1295" s="572" t="str">
        <f t="shared" si="294"/>
        <v>WRONG</v>
      </c>
      <c r="W1295" s="568" t="str">
        <f>VLOOKUP(A1295,'[1]Raw data'!$B:$AG,32,FALSE)</f>
        <v>DDP HZ</v>
      </c>
      <c r="X1295" s="652">
        <f>VLOOKUP(A1295,'[1]Raw data'!$B:$BA,31,FALSE)</f>
        <v>44978</v>
      </c>
      <c r="Y1295" s="652" t="str">
        <f>VLOOKUP(A1295,'[1]Raw data'!$B:$AS,39,FALSE)</f>
        <v>Yes</v>
      </c>
      <c r="Z1295" s="671"/>
      <c r="AA1295" s="672"/>
      <c r="AB1295" s="673"/>
      <c r="AC1295" s="715" t="s">
        <v>2518</v>
      </c>
      <c r="AD1295" s="667">
        <v>301</v>
      </c>
      <c r="AE1295" s="667">
        <v>3</v>
      </c>
      <c r="AF1295" s="667">
        <v>302</v>
      </c>
      <c r="AG1295" s="667">
        <v>5</v>
      </c>
      <c r="AH1295" s="667">
        <v>303</v>
      </c>
      <c r="AI1295" s="668">
        <v>1</v>
      </c>
      <c r="AJ1295" s="667">
        <v>304</v>
      </c>
      <c r="AK1295" s="668">
        <v>1</v>
      </c>
      <c r="AN1295" s="547"/>
      <c r="AO1295" s="829" t="str">
        <f t="shared" si="284"/>
        <v>Yes</v>
      </c>
      <c r="AP1295" s="259" t="str">
        <f t="shared" si="285"/>
        <v>MAR 23</v>
      </c>
      <c r="AQ1295" s="547" t="str">
        <f t="shared" si="286"/>
        <v>有定金+有預留客戶</v>
      </c>
      <c r="AR1295" s="259" t="str">
        <f t="shared" si="287"/>
        <v>Shipped_Stock</v>
      </c>
      <c r="AS1295" s="259" t="str">
        <f t="shared" si="288"/>
        <v/>
      </c>
      <c r="AT1295" s="259" t="str">
        <f t="shared" si="289"/>
        <v>锐诚</v>
      </c>
      <c r="AU1295" s="259" t="str">
        <f t="shared" si="290"/>
        <v>C49SZX20230022SX</v>
      </c>
      <c r="AV1295" s="259" t="str">
        <f t="shared" si="291"/>
        <v>Aug-08</v>
      </c>
    </row>
    <row r="1296" spans="1:48" ht="13.5" hidden="1" thickBot="1">
      <c r="A1296" s="564">
        <v>1846</v>
      </c>
      <c r="B1296" s="669" t="s">
        <v>1125</v>
      </c>
      <c r="C1296" s="669" t="s">
        <v>281</v>
      </c>
      <c r="D1296" s="629" t="s">
        <v>2507</v>
      </c>
      <c r="E1296" s="651" t="s">
        <v>2508</v>
      </c>
      <c r="F1296" s="652" t="s">
        <v>17</v>
      </c>
      <c r="G1296" s="652" t="s">
        <v>1012</v>
      </c>
      <c r="H1296" s="652" t="s">
        <v>27</v>
      </c>
      <c r="I1296" s="580" t="s">
        <v>2522</v>
      </c>
      <c r="J1296" s="580">
        <v>1</v>
      </c>
      <c r="K1296" s="652" t="s">
        <v>1419</v>
      </c>
      <c r="L1296" s="662">
        <v>44781</v>
      </c>
      <c r="M1296" s="722">
        <v>5.2699999999999997E-2</v>
      </c>
      <c r="N1296" s="652" t="s">
        <v>216</v>
      </c>
      <c r="O1296" s="580">
        <v>2022.7</v>
      </c>
      <c r="P1296" s="670" t="str">
        <f>VLOOKUP(A1296,'[1]Raw data'!$B:$BA,23,FALSE)</f>
        <v>RMB</v>
      </c>
      <c r="Q1296" s="652" t="str">
        <f>VLOOKUP(A1296,'[1]Raw data'!$B:$Z,2,FALSE)</f>
        <v>C49SZX20230023R1SX</v>
      </c>
      <c r="R1296" s="652" t="str">
        <f>VLOOKUP(A1296,'[1]Raw data'!$B:$Z,3,FALSE)</f>
        <v>裕达盛</v>
      </c>
      <c r="S1296" s="652" t="str">
        <f>VLOOKUP(A1296,'[1]Raw data'!$B:$Z,4,FALSE)</f>
        <v>YSM10</v>
      </c>
      <c r="T1296" s="652" t="str">
        <f>VLOOKUP(A1296,'[1]Raw data'!$B:$Z,8,FALSE)</f>
        <v>L-&gt;R</v>
      </c>
      <c r="U1296" s="652" t="str">
        <f>VLOOKUP(A1296,'[1]Raw data'!$B:$Z,9,FALSE)</f>
        <v>MVC</v>
      </c>
      <c r="V1296" s="572" t="str">
        <f t="shared" si="294"/>
        <v>WRONG</v>
      </c>
      <c r="W1296" s="568" t="str">
        <f>VLOOKUP(A1296,'[1]Raw data'!$B:$AG,32,FALSE)</f>
        <v>DDP HZ</v>
      </c>
      <c r="X1296" s="652">
        <f>VLOOKUP(A1296,'[1]Raw data'!$B:$BA,31,FALSE)</f>
        <v>44979</v>
      </c>
      <c r="Y1296" s="652" t="str">
        <f>VLOOKUP(A1296,'[1]Raw data'!$B:$AS,39,FALSE)</f>
        <v>Yes</v>
      </c>
      <c r="Z1296" s="664"/>
      <c r="AA1296" s="665"/>
      <c r="AB1296" s="666"/>
      <c r="AC1296" s="652" t="s">
        <v>2523</v>
      </c>
      <c r="AD1296" s="667">
        <v>301</v>
      </c>
      <c r="AE1296" s="667">
        <v>3</v>
      </c>
      <c r="AF1296" s="667">
        <v>302</v>
      </c>
      <c r="AG1296" s="667">
        <v>5</v>
      </c>
      <c r="AH1296" s="667">
        <v>303</v>
      </c>
      <c r="AI1296" s="668">
        <v>1</v>
      </c>
      <c r="AJ1296" s="667">
        <v>304</v>
      </c>
      <c r="AK1296" s="668">
        <v>1</v>
      </c>
      <c r="AN1296" s="547"/>
      <c r="AO1296" s="829" t="str">
        <f t="shared" si="284"/>
        <v>Yes</v>
      </c>
      <c r="AP1296" s="259" t="str">
        <f t="shared" si="285"/>
        <v>MAR 23</v>
      </c>
      <c r="AQ1296" s="547" t="str">
        <f t="shared" si="286"/>
        <v>有定金+有預留客戶</v>
      </c>
      <c r="AR1296" s="259" t="str">
        <f t="shared" si="287"/>
        <v>Shipped_Stock</v>
      </c>
      <c r="AS1296" s="259" t="str">
        <f t="shared" si="288"/>
        <v/>
      </c>
      <c r="AT1296" s="259" t="str">
        <f t="shared" si="289"/>
        <v>裕达盛</v>
      </c>
      <c r="AU1296" s="259" t="str">
        <f t="shared" si="290"/>
        <v>C49SZX20230023R1SX</v>
      </c>
      <c r="AV1296" s="259" t="str">
        <f t="shared" si="291"/>
        <v>Aug-08</v>
      </c>
    </row>
    <row r="1297" spans="1:48" hidden="1">
      <c r="A1297" s="564">
        <v>1670</v>
      </c>
      <c r="B1297" s="669" t="s">
        <v>1125</v>
      </c>
      <c r="C1297" s="669" t="s">
        <v>4056</v>
      </c>
      <c r="D1297" s="766">
        <v>110940</v>
      </c>
      <c r="E1297" s="651" t="s">
        <v>2499</v>
      </c>
      <c r="F1297" s="652" t="s">
        <v>201</v>
      </c>
      <c r="G1297" s="652" t="s">
        <v>18</v>
      </c>
      <c r="H1297" s="652" t="s">
        <v>26</v>
      </c>
      <c r="I1297" s="580" t="s">
        <v>2524</v>
      </c>
      <c r="J1297" s="580">
        <v>1</v>
      </c>
      <c r="K1297" s="652" t="s">
        <v>1419</v>
      </c>
      <c r="L1297" s="754">
        <v>44781</v>
      </c>
      <c r="M1297" s="670">
        <v>5.2499999999999998E-2</v>
      </c>
      <c r="N1297" s="652" t="s">
        <v>4045</v>
      </c>
      <c r="O1297" s="580">
        <v>2022.7</v>
      </c>
      <c r="P1297" s="670" t="str">
        <f>VLOOKUP(A1297,'[1]Raw data'!$B:$BA,23,FALSE)</f>
        <v>RMB</v>
      </c>
      <c r="Q1297" s="652" t="str">
        <f>VLOOKUP(A1297,'[1]Raw data'!$B:$Z,2,FALSE)</f>
        <v>SNFPC-CG-2022-013</v>
      </c>
      <c r="R1297" s="652" t="str">
        <f>VLOOKUP(A1297,'[1]Raw data'!$B:$Z,3,FALSE)</f>
        <v>康佳</v>
      </c>
      <c r="S1297" s="652" t="str">
        <f>VLOOKUP(A1297,'[1]Raw data'!$B:$Z,4,FALSE)</f>
        <v>YSi-V</v>
      </c>
      <c r="T1297" s="652" t="str">
        <f>VLOOKUP(A1297,'[1]Raw data'!$B:$Z,8,FALSE)</f>
        <v>R-&gt;L</v>
      </c>
      <c r="U1297" s="652" t="str">
        <f>VLOOKUP(A1297,'[1]Raw data'!$B:$Z,9,FALSE)</f>
        <v>No</v>
      </c>
      <c r="V1297" s="572" t="str">
        <f t="shared" ref="V1297:V1300" si="295">IF(G1297&amp;H1297=T1297&amp;U1297,"OK","WRONG")</f>
        <v>OK</v>
      </c>
      <c r="W1297" s="568" t="str">
        <f>VLOOKUP(A1297,'[1]Raw data'!$B:$AG,32,FALSE)</f>
        <v>DDP SN</v>
      </c>
      <c r="X1297" s="662">
        <f>VLOOKUP(A1297,'[1]Raw data'!$B:$BA,31,FALSE)</f>
        <v>44694</v>
      </c>
      <c r="Y1297" s="652" t="str">
        <f>VLOOKUP(A1297,'[1]Raw data'!$B:$AS,39,FALSE)</f>
        <v>Yes</v>
      </c>
      <c r="Z1297" s="664"/>
      <c r="AA1297" s="665"/>
      <c r="AB1297" s="666"/>
      <c r="AC1297" s="652" t="s">
        <v>1951</v>
      </c>
      <c r="AD1297" s="667"/>
      <c r="AE1297" s="667"/>
      <c r="AF1297" s="667"/>
      <c r="AG1297" s="667"/>
      <c r="AH1297" s="667"/>
      <c r="AI1297" s="668"/>
      <c r="AN1297" s="547"/>
      <c r="AO1297" s="829" t="str">
        <f t="shared" si="284"/>
        <v>Yes</v>
      </c>
      <c r="AP1297" s="259" t="str">
        <f t="shared" si="285"/>
        <v>AUG 23</v>
      </c>
      <c r="AQ1297" s="547" t="str">
        <f t="shared" si="286"/>
        <v>有定金+有預留客戶</v>
      </c>
      <c r="AR1297" s="259" t="str">
        <f t="shared" si="287"/>
        <v>Shipped_Stock</v>
      </c>
      <c r="AS1297" s="259" t="str">
        <f t="shared" si="288"/>
        <v/>
      </c>
      <c r="AT1297" s="259" t="str">
        <f t="shared" si="289"/>
        <v>康佳</v>
      </c>
      <c r="AU1297" s="259" t="str">
        <f t="shared" si="290"/>
        <v>SNFPC-CG-2022-013</v>
      </c>
      <c r="AV1297" s="259" t="str">
        <f t="shared" si="291"/>
        <v>Aug-08</v>
      </c>
    </row>
    <row r="1298" spans="1:48" hidden="1">
      <c r="A1298" s="564">
        <v>1671</v>
      </c>
      <c r="B1298" s="669" t="s">
        <v>1125</v>
      </c>
      <c r="C1298" s="669" t="s">
        <v>4056</v>
      </c>
      <c r="D1298" s="760">
        <v>110940</v>
      </c>
      <c r="E1298" s="651" t="s">
        <v>2499</v>
      </c>
      <c r="F1298" s="652" t="s">
        <v>201</v>
      </c>
      <c r="G1298" s="652" t="s">
        <v>18</v>
      </c>
      <c r="H1298" s="652" t="s">
        <v>26</v>
      </c>
      <c r="I1298" s="580" t="s">
        <v>2525</v>
      </c>
      <c r="J1298" s="580">
        <v>1</v>
      </c>
      <c r="K1298" s="652" t="s">
        <v>1419</v>
      </c>
      <c r="L1298" s="754">
        <v>44781</v>
      </c>
      <c r="M1298" s="670">
        <v>5.2499999999999998E-2</v>
      </c>
      <c r="N1298" s="652" t="s">
        <v>4045</v>
      </c>
      <c r="O1298" s="580">
        <v>2022.7</v>
      </c>
      <c r="P1298" s="670" t="str">
        <f>VLOOKUP(A1298,'[1]Raw data'!$B:$BA,23,FALSE)</f>
        <v>RMB</v>
      </c>
      <c r="Q1298" s="652" t="str">
        <f>VLOOKUP(A1298,'[1]Raw data'!$B:$Z,2,FALSE)</f>
        <v>SNFPC-CG-2022-013</v>
      </c>
      <c r="R1298" s="652" t="str">
        <f>VLOOKUP(A1298,'[1]Raw data'!$B:$Z,3,FALSE)</f>
        <v>康佳</v>
      </c>
      <c r="S1298" s="652" t="str">
        <f>VLOOKUP(A1298,'[1]Raw data'!$B:$Z,4,FALSE)</f>
        <v>YSi-V</v>
      </c>
      <c r="T1298" s="652" t="str">
        <f>VLOOKUP(A1298,'[1]Raw data'!$B:$Z,8,FALSE)</f>
        <v>R-&gt;L</v>
      </c>
      <c r="U1298" s="652" t="str">
        <f>VLOOKUP(A1298,'[1]Raw data'!$B:$Z,9,FALSE)</f>
        <v>No</v>
      </c>
      <c r="V1298" s="572" t="str">
        <f t="shared" si="295"/>
        <v>OK</v>
      </c>
      <c r="W1298" s="568" t="str">
        <f>VLOOKUP(A1298,'[1]Raw data'!$B:$AG,32,FALSE)</f>
        <v>DDP SN</v>
      </c>
      <c r="X1298" s="662">
        <f>VLOOKUP(A1298,'[1]Raw data'!$B:$BA,31,FALSE)</f>
        <v>44694</v>
      </c>
      <c r="Y1298" s="652" t="str">
        <f>VLOOKUP(A1298,'[1]Raw data'!$B:$AS,39,FALSE)</f>
        <v>Yes</v>
      </c>
      <c r="Z1298" s="664"/>
      <c r="AA1298" s="665"/>
      <c r="AB1298" s="666"/>
      <c r="AC1298" s="652" t="s">
        <v>1951</v>
      </c>
      <c r="AD1298" s="667"/>
      <c r="AE1298" s="667"/>
      <c r="AF1298" s="667"/>
      <c r="AG1298" s="667"/>
      <c r="AH1298" s="667"/>
      <c r="AI1298" s="668"/>
      <c r="AN1298" s="547"/>
      <c r="AO1298" s="829" t="str">
        <f t="shared" si="284"/>
        <v>Yes</v>
      </c>
      <c r="AP1298" s="259" t="str">
        <f t="shared" si="285"/>
        <v>AUG 23</v>
      </c>
      <c r="AQ1298" s="547" t="str">
        <f t="shared" si="286"/>
        <v>有定金+有預留客戶</v>
      </c>
      <c r="AR1298" s="259" t="str">
        <f t="shared" si="287"/>
        <v>Shipped_Stock</v>
      </c>
      <c r="AS1298" s="259" t="str">
        <f t="shared" si="288"/>
        <v/>
      </c>
      <c r="AT1298" s="259" t="str">
        <f t="shared" si="289"/>
        <v>康佳</v>
      </c>
      <c r="AU1298" s="259" t="str">
        <f t="shared" si="290"/>
        <v>SNFPC-CG-2022-013</v>
      </c>
      <c r="AV1298" s="259" t="str">
        <f t="shared" si="291"/>
        <v>Aug-08</v>
      </c>
    </row>
    <row r="1299" spans="1:48" hidden="1">
      <c r="A1299" s="564">
        <v>1668</v>
      </c>
      <c r="B1299" s="669" t="s">
        <v>1125</v>
      </c>
      <c r="C1299" s="669" t="s">
        <v>4056</v>
      </c>
      <c r="D1299" s="760">
        <v>110940</v>
      </c>
      <c r="E1299" s="651" t="s">
        <v>2499</v>
      </c>
      <c r="F1299" s="652" t="s">
        <v>201</v>
      </c>
      <c r="G1299" s="652" t="s">
        <v>24</v>
      </c>
      <c r="H1299" s="652" t="s">
        <v>26</v>
      </c>
      <c r="I1299" s="580" t="s">
        <v>2526</v>
      </c>
      <c r="J1299" s="580">
        <v>1</v>
      </c>
      <c r="K1299" s="652" t="s">
        <v>1419</v>
      </c>
      <c r="L1299" s="754">
        <v>44781</v>
      </c>
      <c r="M1299" s="670">
        <v>5.2499999999999998E-2</v>
      </c>
      <c r="N1299" s="652" t="s">
        <v>4045</v>
      </c>
      <c r="O1299" s="580">
        <v>2022.7</v>
      </c>
      <c r="P1299" s="670" t="str">
        <f>VLOOKUP(A1299,'[1]Raw data'!$B:$BA,23,FALSE)</f>
        <v>RMB</v>
      </c>
      <c r="Q1299" s="652" t="str">
        <f>VLOOKUP(A1299,'[1]Raw data'!$B:$Z,2,FALSE)</f>
        <v>SNFPC-CG-2022-013</v>
      </c>
      <c r="R1299" s="652" t="str">
        <f>VLOOKUP(A1299,'[1]Raw data'!$B:$Z,3,FALSE)</f>
        <v>康佳</v>
      </c>
      <c r="S1299" s="652" t="str">
        <f>VLOOKUP(A1299,'[1]Raw data'!$B:$Z,4,FALSE)</f>
        <v>YSi-V</v>
      </c>
      <c r="T1299" s="652" t="str">
        <f>VLOOKUP(A1299,'[1]Raw data'!$B:$Z,8,FALSE)</f>
        <v>L-&gt;R</v>
      </c>
      <c r="U1299" s="652" t="str">
        <f>VLOOKUP(A1299,'[1]Raw data'!$B:$Z,9,FALSE)</f>
        <v>No</v>
      </c>
      <c r="V1299" s="572" t="str">
        <f t="shared" si="295"/>
        <v>OK</v>
      </c>
      <c r="W1299" s="568" t="str">
        <f>VLOOKUP(A1299,'[1]Raw data'!$B:$AG,32,FALSE)</f>
        <v>DDP SN</v>
      </c>
      <c r="X1299" s="662">
        <f>VLOOKUP(A1299,'[1]Raw data'!$B:$BA,31,FALSE)</f>
        <v>44694</v>
      </c>
      <c r="Y1299" s="652" t="str">
        <f>VLOOKUP(A1299,'[1]Raw data'!$B:$AS,39,FALSE)</f>
        <v>Yes</v>
      </c>
      <c r="Z1299" s="664"/>
      <c r="AA1299" s="665"/>
      <c r="AB1299" s="666"/>
      <c r="AC1299" s="652" t="s">
        <v>1951</v>
      </c>
      <c r="AD1299" s="667"/>
      <c r="AE1299" s="667"/>
      <c r="AF1299" s="667"/>
      <c r="AG1299" s="667"/>
      <c r="AH1299" s="667"/>
      <c r="AI1299" s="668"/>
      <c r="AN1299" s="547"/>
      <c r="AO1299" s="829" t="str">
        <f t="shared" si="284"/>
        <v>Yes</v>
      </c>
      <c r="AP1299" s="259" t="str">
        <f t="shared" si="285"/>
        <v>AUG 23</v>
      </c>
      <c r="AQ1299" s="547" t="str">
        <f t="shared" si="286"/>
        <v>有定金+有預留客戶</v>
      </c>
      <c r="AR1299" s="259" t="str">
        <f t="shared" si="287"/>
        <v>Shipped_Stock</v>
      </c>
      <c r="AS1299" s="259" t="str">
        <f t="shared" si="288"/>
        <v/>
      </c>
      <c r="AT1299" s="259" t="str">
        <f t="shared" si="289"/>
        <v>康佳</v>
      </c>
      <c r="AU1299" s="259" t="str">
        <f t="shared" si="290"/>
        <v>SNFPC-CG-2022-013</v>
      </c>
      <c r="AV1299" s="259" t="str">
        <f t="shared" si="291"/>
        <v>Aug-08</v>
      </c>
    </row>
    <row r="1300" spans="1:48" hidden="1">
      <c r="A1300" s="564">
        <v>1669</v>
      </c>
      <c r="B1300" s="669" t="s">
        <v>1125</v>
      </c>
      <c r="C1300" s="669" t="s">
        <v>4056</v>
      </c>
      <c r="D1300" s="760">
        <v>110940</v>
      </c>
      <c r="E1300" s="651" t="s">
        <v>2499</v>
      </c>
      <c r="F1300" s="652" t="s">
        <v>201</v>
      </c>
      <c r="G1300" s="652" t="s">
        <v>24</v>
      </c>
      <c r="H1300" s="652" t="s">
        <v>26</v>
      </c>
      <c r="I1300" s="580" t="s">
        <v>2527</v>
      </c>
      <c r="J1300" s="580">
        <v>1</v>
      </c>
      <c r="K1300" s="652" t="s">
        <v>1419</v>
      </c>
      <c r="L1300" s="754">
        <v>44781</v>
      </c>
      <c r="M1300" s="670">
        <v>5.2499999999999998E-2</v>
      </c>
      <c r="N1300" s="652" t="s">
        <v>4045</v>
      </c>
      <c r="O1300" s="580">
        <v>2022.7</v>
      </c>
      <c r="P1300" s="670" t="str">
        <f>VLOOKUP(A1300,'[1]Raw data'!$B:$BA,23,FALSE)</f>
        <v>RMB</v>
      </c>
      <c r="Q1300" s="652" t="str">
        <f>VLOOKUP(A1300,'[1]Raw data'!$B:$Z,2,FALSE)</f>
        <v>SNFPC-CG-2022-013</v>
      </c>
      <c r="R1300" s="652" t="str">
        <f>VLOOKUP(A1300,'[1]Raw data'!$B:$Z,3,FALSE)</f>
        <v>康佳</v>
      </c>
      <c r="S1300" s="652" t="str">
        <f>VLOOKUP(A1300,'[1]Raw data'!$B:$Z,4,FALSE)</f>
        <v>YSi-V</v>
      </c>
      <c r="T1300" s="652" t="str">
        <f>VLOOKUP(A1300,'[1]Raw data'!$B:$Z,8,FALSE)</f>
        <v>L-&gt;R</v>
      </c>
      <c r="U1300" s="652" t="str">
        <f>VLOOKUP(A1300,'[1]Raw data'!$B:$Z,9,FALSE)</f>
        <v>No</v>
      </c>
      <c r="V1300" s="572" t="str">
        <f t="shared" si="295"/>
        <v>OK</v>
      </c>
      <c r="W1300" s="568" t="str">
        <f>VLOOKUP(A1300,'[1]Raw data'!$B:$AG,32,FALSE)</f>
        <v>DDP SN</v>
      </c>
      <c r="X1300" s="662">
        <f>VLOOKUP(A1300,'[1]Raw data'!$B:$BA,31,FALSE)</f>
        <v>44694</v>
      </c>
      <c r="Y1300" s="652" t="str">
        <f>VLOOKUP(A1300,'[1]Raw data'!$B:$AS,39,FALSE)</f>
        <v>Yes</v>
      </c>
      <c r="Z1300" s="664"/>
      <c r="AA1300" s="665"/>
      <c r="AB1300" s="666"/>
      <c r="AC1300" s="652" t="s">
        <v>1951</v>
      </c>
      <c r="AD1300" s="667"/>
      <c r="AE1300" s="667"/>
      <c r="AF1300" s="667"/>
      <c r="AG1300" s="667"/>
      <c r="AH1300" s="667"/>
      <c r="AI1300" s="668"/>
      <c r="AN1300" s="547"/>
      <c r="AO1300" s="829" t="str">
        <f t="shared" si="284"/>
        <v>Yes</v>
      </c>
      <c r="AP1300" s="259" t="str">
        <f t="shared" si="285"/>
        <v>AUG 23</v>
      </c>
      <c r="AQ1300" s="547" t="str">
        <f t="shared" si="286"/>
        <v>有定金+有預留客戶</v>
      </c>
      <c r="AR1300" s="259" t="str">
        <f t="shared" si="287"/>
        <v>Shipped_Stock</v>
      </c>
      <c r="AS1300" s="259" t="str">
        <f t="shared" si="288"/>
        <v/>
      </c>
      <c r="AT1300" s="259" t="str">
        <f t="shared" si="289"/>
        <v>康佳</v>
      </c>
      <c r="AU1300" s="259" t="str">
        <f t="shared" si="290"/>
        <v>SNFPC-CG-2022-013</v>
      </c>
      <c r="AV1300" s="259" t="str">
        <f t="shared" si="291"/>
        <v>Aug-08</v>
      </c>
    </row>
    <row r="1301" spans="1:48" hidden="1">
      <c r="A1301" s="564">
        <v>1662</v>
      </c>
      <c r="B1301" s="669" t="s">
        <v>1125</v>
      </c>
      <c r="C1301" s="669" t="s">
        <v>281</v>
      </c>
      <c r="D1301" s="766">
        <v>110928</v>
      </c>
      <c r="E1301" s="651" t="s">
        <v>2499</v>
      </c>
      <c r="F1301" s="652" t="s">
        <v>17</v>
      </c>
      <c r="G1301" s="652" t="s">
        <v>18</v>
      </c>
      <c r="H1301" s="652" t="s">
        <v>2500</v>
      </c>
      <c r="I1301" s="580" t="s">
        <v>2528</v>
      </c>
      <c r="J1301" s="580">
        <v>1</v>
      </c>
      <c r="K1301" s="652" t="s">
        <v>1419</v>
      </c>
      <c r="L1301" s="754">
        <v>44781</v>
      </c>
      <c r="M1301" s="670">
        <v>5.2699999999999997E-2</v>
      </c>
      <c r="N1301" s="652" t="s">
        <v>4045</v>
      </c>
      <c r="O1301" s="580">
        <v>2022.7</v>
      </c>
      <c r="P1301" s="670" t="str">
        <f>VLOOKUP(A1301,'[1]Raw data'!$B:$BA,23,FALSE)</f>
        <v>RMB</v>
      </c>
      <c r="Q1301" s="652" t="str">
        <f>VLOOKUP(A1301,'[1]Raw data'!$B:$Z,2,FALSE)</f>
        <v>SNFPC-CG-2022-008</v>
      </c>
      <c r="R1301" s="652" t="str">
        <f>VLOOKUP(A1301,'[1]Raw data'!$B:$Z,3,FALSE)</f>
        <v>康佳</v>
      </c>
      <c r="S1301" s="652" t="str">
        <f>VLOOKUP(A1301,'[1]Raw data'!$B:$Z,4,FALSE)</f>
        <v>YSM10</v>
      </c>
      <c r="T1301" s="652" t="str">
        <f>VLOOKUP(A1301,'[1]Raw data'!$B:$Z,8,FALSE)</f>
        <v>R-&gt;L</v>
      </c>
      <c r="U1301" s="652" t="str">
        <f>VLOOKUP(A1301,'[1]Raw data'!$B:$Z,9,FALSE)</f>
        <v>MVC+ATS15+ANC</v>
      </c>
      <c r="V1301" s="572" t="str">
        <f t="shared" ref="V1301:V1302" si="296">IF(G1301&amp;H1301=T1301&amp;U1301,"OK","WRONG")</f>
        <v>WRONG</v>
      </c>
      <c r="W1301" s="568" t="str">
        <f>VLOOKUP(A1301,'[1]Raw data'!$B:$AG,32,FALSE)</f>
        <v>DDP SN</v>
      </c>
      <c r="X1301" s="662">
        <f>VLOOKUP(A1301,'[1]Raw data'!$B:$BA,31,FALSE)</f>
        <v>44678</v>
      </c>
      <c r="Y1301" s="652" t="str">
        <f>VLOOKUP(A1301,'[1]Raw data'!$B:$AS,39,FALSE)</f>
        <v>Yes</v>
      </c>
      <c r="Z1301" s="664"/>
      <c r="AA1301" s="665"/>
      <c r="AB1301" s="666"/>
      <c r="AC1301" s="652" t="s">
        <v>1951</v>
      </c>
      <c r="AD1301" s="667">
        <v>301</v>
      </c>
      <c r="AE1301" s="667">
        <v>5</v>
      </c>
      <c r="AF1301" s="667">
        <v>303</v>
      </c>
      <c r="AG1301" s="667">
        <v>3</v>
      </c>
      <c r="AH1301" s="667">
        <v>304</v>
      </c>
      <c r="AI1301" s="667">
        <v>2</v>
      </c>
      <c r="AN1301" s="547"/>
      <c r="AO1301" s="829" t="str">
        <f t="shared" si="284"/>
        <v>Yes</v>
      </c>
      <c r="AP1301" s="259" t="str">
        <f t="shared" si="285"/>
        <v>AUG 23</v>
      </c>
      <c r="AQ1301" s="547" t="str">
        <f t="shared" si="286"/>
        <v>有定金+有預留客戶</v>
      </c>
      <c r="AR1301" s="259" t="str">
        <f t="shared" si="287"/>
        <v>Shipped_Stock</v>
      </c>
      <c r="AS1301" s="259" t="str">
        <f t="shared" si="288"/>
        <v/>
      </c>
      <c r="AT1301" s="259" t="str">
        <f t="shared" si="289"/>
        <v>康佳</v>
      </c>
      <c r="AU1301" s="259" t="str">
        <f t="shared" si="290"/>
        <v>SNFPC-CG-2022-008</v>
      </c>
      <c r="AV1301" s="259" t="str">
        <f t="shared" si="291"/>
        <v>Aug-08</v>
      </c>
    </row>
    <row r="1302" spans="1:48" hidden="1">
      <c r="A1302" s="564">
        <v>1660</v>
      </c>
      <c r="B1302" s="669" t="s">
        <v>1125</v>
      </c>
      <c r="C1302" s="669" t="s">
        <v>281</v>
      </c>
      <c r="D1302" s="760">
        <v>110928</v>
      </c>
      <c r="E1302" s="651" t="s">
        <v>2499</v>
      </c>
      <c r="F1302" s="652" t="s">
        <v>58</v>
      </c>
      <c r="G1302" s="652" t="s">
        <v>24</v>
      </c>
      <c r="H1302" s="652" t="s">
        <v>2504</v>
      </c>
      <c r="I1302" s="580" t="s">
        <v>2529</v>
      </c>
      <c r="J1302" s="580">
        <v>1</v>
      </c>
      <c r="K1302" s="652" t="s">
        <v>1419</v>
      </c>
      <c r="L1302" s="754">
        <v>44781</v>
      </c>
      <c r="M1302" s="670">
        <v>5.2699999999999997E-2</v>
      </c>
      <c r="N1302" s="652" t="s">
        <v>4045</v>
      </c>
      <c r="O1302" s="580">
        <v>2022.7</v>
      </c>
      <c r="P1302" s="670" t="str">
        <f>VLOOKUP(A1302,'[1]Raw data'!$B:$BA,23,FALSE)</f>
        <v>RMB</v>
      </c>
      <c r="Q1302" s="652" t="str">
        <f>VLOOKUP(A1302,'[1]Raw data'!$B:$Z,2,FALSE)</f>
        <v>SNFPC-CG-2022-008</v>
      </c>
      <c r="R1302" s="652" t="str">
        <f>VLOOKUP(A1302,'[1]Raw data'!$B:$Z,3,FALSE)</f>
        <v>康佳</v>
      </c>
      <c r="S1302" s="652" t="str">
        <f>VLOOKUP(A1302,'[1]Raw data'!$B:$Z,4,FALSE)</f>
        <v>YSM20R-2</v>
      </c>
      <c r="T1302" s="652" t="str">
        <f>VLOOKUP(A1302,'[1]Raw data'!$B:$Z,8,FALSE)</f>
        <v>L-&gt;R</v>
      </c>
      <c r="U1302" s="652" t="str">
        <f>VLOOKUP(A1302,'[1]Raw data'!$B:$Z,9,FALSE)</f>
        <v>No</v>
      </c>
      <c r="V1302" s="572" t="str">
        <f t="shared" si="296"/>
        <v>WRONG</v>
      </c>
      <c r="W1302" s="568" t="str">
        <f>VLOOKUP(A1302,'[1]Raw data'!$B:$AG,32,FALSE)</f>
        <v>DDP SN</v>
      </c>
      <c r="X1302" s="662">
        <f>VLOOKUP(A1302,'[1]Raw data'!$B:$BA,31,FALSE)</f>
        <v>44678</v>
      </c>
      <c r="Y1302" s="652" t="str">
        <f>VLOOKUP(A1302,'[1]Raw data'!$B:$AS,39,FALSE)</f>
        <v>Yes</v>
      </c>
      <c r="Z1302" s="664"/>
      <c r="AA1302" s="665"/>
      <c r="AB1302" s="666"/>
      <c r="AC1302" s="652" t="s">
        <v>1951</v>
      </c>
      <c r="AD1302" s="667">
        <v>301</v>
      </c>
      <c r="AE1302" s="667">
        <v>10</v>
      </c>
      <c r="AF1302" s="667">
        <v>302</v>
      </c>
      <c r="AG1302" s="667">
        <v>5</v>
      </c>
      <c r="AH1302" s="667">
        <v>303</v>
      </c>
      <c r="AI1302" s="667">
        <v>5</v>
      </c>
      <c r="AN1302" s="547"/>
      <c r="AO1302" s="829" t="str">
        <f t="shared" si="284"/>
        <v>Yes</v>
      </c>
      <c r="AP1302" s="259" t="str">
        <f t="shared" si="285"/>
        <v>AUG 23</v>
      </c>
      <c r="AQ1302" s="547" t="str">
        <f t="shared" si="286"/>
        <v>有定金+有預留客戶</v>
      </c>
      <c r="AR1302" s="259" t="str">
        <f t="shared" si="287"/>
        <v>Shipped_Stock</v>
      </c>
      <c r="AS1302" s="259" t="str">
        <f t="shared" si="288"/>
        <v/>
      </c>
      <c r="AT1302" s="259" t="str">
        <f t="shared" si="289"/>
        <v>康佳</v>
      </c>
      <c r="AU1302" s="259" t="str">
        <f t="shared" si="290"/>
        <v>SNFPC-CG-2022-008</v>
      </c>
      <c r="AV1302" s="259" t="str">
        <f t="shared" si="291"/>
        <v>Aug-08</v>
      </c>
    </row>
    <row r="1303" spans="1:48" hidden="1">
      <c r="A1303" s="564">
        <v>1659</v>
      </c>
      <c r="B1303" s="669" t="s">
        <v>1125</v>
      </c>
      <c r="C1303" s="669" t="s">
        <v>281</v>
      </c>
      <c r="D1303" s="760">
        <v>110928</v>
      </c>
      <c r="E1303" s="651" t="s">
        <v>2499</v>
      </c>
      <c r="F1303" s="652" t="s">
        <v>58</v>
      </c>
      <c r="G1303" s="652" t="s">
        <v>24</v>
      </c>
      <c r="H1303" s="652" t="s">
        <v>2504</v>
      </c>
      <c r="I1303" s="580" t="s">
        <v>2530</v>
      </c>
      <c r="J1303" s="580">
        <v>1</v>
      </c>
      <c r="K1303" s="652" t="s">
        <v>1419</v>
      </c>
      <c r="L1303" s="754">
        <v>44781</v>
      </c>
      <c r="M1303" s="670">
        <v>5.2699999999999997E-2</v>
      </c>
      <c r="N1303" s="652" t="s">
        <v>4045</v>
      </c>
      <c r="O1303" s="580">
        <v>2022.7</v>
      </c>
      <c r="P1303" s="670" t="str">
        <f>VLOOKUP(A1303,'[1]Raw data'!$B:$BA,23,FALSE)</f>
        <v>RMB</v>
      </c>
      <c r="Q1303" s="652" t="str">
        <f>VLOOKUP(A1303,'[1]Raw data'!$B:$Z,2,FALSE)</f>
        <v>SNFPC-CG-2022-008</v>
      </c>
      <c r="R1303" s="652" t="str">
        <f>VLOOKUP(A1303,'[1]Raw data'!$B:$Z,3,FALSE)</f>
        <v>康佳</v>
      </c>
      <c r="S1303" s="652" t="str">
        <f>VLOOKUP(A1303,'[1]Raw data'!$B:$Z,4,FALSE)</f>
        <v>YSM20R-2</v>
      </c>
      <c r="T1303" s="652" t="str">
        <f>VLOOKUP(A1303,'[1]Raw data'!$B:$Z,8,FALSE)</f>
        <v>L-&gt;R</v>
      </c>
      <c r="U1303" s="652" t="str">
        <f>VLOOKUP(A1303,'[1]Raw data'!$B:$Z,9,FALSE)</f>
        <v>No</v>
      </c>
      <c r="V1303" s="572" t="str">
        <f t="shared" ref="V1303:V1304" si="297">IF(G1303&amp;H1303=T1303&amp;U1303,"OK","WRONG")</f>
        <v>WRONG</v>
      </c>
      <c r="W1303" s="568" t="str">
        <f>VLOOKUP(A1303,'[1]Raw data'!$B:$AG,32,FALSE)</f>
        <v>DDP SN</v>
      </c>
      <c r="X1303" s="662">
        <f>VLOOKUP(A1303,'[1]Raw data'!$B:$BA,31,FALSE)</f>
        <v>44678</v>
      </c>
      <c r="Y1303" s="652" t="str">
        <f>VLOOKUP(A1303,'[1]Raw data'!$B:$AS,39,FALSE)</f>
        <v>Yes</v>
      </c>
      <c r="Z1303" s="664"/>
      <c r="AA1303" s="665"/>
      <c r="AB1303" s="666"/>
      <c r="AC1303" s="652" t="s">
        <v>1951</v>
      </c>
      <c r="AD1303" s="667">
        <v>301</v>
      </c>
      <c r="AE1303" s="667">
        <v>10</v>
      </c>
      <c r="AF1303" s="667">
        <v>302</v>
      </c>
      <c r="AG1303" s="667">
        <v>5</v>
      </c>
      <c r="AH1303" s="667">
        <v>303</v>
      </c>
      <c r="AI1303" s="667">
        <v>5</v>
      </c>
      <c r="AN1303" s="547"/>
      <c r="AO1303" s="829" t="str">
        <f t="shared" si="284"/>
        <v>Yes</v>
      </c>
      <c r="AP1303" s="259" t="str">
        <f t="shared" si="285"/>
        <v>AUG 23</v>
      </c>
      <c r="AQ1303" s="547" t="str">
        <f t="shared" si="286"/>
        <v>有定金+有預留客戶</v>
      </c>
      <c r="AR1303" s="259" t="str">
        <f t="shared" si="287"/>
        <v>Shipped_Stock</v>
      </c>
      <c r="AS1303" s="259" t="str">
        <f t="shared" si="288"/>
        <v/>
      </c>
      <c r="AT1303" s="259" t="str">
        <f t="shared" si="289"/>
        <v>康佳</v>
      </c>
      <c r="AU1303" s="259" t="str">
        <f t="shared" si="290"/>
        <v>SNFPC-CG-2022-008</v>
      </c>
      <c r="AV1303" s="259" t="str">
        <f t="shared" si="291"/>
        <v>Aug-08</v>
      </c>
    </row>
    <row r="1304" spans="1:48" ht="13.5" hidden="1" thickBot="1">
      <c r="A1304" s="564">
        <v>1661</v>
      </c>
      <c r="B1304" s="669" t="s">
        <v>1125</v>
      </c>
      <c r="C1304" s="669" t="s">
        <v>281</v>
      </c>
      <c r="D1304" s="629">
        <v>110928</v>
      </c>
      <c r="E1304" s="651" t="s">
        <v>2499</v>
      </c>
      <c r="F1304" s="652" t="s">
        <v>58</v>
      </c>
      <c r="G1304" s="652" t="s">
        <v>24</v>
      </c>
      <c r="H1304" s="652" t="s">
        <v>2504</v>
      </c>
      <c r="I1304" s="580" t="s">
        <v>2531</v>
      </c>
      <c r="J1304" s="580">
        <v>1</v>
      </c>
      <c r="K1304" s="652" t="s">
        <v>1419</v>
      </c>
      <c r="L1304" s="754">
        <v>44781</v>
      </c>
      <c r="M1304" s="670">
        <v>5.2699999999999997E-2</v>
      </c>
      <c r="N1304" s="652" t="s">
        <v>4045</v>
      </c>
      <c r="O1304" s="580">
        <v>2022.7</v>
      </c>
      <c r="P1304" s="670" t="str">
        <f>VLOOKUP(A1304,'[1]Raw data'!$B:$BA,23,FALSE)</f>
        <v>RMB</v>
      </c>
      <c r="Q1304" s="652" t="str">
        <f>VLOOKUP(A1304,'[1]Raw data'!$B:$Z,2,FALSE)</f>
        <v>SNFPC-CG-2022-008</v>
      </c>
      <c r="R1304" s="652" t="str">
        <f>VLOOKUP(A1304,'[1]Raw data'!$B:$Z,3,FALSE)</f>
        <v>康佳</v>
      </c>
      <c r="S1304" s="652" t="str">
        <f>VLOOKUP(A1304,'[1]Raw data'!$B:$Z,4,FALSE)</f>
        <v>YSM20R-2</v>
      </c>
      <c r="T1304" s="652" t="str">
        <f>VLOOKUP(A1304,'[1]Raw data'!$B:$Z,8,FALSE)</f>
        <v>L-&gt;R</v>
      </c>
      <c r="U1304" s="652" t="str">
        <f>VLOOKUP(A1304,'[1]Raw data'!$B:$Z,9,FALSE)</f>
        <v>No</v>
      </c>
      <c r="V1304" s="572" t="str">
        <f t="shared" si="297"/>
        <v>WRONG</v>
      </c>
      <c r="W1304" s="568" t="str">
        <f>VLOOKUP(A1304,'[1]Raw data'!$B:$AG,32,FALSE)</f>
        <v>DDP SN</v>
      </c>
      <c r="X1304" s="662">
        <f>VLOOKUP(A1304,'[1]Raw data'!$B:$BA,31,FALSE)</f>
        <v>44678</v>
      </c>
      <c r="Y1304" s="652" t="str">
        <f>VLOOKUP(A1304,'[1]Raw data'!$B:$AS,39,FALSE)</f>
        <v>Yes</v>
      </c>
      <c r="Z1304" s="664"/>
      <c r="AA1304" s="665"/>
      <c r="AB1304" s="666"/>
      <c r="AC1304" s="652" t="s">
        <v>1951</v>
      </c>
      <c r="AD1304" s="667">
        <v>301</v>
      </c>
      <c r="AE1304" s="667">
        <v>5</v>
      </c>
      <c r="AF1304" s="667">
        <v>302</v>
      </c>
      <c r="AG1304" s="667">
        <v>10</v>
      </c>
      <c r="AH1304" s="667">
        <v>304</v>
      </c>
      <c r="AI1304" s="668">
        <v>5</v>
      </c>
      <c r="AN1304" s="547"/>
      <c r="AO1304" s="829" t="str">
        <f t="shared" si="284"/>
        <v>Yes</v>
      </c>
      <c r="AP1304" s="259" t="str">
        <f t="shared" si="285"/>
        <v>AUG 23</v>
      </c>
      <c r="AQ1304" s="547" t="str">
        <f t="shared" si="286"/>
        <v>有定金+有預留客戶</v>
      </c>
      <c r="AR1304" s="259" t="str">
        <f t="shared" si="287"/>
        <v>Shipped_Stock</v>
      </c>
      <c r="AS1304" s="259" t="str">
        <f t="shared" si="288"/>
        <v/>
      </c>
      <c r="AT1304" s="259" t="str">
        <f t="shared" si="289"/>
        <v>康佳</v>
      </c>
      <c r="AU1304" s="259" t="str">
        <f t="shared" si="290"/>
        <v>SNFPC-CG-2022-008</v>
      </c>
      <c r="AV1304" s="259" t="str">
        <f t="shared" si="291"/>
        <v>Aug-08</v>
      </c>
    </row>
    <row r="1305" spans="1:48" hidden="1">
      <c r="A1305" s="564">
        <v>1847</v>
      </c>
      <c r="B1305" s="669" t="s">
        <v>1125</v>
      </c>
      <c r="C1305" s="669" t="s">
        <v>281</v>
      </c>
      <c r="D1305" s="766">
        <v>111000</v>
      </c>
      <c r="E1305" s="749" t="s">
        <v>2370</v>
      </c>
      <c r="F1305" s="652" t="s">
        <v>17</v>
      </c>
      <c r="G1305" s="652" t="s">
        <v>18</v>
      </c>
      <c r="H1305" s="652" t="s">
        <v>27</v>
      </c>
      <c r="I1305" s="580" t="s">
        <v>2532</v>
      </c>
      <c r="J1305" s="580">
        <v>1</v>
      </c>
      <c r="K1305" s="652" t="s">
        <v>1419</v>
      </c>
      <c r="L1305" s="754">
        <v>44781</v>
      </c>
      <c r="M1305" s="722">
        <v>4.9700000000000001E-2</v>
      </c>
      <c r="N1305" s="652" t="s">
        <v>216</v>
      </c>
      <c r="O1305" s="580">
        <v>2022.7</v>
      </c>
      <c r="P1305" s="670" t="str">
        <f>VLOOKUP(A1305,'[1]Raw data'!$B:$BA,23,FALSE)</f>
        <v>RMB</v>
      </c>
      <c r="Q1305" s="652" t="str">
        <f>VLOOKUP(A1305,'[1]Raw data'!$B:$Z,2,FALSE)</f>
        <v>C49SZX20230024MZ</v>
      </c>
      <c r="R1305" s="652" t="str">
        <f>VLOOKUP(A1305,'[1]Raw data'!$B:$Z,3,FALSE)</f>
        <v>斯路迅</v>
      </c>
      <c r="S1305" s="652" t="str">
        <f>VLOOKUP(A1305,'[1]Raw data'!$B:$Z,4,FALSE)</f>
        <v>YSM10</v>
      </c>
      <c r="T1305" s="652" t="str">
        <f>VLOOKUP(A1305,'[1]Raw data'!$B:$Z,8,FALSE)</f>
        <v>L-&gt;R</v>
      </c>
      <c r="U1305" s="652" t="str">
        <f>VLOOKUP(A1305,'[1]Raw data'!$B:$Z,9,FALSE)</f>
        <v>MVC</v>
      </c>
      <c r="V1305" s="572" t="str">
        <f t="shared" si="294"/>
        <v>WRONG</v>
      </c>
      <c r="W1305" s="568" t="str">
        <f>VLOOKUP(A1305,'[1]Raw data'!$B:$AG,32,FALSE)</f>
        <v>DDP SZ</v>
      </c>
      <c r="X1305" s="652">
        <f>VLOOKUP(A1305,'[1]Raw data'!$B:$BA,31,FALSE)</f>
        <v>44978</v>
      </c>
      <c r="Y1305" s="652" t="str">
        <f>VLOOKUP(A1305,'[1]Raw data'!$B:$AS,39,FALSE)</f>
        <v>Yes</v>
      </c>
      <c r="Z1305" s="671"/>
      <c r="AA1305" s="672"/>
      <c r="AB1305" s="673"/>
      <c r="AC1305" s="652" t="s">
        <v>2533</v>
      </c>
      <c r="AD1305" s="667">
        <v>302</v>
      </c>
      <c r="AE1305" s="667">
        <v>5</v>
      </c>
      <c r="AF1305" s="667">
        <v>304</v>
      </c>
      <c r="AG1305" s="667">
        <v>5</v>
      </c>
      <c r="AH1305" s="667"/>
      <c r="AI1305" s="668"/>
      <c r="AN1305" s="547"/>
      <c r="AO1305" s="829" t="str">
        <f t="shared" si="284"/>
        <v>Yes</v>
      </c>
      <c r="AP1305" s="259" t="str">
        <f t="shared" si="285"/>
        <v>MAR 23</v>
      </c>
      <c r="AQ1305" s="547" t="str">
        <f t="shared" si="286"/>
        <v>有定金+有預留客戶</v>
      </c>
      <c r="AR1305" s="259" t="str">
        <f t="shared" si="287"/>
        <v>Shipped_Stock</v>
      </c>
      <c r="AS1305" s="259" t="str">
        <f t="shared" si="288"/>
        <v/>
      </c>
      <c r="AT1305" s="259" t="str">
        <f t="shared" si="289"/>
        <v>斯路迅</v>
      </c>
      <c r="AU1305" s="259" t="str">
        <f t="shared" si="290"/>
        <v>C49SZX20230024MZ</v>
      </c>
      <c r="AV1305" s="259" t="str">
        <f t="shared" si="291"/>
        <v>Aug-08</v>
      </c>
    </row>
    <row r="1306" spans="1:48" hidden="1">
      <c r="A1306" s="564">
        <v>1849</v>
      </c>
      <c r="B1306" s="669" t="s">
        <v>1125</v>
      </c>
      <c r="C1306" s="669" t="s">
        <v>281</v>
      </c>
      <c r="D1306" s="760">
        <v>111000</v>
      </c>
      <c r="E1306" s="749" t="s">
        <v>2370</v>
      </c>
      <c r="F1306" s="652" t="s">
        <v>17</v>
      </c>
      <c r="G1306" s="652" t="s">
        <v>18</v>
      </c>
      <c r="H1306" s="652" t="s">
        <v>27</v>
      </c>
      <c r="I1306" s="580" t="s">
        <v>2534</v>
      </c>
      <c r="J1306" s="580">
        <v>1</v>
      </c>
      <c r="K1306" s="652" t="s">
        <v>1419</v>
      </c>
      <c r="L1306" s="754">
        <v>44781</v>
      </c>
      <c r="M1306" s="670">
        <v>4.9700000000000001E-2</v>
      </c>
      <c r="N1306" s="652" t="s">
        <v>226</v>
      </c>
      <c r="O1306" s="580">
        <v>2022.7</v>
      </c>
      <c r="P1306" s="670" t="str">
        <f>VLOOKUP(A1306,'[1]Raw data'!$B:$BA,23,FALSE)</f>
        <v>RMB</v>
      </c>
      <c r="Q1306" s="652" t="str">
        <f>VLOOKUP(A1306,'[1]Raw data'!$B:$Z,2,FALSE)</f>
        <v>C49SZX20230028JY</v>
      </c>
      <c r="R1306" s="652" t="str">
        <f>VLOOKUP(A1306,'[1]Raw data'!$B:$Z,3,FALSE)</f>
        <v>建航</v>
      </c>
      <c r="S1306" s="652" t="str">
        <f>VLOOKUP(A1306,'[1]Raw data'!$B:$Z,4,FALSE)</f>
        <v>YSM10</v>
      </c>
      <c r="T1306" s="652" t="str">
        <f>VLOOKUP(A1306,'[1]Raw data'!$B:$Z,8,FALSE)</f>
        <v>L-&gt;R</v>
      </c>
      <c r="U1306" s="652" t="str">
        <f>VLOOKUP(A1306,'[1]Raw data'!$B:$Z,9,FALSE)</f>
        <v>MVC</v>
      </c>
      <c r="V1306" s="572" t="str">
        <f t="shared" si="294"/>
        <v>WRONG</v>
      </c>
      <c r="W1306" s="568" t="str">
        <f>VLOOKUP(A1306,'[1]Raw data'!$B:$AG,32,FALSE)</f>
        <v>DDP SZ</v>
      </c>
      <c r="X1306" s="652">
        <f>VLOOKUP(A1306,'[1]Raw data'!$B:$BA,31,FALSE)</f>
        <v>44980</v>
      </c>
      <c r="Y1306" s="652" t="str">
        <f>VLOOKUP(A1306,'[1]Raw data'!$B:$AS,39,FALSE)</f>
        <v>Yes</v>
      </c>
      <c r="Z1306" s="664"/>
      <c r="AA1306" s="665"/>
      <c r="AB1306" s="666"/>
      <c r="AC1306" s="652" t="s">
        <v>3909</v>
      </c>
      <c r="AD1306" s="667">
        <v>302</v>
      </c>
      <c r="AE1306" s="667">
        <v>5</v>
      </c>
      <c r="AF1306" s="667">
        <v>304</v>
      </c>
      <c r="AG1306" s="667">
        <v>5</v>
      </c>
      <c r="AH1306" s="667"/>
      <c r="AI1306" s="668"/>
      <c r="AN1306" s="547"/>
      <c r="AO1306" s="829" t="str">
        <f t="shared" si="284"/>
        <v>Yes</v>
      </c>
      <c r="AP1306" s="259" t="str">
        <f t="shared" si="285"/>
        <v>APR 23</v>
      </c>
      <c r="AQ1306" s="547" t="str">
        <f t="shared" si="286"/>
        <v>有定金+有預留客戶</v>
      </c>
      <c r="AR1306" s="259" t="str">
        <f t="shared" si="287"/>
        <v>Shipped_Stock</v>
      </c>
      <c r="AS1306" s="259" t="str">
        <f t="shared" si="288"/>
        <v/>
      </c>
      <c r="AT1306" s="259" t="str">
        <f t="shared" si="289"/>
        <v>建航</v>
      </c>
      <c r="AU1306" s="259" t="str">
        <f t="shared" si="290"/>
        <v>C49SZX20230028JY</v>
      </c>
      <c r="AV1306" s="259" t="str">
        <f t="shared" si="291"/>
        <v>Aug-08</v>
      </c>
    </row>
    <row r="1307" spans="1:48" hidden="1">
      <c r="A1307" s="564">
        <v>1869</v>
      </c>
      <c r="B1307" s="669" t="s">
        <v>1125</v>
      </c>
      <c r="C1307" s="669" t="s">
        <v>281</v>
      </c>
      <c r="D1307" s="760">
        <v>110999</v>
      </c>
      <c r="E1307" s="749" t="s">
        <v>2535</v>
      </c>
      <c r="F1307" s="652" t="s">
        <v>17</v>
      </c>
      <c r="G1307" s="652" t="s">
        <v>18</v>
      </c>
      <c r="H1307" s="652" t="s">
        <v>102</v>
      </c>
      <c r="I1307" s="580" t="s">
        <v>2536</v>
      </c>
      <c r="J1307" s="580">
        <v>1</v>
      </c>
      <c r="K1307" s="652" t="s">
        <v>1419</v>
      </c>
      <c r="L1307" s="754">
        <v>44781</v>
      </c>
      <c r="M1307" s="722">
        <v>4.9700000000000001E-2</v>
      </c>
      <c r="N1307" s="652" t="s">
        <v>216</v>
      </c>
      <c r="O1307" s="580">
        <v>2022.7</v>
      </c>
      <c r="P1307" s="670" t="str">
        <f>VLOOKUP(A1307,'[1]Raw data'!$B:$BA,23,FALSE)</f>
        <v>RMB</v>
      </c>
      <c r="Q1307" s="652" t="str">
        <f>VLOOKUP(A1307,'[1]Raw data'!$B:$Z,2,FALSE)</f>
        <v>C49SZX20230037SS</v>
      </c>
      <c r="R1307" s="652" t="str">
        <f>VLOOKUP(A1307,'[1]Raw data'!$B:$Z,3,FALSE)</f>
        <v>清禾实业</v>
      </c>
      <c r="S1307" s="652" t="str">
        <f>VLOOKUP(A1307,'[1]Raw data'!$B:$Z,4,FALSE)</f>
        <v>YSM10</v>
      </c>
      <c r="T1307" s="652" t="str">
        <f>VLOOKUP(A1307,'[1]Raw data'!$B:$Z,8,FALSE)</f>
        <v>L-&gt;R</v>
      </c>
      <c r="U1307" s="652" t="str">
        <f>VLOOKUP(A1307,'[1]Raw data'!$B:$Z,9,FALSE)</f>
        <v>MVC</v>
      </c>
      <c r="V1307" s="572" t="str">
        <f t="shared" si="294"/>
        <v>WRONG</v>
      </c>
      <c r="W1307" s="568" t="str">
        <f>VLOOKUP(A1307,'[1]Raw data'!$B:$AG,32,FALSE)</f>
        <v>DDP SZ</v>
      </c>
      <c r="X1307" s="652">
        <f>VLOOKUP(A1307,'[1]Raw data'!$B:$BA,31,FALSE)</f>
        <v>44992</v>
      </c>
      <c r="Y1307" s="652" t="str">
        <f>VLOOKUP(A1307,'[1]Raw data'!$B:$AS,39,FALSE)</f>
        <v>Yes</v>
      </c>
      <c r="Z1307" s="664"/>
      <c r="AA1307" s="665"/>
      <c r="AB1307" s="666"/>
      <c r="AC1307" s="652" t="s">
        <v>2537</v>
      </c>
      <c r="AD1307" s="667">
        <v>302</v>
      </c>
      <c r="AE1307" s="667">
        <v>5</v>
      </c>
      <c r="AF1307" s="667">
        <v>303</v>
      </c>
      <c r="AG1307" s="668">
        <v>2</v>
      </c>
      <c r="AH1307" s="667">
        <v>304</v>
      </c>
      <c r="AI1307" s="668">
        <v>3</v>
      </c>
      <c r="AN1307" s="547"/>
      <c r="AO1307" s="829" t="str">
        <f t="shared" si="284"/>
        <v>Yes</v>
      </c>
      <c r="AP1307" s="259" t="str">
        <f t="shared" si="285"/>
        <v>MAR 23</v>
      </c>
      <c r="AQ1307" s="547" t="str">
        <f t="shared" si="286"/>
        <v>有定金+有預留客戶</v>
      </c>
      <c r="AR1307" s="259" t="str">
        <f t="shared" si="287"/>
        <v>Shipped_Stock</v>
      </c>
      <c r="AS1307" s="259" t="str">
        <f t="shared" si="288"/>
        <v/>
      </c>
      <c r="AT1307" s="259" t="str">
        <f t="shared" si="289"/>
        <v>清禾实业</v>
      </c>
      <c r="AU1307" s="259" t="str">
        <f t="shared" si="290"/>
        <v>C49SZX20230037SS</v>
      </c>
      <c r="AV1307" s="259" t="str">
        <f t="shared" si="291"/>
        <v>Aug-08</v>
      </c>
    </row>
    <row r="1308" spans="1:48" ht="13.5" hidden="1" thickBot="1">
      <c r="A1308" s="604">
        <v>1870</v>
      </c>
      <c r="B1308" s="669" t="s">
        <v>1125</v>
      </c>
      <c r="C1308" s="669" t="s">
        <v>281</v>
      </c>
      <c r="D1308" s="629">
        <v>110999</v>
      </c>
      <c r="E1308" s="749" t="s">
        <v>2535</v>
      </c>
      <c r="F1308" s="652" t="s">
        <v>17</v>
      </c>
      <c r="G1308" s="652" t="s">
        <v>18</v>
      </c>
      <c r="H1308" s="652" t="s">
        <v>102</v>
      </c>
      <c r="I1308" s="580" t="s">
        <v>2538</v>
      </c>
      <c r="J1308" s="580">
        <v>1</v>
      </c>
      <c r="K1308" s="652" t="s">
        <v>1419</v>
      </c>
      <c r="L1308" s="754">
        <v>44781</v>
      </c>
      <c r="M1308" s="722">
        <v>4.9700000000000001E-2</v>
      </c>
      <c r="N1308" s="652" t="s">
        <v>216</v>
      </c>
      <c r="O1308" s="580">
        <v>2022.7</v>
      </c>
      <c r="P1308" s="670" t="str">
        <f>VLOOKUP(A1308,'[1]Raw data'!$B:$BA,23,FALSE)</f>
        <v>RMB</v>
      </c>
      <c r="Q1308" s="652" t="str">
        <f>VLOOKUP(A1308,'[1]Raw data'!$B:$Z,2,FALSE)</f>
        <v>C49SZX20230038SS</v>
      </c>
      <c r="R1308" s="652" t="str">
        <f>VLOOKUP(A1308,'[1]Raw data'!$B:$Z,3,FALSE)</f>
        <v>清禾电路</v>
      </c>
      <c r="S1308" s="652" t="str">
        <f>VLOOKUP(A1308,'[1]Raw data'!$B:$Z,4,FALSE)</f>
        <v>YSM10</v>
      </c>
      <c r="T1308" s="652" t="str">
        <f>VLOOKUP(A1308,'[1]Raw data'!$B:$Z,8,FALSE)</f>
        <v>L-&gt;R</v>
      </c>
      <c r="U1308" s="652" t="str">
        <f>VLOOKUP(A1308,'[1]Raw data'!$B:$Z,9,FALSE)</f>
        <v>MVC</v>
      </c>
      <c r="V1308" s="572" t="str">
        <f t="shared" si="294"/>
        <v>WRONG</v>
      </c>
      <c r="W1308" s="568" t="str">
        <f>VLOOKUP(A1308,'[1]Raw data'!$B:$AG,32,FALSE)</f>
        <v>DDP SZ</v>
      </c>
      <c r="X1308" s="652">
        <f>VLOOKUP(A1308,'[1]Raw data'!$B:$BA,31,FALSE)</f>
        <v>44992</v>
      </c>
      <c r="Y1308" s="652" t="str">
        <f>VLOOKUP(A1308,'[1]Raw data'!$B:$AS,39,FALSE)</f>
        <v>Yes</v>
      </c>
      <c r="Z1308" s="664"/>
      <c r="AA1308" s="665"/>
      <c r="AB1308" s="666"/>
      <c r="AC1308" s="652" t="s">
        <v>2539</v>
      </c>
      <c r="AD1308" s="580">
        <v>302</v>
      </c>
      <c r="AE1308" s="580">
        <v>5</v>
      </c>
      <c r="AF1308" s="580">
        <v>303</v>
      </c>
      <c r="AG1308" s="684">
        <v>2</v>
      </c>
      <c r="AH1308" s="580">
        <v>304</v>
      </c>
      <c r="AI1308" s="684">
        <v>3</v>
      </c>
      <c r="AJ1308" s="569"/>
      <c r="AK1308" s="569"/>
      <c r="AL1308" s="569"/>
      <c r="AM1308" s="569"/>
      <c r="AN1308" s="619"/>
      <c r="AO1308" s="829" t="str">
        <f t="shared" si="284"/>
        <v>Yes</v>
      </c>
      <c r="AP1308" s="259" t="str">
        <f t="shared" si="285"/>
        <v>MAR 23</v>
      </c>
      <c r="AQ1308" s="547" t="str">
        <f t="shared" si="286"/>
        <v>有定金+有預留客戶</v>
      </c>
      <c r="AR1308" s="259" t="str">
        <f t="shared" si="287"/>
        <v>Shipped_Stock</v>
      </c>
      <c r="AS1308" s="259" t="str">
        <f t="shared" si="288"/>
        <v/>
      </c>
      <c r="AT1308" s="259" t="str">
        <f t="shared" si="289"/>
        <v>清禾电路</v>
      </c>
      <c r="AU1308" s="259" t="str">
        <f t="shared" si="290"/>
        <v>C49SZX20230038SS</v>
      </c>
      <c r="AV1308" s="259" t="str">
        <f t="shared" si="291"/>
        <v>Aug-08</v>
      </c>
    </row>
    <row r="1309" spans="1:48" ht="22.5" hidden="1">
      <c r="A1309" s="604">
        <v>1739</v>
      </c>
      <c r="B1309" s="669" t="s">
        <v>1125</v>
      </c>
      <c r="C1309" s="669" t="s">
        <v>281</v>
      </c>
      <c r="D1309" s="766">
        <v>110987</v>
      </c>
      <c r="E1309" s="651" t="s">
        <v>2540</v>
      </c>
      <c r="F1309" s="652" t="s">
        <v>58</v>
      </c>
      <c r="G1309" s="652" t="s">
        <v>24</v>
      </c>
      <c r="H1309" s="652" t="s">
        <v>26</v>
      </c>
      <c r="I1309" s="580" t="s">
        <v>2541</v>
      </c>
      <c r="J1309" s="580">
        <v>1</v>
      </c>
      <c r="K1309" s="652" t="s">
        <v>1419</v>
      </c>
      <c r="L1309" s="662">
        <v>44795</v>
      </c>
      <c r="M1309" s="722" t="s">
        <v>2662</v>
      </c>
      <c r="N1309" s="652" t="s">
        <v>205</v>
      </c>
      <c r="O1309" s="580">
        <v>2022.7</v>
      </c>
      <c r="P1309" s="670" t="str">
        <f>VLOOKUP(A1309,'[1]Raw data'!$B:$BA,23,FALSE)</f>
        <v>RMB</v>
      </c>
      <c r="Q1309" s="652" t="str">
        <f>VLOOKUP(A1309,'[1]Raw data'!$B:$Z,2,FALSE)</f>
        <v>C49SZX20220106SX</v>
      </c>
      <c r="R1309" s="652" t="str">
        <f>VLOOKUP(A1309,'[1]Raw data'!$B:$Z,3,FALSE)</f>
        <v>锐诚</v>
      </c>
      <c r="S1309" s="652" t="str">
        <f>VLOOKUP(A1309,'[1]Raw data'!$B:$Z,4,FALSE)</f>
        <v>YSM20R-2</v>
      </c>
      <c r="T1309" s="652" t="str">
        <f>VLOOKUP(A1309,'[1]Raw data'!$B:$Z,8,FALSE)</f>
        <v>L-&gt;R</v>
      </c>
      <c r="U1309" s="652" t="str">
        <f>VLOOKUP(A1309,'[1]Raw data'!$B:$Z,9,FALSE)</f>
        <v>No</v>
      </c>
      <c r="V1309" s="572" t="str">
        <f t="shared" ref="V1309:V1314" si="298">IF(G1309&amp;H1309=T1309&amp;U1309,"OK","WRONG")</f>
        <v>OK</v>
      </c>
      <c r="W1309" s="568" t="str">
        <f>VLOOKUP(A1309,'[1]Raw data'!$B:$AG,32,FALSE)</f>
        <v>DDP HZ</v>
      </c>
      <c r="X1309" s="652">
        <f>VLOOKUP(A1309,'[1]Raw data'!$B:$BA,31,FALSE)</f>
        <v>44845</v>
      </c>
      <c r="Y1309" s="652" t="str">
        <f>VLOOKUP(A1309,'[1]Raw data'!$B:$AS,39,FALSE)</f>
        <v>Yes</v>
      </c>
      <c r="Z1309" s="671"/>
      <c r="AA1309" s="665"/>
      <c r="AB1309" s="666"/>
      <c r="AC1309" s="652" t="s">
        <v>563</v>
      </c>
      <c r="AD1309" s="580">
        <v>311</v>
      </c>
      <c r="AE1309" s="580">
        <v>20</v>
      </c>
      <c r="AF1309" s="580"/>
      <c r="AG1309" s="580"/>
      <c r="AH1309" s="580"/>
      <c r="AI1309" s="684"/>
      <c r="AJ1309" s="569"/>
      <c r="AK1309" s="569"/>
      <c r="AL1309" s="569"/>
      <c r="AM1309" s="569"/>
      <c r="AN1309" s="619"/>
      <c r="AO1309" s="829" t="str">
        <f t="shared" si="284"/>
        <v>Yes</v>
      </c>
      <c r="AP1309" s="259" t="str">
        <f t="shared" si="285"/>
        <v>OCT 22</v>
      </c>
      <c r="AQ1309" s="547" t="str">
        <f t="shared" si="286"/>
        <v>有定金+有預留客戶</v>
      </c>
      <c r="AR1309" s="259" t="str">
        <f t="shared" si="287"/>
        <v>Shipped_Stock</v>
      </c>
      <c r="AS1309" s="259" t="str">
        <f t="shared" si="288"/>
        <v/>
      </c>
      <c r="AT1309" s="259" t="str">
        <f t="shared" si="289"/>
        <v>锐诚</v>
      </c>
      <c r="AU1309" s="259" t="str">
        <f t="shared" si="290"/>
        <v>C49SZX20220106SX</v>
      </c>
      <c r="AV1309" s="259" t="str">
        <f t="shared" si="291"/>
        <v>Aug-22</v>
      </c>
    </row>
    <row r="1310" spans="1:48" hidden="1">
      <c r="A1310" s="604">
        <v>1720</v>
      </c>
      <c r="B1310" s="669" t="s">
        <v>1125</v>
      </c>
      <c r="C1310" s="669" t="s">
        <v>281</v>
      </c>
      <c r="D1310" s="760">
        <v>110987</v>
      </c>
      <c r="E1310" s="651" t="s">
        <v>2540</v>
      </c>
      <c r="F1310" s="652" t="s">
        <v>58</v>
      </c>
      <c r="G1310" s="652" t="s">
        <v>24</v>
      </c>
      <c r="H1310" s="652" t="s">
        <v>26</v>
      </c>
      <c r="I1310" s="580" t="s">
        <v>2542</v>
      </c>
      <c r="J1310" s="580">
        <v>1</v>
      </c>
      <c r="K1310" s="652" t="s">
        <v>1419</v>
      </c>
      <c r="L1310" s="662">
        <v>44795</v>
      </c>
      <c r="M1310" s="722" t="s">
        <v>906</v>
      </c>
      <c r="N1310" s="652" t="s">
        <v>205</v>
      </c>
      <c r="O1310" s="580">
        <v>2022.7</v>
      </c>
      <c r="P1310" s="670" t="str">
        <f>VLOOKUP(A1310,'[1]Raw data'!$B:$BA,23,FALSE)</f>
        <v>JPY</v>
      </c>
      <c r="Q1310" s="652" t="str">
        <f>VLOOKUP(A1310,'[1]Raw data'!$B:$Z,2,FALSE)</f>
        <v>C49SZX20220096JL</v>
      </c>
      <c r="R1310" s="652" t="str">
        <f>VLOOKUP(A1310,'[1]Raw data'!$B:$Z,3,FALSE)</f>
        <v>倍斯特</v>
      </c>
      <c r="S1310" s="652" t="str">
        <f>VLOOKUP(A1310,'[1]Raw data'!$B:$Z,4,FALSE)</f>
        <v>YSM20R-2</v>
      </c>
      <c r="T1310" s="652" t="str">
        <f>VLOOKUP(A1310,'[1]Raw data'!$B:$Z,8,FALSE)</f>
        <v>L-&gt;R</v>
      </c>
      <c r="U1310" s="652" t="str">
        <f>VLOOKUP(A1310,'[1]Raw data'!$B:$Z,9,FALSE)</f>
        <v>No</v>
      </c>
      <c r="V1310" s="572" t="str">
        <f t="shared" si="298"/>
        <v>OK</v>
      </c>
      <c r="W1310" s="568" t="str">
        <f>VLOOKUP(A1310,'[1]Raw data'!$B:$AG,32,FALSE)</f>
        <v>DAP SZ</v>
      </c>
      <c r="X1310" s="652">
        <f>VLOOKUP(A1310,'[1]Raw data'!$B:$BA,31,FALSE)</f>
        <v>44819</v>
      </c>
      <c r="Y1310" s="652" t="str">
        <f>VLOOKUP(A1310,'[1]Raw data'!$B:$AS,39,FALSE)</f>
        <v>Yes</v>
      </c>
      <c r="Z1310" s="671"/>
      <c r="AA1310" s="665"/>
      <c r="AB1310" s="666"/>
      <c r="AC1310" s="652" t="s">
        <v>2366</v>
      </c>
      <c r="AD1310" s="580">
        <v>311</v>
      </c>
      <c r="AE1310" s="580">
        <v>20</v>
      </c>
      <c r="AF1310" s="580"/>
      <c r="AG1310" s="580"/>
      <c r="AH1310" s="580"/>
      <c r="AI1310" s="684"/>
      <c r="AJ1310" s="569"/>
      <c r="AK1310" s="569"/>
      <c r="AL1310" s="569"/>
      <c r="AM1310" s="569"/>
      <c r="AN1310" s="619"/>
      <c r="AO1310" s="829" t="str">
        <f t="shared" si="284"/>
        <v>Yes</v>
      </c>
      <c r="AP1310" s="259" t="str">
        <f t="shared" si="285"/>
        <v>OCT 22</v>
      </c>
      <c r="AQ1310" s="547" t="str">
        <f t="shared" si="286"/>
        <v>有定金+有預留客戶</v>
      </c>
      <c r="AR1310" s="259" t="str">
        <f t="shared" si="287"/>
        <v>Shipped_Stock</v>
      </c>
      <c r="AS1310" s="259" t="str">
        <f t="shared" si="288"/>
        <v/>
      </c>
      <c r="AT1310" s="259" t="str">
        <f t="shared" si="289"/>
        <v>倍斯特</v>
      </c>
      <c r="AU1310" s="259" t="str">
        <f t="shared" si="290"/>
        <v>C49SZX20220096JL</v>
      </c>
      <c r="AV1310" s="259" t="str">
        <f t="shared" si="291"/>
        <v>Aug-22</v>
      </c>
    </row>
    <row r="1311" spans="1:48" hidden="1">
      <c r="A1311" s="604">
        <v>1710</v>
      </c>
      <c r="B1311" s="669" t="s">
        <v>1125</v>
      </c>
      <c r="C1311" s="669" t="s">
        <v>281</v>
      </c>
      <c r="D1311" s="760">
        <v>110986</v>
      </c>
      <c r="E1311" s="651" t="s">
        <v>2543</v>
      </c>
      <c r="F1311" s="652" t="s">
        <v>58</v>
      </c>
      <c r="G1311" s="652" t="s">
        <v>18</v>
      </c>
      <c r="H1311" s="652" t="s">
        <v>26</v>
      </c>
      <c r="I1311" s="580" t="s">
        <v>2544</v>
      </c>
      <c r="J1311" s="580">
        <v>1</v>
      </c>
      <c r="K1311" s="652" t="s">
        <v>1419</v>
      </c>
      <c r="L1311" s="662">
        <v>44795</v>
      </c>
      <c r="M1311" s="722" t="s">
        <v>906</v>
      </c>
      <c r="N1311" s="652" t="s">
        <v>219</v>
      </c>
      <c r="O1311" s="580">
        <v>2022.7</v>
      </c>
      <c r="P1311" s="670" t="str">
        <f>VLOOKUP(A1311,'[1]Raw data'!$B:$BA,23,FALSE)</f>
        <v>JPY</v>
      </c>
      <c r="Q1311" s="652" t="str">
        <f>VLOOKUP(A1311,'[1]Raw data'!$B:$Z,2,FALSE)</f>
        <v>C49SZX20220084DZ</v>
      </c>
      <c r="R1311" s="652" t="str">
        <f>VLOOKUP(A1311,'[1]Raw data'!$B:$Z,3,FALSE)</f>
        <v>朗特</v>
      </c>
      <c r="S1311" s="652" t="str">
        <f>VLOOKUP(A1311,'[1]Raw data'!$B:$Z,4,FALSE)</f>
        <v>YSM20R-2</v>
      </c>
      <c r="T1311" s="652" t="str">
        <f>VLOOKUP(A1311,'[1]Raw data'!$B:$Z,8,FALSE)</f>
        <v>R-&gt;L</v>
      </c>
      <c r="U1311" s="652" t="str">
        <f>VLOOKUP(A1311,'[1]Raw data'!$B:$Z,9,FALSE)</f>
        <v>No</v>
      </c>
      <c r="V1311" s="572" t="str">
        <f t="shared" si="298"/>
        <v>OK</v>
      </c>
      <c r="W1311" s="568" t="str">
        <f>VLOOKUP(A1311,'[1]Raw data'!$B:$AG,32,FALSE)</f>
        <v>CIF HK</v>
      </c>
      <c r="X1311" s="652">
        <f>VLOOKUP(A1311,'[1]Raw data'!$B:$BA,31,FALSE)</f>
        <v>44768</v>
      </c>
      <c r="Y1311" s="652" t="str">
        <f>VLOOKUP(A1311,'[1]Raw data'!$B:$AS,39,FALSE)</f>
        <v>Yes</v>
      </c>
      <c r="Z1311" s="664"/>
      <c r="AA1311" s="665"/>
      <c r="AB1311" s="666"/>
      <c r="AC1311" s="652" t="s">
        <v>2174</v>
      </c>
      <c r="AD1311" s="580">
        <v>311</v>
      </c>
      <c r="AE1311" s="580">
        <v>20</v>
      </c>
      <c r="AF1311" s="580"/>
      <c r="AG1311" s="580"/>
      <c r="AH1311" s="580"/>
      <c r="AI1311" s="684"/>
      <c r="AJ1311" s="569"/>
      <c r="AK1311" s="569"/>
      <c r="AL1311" s="569"/>
      <c r="AM1311" s="569"/>
      <c r="AN1311" s="619"/>
      <c r="AO1311" s="829" t="str">
        <f t="shared" si="284"/>
        <v>Yes</v>
      </c>
      <c r="AP1311" s="259" t="str">
        <f t="shared" si="285"/>
        <v>SEP 22</v>
      </c>
      <c r="AQ1311" s="547" t="str">
        <f t="shared" si="286"/>
        <v>有定金+有預留客戶</v>
      </c>
      <c r="AR1311" s="259" t="str">
        <f t="shared" si="287"/>
        <v>Shipped_Stock</v>
      </c>
      <c r="AS1311" s="259" t="str">
        <f t="shared" si="288"/>
        <v/>
      </c>
      <c r="AT1311" s="259" t="str">
        <f t="shared" si="289"/>
        <v>朗特</v>
      </c>
      <c r="AU1311" s="259" t="str">
        <f t="shared" si="290"/>
        <v>C49SZX20220084DZ</v>
      </c>
      <c r="AV1311" s="259" t="str">
        <f t="shared" si="291"/>
        <v>Aug-22</v>
      </c>
    </row>
    <row r="1312" spans="1:48" ht="13.5" hidden="1" thickBot="1">
      <c r="A1312" s="604">
        <v>1742</v>
      </c>
      <c r="B1312" s="669" t="s">
        <v>1125</v>
      </c>
      <c r="C1312" s="669" t="s">
        <v>281</v>
      </c>
      <c r="D1312" s="629">
        <v>110986</v>
      </c>
      <c r="E1312" s="651" t="s">
        <v>2543</v>
      </c>
      <c r="F1312" s="652" t="s">
        <v>58</v>
      </c>
      <c r="G1312" s="652" t="s">
        <v>18</v>
      </c>
      <c r="H1312" s="652" t="s">
        <v>26</v>
      </c>
      <c r="I1312" s="580" t="s">
        <v>2545</v>
      </c>
      <c r="J1312" s="580">
        <v>1</v>
      </c>
      <c r="K1312" s="652" t="s">
        <v>1419</v>
      </c>
      <c r="L1312" s="662">
        <v>44795</v>
      </c>
      <c r="M1312" s="722" t="s">
        <v>906</v>
      </c>
      <c r="N1312" s="652" t="s">
        <v>205</v>
      </c>
      <c r="O1312" s="580">
        <v>2022.7</v>
      </c>
      <c r="P1312" s="670" t="str">
        <f>VLOOKUP(A1312,'[1]Raw data'!$B:$BA,23,FALSE)</f>
        <v>RMB</v>
      </c>
      <c r="Q1312" s="652" t="str">
        <f>VLOOKUP(A1312,'[1]Raw data'!$B:$Z,2,FALSE)</f>
        <v>C49SZX20220107DZ</v>
      </c>
      <c r="R1312" s="652" t="str">
        <f>VLOOKUP(A1312,'[1]Raw data'!$B:$Z,3,FALSE)</f>
        <v>朗特</v>
      </c>
      <c r="S1312" s="652" t="str">
        <f>VLOOKUP(A1312,'[1]Raw data'!$B:$Z,4,FALSE)</f>
        <v>YSM20R-2</v>
      </c>
      <c r="T1312" s="652" t="str">
        <f>VLOOKUP(A1312,'[1]Raw data'!$B:$Z,8,FALSE)</f>
        <v>R-&gt;L</v>
      </c>
      <c r="U1312" s="652" t="str">
        <f>VLOOKUP(A1312,'[1]Raw data'!$B:$Z,9,FALSE)</f>
        <v>No</v>
      </c>
      <c r="V1312" s="572" t="str">
        <f t="shared" si="298"/>
        <v>OK</v>
      </c>
      <c r="W1312" s="568" t="str">
        <f>VLOOKUP(A1312,'[1]Raw data'!$B:$AG,32,FALSE)</f>
        <v>DDP SZ</v>
      </c>
      <c r="X1312" s="652">
        <f>VLOOKUP(A1312,'[1]Raw data'!$B:$BA,31,FALSE)</f>
        <v>44846</v>
      </c>
      <c r="Y1312" s="652" t="str">
        <f>VLOOKUP(A1312,'[1]Raw data'!$B:$AS,39,FALSE)</f>
        <v>Yes</v>
      </c>
      <c r="Z1312" s="671"/>
      <c r="AA1312" s="665"/>
      <c r="AB1312" s="666"/>
      <c r="AC1312" s="652" t="s">
        <v>933</v>
      </c>
      <c r="AD1312" s="580">
        <v>311</v>
      </c>
      <c r="AE1312" s="580">
        <v>20</v>
      </c>
      <c r="AF1312" s="580"/>
      <c r="AG1312" s="580"/>
      <c r="AH1312" s="580"/>
      <c r="AI1312" s="684"/>
      <c r="AJ1312" s="569"/>
      <c r="AK1312" s="569"/>
      <c r="AL1312" s="569"/>
      <c r="AM1312" s="569"/>
      <c r="AN1312" s="619"/>
      <c r="AO1312" s="829" t="str">
        <f t="shared" si="284"/>
        <v>Yes</v>
      </c>
      <c r="AP1312" s="259" t="str">
        <f t="shared" si="285"/>
        <v>OCT 22</v>
      </c>
      <c r="AQ1312" s="547" t="str">
        <f t="shared" si="286"/>
        <v>有定金+有預留客戶</v>
      </c>
      <c r="AR1312" s="259" t="str">
        <f t="shared" si="287"/>
        <v>Shipped_Stock</v>
      </c>
      <c r="AS1312" s="259" t="str">
        <f t="shared" si="288"/>
        <v/>
      </c>
      <c r="AT1312" s="259" t="str">
        <f t="shared" si="289"/>
        <v>朗特</v>
      </c>
      <c r="AU1312" s="259" t="str">
        <f t="shared" si="290"/>
        <v>C49SZX20220107DZ</v>
      </c>
      <c r="AV1312" s="259" t="str">
        <f t="shared" si="291"/>
        <v>Aug-22</v>
      </c>
    </row>
    <row r="1313" spans="1:48" hidden="1">
      <c r="A1313" s="604">
        <v>1783</v>
      </c>
      <c r="B1313" s="669" t="s">
        <v>1125</v>
      </c>
      <c r="C1313" s="669" t="s">
        <v>281</v>
      </c>
      <c r="D1313" s="766">
        <v>110992</v>
      </c>
      <c r="E1313" s="651" t="s">
        <v>2546</v>
      </c>
      <c r="F1313" s="652" t="s">
        <v>58</v>
      </c>
      <c r="G1313" s="652" t="s">
        <v>24</v>
      </c>
      <c r="H1313" s="652" t="s">
        <v>26</v>
      </c>
      <c r="I1313" s="580" t="s">
        <v>2547</v>
      </c>
      <c r="J1313" s="580">
        <v>1</v>
      </c>
      <c r="K1313" s="652" t="s">
        <v>1419</v>
      </c>
      <c r="L1313" s="662">
        <v>44795</v>
      </c>
      <c r="M1313" s="722" t="s">
        <v>906</v>
      </c>
      <c r="N1313" s="652" t="s">
        <v>220</v>
      </c>
      <c r="O1313" s="580">
        <v>2022.7</v>
      </c>
      <c r="P1313" s="670" t="str">
        <f>VLOOKUP(A1313,'[1]Raw data'!$B:$BA,23,FALSE)</f>
        <v>RMB</v>
      </c>
      <c r="Q1313" s="652" t="str">
        <f>VLOOKUP(A1313,'[1]Raw data'!$B:$Z,2,FALSE)</f>
        <v>C49SZX20220127EC</v>
      </c>
      <c r="R1313" s="652" t="str">
        <f>VLOOKUP(A1313,'[1]Raw data'!$B:$Z,3,FALSE)</f>
        <v>海红天远</v>
      </c>
      <c r="S1313" s="652" t="str">
        <f>VLOOKUP(A1313,'[1]Raw data'!$B:$Z,4,FALSE)</f>
        <v>YSM20R-2</v>
      </c>
      <c r="T1313" s="652" t="str">
        <f>VLOOKUP(A1313,'[1]Raw data'!$B:$Z,8,FALSE)</f>
        <v>L-&gt;R</v>
      </c>
      <c r="U1313" s="652" t="str">
        <f>VLOOKUP(A1313,'[1]Raw data'!$B:$Z,9,FALSE)</f>
        <v>MVC</v>
      </c>
      <c r="V1313" s="572" t="str">
        <f t="shared" si="298"/>
        <v>WRONG</v>
      </c>
      <c r="W1313" s="568" t="str">
        <f>VLOOKUP(A1313,'[1]Raw data'!$B:$AG,32,FALSE)</f>
        <v>DDP SZ</v>
      </c>
      <c r="X1313" s="652">
        <f>VLOOKUP(A1313,'[1]Raw data'!$B:$BA,31,FALSE)</f>
        <v>44914</v>
      </c>
      <c r="Y1313" s="652" t="str">
        <f>VLOOKUP(A1313,'[1]Raw data'!$B:$AS,39,FALSE)</f>
        <v>Yes</v>
      </c>
      <c r="Z1313" s="671"/>
      <c r="AA1313" s="665"/>
      <c r="AB1313" s="666"/>
      <c r="AC1313" s="652" t="s">
        <v>2207</v>
      </c>
      <c r="AD1313" s="580">
        <v>312</v>
      </c>
      <c r="AE1313" s="580">
        <v>20</v>
      </c>
      <c r="AF1313" s="580"/>
      <c r="AG1313" s="580"/>
      <c r="AH1313" s="580"/>
      <c r="AI1313" s="684"/>
      <c r="AJ1313" s="569"/>
      <c r="AK1313" s="569"/>
      <c r="AL1313" s="569"/>
      <c r="AM1313" s="569"/>
      <c r="AN1313" s="619"/>
      <c r="AO1313" s="829" t="str">
        <f t="shared" si="284"/>
        <v>Yes</v>
      </c>
      <c r="AP1313" s="259" t="str">
        <f t="shared" si="285"/>
        <v>DEC 22</v>
      </c>
      <c r="AQ1313" s="547" t="str">
        <f t="shared" si="286"/>
        <v>有定金+有預留客戶</v>
      </c>
      <c r="AR1313" s="259" t="str">
        <f t="shared" si="287"/>
        <v>Shipped_Stock</v>
      </c>
      <c r="AS1313" s="259" t="str">
        <f t="shared" si="288"/>
        <v/>
      </c>
      <c r="AT1313" s="259" t="str">
        <f t="shared" si="289"/>
        <v>海红天远</v>
      </c>
      <c r="AU1313" s="259" t="str">
        <f t="shared" si="290"/>
        <v>C49SZX20220127EC</v>
      </c>
      <c r="AV1313" s="259" t="str">
        <f t="shared" si="291"/>
        <v>Aug-22</v>
      </c>
    </row>
    <row r="1314" spans="1:48" hidden="1">
      <c r="A1314" s="604">
        <v>1724</v>
      </c>
      <c r="B1314" s="669" t="s">
        <v>1125</v>
      </c>
      <c r="C1314" s="669" t="s">
        <v>281</v>
      </c>
      <c r="D1314" s="630">
        <v>110992</v>
      </c>
      <c r="E1314" s="651" t="s">
        <v>2546</v>
      </c>
      <c r="F1314" s="652" t="s">
        <v>58</v>
      </c>
      <c r="G1314" s="652" t="s">
        <v>24</v>
      </c>
      <c r="H1314" s="652" t="s">
        <v>26</v>
      </c>
      <c r="I1314" s="580" t="s">
        <v>2548</v>
      </c>
      <c r="J1314" s="580">
        <v>1</v>
      </c>
      <c r="K1314" s="652" t="s">
        <v>78</v>
      </c>
      <c r="L1314" s="662">
        <v>44795</v>
      </c>
      <c r="M1314" s="797" t="s">
        <v>3917</v>
      </c>
      <c r="N1314" s="652" t="s">
        <v>208</v>
      </c>
      <c r="O1314" s="580">
        <v>2022.7</v>
      </c>
      <c r="P1314" s="670" t="str">
        <f>VLOOKUP(A1314,'[1]Raw data'!$B:$BA,23,FALSE)</f>
        <v>JPY</v>
      </c>
      <c r="Q1314" s="652" t="str">
        <f>VLOOKUP(A1314,'[1]Raw data'!$B:$Z,2,FALSE)</f>
        <v>159851(R2)-ELE</v>
      </c>
      <c r="R1314" s="652" t="str">
        <f>VLOOKUP(A1314,'[1]Raw data'!$B:$Z,3,FALSE)</f>
        <v>WKK</v>
      </c>
      <c r="S1314" s="652" t="str">
        <f>VLOOKUP(A1314,'[1]Raw data'!$B:$Z,4,FALSE)</f>
        <v>YSM20R-2</v>
      </c>
      <c r="T1314" s="652" t="str">
        <f>VLOOKUP(A1314,'[1]Raw data'!$B:$Z,8,FALSE)</f>
        <v>L-&gt;R</v>
      </c>
      <c r="U1314" s="652" t="str">
        <f>VLOOKUP(A1314,'[1]Raw data'!$B:$Z,9,FALSE)</f>
        <v>MVC</v>
      </c>
      <c r="V1314" s="572" t="str">
        <f t="shared" si="298"/>
        <v>WRONG</v>
      </c>
      <c r="W1314" s="568" t="str">
        <f>VLOOKUP(A1314,'[1]Raw data'!$B:$AG,32,FALSE)</f>
        <v>CIF HK</v>
      </c>
      <c r="X1314" s="652">
        <f>VLOOKUP(A1314,'[1]Raw data'!$B:$BA,31,FALSE)</f>
        <v>44823</v>
      </c>
      <c r="Y1314" s="652" t="str">
        <f>VLOOKUP(A1314,'[1]Raw data'!$B:$AS,39,FALSE)</f>
        <v>Yes</v>
      </c>
      <c r="Z1314" s="671"/>
      <c r="AA1314" s="665"/>
      <c r="AB1314" s="666"/>
      <c r="AC1314" s="652" t="s">
        <v>2549</v>
      </c>
      <c r="AD1314" s="580">
        <v>312</v>
      </c>
      <c r="AE1314" s="580">
        <v>20</v>
      </c>
      <c r="AF1314" s="580"/>
      <c r="AG1314" s="580"/>
      <c r="AH1314" s="580"/>
      <c r="AI1314" s="684"/>
      <c r="AJ1314" s="569"/>
      <c r="AK1314" s="569"/>
      <c r="AL1314" s="569"/>
      <c r="AM1314" s="569"/>
      <c r="AN1314" s="619"/>
      <c r="AO1314" s="829" t="str">
        <f t="shared" si="284"/>
        <v>Yes</v>
      </c>
      <c r="AP1314" s="259" t="str">
        <f t="shared" si="285"/>
        <v>NOV 22</v>
      </c>
      <c r="AQ1314" s="547" t="str">
        <f t="shared" si="286"/>
        <v>有定金+有預留客戶</v>
      </c>
      <c r="AR1314" s="259" t="str">
        <f t="shared" si="287"/>
        <v>Shipped_Stock</v>
      </c>
      <c r="AS1314" s="259" t="str">
        <f t="shared" si="288"/>
        <v/>
      </c>
      <c r="AT1314" s="259" t="str">
        <f t="shared" si="289"/>
        <v>WKK</v>
      </c>
      <c r="AU1314" s="259" t="str">
        <f t="shared" si="290"/>
        <v>159851(R2)-ELE</v>
      </c>
      <c r="AV1314" s="259" t="str">
        <f t="shared" si="291"/>
        <v>Aug-22</v>
      </c>
    </row>
    <row r="1315" spans="1:48" hidden="1">
      <c r="A1315" s="604">
        <v>1740</v>
      </c>
      <c r="B1315" s="669" t="s">
        <v>1125</v>
      </c>
      <c r="C1315" s="669" t="s">
        <v>281</v>
      </c>
      <c r="D1315" s="781">
        <v>110989</v>
      </c>
      <c r="E1315" s="651" t="s">
        <v>2550</v>
      </c>
      <c r="F1315" s="652" t="s">
        <v>58</v>
      </c>
      <c r="G1315" s="652" t="s">
        <v>24</v>
      </c>
      <c r="H1315" s="652" t="s">
        <v>26</v>
      </c>
      <c r="I1315" s="580" t="s">
        <v>2551</v>
      </c>
      <c r="J1315" s="580">
        <v>1</v>
      </c>
      <c r="K1315" s="652" t="s">
        <v>1419</v>
      </c>
      <c r="L1315" s="662">
        <v>44795</v>
      </c>
      <c r="M1315" s="722"/>
      <c r="N1315" s="652" t="s">
        <v>205</v>
      </c>
      <c r="O1315" s="580">
        <v>2022.7</v>
      </c>
      <c r="P1315" s="670" t="str">
        <f>VLOOKUP(A1315,'[1]Raw data'!$B:$BA,23,FALSE)</f>
        <v>RMB</v>
      </c>
      <c r="Q1315" s="652" t="str">
        <f>VLOOKUP(A1315,'[1]Raw data'!$B:$Z,2,FALSE)</f>
        <v>C49SZX20220107DZ</v>
      </c>
      <c r="R1315" s="652" t="str">
        <f>VLOOKUP(A1315,'[1]Raw data'!$B:$Z,3,FALSE)</f>
        <v>朗特</v>
      </c>
      <c r="S1315" s="652" t="str">
        <f>VLOOKUP(A1315,'[1]Raw data'!$B:$Z,4,FALSE)</f>
        <v>YSM20R-2</v>
      </c>
      <c r="T1315" s="652" t="str">
        <f>VLOOKUP(A1315,'[1]Raw data'!$B:$Z,8,FALSE)</f>
        <v>L-&gt;R</v>
      </c>
      <c r="U1315" s="652" t="str">
        <f>VLOOKUP(A1315,'[1]Raw data'!$B:$Z,9,FALSE)</f>
        <v>No</v>
      </c>
      <c r="V1315" s="572" t="str">
        <f t="shared" ref="V1315:V1318" si="299">IF(G1315&amp;H1315=T1315&amp;U1315,"OK","WRONG")</f>
        <v>OK</v>
      </c>
      <c r="W1315" s="568" t="str">
        <f>VLOOKUP(A1315,'[1]Raw data'!$B:$AG,32,FALSE)</f>
        <v>DDP SZ</v>
      </c>
      <c r="X1315" s="652">
        <f>VLOOKUP(A1315,'[1]Raw data'!$B:$BA,31,FALSE)</f>
        <v>44846</v>
      </c>
      <c r="Y1315" s="652" t="str">
        <f>VLOOKUP(A1315,'[1]Raw data'!$B:$AS,39,FALSE)</f>
        <v>Yes</v>
      </c>
      <c r="Z1315" s="671"/>
      <c r="AA1315" s="665"/>
      <c r="AB1315" s="666"/>
      <c r="AC1315" s="652" t="s">
        <v>2336</v>
      </c>
      <c r="AD1315" s="580">
        <v>313</v>
      </c>
      <c r="AE1315" s="580">
        <v>20</v>
      </c>
      <c r="AF1315" s="580"/>
      <c r="AG1315" s="580"/>
      <c r="AH1315" s="580"/>
      <c r="AI1315" s="684"/>
      <c r="AJ1315" s="569"/>
      <c r="AK1315" s="569"/>
      <c r="AL1315" s="569"/>
      <c r="AM1315" s="569"/>
      <c r="AN1315" s="619"/>
      <c r="AO1315" s="829" t="str">
        <f t="shared" si="284"/>
        <v>Yes</v>
      </c>
      <c r="AP1315" s="259" t="str">
        <f t="shared" si="285"/>
        <v>OCT 22</v>
      </c>
      <c r="AQ1315" s="547" t="str">
        <f t="shared" si="286"/>
        <v>有定金+有預留客戶</v>
      </c>
      <c r="AR1315" s="259" t="str">
        <f t="shared" si="287"/>
        <v>Shipped_Stock</v>
      </c>
      <c r="AS1315" s="259" t="str">
        <f t="shared" si="288"/>
        <v/>
      </c>
      <c r="AT1315" s="259" t="str">
        <f t="shared" si="289"/>
        <v>朗特</v>
      </c>
      <c r="AU1315" s="259" t="str">
        <f t="shared" si="290"/>
        <v>C49SZX20220107DZ</v>
      </c>
      <c r="AV1315" s="259" t="str">
        <f t="shared" si="291"/>
        <v>Aug-22</v>
      </c>
    </row>
    <row r="1316" spans="1:48" ht="13.5" hidden="1" thickBot="1">
      <c r="A1316" s="604">
        <v>1741</v>
      </c>
      <c r="B1316" s="669" t="s">
        <v>1125</v>
      </c>
      <c r="C1316" s="669" t="s">
        <v>281</v>
      </c>
      <c r="D1316" s="629">
        <v>110989</v>
      </c>
      <c r="E1316" s="651" t="s">
        <v>2550</v>
      </c>
      <c r="F1316" s="652" t="s">
        <v>58</v>
      </c>
      <c r="G1316" s="652" t="s">
        <v>24</v>
      </c>
      <c r="H1316" s="652" t="s">
        <v>26</v>
      </c>
      <c r="I1316" s="580" t="s">
        <v>2552</v>
      </c>
      <c r="J1316" s="580">
        <v>1</v>
      </c>
      <c r="K1316" s="652" t="s">
        <v>1419</v>
      </c>
      <c r="L1316" s="662">
        <v>44795</v>
      </c>
      <c r="M1316" s="797" t="s">
        <v>3918</v>
      </c>
      <c r="N1316" s="652" t="s">
        <v>205</v>
      </c>
      <c r="O1316" s="580">
        <v>2022.7</v>
      </c>
      <c r="P1316" s="670" t="str">
        <f>VLOOKUP(A1316,'[1]Raw data'!$B:$BA,23,FALSE)</f>
        <v>RMB</v>
      </c>
      <c r="Q1316" s="652" t="str">
        <f>VLOOKUP(A1316,'[1]Raw data'!$B:$Z,2,FALSE)</f>
        <v>C49SZX20220107DZ</v>
      </c>
      <c r="R1316" s="652" t="str">
        <f>VLOOKUP(A1316,'[1]Raw data'!$B:$Z,3,FALSE)</f>
        <v>朗特</v>
      </c>
      <c r="S1316" s="652" t="str">
        <f>VLOOKUP(A1316,'[1]Raw data'!$B:$Z,4,FALSE)</f>
        <v>YSM20R-2</v>
      </c>
      <c r="T1316" s="652" t="str">
        <f>VLOOKUP(A1316,'[1]Raw data'!$B:$Z,8,FALSE)</f>
        <v>L-&gt;R</v>
      </c>
      <c r="U1316" s="652" t="str">
        <f>VLOOKUP(A1316,'[1]Raw data'!$B:$Z,9,FALSE)</f>
        <v>No</v>
      </c>
      <c r="V1316" s="572" t="str">
        <f t="shared" si="299"/>
        <v>OK</v>
      </c>
      <c r="W1316" s="568" t="str">
        <f>VLOOKUP(A1316,'[1]Raw data'!$B:$AG,32,FALSE)</f>
        <v>DDP SZ</v>
      </c>
      <c r="X1316" s="652">
        <f>VLOOKUP(A1316,'[1]Raw data'!$B:$BA,31,FALSE)</f>
        <v>44846</v>
      </c>
      <c r="Y1316" s="652" t="str">
        <f>VLOOKUP(A1316,'[1]Raw data'!$B:$AS,39,FALSE)</f>
        <v>Yes</v>
      </c>
      <c r="Z1316" s="671"/>
      <c r="AA1316" s="665"/>
      <c r="AB1316" s="666"/>
      <c r="AC1316" s="652" t="s">
        <v>2336</v>
      </c>
      <c r="AD1316" s="580">
        <v>313</v>
      </c>
      <c r="AE1316" s="580">
        <v>20</v>
      </c>
      <c r="AF1316" s="580"/>
      <c r="AG1316" s="580"/>
      <c r="AH1316" s="580"/>
      <c r="AI1316" s="684"/>
      <c r="AJ1316" s="569"/>
      <c r="AK1316" s="569"/>
      <c r="AL1316" s="569"/>
      <c r="AM1316" s="569"/>
      <c r="AN1316" s="619"/>
      <c r="AO1316" s="829" t="str">
        <f t="shared" si="284"/>
        <v>Yes</v>
      </c>
      <c r="AP1316" s="259" t="str">
        <f t="shared" si="285"/>
        <v>OCT 22</v>
      </c>
      <c r="AQ1316" s="547" t="str">
        <f t="shared" si="286"/>
        <v>有定金+有預留客戶</v>
      </c>
      <c r="AR1316" s="259" t="str">
        <f t="shared" si="287"/>
        <v>Shipped_Stock</v>
      </c>
      <c r="AS1316" s="259" t="str">
        <f t="shared" si="288"/>
        <v/>
      </c>
      <c r="AT1316" s="259" t="str">
        <f t="shared" si="289"/>
        <v>朗特</v>
      </c>
      <c r="AU1316" s="259" t="str">
        <f t="shared" si="290"/>
        <v>C49SZX20220107DZ</v>
      </c>
      <c r="AV1316" s="259" t="str">
        <f t="shared" si="291"/>
        <v>Aug-22</v>
      </c>
    </row>
    <row r="1317" spans="1:48" hidden="1">
      <c r="A1317" s="604">
        <v>1519</v>
      </c>
      <c r="B1317" s="669" t="s">
        <v>1125</v>
      </c>
      <c r="C1317" s="669" t="s">
        <v>281</v>
      </c>
      <c r="D1317" s="766">
        <v>110988</v>
      </c>
      <c r="E1317" s="651" t="s">
        <v>2553</v>
      </c>
      <c r="F1317" s="652" t="s">
        <v>58</v>
      </c>
      <c r="G1317" s="652" t="s">
        <v>24</v>
      </c>
      <c r="H1317" s="652" t="s">
        <v>26</v>
      </c>
      <c r="I1317" s="580" t="s">
        <v>2554</v>
      </c>
      <c r="J1317" s="580">
        <v>1</v>
      </c>
      <c r="K1317" s="652" t="s">
        <v>85</v>
      </c>
      <c r="L1317" s="662">
        <v>44795</v>
      </c>
      <c r="M1317" s="722"/>
      <c r="N1317" s="652" t="s">
        <v>219</v>
      </c>
      <c r="O1317" s="580">
        <v>2022.7</v>
      </c>
      <c r="P1317" s="670" t="str">
        <f>VLOOKUP(A1317,'[1]Raw data'!$B:$BA,23,FALSE)</f>
        <v>JPY</v>
      </c>
      <c r="Q1317" s="652" t="str">
        <f>VLOOKUP(A1317,'[1]Raw data'!$B:$Z,2,FALSE)</f>
        <v>C49SZX20210215MZ</v>
      </c>
      <c r="R1317" s="652" t="str">
        <f>VLOOKUP(A1317,'[1]Raw data'!$B:$Z,3,FALSE)</f>
        <v>魔乐视</v>
      </c>
      <c r="S1317" s="652" t="str">
        <f>VLOOKUP(A1317,'[1]Raw data'!$B:$Z,4,FALSE)</f>
        <v>YSM20R-2</v>
      </c>
      <c r="T1317" s="652" t="str">
        <f>VLOOKUP(A1317,'[1]Raw data'!$B:$Z,8,FALSE)</f>
        <v>L-&gt;R</v>
      </c>
      <c r="U1317" s="652" t="str">
        <f>VLOOKUP(A1317,'[1]Raw data'!$B:$Z,9,FALSE)</f>
        <v>No</v>
      </c>
      <c r="V1317" s="572" t="str">
        <f t="shared" si="299"/>
        <v>OK</v>
      </c>
      <c r="W1317" s="568" t="str">
        <f>VLOOKUP(A1317,'[1]Raw data'!$B:$AG,32,FALSE)</f>
        <v>DAP SZ</v>
      </c>
      <c r="X1317" s="652">
        <f>VLOOKUP(A1317,'[1]Raw data'!$B:$BA,31,FALSE)</f>
        <v>44540</v>
      </c>
      <c r="Y1317" s="652" t="str">
        <f>VLOOKUP(A1317,'[1]Raw data'!$B:$AS,39,FALSE)</f>
        <v>Yes</v>
      </c>
      <c r="Z1317" s="664"/>
      <c r="AA1317" s="665"/>
      <c r="AB1317" s="666"/>
      <c r="AC1317" s="652" t="s">
        <v>2011</v>
      </c>
      <c r="AD1317" s="580">
        <v>311</v>
      </c>
      <c r="AE1317" s="580">
        <v>20</v>
      </c>
      <c r="AF1317" s="580"/>
      <c r="AG1317" s="580"/>
      <c r="AH1317" s="580"/>
      <c r="AI1317" s="684"/>
      <c r="AJ1317" s="569"/>
      <c r="AK1317" s="569"/>
      <c r="AL1317" s="569"/>
      <c r="AM1317" s="569"/>
      <c r="AN1317" s="619"/>
      <c r="AO1317" s="829" t="str">
        <f t="shared" si="284"/>
        <v>Yes</v>
      </c>
      <c r="AP1317" s="259" t="str">
        <f t="shared" si="285"/>
        <v>SEP 22</v>
      </c>
      <c r="AQ1317" s="547" t="str">
        <f t="shared" si="286"/>
        <v>有定金+有預留客戶</v>
      </c>
      <c r="AR1317" s="259" t="str">
        <f t="shared" si="287"/>
        <v>Shipped_Stock</v>
      </c>
      <c r="AS1317" s="259" t="str">
        <f t="shared" si="288"/>
        <v/>
      </c>
      <c r="AT1317" s="259" t="str">
        <f t="shared" si="289"/>
        <v>魔乐视</v>
      </c>
      <c r="AU1317" s="259" t="str">
        <f t="shared" si="290"/>
        <v>C49SZX20210215MZ</v>
      </c>
      <c r="AV1317" s="259" t="str">
        <f t="shared" si="291"/>
        <v>Aug-22</v>
      </c>
    </row>
    <row r="1318" spans="1:48" hidden="1">
      <c r="A1318" s="604">
        <v>1640</v>
      </c>
      <c r="B1318" s="669" t="s">
        <v>1125</v>
      </c>
      <c r="C1318" s="669" t="s">
        <v>281</v>
      </c>
      <c r="D1318" s="760">
        <v>110988</v>
      </c>
      <c r="E1318" s="651" t="s">
        <v>2553</v>
      </c>
      <c r="F1318" s="652" t="s">
        <v>58</v>
      </c>
      <c r="G1318" s="652" t="s">
        <v>24</v>
      </c>
      <c r="H1318" s="652" t="s">
        <v>26</v>
      </c>
      <c r="I1318" s="580" t="s">
        <v>2555</v>
      </c>
      <c r="J1318" s="580">
        <v>1</v>
      </c>
      <c r="K1318" s="652" t="s">
        <v>78</v>
      </c>
      <c r="L1318" s="662">
        <v>44795</v>
      </c>
      <c r="M1318" s="722" t="s">
        <v>906</v>
      </c>
      <c r="N1318" s="652" t="s">
        <v>215</v>
      </c>
      <c r="O1318" s="580">
        <v>2022.7</v>
      </c>
      <c r="P1318" s="670" t="str">
        <f>VLOOKUP(A1318,'[1]Raw data'!$B:$BA,23,FALSE)</f>
        <v>JPY</v>
      </c>
      <c r="Q1318" s="652" t="str">
        <f>VLOOKUP(A1318,'[1]Raw data'!$B:$Z,2,FALSE)</f>
        <v>C49SZX20220124JL</v>
      </c>
      <c r="R1318" s="652" t="str">
        <f>VLOOKUP(A1318,'[1]Raw data'!$B:$Z,3,FALSE)</f>
        <v>金睿通</v>
      </c>
      <c r="S1318" s="652" t="str">
        <f>VLOOKUP(A1318,'[1]Raw data'!$B:$Z,4,FALSE)</f>
        <v>YSM20R-2</v>
      </c>
      <c r="T1318" s="652" t="str">
        <f>VLOOKUP(A1318,'[1]Raw data'!$B:$Z,8,FALSE)</f>
        <v>L-&gt;R</v>
      </c>
      <c r="U1318" s="652" t="str">
        <f>VLOOKUP(A1318,'[1]Raw data'!$B:$Z,9,FALSE)</f>
        <v>No</v>
      </c>
      <c r="V1318" s="572" t="str">
        <f t="shared" si="299"/>
        <v>OK</v>
      </c>
      <c r="W1318" s="568" t="str">
        <f>VLOOKUP(A1318,'[1]Raw data'!$B:$AG,32,FALSE)</f>
        <v>CIF HK</v>
      </c>
      <c r="X1318" s="652">
        <f>VLOOKUP(A1318,'[1]Raw data'!$B:$BA,31,FALSE)</f>
        <v>44895</v>
      </c>
      <c r="Y1318" s="652" t="str">
        <f>VLOOKUP(A1318,'[1]Raw data'!$B:$AS,39,FALSE)</f>
        <v>Yes</v>
      </c>
      <c r="Z1318" s="671"/>
      <c r="AA1318" s="665"/>
      <c r="AB1318" s="666"/>
      <c r="AC1318" s="652" t="s">
        <v>2556</v>
      </c>
      <c r="AD1318" s="580">
        <v>311</v>
      </c>
      <c r="AE1318" s="580">
        <v>20</v>
      </c>
      <c r="AF1318" s="580"/>
      <c r="AG1318" s="580"/>
      <c r="AH1318" s="580"/>
      <c r="AI1318" s="684"/>
      <c r="AJ1318" s="569"/>
      <c r="AK1318" s="569"/>
      <c r="AL1318" s="569"/>
      <c r="AM1318" s="569"/>
      <c r="AN1318" s="619"/>
      <c r="AO1318" s="829" t="str">
        <f t="shared" si="284"/>
        <v>Yes</v>
      </c>
      <c r="AP1318" s="259" t="str">
        <f t="shared" si="285"/>
        <v>JAN 23</v>
      </c>
      <c r="AQ1318" s="547" t="str">
        <f t="shared" si="286"/>
        <v>有定金+有預留客戶</v>
      </c>
      <c r="AR1318" s="259" t="str">
        <f t="shared" si="287"/>
        <v>Shipped_Stock</v>
      </c>
      <c r="AS1318" s="259" t="str">
        <f t="shared" si="288"/>
        <v/>
      </c>
      <c r="AT1318" s="259" t="str">
        <f t="shared" si="289"/>
        <v>金睿通</v>
      </c>
      <c r="AU1318" s="259" t="str">
        <f t="shared" si="290"/>
        <v>C49SZX20220124JL</v>
      </c>
      <c r="AV1318" s="259" t="str">
        <f t="shared" si="291"/>
        <v>Aug-22</v>
      </c>
    </row>
    <row r="1319" spans="1:48" hidden="1">
      <c r="A1319" s="604">
        <v>1733</v>
      </c>
      <c r="B1319" s="669" t="s">
        <v>1125</v>
      </c>
      <c r="C1319" s="669" t="s">
        <v>281</v>
      </c>
      <c r="D1319" s="760">
        <v>110990</v>
      </c>
      <c r="E1319" s="651" t="s">
        <v>2557</v>
      </c>
      <c r="F1319" s="652" t="s">
        <v>58</v>
      </c>
      <c r="G1319" s="652" t="s">
        <v>24</v>
      </c>
      <c r="H1319" s="652" t="s">
        <v>26</v>
      </c>
      <c r="I1319" s="580" t="s">
        <v>2558</v>
      </c>
      <c r="J1319" s="580">
        <v>1</v>
      </c>
      <c r="K1319" s="652" t="s">
        <v>1419</v>
      </c>
      <c r="L1319" s="662">
        <v>44795</v>
      </c>
      <c r="M1319" s="722" t="s">
        <v>906</v>
      </c>
      <c r="N1319" s="652" t="s">
        <v>219</v>
      </c>
      <c r="O1319" s="580">
        <v>2022.7</v>
      </c>
      <c r="P1319" s="670" t="str">
        <f>VLOOKUP(A1319,'[1]Raw data'!$B:$BA,23,FALSE)</f>
        <v>RMB</v>
      </c>
      <c r="Q1319" s="652" t="str">
        <f>VLOOKUP(A1319,'[1]Raw data'!$B:$Z,2,FALSE)</f>
        <v>C49SZX20220102DZ</v>
      </c>
      <c r="R1319" s="652" t="str">
        <f>VLOOKUP(A1319,'[1]Raw data'!$B:$Z,3,FALSE)</f>
        <v>朗特</v>
      </c>
      <c r="S1319" s="652" t="str">
        <f>VLOOKUP(A1319,'[1]Raw data'!$B:$Z,4,FALSE)</f>
        <v>YSM20R-2</v>
      </c>
      <c r="T1319" s="652" t="str">
        <f>VLOOKUP(A1319,'[1]Raw data'!$B:$Z,8,FALSE)</f>
        <v>L-&gt;R</v>
      </c>
      <c r="U1319" s="652" t="str">
        <f>VLOOKUP(A1319,'[1]Raw data'!$B:$Z,9,FALSE)</f>
        <v>No</v>
      </c>
      <c r="V1319" s="572" t="str">
        <f>IF(G1319&amp;H1319=T1319&amp;U1319,"OK","WRONG")</f>
        <v>OK</v>
      </c>
      <c r="W1319" s="568" t="str">
        <f>VLOOKUP(A1319,'[1]Raw data'!$B:$AG,32,FALSE)</f>
        <v>DDP JX</v>
      </c>
      <c r="X1319" s="652">
        <f>VLOOKUP(A1319,'[1]Raw data'!$B:$BA,31,FALSE)</f>
        <v>44834</v>
      </c>
      <c r="Y1319" s="652" t="str">
        <f>VLOOKUP(A1319,'[1]Raw data'!$B:$AS,39,FALSE)</f>
        <v>Yes</v>
      </c>
      <c r="Z1319" s="664"/>
      <c r="AA1319" s="665"/>
      <c r="AB1319" s="666"/>
      <c r="AC1319" s="652" t="s">
        <v>933</v>
      </c>
      <c r="AD1319" s="580">
        <v>312</v>
      </c>
      <c r="AE1319" s="580">
        <v>20</v>
      </c>
      <c r="AF1319" s="580"/>
      <c r="AG1319" s="580"/>
      <c r="AH1319" s="580"/>
      <c r="AI1319" s="684"/>
      <c r="AJ1319" s="569"/>
      <c r="AK1319" s="569"/>
      <c r="AL1319" s="569"/>
      <c r="AM1319" s="569"/>
      <c r="AN1319" s="619"/>
      <c r="AO1319" s="829" t="str">
        <f t="shared" si="284"/>
        <v>Yes</v>
      </c>
      <c r="AP1319" s="259" t="str">
        <f t="shared" si="285"/>
        <v>SEP 22</v>
      </c>
      <c r="AQ1319" s="547" t="str">
        <f t="shared" si="286"/>
        <v>有定金+有預留客戶</v>
      </c>
      <c r="AR1319" s="259" t="str">
        <f t="shared" si="287"/>
        <v>Shipped_Stock</v>
      </c>
      <c r="AS1319" s="259" t="str">
        <f t="shared" si="288"/>
        <v/>
      </c>
      <c r="AT1319" s="259" t="str">
        <f t="shared" si="289"/>
        <v>朗特</v>
      </c>
      <c r="AU1319" s="259" t="str">
        <f t="shared" si="290"/>
        <v>C49SZX20220102DZ</v>
      </c>
      <c r="AV1319" s="259" t="str">
        <f t="shared" si="291"/>
        <v>Aug-22</v>
      </c>
    </row>
    <row r="1320" spans="1:48" hidden="1">
      <c r="A1320" s="604">
        <v>1732</v>
      </c>
      <c r="B1320" s="669" t="s">
        <v>1125</v>
      </c>
      <c r="C1320" s="669" t="s">
        <v>281</v>
      </c>
      <c r="D1320" s="760">
        <v>110990</v>
      </c>
      <c r="E1320" s="761" t="s">
        <v>2559</v>
      </c>
      <c r="F1320" s="652" t="s">
        <v>58</v>
      </c>
      <c r="G1320" s="652" t="s">
        <v>24</v>
      </c>
      <c r="H1320" s="652" t="s">
        <v>26</v>
      </c>
      <c r="I1320" s="580" t="s">
        <v>2560</v>
      </c>
      <c r="J1320" s="580">
        <v>1</v>
      </c>
      <c r="K1320" s="652" t="s">
        <v>85</v>
      </c>
      <c r="L1320" s="662">
        <v>44795</v>
      </c>
      <c r="M1320" s="722" t="s">
        <v>906</v>
      </c>
      <c r="N1320" s="652" t="s">
        <v>205</v>
      </c>
      <c r="O1320" s="580">
        <v>2022.7</v>
      </c>
      <c r="P1320" s="670" t="str">
        <f>VLOOKUP(A1320,'[1]Raw data'!$B:$BA,23,FALSE)</f>
        <v>RMB</v>
      </c>
      <c r="Q1320" s="652" t="str">
        <f>VLOOKUP(A1320,'[1]Raw data'!$B:$Z,2,FALSE)</f>
        <v>C49SZX20220098MZ</v>
      </c>
      <c r="R1320" s="652" t="str">
        <f>VLOOKUP(A1320,'[1]Raw data'!$B:$Z,3,FALSE)</f>
        <v>河南融创</v>
      </c>
      <c r="S1320" s="652" t="str">
        <f>VLOOKUP(A1320,'[1]Raw data'!$B:$Z,4,FALSE)</f>
        <v>YSM20R-2</v>
      </c>
      <c r="T1320" s="652" t="str">
        <f>VLOOKUP(A1320,'[1]Raw data'!$B:$Z,8,FALSE)</f>
        <v>L-&gt;R</v>
      </c>
      <c r="U1320" s="652" t="str">
        <f>VLOOKUP(A1320,'[1]Raw data'!$B:$Z,9,FALSE)</f>
        <v>No</v>
      </c>
      <c r="V1320" s="572" t="str">
        <f>IF(G1320&amp;H1320=T1320&amp;U1320,"OK","WRONG")</f>
        <v>OK</v>
      </c>
      <c r="W1320" s="568" t="str">
        <f>VLOOKUP(A1320,'[1]Raw data'!$B:$AG,32,FALSE)</f>
        <v>DDP HN</v>
      </c>
      <c r="X1320" s="652">
        <f>VLOOKUP(A1320,'[1]Raw data'!$B:$BA,31,FALSE)</f>
        <v>44827</v>
      </c>
      <c r="Y1320" s="652" t="str">
        <f>VLOOKUP(A1320,'[1]Raw data'!$B:$AS,39,FALSE)</f>
        <v>Yes</v>
      </c>
      <c r="Z1320" s="671"/>
      <c r="AA1320" s="665"/>
      <c r="AB1320" s="666"/>
      <c r="AC1320" s="652" t="s">
        <v>2430</v>
      </c>
      <c r="AD1320" s="580">
        <v>312</v>
      </c>
      <c r="AE1320" s="580">
        <v>20</v>
      </c>
      <c r="AF1320" s="580"/>
      <c r="AG1320" s="580"/>
      <c r="AH1320" s="580"/>
      <c r="AI1320" s="684"/>
      <c r="AJ1320" s="569"/>
      <c r="AK1320" s="569"/>
      <c r="AL1320" s="569"/>
      <c r="AM1320" s="569"/>
      <c r="AN1320" s="619"/>
      <c r="AO1320" s="829" t="str">
        <f t="shared" si="284"/>
        <v>Yes</v>
      </c>
      <c r="AP1320" s="259" t="str">
        <f t="shared" si="285"/>
        <v>OCT 22</v>
      </c>
      <c r="AQ1320" s="547" t="str">
        <f t="shared" si="286"/>
        <v>有定金+有預留客戶</v>
      </c>
      <c r="AR1320" s="259" t="str">
        <f t="shared" si="287"/>
        <v>Shipped_Stock</v>
      </c>
      <c r="AS1320" s="259" t="str">
        <f t="shared" si="288"/>
        <v/>
      </c>
      <c r="AT1320" s="259" t="str">
        <f t="shared" si="289"/>
        <v>河南融创</v>
      </c>
      <c r="AU1320" s="259" t="str">
        <f t="shared" si="290"/>
        <v>C49SZX20220098MZ</v>
      </c>
      <c r="AV1320" s="259" t="str">
        <f t="shared" si="291"/>
        <v>Aug-22</v>
      </c>
    </row>
    <row r="1321" spans="1:48" ht="13.5" hidden="1" thickBot="1">
      <c r="A1321" s="564">
        <v>1851</v>
      </c>
      <c r="B1321" s="669" t="s">
        <v>1125</v>
      </c>
      <c r="C1321" s="669" t="s">
        <v>281</v>
      </c>
      <c r="D1321" s="629">
        <v>111001</v>
      </c>
      <c r="E1321" s="749" t="s">
        <v>2561</v>
      </c>
      <c r="F1321" s="652" t="s">
        <v>17</v>
      </c>
      <c r="G1321" s="652" t="s">
        <v>18</v>
      </c>
      <c r="H1321" s="652" t="s">
        <v>27</v>
      </c>
      <c r="I1321" s="580" t="s">
        <v>2562</v>
      </c>
      <c r="J1321" s="580">
        <v>1</v>
      </c>
      <c r="K1321" s="652" t="s">
        <v>1419</v>
      </c>
      <c r="L1321" s="662">
        <v>44795</v>
      </c>
      <c r="M1321" s="722" t="s">
        <v>906</v>
      </c>
      <c r="N1321" s="652" t="s">
        <v>216</v>
      </c>
      <c r="O1321" s="580">
        <v>2022.7</v>
      </c>
      <c r="P1321" s="670" t="str">
        <f>VLOOKUP(A1321,'[1]Raw data'!$B:$BA,23,FALSE)</f>
        <v>RMB</v>
      </c>
      <c r="Q1321" s="652" t="str">
        <f>VLOOKUP(A1321,'[1]Raw data'!$B:$Z,2,FALSE)</f>
        <v>C49SZX20230025DZ</v>
      </c>
      <c r="R1321" s="652" t="str">
        <f>VLOOKUP(A1321,'[1]Raw data'!$B:$Z,3,FALSE)</f>
        <v>兆晖</v>
      </c>
      <c r="S1321" s="652" t="str">
        <f>VLOOKUP(A1321,'[1]Raw data'!$B:$Z,4,FALSE)</f>
        <v>YSM10</v>
      </c>
      <c r="T1321" s="652" t="str">
        <f>VLOOKUP(A1321,'[1]Raw data'!$B:$Z,8,FALSE)</f>
        <v>R-&gt;L</v>
      </c>
      <c r="U1321" s="652" t="str">
        <f>VLOOKUP(A1321,'[1]Raw data'!$B:$Z,9,FALSE)</f>
        <v>MVC</v>
      </c>
      <c r="V1321" s="572" t="str">
        <f t="shared" ref="V1321:V1324" si="300">IF(G1321&amp;H1321=T1321&amp;U1321,"OK","WRONG")</f>
        <v>OK</v>
      </c>
      <c r="W1321" s="568" t="str">
        <f>VLOOKUP(A1321,'[1]Raw data'!$B:$AG,32,FALSE)</f>
        <v>DDP SZ</v>
      </c>
      <c r="X1321" s="652">
        <f>VLOOKUP(A1321,'[1]Raw data'!$B:$BA,31,FALSE)</f>
        <v>44979</v>
      </c>
      <c r="Y1321" s="652" t="str">
        <f>VLOOKUP(A1321,'[1]Raw data'!$B:$AS,39,FALSE)</f>
        <v>Yes</v>
      </c>
      <c r="Z1321" s="664"/>
      <c r="AA1321" s="665"/>
      <c r="AB1321" s="666"/>
      <c r="AC1321" s="652" t="s">
        <v>2563</v>
      </c>
      <c r="AD1321" s="667">
        <v>301</v>
      </c>
      <c r="AE1321" s="667">
        <v>5</v>
      </c>
      <c r="AF1321" s="667">
        <v>302</v>
      </c>
      <c r="AG1321" s="667">
        <v>5</v>
      </c>
      <c r="AH1321" s="667"/>
      <c r="AI1321" s="668"/>
      <c r="AN1321" s="547"/>
      <c r="AO1321" s="829" t="str">
        <f t="shared" si="284"/>
        <v>Yes</v>
      </c>
      <c r="AP1321" s="259" t="str">
        <f t="shared" si="285"/>
        <v>MAR 23</v>
      </c>
      <c r="AQ1321" s="547" t="str">
        <f t="shared" si="286"/>
        <v>有定金+有預留客戶</v>
      </c>
      <c r="AR1321" s="259" t="str">
        <f t="shared" si="287"/>
        <v>Shipped_Stock</v>
      </c>
      <c r="AS1321" s="259" t="str">
        <f t="shared" si="288"/>
        <v/>
      </c>
      <c r="AT1321" s="259" t="str">
        <f t="shared" si="289"/>
        <v>兆晖</v>
      </c>
      <c r="AU1321" s="259" t="str">
        <f t="shared" si="290"/>
        <v>C49SZX20230025DZ</v>
      </c>
      <c r="AV1321" s="259" t="str">
        <f t="shared" si="291"/>
        <v>Aug-22</v>
      </c>
    </row>
    <row r="1322" spans="1:48" hidden="1">
      <c r="A1322" s="604">
        <v>1748</v>
      </c>
      <c r="B1322" s="669" t="s">
        <v>1125</v>
      </c>
      <c r="C1322" s="669" t="s">
        <v>281</v>
      </c>
      <c r="D1322" s="766">
        <v>111002</v>
      </c>
      <c r="E1322" s="749" t="s">
        <v>2561</v>
      </c>
      <c r="F1322" s="652" t="s">
        <v>17</v>
      </c>
      <c r="G1322" s="652" t="s">
        <v>18</v>
      </c>
      <c r="H1322" s="652" t="s">
        <v>27</v>
      </c>
      <c r="I1322" s="580" t="s">
        <v>2564</v>
      </c>
      <c r="J1322" s="580">
        <v>1</v>
      </c>
      <c r="K1322" s="652" t="s">
        <v>85</v>
      </c>
      <c r="L1322" s="662">
        <v>44795</v>
      </c>
      <c r="M1322" s="722" t="s">
        <v>906</v>
      </c>
      <c r="N1322" s="652" t="s">
        <v>205</v>
      </c>
      <c r="O1322" s="580">
        <v>2022.7</v>
      </c>
      <c r="P1322" s="670" t="str">
        <f>VLOOKUP(A1322,'[1]Raw data'!$B:$BA,23,FALSE)</f>
        <v>JPY</v>
      </c>
      <c r="Q1322" s="652" t="str">
        <f>VLOOKUP(A1322,'[1]Raw data'!$B:$Z,2,FALSE)</f>
        <v>C49SZX20220103SS</v>
      </c>
      <c r="R1322" s="769" t="s">
        <v>2449</v>
      </c>
      <c r="S1322" s="652" t="str">
        <f>VLOOKUP(A1322,'[1]Raw data'!$B:$Z,4,FALSE)</f>
        <v>YSM10</v>
      </c>
      <c r="T1322" s="652" t="str">
        <f>VLOOKUP(A1322,'[1]Raw data'!$B:$Z,8,FALSE)</f>
        <v>L-&gt;R</v>
      </c>
      <c r="U1322" s="652" t="str">
        <f>VLOOKUP(A1322,'[1]Raw data'!$B:$Z,9,FALSE)</f>
        <v>MVC</v>
      </c>
      <c r="V1322" s="572" t="str">
        <f t="shared" si="300"/>
        <v>WRONG</v>
      </c>
      <c r="W1322" s="568" t="str">
        <f>VLOOKUP(A1322,'[1]Raw data'!$B:$AG,32,FALSE)</f>
        <v>DAP CS</v>
      </c>
      <c r="X1322" s="652">
        <f>VLOOKUP(A1322,'[1]Raw data'!$B:$BA,31,FALSE)</f>
        <v>44846</v>
      </c>
      <c r="Y1322" s="652" t="str">
        <f>VLOOKUP(A1322,'[1]Raw data'!$B:$AS,39,FALSE)</f>
        <v>Yes</v>
      </c>
      <c r="Z1322" s="671"/>
      <c r="AA1322" s="665"/>
      <c r="AB1322" s="666"/>
      <c r="AC1322" s="652" t="s">
        <v>2450</v>
      </c>
      <c r="AD1322" s="580">
        <v>301</v>
      </c>
      <c r="AE1322" s="580">
        <v>5</v>
      </c>
      <c r="AF1322" s="580">
        <v>302</v>
      </c>
      <c r="AG1322" s="580">
        <v>5</v>
      </c>
      <c r="AH1322" s="580"/>
      <c r="AI1322" s="684"/>
      <c r="AJ1322" s="569"/>
      <c r="AK1322" s="569"/>
      <c r="AL1322" s="569"/>
      <c r="AM1322" s="569"/>
      <c r="AN1322" s="619"/>
      <c r="AO1322" s="829" t="str">
        <f t="shared" si="284"/>
        <v>Yes</v>
      </c>
      <c r="AP1322" s="259" t="str">
        <f t="shared" si="285"/>
        <v>OCT 22</v>
      </c>
      <c r="AQ1322" s="547" t="str">
        <f t="shared" si="286"/>
        <v>有定金+有預留客戶</v>
      </c>
      <c r="AR1322" s="259" t="str">
        <f t="shared" si="287"/>
        <v>Shipped_Stock</v>
      </c>
      <c r="AS1322" s="259" t="str">
        <f t="shared" si="288"/>
        <v/>
      </c>
      <c r="AT1322" s="259" t="str">
        <f t="shared" si="289"/>
        <v>银杏（虽然机器安装在银杏，但是给到Yamaha的资料都是三才）</v>
      </c>
      <c r="AU1322" s="259" t="str">
        <f t="shared" si="290"/>
        <v>C49SZX20220103SS</v>
      </c>
      <c r="AV1322" s="259" t="str">
        <f t="shared" si="291"/>
        <v>Aug-22</v>
      </c>
    </row>
    <row r="1323" spans="1:48" hidden="1">
      <c r="A1323" s="604">
        <v>1727</v>
      </c>
      <c r="B1323" s="669" t="s">
        <v>1125</v>
      </c>
      <c r="C1323" s="669" t="s">
        <v>281</v>
      </c>
      <c r="D1323" s="760">
        <v>111002</v>
      </c>
      <c r="E1323" s="749" t="s">
        <v>2565</v>
      </c>
      <c r="F1323" s="652" t="s">
        <v>17</v>
      </c>
      <c r="G1323" s="652" t="s">
        <v>18</v>
      </c>
      <c r="H1323" s="652" t="s">
        <v>27</v>
      </c>
      <c r="I1323" s="580" t="s">
        <v>2566</v>
      </c>
      <c r="J1323" s="580">
        <v>1</v>
      </c>
      <c r="K1323" s="652" t="s">
        <v>78</v>
      </c>
      <c r="L1323" s="662">
        <v>44795</v>
      </c>
      <c r="M1323" s="722" t="s">
        <v>906</v>
      </c>
      <c r="N1323" s="652" t="s">
        <v>208</v>
      </c>
      <c r="O1323" s="580">
        <v>2022.7</v>
      </c>
      <c r="P1323" s="670" t="str">
        <f>VLOOKUP(A1323,'[1]Raw data'!$B:$BA,23,FALSE)</f>
        <v>JPY</v>
      </c>
      <c r="Q1323" s="652" t="str">
        <f>VLOOKUP(A1323,'[1]Raw data'!$B:$Z,2,FALSE)</f>
        <v>159851(R2)-ELE</v>
      </c>
      <c r="R1323" s="652" t="str">
        <f>VLOOKUP(A1323,'[1]Raw data'!$B:$Z,3,FALSE)</f>
        <v>WKK</v>
      </c>
      <c r="S1323" s="652" t="str">
        <f>VLOOKUP(A1323,'[1]Raw data'!$B:$Z,4,FALSE)</f>
        <v>YSM10</v>
      </c>
      <c r="T1323" s="652" t="str">
        <f>VLOOKUP(A1323,'[1]Raw data'!$B:$Z,8,FALSE)</f>
        <v>L-&gt;R</v>
      </c>
      <c r="U1323" s="652" t="str">
        <f>VLOOKUP(A1323,'[1]Raw data'!$B:$Z,9,FALSE)</f>
        <v>MVC</v>
      </c>
      <c r="V1323" s="572" t="str">
        <f t="shared" si="300"/>
        <v>WRONG</v>
      </c>
      <c r="W1323" s="568" t="str">
        <f>VLOOKUP(A1323,'[1]Raw data'!$B:$AG,32,FALSE)</f>
        <v>CIF HK</v>
      </c>
      <c r="X1323" s="652">
        <f>VLOOKUP(A1323,'[1]Raw data'!$B:$BA,31,FALSE)</f>
        <v>44823</v>
      </c>
      <c r="Y1323" s="652" t="str">
        <f>VLOOKUP(A1323,'[1]Raw data'!$B:$AS,39,FALSE)</f>
        <v>Yes</v>
      </c>
      <c r="Z1323" s="671"/>
      <c r="AA1323" s="665"/>
      <c r="AB1323" s="666"/>
      <c r="AC1323" s="652" t="s">
        <v>2549</v>
      </c>
      <c r="AD1323" s="580">
        <v>301</v>
      </c>
      <c r="AE1323" s="580">
        <v>3</v>
      </c>
      <c r="AF1323" s="580">
        <v>302</v>
      </c>
      <c r="AG1323" s="580">
        <v>5</v>
      </c>
      <c r="AH1323" s="580">
        <v>303</v>
      </c>
      <c r="AI1323" s="684">
        <v>1</v>
      </c>
      <c r="AJ1323" s="580">
        <v>304</v>
      </c>
      <c r="AK1323" s="684">
        <v>1</v>
      </c>
      <c r="AL1323" s="569"/>
      <c r="AM1323" s="569"/>
      <c r="AN1323" s="619"/>
      <c r="AO1323" s="829" t="str">
        <f t="shared" si="284"/>
        <v>Yes</v>
      </c>
      <c r="AP1323" s="259" t="str">
        <f t="shared" si="285"/>
        <v>NOV 22</v>
      </c>
      <c r="AQ1323" s="547" t="str">
        <f t="shared" si="286"/>
        <v>有定金+有預留客戶</v>
      </c>
      <c r="AR1323" s="259" t="str">
        <f t="shared" si="287"/>
        <v>Shipped_Stock</v>
      </c>
      <c r="AS1323" s="259" t="str">
        <f t="shared" si="288"/>
        <v/>
      </c>
      <c r="AT1323" s="259" t="str">
        <f t="shared" si="289"/>
        <v>WKK</v>
      </c>
      <c r="AU1323" s="259" t="str">
        <f t="shared" si="290"/>
        <v>159851(R2)-ELE</v>
      </c>
      <c r="AV1323" s="259" t="str">
        <f t="shared" si="291"/>
        <v>Aug-22</v>
      </c>
    </row>
    <row r="1324" spans="1:48" hidden="1">
      <c r="A1324" s="604">
        <v>1726</v>
      </c>
      <c r="B1324" s="669" t="s">
        <v>1125</v>
      </c>
      <c r="C1324" s="669" t="s">
        <v>281</v>
      </c>
      <c r="D1324" s="760">
        <v>111001</v>
      </c>
      <c r="E1324" s="749" t="s">
        <v>2565</v>
      </c>
      <c r="F1324" s="652" t="s">
        <v>17</v>
      </c>
      <c r="G1324" s="652" t="s">
        <v>18</v>
      </c>
      <c r="H1324" s="652" t="s">
        <v>27</v>
      </c>
      <c r="I1324" s="580" t="s">
        <v>2567</v>
      </c>
      <c r="J1324" s="580">
        <v>1</v>
      </c>
      <c r="K1324" s="652" t="s">
        <v>78</v>
      </c>
      <c r="L1324" s="662">
        <v>44795</v>
      </c>
      <c r="M1324" s="722"/>
      <c r="N1324" s="652" t="s">
        <v>208</v>
      </c>
      <c r="O1324" s="580">
        <v>2022.7</v>
      </c>
      <c r="P1324" s="670" t="str">
        <f>VLOOKUP(A1324,'[1]Raw data'!$B:$BA,23,FALSE)</f>
        <v>JPY</v>
      </c>
      <c r="Q1324" s="652" t="str">
        <f>VLOOKUP(A1324,'[1]Raw data'!$B:$Z,2,FALSE)</f>
        <v>159851(R2)-ELE</v>
      </c>
      <c r="R1324" s="652" t="str">
        <f>VLOOKUP(A1324,'[1]Raw data'!$B:$Z,3,FALSE)</f>
        <v>WKK</v>
      </c>
      <c r="S1324" s="652" t="str">
        <f>VLOOKUP(A1324,'[1]Raw data'!$B:$Z,4,FALSE)</f>
        <v>YSM10</v>
      </c>
      <c r="T1324" s="652" t="str">
        <f>VLOOKUP(A1324,'[1]Raw data'!$B:$Z,8,FALSE)</f>
        <v>L-&gt;R</v>
      </c>
      <c r="U1324" s="652" t="str">
        <f>VLOOKUP(A1324,'[1]Raw data'!$B:$Z,9,FALSE)</f>
        <v>MVC</v>
      </c>
      <c r="V1324" s="572" t="str">
        <f t="shared" si="300"/>
        <v>WRONG</v>
      </c>
      <c r="W1324" s="568" t="str">
        <f>VLOOKUP(A1324,'[1]Raw data'!$B:$AG,32,FALSE)</f>
        <v>CIF HK</v>
      </c>
      <c r="X1324" s="652">
        <f>VLOOKUP(A1324,'[1]Raw data'!$B:$BA,31,FALSE)</f>
        <v>44823</v>
      </c>
      <c r="Y1324" s="652" t="str">
        <f>VLOOKUP(A1324,'[1]Raw data'!$B:$AS,39,FALSE)</f>
        <v>Yes</v>
      </c>
      <c r="Z1324" s="671"/>
      <c r="AA1324" s="665"/>
      <c r="AB1324" s="666"/>
      <c r="AC1324" s="652" t="s">
        <v>2549</v>
      </c>
      <c r="AD1324" s="580">
        <v>301</v>
      </c>
      <c r="AE1324" s="580">
        <v>3</v>
      </c>
      <c r="AF1324" s="580">
        <v>302</v>
      </c>
      <c r="AG1324" s="580">
        <v>5</v>
      </c>
      <c r="AH1324" s="580">
        <v>303</v>
      </c>
      <c r="AI1324" s="684">
        <v>1</v>
      </c>
      <c r="AJ1324" s="580">
        <v>304</v>
      </c>
      <c r="AK1324" s="684">
        <v>1</v>
      </c>
      <c r="AL1324" s="569"/>
      <c r="AM1324" s="569"/>
      <c r="AN1324" s="619"/>
      <c r="AO1324" s="829" t="str">
        <f t="shared" si="284"/>
        <v>Yes</v>
      </c>
      <c r="AP1324" s="259" t="str">
        <f t="shared" si="285"/>
        <v>NOV 22</v>
      </c>
      <c r="AQ1324" s="547" t="str">
        <f t="shared" si="286"/>
        <v>有定金+有預留客戶</v>
      </c>
      <c r="AR1324" s="259" t="str">
        <f t="shared" si="287"/>
        <v>Shipped_Stock</v>
      </c>
      <c r="AS1324" s="259" t="str">
        <f t="shared" si="288"/>
        <v/>
      </c>
      <c r="AT1324" s="259" t="str">
        <f t="shared" si="289"/>
        <v>WKK</v>
      </c>
      <c r="AU1324" s="259" t="str">
        <f t="shared" si="290"/>
        <v>159851(R2)-ELE</v>
      </c>
      <c r="AV1324" s="259" t="str">
        <f t="shared" si="291"/>
        <v>Aug-22</v>
      </c>
    </row>
    <row r="1325" spans="1:48" hidden="1">
      <c r="A1325" s="604">
        <v>1861</v>
      </c>
      <c r="B1325" s="669" t="s">
        <v>1125</v>
      </c>
      <c r="C1325" s="669" t="s">
        <v>281</v>
      </c>
      <c r="D1325" s="760">
        <v>111003</v>
      </c>
      <c r="E1325" s="749" t="s">
        <v>2568</v>
      </c>
      <c r="F1325" s="652" t="s">
        <v>17</v>
      </c>
      <c r="G1325" s="652" t="s">
        <v>18</v>
      </c>
      <c r="H1325" s="652" t="s">
        <v>27</v>
      </c>
      <c r="I1325" s="580" t="s">
        <v>2569</v>
      </c>
      <c r="J1325" s="580">
        <v>1</v>
      </c>
      <c r="K1325" s="652" t="s">
        <v>1419</v>
      </c>
      <c r="L1325" s="662">
        <v>44795</v>
      </c>
      <c r="M1325" s="722"/>
      <c r="N1325" s="652" t="s">
        <v>216</v>
      </c>
      <c r="O1325" s="580">
        <v>2022.7</v>
      </c>
      <c r="P1325" s="670" t="str">
        <f>VLOOKUP(A1325,'[1]Raw data'!$B:$BA,23,FALSE)</f>
        <v>RMB</v>
      </c>
      <c r="Q1325" s="652" t="str">
        <f>VLOOKUP(A1325,'[1]Raw data'!$B:$Z,2,FALSE)</f>
        <v>C49SZX20230031MZ</v>
      </c>
      <c r="R1325" s="652" t="str">
        <f>VLOOKUP(A1325,'[1]Raw data'!$B:$Z,3,FALSE)</f>
        <v>朗迅</v>
      </c>
      <c r="S1325" s="652" t="str">
        <f>VLOOKUP(A1325,'[1]Raw data'!$B:$Z,4,FALSE)</f>
        <v>YSM10</v>
      </c>
      <c r="T1325" s="652" t="str">
        <f>VLOOKUP(A1325,'[1]Raw data'!$B:$Z,8,FALSE)</f>
        <v>R-&gt;L</v>
      </c>
      <c r="U1325" s="652" t="str">
        <f>VLOOKUP(A1325,'[1]Raw data'!$B:$Z,9,FALSE)</f>
        <v>MVC</v>
      </c>
      <c r="V1325" s="572" t="str">
        <f>IF(G1325&amp;H1325=T1325&amp;U1325,"OK","WRONG")</f>
        <v>OK</v>
      </c>
      <c r="W1325" s="568" t="str">
        <f>VLOOKUP(A1325,'[1]Raw data'!$B:$AG,32,FALSE)</f>
        <v>DDP  HZ</v>
      </c>
      <c r="X1325" s="652">
        <f>VLOOKUP(A1325,'[1]Raw data'!$B:$BA,31,FALSE)</f>
        <v>44985</v>
      </c>
      <c r="Y1325" s="652" t="str">
        <f>VLOOKUP(A1325,'[1]Raw data'!$B:$AS,39,FALSE)</f>
        <v>Yes</v>
      </c>
      <c r="Z1325" s="664"/>
      <c r="AA1325" s="665"/>
      <c r="AB1325" s="666"/>
      <c r="AC1325" s="652" t="s">
        <v>2570</v>
      </c>
      <c r="AD1325" s="580">
        <v>302</v>
      </c>
      <c r="AE1325" s="580">
        <v>5</v>
      </c>
      <c r="AF1325" s="580">
        <v>304</v>
      </c>
      <c r="AG1325" s="580">
        <v>5</v>
      </c>
      <c r="AH1325" s="580"/>
      <c r="AI1325" s="684"/>
      <c r="AJ1325" s="569"/>
      <c r="AK1325" s="569"/>
      <c r="AL1325" s="569"/>
      <c r="AM1325" s="569"/>
      <c r="AN1325" s="619"/>
      <c r="AO1325" s="829" t="str">
        <f t="shared" si="284"/>
        <v>Yes</v>
      </c>
      <c r="AP1325" s="259" t="str">
        <f t="shared" si="285"/>
        <v>MAR 23</v>
      </c>
      <c r="AQ1325" s="547" t="str">
        <f t="shared" si="286"/>
        <v>有定金+有預留客戶</v>
      </c>
      <c r="AR1325" s="259" t="str">
        <f t="shared" si="287"/>
        <v>Shipped_Stock</v>
      </c>
      <c r="AS1325" s="259" t="str">
        <f t="shared" si="288"/>
        <v/>
      </c>
      <c r="AT1325" s="259" t="str">
        <f t="shared" si="289"/>
        <v>朗迅</v>
      </c>
      <c r="AU1325" s="259" t="str">
        <f t="shared" si="290"/>
        <v>C49SZX20230031MZ</v>
      </c>
      <c r="AV1325" s="259" t="str">
        <f t="shared" si="291"/>
        <v>Aug-22</v>
      </c>
    </row>
    <row r="1326" spans="1:48" ht="13.5" hidden="1" thickBot="1">
      <c r="A1326" s="604">
        <v>1862</v>
      </c>
      <c r="B1326" s="669" t="s">
        <v>1125</v>
      </c>
      <c r="C1326" s="669" t="s">
        <v>281</v>
      </c>
      <c r="D1326" s="629">
        <v>111003</v>
      </c>
      <c r="E1326" s="749" t="s">
        <v>2568</v>
      </c>
      <c r="F1326" s="652" t="s">
        <v>17</v>
      </c>
      <c r="G1326" s="652" t="s">
        <v>18</v>
      </c>
      <c r="H1326" s="652" t="s">
        <v>27</v>
      </c>
      <c r="I1326" s="580" t="s">
        <v>2571</v>
      </c>
      <c r="J1326" s="580">
        <v>1</v>
      </c>
      <c r="K1326" s="652" t="s">
        <v>1419</v>
      </c>
      <c r="L1326" s="662">
        <v>44795</v>
      </c>
      <c r="M1326" s="722" t="s">
        <v>906</v>
      </c>
      <c r="N1326" s="652" t="s">
        <v>216</v>
      </c>
      <c r="O1326" s="580">
        <v>2022.7</v>
      </c>
      <c r="P1326" s="670" t="str">
        <f>VLOOKUP(A1326,'[1]Raw data'!$B:$BA,23,FALSE)</f>
        <v>RMB</v>
      </c>
      <c r="Q1326" s="652" t="str">
        <f>VLOOKUP(A1326,'[1]Raw data'!$B:$Z,2,FALSE)</f>
        <v>C49SZX20230031MZ</v>
      </c>
      <c r="R1326" s="652" t="str">
        <f>VLOOKUP(A1326,'[1]Raw data'!$B:$Z,3,FALSE)</f>
        <v>朗迅</v>
      </c>
      <c r="S1326" s="652" t="str">
        <f>VLOOKUP(A1326,'[1]Raw data'!$B:$Z,4,FALSE)</f>
        <v>YSM10</v>
      </c>
      <c r="T1326" s="652" t="str">
        <f>VLOOKUP(A1326,'[1]Raw data'!$B:$Z,8,FALSE)</f>
        <v>L-&gt;R</v>
      </c>
      <c r="U1326" s="652" t="str">
        <f>VLOOKUP(A1326,'[1]Raw data'!$B:$Z,9,FALSE)</f>
        <v>MVC</v>
      </c>
      <c r="V1326" s="572" t="str">
        <f>IF(G1326&amp;H1326=T1326&amp;U1326,"OK","WRONG")</f>
        <v>WRONG</v>
      </c>
      <c r="W1326" s="568" t="str">
        <f>VLOOKUP(A1326,'[1]Raw data'!$B:$AG,32,FALSE)</f>
        <v>DDP  HZ</v>
      </c>
      <c r="X1326" s="652">
        <f>VLOOKUP(A1326,'[1]Raw data'!$B:$BA,31,FALSE)</f>
        <v>44985</v>
      </c>
      <c r="Y1326" s="652" t="str">
        <f>VLOOKUP(A1326,'[1]Raw data'!$B:$AS,39,FALSE)</f>
        <v>Yes</v>
      </c>
      <c r="Z1326" s="664"/>
      <c r="AA1326" s="665"/>
      <c r="AB1326" s="666"/>
      <c r="AC1326" s="652" t="s">
        <v>2570</v>
      </c>
      <c r="AD1326" s="580">
        <v>302</v>
      </c>
      <c r="AE1326" s="580">
        <v>5</v>
      </c>
      <c r="AF1326" s="580">
        <v>304</v>
      </c>
      <c r="AG1326" s="580">
        <v>5</v>
      </c>
      <c r="AH1326" s="580"/>
      <c r="AI1326" s="684"/>
      <c r="AJ1326" s="569"/>
      <c r="AK1326" s="569"/>
      <c r="AL1326" s="569"/>
      <c r="AM1326" s="569"/>
      <c r="AN1326" s="619"/>
      <c r="AO1326" s="829" t="str">
        <f t="shared" si="284"/>
        <v>Yes</v>
      </c>
      <c r="AP1326" s="259" t="str">
        <f t="shared" si="285"/>
        <v>MAR 23</v>
      </c>
      <c r="AQ1326" s="547" t="str">
        <f t="shared" si="286"/>
        <v>有定金+有預留客戶</v>
      </c>
      <c r="AR1326" s="259" t="str">
        <f t="shared" si="287"/>
        <v>Shipped_Stock</v>
      </c>
      <c r="AS1326" s="259" t="str">
        <f t="shared" si="288"/>
        <v/>
      </c>
      <c r="AT1326" s="259" t="str">
        <f t="shared" si="289"/>
        <v>朗迅</v>
      </c>
      <c r="AU1326" s="259" t="str">
        <f t="shared" si="290"/>
        <v>C49SZX20230031MZ</v>
      </c>
      <c r="AV1326" s="259" t="str">
        <f t="shared" si="291"/>
        <v>Aug-22</v>
      </c>
    </row>
    <row r="1327" spans="1:48" hidden="1">
      <c r="A1327" s="604">
        <v>1675</v>
      </c>
      <c r="B1327" s="669" t="s">
        <v>1125</v>
      </c>
      <c r="C1327" s="669" t="s">
        <v>281</v>
      </c>
      <c r="D1327" s="766" t="s">
        <v>2572</v>
      </c>
      <c r="E1327" s="651" t="s">
        <v>2573</v>
      </c>
      <c r="F1327" s="652" t="s">
        <v>58</v>
      </c>
      <c r="G1327" s="652" t="s">
        <v>18</v>
      </c>
      <c r="H1327" s="652" t="s">
        <v>26</v>
      </c>
      <c r="I1327" s="580" t="s">
        <v>2574</v>
      </c>
      <c r="J1327" s="580">
        <v>1</v>
      </c>
      <c r="K1327" s="652" t="s">
        <v>85</v>
      </c>
      <c r="L1327" s="662">
        <v>44801</v>
      </c>
      <c r="M1327" s="722" t="s">
        <v>906</v>
      </c>
      <c r="N1327" s="652" t="s">
        <v>221</v>
      </c>
      <c r="O1327" s="580">
        <v>2022.7</v>
      </c>
      <c r="P1327" s="670" t="str">
        <f>VLOOKUP(A1327,'[1]Raw data'!$B:$BA,23,FALSE)</f>
        <v>JPY</v>
      </c>
      <c r="Q1327" s="652" t="str">
        <f>VLOOKUP(A1327,'[1]Raw data'!$B:$Z,2,FALSE)</f>
        <v>C49SZX20220059DY</v>
      </c>
      <c r="R1327" s="652" t="str">
        <f>VLOOKUP(A1327,'[1]Raw data'!$B:$Z,3,FALSE)</f>
        <v>朗迅</v>
      </c>
      <c r="S1327" s="652" t="str">
        <f>VLOOKUP(A1327,'[1]Raw data'!$B:$Z,4,FALSE)</f>
        <v>YSM20R-2</v>
      </c>
      <c r="T1327" s="652" t="str">
        <f>VLOOKUP(A1327,'[1]Raw data'!$B:$Z,8,FALSE)</f>
        <v>R-&gt;L</v>
      </c>
      <c r="U1327" s="652" t="str">
        <f>VLOOKUP(A1327,'[1]Raw data'!$B:$Z,9,FALSE)</f>
        <v>MVC</v>
      </c>
      <c r="V1327" s="572" t="str">
        <f t="shared" ref="V1327:V1328" si="301">IF(G1327&amp;H1327=T1327&amp;U1327,"OK","WRONG")</f>
        <v>WRONG</v>
      </c>
      <c r="W1327" s="568" t="str">
        <f>VLOOKUP(A1327,'[1]Raw data'!$B:$AG,32,FALSE)</f>
        <v>DAP HZ</v>
      </c>
      <c r="X1327" s="652">
        <f>VLOOKUP(A1327,'[1]Raw data'!$B:$BA,31,FALSE)</f>
        <v>44708</v>
      </c>
      <c r="Y1327" s="652" t="str">
        <f>VLOOKUP(A1327,'[1]Raw data'!$B:$AS,39,FALSE)</f>
        <v>Yes</v>
      </c>
      <c r="Z1327" s="664"/>
      <c r="AA1327" s="665"/>
      <c r="AB1327" s="666"/>
      <c r="AC1327" s="652" t="s">
        <v>1832</v>
      </c>
      <c r="AD1327" s="580">
        <v>301</v>
      </c>
      <c r="AE1327" s="580">
        <v>10</v>
      </c>
      <c r="AF1327" s="580">
        <v>302</v>
      </c>
      <c r="AG1327" s="580">
        <v>10</v>
      </c>
      <c r="AH1327" s="580"/>
      <c r="AI1327" s="684"/>
      <c r="AJ1327" s="569"/>
      <c r="AK1327" s="569"/>
      <c r="AL1327" s="569"/>
      <c r="AM1327" s="569"/>
      <c r="AN1327" s="619"/>
      <c r="AO1327" s="829" t="str">
        <f t="shared" si="284"/>
        <v>Yes</v>
      </c>
      <c r="AP1327" s="259" t="str">
        <f t="shared" si="285"/>
        <v>AUG 22</v>
      </c>
      <c r="AQ1327" s="547" t="str">
        <f t="shared" si="286"/>
        <v>有定金+有預留客戶</v>
      </c>
      <c r="AR1327" s="259" t="str">
        <f t="shared" si="287"/>
        <v>Shipped_Stock</v>
      </c>
      <c r="AS1327" s="259" t="str">
        <f t="shared" si="288"/>
        <v/>
      </c>
      <c r="AT1327" s="259" t="str">
        <f t="shared" si="289"/>
        <v>朗迅</v>
      </c>
      <c r="AU1327" s="259" t="str">
        <f t="shared" si="290"/>
        <v>C49SZX20220059DY</v>
      </c>
      <c r="AV1327" s="259" t="str">
        <f t="shared" si="291"/>
        <v>Aug-28</v>
      </c>
    </row>
    <row r="1328" spans="1:48" ht="13.5" hidden="1" thickBot="1">
      <c r="A1328" s="604">
        <v>1676</v>
      </c>
      <c r="B1328" s="669" t="s">
        <v>1125</v>
      </c>
      <c r="C1328" s="669" t="s">
        <v>281</v>
      </c>
      <c r="D1328" s="629" t="s">
        <v>2572</v>
      </c>
      <c r="E1328" s="651" t="s">
        <v>2573</v>
      </c>
      <c r="F1328" s="652" t="s">
        <v>58</v>
      </c>
      <c r="G1328" s="652" t="s">
        <v>18</v>
      </c>
      <c r="H1328" s="652" t="s">
        <v>26</v>
      </c>
      <c r="I1328" s="580" t="s">
        <v>2575</v>
      </c>
      <c r="J1328" s="580">
        <v>1</v>
      </c>
      <c r="K1328" s="652" t="s">
        <v>85</v>
      </c>
      <c r="L1328" s="662">
        <v>44801</v>
      </c>
      <c r="M1328" s="722" t="s">
        <v>906</v>
      </c>
      <c r="N1328" s="652" t="s">
        <v>221</v>
      </c>
      <c r="O1328" s="580">
        <v>2022.7</v>
      </c>
      <c r="P1328" s="670" t="str">
        <f>VLOOKUP(A1328,'[1]Raw data'!$B:$BA,23,FALSE)</f>
        <v>JPY</v>
      </c>
      <c r="Q1328" s="652" t="str">
        <f>VLOOKUP(A1328,'[1]Raw data'!$B:$Z,2,FALSE)</f>
        <v>C49SZX20220059DY</v>
      </c>
      <c r="R1328" s="652" t="str">
        <f>VLOOKUP(A1328,'[1]Raw data'!$B:$Z,3,FALSE)</f>
        <v>朗迅</v>
      </c>
      <c r="S1328" s="652" t="str">
        <f>VLOOKUP(A1328,'[1]Raw data'!$B:$Z,4,FALSE)</f>
        <v>YSM20R-2</v>
      </c>
      <c r="T1328" s="652" t="str">
        <f>VLOOKUP(A1328,'[1]Raw data'!$B:$Z,8,FALSE)</f>
        <v>R-&gt;L</v>
      </c>
      <c r="U1328" s="652" t="str">
        <f>VLOOKUP(A1328,'[1]Raw data'!$B:$Z,9,FALSE)</f>
        <v>MVC</v>
      </c>
      <c r="V1328" s="572" t="str">
        <f t="shared" si="301"/>
        <v>WRONG</v>
      </c>
      <c r="W1328" s="568" t="str">
        <f>VLOOKUP(A1328,'[1]Raw data'!$B:$AG,32,FALSE)</f>
        <v>DAP HZ</v>
      </c>
      <c r="X1328" s="652">
        <f>VLOOKUP(A1328,'[1]Raw data'!$B:$BA,31,FALSE)</f>
        <v>44708</v>
      </c>
      <c r="Y1328" s="652" t="str">
        <f>VLOOKUP(A1328,'[1]Raw data'!$B:$AS,39,FALSE)</f>
        <v>Yes</v>
      </c>
      <c r="Z1328" s="664"/>
      <c r="AA1328" s="665"/>
      <c r="AB1328" s="666"/>
      <c r="AC1328" s="652" t="s">
        <v>1832</v>
      </c>
      <c r="AD1328" s="580">
        <v>301</v>
      </c>
      <c r="AE1328" s="580">
        <v>10</v>
      </c>
      <c r="AF1328" s="580">
        <v>302</v>
      </c>
      <c r="AG1328" s="580">
        <v>10</v>
      </c>
      <c r="AH1328" s="580"/>
      <c r="AI1328" s="684"/>
      <c r="AJ1328" s="569"/>
      <c r="AK1328" s="569"/>
      <c r="AL1328" s="569"/>
      <c r="AM1328" s="569"/>
      <c r="AN1328" s="619"/>
      <c r="AO1328" s="829" t="str">
        <f t="shared" si="284"/>
        <v>Yes</v>
      </c>
      <c r="AP1328" s="259" t="str">
        <f t="shared" si="285"/>
        <v>AUG 22</v>
      </c>
      <c r="AQ1328" s="547" t="str">
        <f t="shared" si="286"/>
        <v>有定金+有預留客戶</v>
      </c>
      <c r="AR1328" s="259" t="str">
        <f t="shared" si="287"/>
        <v>Shipped_Stock</v>
      </c>
      <c r="AS1328" s="259" t="str">
        <f t="shared" si="288"/>
        <v/>
      </c>
      <c r="AT1328" s="259" t="str">
        <f t="shared" si="289"/>
        <v>朗迅</v>
      </c>
      <c r="AU1328" s="259" t="str">
        <f t="shared" si="290"/>
        <v>C49SZX20220059DY</v>
      </c>
      <c r="AV1328" s="259" t="str">
        <f t="shared" si="291"/>
        <v>Aug-28</v>
      </c>
    </row>
    <row r="1329" spans="1:48" ht="24.75" hidden="1" customHeight="1">
      <c r="A1329" s="604">
        <v>1690</v>
      </c>
      <c r="B1329" s="669" t="s">
        <v>1125</v>
      </c>
      <c r="C1329" s="669" t="s">
        <v>281</v>
      </c>
      <c r="D1329" s="766">
        <v>110991</v>
      </c>
      <c r="E1329" s="651" t="s">
        <v>2576</v>
      </c>
      <c r="F1329" s="652" t="s">
        <v>58</v>
      </c>
      <c r="G1329" s="652" t="s">
        <v>24</v>
      </c>
      <c r="H1329" s="652" t="s">
        <v>26</v>
      </c>
      <c r="I1329" s="580" t="s">
        <v>2577</v>
      </c>
      <c r="J1329" s="580">
        <v>1</v>
      </c>
      <c r="K1329" s="652" t="s">
        <v>85</v>
      </c>
      <c r="L1329" s="662">
        <v>44809</v>
      </c>
      <c r="M1329" s="722" t="s">
        <v>906</v>
      </c>
      <c r="N1329" s="652" t="s">
        <v>205</v>
      </c>
      <c r="O1329" s="580">
        <v>2022.8</v>
      </c>
      <c r="P1329" s="670" t="str">
        <f>VLOOKUP(A1329,'[1]Raw data'!$B:$BA,23,FALSE)</f>
        <v>JPY</v>
      </c>
      <c r="Q1329" s="652" t="str">
        <f>VLOOKUP(A1329,'[1]Raw data'!$B:$Z,2,FALSE)</f>
        <v>C49SZX20220042JY</v>
      </c>
      <c r="R1329" s="652" t="str">
        <f>VLOOKUP(A1329,'[1]Raw data'!$B:$Z,3,FALSE)</f>
        <v>德天伟</v>
      </c>
      <c r="S1329" s="652" t="str">
        <f>VLOOKUP(A1329,'[1]Raw data'!$B:$Z,4,FALSE)</f>
        <v>YSM20R-2</v>
      </c>
      <c r="T1329" s="652" t="str">
        <f>VLOOKUP(A1329,'[1]Raw data'!$B:$Z,8,FALSE)</f>
        <v>L-&gt;R</v>
      </c>
      <c r="U1329" s="652" t="str">
        <f>VLOOKUP(A1329,'[1]Raw data'!$B:$Z,9,FALSE)</f>
        <v>No</v>
      </c>
      <c r="V1329" s="572" t="str">
        <f>IF(G1329&amp;H1329=T1329&amp;U1329,"OK","WRONG")</f>
        <v>OK</v>
      </c>
      <c r="W1329" s="568" t="str">
        <f>VLOOKUP(A1329,'[1]Raw data'!$B:$AG,32,FALSE)</f>
        <v>DAP SZ</v>
      </c>
      <c r="X1329" s="652">
        <f>VLOOKUP(A1329,'[1]Raw data'!$B:$BA,31,FALSE)</f>
        <v>44734</v>
      </c>
      <c r="Y1329" s="652" t="str">
        <f>VLOOKUP(A1329,'[1]Raw data'!$B:$AS,39,FALSE)</f>
        <v>Yes</v>
      </c>
      <c r="Z1329" s="671"/>
      <c r="AA1329" s="665"/>
      <c r="AB1329" s="666"/>
      <c r="AC1329" s="652" t="s">
        <v>2578</v>
      </c>
      <c r="AD1329" s="580">
        <v>312</v>
      </c>
      <c r="AE1329" s="580">
        <v>20</v>
      </c>
      <c r="AF1329" s="580"/>
      <c r="AG1329" s="580"/>
      <c r="AH1329" s="580"/>
      <c r="AI1329" s="684"/>
      <c r="AJ1329" s="569"/>
      <c r="AK1329" s="569"/>
      <c r="AL1329" s="569"/>
      <c r="AM1329" s="569"/>
      <c r="AN1329" s="619"/>
      <c r="AO1329" s="829" t="str">
        <f t="shared" si="284"/>
        <v>Yes</v>
      </c>
      <c r="AP1329" s="259" t="str">
        <f t="shared" si="285"/>
        <v>OCT 22</v>
      </c>
      <c r="AQ1329" s="547" t="str">
        <f t="shared" si="286"/>
        <v>有定金+有預留客戶</v>
      </c>
      <c r="AR1329" s="259" t="str">
        <f t="shared" si="287"/>
        <v>Shipped_Stock</v>
      </c>
      <c r="AS1329" s="259" t="str">
        <f t="shared" si="288"/>
        <v/>
      </c>
      <c r="AT1329" s="259" t="str">
        <f t="shared" si="289"/>
        <v>德天伟</v>
      </c>
      <c r="AU1329" s="259" t="str">
        <f t="shared" si="290"/>
        <v>C49SZX20220042JY</v>
      </c>
      <c r="AV1329" s="259" t="str">
        <f t="shared" si="291"/>
        <v>Sep-05</v>
      </c>
    </row>
    <row r="1330" spans="1:48" ht="13.5" hidden="1" thickBot="1">
      <c r="A1330" s="604">
        <v>1753</v>
      </c>
      <c r="B1330" s="669" t="s">
        <v>1125</v>
      </c>
      <c r="C1330" s="669" t="s">
        <v>281</v>
      </c>
      <c r="D1330" s="629">
        <v>110991</v>
      </c>
      <c r="E1330" s="651" t="s">
        <v>2579</v>
      </c>
      <c r="F1330" s="652" t="s">
        <v>58</v>
      </c>
      <c r="G1330" s="652" t="s">
        <v>24</v>
      </c>
      <c r="H1330" s="652" t="s">
        <v>26</v>
      </c>
      <c r="I1330" s="580" t="s">
        <v>2580</v>
      </c>
      <c r="J1330" s="580">
        <v>1</v>
      </c>
      <c r="K1330" s="652" t="s">
        <v>1419</v>
      </c>
      <c r="L1330" s="662">
        <v>44809</v>
      </c>
      <c r="M1330" s="722" t="s">
        <v>906</v>
      </c>
      <c r="N1330" s="652" t="s">
        <v>208</v>
      </c>
      <c r="O1330" s="580">
        <v>2022.8</v>
      </c>
      <c r="P1330" s="670" t="str">
        <f>VLOOKUP(A1330,'[1]Raw data'!$B:$BA,23,FALSE)</f>
        <v>RMB</v>
      </c>
      <c r="Q1330" s="652" t="str">
        <f>VLOOKUP(A1330,'[1]Raw data'!$B:$Z,2,FALSE)</f>
        <v>C49SZX20220112SX</v>
      </c>
      <c r="R1330" s="652" t="str">
        <f>VLOOKUP(A1330,'[1]Raw data'!$B:$Z,3,FALSE)</f>
        <v>永诺精密</v>
      </c>
      <c r="S1330" s="652" t="str">
        <f>VLOOKUP(A1330,'[1]Raw data'!$B:$Z,4,FALSE)</f>
        <v>YSM20R-2</v>
      </c>
      <c r="T1330" s="652" t="str">
        <f>VLOOKUP(A1330,'[1]Raw data'!$B:$Z,8,FALSE)</f>
        <v>L-&gt;R</v>
      </c>
      <c r="U1330" s="652" t="str">
        <f>VLOOKUP(A1330,'[1]Raw data'!$B:$Z,9,FALSE)</f>
        <v>No</v>
      </c>
      <c r="V1330" s="572" t="str">
        <f>IF(G1330&amp;H1330=T1330&amp;U1330,"OK","WRONG")</f>
        <v>OK</v>
      </c>
      <c r="W1330" s="568" t="str">
        <f>VLOOKUP(A1330,'[1]Raw data'!$B:$AG,32,FALSE)</f>
        <v>DDP DG</v>
      </c>
      <c r="X1330" s="652">
        <f>VLOOKUP(A1330,'[1]Raw data'!$B:$BA,31,FALSE)</f>
        <v>44873</v>
      </c>
      <c r="Y1330" s="652" t="str">
        <f>VLOOKUP(A1330,'[1]Raw data'!$B:$AS,39,FALSE)</f>
        <v>Yes</v>
      </c>
      <c r="Z1330" s="671"/>
      <c r="AA1330" s="665"/>
      <c r="AB1330" s="666"/>
      <c r="AC1330" s="652" t="s">
        <v>2581</v>
      </c>
      <c r="AD1330" s="580">
        <v>312</v>
      </c>
      <c r="AE1330" s="580">
        <v>20</v>
      </c>
      <c r="AF1330" s="580"/>
      <c r="AG1330" s="580"/>
      <c r="AH1330" s="580"/>
      <c r="AI1330" s="684"/>
      <c r="AJ1330" s="569"/>
      <c r="AK1330" s="569"/>
      <c r="AL1330" s="569"/>
      <c r="AM1330" s="569"/>
      <c r="AN1330" s="619"/>
      <c r="AO1330" s="829" t="str">
        <f t="shared" si="284"/>
        <v>Yes</v>
      </c>
      <c r="AP1330" s="259" t="str">
        <f t="shared" si="285"/>
        <v>NOV 22</v>
      </c>
      <c r="AQ1330" s="547" t="str">
        <f t="shared" si="286"/>
        <v>有定金+有預留客戶</v>
      </c>
      <c r="AR1330" s="259" t="str">
        <f t="shared" si="287"/>
        <v>Shipped_Stock</v>
      </c>
      <c r="AS1330" s="259" t="str">
        <f t="shared" si="288"/>
        <v/>
      </c>
      <c r="AT1330" s="259" t="str">
        <f t="shared" si="289"/>
        <v>永诺精密</v>
      </c>
      <c r="AU1330" s="259" t="str">
        <f t="shared" si="290"/>
        <v>C49SZX20220112SX</v>
      </c>
      <c r="AV1330" s="259" t="str">
        <f t="shared" si="291"/>
        <v>Sep-05</v>
      </c>
    </row>
    <row r="1331" spans="1:48" hidden="1">
      <c r="A1331" s="604">
        <v>1750</v>
      </c>
      <c r="B1331" s="669" t="s">
        <v>1125</v>
      </c>
      <c r="C1331" s="669" t="s">
        <v>281</v>
      </c>
      <c r="D1331" s="766">
        <v>111020</v>
      </c>
      <c r="E1331" s="741" t="s">
        <v>2582</v>
      </c>
      <c r="F1331" s="652" t="s">
        <v>58</v>
      </c>
      <c r="G1331" s="652" t="s">
        <v>24</v>
      </c>
      <c r="H1331" s="652" t="s">
        <v>26</v>
      </c>
      <c r="I1331" s="580" t="s">
        <v>2583</v>
      </c>
      <c r="J1331" s="580">
        <v>1</v>
      </c>
      <c r="K1331" s="652" t="s">
        <v>1419</v>
      </c>
      <c r="L1331" s="662">
        <v>44816</v>
      </c>
      <c r="M1331" s="797" t="s">
        <v>3919</v>
      </c>
      <c r="N1331" s="652" t="s">
        <v>208</v>
      </c>
      <c r="O1331" s="580">
        <v>2022.8</v>
      </c>
      <c r="P1331" s="670" t="str">
        <f>VLOOKUP(A1331,'[1]Raw data'!$B:$BA,23,FALSE)</f>
        <v>RMB</v>
      </c>
      <c r="Q1331" s="652" t="str">
        <f>VLOOKUP(A1331,'[1]Raw data'!$B:$Z,2,FALSE)</f>
        <v>C49SZX20220093EC</v>
      </c>
      <c r="R1331" s="652" t="str">
        <f>VLOOKUP(A1331,'[1]Raw data'!$B:$Z,3,FALSE)</f>
        <v>格美通</v>
      </c>
      <c r="S1331" s="652" t="str">
        <f>VLOOKUP(A1331,'[1]Raw data'!$B:$Z,4,FALSE)</f>
        <v>YSM20R-2</v>
      </c>
      <c r="T1331" s="652" t="str">
        <f>VLOOKUP(A1331,'[1]Raw data'!$B:$Z,8,FALSE)</f>
        <v>L-&gt;R</v>
      </c>
      <c r="U1331" s="652" t="str">
        <f>VLOOKUP(A1331,'[1]Raw data'!$B:$Z,9,FALSE)</f>
        <v>No</v>
      </c>
      <c r="V1331" s="572" t="str">
        <f t="shared" ref="V1331:V1339" si="302">IF(G1331&amp;H1331=T1331&amp;U1331,"OK","WRONG")</f>
        <v>OK</v>
      </c>
      <c r="W1331" s="568" t="str">
        <f>VLOOKUP(A1331,'[1]Raw data'!$B:$AG,32,FALSE)</f>
        <v>DDP SZ</v>
      </c>
      <c r="X1331" s="652">
        <f>VLOOKUP(A1331,'[1]Raw data'!$B:$BA,31,FALSE)</f>
        <v>44863</v>
      </c>
      <c r="Y1331" s="652" t="str">
        <f>VLOOKUP(A1331,'[1]Raw data'!$B:$AS,39,FALSE)</f>
        <v>Yes</v>
      </c>
      <c r="Z1331" s="671"/>
      <c r="AA1331" s="665"/>
      <c r="AB1331" s="666"/>
      <c r="AC1331" s="652" t="s">
        <v>2584</v>
      </c>
      <c r="AD1331" s="580">
        <v>301</v>
      </c>
      <c r="AE1331" s="580">
        <v>10</v>
      </c>
      <c r="AF1331" s="580">
        <v>311</v>
      </c>
      <c r="AG1331" s="580">
        <v>10</v>
      </c>
      <c r="AH1331" s="580"/>
      <c r="AI1331" s="684"/>
      <c r="AJ1331" s="569"/>
      <c r="AK1331" s="569"/>
      <c r="AL1331" s="569"/>
      <c r="AM1331" s="569"/>
      <c r="AN1331" s="619"/>
      <c r="AO1331" s="829" t="str">
        <f t="shared" si="284"/>
        <v>Yes</v>
      </c>
      <c r="AP1331" s="259" t="str">
        <f t="shared" si="285"/>
        <v>NOV 22</v>
      </c>
      <c r="AQ1331" s="547" t="str">
        <f t="shared" si="286"/>
        <v>有定金+有預留客戶</v>
      </c>
      <c r="AR1331" s="259" t="str">
        <f t="shared" si="287"/>
        <v>Shipped_Stock</v>
      </c>
      <c r="AS1331" s="259" t="str">
        <f t="shared" si="288"/>
        <v/>
      </c>
      <c r="AT1331" s="259" t="str">
        <f t="shared" si="289"/>
        <v>格美通</v>
      </c>
      <c r="AU1331" s="259" t="str">
        <f t="shared" si="290"/>
        <v>C49SZX20220093EC</v>
      </c>
      <c r="AV1331" s="259" t="str">
        <f t="shared" si="291"/>
        <v>Sep-12</v>
      </c>
    </row>
    <row r="1332" spans="1:48" hidden="1">
      <c r="A1332" s="604">
        <v>1752</v>
      </c>
      <c r="B1332" s="669" t="s">
        <v>1125</v>
      </c>
      <c r="C1332" s="669" t="s">
        <v>281</v>
      </c>
      <c r="D1332" s="760">
        <v>111020</v>
      </c>
      <c r="E1332" s="741" t="s">
        <v>2582</v>
      </c>
      <c r="F1332" s="652" t="s">
        <v>58</v>
      </c>
      <c r="G1332" s="652" t="s">
        <v>24</v>
      </c>
      <c r="H1332" s="652" t="s">
        <v>26</v>
      </c>
      <c r="I1332" s="580" t="s">
        <v>2585</v>
      </c>
      <c r="J1332" s="580">
        <v>1</v>
      </c>
      <c r="K1332" s="652" t="s">
        <v>1419</v>
      </c>
      <c r="L1332" s="662">
        <v>44816</v>
      </c>
      <c r="M1332" s="797" t="s">
        <v>3919</v>
      </c>
      <c r="N1332" s="652" t="s">
        <v>208</v>
      </c>
      <c r="O1332" s="580">
        <v>2022.8</v>
      </c>
      <c r="P1332" s="670" t="str">
        <f>VLOOKUP(A1332,'[1]Raw data'!$B:$BA,23,FALSE)</f>
        <v>RMB</v>
      </c>
      <c r="Q1332" s="652" t="str">
        <f>VLOOKUP(A1332,'[1]Raw data'!$B:$Z,2,FALSE)</f>
        <v>C49SZX20220113DZ</v>
      </c>
      <c r="R1332" s="652" t="str">
        <f>VLOOKUP(A1332,'[1]Raw data'!$B:$Z,3,FALSE)</f>
        <v>比泰利</v>
      </c>
      <c r="S1332" s="652" t="str">
        <f>VLOOKUP(A1332,'[1]Raw data'!$B:$Z,4,FALSE)</f>
        <v>YSM20R-2</v>
      </c>
      <c r="T1332" s="652" t="str">
        <f>VLOOKUP(A1332,'[1]Raw data'!$B:$Z,8,FALSE)</f>
        <v>L-&gt;R</v>
      </c>
      <c r="U1332" s="652" t="str">
        <f>VLOOKUP(A1332,'[1]Raw data'!$B:$Z,9,FALSE)</f>
        <v>MVC F&amp;R</v>
      </c>
      <c r="V1332" s="572" t="str">
        <f t="shared" si="302"/>
        <v>WRONG</v>
      </c>
      <c r="W1332" s="568" t="str">
        <f>VLOOKUP(A1332,'[1]Raw data'!$B:$AG,32,FALSE)</f>
        <v>DDP SZ</v>
      </c>
      <c r="X1332" s="652">
        <f>VLOOKUP(A1332,'[1]Raw data'!$B:$BA,31,FALSE)</f>
        <v>44867</v>
      </c>
      <c r="Y1332" s="652" t="str">
        <f>VLOOKUP(A1332,'[1]Raw data'!$B:$AS,39,FALSE)</f>
        <v>Yes</v>
      </c>
      <c r="Z1332" s="671"/>
      <c r="AA1332" s="665"/>
      <c r="AB1332" s="666"/>
      <c r="AC1332" s="652" t="s">
        <v>1993</v>
      </c>
      <c r="AD1332" s="580">
        <v>301</v>
      </c>
      <c r="AE1332" s="580">
        <v>10</v>
      </c>
      <c r="AF1332" s="580">
        <v>311</v>
      </c>
      <c r="AG1332" s="580">
        <v>10</v>
      </c>
      <c r="AH1332" s="580"/>
      <c r="AI1332" s="684"/>
      <c r="AJ1332" s="569"/>
      <c r="AK1332" s="569"/>
      <c r="AL1332" s="569"/>
      <c r="AM1332" s="569"/>
      <c r="AN1332" s="619"/>
      <c r="AO1332" s="829" t="str">
        <f t="shared" si="284"/>
        <v>Yes</v>
      </c>
      <c r="AP1332" s="259" t="str">
        <f t="shared" si="285"/>
        <v>NOV 22</v>
      </c>
      <c r="AQ1332" s="547" t="str">
        <f t="shared" si="286"/>
        <v>有定金+有預留客戶</v>
      </c>
      <c r="AR1332" s="259" t="str">
        <f t="shared" si="287"/>
        <v>Shipped_Stock</v>
      </c>
      <c r="AS1332" s="259" t="str">
        <f t="shared" si="288"/>
        <v/>
      </c>
      <c r="AT1332" s="259" t="str">
        <f t="shared" si="289"/>
        <v>比泰利</v>
      </c>
      <c r="AU1332" s="259" t="str">
        <f t="shared" si="290"/>
        <v>C49SZX20220113DZ</v>
      </c>
      <c r="AV1332" s="259" t="str">
        <f t="shared" si="291"/>
        <v>Sep-12</v>
      </c>
    </row>
    <row r="1333" spans="1:48" hidden="1">
      <c r="A1333" s="604">
        <v>1784</v>
      </c>
      <c r="B1333" s="669" t="s">
        <v>1125</v>
      </c>
      <c r="C1333" s="669" t="s">
        <v>281</v>
      </c>
      <c r="D1333" s="760">
        <v>111020</v>
      </c>
      <c r="E1333" s="741" t="s">
        <v>2582</v>
      </c>
      <c r="F1333" s="652" t="s">
        <v>58</v>
      </c>
      <c r="G1333" s="652" t="s">
        <v>24</v>
      </c>
      <c r="H1333" s="652" t="s">
        <v>26</v>
      </c>
      <c r="I1333" s="580" t="s">
        <v>2586</v>
      </c>
      <c r="J1333" s="580">
        <v>1</v>
      </c>
      <c r="K1333" s="652" t="s">
        <v>1419</v>
      </c>
      <c r="L1333" s="662">
        <v>44816</v>
      </c>
      <c r="M1333" s="722" t="s">
        <v>906</v>
      </c>
      <c r="N1333" s="652" t="s">
        <v>220</v>
      </c>
      <c r="O1333" s="580">
        <v>2022.8</v>
      </c>
      <c r="P1333" s="670" t="str">
        <f>VLOOKUP(A1333,'[1]Raw data'!$B:$BA,23,FALSE)</f>
        <v>RMB</v>
      </c>
      <c r="Q1333" s="652" t="str">
        <f>VLOOKUP(A1333,'[1]Raw data'!$B:$Z,2,FALSE)</f>
        <v>C49SZX20220127EC</v>
      </c>
      <c r="R1333" s="652" t="str">
        <f>VLOOKUP(A1333,'[1]Raw data'!$B:$Z,3,FALSE)</f>
        <v>海红天远</v>
      </c>
      <c r="S1333" s="652" t="str">
        <f>VLOOKUP(A1333,'[1]Raw data'!$B:$Z,4,FALSE)</f>
        <v>YSM20R-2</v>
      </c>
      <c r="T1333" s="652" t="str">
        <f>VLOOKUP(A1333,'[1]Raw data'!$B:$Z,8,FALSE)</f>
        <v>L-&gt;R</v>
      </c>
      <c r="U1333" s="652" t="str">
        <f>VLOOKUP(A1333,'[1]Raw data'!$B:$Z,9,FALSE)</f>
        <v>MVC</v>
      </c>
      <c r="V1333" s="572" t="str">
        <f t="shared" si="302"/>
        <v>WRONG</v>
      </c>
      <c r="W1333" s="568" t="str">
        <f>VLOOKUP(A1333,'[1]Raw data'!$B:$AG,32,FALSE)</f>
        <v>DDP SZ</v>
      </c>
      <c r="X1333" s="652">
        <f>VLOOKUP(A1333,'[1]Raw data'!$B:$BA,31,FALSE)</f>
        <v>44914</v>
      </c>
      <c r="Y1333" s="652" t="str">
        <f>VLOOKUP(A1333,'[1]Raw data'!$B:$AS,39,FALSE)</f>
        <v>Yes</v>
      </c>
      <c r="Z1333" s="671"/>
      <c r="AA1333" s="665"/>
      <c r="AB1333" s="666"/>
      <c r="AC1333" s="652" t="s">
        <v>2207</v>
      </c>
      <c r="AD1333" s="580">
        <v>301</v>
      </c>
      <c r="AE1333" s="580">
        <v>10</v>
      </c>
      <c r="AF1333" s="580">
        <v>311</v>
      </c>
      <c r="AG1333" s="580">
        <v>10</v>
      </c>
      <c r="AH1333" s="580"/>
      <c r="AI1333" s="684"/>
      <c r="AJ1333" s="569"/>
      <c r="AK1333" s="569"/>
      <c r="AL1333" s="569"/>
      <c r="AM1333" s="569"/>
      <c r="AN1333" s="619"/>
      <c r="AO1333" s="829" t="str">
        <f t="shared" si="284"/>
        <v>Yes</v>
      </c>
      <c r="AP1333" s="259" t="str">
        <f t="shared" si="285"/>
        <v>DEC 22</v>
      </c>
      <c r="AQ1333" s="547" t="str">
        <f t="shared" si="286"/>
        <v>有定金+有預留客戶</v>
      </c>
      <c r="AR1333" s="259" t="str">
        <f t="shared" si="287"/>
        <v>Shipped_Stock</v>
      </c>
      <c r="AS1333" s="259" t="str">
        <f t="shared" si="288"/>
        <v/>
      </c>
      <c r="AT1333" s="259" t="str">
        <f t="shared" si="289"/>
        <v>海红天远</v>
      </c>
      <c r="AU1333" s="259" t="str">
        <f t="shared" si="290"/>
        <v>C49SZX20220127EC</v>
      </c>
      <c r="AV1333" s="259" t="str">
        <f t="shared" si="291"/>
        <v>Sep-12</v>
      </c>
    </row>
    <row r="1334" spans="1:48" hidden="1">
      <c r="A1334" s="604">
        <v>1815</v>
      </c>
      <c r="B1334" s="669" t="s">
        <v>1125</v>
      </c>
      <c r="C1334" s="669" t="s">
        <v>281</v>
      </c>
      <c r="D1334" s="760">
        <v>111020</v>
      </c>
      <c r="E1334" s="741" t="s">
        <v>2582</v>
      </c>
      <c r="F1334" s="652" t="s">
        <v>58</v>
      </c>
      <c r="G1334" s="652" t="s">
        <v>24</v>
      </c>
      <c r="H1334" s="652" t="s">
        <v>26</v>
      </c>
      <c r="I1334" s="580" t="s">
        <v>2587</v>
      </c>
      <c r="J1334" s="580">
        <v>1</v>
      </c>
      <c r="K1334" s="652" t="s">
        <v>1419</v>
      </c>
      <c r="L1334" s="662">
        <v>44816</v>
      </c>
      <c r="M1334" s="722">
        <v>5.0900000000000001E-2</v>
      </c>
      <c r="N1334" s="652" t="s">
        <v>215</v>
      </c>
      <c r="O1334" s="580">
        <v>2022.8</v>
      </c>
      <c r="P1334" s="670" t="str">
        <f>VLOOKUP(A1334,'[1]Raw data'!$B:$BA,23,FALSE)</f>
        <v>RMB</v>
      </c>
      <c r="Q1334" s="652" t="str">
        <f>VLOOKUP(A1334,'[1]Raw data'!$B:$Z,2,FALSE)</f>
        <v>C49SZX20230010SX</v>
      </c>
      <c r="R1334" s="652" t="str">
        <f>VLOOKUP(A1334,'[1]Raw data'!$B:$Z,3,FALSE)</f>
        <v>嘉普达</v>
      </c>
      <c r="S1334" s="652" t="str">
        <f>VLOOKUP(A1334,'[1]Raw data'!$B:$Z,4,FALSE)</f>
        <v>YSM20R-2</v>
      </c>
      <c r="T1334" s="652" t="str">
        <f>VLOOKUP(A1334,'[1]Raw data'!$B:$Z,8,FALSE)</f>
        <v>L-&gt;R</v>
      </c>
      <c r="U1334" s="652" t="str">
        <f>VLOOKUP(A1334,'[1]Raw data'!$B:$Z,9,FALSE)</f>
        <v>No</v>
      </c>
      <c r="V1334" s="572" t="str">
        <f t="shared" si="302"/>
        <v>OK</v>
      </c>
      <c r="W1334" s="568" t="str">
        <f>VLOOKUP(A1334,'[1]Raw data'!$B:$AG,32,FALSE)</f>
        <v>DDP SZ</v>
      </c>
      <c r="X1334" s="652">
        <f>VLOOKUP(A1334,'[1]Raw data'!$B:$BA,31,FALSE)</f>
        <v>44938</v>
      </c>
      <c r="Y1334" s="652" t="str">
        <f>VLOOKUP(A1334,'[1]Raw data'!$B:$AS,39,FALSE)</f>
        <v>Yes</v>
      </c>
      <c r="Z1334" s="671"/>
      <c r="AA1334" s="665"/>
      <c r="AB1334" s="666"/>
      <c r="AC1334" s="652" t="s">
        <v>2453</v>
      </c>
      <c r="AD1334" s="580">
        <v>301</v>
      </c>
      <c r="AE1334" s="580">
        <v>10</v>
      </c>
      <c r="AF1334" s="580">
        <v>311</v>
      </c>
      <c r="AG1334" s="580">
        <v>10</v>
      </c>
      <c r="AH1334" s="580"/>
      <c r="AI1334" s="684"/>
      <c r="AJ1334" s="569"/>
      <c r="AK1334" s="569"/>
      <c r="AL1334" s="569"/>
      <c r="AM1334" s="569"/>
      <c r="AN1334" s="619"/>
      <c r="AO1334" s="829" t="str">
        <f t="shared" si="284"/>
        <v>Yes</v>
      </c>
      <c r="AP1334" s="259" t="str">
        <f t="shared" si="285"/>
        <v>JAN 23</v>
      </c>
      <c r="AQ1334" s="547" t="str">
        <f t="shared" si="286"/>
        <v>有定金+有預留客戶</v>
      </c>
      <c r="AR1334" s="259" t="str">
        <f t="shared" si="287"/>
        <v>Shipped_Stock</v>
      </c>
      <c r="AS1334" s="259" t="str">
        <f t="shared" si="288"/>
        <v/>
      </c>
      <c r="AT1334" s="259" t="str">
        <f t="shared" si="289"/>
        <v>嘉普达</v>
      </c>
      <c r="AU1334" s="259" t="str">
        <f t="shared" si="290"/>
        <v>C49SZX20230010SX</v>
      </c>
      <c r="AV1334" s="259" t="str">
        <f t="shared" si="291"/>
        <v>Sep-12</v>
      </c>
    </row>
    <row r="1335" spans="1:48" ht="13.5" hidden="1" thickBot="1">
      <c r="A1335" s="604">
        <v>1835</v>
      </c>
      <c r="B1335" s="669" t="s">
        <v>1125</v>
      </c>
      <c r="C1335" s="669" t="s">
        <v>281</v>
      </c>
      <c r="D1335" s="629">
        <v>111020</v>
      </c>
      <c r="E1335" s="741" t="s">
        <v>2582</v>
      </c>
      <c r="F1335" s="652" t="s">
        <v>58</v>
      </c>
      <c r="G1335" s="652" t="s">
        <v>24</v>
      </c>
      <c r="H1335" s="652" t="s">
        <v>26</v>
      </c>
      <c r="I1335" s="580" t="s">
        <v>2588</v>
      </c>
      <c r="J1335" s="580">
        <v>1</v>
      </c>
      <c r="K1335" s="652" t="s">
        <v>1419</v>
      </c>
      <c r="L1335" s="662">
        <v>44816</v>
      </c>
      <c r="M1335" s="722">
        <v>5.0900000000000001E-2</v>
      </c>
      <c r="N1335" s="652" t="s">
        <v>217</v>
      </c>
      <c r="O1335" s="580">
        <v>2022.8</v>
      </c>
      <c r="P1335" s="670" t="str">
        <f>VLOOKUP(A1335,'[1]Raw data'!$B:$BA,23,FALSE)</f>
        <v>RMB</v>
      </c>
      <c r="Q1335" s="652" t="str">
        <f>VLOOKUP(A1335,'[1]Raw data'!$B:$Z,2,FALSE)</f>
        <v>C49SZX20230013JY</v>
      </c>
      <c r="R1335" s="652" t="str">
        <f>VLOOKUP(A1335,'[1]Raw data'!$B:$Z,3,FALSE)</f>
        <v>德天伟</v>
      </c>
      <c r="S1335" s="652" t="str">
        <f>VLOOKUP(A1335,'[1]Raw data'!$B:$Z,4,FALSE)</f>
        <v>YSM20R-2</v>
      </c>
      <c r="T1335" s="652" t="str">
        <f>VLOOKUP(A1335,'[1]Raw data'!$B:$Z,8,FALSE)</f>
        <v>L-&gt;R</v>
      </c>
      <c r="U1335" s="652" t="str">
        <f>VLOOKUP(A1335,'[1]Raw data'!$B:$Z,9,FALSE)</f>
        <v>No</v>
      </c>
      <c r="V1335" s="572" t="str">
        <f t="shared" si="302"/>
        <v>OK</v>
      </c>
      <c r="W1335" s="568" t="str">
        <f>VLOOKUP(A1335,'[1]Raw data'!$B:$AG,32,FALSE)</f>
        <v>DDP SZ</v>
      </c>
      <c r="X1335" s="652">
        <f>VLOOKUP(A1335,'[1]Raw data'!$B:$BA,31,FALSE)</f>
        <v>44967</v>
      </c>
      <c r="Y1335" s="652" t="str">
        <f>VLOOKUP(A1335,'[1]Raw data'!$B:$AS,39,FALSE)</f>
        <v>Yes</v>
      </c>
      <c r="Z1335" s="671"/>
      <c r="AA1335" s="665"/>
      <c r="AB1335" s="666"/>
      <c r="AC1335" s="652" t="s">
        <v>2578</v>
      </c>
      <c r="AD1335" s="580">
        <v>301</v>
      </c>
      <c r="AE1335" s="580">
        <v>10</v>
      </c>
      <c r="AF1335" s="580">
        <v>302</v>
      </c>
      <c r="AG1335" s="580">
        <v>10</v>
      </c>
      <c r="AH1335" s="580"/>
      <c r="AI1335" s="684"/>
      <c r="AJ1335" s="569"/>
      <c r="AK1335" s="569"/>
      <c r="AL1335" s="569"/>
      <c r="AM1335" s="569"/>
      <c r="AN1335" s="619"/>
      <c r="AO1335" s="829" t="str">
        <f t="shared" si="284"/>
        <v>Yes</v>
      </c>
      <c r="AP1335" s="259" t="str">
        <f t="shared" si="285"/>
        <v>FEB 23</v>
      </c>
      <c r="AQ1335" s="547" t="str">
        <f t="shared" si="286"/>
        <v>有定金+有預留客戶</v>
      </c>
      <c r="AR1335" s="259" t="str">
        <f t="shared" si="287"/>
        <v>Shipped_Stock</v>
      </c>
      <c r="AS1335" s="259" t="str">
        <f t="shared" si="288"/>
        <v/>
      </c>
      <c r="AT1335" s="259" t="str">
        <f t="shared" si="289"/>
        <v>德天伟</v>
      </c>
      <c r="AU1335" s="259" t="str">
        <f t="shared" si="290"/>
        <v>C49SZX20230013JY</v>
      </c>
      <c r="AV1335" s="259" t="str">
        <f t="shared" si="291"/>
        <v>Sep-12</v>
      </c>
    </row>
    <row r="1336" spans="1:48" hidden="1">
      <c r="A1336" s="564">
        <v>1790</v>
      </c>
      <c r="B1336" s="669" t="s">
        <v>1125</v>
      </c>
      <c r="C1336" s="669" t="s">
        <v>281</v>
      </c>
      <c r="D1336" s="766">
        <v>111020</v>
      </c>
      <c r="E1336" s="741" t="s">
        <v>2582</v>
      </c>
      <c r="F1336" s="652" t="s">
        <v>58</v>
      </c>
      <c r="G1336" s="652" t="s">
        <v>24</v>
      </c>
      <c r="H1336" s="652" t="s">
        <v>26</v>
      </c>
      <c r="I1336" s="580" t="s">
        <v>2589</v>
      </c>
      <c r="J1336" s="580">
        <v>1</v>
      </c>
      <c r="K1336" s="652" t="s">
        <v>1419</v>
      </c>
      <c r="L1336" s="662">
        <v>44816</v>
      </c>
      <c r="M1336" s="722">
        <v>5.0900000000000001E-2</v>
      </c>
      <c r="N1336" s="652" t="s">
        <v>220</v>
      </c>
      <c r="O1336" s="580">
        <v>2022.8</v>
      </c>
      <c r="P1336" s="670" t="str">
        <f>VLOOKUP(A1336,'[1]Raw data'!$B:$BA,23,FALSE)</f>
        <v>RMB</v>
      </c>
      <c r="Q1336" s="652" t="str">
        <f>VLOOKUP(A1336,'[1]Raw data'!$B:$Z,2,FALSE)</f>
        <v>C49SZX20220135EC</v>
      </c>
      <c r="R1336" s="652" t="str">
        <f>VLOOKUP(A1336,'[1]Raw data'!$B:$Z,3,FALSE)</f>
        <v>福瑞康</v>
      </c>
      <c r="S1336" s="652" t="str">
        <f>VLOOKUP(A1336,'[1]Raw data'!$B:$Z,4,FALSE)</f>
        <v>YSM20R-2</v>
      </c>
      <c r="T1336" s="652" t="str">
        <f>VLOOKUP(A1336,'[1]Raw data'!$B:$Z,8,FALSE)</f>
        <v>L-&gt;R</v>
      </c>
      <c r="U1336" s="652" t="str">
        <f>VLOOKUP(A1336,'[1]Raw data'!$B:$Z,9,FALSE)</f>
        <v>No</v>
      </c>
      <c r="V1336" s="572" t="str">
        <f t="shared" si="302"/>
        <v>OK</v>
      </c>
      <c r="W1336" s="568" t="str">
        <f>VLOOKUP(A1336,'[1]Raw data'!$B:$AG,32,FALSE)</f>
        <v>DDP DG</v>
      </c>
      <c r="X1336" s="652">
        <f>VLOOKUP(A1336,'[1]Raw data'!$B:$BA,31,FALSE)</f>
        <v>44915</v>
      </c>
      <c r="Y1336" s="652" t="str">
        <f>VLOOKUP(A1336,'[1]Raw data'!$B:$AS,39,FALSE)</f>
        <v>Yes</v>
      </c>
      <c r="Z1336" s="671"/>
      <c r="AA1336" s="665"/>
      <c r="AB1336" s="666"/>
      <c r="AC1336" s="652" t="s">
        <v>1542</v>
      </c>
      <c r="AD1336" s="667">
        <v>311</v>
      </c>
      <c r="AE1336" s="667">
        <v>10</v>
      </c>
      <c r="AF1336" s="667">
        <v>302</v>
      </c>
      <c r="AG1336" s="667">
        <v>10</v>
      </c>
      <c r="AH1336" s="667"/>
      <c r="AI1336" s="668"/>
      <c r="AN1336" s="547"/>
      <c r="AO1336" s="829" t="str">
        <f t="shared" si="284"/>
        <v>Yes</v>
      </c>
      <c r="AP1336" s="259" t="str">
        <f t="shared" si="285"/>
        <v>DEC 22</v>
      </c>
      <c r="AQ1336" s="547" t="str">
        <f t="shared" si="286"/>
        <v>有定金+有預留客戶</v>
      </c>
      <c r="AR1336" s="259" t="str">
        <f t="shared" si="287"/>
        <v>Shipped_Stock</v>
      </c>
      <c r="AS1336" s="259" t="str">
        <f t="shared" si="288"/>
        <v/>
      </c>
      <c r="AT1336" s="259" t="str">
        <f t="shared" si="289"/>
        <v>福瑞康</v>
      </c>
      <c r="AU1336" s="259" t="str">
        <f t="shared" si="290"/>
        <v>C49SZX20220135EC</v>
      </c>
      <c r="AV1336" s="259" t="str">
        <f t="shared" si="291"/>
        <v>Sep-12</v>
      </c>
    </row>
    <row r="1337" spans="1:48" hidden="1">
      <c r="A1337" s="564">
        <v>1793</v>
      </c>
      <c r="B1337" s="669" t="s">
        <v>1125</v>
      </c>
      <c r="C1337" s="669" t="s">
        <v>281</v>
      </c>
      <c r="D1337" s="760">
        <v>111020</v>
      </c>
      <c r="E1337" s="741" t="s">
        <v>2582</v>
      </c>
      <c r="F1337" s="652" t="s">
        <v>58</v>
      </c>
      <c r="G1337" s="652" t="s">
        <v>24</v>
      </c>
      <c r="H1337" s="652" t="s">
        <v>26</v>
      </c>
      <c r="I1337" s="580" t="s">
        <v>2590</v>
      </c>
      <c r="J1337" s="580">
        <v>1</v>
      </c>
      <c r="K1337" s="652" t="s">
        <v>1419</v>
      </c>
      <c r="L1337" s="662">
        <v>44816</v>
      </c>
      <c r="M1337" s="722">
        <v>5.0900000000000001E-2</v>
      </c>
      <c r="N1337" s="652" t="s">
        <v>217</v>
      </c>
      <c r="O1337" s="580">
        <v>2022.8</v>
      </c>
      <c r="P1337" s="670" t="str">
        <f>VLOOKUP(A1337,'[1]Raw data'!$B:$BA,23,FALSE)</f>
        <v>RMB</v>
      </c>
      <c r="Q1337" s="652" t="str">
        <f>VLOOKUP(A1337,'[1]Raw data'!$B:$Z,2,FALSE)</f>
        <v>C49SZX20230008SS</v>
      </c>
      <c r="R1337" s="652" t="str">
        <f>VLOOKUP(A1337,'[1]Raw data'!$B:$Z,3,FALSE)</f>
        <v>蓝极光</v>
      </c>
      <c r="S1337" s="652" t="str">
        <f>VLOOKUP(A1337,'[1]Raw data'!$B:$Z,4,FALSE)</f>
        <v>YSM20R-2</v>
      </c>
      <c r="T1337" s="652" t="str">
        <f>VLOOKUP(A1337,'[1]Raw data'!$B:$Z,8,FALSE)</f>
        <v>L-&gt;R</v>
      </c>
      <c r="U1337" s="652" t="str">
        <f>VLOOKUP(A1337,'[1]Raw data'!$B:$Z,9,FALSE)</f>
        <v>No</v>
      </c>
      <c r="V1337" s="572" t="str">
        <f t="shared" si="302"/>
        <v>OK</v>
      </c>
      <c r="W1337" s="568" t="str">
        <f>VLOOKUP(A1337,'[1]Raw data'!$B:$AG,32,FALSE)</f>
        <v>DDP SZ</v>
      </c>
      <c r="X1337" s="652">
        <f>VLOOKUP(A1337,'[1]Raw data'!$B:$BA,31,FALSE)</f>
        <v>44925</v>
      </c>
      <c r="Y1337" s="652" t="str">
        <f>VLOOKUP(A1337,'[1]Raw data'!$B:$AS,39,FALSE)</f>
        <v>Yes</v>
      </c>
      <c r="Z1337" s="671"/>
      <c r="AA1337" s="665"/>
      <c r="AB1337" s="666"/>
      <c r="AC1337" s="652" t="s">
        <v>2591</v>
      </c>
      <c r="AD1337" s="667">
        <v>311</v>
      </c>
      <c r="AE1337" s="667">
        <v>10</v>
      </c>
      <c r="AF1337" s="667">
        <v>311</v>
      </c>
      <c r="AG1337" s="667">
        <v>10</v>
      </c>
      <c r="AH1337" s="667"/>
      <c r="AI1337" s="668"/>
      <c r="AN1337" s="547"/>
      <c r="AO1337" s="829" t="str">
        <f t="shared" si="284"/>
        <v>Yes</v>
      </c>
      <c r="AP1337" s="259" t="str">
        <f t="shared" si="285"/>
        <v>FEB 23</v>
      </c>
      <c r="AQ1337" s="547" t="str">
        <f t="shared" si="286"/>
        <v>有定金+有預留客戶</v>
      </c>
      <c r="AR1337" s="259" t="str">
        <f t="shared" si="287"/>
        <v>Shipped_Stock</v>
      </c>
      <c r="AS1337" s="259" t="str">
        <f t="shared" si="288"/>
        <v/>
      </c>
      <c r="AT1337" s="259" t="str">
        <f t="shared" si="289"/>
        <v>蓝极光</v>
      </c>
      <c r="AU1337" s="259" t="str">
        <f t="shared" si="290"/>
        <v>C49SZX20230008SS</v>
      </c>
      <c r="AV1337" s="259" t="str">
        <f t="shared" si="291"/>
        <v>Sep-12</v>
      </c>
    </row>
    <row r="1338" spans="1:48" hidden="1">
      <c r="A1338" s="564">
        <v>1794</v>
      </c>
      <c r="B1338" s="669" t="s">
        <v>1125</v>
      </c>
      <c r="C1338" s="669" t="s">
        <v>281</v>
      </c>
      <c r="D1338" s="760">
        <v>111020</v>
      </c>
      <c r="E1338" s="741" t="s">
        <v>2582</v>
      </c>
      <c r="F1338" s="652" t="s">
        <v>58</v>
      </c>
      <c r="G1338" s="652" t="s">
        <v>24</v>
      </c>
      <c r="H1338" s="652" t="s">
        <v>26</v>
      </c>
      <c r="I1338" s="580" t="s">
        <v>2592</v>
      </c>
      <c r="J1338" s="580">
        <v>1</v>
      </c>
      <c r="K1338" s="652" t="s">
        <v>1419</v>
      </c>
      <c r="L1338" s="662">
        <v>44816</v>
      </c>
      <c r="M1338" s="722">
        <v>5.1900000000000002E-2</v>
      </c>
      <c r="N1338" s="652" t="s">
        <v>217</v>
      </c>
      <c r="O1338" s="580">
        <v>2022.8</v>
      </c>
      <c r="P1338" s="670" t="str">
        <f>VLOOKUP(A1338,'[1]Raw data'!$B:$BA,23,FALSE)</f>
        <v>RMB</v>
      </c>
      <c r="Q1338" s="652" t="str">
        <f>VLOOKUP(A1338,'[1]Raw data'!$B:$Z,2,FALSE)</f>
        <v>C49SZX20230008SS</v>
      </c>
      <c r="R1338" s="652" t="str">
        <f>VLOOKUP(A1338,'[1]Raw data'!$B:$Z,3,FALSE)</f>
        <v>蓝极光</v>
      </c>
      <c r="S1338" s="652" t="str">
        <f>VLOOKUP(A1338,'[1]Raw data'!$B:$Z,4,FALSE)</f>
        <v>YSM20R-2</v>
      </c>
      <c r="T1338" s="652" t="str">
        <f>VLOOKUP(A1338,'[1]Raw data'!$B:$Z,8,FALSE)</f>
        <v>L-&gt;R</v>
      </c>
      <c r="U1338" s="652" t="str">
        <f>VLOOKUP(A1338,'[1]Raw data'!$B:$Z,9,FALSE)</f>
        <v>No</v>
      </c>
      <c r="V1338" s="572" t="str">
        <f t="shared" si="302"/>
        <v>OK</v>
      </c>
      <c r="W1338" s="568" t="str">
        <f>VLOOKUP(A1338,'[1]Raw data'!$B:$AG,32,FALSE)</f>
        <v>DDP SZ</v>
      </c>
      <c r="X1338" s="652">
        <f>VLOOKUP(A1338,'[1]Raw data'!$B:$BA,31,FALSE)</f>
        <v>44925</v>
      </c>
      <c r="Y1338" s="652" t="str">
        <f>VLOOKUP(A1338,'[1]Raw data'!$B:$AS,39,FALSE)</f>
        <v>Yes</v>
      </c>
      <c r="Z1338" s="671"/>
      <c r="AA1338" s="665"/>
      <c r="AB1338" s="666"/>
      <c r="AC1338" s="652" t="s">
        <v>2591</v>
      </c>
      <c r="AD1338" s="667">
        <v>311</v>
      </c>
      <c r="AE1338" s="667">
        <v>10</v>
      </c>
      <c r="AF1338" s="667">
        <v>311</v>
      </c>
      <c r="AG1338" s="667">
        <v>10</v>
      </c>
      <c r="AH1338" s="667"/>
      <c r="AI1338" s="668"/>
      <c r="AN1338" s="547"/>
      <c r="AO1338" s="829" t="str">
        <f t="shared" si="284"/>
        <v>Yes</v>
      </c>
      <c r="AP1338" s="259" t="str">
        <f t="shared" si="285"/>
        <v>FEB 23</v>
      </c>
      <c r="AQ1338" s="547" t="str">
        <f t="shared" si="286"/>
        <v>有定金+有預留客戶</v>
      </c>
      <c r="AR1338" s="259" t="str">
        <f t="shared" si="287"/>
        <v>Shipped_Stock</v>
      </c>
      <c r="AS1338" s="259" t="str">
        <f t="shared" si="288"/>
        <v/>
      </c>
      <c r="AT1338" s="259" t="str">
        <f t="shared" si="289"/>
        <v>蓝极光</v>
      </c>
      <c r="AU1338" s="259" t="str">
        <f t="shared" si="290"/>
        <v>C49SZX20230008SS</v>
      </c>
      <c r="AV1338" s="259" t="str">
        <f t="shared" si="291"/>
        <v>Sep-12</v>
      </c>
    </row>
    <row r="1339" spans="1:48" ht="13.5" hidden="1" thickBot="1">
      <c r="A1339" s="604">
        <v>1754</v>
      </c>
      <c r="B1339" s="669" t="s">
        <v>1125</v>
      </c>
      <c r="C1339" s="669" t="s">
        <v>281</v>
      </c>
      <c r="D1339" s="629">
        <v>111020</v>
      </c>
      <c r="E1339" s="741" t="s">
        <v>2582</v>
      </c>
      <c r="F1339" s="652" t="s">
        <v>58</v>
      </c>
      <c r="G1339" s="652" t="s">
        <v>18</v>
      </c>
      <c r="H1339" s="652" t="s">
        <v>26</v>
      </c>
      <c r="I1339" s="580" t="s">
        <v>2593</v>
      </c>
      <c r="J1339" s="580">
        <v>1</v>
      </c>
      <c r="K1339" s="652" t="s">
        <v>1419</v>
      </c>
      <c r="L1339" s="662">
        <v>44816</v>
      </c>
      <c r="M1339" s="722">
        <v>5.1900000000000002E-2</v>
      </c>
      <c r="N1339" s="652" t="s">
        <v>208</v>
      </c>
      <c r="O1339" s="580">
        <v>2022.8</v>
      </c>
      <c r="P1339" s="670" t="str">
        <f>VLOOKUP(A1339,'[1]Raw data'!$B:$BA,23,FALSE)</f>
        <v>RMB</v>
      </c>
      <c r="Q1339" s="652" t="str">
        <f>VLOOKUP(A1339,'[1]Raw data'!$B:$Z,2,FALSE)</f>
        <v>C49SZX20220119DZ</v>
      </c>
      <c r="R1339" s="652" t="str">
        <f>VLOOKUP(A1339,'[1]Raw data'!$B:$Z,3,FALSE)</f>
        <v>深圳健科</v>
      </c>
      <c r="S1339" s="652" t="str">
        <f>VLOOKUP(A1339,'[1]Raw data'!$B:$Z,4,FALSE)</f>
        <v>YSM20R-2</v>
      </c>
      <c r="T1339" s="652" t="str">
        <f>VLOOKUP(A1339,'[1]Raw data'!$B:$Z,8,FALSE)</f>
        <v>R-&gt;L</v>
      </c>
      <c r="U1339" s="652" t="str">
        <f>VLOOKUP(A1339,'[1]Raw data'!$B:$Z,9,FALSE)</f>
        <v>No</v>
      </c>
      <c r="V1339" s="572" t="str">
        <f t="shared" si="302"/>
        <v>OK</v>
      </c>
      <c r="W1339" s="568" t="str">
        <f>VLOOKUP(A1339,'[1]Raw data'!$B:$AG,32,FALSE)</f>
        <v>DDP SZ</v>
      </c>
      <c r="X1339" s="652">
        <f>VLOOKUP(A1339,'[1]Raw data'!$B:$BA,31,FALSE)</f>
        <v>44879</v>
      </c>
      <c r="Y1339" s="652" t="str">
        <f>VLOOKUP(A1339,'[1]Raw data'!$B:$AS,39,FALSE)</f>
        <v>Yes</v>
      </c>
      <c r="Z1339" s="671"/>
      <c r="AA1339" s="665"/>
      <c r="AB1339" s="666"/>
      <c r="AC1339" s="652" t="s">
        <v>654</v>
      </c>
      <c r="AD1339" s="580">
        <v>311</v>
      </c>
      <c r="AE1339" s="580">
        <v>10</v>
      </c>
      <c r="AF1339" s="580">
        <v>311</v>
      </c>
      <c r="AG1339" s="580">
        <v>10</v>
      </c>
      <c r="AH1339" s="580"/>
      <c r="AI1339" s="684"/>
      <c r="AJ1339" s="569"/>
      <c r="AK1339" s="569"/>
      <c r="AL1339" s="569"/>
      <c r="AM1339" s="569"/>
      <c r="AN1339" s="619"/>
      <c r="AO1339" s="829" t="str">
        <f t="shared" si="284"/>
        <v>Yes</v>
      </c>
      <c r="AP1339" s="259" t="str">
        <f t="shared" si="285"/>
        <v>NOV 22</v>
      </c>
      <c r="AQ1339" s="547" t="str">
        <f t="shared" si="286"/>
        <v>有定金+有預留客戶</v>
      </c>
      <c r="AR1339" s="259" t="str">
        <f t="shared" si="287"/>
        <v>Shipped_Stock</v>
      </c>
      <c r="AS1339" s="259" t="str">
        <f t="shared" si="288"/>
        <v/>
      </c>
      <c r="AT1339" s="259" t="str">
        <f t="shared" si="289"/>
        <v>深圳健科</v>
      </c>
      <c r="AU1339" s="259" t="str">
        <f t="shared" si="290"/>
        <v>C49SZX20220119DZ</v>
      </c>
      <c r="AV1339" s="259" t="str">
        <f t="shared" si="291"/>
        <v>Sep-12</v>
      </c>
    </row>
    <row r="1340" spans="1:48" hidden="1">
      <c r="A1340" s="604">
        <v>1641</v>
      </c>
      <c r="B1340" s="669" t="s">
        <v>1125</v>
      </c>
      <c r="C1340" s="669" t="s">
        <v>281</v>
      </c>
      <c r="D1340" s="760">
        <v>111053</v>
      </c>
      <c r="E1340" s="749" t="s">
        <v>2594</v>
      </c>
      <c r="F1340" s="652" t="s">
        <v>17</v>
      </c>
      <c r="G1340" s="652" t="s">
        <v>18</v>
      </c>
      <c r="H1340" s="652" t="s">
        <v>102</v>
      </c>
      <c r="I1340" s="580" t="s">
        <v>2595</v>
      </c>
      <c r="J1340" s="580">
        <v>1</v>
      </c>
      <c r="K1340" s="652" t="s">
        <v>78</v>
      </c>
      <c r="L1340" s="662">
        <v>44830</v>
      </c>
      <c r="M1340" s="722">
        <v>5.1900000000000002E-2</v>
      </c>
      <c r="N1340" s="652" t="s">
        <v>215</v>
      </c>
      <c r="O1340" s="580">
        <v>2022.8</v>
      </c>
      <c r="P1340" s="670" t="str">
        <f>VLOOKUP(A1340,'[1]Raw data'!$B:$BA,23,FALSE)</f>
        <v>JPY</v>
      </c>
      <c r="Q1340" s="652" t="str">
        <f>VLOOKUP(A1340,'[1]Raw data'!$B:$Z,2,FALSE)</f>
        <v>C49SZX20220124JL</v>
      </c>
      <c r="R1340" s="652" t="str">
        <f>VLOOKUP(A1340,'[1]Raw data'!$B:$Z,3,FALSE)</f>
        <v>金睿通</v>
      </c>
      <c r="S1340" s="652" t="str">
        <f>VLOOKUP(A1340,'[1]Raw data'!$B:$Z,4,FALSE)</f>
        <v>YSM10</v>
      </c>
      <c r="T1340" s="652" t="str">
        <f>VLOOKUP(A1340,'[1]Raw data'!$B:$Z,8,FALSE)</f>
        <v>L-&gt;R</v>
      </c>
      <c r="U1340" s="652" t="str">
        <f>VLOOKUP(A1340,'[1]Raw data'!$B:$Z,9,FALSE)</f>
        <v>MVC</v>
      </c>
      <c r="V1340" s="572" t="str">
        <f t="shared" ref="V1340:V1348" si="303">IF(G1340&amp;H1340=T1340&amp;U1340,"OK","WRONG")</f>
        <v>WRONG</v>
      </c>
      <c r="W1340" s="568" t="str">
        <f>VLOOKUP(A1340,'[1]Raw data'!$B:$AG,32,FALSE)</f>
        <v>CIF HK</v>
      </c>
      <c r="X1340" s="652">
        <f>VLOOKUP(A1340,'[1]Raw data'!$B:$BA,31,FALSE)</f>
        <v>44895</v>
      </c>
      <c r="Y1340" s="652" t="str">
        <f>VLOOKUP(A1340,'[1]Raw data'!$B:$AS,39,FALSE)</f>
        <v>Yes</v>
      </c>
      <c r="Z1340" s="671"/>
      <c r="AA1340" s="665"/>
      <c r="AB1340" s="666"/>
      <c r="AC1340" s="652" t="s">
        <v>2556</v>
      </c>
      <c r="AD1340" s="580">
        <v>301</v>
      </c>
      <c r="AE1340" s="580">
        <v>5</v>
      </c>
      <c r="AF1340" s="580">
        <v>302</v>
      </c>
      <c r="AG1340" s="580">
        <v>5</v>
      </c>
      <c r="AH1340" s="580"/>
      <c r="AI1340" s="684"/>
      <c r="AJ1340" s="569"/>
      <c r="AK1340" s="569"/>
      <c r="AL1340" s="569"/>
      <c r="AM1340" s="569"/>
      <c r="AN1340" s="619"/>
      <c r="AO1340" s="829" t="str">
        <f t="shared" si="284"/>
        <v>Yes</v>
      </c>
      <c r="AP1340" s="259" t="str">
        <f t="shared" si="285"/>
        <v>JAN 23</v>
      </c>
      <c r="AQ1340" s="547" t="str">
        <f t="shared" si="286"/>
        <v>有定金+有預留客戶</v>
      </c>
      <c r="AR1340" s="259" t="str">
        <f t="shared" si="287"/>
        <v>Shipped_Stock</v>
      </c>
      <c r="AS1340" s="259" t="str">
        <f t="shared" si="288"/>
        <v/>
      </c>
      <c r="AT1340" s="259" t="str">
        <f t="shared" si="289"/>
        <v>金睿通</v>
      </c>
      <c r="AU1340" s="259" t="str">
        <f t="shared" si="290"/>
        <v>C49SZX20220124JL</v>
      </c>
      <c r="AV1340" s="259" t="str">
        <f t="shared" si="291"/>
        <v>Sep-26</v>
      </c>
    </row>
    <row r="1341" spans="1:48" hidden="1">
      <c r="A1341" s="564">
        <v>1693</v>
      </c>
      <c r="B1341" s="669" t="s">
        <v>1125</v>
      </c>
      <c r="C1341" s="669" t="s">
        <v>281</v>
      </c>
      <c r="D1341" s="760">
        <v>111053</v>
      </c>
      <c r="E1341" s="749" t="s">
        <v>2594</v>
      </c>
      <c r="F1341" s="652" t="s">
        <v>17</v>
      </c>
      <c r="G1341" s="652" t="s">
        <v>18</v>
      </c>
      <c r="H1341" s="652" t="s">
        <v>102</v>
      </c>
      <c r="I1341" s="580" t="s">
        <v>2596</v>
      </c>
      <c r="J1341" s="580">
        <v>1</v>
      </c>
      <c r="K1341" s="652" t="s">
        <v>78</v>
      </c>
      <c r="L1341" s="662">
        <v>44830</v>
      </c>
      <c r="M1341" s="722">
        <v>5.1900000000000002E-2</v>
      </c>
      <c r="N1341" s="652" t="s">
        <v>215</v>
      </c>
      <c r="O1341" s="580">
        <v>2022.8</v>
      </c>
      <c r="P1341" s="670" t="str">
        <f>VLOOKUP(A1341,'[1]Raw data'!$B:$BA,23,FALSE)</f>
        <v>JPY</v>
      </c>
      <c r="Q1341" s="652" t="str">
        <f>VLOOKUP(A1341,'[1]Raw data'!$B:$Z,2,FALSE)</f>
        <v>C49SZX20220070JY</v>
      </c>
      <c r="R1341" s="652" t="str">
        <f>VLOOKUP(A1341,'[1]Raw data'!$B:$Z,3,FALSE)</f>
        <v>宏翔福</v>
      </c>
      <c r="S1341" s="652" t="str">
        <f>VLOOKUP(A1341,'[1]Raw data'!$B:$Z,4,FALSE)</f>
        <v>YSM10</v>
      </c>
      <c r="T1341" s="652" t="str">
        <f>VLOOKUP(A1341,'[1]Raw data'!$B:$Z,8,FALSE)</f>
        <v>R-&gt;L</v>
      </c>
      <c r="U1341" s="652" t="str">
        <f>VLOOKUP(A1341,'[1]Raw data'!$B:$Z,9,FALSE)</f>
        <v>MVC</v>
      </c>
      <c r="V1341" s="572" t="str">
        <f t="shared" si="303"/>
        <v>WRONG</v>
      </c>
      <c r="W1341" s="568" t="str">
        <f>VLOOKUP(A1341,'[1]Raw data'!$B:$AG,32,FALSE)</f>
        <v>CIF HK</v>
      </c>
      <c r="X1341" s="652">
        <f>VLOOKUP(A1341,'[1]Raw data'!$B:$BA,31,FALSE)</f>
        <v>44740</v>
      </c>
      <c r="Y1341" s="652" t="str">
        <f>VLOOKUP(A1341,'[1]Raw data'!$B:$AS,39,FALSE)</f>
        <v>Yes</v>
      </c>
      <c r="Z1341" s="671"/>
      <c r="AA1341" s="665"/>
      <c r="AB1341" s="666"/>
      <c r="AC1341" s="652" t="s">
        <v>2597</v>
      </c>
      <c r="AD1341" s="667">
        <v>301</v>
      </c>
      <c r="AE1341" s="667">
        <v>5</v>
      </c>
      <c r="AF1341" s="667">
        <v>302</v>
      </c>
      <c r="AG1341" s="667">
        <v>5</v>
      </c>
      <c r="AH1341" s="667"/>
      <c r="AI1341" s="668"/>
      <c r="AN1341" s="547"/>
      <c r="AO1341" s="829" t="str">
        <f t="shared" si="284"/>
        <v>Yes</v>
      </c>
      <c r="AP1341" s="259" t="str">
        <f t="shared" si="285"/>
        <v>JAN 23</v>
      </c>
      <c r="AQ1341" s="547" t="str">
        <f t="shared" si="286"/>
        <v>有定金+有預留客戶</v>
      </c>
      <c r="AR1341" s="259" t="str">
        <f t="shared" si="287"/>
        <v>Shipped_Stock</v>
      </c>
      <c r="AS1341" s="259" t="str">
        <f t="shared" si="288"/>
        <v/>
      </c>
      <c r="AT1341" s="259" t="str">
        <f t="shared" si="289"/>
        <v>宏翔福</v>
      </c>
      <c r="AU1341" s="259" t="str">
        <f t="shared" si="290"/>
        <v>C49SZX20220070JY</v>
      </c>
      <c r="AV1341" s="259" t="str">
        <f t="shared" si="291"/>
        <v>Sep-26</v>
      </c>
    </row>
    <row r="1342" spans="1:48" hidden="1">
      <c r="A1342" s="564">
        <v>1692</v>
      </c>
      <c r="B1342" s="669" t="s">
        <v>1125</v>
      </c>
      <c r="C1342" s="669" t="s">
        <v>281</v>
      </c>
      <c r="D1342" s="760">
        <v>111053</v>
      </c>
      <c r="E1342" s="749" t="s">
        <v>2594</v>
      </c>
      <c r="F1342" s="652" t="s">
        <v>17</v>
      </c>
      <c r="G1342" s="652" t="s">
        <v>18</v>
      </c>
      <c r="H1342" s="652" t="s">
        <v>102</v>
      </c>
      <c r="I1342" s="580" t="s">
        <v>2598</v>
      </c>
      <c r="J1342" s="580">
        <v>1</v>
      </c>
      <c r="K1342" s="652" t="s">
        <v>78</v>
      </c>
      <c r="L1342" s="662">
        <v>44830</v>
      </c>
      <c r="M1342" s="722">
        <v>5.1900000000000002E-2</v>
      </c>
      <c r="N1342" s="652" t="s">
        <v>215</v>
      </c>
      <c r="O1342" s="580">
        <v>2022.8</v>
      </c>
      <c r="P1342" s="670" t="str">
        <f>VLOOKUP(A1342,'[1]Raw data'!$B:$BA,23,FALSE)</f>
        <v>JPY</v>
      </c>
      <c r="Q1342" s="652" t="str">
        <f>VLOOKUP(A1342,'[1]Raw data'!$B:$Z,2,FALSE)</f>
        <v>C49SZX20220070JY</v>
      </c>
      <c r="R1342" s="652" t="str">
        <f>VLOOKUP(A1342,'[1]Raw data'!$B:$Z,3,FALSE)</f>
        <v>宏翔福</v>
      </c>
      <c r="S1342" s="652" t="str">
        <f>VLOOKUP(A1342,'[1]Raw data'!$B:$Z,4,FALSE)</f>
        <v>YSM10</v>
      </c>
      <c r="T1342" s="652" t="str">
        <f>VLOOKUP(A1342,'[1]Raw data'!$B:$Z,8,FALSE)</f>
        <v>L-&gt;R</v>
      </c>
      <c r="U1342" s="652" t="str">
        <f>VLOOKUP(A1342,'[1]Raw data'!$B:$Z,9,FALSE)</f>
        <v>MVC</v>
      </c>
      <c r="V1342" s="572" t="str">
        <f t="shared" si="303"/>
        <v>WRONG</v>
      </c>
      <c r="W1342" s="568" t="str">
        <f>VLOOKUP(A1342,'[1]Raw data'!$B:$AG,32,FALSE)</f>
        <v>CIF HK</v>
      </c>
      <c r="X1342" s="652">
        <f>VLOOKUP(A1342,'[1]Raw data'!$B:$BA,31,FALSE)</f>
        <v>44740</v>
      </c>
      <c r="Y1342" s="652" t="str">
        <f>VLOOKUP(A1342,'[1]Raw data'!$B:$AS,39,FALSE)</f>
        <v>Yes</v>
      </c>
      <c r="Z1342" s="671"/>
      <c r="AA1342" s="665"/>
      <c r="AB1342" s="666"/>
      <c r="AC1342" s="652" t="s">
        <v>2597</v>
      </c>
      <c r="AD1342" s="667">
        <v>301</v>
      </c>
      <c r="AE1342" s="667">
        <v>5</v>
      </c>
      <c r="AF1342" s="667">
        <v>302</v>
      </c>
      <c r="AG1342" s="667">
        <v>5</v>
      </c>
      <c r="AH1342" s="667"/>
      <c r="AI1342" s="668"/>
      <c r="AN1342" s="547"/>
      <c r="AO1342" s="829" t="str">
        <f t="shared" si="284"/>
        <v>Yes</v>
      </c>
      <c r="AP1342" s="259" t="str">
        <f t="shared" si="285"/>
        <v>JAN 23</v>
      </c>
      <c r="AQ1342" s="547" t="str">
        <f t="shared" si="286"/>
        <v>有定金+有預留客戶</v>
      </c>
      <c r="AR1342" s="259" t="str">
        <f t="shared" si="287"/>
        <v>Shipped_Stock</v>
      </c>
      <c r="AS1342" s="259" t="str">
        <f t="shared" si="288"/>
        <v/>
      </c>
      <c r="AT1342" s="259" t="str">
        <f t="shared" si="289"/>
        <v>宏翔福</v>
      </c>
      <c r="AU1342" s="259" t="str">
        <f t="shared" si="290"/>
        <v>C49SZX20220070JY</v>
      </c>
      <c r="AV1342" s="259" t="str">
        <f t="shared" si="291"/>
        <v>Sep-26</v>
      </c>
    </row>
    <row r="1343" spans="1:48" ht="13.5" hidden="1" thickBot="1">
      <c r="A1343" s="564">
        <v>1871</v>
      </c>
      <c r="B1343" s="669" t="s">
        <v>1125</v>
      </c>
      <c r="C1343" s="669" t="s">
        <v>281</v>
      </c>
      <c r="D1343" s="629">
        <v>111051</v>
      </c>
      <c r="E1343" s="741" t="s">
        <v>2337</v>
      </c>
      <c r="F1343" s="652" t="s">
        <v>58</v>
      </c>
      <c r="G1343" s="652" t="s">
        <v>24</v>
      </c>
      <c r="H1343" s="652" t="s">
        <v>26</v>
      </c>
      <c r="I1343" s="580" t="s">
        <v>2599</v>
      </c>
      <c r="J1343" s="580">
        <v>1</v>
      </c>
      <c r="K1343" s="652" t="s">
        <v>2407</v>
      </c>
      <c r="L1343" s="662">
        <v>44830</v>
      </c>
      <c r="M1343" s="796">
        <v>5.1700000000000003E-2</v>
      </c>
      <c r="N1343" s="652" t="s">
        <v>216</v>
      </c>
      <c r="O1343" s="580">
        <v>2022.9</v>
      </c>
      <c r="P1343" s="670" t="str">
        <f>VLOOKUP(A1343,'[1]Raw data'!$B:$BA,23,FALSE)</f>
        <v>RMB</v>
      </c>
      <c r="Q1343" s="652" t="str">
        <f>VLOOKUP(A1343,'[1]Raw data'!$B:$Z,2,FALSE)</f>
        <v>C49SZX20230040JY</v>
      </c>
      <c r="R1343" s="652" t="str">
        <f>VLOOKUP(A1343,'[1]Raw data'!$B:$Z,3,FALSE)</f>
        <v>百纳海</v>
      </c>
      <c r="S1343" s="652" t="str">
        <f>VLOOKUP(A1343,'[1]Raw data'!$B:$Z,4,FALSE)</f>
        <v>YSM20R-2</v>
      </c>
      <c r="T1343" s="652" t="str">
        <f>VLOOKUP(A1343,'[1]Raw data'!$B:$Z,8,FALSE)</f>
        <v>L-&gt;R</v>
      </c>
      <c r="U1343" s="652" t="str">
        <f>VLOOKUP(A1343,'[1]Raw data'!$B:$Z,9,FALSE)</f>
        <v>No</v>
      </c>
      <c r="V1343" s="572" t="str">
        <f t="shared" si="303"/>
        <v>OK</v>
      </c>
      <c r="W1343" s="568" t="str">
        <f>VLOOKUP(A1343,'[1]Raw data'!$B:$AG,32,FALSE)</f>
        <v>DDP SZ</v>
      </c>
      <c r="X1343" s="652">
        <f>VLOOKUP(A1343,'[1]Raw data'!$B:$BA,31,FALSE)</f>
        <v>44995</v>
      </c>
      <c r="Y1343" s="652" t="str">
        <f>VLOOKUP(A1343,'[1]Raw data'!$B:$AS,39,FALSE)</f>
        <v>Yes</v>
      </c>
      <c r="Z1343" s="664"/>
      <c r="AA1343" s="715"/>
      <c r="AB1343" s="667"/>
      <c r="AC1343" s="580" t="s">
        <v>2600</v>
      </c>
      <c r="AD1343" s="667">
        <v>301</v>
      </c>
      <c r="AE1343" s="667">
        <v>10</v>
      </c>
      <c r="AF1343" s="667">
        <v>311</v>
      </c>
      <c r="AG1343" s="668">
        <v>5</v>
      </c>
      <c r="AH1343" s="576">
        <v>312</v>
      </c>
      <c r="AI1343" s="576">
        <v>5</v>
      </c>
      <c r="AL1343" s="547"/>
      <c r="AM1343" s="547"/>
      <c r="AN1343" s="547"/>
      <c r="AO1343" s="829" t="str">
        <f t="shared" si="284"/>
        <v>Yes</v>
      </c>
      <c r="AP1343" s="259" t="str">
        <f t="shared" si="285"/>
        <v>MAR 23</v>
      </c>
      <c r="AQ1343" s="547" t="str">
        <f t="shared" si="286"/>
        <v>有定金+有預留客戶</v>
      </c>
      <c r="AR1343" s="259" t="str">
        <f t="shared" si="287"/>
        <v>Shipped_Stock</v>
      </c>
      <c r="AS1343" s="259" t="str">
        <f t="shared" si="288"/>
        <v/>
      </c>
      <c r="AT1343" s="259" t="str">
        <f t="shared" si="289"/>
        <v>百纳海</v>
      </c>
      <c r="AU1343" s="259" t="str">
        <f t="shared" si="290"/>
        <v>C49SZX20230040JY</v>
      </c>
      <c r="AV1343" s="259" t="str">
        <f t="shared" si="291"/>
        <v>Sep-26</v>
      </c>
    </row>
    <row r="1344" spans="1:48" ht="13.5" hidden="1" thickBot="1">
      <c r="A1344" s="564">
        <v>1872</v>
      </c>
      <c r="B1344" s="669" t="s">
        <v>1125</v>
      </c>
      <c r="C1344" s="669" t="s">
        <v>281</v>
      </c>
      <c r="D1344" s="629">
        <v>111051</v>
      </c>
      <c r="E1344" s="741" t="s">
        <v>2337</v>
      </c>
      <c r="F1344" s="652" t="s">
        <v>58</v>
      </c>
      <c r="G1344" s="652" t="s">
        <v>24</v>
      </c>
      <c r="H1344" s="652" t="s">
        <v>26</v>
      </c>
      <c r="I1344" s="580" t="s">
        <v>2601</v>
      </c>
      <c r="J1344" s="580">
        <v>1</v>
      </c>
      <c r="K1344" s="652" t="s">
        <v>2407</v>
      </c>
      <c r="L1344" s="662">
        <v>44830</v>
      </c>
      <c r="M1344" s="722">
        <v>5.1700000000000003E-2</v>
      </c>
      <c r="N1344" s="652" t="s">
        <v>216</v>
      </c>
      <c r="O1344" s="580">
        <v>2022.9</v>
      </c>
      <c r="P1344" s="670" t="str">
        <f>VLOOKUP(A1344,'[1]Raw data'!$B:$BA,23,FALSE)</f>
        <v>RMB</v>
      </c>
      <c r="Q1344" s="652" t="str">
        <f>VLOOKUP(A1344,'[1]Raw data'!$B:$Z,2,FALSE)</f>
        <v>C49SZX20230040JY</v>
      </c>
      <c r="R1344" s="652" t="str">
        <f>VLOOKUP(A1344,'[1]Raw data'!$B:$Z,3,FALSE)</f>
        <v>百纳海</v>
      </c>
      <c r="S1344" s="652" t="str">
        <f>VLOOKUP(A1344,'[1]Raw data'!$B:$Z,4,FALSE)</f>
        <v>YSM20R-2</v>
      </c>
      <c r="T1344" s="652" t="str">
        <f>VLOOKUP(A1344,'[1]Raw data'!$B:$Z,8,FALSE)</f>
        <v>L-&gt;R</v>
      </c>
      <c r="U1344" s="652" t="str">
        <f>VLOOKUP(A1344,'[1]Raw data'!$B:$Z,9,FALSE)</f>
        <v>No</v>
      </c>
      <c r="V1344" s="572" t="str">
        <f t="shared" si="303"/>
        <v>OK</v>
      </c>
      <c r="W1344" s="568" t="str">
        <f>VLOOKUP(A1344,'[1]Raw data'!$B:$AG,32,FALSE)</f>
        <v>DDP SZ</v>
      </c>
      <c r="X1344" s="652">
        <f>VLOOKUP(A1344,'[1]Raw data'!$B:$BA,31,FALSE)</f>
        <v>44995</v>
      </c>
      <c r="Y1344" s="652" t="str">
        <f>VLOOKUP(A1344,'[1]Raw data'!$B:$AS,39,FALSE)</f>
        <v>Yes</v>
      </c>
      <c r="Z1344" s="664"/>
      <c r="AA1344" s="667"/>
      <c r="AB1344" s="667"/>
      <c r="AC1344" s="580" t="s">
        <v>2600</v>
      </c>
      <c r="AD1344" s="667">
        <v>301</v>
      </c>
      <c r="AE1344" s="668">
        <v>10</v>
      </c>
      <c r="AF1344" s="576">
        <v>311</v>
      </c>
      <c r="AG1344" s="576">
        <v>5</v>
      </c>
      <c r="AH1344" s="576">
        <v>312</v>
      </c>
      <c r="AI1344" s="576">
        <v>5</v>
      </c>
      <c r="AJ1344" s="547"/>
      <c r="AK1344" s="547"/>
      <c r="AL1344" s="547"/>
      <c r="AM1344" s="547"/>
      <c r="AN1344" s="547"/>
      <c r="AO1344" s="829" t="str">
        <f t="shared" si="284"/>
        <v>Yes</v>
      </c>
      <c r="AP1344" s="259" t="str">
        <f t="shared" si="285"/>
        <v>MAR 23</v>
      </c>
      <c r="AQ1344" s="547" t="str">
        <f t="shared" si="286"/>
        <v>有定金+有預留客戶</v>
      </c>
      <c r="AR1344" s="259" t="str">
        <f t="shared" si="287"/>
        <v>Shipped_Stock</v>
      </c>
      <c r="AS1344" s="259" t="str">
        <f t="shared" si="288"/>
        <v/>
      </c>
      <c r="AT1344" s="259" t="str">
        <f t="shared" si="289"/>
        <v>百纳海</v>
      </c>
      <c r="AU1344" s="259" t="str">
        <f t="shared" si="290"/>
        <v>C49SZX20230040JY</v>
      </c>
      <c r="AV1344" s="259" t="str">
        <f t="shared" si="291"/>
        <v>Sep-26</v>
      </c>
    </row>
    <row r="1345" spans="1:48" hidden="1">
      <c r="A1345" s="604">
        <v>1848</v>
      </c>
      <c r="B1345" s="669" t="s">
        <v>1125</v>
      </c>
      <c r="C1345" s="669" t="s">
        <v>281</v>
      </c>
      <c r="D1345" s="766">
        <v>111051</v>
      </c>
      <c r="E1345" s="749" t="s">
        <v>2337</v>
      </c>
      <c r="F1345" s="652" t="s">
        <v>58</v>
      </c>
      <c r="G1345" s="652" t="s">
        <v>24</v>
      </c>
      <c r="H1345" s="652" t="s">
        <v>26</v>
      </c>
      <c r="I1345" s="580" t="s">
        <v>2602</v>
      </c>
      <c r="J1345" s="580">
        <v>1</v>
      </c>
      <c r="K1345" s="652" t="s">
        <v>2603</v>
      </c>
      <c r="L1345" s="662">
        <v>44830</v>
      </c>
      <c r="M1345" s="722">
        <v>5.1700000000000003E-2</v>
      </c>
      <c r="N1345" s="652" t="s">
        <v>216</v>
      </c>
      <c r="O1345" s="580">
        <v>2022.9</v>
      </c>
      <c r="P1345" s="670" t="str">
        <f>VLOOKUP(A1345,'[1]Raw data'!$B:$BA,23,FALSE)</f>
        <v>RMB</v>
      </c>
      <c r="Q1345" s="652" t="str">
        <f>VLOOKUP(A1345,'[1]Raw data'!$B:$Z,2,FALSE)</f>
        <v>C49SZX20230024MZ</v>
      </c>
      <c r="R1345" s="652" t="str">
        <f>VLOOKUP(A1345,'[1]Raw data'!$B:$Z,3,FALSE)</f>
        <v>斯路迅</v>
      </c>
      <c r="S1345" s="652" t="str">
        <f>VLOOKUP(A1345,'[1]Raw data'!$B:$Z,4,FALSE)</f>
        <v>YSM20R-2</v>
      </c>
      <c r="T1345" s="652" t="str">
        <f>VLOOKUP(A1345,'[1]Raw data'!$B:$Z,8,FALSE)</f>
        <v>L-&gt;R</v>
      </c>
      <c r="U1345" s="652" t="str">
        <f>VLOOKUP(A1345,'[1]Raw data'!$B:$Z,9,FALSE)</f>
        <v>No</v>
      </c>
      <c r="V1345" s="572" t="str">
        <f t="shared" si="303"/>
        <v>OK</v>
      </c>
      <c r="W1345" s="568" t="str">
        <f>VLOOKUP(A1345,'[1]Raw data'!$B:$AG,32,FALSE)</f>
        <v>DDP SZ</v>
      </c>
      <c r="X1345" s="652">
        <f>VLOOKUP(A1345,'[1]Raw data'!$B:$BA,31,FALSE)</f>
        <v>44978</v>
      </c>
      <c r="Y1345" s="652" t="str">
        <f>VLOOKUP(A1345,'[1]Raw data'!$B:$AS,39,FALSE)</f>
        <v>Yes</v>
      </c>
      <c r="Z1345" s="671"/>
      <c r="AA1345" s="665"/>
      <c r="AB1345" s="666"/>
      <c r="AC1345" s="652" t="s">
        <v>2533</v>
      </c>
      <c r="AD1345" s="580">
        <v>301</v>
      </c>
      <c r="AE1345" s="580">
        <v>10</v>
      </c>
      <c r="AF1345" s="580">
        <v>311</v>
      </c>
      <c r="AG1345" s="580">
        <v>5</v>
      </c>
      <c r="AH1345" s="580">
        <v>312</v>
      </c>
      <c r="AI1345" s="580">
        <v>5</v>
      </c>
      <c r="AJ1345" s="569"/>
      <c r="AK1345" s="569"/>
      <c r="AL1345" s="569"/>
      <c r="AM1345" s="569"/>
      <c r="AN1345" s="619"/>
      <c r="AO1345" s="829" t="str">
        <f t="shared" si="284"/>
        <v>Yes</v>
      </c>
      <c r="AP1345" s="259" t="str">
        <f t="shared" si="285"/>
        <v>MAR 23</v>
      </c>
      <c r="AQ1345" s="547" t="str">
        <f t="shared" si="286"/>
        <v>有定金+有預留客戶</v>
      </c>
      <c r="AR1345" s="259" t="str">
        <f t="shared" si="287"/>
        <v>Shipped_Stock</v>
      </c>
      <c r="AS1345" s="259" t="str">
        <f t="shared" si="288"/>
        <v/>
      </c>
      <c r="AT1345" s="259" t="str">
        <f t="shared" si="289"/>
        <v>斯路迅</v>
      </c>
      <c r="AU1345" s="259" t="str">
        <f t="shared" si="290"/>
        <v>C49SZX20230024MZ</v>
      </c>
      <c r="AV1345" s="259" t="str">
        <f t="shared" si="291"/>
        <v>Sep-26</v>
      </c>
    </row>
    <row r="1346" spans="1:48" hidden="1">
      <c r="A1346" s="604">
        <v>1860</v>
      </c>
      <c r="B1346" s="669" t="s">
        <v>1125</v>
      </c>
      <c r="C1346" s="669" t="s">
        <v>281</v>
      </c>
      <c r="D1346" s="760">
        <v>111051</v>
      </c>
      <c r="E1346" s="749" t="s">
        <v>2337</v>
      </c>
      <c r="F1346" s="652" t="s">
        <v>58</v>
      </c>
      <c r="G1346" s="652" t="s">
        <v>24</v>
      </c>
      <c r="H1346" s="652" t="s">
        <v>26</v>
      </c>
      <c r="I1346" s="580" t="s">
        <v>2604</v>
      </c>
      <c r="J1346" s="580">
        <v>1</v>
      </c>
      <c r="K1346" s="652" t="s">
        <v>2407</v>
      </c>
      <c r="L1346" s="662">
        <v>44830</v>
      </c>
      <c r="M1346" s="722">
        <v>5.1700000000000003E-2</v>
      </c>
      <c r="N1346" s="652" t="s">
        <v>216</v>
      </c>
      <c r="O1346" s="580">
        <v>2022.9</v>
      </c>
      <c r="P1346" s="670" t="str">
        <f>VLOOKUP(A1346,'[1]Raw data'!$B:$BA,23,FALSE)</f>
        <v>RMB</v>
      </c>
      <c r="Q1346" s="652" t="str">
        <f>VLOOKUP(A1346,'[1]Raw data'!$B:$Z,2,FALSE)</f>
        <v>C49SZX20230032R1SS</v>
      </c>
      <c r="R1346" s="652" t="str">
        <f>VLOOKUP(A1346,'[1]Raw data'!$B:$Z,3,FALSE)</f>
        <v>四川三创（End use:阿姆斯特）</v>
      </c>
      <c r="S1346" s="652" t="str">
        <f>VLOOKUP(A1346,'[1]Raw data'!$B:$Z,4,FALSE)</f>
        <v>YSM20R-2</v>
      </c>
      <c r="T1346" s="652" t="str">
        <f>VLOOKUP(A1346,'[1]Raw data'!$B:$Z,8,FALSE)</f>
        <v>L-&gt;R</v>
      </c>
      <c r="U1346" s="652" t="str">
        <f>VLOOKUP(A1346,'[1]Raw data'!$B:$Z,9,FALSE)</f>
        <v>No</v>
      </c>
      <c r="V1346" s="572" t="str">
        <f t="shared" si="303"/>
        <v>OK</v>
      </c>
      <c r="W1346" s="568" t="str">
        <f>VLOOKUP(A1346,'[1]Raw data'!$B:$AG,32,FALSE)</f>
        <v>DDP DG</v>
      </c>
      <c r="X1346" s="652">
        <f>VLOOKUP(A1346,'[1]Raw data'!$B:$BA,31,FALSE)</f>
        <v>44985</v>
      </c>
      <c r="Y1346" s="652" t="str">
        <f>VLOOKUP(A1346,'[1]Raw data'!$B:$AS,39,FALSE)</f>
        <v>Yes</v>
      </c>
      <c r="Z1346" s="671"/>
      <c r="AA1346" s="672"/>
      <c r="AB1346" s="673"/>
      <c r="AC1346" s="652" t="s">
        <v>2605</v>
      </c>
      <c r="AD1346" s="580">
        <v>301</v>
      </c>
      <c r="AE1346" s="580">
        <v>10</v>
      </c>
      <c r="AF1346" s="580">
        <v>311</v>
      </c>
      <c r="AG1346" s="580">
        <v>5</v>
      </c>
      <c r="AH1346" s="580">
        <v>312</v>
      </c>
      <c r="AI1346" s="580">
        <v>5</v>
      </c>
      <c r="AJ1346" s="569"/>
      <c r="AK1346" s="569"/>
      <c r="AL1346" s="569"/>
      <c r="AM1346" s="569"/>
      <c r="AN1346" s="619"/>
      <c r="AO1346" s="829" t="str">
        <f t="shared" si="284"/>
        <v>Yes</v>
      </c>
      <c r="AP1346" s="259" t="str">
        <f t="shared" si="285"/>
        <v>MAR 23</v>
      </c>
      <c r="AQ1346" s="547" t="str">
        <f t="shared" si="286"/>
        <v>有定金+有預留客戶</v>
      </c>
      <c r="AR1346" s="259" t="str">
        <f t="shared" si="287"/>
        <v>Shipped_Stock</v>
      </c>
      <c r="AS1346" s="259" t="str">
        <f t="shared" si="288"/>
        <v/>
      </c>
      <c r="AT1346" s="259" t="str">
        <f t="shared" si="289"/>
        <v>四川三创（End use:阿姆斯特）</v>
      </c>
      <c r="AU1346" s="259" t="str">
        <f t="shared" si="290"/>
        <v>C49SZX20230032R1SS</v>
      </c>
      <c r="AV1346" s="259" t="str">
        <f t="shared" si="291"/>
        <v>Sep-26</v>
      </c>
    </row>
    <row r="1347" spans="1:48" hidden="1">
      <c r="A1347" s="564">
        <v>1852</v>
      </c>
      <c r="B1347" s="669" t="s">
        <v>1125</v>
      </c>
      <c r="C1347" s="669" t="s">
        <v>281</v>
      </c>
      <c r="D1347" s="760">
        <v>111051</v>
      </c>
      <c r="E1347" s="749" t="s">
        <v>2337</v>
      </c>
      <c r="F1347" s="652" t="s">
        <v>58</v>
      </c>
      <c r="G1347" s="652" t="s">
        <v>24</v>
      </c>
      <c r="H1347" s="652" t="s">
        <v>26</v>
      </c>
      <c r="I1347" s="580" t="s">
        <v>2606</v>
      </c>
      <c r="J1347" s="580">
        <v>1</v>
      </c>
      <c r="K1347" s="652" t="s">
        <v>1732</v>
      </c>
      <c r="L1347" s="662">
        <v>44830</v>
      </c>
      <c r="M1347" s="670">
        <v>5.1799999999999999E-2</v>
      </c>
      <c r="N1347" s="652" t="s">
        <v>226</v>
      </c>
      <c r="O1347" s="580">
        <v>2022.9</v>
      </c>
      <c r="P1347" s="670" t="str">
        <f>VLOOKUP(A1347,'[1]Raw data'!$B:$BA,23,FALSE)</f>
        <v>RMB</v>
      </c>
      <c r="Q1347" s="652" t="str">
        <f>VLOOKUP(A1347,'[1]Raw data'!$B:$Z,2,FALSE)</f>
        <v>C49SZX20230026EC</v>
      </c>
      <c r="R1347" s="652" t="str">
        <f>VLOOKUP(A1347,'[1]Raw data'!$B:$Z,3,FALSE)</f>
        <v>乐福源</v>
      </c>
      <c r="S1347" s="652" t="str">
        <f>VLOOKUP(A1347,'[1]Raw data'!$B:$Z,4,FALSE)</f>
        <v>YSM20R-2</v>
      </c>
      <c r="T1347" s="652" t="str">
        <f>VLOOKUP(A1347,'[1]Raw data'!$B:$Z,8,FALSE)</f>
        <v>L-&gt;R</v>
      </c>
      <c r="U1347" s="652" t="str">
        <f>VLOOKUP(A1347,'[1]Raw data'!$B:$Z,9,FALSE)</f>
        <v>No</v>
      </c>
      <c r="V1347" s="572" t="str">
        <f t="shared" si="303"/>
        <v>OK</v>
      </c>
      <c r="W1347" s="568" t="str">
        <f>VLOOKUP(A1347,'[1]Raw data'!$B:$AG,32,FALSE)</f>
        <v>DDP HZ</v>
      </c>
      <c r="X1347" s="652">
        <f>VLOOKUP(A1347,'[1]Raw data'!$B:$BA,31,FALSE)</f>
        <v>44979</v>
      </c>
      <c r="Y1347" s="652" t="str">
        <f>VLOOKUP(A1347,'[1]Raw data'!$B:$AS,39,FALSE)</f>
        <v>Yes</v>
      </c>
      <c r="Z1347" s="664"/>
      <c r="AA1347" s="665"/>
      <c r="AB1347" s="666"/>
      <c r="AC1347" s="652" t="s">
        <v>3901</v>
      </c>
      <c r="AD1347" s="667">
        <v>302</v>
      </c>
      <c r="AE1347" s="667">
        <v>10</v>
      </c>
      <c r="AF1347" s="667">
        <v>311</v>
      </c>
      <c r="AG1347" s="667">
        <v>5</v>
      </c>
      <c r="AH1347" s="667">
        <v>312</v>
      </c>
      <c r="AI1347" s="667">
        <v>5</v>
      </c>
      <c r="AN1347" s="547"/>
      <c r="AO1347" s="829" t="str">
        <f t="shared" ref="AO1347:AO1410" si="304">IFERROR(IF(Y1347&lt;&gt;"",Y1347,"No"),"No")</f>
        <v>Yes</v>
      </c>
      <c r="AP1347" s="259" t="str">
        <f t="shared" ref="AP1347:AP1410" si="305">IFERROR(IF(N1347&lt;&gt;"",N1347,"blank"),"NA")</f>
        <v>APR 23</v>
      </c>
      <c r="AQ1347" s="547" t="str">
        <f t="shared" ref="AQ1347:AQ1410" si="306">IFERROR(IF(AND(AO1347="Yes", AP1347&lt;&gt;"blank"), "有定金+有預留客戶", IF(AND(AO1347="Yes", AP1347="blank"), "有定金+无客戶送貨期", IF(AND(OR(AO1347="No", ISBLANK(AO1347), AO1347="NA"), AP1347&lt;&gt;"blank"), "无定金+有預留客戶", IF(AND(OR(AO1347="No", ISBLANK(AO1347), AO1347="NA"), AP1347="blank"), "无定金+无預留客戶", "")))), "")</f>
        <v>有定金+有預留客戶</v>
      </c>
      <c r="AR1347" s="259" t="str">
        <f t="shared" ref="AR1347:AR1410" si="307">IFERROR(IF(B1347="已经到货", "Instock", IF(B1347="有交期", "Incoming_Stock_With_YAMAHA_Schedule", IF(B1347="TBA.", "Incoming_Stock_No_YAMAHA_Schedule", IF(B1347="已发货", "Shipped_Stock", "")))), "")</f>
        <v>Shipped_Stock</v>
      </c>
      <c r="AS1347" s="259" t="str">
        <f t="shared" ref="AS1347:AS1410" si="308">IF(AND(B1347="有交期", L1347&lt;&gt;""), L1347, "")</f>
        <v/>
      </c>
      <c r="AT1347" s="259" t="str">
        <f t="shared" ref="AT1347:AT1410" si="309">IFERROR(IF(R1347&lt;&gt;"",R1347),"-")</f>
        <v>乐福源</v>
      </c>
      <c r="AU1347" s="259" t="str">
        <f t="shared" ref="AU1347:AU1410" si="310">IFERROR(IF(Q1347&lt;&gt;"",Q1347),"-")</f>
        <v>C49SZX20230026EC</v>
      </c>
      <c r="AV1347" s="259" t="str">
        <f t="shared" ref="AV1347:AV1410" si="311">IF(L1347="","-",TEXT(L1347,"mmm-dd"))</f>
        <v>Sep-26</v>
      </c>
    </row>
    <row r="1348" spans="1:48" ht="13.5" hidden="1" thickBot="1">
      <c r="A1348" s="604">
        <v>1873</v>
      </c>
      <c r="B1348" s="669" t="s">
        <v>1125</v>
      </c>
      <c r="C1348" s="669" t="s">
        <v>281</v>
      </c>
      <c r="D1348" s="629">
        <v>111051</v>
      </c>
      <c r="E1348" s="749" t="s">
        <v>2337</v>
      </c>
      <c r="F1348" s="652" t="s">
        <v>58</v>
      </c>
      <c r="G1348" s="652" t="s">
        <v>24</v>
      </c>
      <c r="H1348" s="652" t="s">
        <v>26</v>
      </c>
      <c r="I1348" s="580" t="s">
        <v>2607</v>
      </c>
      <c r="J1348" s="580">
        <v>1</v>
      </c>
      <c r="K1348" s="652" t="s">
        <v>2407</v>
      </c>
      <c r="L1348" s="662">
        <v>44830</v>
      </c>
      <c r="M1348" s="722">
        <v>5.1799999999999999E-2</v>
      </c>
      <c r="N1348" s="652" t="s">
        <v>216</v>
      </c>
      <c r="O1348" s="580">
        <v>2022.9</v>
      </c>
      <c r="P1348" s="670" t="str">
        <f>VLOOKUP(A1348,'[1]Raw data'!$B:$BA,23,FALSE)</f>
        <v>RMB</v>
      </c>
      <c r="Q1348" s="652" t="str">
        <f>VLOOKUP(A1348,'[1]Raw data'!$B:$Z,2,FALSE)</f>
        <v>C49SZX20230018MX</v>
      </c>
      <c r="R1348" s="652" t="str">
        <f>VLOOKUP(A1348,'[1]Raw data'!$B:$Z,3,FALSE)</f>
        <v>徕芬</v>
      </c>
      <c r="S1348" s="652" t="str">
        <f>VLOOKUP(A1348,'[1]Raw data'!$B:$Z,4,FALSE)</f>
        <v>YSM20R-2</v>
      </c>
      <c r="T1348" s="652" t="str">
        <f>VLOOKUP(A1348,'[1]Raw data'!$B:$Z,8,FALSE)</f>
        <v>L-&gt;R</v>
      </c>
      <c r="U1348" s="652" t="str">
        <f>VLOOKUP(A1348,'[1]Raw data'!$B:$Z,9,FALSE)</f>
        <v>No</v>
      </c>
      <c r="V1348" s="572" t="str">
        <f t="shared" si="303"/>
        <v>OK</v>
      </c>
      <c r="W1348" s="568" t="str">
        <f>VLOOKUP(A1348,'[1]Raw data'!$B:$AG,32,FALSE)</f>
        <v>DDP DG</v>
      </c>
      <c r="X1348" s="652">
        <f>VLOOKUP(A1348,'[1]Raw data'!$B:$BA,31,FALSE)</f>
        <v>44995</v>
      </c>
      <c r="Y1348" s="652" t="str">
        <f>VLOOKUP(A1348,'[1]Raw data'!$B:$AS,39,FALSE)</f>
        <v>Yes</v>
      </c>
      <c r="Z1348" s="664"/>
      <c r="AA1348" s="665"/>
      <c r="AB1348" s="666"/>
      <c r="AC1348" s="652" t="s">
        <v>3898</v>
      </c>
      <c r="AD1348" s="580">
        <v>302</v>
      </c>
      <c r="AE1348" s="580">
        <v>10</v>
      </c>
      <c r="AF1348" s="580">
        <v>311</v>
      </c>
      <c r="AG1348" s="580">
        <v>5</v>
      </c>
      <c r="AH1348" s="580">
        <v>312</v>
      </c>
      <c r="AI1348" s="580">
        <v>5</v>
      </c>
      <c r="AJ1348" s="569"/>
      <c r="AK1348" s="569"/>
      <c r="AL1348" s="569"/>
      <c r="AM1348" s="569"/>
      <c r="AN1348" s="619"/>
      <c r="AO1348" s="829" t="str">
        <f t="shared" si="304"/>
        <v>Yes</v>
      </c>
      <c r="AP1348" s="259" t="str">
        <f t="shared" si="305"/>
        <v>MAR 23</v>
      </c>
      <c r="AQ1348" s="547" t="str">
        <f t="shared" si="306"/>
        <v>有定金+有預留客戶</v>
      </c>
      <c r="AR1348" s="259" t="str">
        <f t="shared" si="307"/>
        <v>Shipped_Stock</v>
      </c>
      <c r="AS1348" s="259" t="str">
        <f t="shared" si="308"/>
        <v/>
      </c>
      <c r="AT1348" s="259" t="str">
        <f t="shared" si="309"/>
        <v>徕芬</v>
      </c>
      <c r="AU1348" s="259" t="str">
        <f t="shared" si="310"/>
        <v>C49SZX20230018MX</v>
      </c>
      <c r="AV1348" s="259" t="str">
        <f t="shared" si="311"/>
        <v>Sep-26</v>
      </c>
    </row>
    <row r="1349" spans="1:48" hidden="1">
      <c r="A1349" s="564">
        <v>1775</v>
      </c>
      <c r="B1349" s="669" t="s">
        <v>1125</v>
      </c>
      <c r="C1349" s="669" t="s">
        <v>281</v>
      </c>
      <c r="D1349" s="695" t="s">
        <v>2608</v>
      </c>
      <c r="E1349" s="772" t="s">
        <v>2609</v>
      </c>
      <c r="F1349" s="652" t="s">
        <v>58</v>
      </c>
      <c r="G1349" s="652" t="s">
        <v>24</v>
      </c>
      <c r="H1349" s="652" t="s">
        <v>26</v>
      </c>
      <c r="I1349" s="580" t="s">
        <v>2610</v>
      </c>
      <c r="J1349" s="580">
        <v>1</v>
      </c>
      <c r="K1349" s="652" t="s">
        <v>1419</v>
      </c>
      <c r="L1349" s="662" t="s">
        <v>2611</v>
      </c>
      <c r="M1349" s="722">
        <v>5.1900000000000002E-2</v>
      </c>
      <c r="N1349" s="652" t="s">
        <v>217</v>
      </c>
      <c r="O1349" s="580">
        <v>2022.8</v>
      </c>
      <c r="P1349" s="670" t="str">
        <f>VLOOKUP(A1349,'[1]Raw data'!$B:$BA,23,FALSE)</f>
        <v>RMB</v>
      </c>
      <c r="Q1349" s="652" t="str">
        <f>VLOOKUP(A1349,'[1]Raw data'!$B:$Z,2,FALSE)</f>
        <v>C49SZX20220130SX</v>
      </c>
      <c r="R1349" s="652" t="str">
        <f>VLOOKUP(A1349,'[1]Raw data'!$B:$Z,3,FALSE)</f>
        <v>益田科技</v>
      </c>
      <c r="S1349" s="652" t="str">
        <f>VLOOKUP(A1349,'[1]Raw data'!$B:$Z,4,FALSE)</f>
        <v>YSM20R-2</v>
      </c>
      <c r="T1349" s="652" t="str">
        <f>VLOOKUP(A1349,'[1]Raw data'!$B:$Z,8,FALSE)</f>
        <v>L-&gt;R</v>
      </c>
      <c r="U1349" s="652" t="str">
        <f>VLOOKUP(A1349,'[1]Raw data'!$B:$Z,9,FALSE)</f>
        <v>No</v>
      </c>
      <c r="V1349" s="572" t="str">
        <f t="shared" ref="V1349:V1363" si="312">IF(G1349&amp;H1349=T1349&amp;U1349,"OK","WRONG")</f>
        <v>OK</v>
      </c>
      <c r="W1349" s="568" t="str">
        <f>VLOOKUP(A1349,'[1]Raw data'!$B:$AG,32,FALSE)</f>
        <v>DDP SZ</v>
      </c>
      <c r="X1349" s="652">
        <f>VLOOKUP(A1349,'[1]Raw data'!$B:$BA,31,FALSE)</f>
        <v>44903</v>
      </c>
      <c r="Y1349" s="652" t="str">
        <f>VLOOKUP(A1349,'[1]Raw data'!$B:$AS,39,FALSE)</f>
        <v>Yes</v>
      </c>
      <c r="Z1349" s="671"/>
      <c r="AA1349" s="665"/>
      <c r="AB1349" s="666"/>
      <c r="AC1349" s="652" t="s">
        <v>2490</v>
      </c>
      <c r="AD1349" s="667">
        <v>301</v>
      </c>
      <c r="AE1349" s="667">
        <v>10</v>
      </c>
      <c r="AF1349" s="667">
        <v>312</v>
      </c>
      <c r="AG1349" s="667">
        <v>10</v>
      </c>
      <c r="AH1349" s="667"/>
      <c r="AI1349" s="668"/>
      <c r="AN1349" s="547"/>
      <c r="AO1349" s="829" t="str">
        <f t="shared" si="304"/>
        <v>Yes</v>
      </c>
      <c r="AP1349" s="259" t="str">
        <f t="shared" si="305"/>
        <v>FEB 23</v>
      </c>
      <c r="AQ1349" s="547" t="str">
        <f t="shared" si="306"/>
        <v>有定金+有預留客戶</v>
      </c>
      <c r="AR1349" s="259" t="str">
        <f t="shared" si="307"/>
        <v>Shipped_Stock</v>
      </c>
      <c r="AS1349" s="259" t="str">
        <f t="shared" si="308"/>
        <v/>
      </c>
      <c r="AT1349" s="259" t="str">
        <f t="shared" si="309"/>
        <v>益田科技</v>
      </c>
      <c r="AU1349" s="259" t="str">
        <f t="shared" si="310"/>
        <v>C49SZX20220130SX</v>
      </c>
      <c r="AV1349" s="259" t="str">
        <f t="shared" si="311"/>
        <v>2022/10/2,蛇口港</v>
      </c>
    </row>
    <row r="1350" spans="1:48" ht="13.5" hidden="1" thickBot="1">
      <c r="A1350" s="564">
        <v>1829</v>
      </c>
      <c r="B1350" s="669" t="s">
        <v>1125</v>
      </c>
      <c r="C1350" s="669" t="s">
        <v>281</v>
      </c>
      <c r="D1350" s="629" t="s">
        <v>2608</v>
      </c>
      <c r="E1350" s="741" t="s">
        <v>2609</v>
      </c>
      <c r="F1350" s="652" t="s">
        <v>58</v>
      </c>
      <c r="G1350" s="652" t="s">
        <v>24</v>
      </c>
      <c r="H1350" s="652" t="s">
        <v>26</v>
      </c>
      <c r="I1350" s="580" t="s">
        <v>2612</v>
      </c>
      <c r="J1350" s="580">
        <v>1</v>
      </c>
      <c r="K1350" s="652" t="s">
        <v>1419</v>
      </c>
      <c r="L1350" s="662" t="s">
        <v>2611</v>
      </c>
      <c r="M1350" s="722">
        <v>5.1900000000000002E-2</v>
      </c>
      <c r="N1350" s="652" t="s">
        <v>217</v>
      </c>
      <c r="O1350" s="580">
        <v>2022.8</v>
      </c>
      <c r="P1350" s="670" t="str">
        <f>VLOOKUP(A1350,'[1]Raw data'!$B:$BA,23,FALSE)</f>
        <v>RMB</v>
      </c>
      <c r="Q1350" s="652" t="str">
        <f>VLOOKUP(A1350,'[1]Raw data'!$B:$Z,2,FALSE)</f>
        <v>C49SZX202300011SX</v>
      </c>
      <c r="R1350" s="652" t="str">
        <f>VLOOKUP(A1350,'[1]Raw data'!$B:$Z,3,FALSE)</f>
        <v>益田科技</v>
      </c>
      <c r="S1350" s="652" t="str">
        <f>VLOOKUP(A1350,'[1]Raw data'!$B:$Z,4,FALSE)</f>
        <v>YSM20R-2</v>
      </c>
      <c r="T1350" s="652" t="str">
        <f>VLOOKUP(A1350,'[1]Raw data'!$B:$Z,8,FALSE)</f>
        <v>L-&gt;R</v>
      </c>
      <c r="U1350" s="652" t="str">
        <f>VLOOKUP(A1350,'[1]Raw data'!$B:$Z,9,FALSE)</f>
        <v>No</v>
      </c>
      <c r="V1350" s="572" t="str">
        <f t="shared" si="312"/>
        <v>OK</v>
      </c>
      <c r="W1350" s="568" t="str">
        <f>VLOOKUP(A1350,'[1]Raw data'!$B:$AG,32,FALSE)</f>
        <v>DDP SZ</v>
      </c>
      <c r="X1350" s="652">
        <f>VLOOKUP(A1350,'[1]Raw data'!$B:$BA,31,FALSE)</f>
        <v>44960</v>
      </c>
      <c r="Y1350" s="652" t="str">
        <f>VLOOKUP(A1350,'[1]Raw data'!$B:$AS,39,FALSE)</f>
        <v>Yes</v>
      </c>
      <c r="Z1350" s="671"/>
      <c r="AA1350" s="667"/>
      <c r="AB1350" s="667"/>
      <c r="AC1350" s="652" t="s">
        <v>1172</v>
      </c>
      <c r="AD1350" s="569">
        <v>301</v>
      </c>
      <c r="AE1350" s="569">
        <v>10</v>
      </c>
      <c r="AF1350" s="569">
        <v>302</v>
      </c>
      <c r="AG1350" s="569">
        <v>10</v>
      </c>
      <c r="AH1350" s="619"/>
      <c r="AI1350" s="619"/>
      <c r="AJ1350" s="547"/>
      <c r="AK1350" s="547"/>
      <c r="AL1350" s="547"/>
      <c r="AM1350" s="547"/>
      <c r="AN1350" s="547"/>
      <c r="AO1350" s="829" t="str">
        <f t="shared" si="304"/>
        <v>Yes</v>
      </c>
      <c r="AP1350" s="259" t="str">
        <f t="shared" si="305"/>
        <v>FEB 23</v>
      </c>
      <c r="AQ1350" s="547" t="str">
        <f t="shared" si="306"/>
        <v>有定金+有預留客戶</v>
      </c>
      <c r="AR1350" s="259" t="str">
        <f t="shared" si="307"/>
        <v>Shipped_Stock</v>
      </c>
      <c r="AS1350" s="259" t="str">
        <f t="shared" si="308"/>
        <v/>
      </c>
      <c r="AT1350" s="259" t="str">
        <f t="shared" si="309"/>
        <v>益田科技</v>
      </c>
      <c r="AU1350" s="259" t="str">
        <f t="shared" si="310"/>
        <v>C49SZX202300011SX</v>
      </c>
      <c r="AV1350" s="259" t="str">
        <f t="shared" si="311"/>
        <v>2022/10/2,蛇口港</v>
      </c>
    </row>
    <row r="1351" spans="1:48" ht="13.5" hidden="1" thickBot="1">
      <c r="A1351" s="564">
        <v>1830</v>
      </c>
      <c r="B1351" s="669" t="s">
        <v>1125</v>
      </c>
      <c r="C1351" s="669" t="s">
        <v>281</v>
      </c>
      <c r="D1351" s="629" t="s">
        <v>2608</v>
      </c>
      <c r="E1351" s="741" t="s">
        <v>2609</v>
      </c>
      <c r="F1351" s="652" t="s">
        <v>58</v>
      </c>
      <c r="G1351" s="652" t="s">
        <v>24</v>
      </c>
      <c r="H1351" s="652" t="s">
        <v>26</v>
      </c>
      <c r="I1351" s="580" t="s">
        <v>2613</v>
      </c>
      <c r="J1351" s="580">
        <v>1</v>
      </c>
      <c r="K1351" s="652" t="s">
        <v>1419</v>
      </c>
      <c r="L1351" s="662" t="s">
        <v>2611</v>
      </c>
      <c r="M1351" s="722">
        <v>5.1900000000000002E-2</v>
      </c>
      <c r="N1351" s="652" t="s">
        <v>217</v>
      </c>
      <c r="O1351" s="580">
        <v>2022.8</v>
      </c>
      <c r="P1351" s="670" t="str">
        <f>VLOOKUP(A1351,'[1]Raw data'!$B:$BA,23,FALSE)</f>
        <v>RMB</v>
      </c>
      <c r="Q1351" s="652" t="str">
        <f>VLOOKUP(A1351,'[1]Raw data'!$B:$Z,2,FALSE)</f>
        <v>C49SZX202300011SX</v>
      </c>
      <c r="R1351" s="652" t="str">
        <f>VLOOKUP(A1351,'[1]Raw data'!$B:$Z,3,FALSE)</f>
        <v>益田科技</v>
      </c>
      <c r="S1351" s="652" t="str">
        <f>VLOOKUP(A1351,'[1]Raw data'!$B:$Z,4,FALSE)</f>
        <v>YSM20R-2</v>
      </c>
      <c r="T1351" s="652" t="str">
        <f>VLOOKUP(A1351,'[1]Raw data'!$B:$Z,8,FALSE)</f>
        <v>L-&gt;R</v>
      </c>
      <c r="U1351" s="652" t="str">
        <f>VLOOKUP(A1351,'[1]Raw data'!$B:$Z,9,FALSE)</f>
        <v>No</v>
      </c>
      <c r="V1351" s="572" t="str">
        <f t="shared" si="312"/>
        <v>OK</v>
      </c>
      <c r="W1351" s="568" t="str">
        <f>VLOOKUP(A1351,'[1]Raw data'!$B:$AG,32,FALSE)</f>
        <v>DDP SZ</v>
      </c>
      <c r="X1351" s="652">
        <f>VLOOKUP(A1351,'[1]Raw data'!$B:$BA,31,FALSE)</f>
        <v>44960</v>
      </c>
      <c r="Y1351" s="652" t="str">
        <f>VLOOKUP(A1351,'[1]Raw data'!$B:$AS,39,FALSE)</f>
        <v>Yes</v>
      </c>
      <c r="Z1351" s="671"/>
      <c r="AA1351" s="668"/>
      <c r="AB1351" s="576"/>
      <c r="AC1351" s="652" t="s">
        <v>1172</v>
      </c>
      <c r="AD1351" s="569">
        <v>311</v>
      </c>
      <c r="AE1351" s="569">
        <v>10</v>
      </c>
      <c r="AF1351" s="619">
        <v>312</v>
      </c>
      <c r="AG1351" s="619">
        <v>10</v>
      </c>
      <c r="AH1351" s="619"/>
      <c r="AI1351" s="619"/>
      <c r="AJ1351" s="547"/>
      <c r="AK1351" s="547"/>
      <c r="AL1351" s="547"/>
      <c r="AM1351" s="547"/>
      <c r="AN1351" s="547"/>
      <c r="AO1351" s="829" t="str">
        <f t="shared" si="304"/>
        <v>Yes</v>
      </c>
      <c r="AP1351" s="259" t="str">
        <f t="shared" si="305"/>
        <v>FEB 23</v>
      </c>
      <c r="AQ1351" s="547" t="str">
        <f t="shared" si="306"/>
        <v>有定金+有預留客戶</v>
      </c>
      <c r="AR1351" s="259" t="str">
        <f t="shared" si="307"/>
        <v>Shipped_Stock</v>
      </c>
      <c r="AS1351" s="259" t="str">
        <f t="shared" si="308"/>
        <v/>
      </c>
      <c r="AT1351" s="259" t="str">
        <f t="shared" si="309"/>
        <v>益田科技</v>
      </c>
      <c r="AU1351" s="259" t="str">
        <f t="shared" si="310"/>
        <v>C49SZX202300011SX</v>
      </c>
      <c r="AV1351" s="259" t="str">
        <f t="shared" si="311"/>
        <v>2022/10/2,蛇口港</v>
      </c>
    </row>
    <row r="1352" spans="1:48" hidden="1">
      <c r="A1352" s="564">
        <v>1892</v>
      </c>
      <c r="B1352" s="669" t="s">
        <v>1125</v>
      </c>
      <c r="C1352" s="669" t="s">
        <v>281</v>
      </c>
      <c r="D1352" s="650" t="s">
        <v>2608</v>
      </c>
      <c r="E1352" s="772" t="s">
        <v>2609</v>
      </c>
      <c r="F1352" s="652" t="s">
        <v>58</v>
      </c>
      <c r="G1352" s="652" t="s">
        <v>24</v>
      </c>
      <c r="H1352" s="652" t="s">
        <v>26</v>
      </c>
      <c r="I1352" s="580" t="s">
        <v>2614</v>
      </c>
      <c r="J1352" s="580">
        <v>1</v>
      </c>
      <c r="K1352" s="652" t="s">
        <v>1419</v>
      </c>
      <c r="L1352" s="662" t="s">
        <v>2611</v>
      </c>
      <c r="M1352" s="722">
        <v>5.1900000000000002E-2</v>
      </c>
      <c r="N1352" s="652" t="s">
        <v>216</v>
      </c>
      <c r="O1352" s="580">
        <v>2022.8</v>
      </c>
      <c r="P1352" s="670" t="str">
        <f>VLOOKUP(A1352,'[1]Raw data'!$B:$BA,23,FALSE)</f>
        <v>RMB</v>
      </c>
      <c r="Q1352" s="652" t="str">
        <f>VLOOKUP(A1352,'[1]Raw data'!$B:$Z,2,FALSE)</f>
        <v>C49SZX20230045RSX</v>
      </c>
      <c r="R1352" s="652" t="str">
        <f>VLOOKUP(A1352,'[1]Raw data'!$B:$Z,3,FALSE)</f>
        <v>安林</v>
      </c>
      <c r="S1352" s="652" t="str">
        <f>VLOOKUP(A1352,'[1]Raw data'!$B:$Z,4,FALSE)</f>
        <v>YSM20R-2</v>
      </c>
      <c r="T1352" s="652" t="str">
        <f>VLOOKUP(A1352,'[1]Raw data'!$B:$Z,8,FALSE)</f>
        <v>L-&gt;R</v>
      </c>
      <c r="U1352" s="652" t="str">
        <f>VLOOKUP(A1352,'[1]Raw data'!$B:$Z,9,FALSE)</f>
        <v>No</v>
      </c>
      <c r="V1352" s="572" t="str">
        <f t="shared" si="312"/>
        <v>OK</v>
      </c>
      <c r="W1352" s="568" t="str">
        <f>VLOOKUP(A1352,'[1]Raw data'!$B:$AG,32,FALSE)</f>
        <v>DDP DG</v>
      </c>
      <c r="X1352" s="652">
        <f>VLOOKUP(A1352,'[1]Raw data'!$B:$BA,31,FALSE)</f>
        <v>45001</v>
      </c>
      <c r="Y1352" s="652" t="str">
        <f>VLOOKUP(A1352,'[1]Raw data'!$B:$AS,39,FALSE)</f>
        <v>Yes</v>
      </c>
      <c r="Z1352" s="664"/>
      <c r="AA1352" s="665"/>
      <c r="AB1352" s="666"/>
      <c r="AC1352" s="652" t="s">
        <v>2615</v>
      </c>
      <c r="AD1352" s="667">
        <v>311</v>
      </c>
      <c r="AE1352" s="667">
        <v>10</v>
      </c>
      <c r="AF1352" s="667">
        <v>302</v>
      </c>
      <c r="AG1352" s="667">
        <v>10</v>
      </c>
      <c r="AH1352" s="667"/>
      <c r="AI1352" s="668"/>
      <c r="AN1352" s="547"/>
      <c r="AO1352" s="829" t="str">
        <f t="shared" si="304"/>
        <v>Yes</v>
      </c>
      <c r="AP1352" s="259" t="str">
        <f t="shared" si="305"/>
        <v>MAR 23</v>
      </c>
      <c r="AQ1352" s="547" t="str">
        <f t="shared" si="306"/>
        <v>有定金+有預留客戶</v>
      </c>
      <c r="AR1352" s="259" t="str">
        <f t="shared" si="307"/>
        <v>Shipped_Stock</v>
      </c>
      <c r="AS1352" s="259" t="str">
        <f t="shared" si="308"/>
        <v/>
      </c>
      <c r="AT1352" s="259" t="str">
        <f t="shared" si="309"/>
        <v>安林</v>
      </c>
      <c r="AU1352" s="259" t="str">
        <f t="shared" si="310"/>
        <v>C49SZX20230045RSX</v>
      </c>
      <c r="AV1352" s="259" t="str">
        <f t="shared" si="311"/>
        <v>2022/10/2,蛇口港</v>
      </c>
    </row>
    <row r="1353" spans="1:48" hidden="1">
      <c r="A1353" s="564">
        <v>1795</v>
      </c>
      <c r="B1353" s="669" t="s">
        <v>1125</v>
      </c>
      <c r="C1353" s="669" t="s">
        <v>281</v>
      </c>
      <c r="D1353" s="650" t="s">
        <v>2608</v>
      </c>
      <c r="E1353" s="772" t="s">
        <v>2609</v>
      </c>
      <c r="F1353" s="652" t="s">
        <v>58</v>
      </c>
      <c r="G1353" s="652" t="s">
        <v>24</v>
      </c>
      <c r="H1353" s="652" t="s">
        <v>26</v>
      </c>
      <c r="I1353" s="580" t="s">
        <v>2616</v>
      </c>
      <c r="J1353" s="580">
        <v>1</v>
      </c>
      <c r="K1353" s="652" t="s">
        <v>1419</v>
      </c>
      <c r="L1353" s="662" t="s">
        <v>2611</v>
      </c>
      <c r="M1353" s="722">
        <v>5.1900000000000002E-2</v>
      </c>
      <c r="N1353" s="652" t="s">
        <v>217</v>
      </c>
      <c r="O1353" s="580">
        <v>2022.8</v>
      </c>
      <c r="P1353" s="670" t="str">
        <f>VLOOKUP(A1353,'[1]Raw data'!$B:$BA,23,FALSE)</f>
        <v>RMB</v>
      </c>
      <c r="Q1353" s="652" t="str">
        <f>VLOOKUP(A1353,'[1]Raw data'!$B:$Z,2,FALSE)</f>
        <v>C49SZX20230008SS</v>
      </c>
      <c r="R1353" s="652" t="str">
        <f>VLOOKUP(A1353,'[1]Raw data'!$B:$Z,3,FALSE)</f>
        <v>蓝极光</v>
      </c>
      <c r="S1353" s="652" t="str">
        <f>VLOOKUP(A1353,'[1]Raw data'!$B:$Z,4,FALSE)</f>
        <v>YSM20R-2</v>
      </c>
      <c r="T1353" s="652" t="str">
        <f>VLOOKUP(A1353,'[1]Raw data'!$B:$Z,8,FALSE)</f>
        <v>L-&gt;R</v>
      </c>
      <c r="U1353" s="652" t="str">
        <f>VLOOKUP(A1353,'[1]Raw data'!$B:$Z,9,FALSE)</f>
        <v>No</v>
      </c>
      <c r="V1353" s="572" t="str">
        <f t="shared" si="312"/>
        <v>OK</v>
      </c>
      <c r="W1353" s="568" t="str">
        <f>VLOOKUP(A1353,'[1]Raw data'!$B:$AG,32,FALSE)</f>
        <v>DDP SZ</v>
      </c>
      <c r="X1353" s="652">
        <f>VLOOKUP(A1353,'[1]Raw data'!$B:$BA,31,FALSE)</f>
        <v>44925</v>
      </c>
      <c r="Y1353" s="652" t="str">
        <f>VLOOKUP(A1353,'[1]Raw data'!$B:$AS,39,FALSE)</f>
        <v>Yes</v>
      </c>
      <c r="Z1353" s="671"/>
      <c r="AA1353" s="665"/>
      <c r="AB1353" s="666"/>
      <c r="AC1353" s="652" t="s">
        <v>2591</v>
      </c>
      <c r="AD1353" s="667">
        <v>311</v>
      </c>
      <c r="AE1353" s="667">
        <v>10</v>
      </c>
      <c r="AF1353" s="667">
        <v>302</v>
      </c>
      <c r="AG1353" s="667">
        <v>5</v>
      </c>
      <c r="AH1353" s="667">
        <v>303</v>
      </c>
      <c r="AI1353" s="668">
        <v>5</v>
      </c>
      <c r="AN1353" s="547"/>
      <c r="AO1353" s="829" t="str">
        <f t="shared" si="304"/>
        <v>Yes</v>
      </c>
      <c r="AP1353" s="259" t="str">
        <f t="shared" si="305"/>
        <v>FEB 23</v>
      </c>
      <c r="AQ1353" s="547" t="str">
        <f t="shared" si="306"/>
        <v>有定金+有預留客戶</v>
      </c>
      <c r="AR1353" s="259" t="str">
        <f t="shared" si="307"/>
        <v>Shipped_Stock</v>
      </c>
      <c r="AS1353" s="259" t="str">
        <f t="shared" si="308"/>
        <v/>
      </c>
      <c r="AT1353" s="259" t="str">
        <f t="shared" si="309"/>
        <v>蓝极光</v>
      </c>
      <c r="AU1353" s="259" t="str">
        <f t="shared" si="310"/>
        <v>C49SZX20230008SS</v>
      </c>
      <c r="AV1353" s="259" t="str">
        <f t="shared" si="311"/>
        <v>2022/10/2,蛇口港</v>
      </c>
    </row>
    <row r="1354" spans="1:48" ht="16.5" hidden="1">
      <c r="A1354" s="604">
        <v>1757</v>
      </c>
      <c r="B1354" s="669" t="s">
        <v>1125</v>
      </c>
      <c r="C1354" s="669" t="s">
        <v>281</v>
      </c>
      <c r="D1354" s="650" t="s">
        <v>2617</v>
      </c>
      <c r="E1354" s="798" t="s">
        <v>2618</v>
      </c>
      <c r="F1354" s="652" t="s">
        <v>58</v>
      </c>
      <c r="G1354" s="652" t="s">
        <v>18</v>
      </c>
      <c r="H1354" s="652" t="s">
        <v>26</v>
      </c>
      <c r="I1354" s="580" t="s">
        <v>2619</v>
      </c>
      <c r="J1354" s="580">
        <v>1</v>
      </c>
      <c r="K1354" s="652" t="s">
        <v>1419</v>
      </c>
      <c r="L1354" s="662" t="s">
        <v>2611</v>
      </c>
      <c r="M1354" s="722">
        <v>5.1900000000000002E-2</v>
      </c>
      <c r="N1354" s="652" t="s">
        <v>208</v>
      </c>
      <c r="O1354" s="580">
        <v>2022.9</v>
      </c>
      <c r="P1354" s="670" t="str">
        <f>VLOOKUP(A1354,'[1]Raw data'!$B:$BA,23,FALSE)</f>
        <v>RMB</v>
      </c>
      <c r="Q1354" s="652" t="str">
        <f>VLOOKUP(A1354,'[1]Raw data'!$B:$Z,2,FALSE)</f>
        <v>C49SZX20220117DZ</v>
      </c>
      <c r="R1354" s="652" t="str">
        <f>VLOOKUP(A1354,'[1]Raw data'!$B:$Z,3,FALSE)</f>
        <v>朗特</v>
      </c>
      <c r="S1354" s="652" t="str">
        <f>VLOOKUP(A1354,'[1]Raw data'!$B:$Z,4,FALSE)</f>
        <v>YSM20R-2</v>
      </c>
      <c r="T1354" s="652" t="str">
        <f>VLOOKUP(A1354,'[1]Raw data'!$B:$Z,8,FALSE)</f>
        <v>R-&gt;L</v>
      </c>
      <c r="U1354" s="652" t="str">
        <f>VLOOKUP(A1354,'[1]Raw data'!$B:$Z,9,FALSE)</f>
        <v>No</v>
      </c>
      <c r="V1354" s="572" t="str">
        <f t="shared" si="312"/>
        <v>OK</v>
      </c>
      <c r="W1354" s="568" t="str">
        <f>VLOOKUP(A1354,'[1]Raw data'!$B:$AG,32,FALSE)</f>
        <v>DDP SZ</v>
      </c>
      <c r="X1354" s="652">
        <f>VLOOKUP(A1354,'[1]Raw data'!$B:$BA,31,FALSE)</f>
        <v>44879</v>
      </c>
      <c r="Y1354" s="652" t="str">
        <f>VLOOKUP(A1354,'[1]Raw data'!$B:$AS,39,FALSE)</f>
        <v>Yes</v>
      </c>
      <c r="Z1354" s="671"/>
      <c r="AA1354" s="672"/>
      <c r="AB1354" s="673"/>
      <c r="AC1354" s="652" t="s">
        <v>2336</v>
      </c>
      <c r="AD1354" s="580">
        <v>301</v>
      </c>
      <c r="AE1354" s="580">
        <v>10</v>
      </c>
      <c r="AF1354" s="580">
        <v>311</v>
      </c>
      <c r="AG1354" s="580">
        <v>5</v>
      </c>
      <c r="AH1354" s="580">
        <v>312</v>
      </c>
      <c r="AI1354" s="580">
        <v>5</v>
      </c>
      <c r="AJ1354" s="569"/>
      <c r="AK1354" s="569"/>
      <c r="AL1354" s="569"/>
      <c r="AM1354" s="569"/>
      <c r="AN1354" s="619"/>
      <c r="AO1354" s="829" t="str">
        <f t="shared" si="304"/>
        <v>Yes</v>
      </c>
      <c r="AP1354" s="259" t="str">
        <f t="shared" si="305"/>
        <v>NOV 22</v>
      </c>
      <c r="AQ1354" s="547" t="str">
        <f t="shared" si="306"/>
        <v>有定金+有預留客戶</v>
      </c>
      <c r="AR1354" s="259" t="str">
        <f t="shared" si="307"/>
        <v>Shipped_Stock</v>
      </c>
      <c r="AS1354" s="259" t="str">
        <f t="shared" si="308"/>
        <v/>
      </c>
      <c r="AT1354" s="259" t="str">
        <f t="shared" si="309"/>
        <v>朗特</v>
      </c>
      <c r="AU1354" s="259" t="str">
        <f t="shared" si="310"/>
        <v>C49SZX20220117DZ</v>
      </c>
      <c r="AV1354" s="259" t="str">
        <f t="shared" si="311"/>
        <v>2022/10/2,蛇口港</v>
      </c>
    </row>
    <row r="1355" spans="1:48" ht="16.5" hidden="1">
      <c r="A1355" s="604">
        <v>1758</v>
      </c>
      <c r="B1355" s="669" t="s">
        <v>1125</v>
      </c>
      <c r="C1355" s="669" t="s">
        <v>281</v>
      </c>
      <c r="D1355" s="650" t="s">
        <v>2617</v>
      </c>
      <c r="E1355" s="798" t="s">
        <v>2618</v>
      </c>
      <c r="F1355" s="652" t="s">
        <v>58</v>
      </c>
      <c r="G1355" s="652" t="s">
        <v>18</v>
      </c>
      <c r="H1355" s="652" t="s">
        <v>26</v>
      </c>
      <c r="I1355" s="580" t="s">
        <v>2620</v>
      </c>
      <c r="J1355" s="580">
        <v>1</v>
      </c>
      <c r="K1355" s="652" t="s">
        <v>1419</v>
      </c>
      <c r="L1355" s="662" t="s">
        <v>2611</v>
      </c>
      <c r="M1355" s="722">
        <v>5.1900000000000002E-2</v>
      </c>
      <c r="N1355" s="652" t="s">
        <v>208</v>
      </c>
      <c r="O1355" s="580">
        <v>2022.9</v>
      </c>
      <c r="P1355" s="670" t="str">
        <f>VLOOKUP(A1355,'[1]Raw data'!$B:$BA,23,FALSE)</f>
        <v>RMB</v>
      </c>
      <c r="Q1355" s="652" t="str">
        <f>VLOOKUP(A1355,'[1]Raw data'!$B:$Z,2,FALSE)</f>
        <v>C49SZX20220117DZ</v>
      </c>
      <c r="R1355" s="652" t="str">
        <f>VLOOKUP(A1355,'[1]Raw data'!$B:$Z,3,FALSE)</f>
        <v>朗特</v>
      </c>
      <c r="S1355" s="652" t="str">
        <f>VLOOKUP(A1355,'[1]Raw data'!$B:$Z,4,FALSE)</f>
        <v>YSM20R-2</v>
      </c>
      <c r="T1355" s="652" t="str">
        <f>VLOOKUP(A1355,'[1]Raw data'!$B:$Z,8,FALSE)</f>
        <v>R-&gt;L</v>
      </c>
      <c r="U1355" s="652" t="str">
        <f>VLOOKUP(A1355,'[1]Raw data'!$B:$Z,9,FALSE)</f>
        <v>No</v>
      </c>
      <c r="V1355" s="572" t="str">
        <f t="shared" si="312"/>
        <v>OK</v>
      </c>
      <c r="W1355" s="568" t="str">
        <f>VLOOKUP(A1355,'[1]Raw data'!$B:$AG,32,FALSE)</f>
        <v>DDP SZ</v>
      </c>
      <c r="X1355" s="652">
        <f>VLOOKUP(A1355,'[1]Raw data'!$B:$BA,31,FALSE)</f>
        <v>44879</v>
      </c>
      <c r="Y1355" s="652" t="str">
        <f>VLOOKUP(A1355,'[1]Raw data'!$B:$AS,39,FALSE)</f>
        <v>Yes</v>
      </c>
      <c r="Z1355" s="671"/>
      <c r="AA1355" s="672"/>
      <c r="AB1355" s="673"/>
      <c r="AC1355" s="652" t="s">
        <v>2336</v>
      </c>
      <c r="AD1355" s="580">
        <v>301</v>
      </c>
      <c r="AE1355" s="580">
        <v>10</v>
      </c>
      <c r="AF1355" s="580">
        <v>311</v>
      </c>
      <c r="AG1355" s="580">
        <v>5</v>
      </c>
      <c r="AH1355" s="580">
        <v>312</v>
      </c>
      <c r="AI1355" s="580">
        <v>5</v>
      </c>
      <c r="AJ1355" s="569"/>
      <c r="AK1355" s="569"/>
      <c r="AL1355" s="569"/>
      <c r="AM1355" s="569"/>
      <c r="AN1355" s="619"/>
      <c r="AO1355" s="829" t="str">
        <f t="shared" si="304"/>
        <v>Yes</v>
      </c>
      <c r="AP1355" s="259" t="str">
        <f t="shared" si="305"/>
        <v>NOV 22</v>
      </c>
      <c r="AQ1355" s="547" t="str">
        <f t="shared" si="306"/>
        <v>有定金+有預留客戶</v>
      </c>
      <c r="AR1355" s="259" t="str">
        <f t="shared" si="307"/>
        <v>Shipped_Stock</v>
      </c>
      <c r="AS1355" s="259" t="str">
        <f t="shared" si="308"/>
        <v/>
      </c>
      <c r="AT1355" s="259" t="str">
        <f t="shared" si="309"/>
        <v>朗特</v>
      </c>
      <c r="AU1355" s="259" t="str">
        <f t="shared" si="310"/>
        <v>C49SZX20220117DZ</v>
      </c>
      <c r="AV1355" s="259" t="str">
        <f t="shared" si="311"/>
        <v>2022/10/2,蛇口港</v>
      </c>
    </row>
    <row r="1356" spans="1:48" ht="16.5" hidden="1">
      <c r="A1356" s="604">
        <v>1755</v>
      </c>
      <c r="B1356" s="669" t="s">
        <v>1125</v>
      </c>
      <c r="C1356" s="669" t="s">
        <v>281</v>
      </c>
      <c r="D1356" s="650" t="s">
        <v>2617</v>
      </c>
      <c r="E1356" s="798" t="s">
        <v>2618</v>
      </c>
      <c r="F1356" s="652" t="s">
        <v>58</v>
      </c>
      <c r="G1356" s="652" t="s">
        <v>24</v>
      </c>
      <c r="H1356" s="652" t="s">
        <v>307</v>
      </c>
      <c r="I1356" s="580" t="s">
        <v>2621</v>
      </c>
      <c r="J1356" s="580">
        <v>1</v>
      </c>
      <c r="K1356" s="652" t="s">
        <v>1419</v>
      </c>
      <c r="L1356" s="662" t="s">
        <v>2611</v>
      </c>
      <c r="M1356" s="722">
        <v>5.1900000000000002E-2</v>
      </c>
      <c r="N1356" s="652" t="s">
        <v>208</v>
      </c>
      <c r="O1356" s="580">
        <v>2022.9</v>
      </c>
      <c r="P1356" s="670" t="str">
        <f>VLOOKUP(A1356,'[1]Raw data'!$B:$BA,23,FALSE)</f>
        <v>RMB</v>
      </c>
      <c r="Q1356" s="652" t="str">
        <f>VLOOKUP(A1356,'[1]Raw data'!$B:$Z,2,FALSE)</f>
        <v>C49SZX20220117DZ</v>
      </c>
      <c r="R1356" s="652" t="str">
        <f>VLOOKUP(A1356,'[1]Raw data'!$B:$Z,3,FALSE)</f>
        <v>朗特</v>
      </c>
      <c r="S1356" s="652" t="str">
        <f>VLOOKUP(A1356,'[1]Raw data'!$B:$Z,4,FALSE)</f>
        <v>YSM20R-2</v>
      </c>
      <c r="T1356" s="652" t="str">
        <f>VLOOKUP(A1356,'[1]Raw data'!$B:$Z,8,FALSE)</f>
        <v>L-&gt;R</v>
      </c>
      <c r="U1356" s="652" t="str">
        <f>VLOOKUP(A1356,'[1]Raw data'!$B:$Z,9,FALSE)</f>
        <v>No</v>
      </c>
      <c r="V1356" s="572" t="str">
        <f t="shared" si="312"/>
        <v>OK</v>
      </c>
      <c r="W1356" s="568" t="str">
        <f>VLOOKUP(A1356,'[1]Raw data'!$B:$AG,32,FALSE)</f>
        <v>DDP SZ</v>
      </c>
      <c r="X1356" s="652">
        <f>VLOOKUP(A1356,'[1]Raw data'!$B:$BA,31,FALSE)</f>
        <v>44879</v>
      </c>
      <c r="Y1356" s="652" t="str">
        <f>VLOOKUP(A1356,'[1]Raw data'!$B:$AS,39,FALSE)</f>
        <v>Yes</v>
      </c>
      <c r="Z1356" s="671"/>
      <c r="AA1356" s="672"/>
      <c r="AB1356" s="673"/>
      <c r="AC1356" s="652" t="s">
        <v>2336</v>
      </c>
      <c r="AD1356" s="580">
        <v>301</v>
      </c>
      <c r="AE1356" s="580">
        <v>10</v>
      </c>
      <c r="AF1356" s="580">
        <v>311</v>
      </c>
      <c r="AG1356" s="580">
        <v>5</v>
      </c>
      <c r="AH1356" s="580">
        <v>312</v>
      </c>
      <c r="AI1356" s="580">
        <v>5</v>
      </c>
      <c r="AJ1356" s="569"/>
      <c r="AK1356" s="569"/>
      <c r="AL1356" s="569"/>
      <c r="AM1356" s="569"/>
      <c r="AN1356" s="619"/>
      <c r="AO1356" s="829" t="str">
        <f t="shared" si="304"/>
        <v>Yes</v>
      </c>
      <c r="AP1356" s="259" t="str">
        <f t="shared" si="305"/>
        <v>NOV 22</v>
      </c>
      <c r="AQ1356" s="547" t="str">
        <f t="shared" si="306"/>
        <v>有定金+有預留客戶</v>
      </c>
      <c r="AR1356" s="259" t="str">
        <f t="shared" si="307"/>
        <v>Shipped_Stock</v>
      </c>
      <c r="AS1356" s="259" t="str">
        <f t="shared" si="308"/>
        <v/>
      </c>
      <c r="AT1356" s="259" t="str">
        <f t="shared" si="309"/>
        <v>朗特</v>
      </c>
      <c r="AU1356" s="259" t="str">
        <f t="shared" si="310"/>
        <v>C49SZX20220117DZ</v>
      </c>
      <c r="AV1356" s="259" t="str">
        <f t="shared" si="311"/>
        <v>2022/10/2,蛇口港</v>
      </c>
    </row>
    <row r="1357" spans="1:48" ht="16.5" hidden="1">
      <c r="A1357" s="604">
        <v>1756</v>
      </c>
      <c r="B1357" s="669" t="s">
        <v>1125</v>
      </c>
      <c r="C1357" s="669" t="s">
        <v>281</v>
      </c>
      <c r="D1357" s="650" t="s">
        <v>2617</v>
      </c>
      <c r="E1357" s="798" t="s">
        <v>2618</v>
      </c>
      <c r="F1357" s="652" t="s">
        <v>58</v>
      </c>
      <c r="G1357" s="652" t="s">
        <v>24</v>
      </c>
      <c r="H1357" s="652" t="s">
        <v>26</v>
      </c>
      <c r="I1357" s="580" t="s">
        <v>2622</v>
      </c>
      <c r="J1357" s="580">
        <v>1</v>
      </c>
      <c r="K1357" s="652" t="s">
        <v>1419</v>
      </c>
      <c r="L1357" s="662" t="s">
        <v>2611</v>
      </c>
      <c r="M1357" s="722">
        <v>5.1900000000000002E-2</v>
      </c>
      <c r="N1357" s="652" t="s">
        <v>208</v>
      </c>
      <c r="O1357" s="580">
        <v>2022.9</v>
      </c>
      <c r="P1357" s="670" t="str">
        <f>VLOOKUP(A1357,'[1]Raw data'!$B:$BA,23,FALSE)</f>
        <v>RMB</v>
      </c>
      <c r="Q1357" s="652" t="str">
        <f>VLOOKUP(A1357,'[1]Raw data'!$B:$Z,2,FALSE)</f>
        <v>C49SZX20220117DZ</v>
      </c>
      <c r="R1357" s="652" t="str">
        <f>VLOOKUP(A1357,'[1]Raw data'!$B:$Z,3,FALSE)</f>
        <v>朗特</v>
      </c>
      <c r="S1357" s="652" t="str">
        <f>VLOOKUP(A1357,'[1]Raw data'!$B:$Z,4,FALSE)</f>
        <v>YSM20R-2</v>
      </c>
      <c r="T1357" s="652" t="str">
        <f>VLOOKUP(A1357,'[1]Raw data'!$B:$Z,8,FALSE)</f>
        <v>L-&gt;R</v>
      </c>
      <c r="U1357" s="652" t="str">
        <f>VLOOKUP(A1357,'[1]Raw data'!$B:$Z,9,FALSE)</f>
        <v>No</v>
      </c>
      <c r="V1357" s="572" t="str">
        <f t="shared" si="312"/>
        <v>OK</v>
      </c>
      <c r="W1357" s="568" t="str">
        <f>VLOOKUP(A1357,'[1]Raw data'!$B:$AG,32,FALSE)</f>
        <v>DDP SZ</v>
      </c>
      <c r="X1357" s="652">
        <f>VLOOKUP(A1357,'[1]Raw data'!$B:$BA,31,FALSE)</f>
        <v>44879</v>
      </c>
      <c r="Y1357" s="652" t="str">
        <f>VLOOKUP(A1357,'[1]Raw data'!$B:$AS,39,FALSE)</f>
        <v>Yes</v>
      </c>
      <c r="Z1357" s="671"/>
      <c r="AA1357" s="672"/>
      <c r="AB1357" s="673"/>
      <c r="AC1357" s="652" t="s">
        <v>2336</v>
      </c>
      <c r="AD1357" s="580">
        <v>311</v>
      </c>
      <c r="AE1357" s="580">
        <v>10</v>
      </c>
      <c r="AF1357" s="580">
        <v>311</v>
      </c>
      <c r="AG1357" s="580">
        <v>5</v>
      </c>
      <c r="AH1357" s="580">
        <v>312</v>
      </c>
      <c r="AI1357" s="580">
        <v>5</v>
      </c>
      <c r="AJ1357" s="569"/>
      <c r="AK1357" s="569"/>
      <c r="AL1357" s="569"/>
      <c r="AM1357" s="569"/>
      <c r="AN1357" s="619"/>
      <c r="AO1357" s="829" t="str">
        <f t="shared" si="304"/>
        <v>Yes</v>
      </c>
      <c r="AP1357" s="259" t="str">
        <f t="shared" si="305"/>
        <v>NOV 22</v>
      </c>
      <c r="AQ1357" s="547" t="str">
        <f t="shared" si="306"/>
        <v>有定金+有預留客戶</v>
      </c>
      <c r="AR1357" s="259" t="str">
        <f t="shared" si="307"/>
        <v>Shipped_Stock</v>
      </c>
      <c r="AS1357" s="259" t="str">
        <f t="shared" si="308"/>
        <v/>
      </c>
      <c r="AT1357" s="259" t="str">
        <f t="shared" si="309"/>
        <v>朗特</v>
      </c>
      <c r="AU1357" s="259" t="str">
        <f t="shared" si="310"/>
        <v>C49SZX20220117DZ</v>
      </c>
      <c r="AV1357" s="259" t="str">
        <f t="shared" si="311"/>
        <v>2022/10/2,蛇口港</v>
      </c>
    </row>
    <row r="1358" spans="1:48" ht="16.5" hidden="1">
      <c r="A1358" s="564">
        <v>1826</v>
      </c>
      <c r="B1358" s="669" t="s">
        <v>1125</v>
      </c>
      <c r="C1358" s="669" t="s">
        <v>281</v>
      </c>
      <c r="D1358" s="650" t="s">
        <v>2617</v>
      </c>
      <c r="E1358" s="798" t="s">
        <v>2618</v>
      </c>
      <c r="F1358" s="652" t="s">
        <v>58</v>
      </c>
      <c r="G1358" s="652" t="s">
        <v>24</v>
      </c>
      <c r="H1358" s="652" t="s">
        <v>26</v>
      </c>
      <c r="I1358" s="580" t="s">
        <v>2623</v>
      </c>
      <c r="J1358" s="580">
        <v>1</v>
      </c>
      <c r="K1358" s="652" t="s">
        <v>1419</v>
      </c>
      <c r="L1358" s="662" t="s">
        <v>2611</v>
      </c>
      <c r="M1358" s="722">
        <v>5.1900000000000002E-2</v>
      </c>
      <c r="N1358" s="652" t="s">
        <v>217</v>
      </c>
      <c r="O1358" s="580">
        <v>2022.9</v>
      </c>
      <c r="P1358" s="670" t="str">
        <f>VLOOKUP(A1358,'[1]Raw data'!$B:$BA,23,FALSE)</f>
        <v>RMB</v>
      </c>
      <c r="Q1358" s="652" t="str">
        <f>VLOOKUP(A1358,'[1]Raw data'!$B:$Z,2,FALSE)</f>
        <v>C49SZX202300011SX</v>
      </c>
      <c r="R1358" s="652" t="str">
        <f>VLOOKUP(A1358,'[1]Raw data'!$B:$Z,3,FALSE)</f>
        <v>益田科技</v>
      </c>
      <c r="S1358" s="652" t="str">
        <f>VLOOKUP(A1358,'[1]Raw data'!$B:$Z,4,FALSE)</f>
        <v>YSM20R-2</v>
      </c>
      <c r="T1358" s="652" t="str">
        <f>VLOOKUP(A1358,'[1]Raw data'!$B:$Z,8,FALSE)</f>
        <v>L-&gt;R</v>
      </c>
      <c r="U1358" s="652" t="str">
        <f>VLOOKUP(A1358,'[1]Raw data'!$B:$Z,9,FALSE)</f>
        <v>No</v>
      </c>
      <c r="V1358" s="572" t="str">
        <f t="shared" si="312"/>
        <v>OK</v>
      </c>
      <c r="W1358" s="568" t="str">
        <f>VLOOKUP(A1358,'[1]Raw data'!$B:$AG,32,FALSE)</f>
        <v>DDP SZ</v>
      </c>
      <c r="X1358" s="652">
        <f>VLOOKUP(A1358,'[1]Raw data'!$B:$BA,31,FALSE)</f>
        <v>44960</v>
      </c>
      <c r="Y1358" s="652" t="str">
        <f>VLOOKUP(A1358,'[1]Raw data'!$B:$AS,39,FALSE)</f>
        <v>Yes</v>
      </c>
      <c r="Z1358" s="671"/>
      <c r="AA1358" s="665"/>
      <c r="AB1358" s="666"/>
      <c r="AC1358" s="652" t="s">
        <v>2490</v>
      </c>
      <c r="AD1358" s="580">
        <v>311</v>
      </c>
      <c r="AE1358" s="580">
        <v>10</v>
      </c>
      <c r="AF1358" s="580">
        <v>311</v>
      </c>
      <c r="AG1358" s="580">
        <v>5</v>
      </c>
      <c r="AH1358" s="580">
        <v>312</v>
      </c>
      <c r="AI1358" s="580">
        <v>5</v>
      </c>
      <c r="AN1358" s="547"/>
      <c r="AO1358" s="829" t="str">
        <f t="shared" si="304"/>
        <v>Yes</v>
      </c>
      <c r="AP1358" s="259" t="str">
        <f t="shared" si="305"/>
        <v>FEB 23</v>
      </c>
      <c r="AQ1358" s="547" t="str">
        <f t="shared" si="306"/>
        <v>有定金+有預留客戶</v>
      </c>
      <c r="AR1358" s="259" t="str">
        <f t="shared" si="307"/>
        <v>Shipped_Stock</v>
      </c>
      <c r="AS1358" s="259" t="str">
        <f t="shared" si="308"/>
        <v/>
      </c>
      <c r="AT1358" s="259" t="str">
        <f t="shared" si="309"/>
        <v>益田科技</v>
      </c>
      <c r="AU1358" s="259" t="str">
        <f t="shared" si="310"/>
        <v>C49SZX202300011SX</v>
      </c>
      <c r="AV1358" s="259" t="str">
        <f t="shared" si="311"/>
        <v>2022/10/2,蛇口港</v>
      </c>
    </row>
    <row r="1359" spans="1:48" hidden="1">
      <c r="A1359" s="564">
        <v>1823</v>
      </c>
      <c r="B1359" s="669" t="s">
        <v>1125</v>
      </c>
      <c r="C1359" s="669" t="s">
        <v>281</v>
      </c>
      <c r="D1359" s="650" t="s">
        <v>2624</v>
      </c>
      <c r="E1359" s="772" t="s">
        <v>2625</v>
      </c>
      <c r="F1359" s="652" t="s">
        <v>58</v>
      </c>
      <c r="G1359" s="652" t="s">
        <v>24</v>
      </c>
      <c r="H1359" s="652" t="s">
        <v>26</v>
      </c>
      <c r="I1359" s="580" t="s">
        <v>2626</v>
      </c>
      <c r="J1359" s="580">
        <v>1</v>
      </c>
      <c r="K1359" s="652" t="s">
        <v>1419</v>
      </c>
      <c r="L1359" s="662" t="s">
        <v>2611</v>
      </c>
      <c r="M1359" s="722"/>
      <c r="N1359" s="652" t="s">
        <v>217</v>
      </c>
      <c r="O1359" s="580">
        <v>2022.8</v>
      </c>
      <c r="P1359" s="670" t="str">
        <f>VLOOKUP(A1359,'[1]Raw data'!$B:$BA,23,FALSE)</f>
        <v>RMB</v>
      </c>
      <c r="Q1359" s="652" t="str">
        <f>VLOOKUP(A1359,'[1]Raw data'!$B:$Z,2,FALSE)</f>
        <v>C49SZX202300011SX</v>
      </c>
      <c r="R1359" s="652" t="str">
        <f>VLOOKUP(A1359,'[1]Raw data'!$B:$Z,3,FALSE)</f>
        <v>益田科技</v>
      </c>
      <c r="S1359" s="652" t="str">
        <f>VLOOKUP(A1359,'[1]Raw data'!$B:$Z,4,FALSE)</f>
        <v>YSM20R-2</v>
      </c>
      <c r="T1359" s="652" t="str">
        <f>VLOOKUP(A1359,'[1]Raw data'!$B:$Z,8,FALSE)</f>
        <v>L-&gt;R</v>
      </c>
      <c r="U1359" s="652" t="str">
        <f>VLOOKUP(A1359,'[1]Raw data'!$B:$Z,9,FALSE)</f>
        <v>No</v>
      </c>
      <c r="V1359" s="572" t="str">
        <f t="shared" si="312"/>
        <v>OK</v>
      </c>
      <c r="W1359" s="568" t="str">
        <f>VLOOKUP(A1359,'[1]Raw data'!$B:$AG,32,FALSE)</f>
        <v>DDP SZ</v>
      </c>
      <c r="X1359" s="652">
        <f>VLOOKUP(A1359,'[1]Raw data'!$B:$BA,31,FALSE)</f>
        <v>44960</v>
      </c>
      <c r="Y1359" s="652" t="str">
        <f>VLOOKUP(A1359,'[1]Raw data'!$B:$AS,39,FALSE)</f>
        <v>Yes</v>
      </c>
      <c r="Z1359" s="671"/>
      <c r="AA1359" s="665"/>
      <c r="AB1359" s="666"/>
      <c r="AC1359" s="652" t="s">
        <v>1172</v>
      </c>
      <c r="AD1359" s="580">
        <v>311</v>
      </c>
      <c r="AE1359" s="580">
        <v>15</v>
      </c>
      <c r="AF1359" s="580">
        <v>303</v>
      </c>
      <c r="AG1359" s="580">
        <v>5</v>
      </c>
      <c r="AH1359" s="580"/>
      <c r="AI1359" s="684"/>
      <c r="AN1359" s="547"/>
      <c r="AO1359" s="829" t="str">
        <f t="shared" si="304"/>
        <v>Yes</v>
      </c>
      <c r="AP1359" s="259" t="str">
        <f t="shared" si="305"/>
        <v>FEB 23</v>
      </c>
      <c r="AQ1359" s="547" t="str">
        <f t="shared" si="306"/>
        <v>有定金+有預留客戶</v>
      </c>
      <c r="AR1359" s="259" t="str">
        <f t="shared" si="307"/>
        <v>Shipped_Stock</v>
      </c>
      <c r="AS1359" s="259" t="str">
        <f t="shared" si="308"/>
        <v/>
      </c>
      <c r="AT1359" s="259" t="str">
        <f t="shared" si="309"/>
        <v>益田科技</v>
      </c>
      <c r="AU1359" s="259" t="str">
        <f t="shared" si="310"/>
        <v>C49SZX202300011SX</v>
      </c>
      <c r="AV1359" s="259" t="str">
        <f t="shared" si="311"/>
        <v>2022/10/2,蛇口港</v>
      </c>
    </row>
    <row r="1360" spans="1:48" hidden="1">
      <c r="A1360" s="564">
        <v>1824</v>
      </c>
      <c r="B1360" s="669" t="s">
        <v>1125</v>
      </c>
      <c r="C1360" s="669" t="s">
        <v>281</v>
      </c>
      <c r="D1360" s="650" t="s">
        <v>2624</v>
      </c>
      <c r="E1360" s="772" t="s">
        <v>2625</v>
      </c>
      <c r="F1360" s="652" t="s">
        <v>58</v>
      </c>
      <c r="G1360" s="652" t="s">
        <v>24</v>
      </c>
      <c r="H1360" s="652" t="s">
        <v>26</v>
      </c>
      <c r="I1360" s="580" t="s">
        <v>2627</v>
      </c>
      <c r="J1360" s="580">
        <v>1</v>
      </c>
      <c r="K1360" s="652" t="s">
        <v>1419</v>
      </c>
      <c r="L1360" s="662" t="s">
        <v>2611</v>
      </c>
      <c r="M1360" s="670">
        <v>5.1200000000000002E-2</v>
      </c>
      <c r="N1360" s="652" t="s">
        <v>217</v>
      </c>
      <c r="O1360" s="580">
        <v>2022.8</v>
      </c>
      <c r="P1360" s="670" t="str">
        <f>VLOOKUP(A1360,'[1]Raw data'!$B:$BA,23,FALSE)</f>
        <v>RMB</v>
      </c>
      <c r="Q1360" s="652" t="str">
        <f>VLOOKUP(A1360,'[1]Raw data'!$B:$Z,2,FALSE)</f>
        <v>C49SZX202300011SX</v>
      </c>
      <c r="R1360" s="652" t="str">
        <f>VLOOKUP(A1360,'[1]Raw data'!$B:$Z,3,FALSE)</f>
        <v>益田科技</v>
      </c>
      <c r="S1360" s="652" t="str">
        <f>VLOOKUP(A1360,'[1]Raw data'!$B:$Z,4,FALSE)</f>
        <v>YSM20R-2</v>
      </c>
      <c r="T1360" s="652" t="str">
        <f>VLOOKUP(A1360,'[1]Raw data'!$B:$Z,8,FALSE)</f>
        <v>L-&gt;R</v>
      </c>
      <c r="U1360" s="652" t="str">
        <f>VLOOKUP(A1360,'[1]Raw data'!$B:$Z,9,FALSE)</f>
        <v>No</v>
      </c>
      <c r="V1360" s="572" t="str">
        <f t="shared" si="312"/>
        <v>OK</v>
      </c>
      <c r="W1360" s="568" t="str">
        <f>VLOOKUP(A1360,'[1]Raw data'!$B:$AG,32,FALSE)</f>
        <v>DDP SZ</v>
      </c>
      <c r="X1360" s="652">
        <f>VLOOKUP(A1360,'[1]Raw data'!$B:$BA,31,FALSE)</f>
        <v>44960</v>
      </c>
      <c r="Y1360" s="652" t="str">
        <f>VLOOKUP(A1360,'[1]Raw data'!$B:$AS,39,FALSE)</f>
        <v>Yes</v>
      </c>
      <c r="Z1360" s="671"/>
      <c r="AA1360" s="665"/>
      <c r="AB1360" s="666"/>
      <c r="AC1360" s="652" t="s">
        <v>1172</v>
      </c>
      <c r="AD1360" s="580">
        <v>311</v>
      </c>
      <c r="AE1360" s="580">
        <v>15</v>
      </c>
      <c r="AF1360" s="580">
        <v>303</v>
      </c>
      <c r="AG1360" s="580">
        <v>5</v>
      </c>
      <c r="AH1360" s="580"/>
      <c r="AI1360" s="684"/>
      <c r="AN1360" s="547"/>
      <c r="AO1360" s="829" t="str">
        <f t="shared" si="304"/>
        <v>Yes</v>
      </c>
      <c r="AP1360" s="259" t="str">
        <f t="shared" si="305"/>
        <v>FEB 23</v>
      </c>
      <c r="AQ1360" s="547" t="str">
        <f t="shared" si="306"/>
        <v>有定金+有預留客戶</v>
      </c>
      <c r="AR1360" s="259" t="str">
        <f t="shared" si="307"/>
        <v>Shipped_Stock</v>
      </c>
      <c r="AS1360" s="259" t="str">
        <f t="shared" si="308"/>
        <v/>
      </c>
      <c r="AT1360" s="259" t="str">
        <f t="shared" si="309"/>
        <v>益田科技</v>
      </c>
      <c r="AU1360" s="259" t="str">
        <f t="shared" si="310"/>
        <v>C49SZX202300011SX</v>
      </c>
      <c r="AV1360" s="259" t="str">
        <f t="shared" si="311"/>
        <v>2022/10/2,蛇口港</v>
      </c>
    </row>
    <row r="1361" spans="1:48" hidden="1">
      <c r="A1361" s="564">
        <v>1825</v>
      </c>
      <c r="B1361" s="669" t="s">
        <v>1125</v>
      </c>
      <c r="C1361" s="669" t="s">
        <v>281</v>
      </c>
      <c r="D1361" s="650" t="s">
        <v>2624</v>
      </c>
      <c r="E1361" s="772" t="s">
        <v>2625</v>
      </c>
      <c r="F1361" s="652" t="s">
        <v>58</v>
      </c>
      <c r="G1361" s="652" t="s">
        <v>24</v>
      </c>
      <c r="H1361" s="652" t="s">
        <v>26</v>
      </c>
      <c r="I1361" s="580" t="s">
        <v>2628</v>
      </c>
      <c r="J1361" s="580">
        <v>1</v>
      </c>
      <c r="K1361" s="652" t="s">
        <v>1419</v>
      </c>
      <c r="L1361" s="662" t="s">
        <v>2611</v>
      </c>
      <c r="M1361" s="670">
        <v>5.1200000000000002E-2</v>
      </c>
      <c r="N1361" s="652" t="s">
        <v>217</v>
      </c>
      <c r="O1361" s="580">
        <v>2022.9</v>
      </c>
      <c r="P1361" s="670" t="str">
        <f>VLOOKUP(A1361,'[1]Raw data'!$B:$BA,23,FALSE)</f>
        <v>RMB</v>
      </c>
      <c r="Q1361" s="652" t="str">
        <f>VLOOKUP(A1361,'[1]Raw data'!$B:$Z,2,FALSE)</f>
        <v>C49SZX202300011SX</v>
      </c>
      <c r="R1361" s="652" t="str">
        <f>VLOOKUP(A1361,'[1]Raw data'!$B:$Z,3,FALSE)</f>
        <v>益田科技</v>
      </c>
      <c r="S1361" s="652" t="str">
        <f>VLOOKUP(A1361,'[1]Raw data'!$B:$Z,4,FALSE)</f>
        <v>YSM20R-2</v>
      </c>
      <c r="T1361" s="652" t="str">
        <f>VLOOKUP(A1361,'[1]Raw data'!$B:$Z,8,FALSE)</f>
        <v>L-&gt;R</v>
      </c>
      <c r="U1361" s="652" t="str">
        <f>VLOOKUP(A1361,'[1]Raw data'!$B:$Z,9,FALSE)</f>
        <v>No</v>
      </c>
      <c r="V1361" s="572" t="str">
        <f t="shared" si="312"/>
        <v>OK</v>
      </c>
      <c r="W1361" s="568" t="str">
        <f>VLOOKUP(A1361,'[1]Raw data'!$B:$AG,32,FALSE)</f>
        <v>DDP SZ</v>
      </c>
      <c r="X1361" s="652">
        <f>VLOOKUP(A1361,'[1]Raw data'!$B:$BA,31,FALSE)</f>
        <v>44960</v>
      </c>
      <c r="Y1361" s="652" t="str">
        <f>VLOOKUP(A1361,'[1]Raw data'!$B:$AS,39,FALSE)</f>
        <v>Yes</v>
      </c>
      <c r="Z1361" s="671"/>
      <c r="AA1361" s="665"/>
      <c r="AB1361" s="666"/>
      <c r="AC1361" s="652" t="s">
        <v>1172</v>
      </c>
      <c r="AD1361" s="580">
        <v>311</v>
      </c>
      <c r="AE1361" s="580">
        <v>15</v>
      </c>
      <c r="AF1361" s="580">
        <v>303</v>
      </c>
      <c r="AG1361" s="580">
        <v>5</v>
      </c>
      <c r="AH1361" s="580"/>
      <c r="AI1361" s="684"/>
      <c r="AN1361" s="547"/>
      <c r="AO1361" s="829" t="str">
        <f t="shared" si="304"/>
        <v>Yes</v>
      </c>
      <c r="AP1361" s="259" t="str">
        <f t="shared" si="305"/>
        <v>FEB 23</v>
      </c>
      <c r="AQ1361" s="547" t="str">
        <f t="shared" si="306"/>
        <v>有定金+有預留客戶</v>
      </c>
      <c r="AR1361" s="259" t="str">
        <f t="shared" si="307"/>
        <v>Shipped_Stock</v>
      </c>
      <c r="AS1361" s="259" t="str">
        <f t="shared" si="308"/>
        <v/>
      </c>
      <c r="AT1361" s="259" t="str">
        <f t="shared" si="309"/>
        <v>益田科技</v>
      </c>
      <c r="AU1361" s="259" t="str">
        <f t="shared" si="310"/>
        <v>C49SZX202300011SX</v>
      </c>
      <c r="AV1361" s="259" t="str">
        <f t="shared" si="311"/>
        <v>2022/10/2,蛇口港</v>
      </c>
    </row>
    <row r="1362" spans="1:48" ht="22.5" hidden="1">
      <c r="A1362" s="564">
        <v>1729</v>
      </c>
      <c r="B1362" s="669" t="s">
        <v>1125</v>
      </c>
      <c r="C1362" s="669" t="s">
        <v>281</v>
      </c>
      <c r="D1362" s="650" t="s">
        <v>2624</v>
      </c>
      <c r="E1362" s="772" t="s">
        <v>2625</v>
      </c>
      <c r="F1362" s="652" t="s">
        <v>58</v>
      </c>
      <c r="G1362" s="652" t="s">
        <v>18</v>
      </c>
      <c r="H1362" s="652" t="s">
        <v>26</v>
      </c>
      <c r="I1362" s="580" t="s">
        <v>2629</v>
      </c>
      <c r="J1362" s="580">
        <v>1</v>
      </c>
      <c r="K1362" s="652" t="s">
        <v>1419</v>
      </c>
      <c r="L1362" s="662" t="s">
        <v>2611</v>
      </c>
      <c r="M1362" s="670" t="s">
        <v>2630</v>
      </c>
      <c r="N1362" s="652" t="s">
        <v>220</v>
      </c>
      <c r="O1362" s="580">
        <v>2022.9</v>
      </c>
      <c r="P1362" s="670" t="str">
        <f>VLOOKUP(A1362,'[1]Raw data'!$B:$BA,23,FALSE)</f>
        <v>JPY</v>
      </c>
      <c r="Q1362" s="652" t="str">
        <f>VLOOKUP(A1362,'[1]Raw data'!$B:$Z,2,FALSE)</f>
        <v>C49SZX20220099JY</v>
      </c>
      <c r="R1362" s="652" t="str">
        <f>VLOOKUP(A1362,'[1]Raw data'!$B:$Z,3,FALSE)</f>
        <v>创荣发</v>
      </c>
      <c r="S1362" s="652" t="str">
        <f>VLOOKUP(A1362,'[1]Raw data'!$B:$Z,4,FALSE)</f>
        <v>YSM20R-2</v>
      </c>
      <c r="T1362" s="652" t="str">
        <f>VLOOKUP(A1362,'[1]Raw data'!$B:$Z,8,FALSE)</f>
        <v>R-&gt;L</v>
      </c>
      <c r="U1362" s="652" t="str">
        <f>VLOOKUP(A1362,'[1]Raw data'!$B:$Z,9,FALSE)</f>
        <v>No</v>
      </c>
      <c r="V1362" s="572" t="str">
        <f t="shared" si="312"/>
        <v>OK</v>
      </c>
      <c r="W1362" s="568" t="str">
        <f>VLOOKUP(A1362,'[1]Raw data'!$B:$AG,32,FALSE)</f>
        <v>DAP HZ</v>
      </c>
      <c r="X1362" s="652">
        <f>VLOOKUP(A1362,'[1]Raw data'!$B:$BA,31,FALSE)</f>
        <v>44826</v>
      </c>
      <c r="Y1362" s="652" t="str">
        <f>VLOOKUP(A1362,'[1]Raw data'!$B:$AS,39,FALSE)</f>
        <v>Yes</v>
      </c>
      <c r="Z1362" s="671"/>
      <c r="AA1362" s="665"/>
      <c r="AB1362" s="666"/>
      <c r="AC1362" s="652" t="s">
        <v>2384</v>
      </c>
      <c r="AD1362" s="667">
        <v>311</v>
      </c>
      <c r="AE1362" s="667">
        <v>15</v>
      </c>
      <c r="AF1362" s="667">
        <v>303</v>
      </c>
      <c r="AG1362" s="667">
        <v>5</v>
      </c>
      <c r="AH1362" s="667"/>
      <c r="AI1362" s="668"/>
      <c r="AN1362" s="547"/>
      <c r="AO1362" s="829" t="str">
        <f t="shared" si="304"/>
        <v>Yes</v>
      </c>
      <c r="AP1362" s="259" t="str">
        <f t="shared" si="305"/>
        <v>DEC 22</v>
      </c>
      <c r="AQ1362" s="547" t="str">
        <f t="shared" si="306"/>
        <v>有定金+有預留客戶</v>
      </c>
      <c r="AR1362" s="259" t="str">
        <f t="shared" si="307"/>
        <v>Shipped_Stock</v>
      </c>
      <c r="AS1362" s="259" t="str">
        <f t="shared" si="308"/>
        <v/>
      </c>
      <c r="AT1362" s="259" t="str">
        <f t="shared" si="309"/>
        <v>创荣发</v>
      </c>
      <c r="AU1362" s="259" t="str">
        <f t="shared" si="310"/>
        <v>C49SZX20220099JY</v>
      </c>
      <c r="AV1362" s="259" t="str">
        <f t="shared" si="311"/>
        <v>2022/10/2,蛇口港</v>
      </c>
    </row>
    <row r="1363" spans="1:48" hidden="1">
      <c r="A1363" s="564">
        <v>1792</v>
      </c>
      <c r="B1363" s="669" t="s">
        <v>1125</v>
      </c>
      <c r="C1363" s="669" t="s">
        <v>281</v>
      </c>
      <c r="D1363" s="650" t="s">
        <v>2624</v>
      </c>
      <c r="E1363" s="772" t="s">
        <v>2625</v>
      </c>
      <c r="F1363" s="652" t="s">
        <v>58</v>
      </c>
      <c r="G1363" s="652" t="s">
        <v>18</v>
      </c>
      <c r="H1363" s="652" t="s">
        <v>26</v>
      </c>
      <c r="I1363" s="580" t="s">
        <v>2631</v>
      </c>
      <c r="J1363" s="580">
        <v>1</v>
      </c>
      <c r="K1363" s="652" t="s">
        <v>1419</v>
      </c>
      <c r="L1363" s="662" t="s">
        <v>2611</v>
      </c>
      <c r="M1363" s="670">
        <v>5.1200000000000002E-2</v>
      </c>
      <c r="N1363" s="652" t="s">
        <v>215</v>
      </c>
      <c r="O1363" s="580">
        <v>2022.9</v>
      </c>
      <c r="P1363" s="670" t="str">
        <f>VLOOKUP(A1363,'[1]Raw data'!$B:$BA,23,FALSE)</f>
        <v>RMB</v>
      </c>
      <c r="Q1363" s="652" t="str">
        <f>VLOOKUP(A1363,'[1]Raw data'!$B:$Z,2,FALSE)</f>
        <v>C49SZX20220141SS</v>
      </c>
      <c r="R1363" s="652" t="str">
        <f>VLOOKUP(A1363,'[1]Raw data'!$B:$Z,3,FALSE)</f>
        <v>乐凡</v>
      </c>
      <c r="S1363" s="652" t="str">
        <f>VLOOKUP(A1363,'[1]Raw data'!$B:$Z,4,FALSE)</f>
        <v>YSM20R-2</v>
      </c>
      <c r="T1363" s="652" t="str">
        <f>VLOOKUP(A1363,'[1]Raw data'!$B:$Z,8,FALSE)</f>
        <v>R-&gt;L</v>
      </c>
      <c r="U1363" s="652" t="str">
        <f>VLOOKUP(A1363,'[1]Raw data'!$B:$Z,9,FALSE)</f>
        <v>No</v>
      </c>
      <c r="V1363" s="572" t="str">
        <f t="shared" si="312"/>
        <v>OK</v>
      </c>
      <c r="W1363" s="568" t="str">
        <f>VLOOKUP(A1363,'[1]Raw data'!$B:$AG,32,FALSE)</f>
        <v>DDP SZ</v>
      </c>
      <c r="X1363" s="652">
        <f>VLOOKUP(A1363,'[1]Raw data'!$B:$BA,31,FALSE)</f>
        <v>44916</v>
      </c>
      <c r="Y1363" s="652" t="str">
        <f>VLOOKUP(A1363,'[1]Raw data'!$B:$AS,39,FALSE)</f>
        <v>Yes</v>
      </c>
      <c r="Z1363" s="671"/>
      <c r="AA1363" s="665"/>
      <c r="AB1363" s="666"/>
      <c r="AC1363" s="652" t="s">
        <v>2476</v>
      </c>
      <c r="AD1363" s="667">
        <v>311</v>
      </c>
      <c r="AE1363" s="667">
        <v>15</v>
      </c>
      <c r="AF1363" s="667">
        <v>303</v>
      </c>
      <c r="AG1363" s="667">
        <v>5</v>
      </c>
      <c r="AH1363" s="667"/>
      <c r="AI1363" s="668"/>
      <c r="AN1363" s="547"/>
      <c r="AO1363" s="829" t="str">
        <f t="shared" si="304"/>
        <v>Yes</v>
      </c>
      <c r="AP1363" s="259" t="str">
        <f t="shared" si="305"/>
        <v>JAN 23</v>
      </c>
      <c r="AQ1363" s="547" t="str">
        <f t="shared" si="306"/>
        <v>有定金+有預留客戶</v>
      </c>
      <c r="AR1363" s="259" t="str">
        <f t="shared" si="307"/>
        <v>Shipped_Stock</v>
      </c>
      <c r="AS1363" s="259" t="str">
        <f t="shared" si="308"/>
        <v/>
      </c>
      <c r="AT1363" s="259" t="str">
        <f t="shared" si="309"/>
        <v>乐凡</v>
      </c>
      <c r="AU1363" s="259" t="str">
        <f t="shared" si="310"/>
        <v>C49SZX20220141SS</v>
      </c>
      <c r="AV1363" s="259" t="str">
        <f t="shared" si="311"/>
        <v>2022/10/2,蛇口港</v>
      </c>
    </row>
    <row r="1364" spans="1:48" ht="16.5" hidden="1">
      <c r="A1364" s="564">
        <v>1765</v>
      </c>
      <c r="B1364" s="669" t="s">
        <v>1125</v>
      </c>
      <c r="C1364" s="669" t="s">
        <v>281</v>
      </c>
      <c r="D1364" s="650" t="s">
        <v>2632</v>
      </c>
      <c r="E1364" s="749" t="s">
        <v>2625</v>
      </c>
      <c r="F1364" s="652" t="s">
        <v>17</v>
      </c>
      <c r="G1364" s="652" t="s">
        <v>18</v>
      </c>
      <c r="H1364" s="652" t="s">
        <v>102</v>
      </c>
      <c r="I1364" s="580" t="s">
        <v>2633</v>
      </c>
      <c r="J1364" s="580">
        <v>1</v>
      </c>
      <c r="K1364" s="652" t="s">
        <v>1419</v>
      </c>
      <c r="L1364" s="662" t="s">
        <v>2634</v>
      </c>
      <c r="M1364" s="670">
        <v>5.1200000000000002E-2</v>
      </c>
      <c r="N1364" s="652" t="s">
        <v>226</v>
      </c>
      <c r="O1364" s="580">
        <v>2022.8</v>
      </c>
      <c r="P1364" s="670" t="str">
        <f>VLOOKUP(A1364,'[1]Raw data'!$B:$BA,23,FALSE)</f>
        <v>RMB</v>
      </c>
      <c r="Q1364" s="652" t="str">
        <f>VLOOKUP(A1364,'[1]Raw data'!$B:$Z,2,FALSE)</f>
        <v>C49SZX20220126JL</v>
      </c>
      <c r="R1364" s="652" t="str">
        <f>VLOOKUP(A1364,'[1]Raw data'!$B:$Z,3,FALSE)</f>
        <v>伯莱科</v>
      </c>
      <c r="S1364" s="652" t="str">
        <f>VLOOKUP(A1364,'[1]Raw data'!$B:$Z,4,FALSE)</f>
        <v>YSM10</v>
      </c>
      <c r="T1364" s="652" t="str">
        <f>VLOOKUP(A1364,'[1]Raw data'!$B:$Z,8,FALSE)</f>
        <v>L-&gt;R</v>
      </c>
      <c r="U1364" s="652" t="str">
        <f>VLOOKUP(A1364,'[1]Raw data'!$B:$Z,9,FALSE)</f>
        <v>MVC</v>
      </c>
      <c r="V1364" s="572" t="str">
        <f t="shared" ref="V1364:V1366" si="313">IF(G1364&amp;H1364=T1364&amp;U1364,"OK","WRONG")</f>
        <v>WRONG</v>
      </c>
      <c r="W1364" s="568" t="str">
        <f>VLOOKUP(A1364,'[1]Raw data'!$B:$AG,32,FALSE)</f>
        <v>DDP SZ</v>
      </c>
      <c r="X1364" s="652">
        <f>VLOOKUP(A1364,'[1]Raw data'!$B:$BA,31,FALSE)</f>
        <v>44898</v>
      </c>
      <c r="Y1364" s="652" t="str">
        <f>VLOOKUP(A1364,'[1]Raw data'!$B:$AS,39,FALSE)</f>
        <v>Yes</v>
      </c>
      <c r="Z1364" s="664"/>
      <c r="AA1364" s="665"/>
      <c r="AB1364" s="666"/>
      <c r="AC1364" s="652" t="s">
        <v>3908</v>
      </c>
      <c r="AD1364" s="667">
        <v>301</v>
      </c>
      <c r="AE1364" s="667">
        <v>5</v>
      </c>
      <c r="AF1364" s="667">
        <v>302</v>
      </c>
      <c r="AG1364" s="667">
        <v>5</v>
      </c>
      <c r="AH1364" s="667"/>
      <c r="AI1364" s="668"/>
      <c r="AN1364" s="547"/>
      <c r="AO1364" s="829" t="str">
        <f t="shared" si="304"/>
        <v>Yes</v>
      </c>
      <c r="AP1364" s="259" t="str">
        <f t="shared" si="305"/>
        <v>APR 23</v>
      </c>
      <c r="AQ1364" s="547" t="str">
        <f t="shared" si="306"/>
        <v>有定金+有預留客戶</v>
      </c>
      <c r="AR1364" s="259" t="str">
        <f t="shared" si="307"/>
        <v>Shipped_Stock</v>
      </c>
      <c r="AS1364" s="259" t="str">
        <f t="shared" si="308"/>
        <v/>
      </c>
      <c r="AT1364" s="259" t="str">
        <f t="shared" si="309"/>
        <v>伯莱科</v>
      </c>
      <c r="AU1364" s="259" t="str">
        <f t="shared" si="310"/>
        <v>C49SZX20220126JL</v>
      </c>
      <c r="AV1364" s="259" t="str">
        <f t="shared" si="311"/>
        <v>2022/11/7,蛇口港</v>
      </c>
    </row>
    <row r="1365" spans="1:48" ht="16.5" hidden="1">
      <c r="A1365" s="564">
        <v>1894</v>
      </c>
      <c r="B1365" s="669" t="s">
        <v>1125</v>
      </c>
      <c r="C1365" s="669" t="s">
        <v>281</v>
      </c>
      <c r="D1365" s="650" t="s">
        <v>2632</v>
      </c>
      <c r="E1365" s="749" t="s">
        <v>2625</v>
      </c>
      <c r="F1365" s="652" t="s">
        <v>17</v>
      </c>
      <c r="G1365" s="652" t="s">
        <v>18</v>
      </c>
      <c r="H1365" s="652" t="s">
        <v>48</v>
      </c>
      <c r="I1365" s="580" t="s">
        <v>2635</v>
      </c>
      <c r="J1365" s="580">
        <v>1</v>
      </c>
      <c r="K1365" s="652" t="s">
        <v>1419</v>
      </c>
      <c r="L1365" s="662" t="s">
        <v>2634</v>
      </c>
      <c r="M1365" s="670">
        <v>5.1200000000000002E-2</v>
      </c>
      <c r="N1365" s="652" t="s">
        <v>226</v>
      </c>
      <c r="O1365" s="580">
        <v>2022.9</v>
      </c>
      <c r="P1365" s="670" t="str">
        <f>VLOOKUP(A1365,'[1]Raw data'!$B:$BA,23,FALSE)</f>
        <v>RMB</v>
      </c>
      <c r="Q1365" s="652" t="str">
        <f>VLOOKUP(A1365,'[1]Raw data'!$B:$Z,2,FALSE)</f>
        <v>C49SZX20230046DM</v>
      </c>
      <c r="R1365" s="652" t="str">
        <f>VLOOKUP(A1365,'[1]Raw data'!$B:$Z,3,FALSE)</f>
        <v>菲帆</v>
      </c>
      <c r="S1365" s="652" t="str">
        <f>VLOOKUP(A1365,'[1]Raw data'!$B:$Z,4,FALSE)</f>
        <v>YSM10</v>
      </c>
      <c r="T1365" s="652" t="str">
        <f>VLOOKUP(A1365,'[1]Raw data'!$B:$Z,8,FALSE)</f>
        <v>L-&gt;R</v>
      </c>
      <c r="U1365" s="652" t="str">
        <f>VLOOKUP(A1365,'[1]Raw data'!$B:$Z,9,FALSE)</f>
        <v>MVC+ATS15</v>
      </c>
      <c r="V1365" s="572" t="str">
        <f t="shared" si="313"/>
        <v>WRONG</v>
      </c>
      <c r="W1365" s="568" t="str">
        <f>VLOOKUP(A1365,'[1]Raw data'!$B:$AG,32,FALSE)</f>
        <v>DDP HZ</v>
      </c>
      <c r="X1365" s="652">
        <f>VLOOKUP(A1365,'[1]Raw data'!$B:$BA,31,FALSE)</f>
        <v>45002</v>
      </c>
      <c r="Y1365" s="652" t="str">
        <f>VLOOKUP(A1365,'[1]Raw data'!$B:$AS,39,FALSE)</f>
        <v>Yes</v>
      </c>
      <c r="Z1365" s="664"/>
      <c r="AA1365" s="665"/>
      <c r="AB1365" s="666"/>
      <c r="AC1365" s="652" t="s">
        <v>3912</v>
      </c>
      <c r="AD1365" s="667">
        <v>301</v>
      </c>
      <c r="AE1365" s="667">
        <v>5</v>
      </c>
      <c r="AF1365" s="667">
        <v>303</v>
      </c>
      <c r="AG1365" s="667">
        <v>3</v>
      </c>
      <c r="AH1365" s="667">
        <v>304</v>
      </c>
      <c r="AI1365" s="668">
        <v>2</v>
      </c>
      <c r="AN1365" s="547"/>
      <c r="AO1365" s="829" t="str">
        <f t="shared" si="304"/>
        <v>Yes</v>
      </c>
      <c r="AP1365" s="259" t="str">
        <f t="shared" si="305"/>
        <v>APR 23</v>
      </c>
      <c r="AQ1365" s="547" t="str">
        <f t="shared" si="306"/>
        <v>有定金+有預留客戶</v>
      </c>
      <c r="AR1365" s="259" t="str">
        <f t="shared" si="307"/>
        <v>Shipped_Stock</v>
      </c>
      <c r="AS1365" s="259" t="str">
        <f t="shared" si="308"/>
        <v/>
      </c>
      <c r="AT1365" s="259" t="str">
        <f t="shared" si="309"/>
        <v>菲帆</v>
      </c>
      <c r="AU1365" s="259" t="str">
        <f t="shared" si="310"/>
        <v>C49SZX20230046DM</v>
      </c>
      <c r="AV1365" s="259" t="str">
        <f t="shared" si="311"/>
        <v>2022/11/7,蛇口港</v>
      </c>
    </row>
    <row r="1366" spans="1:48" ht="16.5" hidden="1">
      <c r="A1366" s="604">
        <v>1874</v>
      </c>
      <c r="B1366" s="669" t="s">
        <v>1125</v>
      </c>
      <c r="C1366" s="669" t="s">
        <v>281</v>
      </c>
      <c r="D1366" s="650" t="s">
        <v>2632</v>
      </c>
      <c r="E1366" s="749" t="s">
        <v>2625</v>
      </c>
      <c r="F1366" s="652" t="s">
        <v>17</v>
      </c>
      <c r="G1366" s="652" t="s">
        <v>18</v>
      </c>
      <c r="H1366" s="652" t="s">
        <v>48</v>
      </c>
      <c r="I1366" s="580" t="s">
        <v>2636</v>
      </c>
      <c r="J1366" s="580">
        <v>1</v>
      </c>
      <c r="K1366" s="652" t="s">
        <v>1419</v>
      </c>
      <c r="L1366" s="662" t="s">
        <v>2634</v>
      </c>
      <c r="M1366" s="670">
        <v>5.1200000000000002E-2</v>
      </c>
      <c r="N1366" s="652" t="s">
        <v>216</v>
      </c>
      <c r="O1366" s="580">
        <v>2022.9</v>
      </c>
      <c r="P1366" s="670" t="str">
        <f>VLOOKUP(A1366,'[1]Raw data'!$B:$BA,23,FALSE)</f>
        <v>RMB</v>
      </c>
      <c r="Q1366" s="652" t="str">
        <f>VLOOKUP(A1366,'[1]Raw data'!$B:$Z,2,FALSE)</f>
        <v>C49SZX20230018MX</v>
      </c>
      <c r="R1366" s="652" t="str">
        <f>VLOOKUP(A1366,'[1]Raw data'!$B:$Z,3,FALSE)</f>
        <v>徕芬</v>
      </c>
      <c r="S1366" s="652" t="str">
        <f>VLOOKUP(A1366,'[1]Raw data'!$B:$Z,4,FALSE)</f>
        <v>YSM10</v>
      </c>
      <c r="T1366" s="652" t="str">
        <f>VLOOKUP(A1366,'[1]Raw data'!$B:$Z,8,FALSE)</f>
        <v>L-&gt;R</v>
      </c>
      <c r="U1366" s="652" t="str">
        <f>VLOOKUP(A1366,'[1]Raw data'!$B:$Z,9,FALSE)</f>
        <v>MVC+ATS15</v>
      </c>
      <c r="V1366" s="572" t="str">
        <f t="shared" si="313"/>
        <v>WRONG</v>
      </c>
      <c r="W1366" s="568" t="str">
        <f>VLOOKUP(A1366,'[1]Raw data'!$B:$AG,32,FALSE)</f>
        <v>DDP DG</v>
      </c>
      <c r="X1366" s="652">
        <f>VLOOKUP(A1366,'[1]Raw data'!$B:$BA,31,FALSE)</f>
        <v>44995</v>
      </c>
      <c r="Y1366" s="652" t="str">
        <f>VLOOKUP(A1366,'[1]Raw data'!$B:$AS,39,FALSE)</f>
        <v>Yes</v>
      </c>
      <c r="Z1366" s="664"/>
      <c r="AA1366" s="665"/>
      <c r="AB1366" s="666"/>
      <c r="AC1366" s="652" t="s">
        <v>3898</v>
      </c>
      <c r="AD1366" s="580">
        <v>301</v>
      </c>
      <c r="AE1366" s="580">
        <v>5</v>
      </c>
      <c r="AF1366" s="580">
        <v>303</v>
      </c>
      <c r="AG1366" s="580">
        <v>3</v>
      </c>
      <c r="AH1366" s="580">
        <v>304</v>
      </c>
      <c r="AI1366" s="684">
        <v>2</v>
      </c>
      <c r="AJ1366" s="569"/>
      <c r="AK1366" s="569"/>
      <c r="AL1366" s="569"/>
      <c r="AM1366" s="569"/>
      <c r="AN1366" s="619"/>
      <c r="AO1366" s="829" t="str">
        <f t="shared" si="304"/>
        <v>Yes</v>
      </c>
      <c r="AP1366" s="259" t="str">
        <f t="shared" si="305"/>
        <v>MAR 23</v>
      </c>
      <c r="AQ1366" s="547" t="str">
        <f t="shared" si="306"/>
        <v>有定金+有預留客戶</v>
      </c>
      <c r="AR1366" s="259" t="str">
        <f t="shared" si="307"/>
        <v>Shipped_Stock</v>
      </c>
      <c r="AS1366" s="259" t="str">
        <f t="shared" si="308"/>
        <v/>
      </c>
      <c r="AT1366" s="259" t="str">
        <f t="shared" si="309"/>
        <v>徕芬</v>
      </c>
      <c r="AU1366" s="259" t="str">
        <f t="shared" si="310"/>
        <v>C49SZX20230018MX</v>
      </c>
      <c r="AV1366" s="259" t="str">
        <f t="shared" si="311"/>
        <v>2022/11/7,蛇口港</v>
      </c>
    </row>
    <row r="1367" spans="1:48" ht="16.5" hidden="1">
      <c r="A1367" s="564">
        <v>1766</v>
      </c>
      <c r="B1367" s="669" t="s">
        <v>1125</v>
      </c>
      <c r="C1367" s="669" t="s">
        <v>281</v>
      </c>
      <c r="D1367" s="650" t="s">
        <v>2632</v>
      </c>
      <c r="E1367" s="749" t="s">
        <v>2625</v>
      </c>
      <c r="F1367" s="652" t="s">
        <v>17</v>
      </c>
      <c r="G1367" s="652" t="s">
        <v>18</v>
      </c>
      <c r="H1367" s="652" t="s">
        <v>102</v>
      </c>
      <c r="I1367" s="580" t="s">
        <v>2637</v>
      </c>
      <c r="J1367" s="580">
        <v>1</v>
      </c>
      <c r="K1367" s="652" t="s">
        <v>1419</v>
      </c>
      <c r="L1367" s="662" t="s">
        <v>2634</v>
      </c>
      <c r="M1367" s="670">
        <v>5.1200000000000002E-2</v>
      </c>
      <c r="N1367" s="652" t="s">
        <v>226</v>
      </c>
      <c r="O1367" s="580">
        <v>2022.8</v>
      </c>
      <c r="P1367" s="670" t="str">
        <f>VLOOKUP(A1367,'[1]Raw data'!$B:$BA,23,FALSE)</f>
        <v>RMB</v>
      </c>
      <c r="Q1367" s="652" t="str">
        <f>VLOOKUP(A1367,'[1]Raw data'!$B:$Z,2,FALSE)</f>
        <v>C49SZX20220126JL</v>
      </c>
      <c r="R1367" s="652" t="str">
        <f>VLOOKUP(A1367,'[1]Raw data'!$B:$Z,3,FALSE)</f>
        <v>伯莱科</v>
      </c>
      <c r="S1367" s="652" t="str">
        <f>VLOOKUP(A1367,'[1]Raw data'!$B:$Z,4,FALSE)</f>
        <v>YSM10</v>
      </c>
      <c r="T1367" s="652" t="str">
        <f>VLOOKUP(A1367,'[1]Raw data'!$B:$Z,8,FALSE)</f>
        <v>L-&gt;R</v>
      </c>
      <c r="U1367" s="652" t="str">
        <f>VLOOKUP(A1367,'[1]Raw data'!$B:$Z,9,FALSE)</f>
        <v>MVC</v>
      </c>
      <c r="V1367" s="572" t="str">
        <f t="shared" ref="V1367" si="314">IF(G1367&amp;H1367=T1367&amp;U1367,"OK","WRONG")</f>
        <v>WRONG</v>
      </c>
      <c r="W1367" s="568" t="str">
        <f>VLOOKUP(A1367,'[1]Raw data'!$B:$AG,32,FALSE)</f>
        <v>DDP SZ</v>
      </c>
      <c r="X1367" s="652">
        <f>VLOOKUP(A1367,'[1]Raw data'!$B:$BA,31,FALSE)</f>
        <v>44898</v>
      </c>
      <c r="Y1367" s="652" t="str">
        <f>VLOOKUP(A1367,'[1]Raw data'!$B:$AS,39,FALSE)</f>
        <v>Yes</v>
      </c>
      <c r="Z1367" s="664"/>
      <c r="AA1367" s="665"/>
      <c r="AB1367" s="666"/>
      <c r="AC1367" s="652" t="s">
        <v>3908</v>
      </c>
      <c r="AD1367" s="667">
        <v>301</v>
      </c>
      <c r="AE1367" s="667">
        <v>5</v>
      </c>
      <c r="AF1367" s="667">
        <v>302</v>
      </c>
      <c r="AG1367" s="667">
        <v>5</v>
      </c>
      <c r="AH1367" s="667"/>
      <c r="AI1367" s="668"/>
      <c r="AN1367" s="547"/>
      <c r="AO1367" s="829" t="str">
        <f t="shared" si="304"/>
        <v>Yes</v>
      </c>
      <c r="AP1367" s="259" t="str">
        <f t="shared" si="305"/>
        <v>APR 23</v>
      </c>
      <c r="AQ1367" s="547" t="str">
        <f t="shared" si="306"/>
        <v>有定金+有預留客戶</v>
      </c>
      <c r="AR1367" s="259" t="str">
        <f t="shared" si="307"/>
        <v>Shipped_Stock</v>
      </c>
      <c r="AS1367" s="259" t="str">
        <f t="shared" si="308"/>
        <v/>
      </c>
      <c r="AT1367" s="259" t="str">
        <f t="shared" si="309"/>
        <v>伯莱科</v>
      </c>
      <c r="AU1367" s="259" t="str">
        <f t="shared" si="310"/>
        <v>C49SZX20220126JL</v>
      </c>
      <c r="AV1367" s="259" t="str">
        <f t="shared" si="311"/>
        <v>2022/11/7,蛇口港</v>
      </c>
    </row>
    <row r="1368" spans="1:48" ht="16.5" hidden="1">
      <c r="A1368" s="564">
        <v>1853</v>
      </c>
      <c r="B1368" s="669" t="s">
        <v>1125</v>
      </c>
      <c r="C1368" s="669" t="s">
        <v>281</v>
      </c>
      <c r="D1368" s="650" t="s">
        <v>2632</v>
      </c>
      <c r="E1368" s="749" t="s">
        <v>2625</v>
      </c>
      <c r="F1368" s="652" t="s">
        <v>17</v>
      </c>
      <c r="G1368" s="652" t="s">
        <v>18</v>
      </c>
      <c r="H1368" s="652" t="s">
        <v>102</v>
      </c>
      <c r="I1368" s="580" t="s">
        <v>2638</v>
      </c>
      <c r="J1368" s="580">
        <v>1</v>
      </c>
      <c r="K1368" s="652" t="s">
        <v>1419</v>
      </c>
      <c r="L1368" s="662" t="s">
        <v>2634</v>
      </c>
      <c r="M1368" s="670">
        <v>5.1200000000000002E-2</v>
      </c>
      <c r="N1368" s="652" t="s">
        <v>226</v>
      </c>
      <c r="O1368" s="580">
        <v>2022.8</v>
      </c>
      <c r="P1368" s="670" t="str">
        <f>VLOOKUP(A1368,'[1]Raw data'!$B:$BA,23,FALSE)</f>
        <v>RMB</v>
      </c>
      <c r="Q1368" s="652" t="str">
        <f>VLOOKUP(A1368,'[1]Raw data'!$B:$Z,2,FALSE)</f>
        <v>C49SZX20230026EC</v>
      </c>
      <c r="R1368" s="652" t="str">
        <f>VLOOKUP(A1368,'[1]Raw data'!$B:$Z,3,FALSE)</f>
        <v>乐福源</v>
      </c>
      <c r="S1368" s="652" t="str">
        <f>VLOOKUP(A1368,'[1]Raw data'!$B:$Z,4,FALSE)</f>
        <v>YSM10</v>
      </c>
      <c r="T1368" s="652" t="str">
        <f>VLOOKUP(A1368,'[1]Raw data'!$B:$Z,8,FALSE)</f>
        <v>L-&gt;R</v>
      </c>
      <c r="U1368" s="652" t="str">
        <f>VLOOKUP(A1368,'[1]Raw data'!$B:$Z,9,FALSE)</f>
        <v>MVC</v>
      </c>
      <c r="V1368" s="572" t="str">
        <f t="shared" ref="V1368:V1381" si="315">IF(G1368&amp;H1368=T1368&amp;U1368,"OK","WRONG")</f>
        <v>WRONG</v>
      </c>
      <c r="W1368" s="568" t="str">
        <f>VLOOKUP(A1368,'[1]Raw data'!$B:$AG,32,FALSE)</f>
        <v>DDP HZ</v>
      </c>
      <c r="X1368" s="652">
        <f>VLOOKUP(A1368,'[1]Raw data'!$B:$BA,31,FALSE)</f>
        <v>44979</v>
      </c>
      <c r="Y1368" s="652" t="str">
        <f>VLOOKUP(A1368,'[1]Raw data'!$B:$AS,39,FALSE)</f>
        <v>Yes</v>
      </c>
      <c r="Z1368" s="664"/>
      <c r="AA1368" s="665"/>
      <c r="AB1368" s="666"/>
      <c r="AC1368" s="652" t="s">
        <v>3901</v>
      </c>
      <c r="AD1368" s="667">
        <v>301</v>
      </c>
      <c r="AE1368" s="667">
        <v>5</v>
      </c>
      <c r="AF1368" s="667">
        <v>302</v>
      </c>
      <c r="AG1368" s="667">
        <v>5</v>
      </c>
      <c r="AH1368" s="667"/>
      <c r="AI1368" s="668"/>
      <c r="AN1368" s="547"/>
      <c r="AO1368" s="829" t="str">
        <f t="shared" si="304"/>
        <v>Yes</v>
      </c>
      <c r="AP1368" s="259" t="str">
        <f t="shared" si="305"/>
        <v>APR 23</v>
      </c>
      <c r="AQ1368" s="547" t="str">
        <f t="shared" si="306"/>
        <v>有定金+有預留客戶</v>
      </c>
      <c r="AR1368" s="259" t="str">
        <f t="shared" si="307"/>
        <v>Shipped_Stock</v>
      </c>
      <c r="AS1368" s="259" t="str">
        <f t="shared" si="308"/>
        <v/>
      </c>
      <c r="AT1368" s="259" t="str">
        <f t="shared" si="309"/>
        <v>乐福源</v>
      </c>
      <c r="AU1368" s="259" t="str">
        <f t="shared" si="310"/>
        <v>C49SZX20230026EC</v>
      </c>
      <c r="AV1368" s="259" t="str">
        <f t="shared" si="311"/>
        <v>2022/11/7,蛇口港</v>
      </c>
    </row>
    <row r="1369" spans="1:48" hidden="1">
      <c r="A1369" s="721" t="s">
        <v>2293</v>
      </c>
      <c r="B1369" s="669" t="s">
        <v>1125</v>
      </c>
      <c r="C1369" s="669" t="s">
        <v>281</v>
      </c>
      <c r="D1369" s="650" t="s">
        <v>2639</v>
      </c>
      <c r="E1369" s="749" t="s">
        <v>2640</v>
      </c>
      <c r="F1369" s="652" t="s">
        <v>58</v>
      </c>
      <c r="G1369" s="652" t="s">
        <v>18</v>
      </c>
      <c r="H1369" s="652" t="s">
        <v>26</v>
      </c>
      <c r="I1369" s="580" t="s">
        <v>2641</v>
      </c>
      <c r="J1369" s="580">
        <v>1</v>
      </c>
      <c r="K1369" s="652" t="s">
        <v>1419</v>
      </c>
      <c r="L1369" s="662" t="s">
        <v>2634</v>
      </c>
      <c r="M1369" s="670">
        <v>4.9700000000000001E-2</v>
      </c>
      <c r="N1369" s="652"/>
      <c r="O1369" s="580">
        <v>2022.9</v>
      </c>
      <c r="P1369" s="670" t="s">
        <v>1246</v>
      </c>
      <c r="Q1369" s="652" t="s">
        <v>2642</v>
      </c>
      <c r="R1369" s="730" t="s">
        <v>2643</v>
      </c>
      <c r="S1369" s="652" t="s">
        <v>58</v>
      </c>
      <c r="T1369" s="652" t="s">
        <v>18</v>
      </c>
      <c r="U1369" s="652" t="s">
        <v>26</v>
      </c>
      <c r="V1369" s="572" t="str">
        <f t="shared" ref="V1369:V1372" si="316">IF(G1369&amp;H1369=T1369&amp;U1369,"OK","WRONG")</f>
        <v>OK</v>
      </c>
      <c r="W1369" s="568" t="e">
        <f>VLOOKUP(A1369,'[1]Raw data'!$B:$AG,32,FALSE)</f>
        <v>#N/A</v>
      </c>
      <c r="X1369" s="652" t="e">
        <f>VLOOKUP(A1369,'[1]Raw data'!$B:$BA,31,FALSE)</f>
        <v>#N/A</v>
      </c>
      <c r="Y1369" s="652" t="e">
        <f>VLOOKUP(A1369,'[1]Raw data'!$B:$AS,39,FALSE)</f>
        <v>#N/A</v>
      </c>
      <c r="Z1369" s="671"/>
      <c r="AA1369" s="665"/>
      <c r="AB1369" s="666"/>
      <c r="AC1369" s="730" t="s">
        <v>2644</v>
      </c>
      <c r="AD1369" s="667">
        <v>301</v>
      </c>
      <c r="AE1369" s="667">
        <v>10</v>
      </c>
      <c r="AF1369" s="667">
        <v>311</v>
      </c>
      <c r="AG1369" s="667">
        <v>10</v>
      </c>
      <c r="AH1369" s="667"/>
      <c r="AI1369" s="668"/>
      <c r="AN1369" s="547"/>
      <c r="AO1369" s="829" t="str">
        <f t="shared" si="304"/>
        <v>No</v>
      </c>
      <c r="AP1369" s="259" t="str">
        <f t="shared" si="305"/>
        <v>blank</v>
      </c>
      <c r="AQ1369" s="547" t="str">
        <f t="shared" si="306"/>
        <v>无定金+无預留客戶</v>
      </c>
      <c r="AR1369" s="259" t="str">
        <f t="shared" si="307"/>
        <v>Shipped_Stock</v>
      </c>
      <c r="AS1369" s="259" t="str">
        <f t="shared" si="308"/>
        <v/>
      </c>
      <c r="AT1369" s="259" t="str">
        <f t="shared" si="309"/>
        <v>福建凯思达</v>
      </c>
      <c r="AU1369" s="259" t="str">
        <f t="shared" si="310"/>
        <v>C49XMN20221122/LYX</v>
      </c>
      <c r="AV1369" s="259" t="str">
        <f t="shared" si="311"/>
        <v>2022/11/7,蛇口港</v>
      </c>
    </row>
    <row r="1370" spans="1:48" hidden="1">
      <c r="A1370" s="564">
        <v>1834</v>
      </c>
      <c r="B1370" s="669" t="s">
        <v>1125</v>
      </c>
      <c r="C1370" s="669" t="s">
        <v>281</v>
      </c>
      <c r="D1370" s="650" t="s">
        <v>2639</v>
      </c>
      <c r="E1370" s="749" t="s">
        <v>2640</v>
      </c>
      <c r="F1370" s="652" t="s">
        <v>58</v>
      </c>
      <c r="G1370" s="652" t="s">
        <v>18</v>
      </c>
      <c r="H1370" s="652" t="s">
        <v>26</v>
      </c>
      <c r="I1370" s="580" t="s">
        <v>2645</v>
      </c>
      <c r="J1370" s="580">
        <v>1</v>
      </c>
      <c r="K1370" s="652" t="s">
        <v>1419</v>
      </c>
      <c r="L1370" s="662" t="s">
        <v>2634</v>
      </c>
      <c r="M1370" s="670">
        <v>4.9700000000000001E-2</v>
      </c>
      <c r="N1370" s="652" t="s">
        <v>217</v>
      </c>
      <c r="O1370" s="580">
        <v>2022.9</v>
      </c>
      <c r="P1370" s="670" t="str">
        <f>VLOOKUP(A1370,'[1]Raw data'!$B:$BA,23,FALSE)</f>
        <v>RMB</v>
      </c>
      <c r="Q1370" s="652" t="str">
        <f>VLOOKUP(A1370,'[1]Raw data'!$B:$Z,2,FALSE)</f>
        <v>C49SZX20230012EC</v>
      </c>
      <c r="R1370" s="652" t="str">
        <f>VLOOKUP(A1370,'[1]Raw data'!$B:$Z,3,FALSE)</f>
        <v>海红天远</v>
      </c>
      <c r="S1370" s="652" t="str">
        <f>VLOOKUP(A1370,'[1]Raw data'!$B:$Z,4,FALSE)</f>
        <v>YSM20R-2</v>
      </c>
      <c r="T1370" s="652" t="str">
        <f>VLOOKUP(A1370,'[1]Raw data'!$B:$Z,8,FALSE)</f>
        <v>R-&gt;L</v>
      </c>
      <c r="U1370" s="652" t="str">
        <f>VLOOKUP(A1370,'[1]Raw data'!$B:$Z,9,FALSE)</f>
        <v>MVC F&amp;R</v>
      </c>
      <c r="V1370" s="572" t="str">
        <f t="shared" si="316"/>
        <v>WRONG</v>
      </c>
      <c r="W1370" s="568" t="str">
        <f>VLOOKUP(A1370,'[1]Raw data'!$B:$AG,32,FALSE)</f>
        <v>DDP SZ</v>
      </c>
      <c r="X1370" s="652">
        <f>VLOOKUP(A1370,'[1]Raw data'!$B:$BA,31,FALSE)</f>
        <v>44966</v>
      </c>
      <c r="Y1370" s="652" t="str">
        <f>VLOOKUP(A1370,'[1]Raw data'!$B:$AS,39,FALSE)</f>
        <v>Yes</v>
      </c>
      <c r="Z1370" s="671"/>
      <c r="AA1370" s="665"/>
      <c r="AB1370" s="666"/>
      <c r="AC1370" s="652" t="s">
        <v>1079</v>
      </c>
      <c r="AD1370" s="667">
        <v>301</v>
      </c>
      <c r="AE1370" s="667">
        <v>10</v>
      </c>
      <c r="AF1370" s="667">
        <v>311</v>
      </c>
      <c r="AG1370" s="667">
        <v>10</v>
      </c>
      <c r="AH1370" s="667"/>
      <c r="AI1370" s="668"/>
      <c r="AN1370" s="547"/>
      <c r="AO1370" s="829" t="str">
        <f t="shared" si="304"/>
        <v>Yes</v>
      </c>
      <c r="AP1370" s="259" t="str">
        <f t="shared" si="305"/>
        <v>FEB 23</v>
      </c>
      <c r="AQ1370" s="547" t="str">
        <f t="shared" si="306"/>
        <v>有定金+有預留客戶</v>
      </c>
      <c r="AR1370" s="259" t="str">
        <f t="shared" si="307"/>
        <v>Shipped_Stock</v>
      </c>
      <c r="AS1370" s="259" t="str">
        <f t="shared" si="308"/>
        <v/>
      </c>
      <c r="AT1370" s="259" t="str">
        <f t="shared" si="309"/>
        <v>海红天远</v>
      </c>
      <c r="AU1370" s="259" t="str">
        <f t="shared" si="310"/>
        <v>C49SZX20230012EC</v>
      </c>
      <c r="AV1370" s="259" t="str">
        <f t="shared" si="311"/>
        <v>2022/11/7,蛇口港</v>
      </c>
    </row>
    <row r="1371" spans="1:48" hidden="1">
      <c r="A1371" s="564">
        <v>1827</v>
      </c>
      <c r="B1371" s="669" t="s">
        <v>1125</v>
      </c>
      <c r="C1371" s="669" t="s">
        <v>281</v>
      </c>
      <c r="D1371" s="650" t="s">
        <v>2639</v>
      </c>
      <c r="E1371" s="749" t="s">
        <v>2640</v>
      </c>
      <c r="F1371" s="652" t="s">
        <v>58</v>
      </c>
      <c r="G1371" s="652" t="s">
        <v>24</v>
      </c>
      <c r="H1371" s="652" t="s">
        <v>26</v>
      </c>
      <c r="I1371" s="580" t="s">
        <v>2646</v>
      </c>
      <c r="J1371" s="580">
        <v>1</v>
      </c>
      <c r="K1371" s="652" t="s">
        <v>1419</v>
      </c>
      <c r="L1371" s="662" t="s">
        <v>2634</v>
      </c>
      <c r="M1371" s="670">
        <v>4.9700000000000001E-2</v>
      </c>
      <c r="N1371" s="652" t="s">
        <v>217</v>
      </c>
      <c r="O1371" s="580">
        <v>2022.9</v>
      </c>
      <c r="P1371" s="670" t="str">
        <f>VLOOKUP(A1371,'[1]Raw data'!$B:$BA,23,FALSE)</f>
        <v>RMB</v>
      </c>
      <c r="Q1371" s="652" t="str">
        <f>VLOOKUP(A1371,'[1]Raw data'!$B:$Z,2,FALSE)</f>
        <v>C49SZX202300011SX</v>
      </c>
      <c r="R1371" s="652" t="str">
        <f>VLOOKUP(A1371,'[1]Raw data'!$B:$Z,3,FALSE)</f>
        <v>益田科技</v>
      </c>
      <c r="S1371" s="652" t="str">
        <f>VLOOKUP(A1371,'[1]Raw data'!$B:$Z,4,FALSE)</f>
        <v>YSM20R-2</v>
      </c>
      <c r="T1371" s="652" t="str">
        <f>VLOOKUP(A1371,'[1]Raw data'!$B:$Z,8,FALSE)</f>
        <v>L-&gt;R</v>
      </c>
      <c r="U1371" s="652" t="str">
        <f>VLOOKUP(A1371,'[1]Raw data'!$B:$Z,9,FALSE)</f>
        <v>No</v>
      </c>
      <c r="V1371" s="572" t="str">
        <f t="shared" si="316"/>
        <v>OK</v>
      </c>
      <c r="W1371" s="568" t="str">
        <f>VLOOKUP(A1371,'[1]Raw data'!$B:$AG,32,FALSE)</f>
        <v>DDP SZ</v>
      </c>
      <c r="X1371" s="652">
        <f>VLOOKUP(A1371,'[1]Raw data'!$B:$BA,31,FALSE)</f>
        <v>44960</v>
      </c>
      <c r="Y1371" s="652" t="str">
        <f>VLOOKUP(A1371,'[1]Raw data'!$B:$AS,39,FALSE)</f>
        <v>Yes</v>
      </c>
      <c r="Z1371" s="671"/>
      <c r="AA1371" s="665"/>
      <c r="AB1371" s="666"/>
      <c r="AC1371" s="652" t="s">
        <v>1172</v>
      </c>
      <c r="AD1371" s="580">
        <v>301</v>
      </c>
      <c r="AE1371" s="580">
        <v>10</v>
      </c>
      <c r="AF1371" s="580">
        <v>312</v>
      </c>
      <c r="AG1371" s="580">
        <v>10</v>
      </c>
      <c r="AH1371" s="580"/>
      <c r="AI1371" s="684"/>
      <c r="AN1371" s="547"/>
      <c r="AO1371" s="829" t="str">
        <f t="shared" si="304"/>
        <v>Yes</v>
      </c>
      <c r="AP1371" s="259" t="str">
        <f t="shared" si="305"/>
        <v>FEB 23</v>
      </c>
      <c r="AQ1371" s="547" t="str">
        <f t="shared" si="306"/>
        <v>有定金+有預留客戶</v>
      </c>
      <c r="AR1371" s="259" t="str">
        <f t="shared" si="307"/>
        <v>Shipped_Stock</v>
      </c>
      <c r="AS1371" s="259" t="str">
        <f t="shared" si="308"/>
        <v/>
      </c>
      <c r="AT1371" s="259" t="str">
        <f t="shared" si="309"/>
        <v>益田科技</v>
      </c>
      <c r="AU1371" s="259" t="str">
        <f t="shared" si="310"/>
        <v>C49SZX202300011SX</v>
      </c>
      <c r="AV1371" s="259" t="str">
        <f t="shared" si="311"/>
        <v>2022/11/7,蛇口港</v>
      </c>
    </row>
    <row r="1372" spans="1:48" hidden="1">
      <c r="A1372" s="564">
        <v>1828</v>
      </c>
      <c r="B1372" s="669" t="s">
        <v>1125</v>
      </c>
      <c r="C1372" s="669" t="s">
        <v>281</v>
      </c>
      <c r="D1372" s="650" t="s">
        <v>2639</v>
      </c>
      <c r="E1372" s="749" t="s">
        <v>2640</v>
      </c>
      <c r="F1372" s="652" t="s">
        <v>58</v>
      </c>
      <c r="G1372" s="652" t="s">
        <v>24</v>
      </c>
      <c r="H1372" s="652" t="s">
        <v>26</v>
      </c>
      <c r="I1372" s="580" t="s">
        <v>2647</v>
      </c>
      <c r="J1372" s="580">
        <v>1</v>
      </c>
      <c r="K1372" s="652" t="s">
        <v>1419</v>
      </c>
      <c r="L1372" s="662" t="s">
        <v>2634</v>
      </c>
      <c r="M1372" s="670">
        <v>4.9700000000000001E-2</v>
      </c>
      <c r="N1372" s="652" t="s">
        <v>217</v>
      </c>
      <c r="O1372" s="580">
        <v>2022.9</v>
      </c>
      <c r="P1372" s="670" t="str">
        <f>VLOOKUP(A1372,'[1]Raw data'!$B:$BA,23,FALSE)</f>
        <v>RMB</v>
      </c>
      <c r="Q1372" s="652" t="str">
        <f>VLOOKUP(A1372,'[1]Raw data'!$B:$Z,2,FALSE)</f>
        <v>C49SZX202300011SX</v>
      </c>
      <c r="R1372" s="652" t="str">
        <f>VLOOKUP(A1372,'[1]Raw data'!$B:$Z,3,FALSE)</f>
        <v>益田科技</v>
      </c>
      <c r="S1372" s="652" t="str">
        <f>VLOOKUP(A1372,'[1]Raw data'!$B:$Z,4,FALSE)</f>
        <v>YSM20R-2</v>
      </c>
      <c r="T1372" s="652" t="str">
        <f>VLOOKUP(A1372,'[1]Raw data'!$B:$Z,8,FALSE)</f>
        <v>L-&gt;R</v>
      </c>
      <c r="U1372" s="652" t="str">
        <f>VLOOKUP(A1372,'[1]Raw data'!$B:$Z,9,FALSE)</f>
        <v>No</v>
      </c>
      <c r="V1372" s="572" t="str">
        <f t="shared" si="316"/>
        <v>OK</v>
      </c>
      <c r="W1372" s="568" t="str">
        <f>VLOOKUP(A1372,'[1]Raw data'!$B:$AG,32,FALSE)</f>
        <v>DDP SZ</v>
      </c>
      <c r="X1372" s="652">
        <f>VLOOKUP(A1372,'[1]Raw data'!$B:$BA,31,FALSE)</f>
        <v>44960</v>
      </c>
      <c r="Y1372" s="652" t="str">
        <f>VLOOKUP(A1372,'[1]Raw data'!$B:$AS,39,FALSE)</f>
        <v>Yes</v>
      </c>
      <c r="Z1372" s="671"/>
      <c r="AA1372" s="665"/>
      <c r="AB1372" s="666"/>
      <c r="AC1372" s="652" t="s">
        <v>1172</v>
      </c>
      <c r="AD1372" s="580">
        <v>301</v>
      </c>
      <c r="AE1372" s="580">
        <v>10</v>
      </c>
      <c r="AF1372" s="580">
        <v>312</v>
      </c>
      <c r="AG1372" s="580">
        <v>10</v>
      </c>
      <c r="AH1372" s="580"/>
      <c r="AI1372" s="684"/>
      <c r="AN1372" s="547"/>
      <c r="AO1372" s="829" t="str">
        <f t="shared" si="304"/>
        <v>Yes</v>
      </c>
      <c r="AP1372" s="259" t="str">
        <f t="shared" si="305"/>
        <v>FEB 23</v>
      </c>
      <c r="AQ1372" s="547" t="str">
        <f t="shared" si="306"/>
        <v>有定金+有預留客戶</v>
      </c>
      <c r="AR1372" s="259" t="str">
        <f t="shared" si="307"/>
        <v>Shipped_Stock</v>
      </c>
      <c r="AS1372" s="259" t="str">
        <f t="shared" si="308"/>
        <v/>
      </c>
      <c r="AT1372" s="259" t="str">
        <f t="shared" si="309"/>
        <v>益田科技</v>
      </c>
      <c r="AU1372" s="259" t="str">
        <f t="shared" si="310"/>
        <v>C49SZX202300011SX</v>
      </c>
      <c r="AV1372" s="259" t="str">
        <f t="shared" si="311"/>
        <v>2022/11/7,蛇口港</v>
      </c>
    </row>
    <row r="1373" spans="1:48" ht="16.5" hidden="1">
      <c r="A1373" s="564">
        <v>1719</v>
      </c>
      <c r="B1373" s="669" t="s">
        <v>1125</v>
      </c>
      <c r="C1373" s="669" t="s">
        <v>281</v>
      </c>
      <c r="D1373" s="650" t="s">
        <v>2648</v>
      </c>
      <c r="E1373" s="798" t="s">
        <v>2649</v>
      </c>
      <c r="F1373" s="652" t="s">
        <v>17</v>
      </c>
      <c r="G1373" s="652" t="s">
        <v>18</v>
      </c>
      <c r="H1373" s="652" t="s">
        <v>102</v>
      </c>
      <c r="I1373" s="580" t="s">
        <v>4069</v>
      </c>
      <c r="J1373" s="580">
        <v>1</v>
      </c>
      <c r="K1373" s="652" t="s">
        <v>1419</v>
      </c>
      <c r="L1373" s="662" t="s">
        <v>2634</v>
      </c>
      <c r="M1373" s="670">
        <v>4.8800000000000003E-2</v>
      </c>
      <c r="N1373" s="652" t="s">
        <v>4023</v>
      </c>
      <c r="O1373" s="580">
        <v>2022.9</v>
      </c>
      <c r="P1373" s="670" t="str">
        <f>VLOOKUP(A1373,'[1]Raw data'!$B:$BA,23,FALSE)</f>
        <v>RMB</v>
      </c>
      <c r="Q1373" s="652" t="str">
        <f>VLOOKUP(A1373,'[1]Raw data'!$B:$Z,2,FALSE)</f>
        <v>C49SZX20220091MZ</v>
      </c>
      <c r="R1373" s="652" t="str">
        <f>VLOOKUP(A1373,'[1]Raw data'!$B:$Z,3,FALSE)</f>
        <v>华烨(end user:华煜）</v>
      </c>
      <c r="S1373" s="652" t="str">
        <f>VLOOKUP(A1373,'[1]Raw data'!$B:$Z,4,FALSE)</f>
        <v>YSM10</v>
      </c>
      <c r="T1373" s="652" t="str">
        <f>VLOOKUP(A1373,'[1]Raw data'!$B:$Z,8,FALSE)</f>
        <v>L-&gt;R</v>
      </c>
      <c r="U1373" s="652" t="str">
        <f>VLOOKUP(A1373,'[1]Raw data'!$B:$Z,9,FALSE)</f>
        <v>MVC</v>
      </c>
      <c r="V1373" s="572" t="str">
        <f t="shared" si="315"/>
        <v>WRONG</v>
      </c>
      <c r="W1373" s="568" t="str">
        <f>VLOOKUP(A1373,'[1]Raw data'!$B:$AG,32,FALSE)</f>
        <v>DDP LJ</v>
      </c>
      <c r="X1373" s="662">
        <f>VLOOKUP(A1373,'[1]Raw data'!$B:$BA,31,FALSE)</f>
        <v>44793</v>
      </c>
      <c r="Y1373" s="652" t="str">
        <f>VLOOKUP(A1373,'[1]Raw data'!$B:$AS,39,FALSE)</f>
        <v>Yes</v>
      </c>
      <c r="Z1373" s="664"/>
      <c r="AA1373" s="665"/>
      <c r="AB1373" s="666"/>
      <c r="AC1373" s="652" t="s">
        <v>4089</v>
      </c>
      <c r="AD1373" s="667">
        <v>301</v>
      </c>
      <c r="AE1373" s="667">
        <v>5</v>
      </c>
      <c r="AF1373" s="667">
        <v>302</v>
      </c>
      <c r="AG1373" s="667">
        <v>5</v>
      </c>
      <c r="AH1373" s="667"/>
      <c r="AI1373" s="668"/>
      <c r="AN1373" s="547"/>
      <c r="AO1373" s="829" t="str">
        <f t="shared" si="304"/>
        <v>Yes</v>
      </c>
      <c r="AP1373" s="259" t="str">
        <f t="shared" si="305"/>
        <v>JUL 23</v>
      </c>
      <c r="AQ1373" s="547" t="str">
        <f t="shared" si="306"/>
        <v>有定金+有預留客戶</v>
      </c>
      <c r="AR1373" s="259" t="str">
        <f t="shared" si="307"/>
        <v>Shipped_Stock</v>
      </c>
      <c r="AS1373" s="259" t="str">
        <f t="shared" si="308"/>
        <v/>
      </c>
      <c r="AT1373" s="259" t="str">
        <f t="shared" si="309"/>
        <v>华烨(end user:华煜）</v>
      </c>
      <c r="AU1373" s="259" t="str">
        <f t="shared" si="310"/>
        <v>C49SZX20220091MZ</v>
      </c>
      <c r="AV1373" s="259" t="str">
        <f t="shared" si="311"/>
        <v>2022/11/7,蛇口港</v>
      </c>
    </row>
    <row r="1374" spans="1:48" hidden="1">
      <c r="A1374" s="564">
        <v>1905</v>
      </c>
      <c r="B1374" s="669" t="s">
        <v>1125</v>
      </c>
      <c r="C1374" s="669" t="s">
        <v>281</v>
      </c>
      <c r="D1374" s="650" t="s">
        <v>2648</v>
      </c>
      <c r="E1374" s="798" t="s">
        <v>2649</v>
      </c>
      <c r="F1374" s="652" t="s">
        <v>17</v>
      </c>
      <c r="G1374" s="652" t="s">
        <v>18</v>
      </c>
      <c r="H1374" s="652" t="s">
        <v>48</v>
      </c>
      <c r="I1374" s="580" t="s">
        <v>3915</v>
      </c>
      <c r="J1374" s="580">
        <v>1</v>
      </c>
      <c r="K1374" s="652" t="s">
        <v>1419</v>
      </c>
      <c r="L1374" s="662" t="s">
        <v>2634</v>
      </c>
      <c r="M1374" s="670">
        <v>4.8800000000000003E-2</v>
      </c>
      <c r="N1374" s="652" t="s">
        <v>226</v>
      </c>
      <c r="O1374" s="580">
        <v>2022.9</v>
      </c>
      <c r="P1374" s="670" t="str">
        <f>VLOOKUP(A1374,'[1]Raw data'!$B:$BA,23,FALSE)</f>
        <v>JPY</v>
      </c>
      <c r="Q1374" s="652" t="str">
        <f>VLOOKUP(A1374,'[1]Raw data'!$B:$Z,2,FALSE)</f>
        <v>C49SZX20230054SQ</v>
      </c>
      <c r="R1374" s="652" t="str">
        <f>VLOOKUP(A1374,'[1]Raw data'!$B:$Z,3,FALSE)</f>
        <v>格第</v>
      </c>
      <c r="S1374" s="652" t="str">
        <f>VLOOKUP(A1374,'[1]Raw data'!$B:$Z,4,FALSE)</f>
        <v>YSM10</v>
      </c>
      <c r="T1374" s="652" t="str">
        <f>VLOOKUP(A1374,'[1]Raw data'!$B:$Z,8,FALSE)</f>
        <v>R-&gt;L</v>
      </c>
      <c r="U1374" s="652" t="str">
        <f>VLOOKUP(A1374,'[1]Raw data'!$B:$Z,9,FALSE)</f>
        <v>MVC+ATS15</v>
      </c>
      <c r="V1374" s="572" t="str">
        <f t="shared" si="315"/>
        <v>WRONG</v>
      </c>
      <c r="W1374" s="568" t="str">
        <f>VLOOKUP(A1374,'[1]Raw data'!$B:$AG,32,FALSE)</f>
        <v>DAP SZ</v>
      </c>
      <c r="X1374" s="652">
        <f>VLOOKUP(A1374,'[1]Raw data'!$B:$BA,31,FALSE)</f>
        <v>45037</v>
      </c>
      <c r="Y1374" s="652" t="str">
        <f>VLOOKUP(A1374,'[1]Raw data'!$B:$AS,39,FALSE)</f>
        <v>Yes</v>
      </c>
      <c r="Z1374" s="664"/>
      <c r="AA1374" s="665"/>
      <c r="AB1374" s="666"/>
      <c r="AC1374" s="652" t="s">
        <v>3952</v>
      </c>
      <c r="AD1374" s="667">
        <v>301</v>
      </c>
      <c r="AE1374" s="667">
        <v>5</v>
      </c>
      <c r="AF1374" s="667">
        <v>303</v>
      </c>
      <c r="AG1374" s="667">
        <v>3</v>
      </c>
      <c r="AH1374" s="667">
        <v>304</v>
      </c>
      <c r="AI1374" s="668">
        <v>2</v>
      </c>
      <c r="AN1374" s="547"/>
      <c r="AO1374" s="829" t="str">
        <f t="shared" si="304"/>
        <v>Yes</v>
      </c>
      <c r="AP1374" s="259" t="str">
        <f t="shared" si="305"/>
        <v>APR 23</v>
      </c>
      <c r="AQ1374" s="547" t="str">
        <f t="shared" si="306"/>
        <v>有定金+有預留客戶</v>
      </c>
      <c r="AR1374" s="259" t="str">
        <f t="shared" si="307"/>
        <v>Shipped_Stock</v>
      </c>
      <c r="AS1374" s="259" t="str">
        <f t="shared" si="308"/>
        <v/>
      </c>
      <c r="AT1374" s="259" t="str">
        <f t="shared" si="309"/>
        <v>格第</v>
      </c>
      <c r="AU1374" s="259" t="str">
        <f t="shared" si="310"/>
        <v>C49SZX20230054SQ</v>
      </c>
      <c r="AV1374" s="259" t="str">
        <f t="shared" si="311"/>
        <v>2022/11/7,蛇口港</v>
      </c>
    </row>
    <row r="1375" spans="1:48" hidden="1">
      <c r="A1375" s="564">
        <v>1903</v>
      </c>
      <c r="B1375" s="669" t="s">
        <v>1125</v>
      </c>
      <c r="C1375" s="669" t="s">
        <v>281</v>
      </c>
      <c r="D1375" s="650" t="s">
        <v>2648</v>
      </c>
      <c r="E1375" s="798" t="s">
        <v>2649</v>
      </c>
      <c r="F1375" s="652" t="s">
        <v>17</v>
      </c>
      <c r="G1375" s="652" t="s">
        <v>18</v>
      </c>
      <c r="H1375" s="652" t="s">
        <v>48</v>
      </c>
      <c r="I1375" s="580" t="s">
        <v>2650</v>
      </c>
      <c r="J1375" s="580">
        <v>1</v>
      </c>
      <c r="K1375" s="652" t="s">
        <v>1419</v>
      </c>
      <c r="L1375" s="662" t="s">
        <v>2634</v>
      </c>
      <c r="M1375" s="670">
        <v>4.8800000000000003E-2</v>
      </c>
      <c r="N1375" s="652" t="s">
        <v>226</v>
      </c>
      <c r="O1375" s="580">
        <v>2022.9</v>
      </c>
      <c r="P1375" s="670" t="str">
        <f>VLOOKUP(A1375,'[1]Raw data'!$B:$BA,23,FALSE)</f>
        <v>RMB</v>
      </c>
      <c r="Q1375" s="652" t="str">
        <f>VLOOKUP(A1375,'[1]Raw data'!$B:$Z,2,FALSE)</f>
        <v>C49SZX20230049JY</v>
      </c>
      <c r="R1375" s="652" t="str">
        <f>VLOOKUP(A1375,'[1]Raw data'!$B:$Z,3,FALSE)</f>
        <v>和创永泰</v>
      </c>
      <c r="S1375" s="652" t="str">
        <f>VLOOKUP(A1375,'[1]Raw data'!$B:$Z,4,FALSE)</f>
        <v>YSM10</v>
      </c>
      <c r="T1375" s="652" t="str">
        <f>VLOOKUP(A1375,'[1]Raw data'!$B:$Z,8,FALSE)</f>
        <v>L-&gt;R</v>
      </c>
      <c r="U1375" s="652" t="str">
        <f>VLOOKUP(A1375,'[1]Raw data'!$B:$Z,9,FALSE)</f>
        <v>MVC+ATS15</v>
      </c>
      <c r="V1375" s="572" t="str">
        <f t="shared" si="315"/>
        <v>WRONG</v>
      </c>
      <c r="W1375" s="568" t="str">
        <f>VLOOKUP(A1375,'[1]Raw data'!$B:$AG,32,FALSE)</f>
        <v>DDP SZ</v>
      </c>
      <c r="X1375" s="652">
        <f>VLOOKUP(A1375,'[1]Raw data'!$B:$BA,31,FALSE)</f>
        <v>45036</v>
      </c>
      <c r="Y1375" s="652" t="str">
        <f>VLOOKUP(A1375,'[1]Raw data'!$B:$AS,39,FALSE)</f>
        <v>Yes</v>
      </c>
      <c r="Z1375" s="664"/>
      <c r="AA1375" s="665"/>
      <c r="AB1375" s="666"/>
      <c r="AC1375" s="652" t="s">
        <v>2436</v>
      </c>
      <c r="AD1375" s="667">
        <v>301</v>
      </c>
      <c r="AE1375" s="667">
        <v>5</v>
      </c>
      <c r="AF1375" s="667">
        <v>303</v>
      </c>
      <c r="AG1375" s="667">
        <v>3</v>
      </c>
      <c r="AH1375" s="667">
        <v>304</v>
      </c>
      <c r="AI1375" s="668">
        <v>2</v>
      </c>
      <c r="AN1375" s="547"/>
      <c r="AO1375" s="829" t="str">
        <f t="shared" si="304"/>
        <v>Yes</v>
      </c>
      <c r="AP1375" s="259" t="str">
        <f t="shared" si="305"/>
        <v>APR 23</v>
      </c>
      <c r="AQ1375" s="547" t="str">
        <f t="shared" si="306"/>
        <v>有定金+有預留客戶</v>
      </c>
      <c r="AR1375" s="259" t="str">
        <f t="shared" si="307"/>
        <v>Shipped_Stock</v>
      </c>
      <c r="AS1375" s="259" t="str">
        <f t="shared" si="308"/>
        <v/>
      </c>
      <c r="AT1375" s="259" t="str">
        <f t="shared" si="309"/>
        <v>和创永泰</v>
      </c>
      <c r="AU1375" s="259" t="str">
        <f t="shared" si="310"/>
        <v>C49SZX20230049JY</v>
      </c>
      <c r="AV1375" s="259" t="str">
        <f t="shared" si="311"/>
        <v>2022/11/7,蛇口港</v>
      </c>
    </row>
    <row r="1376" spans="1:48" ht="16.5" hidden="1">
      <c r="A1376" s="564">
        <v>1912</v>
      </c>
      <c r="B1376" s="669" t="s">
        <v>1125</v>
      </c>
      <c r="C1376" s="669" t="s">
        <v>281</v>
      </c>
      <c r="D1376" s="650" t="s">
        <v>2648</v>
      </c>
      <c r="E1376" s="798" t="s">
        <v>2649</v>
      </c>
      <c r="F1376" s="652" t="s">
        <v>17</v>
      </c>
      <c r="G1376" s="652" t="s">
        <v>18</v>
      </c>
      <c r="H1376" s="652" t="s">
        <v>102</v>
      </c>
      <c r="I1376" s="580" t="s">
        <v>4032</v>
      </c>
      <c r="J1376" s="580">
        <v>1</v>
      </c>
      <c r="K1376" s="652" t="s">
        <v>1419</v>
      </c>
      <c r="L1376" s="662" t="s">
        <v>2634</v>
      </c>
      <c r="M1376" s="670">
        <v>4.8800000000000003E-2</v>
      </c>
      <c r="N1376" s="652" t="s">
        <v>3992</v>
      </c>
      <c r="O1376" s="580">
        <v>2022.9</v>
      </c>
      <c r="P1376" s="670" t="str">
        <f>VLOOKUP(A1376,'[1]Raw data'!$B:$BA,23,FALSE)</f>
        <v>RMB</v>
      </c>
      <c r="Q1376" s="652" t="str">
        <f>VLOOKUP(A1376,'[1]Raw data'!$B:$Z,2,FALSE)</f>
        <v>C49SZX20230056SX</v>
      </c>
      <c r="R1376" s="652" t="str">
        <f>VLOOKUP(A1376,'[1]Raw data'!$B:$Z,3,FALSE)</f>
        <v>台山新欣</v>
      </c>
      <c r="S1376" s="652" t="str">
        <f>VLOOKUP(A1376,'[1]Raw data'!$B:$Z,4,FALSE)</f>
        <v>YSM10</v>
      </c>
      <c r="T1376" s="652" t="str">
        <f>VLOOKUP(A1376,'[1]Raw data'!$B:$Z,8,FALSE)</f>
        <v>L-&gt;R</v>
      </c>
      <c r="U1376" s="652" t="str">
        <f>VLOOKUP(A1376,'[1]Raw data'!$B:$Z,9,FALSE)</f>
        <v>MVC</v>
      </c>
      <c r="V1376" s="572" t="str">
        <f t="shared" si="315"/>
        <v>WRONG</v>
      </c>
      <c r="W1376" s="568" t="str">
        <f>VLOOKUP(A1376,'[1]Raw data'!$B:$AG,32,FALSE)</f>
        <v>DDP TS</v>
      </c>
      <c r="X1376" s="652">
        <f>VLOOKUP(A1376,'[1]Raw data'!$B:$BA,31,FALSE)</f>
        <v>45040</v>
      </c>
      <c r="Y1376" s="652" t="str">
        <f>VLOOKUP(A1376,'[1]Raw data'!$B:$AS,39,FALSE)</f>
        <v>Yes</v>
      </c>
      <c r="Z1376" s="664"/>
      <c r="AA1376" s="665"/>
      <c r="AB1376" s="666"/>
      <c r="AC1376" s="652" t="s">
        <v>4034</v>
      </c>
      <c r="AD1376" s="667">
        <v>301</v>
      </c>
      <c r="AE1376" s="667">
        <v>5</v>
      </c>
      <c r="AF1376" s="667">
        <v>302</v>
      </c>
      <c r="AG1376" s="667">
        <v>5</v>
      </c>
      <c r="AH1376" s="667"/>
      <c r="AI1376" s="668"/>
      <c r="AN1376" s="547"/>
      <c r="AO1376" s="829" t="str">
        <f t="shared" si="304"/>
        <v>Yes</v>
      </c>
      <c r="AP1376" s="259" t="str">
        <f t="shared" si="305"/>
        <v>JUN 23</v>
      </c>
      <c r="AQ1376" s="547" t="str">
        <f t="shared" si="306"/>
        <v>有定金+有預留客戶</v>
      </c>
      <c r="AR1376" s="259" t="str">
        <f t="shared" si="307"/>
        <v>Shipped_Stock</v>
      </c>
      <c r="AS1376" s="259" t="str">
        <f t="shared" si="308"/>
        <v/>
      </c>
      <c r="AT1376" s="259" t="str">
        <f t="shared" si="309"/>
        <v>台山新欣</v>
      </c>
      <c r="AU1376" s="259" t="str">
        <f t="shared" si="310"/>
        <v>C49SZX20230056SX</v>
      </c>
      <c r="AV1376" s="259" t="str">
        <f t="shared" si="311"/>
        <v>2022/11/7,蛇口港</v>
      </c>
    </row>
    <row r="1377" spans="1:48" ht="16.5" hidden="1">
      <c r="A1377" s="604">
        <v>1931</v>
      </c>
      <c r="B1377" s="669" t="s">
        <v>1125</v>
      </c>
      <c r="C1377" s="669" t="s">
        <v>281</v>
      </c>
      <c r="D1377" s="650" t="s">
        <v>2651</v>
      </c>
      <c r="E1377" s="772" t="s">
        <v>2609</v>
      </c>
      <c r="F1377" s="652" t="s">
        <v>17</v>
      </c>
      <c r="G1377" s="652" t="s">
        <v>18</v>
      </c>
      <c r="H1377" s="652" t="s">
        <v>102</v>
      </c>
      <c r="I1377" s="580" t="s">
        <v>2652</v>
      </c>
      <c r="J1377" s="580">
        <v>1</v>
      </c>
      <c r="K1377" s="652" t="s">
        <v>1419</v>
      </c>
      <c r="L1377" s="662" t="s">
        <v>2634</v>
      </c>
      <c r="M1377" s="670">
        <v>4.9700000000000001E-2</v>
      </c>
      <c r="N1377" s="652" t="s">
        <v>4023</v>
      </c>
      <c r="O1377" s="580">
        <v>2022.8</v>
      </c>
      <c r="P1377" s="670" t="str">
        <f>VLOOKUP(A1377,'[1]Raw data'!$B:$BA,23,FALSE)</f>
        <v>JPY</v>
      </c>
      <c r="Q1377" s="652" t="str">
        <f>VLOOKUP(A1377,'[1]Raw data'!$B:$Z,2,FALSE)</f>
        <v>C49SZX20230079JL</v>
      </c>
      <c r="R1377" s="652" t="str">
        <f>VLOOKUP(A1377,'[1]Raw data'!$B:$Z,3,FALSE)</f>
        <v>友艺</v>
      </c>
      <c r="S1377" s="652" t="str">
        <f>VLOOKUP(A1377,'[1]Raw data'!$B:$Z,4,FALSE)</f>
        <v>YSM10</v>
      </c>
      <c r="T1377" s="652" t="str">
        <f>VLOOKUP(A1377,'[1]Raw data'!$B:$Z,8,FALSE)</f>
        <v>L-&gt;R</v>
      </c>
      <c r="U1377" s="652" t="str">
        <f>VLOOKUP(A1377,'[1]Raw data'!$B:$Z,9,FALSE)</f>
        <v>MVC</v>
      </c>
      <c r="V1377" s="572" t="str">
        <f t="shared" si="315"/>
        <v>WRONG</v>
      </c>
      <c r="W1377" s="568" t="str">
        <f>VLOOKUP(A1377,'[1]Raw data'!$B:$AG,32,FALSE)</f>
        <v>DAP SZ</v>
      </c>
      <c r="X1377" s="662">
        <f>VLOOKUP(A1377,'[1]Raw data'!$B:$BA,31,FALSE)</f>
        <v>45107</v>
      </c>
      <c r="Y1377" s="652" t="str">
        <f>VLOOKUP(A1377,'[1]Raw data'!$B:$AS,39,FALSE)</f>
        <v>Yes</v>
      </c>
      <c r="Z1377" s="664"/>
      <c r="AA1377" s="665"/>
      <c r="AB1377" s="666"/>
      <c r="AC1377" s="652" t="s">
        <v>4058</v>
      </c>
      <c r="AD1377" s="580">
        <v>301</v>
      </c>
      <c r="AE1377" s="580">
        <v>5</v>
      </c>
      <c r="AF1377" s="580">
        <v>302</v>
      </c>
      <c r="AG1377" s="580">
        <v>5</v>
      </c>
      <c r="AH1377" s="580"/>
      <c r="AI1377" s="684"/>
      <c r="AJ1377" s="569"/>
      <c r="AK1377" s="569"/>
      <c r="AL1377" s="569"/>
      <c r="AM1377" s="569"/>
      <c r="AN1377" s="619"/>
      <c r="AO1377" s="829" t="str">
        <f t="shared" si="304"/>
        <v>Yes</v>
      </c>
      <c r="AP1377" s="259" t="str">
        <f t="shared" si="305"/>
        <v>JUL 23</v>
      </c>
      <c r="AQ1377" s="547" t="str">
        <f t="shared" si="306"/>
        <v>有定金+有預留客戶</v>
      </c>
      <c r="AR1377" s="259" t="str">
        <f t="shared" si="307"/>
        <v>Shipped_Stock</v>
      </c>
      <c r="AS1377" s="259" t="str">
        <f t="shared" si="308"/>
        <v/>
      </c>
      <c r="AT1377" s="259" t="str">
        <f t="shared" si="309"/>
        <v>友艺</v>
      </c>
      <c r="AU1377" s="259" t="str">
        <f t="shared" si="310"/>
        <v>C49SZX20230079JL</v>
      </c>
      <c r="AV1377" s="259" t="str">
        <f t="shared" si="311"/>
        <v>2022/11/7,蛇口港</v>
      </c>
    </row>
    <row r="1378" spans="1:48" hidden="1">
      <c r="A1378" s="564">
        <v>1481</v>
      </c>
      <c r="B1378" s="669" t="s">
        <v>1125</v>
      </c>
      <c r="C1378" s="669" t="s">
        <v>281</v>
      </c>
      <c r="D1378" s="650" t="s">
        <v>2651</v>
      </c>
      <c r="E1378" s="772" t="s">
        <v>2609</v>
      </c>
      <c r="F1378" s="652" t="s">
        <v>17</v>
      </c>
      <c r="G1378" s="652" t="s">
        <v>18</v>
      </c>
      <c r="H1378" s="652" t="s">
        <v>48</v>
      </c>
      <c r="I1378" s="580" t="s">
        <v>3979</v>
      </c>
      <c r="J1378" s="580">
        <v>1</v>
      </c>
      <c r="K1378" s="652" t="s">
        <v>1419</v>
      </c>
      <c r="L1378" s="662" t="s">
        <v>2634</v>
      </c>
      <c r="M1378" s="670">
        <v>4.9700000000000001E-2</v>
      </c>
      <c r="N1378" s="652" t="s">
        <v>2502</v>
      </c>
      <c r="O1378" s="580">
        <v>2022.9</v>
      </c>
      <c r="P1378" s="670" t="str">
        <f>VLOOKUP(A1378,'[1]Raw data'!$B:$BA,23,FALSE)</f>
        <v>JPY</v>
      </c>
      <c r="Q1378" s="652" t="str">
        <f>VLOOKUP(A1378,'[1]Raw data'!$B:$Z,2,FALSE)</f>
        <v>C49SZX20220082MX</v>
      </c>
      <c r="R1378" s="652" t="str">
        <f>VLOOKUP(A1378,'[1]Raw data'!$B:$Z,3,FALSE)</f>
        <v>宇翔</v>
      </c>
      <c r="S1378" s="652" t="str">
        <f>VLOOKUP(A1378,'[1]Raw data'!$B:$Z,4,FALSE)</f>
        <v>YSM10</v>
      </c>
      <c r="T1378" s="652" t="str">
        <f>VLOOKUP(A1378,'[1]Raw data'!$B:$Z,8,FALSE)</f>
        <v>L-&gt;R</v>
      </c>
      <c r="U1378" s="652" t="str">
        <f>VLOOKUP(A1378,'[1]Raw data'!$B:$Z,9,FALSE)</f>
        <v>MVC+ATS15</v>
      </c>
      <c r="V1378" s="572" t="str">
        <f t="shared" si="315"/>
        <v>WRONG</v>
      </c>
      <c r="W1378" s="568" t="str">
        <f>VLOOKUP(A1378,'[1]Raw data'!$B:$AG,32,FALSE)</f>
        <v>DAP DG</v>
      </c>
      <c r="X1378" s="652">
        <f>VLOOKUP(A1378,'[1]Raw data'!$B:$BA,31,FALSE)</f>
        <v>44466</v>
      </c>
      <c r="Y1378" s="652" t="str">
        <f>VLOOKUP(A1378,'[1]Raw data'!$B:$AS,39,FALSE)</f>
        <v>Yes</v>
      </c>
      <c r="Z1378" s="664"/>
      <c r="AA1378" s="665"/>
      <c r="AB1378" s="666"/>
      <c r="AC1378" s="652" t="s">
        <v>3981</v>
      </c>
      <c r="AD1378" s="667">
        <v>301</v>
      </c>
      <c r="AE1378" s="667">
        <v>5</v>
      </c>
      <c r="AF1378" s="667">
        <v>302</v>
      </c>
      <c r="AG1378" s="667">
        <v>5</v>
      </c>
      <c r="AH1378" s="667"/>
      <c r="AI1378" s="668"/>
      <c r="AN1378" s="547"/>
      <c r="AO1378" s="829" t="str">
        <f t="shared" si="304"/>
        <v>Yes</v>
      </c>
      <c r="AP1378" s="259" t="str">
        <f t="shared" si="305"/>
        <v>MAY 23</v>
      </c>
      <c r="AQ1378" s="547" t="str">
        <f t="shared" si="306"/>
        <v>有定金+有預留客戶</v>
      </c>
      <c r="AR1378" s="259" t="str">
        <f t="shared" si="307"/>
        <v>Shipped_Stock</v>
      </c>
      <c r="AS1378" s="259" t="str">
        <f t="shared" si="308"/>
        <v/>
      </c>
      <c r="AT1378" s="259" t="str">
        <f t="shared" si="309"/>
        <v>宇翔</v>
      </c>
      <c r="AU1378" s="259" t="str">
        <f t="shared" si="310"/>
        <v>C49SZX20220082MX</v>
      </c>
      <c r="AV1378" s="259" t="str">
        <f t="shared" si="311"/>
        <v>2022/11/7,蛇口港</v>
      </c>
    </row>
    <row r="1379" spans="1:48" ht="16.5" hidden="1">
      <c r="A1379" s="564">
        <v>1913</v>
      </c>
      <c r="B1379" s="669" t="s">
        <v>1125</v>
      </c>
      <c r="C1379" s="669" t="s">
        <v>281</v>
      </c>
      <c r="D1379" s="650" t="s">
        <v>2651</v>
      </c>
      <c r="E1379" s="772" t="s">
        <v>2609</v>
      </c>
      <c r="F1379" s="652" t="s">
        <v>17</v>
      </c>
      <c r="G1379" s="652" t="s">
        <v>18</v>
      </c>
      <c r="H1379" s="652" t="s">
        <v>102</v>
      </c>
      <c r="I1379" s="580" t="s">
        <v>4033</v>
      </c>
      <c r="J1379" s="580">
        <v>1</v>
      </c>
      <c r="K1379" s="652" t="s">
        <v>1419</v>
      </c>
      <c r="L1379" s="662" t="s">
        <v>2634</v>
      </c>
      <c r="M1379" s="670">
        <v>4.9700000000000001E-2</v>
      </c>
      <c r="N1379" s="652" t="s">
        <v>3992</v>
      </c>
      <c r="O1379" s="580">
        <v>2022.9</v>
      </c>
      <c r="P1379" s="670" t="str">
        <f>VLOOKUP(A1379,'[1]Raw data'!$B:$BA,23,FALSE)</f>
        <v>RMB</v>
      </c>
      <c r="Q1379" s="652" t="str">
        <f>VLOOKUP(A1379,'[1]Raw data'!$B:$Z,2,FALSE)</f>
        <v>C49SZX20230056SX</v>
      </c>
      <c r="R1379" s="652" t="str">
        <f>VLOOKUP(A1379,'[1]Raw data'!$B:$Z,3,FALSE)</f>
        <v>台山新欣</v>
      </c>
      <c r="S1379" s="652" t="str">
        <f>VLOOKUP(A1379,'[1]Raw data'!$B:$Z,4,FALSE)</f>
        <v>YSM10</v>
      </c>
      <c r="T1379" s="652" t="str">
        <f>VLOOKUP(A1379,'[1]Raw data'!$B:$Z,8,FALSE)</f>
        <v>L-&gt;R</v>
      </c>
      <c r="U1379" s="652" t="str">
        <f>VLOOKUP(A1379,'[1]Raw data'!$B:$Z,9,FALSE)</f>
        <v>No</v>
      </c>
      <c r="V1379" s="572" t="str">
        <f t="shared" si="315"/>
        <v>WRONG</v>
      </c>
      <c r="W1379" s="568" t="str">
        <f>VLOOKUP(A1379,'[1]Raw data'!$B:$AG,32,FALSE)</f>
        <v>DDP TS</v>
      </c>
      <c r="X1379" s="652">
        <f>VLOOKUP(A1379,'[1]Raw data'!$B:$BA,31,FALSE)</f>
        <v>45040</v>
      </c>
      <c r="Y1379" s="652" t="str">
        <f>VLOOKUP(A1379,'[1]Raw data'!$B:$AS,39,FALSE)</f>
        <v>Yes</v>
      </c>
      <c r="Z1379" s="664"/>
      <c r="AA1379" s="665"/>
      <c r="AB1379" s="666"/>
      <c r="AC1379" s="652" t="s">
        <v>4034</v>
      </c>
      <c r="AD1379" s="667">
        <v>301</v>
      </c>
      <c r="AE1379" s="667">
        <v>5</v>
      </c>
      <c r="AF1379" s="667">
        <v>302</v>
      </c>
      <c r="AG1379" s="667">
        <v>5</v>
      </c>
      <c r="AH1379" s="667"/>
      <c r="AI1379" s="668"/>
      <c r="AN1379" s="547"/>
      <c r="AO1379" s="829" t="str">
        <f t="shared" si="304"/>
        <v>Yes</v>
      </c>
      <c r="AP1379" s="259" t="str">
        <f t="shared" si="305"/>
        <v>JUN 23</v>
      </c>
      <c r="AQ1379" s="547" t="str">
        <f t="shared" si="306"/>
        <v>有定金+有預留客戶</v>
      </c>
      <c r="AR1379" s="259" t="str">
        <f t="shared" si="307"/>
        <v>Shipped_Stock</v>
      </c>
      <c r="AS1379" s="259" t="str">
        <f t="shared" si="308"/>
        <v/>
      </c>
      <c r="AT1379" s="259" t="str">
        <f t="shared" si="309"/>
        <v>台山新欣</v>
      </c>
      <c r="AU1379" s="259" t="str">
        <f t="shared" si="310"/>
        <v>C49SZX20230056SX</v>
      </c>
      <c r="AV1379" s="259" t="str">
        <f t="shared" si="311"/>
        <v>2022/11/7,蛇口港</v>
      </c>
    </row>
    <row r="1380" spans="1:48" hidden="1">
      <c r="A1380" s="604">
        <v>1918</v>
      </c>
      <c r="B1380" s="669" t="s">
        <v>1125</v>
      </c>
      <c r="C1380" s="669" t="s">
        <v>281</v>
      </c>
      <c r="D1380" s="650" t="s">
        <v>2651</v>
      </c>
      <c r="E1380" s="772" t="s">
        <v>2609</v>
      </c>
      <c r="F1380" s="652" t="s">
        <v>17</v>
      </c>
      <c r="G1380" s="652" t="s">
        <v>18</v>
      </c>
      <c r="H1380" s="652" t="s">
        <v>102</v>
      </c>
      <c r="I1380" s="580" t="s">
        <v>2653</v>
      </c>
      <c r="J1380" s="580">
        <v>1</v>
      </c>
      <c r="K1380" s="652" t="s">
        <v>1419</v>
      </c>
      <c r="L1380" s="662" t="s">
        <v>2634</v>
      </c>
      <c r="M1380" s="670">
        <v>4.9700000000000001E-2</v>
      </c>
      <c r="N1380" s="652" t="s">
        <v>3992</v>
      </c>
      <c r="O1380" s="580">
        <v>2022.9</v>
      </c>
      <c r="P1380" s="670" t="str">
        <f>VLOOKUP(A1380,'[1]Raw data'!$B:$BA,23,FALSE)</f>
        <v>RMB</v>
      </c>
      <c r="Q1380" s="652" t="str">
        <f>VLOOKUP(A1380,'[1]Raw data'!$B:$Z,2,FALSE)</f>
        <v>C49SZX20230065EC</v>
      </c>
      <c r="R1380" s="652" t="str">
        <f>VLOOKUP(A1380,'[1]Raw data'!$B:$Z,3,FALSE)</f>
        <v>聚合信</v>
      </c>
      <c r="S1380" s="652" t="str">
        <f>VLOOKUP(A1380,'[1]Raw data'!$B:$Z,4,FALSE)</f>
        <v>YSM10</v>
      </c>
      <c r="T1380" s="652" t="str">
        <f>VLOOKUP(A1380,'[1]Raw data'!$B:$Z,8,FALSE)</f>
        <v>L-&gt;R</v>
      </c>
      <c r="U1380" s="652" t="str">
        <f>VLOOKUP(A1380,'[1]Raw data'!$B:$Z,9,FALSE)</f>
        <v>MVC</v>
      </c>
      <c r="V1380" s="572" t="str">
        <f t="shared" si="315"/>
        <v>WRONG</v>
      </c>
      <c r="W1380" s="568" t="str">
        <f>VLOOKUP(A1380,'[1]Raw data'!$B:$AG,32,FALSE)</f>
        <v>DDP DG</v>
      </c>
      <c r="X1380" s="652">
        <f>VLOOKUP(A1380,'[1]Raw data'!$B:$BA,31,FALSE)</f>
        <v>45061</v>
      </c>
      <c r="Y1380" s="652" t="str">
        <f>VLOOKUP(A1380,'[1]Raw data'!$B:$AS,39,FALSE)</f>
        <v>Yes</v>
      </c>
      <c r="Z1380" s="664"/>
      <c r="AA1380" s="665"/>
      <c r="AB1380" s="666"/>
      <c r="AC1380" s="652" t="s">
        <v>4036</v>
      </c>
      <c r="AD1380" s="580">
        <v>301</v>
      </c>
      <c r="AE1380" s="580">
        <v>5</v>
      </c>
      <c r="AF1380" s="580">
        <v>302</v>
      </c>
      <c r="AG1380" s="580">
        <v>5</v>
      </c>
      <c r="AH1380" s="580"/>
      <c r="AI1380" s="684"/>
      <c r="AJ1380" s="569"/>
      <c r="AK1380" s="569"/>
      <c r="AL1380" s="569"/>
      <c r="AM1380" s="569"/>
      <c r="AN1380" s="619"/>
      <c r="AO1380" s="829" t="str">
        <f t="shared" si="304"/>
        <v>Yes</v>
      </c>
      <c r="AP1380" s="259" t="str">
        <f t="shared" si="305"/>
        <v>JUN 23</v>
      </c>
      <c r="AQ1380" s="547" t="str">
        <f t="shared" si="306"/>
        <v>有定金+有預留客戶</v>
      </c>
      <c r="AR1380" s="259" t="str">
        <f t="shared" si="307"/>
        <v>Shipped_Stock</v>
      </c>
      <c r="AS1380" s="259" t="str">
        <f t="shared" si="308"/>
        <v/>
      </c>
      <c r="AT1380" s="259" t="str">
        <f t="shared" si="309"/>
        <v>聚合信</v>
      </c>
      <c r="AU1380" s="259" t="str">
        <f t="shared" si="310"/>
        <v>C49SZX20230065EC</v>
      </c>
      <c r="AV1380" s="259" t="str">
        <f t="shared" si="311"/>
        <v>2022/11/7,蛇口港</v>
      </c>
    </row>
    <row r="1381" spans="1:48" ht="16.5" hidden="1">
      <c r="A1381" s="564">
        <v>1999</v>
      </c>
      <c r="B1381" s="669" t="s">
        <v>1125</v>
      </c>
      <c r="C1381" s="669" t="s">
        <v>281</v>
      </c>
      <c r="D1381" s="650" t="s">
        <v>2651</v>
      </c>
      <c r="E1381" s="772" t="s">
        <v>2609</v>
      </c>
      <c r="F1381" s="652" t="s">
        <v>17</v>
      </c>
      <c r="G1381" s="652" t="s">
        <v>18</v>
      </c>
      <c r="H1381" s="652" t="s">
        <v>102</v>
      </c>
      <c r="I1381" s="580" t="s">
        <v>4380</v>
      </c>
      <c r="J1381" s="580">
        <v>1</v>
      </c>
      <c r="K1381" s="652" t="s">
        <v>1419</v>
      </c>
      <c r="L1381" s="662" t="s">
        <v>2634</v>
      </c>
      <c r="M1381" s="670">
        <v>4.9700000000000001E-2</v>
      </c>
      <c r="N1381" s="652" t="s">
        <v>4344</v>
      </c>
      <c r="O1381" s="580">
        <v>2022.9</v>
      </c>
      <c r="P1381" s="670" t="str">
        <f>VLOOKUP(A1381,'[1]Raw data'!$B:$BA,23,FALSE)</f>
        <v>RMB</v>
      </c>
      <c r="Q1381" s="652" t="str">
        <f>VLOOKUP(A1381,'[1]Raw data'!$B:$Z,2,FALSE)</f>
        <v>C49SZX20230118SS</v>
      </c>
      <c r="R1381" s="652" t="str">
        <f>VLOOKUP(A1381,'[1]Raw data'!$B:$Z,3,FALSE)</f>
        <v>易通</v>
      </c>
      <c r="S1381" s="652" t="str">
        <f>VLOOKUP(A1381,'[1]Raw data'!$B:$Z,4,FALSE)</f>
        <v>YSM10</v>
      </c>
      <c r="T1381" s="652" t="str">
        <f>VLOOKUP(A1381,'[1]Raw data'!$B:$Z,8,FALSE)</f>
        <v>R-&gt;L</v>
      </c>
      <c r="U1381" s="652" t="str">
        <f>VLOOKUP(A1381,'[1]Raw data'!$B:$Z,9,FALSE)</f>
        <v>No</v>
      </c>
      <c r="V1381" s="572" t="str">
        <f t="shared" si="315"/>
        <v>WRONG</v>
      </c>
      <c r="W1381" s="568" t="str">
        <f>VLOOKUP(A1381,'[1]Raw data'!$B:$AG,32,FALSE)</f>
        <v>DDP SZ</v>
      </c>
      <c r="X1381" s="662">
        <f>VLOOKUP(A1381,'[1]Raw data'!$B:$BA,31,FALSE)</f>
        <v>45232</v>
      </c>
      <c r="Y1381" s="652" t="str">
        <f>VLOOKUP(A1381,'[1]Raw data'!$B:$AS,39,FALSE)</f>
        <v>Yes</v>
      </c>
      <c r="Z1381" s="664"/>
      <c r="AA1381" s="665"/>
      <c r="AB1381" s="666"/>
      <c r="AC1381" s="652" t="s">
        <v>4408</v>
      </c>
      <c r="AD1381" s="667">
        <v>301</v>
      </c>
      <c r="AE1381" s="667">
        <v>5</v>
      </c>
      <c r="AF1381" s="667">
        <v>302</v>
      </c>
      <c r="AG1381" s="667">
        <v>5</v>
      </c>
      <c r="AH1381" s="667"/>
      <c r="AI1381" s="668"/>
      <c r="AN1381" s="547"/>
      <c r="AO1381" s="829" t="str">
        <f t="shared" si="304"/>
        <v>Yes</v>
      </c>
      <c r="AP1381" s="259" t="str">
        <f t="shared" si="305"/>
        <v>NOV 23</v>
      </c>
      <c r="AQ1381" s="547" t="str">
        <f t="shared" si="306"/>
        <v>有定金+有預留客戶</v>
      </c>
      <c r="AR1381" s="259" t="str">
        <f t="shared" si="307"/>
        <v>Shipped_Stock</v>
      </c>
      <c r="AS1381" s="259" t="str">
        <f t="shared" si="308"/>
        <v/>
      </c>
      <c r="AT1381" s="259" t="str">
        <f t="shared" si="309"/>
        <v>易通</v>
      </c>
      <c r="AU1381" s="259" t="str">
        <f t="shared" si="310"/>
        <v>C49SZX20230118SS</v>
      </c>
      <c r="AV1381" s="259" t="str">
        <f t="shared" si="311"/>
        <v>2022/11/7,蛇口港</v>
      </c>
    </row>
    <row r="1382" spans="1:48" hidden="1">
      <c r="A1382" s="604">
        <v>1934</v>
      </c>
      <c r="B1382" s="669" t="s">
        <v>1125</v>
      </c>
      <c r="C1382" s="669" t="s">
        <v>281</v>
      </c>
      <c r="D1382" s="650" t="s">
        <v>2654</v>
      </c>
      <c r="E1382" s="749" t="s">
        <v>2655</v>
      </c>
      <c r="F1382" s="652" t="s">
        <v>17</v>
      </c>
      <c r="G1382" s="652" t="s">
        <v>18</v>
      </c>
      <c r="H1382" s="652" t="s">
        <v>102</v>
      </c>
      <c r="I1382" s="580" t="s">
        <v>4110</v>
      </c>
      <c r="J1382" s="580">
        <v>1</v>
      </c>
      <c r="K1382" s="652" t="s">
        <v>1419</v>
      </c>
      <c r="L1382" s="662" t="s">
        <v>2634</v>
      </c>
      <c r="M1382" s="670">
        <v>4.9700000000000001E-2</v>
      </c>
      <c r="N1382" s="652" t="s">
        <v>4045</v>
      </c>
      <c r="O1382" s="580">
        <v>2022.9</v>
      </c>
      <c r="P1382" s="670" t="str">
        <f>VLOOKUP(A1382,'[1]Raw data'!$B:$BA,23,FALSE)</f>
        <v>RMB</v>
      </c>
      <c r="Q1382" s="652" t="str">
        <f>VLOOKUP(A1382,'[1]Raw data'!$B:$Z,2,FALSE)</f>
        <v>C49SZX20230086SS</v>
      </c>
      <c r="R1382" s="652" t="str">
        <f>VLOOKUP(A1382,'[1]Raw data'!$B:$Z,3,FALSE)</f>
        <v>铣米</v>
      </c>
      <c r="S1382" s="652" t="str">
        <f>VLOOKUP(A1382,'[1]Raw data'!$B:$Z,4,FALSE)</f>
        <v>YSM10</v>
      </c>
      <c r="T1382" s="652" t="str">
        <f>VLOOKUP(A1382,'[1]Raw data'!$B:$Z,8,FALSE)</f>
        <v>L-&gt;R</v>
      </c>
      <c r="U1382" s="652" t="str">
        <f>VLOOKUP(A1382,'[1]Raw data'!$B:$Z,9,FALSE)</f>
        <v>MVC</v>
      </c>
      <c r="V1382" s="572" t="str">
        <f t="shared" ref="V1382:V1384" si="317">IF(G1382&amp;H1382=T1382&amp;U1382,"OK","WRONG")</f>
        <v>WRONG</v>
      </c>
      <c r="W1382" s="568" t="str">
        <f>VLOOKUP(A1382,'[1]Raw data'!$B:$AG,32,FALSE)</f>
        <v>DDP SZ</v>
      </c>
      <c r="X1382" s="662">
        <f>VLOOKUP(A1382,'[1]Raw data'!$B:$BA,31,FALSE)</f>
        <v>45118</v>
      </c>
      <c r="Y1382" s="652" t="str">
        <f>VLOOKUP(A1382,'[1]Raw data'!$B:$AS,39,FALSE)</f>
        <v>Yes</v>
      </c>
      <c r="Z1382" s="664"/>
      <c r="AA1382" s="665"/>
      <c r="AB1382" s="666"/>
      <c r="AC1382" s="652" t="s">
        <v>1848</v>
      </c>
      <c r="AD1382" s="580">
        <v>301</v>
      </c>
      <c r="AE1382" s="580">
        <v>5</v>
      </c>
      <c r="AF1382" s="580">
        <v>302</v>
      </c>
      <c r="AG1382" s="580">
        <v>5</v>
      </c>
      <c r="AH1382" s="580"/>
      <c r="AI1382" s="684"/>
      <c r="AJ1382" s="569"/>
      <c r="AK1382" s="569"/>
      <c r="AL1382" s="569"/>
      <c r="AM1382" s="569"/>
      <c r="AN1382" s="619"/>
      <c r="AO1382" s="829" t="str">
        <f t="shared" si="304"/>
        <v>Yes</v>
      </c>
      <c r="AP1382" s="259" t="str">
        <f t="shared" si="305"/>
        <v>AUG 23</v>
      </c>
      <c r="AQ1382" s="547" t="str">
        <f t="shared" si="306"/>
        <v>有定金+有預留客戶</v>
      </c>
      <c r="AR1382" s="259" t="str">
        <f t="shared" si="307"/>
        <v>Shipped_Stock</v>
      </c>
      <c r="AS1382" s="259" t="str">
        <f t="shared" si="308"/>
        <v/>
      </c>
      <c r="AT1382" s="259" t="str">
        <f t="shared" si="309"/>
        <v>铣米</v>
      </c>
      <c r="AU1382" s="259" t="str">
        <f t="shared" si="310"/>
        <v>C49SZX20230086SS</v>
      </c>
      <c r="AV1382" s="259" t="str">
        <f t="shared" si="311"/>
        <v>2022/11/7,蛇口港</v>
      </c>
    </row>
    <row r="1383" spans="1:48" hidden="1">
      <c r="A1383" s="564">
        <v>1935</v>
      </c>
      <c r="B1383" s="669" t="s">
        <v>1125</v>
      </c>
      <c r="C1383" s="669" t="s">
        <v>281</v>
      </c>
      <c r="D1383" s="650" t="s">
        <v>2654</v>
      </c>
      <c r="E1383" s="749" t="s">
        <v>2655</v>
      </c>
      <c r="F1383" s="652" t="s">
        <v>17</v>
      </c>
      <c r="G1383" s="652" t="s">
        <v>18</v>
      </c>
      <c r="H1383" s="652" t="s">
        <v>102</v>
      </c>
      <c r="I1383" s="580" t="s">
        <v>4108</v>
      </c>
      <c r="J1383" s="580">
        <v>1</v>
      </c>
      <c r="K1383" s="652" t="s">
        <v>1419</v>
      </c>
      <c r="L1383" s="662" t="s">
        <v>2634</v>
      </c>
      <c r="M1383" s="670">
        <v>4.9700000000000001E-2</v>
      </c>
      <c r="N1383" s="652" t="s">
        <v>4045</v>
      </c>
      <c r="O1383" s="580">
        <v>2022.9</v>
      </c>
      <c r="P1383" s="670" t="str">
        <f>VLOOKUP(A1383,'[1]Raw data'!$B:$BA,23,FALSE)</f>
        <v>JPY</v>
      </c>
      <c r="Q1383" s="652" t="str">
        <f>VLOOKUP(A1383,'[1]Raw data'!$B:$Z,2,FALSE)</f>
        <v>C49SZX20230078SX</v>
      </c>
      <c r="R1383" s="652" t="str">
        <f>VLOOKUP(A1383,'[1]Raw data'!$B:$Z,3,FALSE)</f>
        <v>威力斯（End user:瑞杰鑫）</v>
      </c>
      <c r="S1383" s="652" t="str">
        <f>VLOOKUP(A1383,'[1]Raw data'!$B:$Z,4,FALSE)</f>
        <v>YSM10</v>
      </c>
      <c r="T1383" s="652" t="str">
        <f>VLOOKUP(A1383,'[1]Raw data'!$B:$Z,8,FALSE)</f>
        <v>L-&gt;R</v>
      </c>
      <c r="U1383" s="652" t="str">
        <f>VLOOKUP(A1383,'[1]Raw data'!$B:$Z,9,FALSE)</f>
        <v>MVC</v>
      </c>
      <c r="V1383" s="572" t="str">
        <f t="shared" si="317"/>
        <v>WRONG</v>
      </c>
      <c r="W1383" s="568" t="str">
        <f>VLOOKUP(A1383,'[1]Raw data'!$B:$AG,32,FALSE)</f>
        <v>DAP EP</v>
      </c>
      <c r="X1383" s="662">
        <f>VLOOKUP(A1383,'[1]Raw data'!$B:$BA,31,FALSE)</f>
        <v>45118</v>
      </c>
      <c r="Y1383" s="652" t="str">
        <f>VLOOKUP(A1383,'[1]Raw data'!$B:$AS,39,FALSE)</f>
        <v>Yes</v>
      </c>
      <c r="Z1383" s="664"/>
      <c r="AA1383" s="665"/>
      <c r="AB1383" s="666"/>
      <c r="AC1383" s="652" t="s">
        <v>4128</v>
      </c>
      <c r="AD1383" s="667">
        <v>301</v>
      </c>
      <c r="AE1383" s="667">
        <v>5</v>
      </c>
      <c r="AF1383" s="667">
        <v>302</v>
      </c>
      <c r="AG1383" s="667">
        <v>5</v>
      </c>
      <c r="AH1383" s="667"/>
      <c r="AI1383" s="668"/>
      <c r="AN1383" s="547"/>
      <c r="AO1383" s="829" t="str">
        <f t="shared" si="304"/>
        <v>Yes</v>
      </c>
      <c r="AP1383" s="259" t="str">
        <f t="shared" si="305"/>
        <v>AUG 23</v>
      </c>
      <c r="AQ1383" s="547" t="str">
        <f t="shared" si="306"/>
        <v>有定金+有預留客戶</v>
      </c>
      <c r="AR1383" s="259" t="str">
        <f t="shared" si="307"/>
        <v>Shipped_Stock</v>
      </c>
      <c r="AS1383" s="259" t="str">
        <f t="shared" si="308"/>
        <v/>
      </c>
      <c r="AT1383" s="259" t="str">
        <f t="shared" si="309"/>
        <v>威力斯（End user:瑞杰鑫）</v>
      </c>
      <c r="AU1383" s="259" t="str">
        <f t="shared" si="310"/>
        <v>C49SZX20230078SX</v>
      </c>
      <c r="AV1383" s="259" t="str">
        <f t="shared" si="311"/>
        <v>2022/11/7,蛇口港</v>
      </c>
    </row>
    <row r="1384" spans="1:48" hidden="1">
      <c r="A1384" s="564">
        <v>1936</v>
      </c>
      <c r="B1384" s="669" t="s">
        <v>1125</v>
      </c>
      <c r="C1384" s="669" t="s">
        <v>281</v>
      </c>
      <c r="D1384" s="650" t="s">
        <v>2654</v>
      </c>
      <c r="E1384" s="749" t="s">
        <v>2655</v>
      </c>
      <c r="F1384" s="652" t="s">
        <v>17</v>
      </c>
      <c r="G1384" s="652" t="s">
        <v>18</v>
      </c>
      <c r="H1384" s="652" t="s">
        <v>102</v>
      </c>
      <c r="I1384" s="580" t="s">
        <v>4109</v>
      </c>
      <c r="J1384" s="580">
        <v>1</v>
      </c>
      <c r="K1384" s="652" t="s">
        <v>1419</v>
      </c>
      <c r="L1384" s="662" t="s">
        <v>2634</v>
      </c>
      <c r="M1384" s="670">
        <v>4.9700000000000001E-2</v>
      </c>
      <c r="N1384" s="652" t="s">
        <v>4045</v>
      </c>
      <c r="O1384" s="580">
        <v>2022.9</v>
      </c>
      <c r="P1384" s="670" t="str">
        <f>VLOOKUP(A1384,'[1]Raw data'!$B:$BA,23,FALSE)</f>
        <v>JPY</v>
      </c>
      <c r="Q1384" s="652" t="str">
        <f>VLOOKUP(A1384,'[1]Raw data'!$B:$Z,2,FALSE)</f>
        <v>C49SZX20230078SX</v>
      </c>
      <c r="R1384" s="652" t="str">
        <f>VLOOKUP(A1384,'[1]Raw data'!$B:$Z,3,FALSE)</f>
        <v>威力斯（End user:瑞杰鑫）</v>
      </c>
      <c r="S1384" s="652" t="str">
        <f>VLOOKUP(A1384,'[1]Raw data'!$B:$Z,4,FALSE)</f>
        <v>YSM10</v>
      </c>
      <c r="T1384" s="652" t="str">
        <f>VLOOKUP(A1384,'[1]Raw data'!$B:$Z,8,FALSE)</f>
        <v>R-&gt;L</v>
      </c>
      <c r="U1384" s="652" t="str">
        <f>VLOOKUP(A1384,'[1]Raw data'!$B:$Z,9,FALSE)</f>
        <v>MVC</v>
      </c>
      <c r="V1384" s="572" t="str">
        <f t="shared" si="317"/>
        <v>WRONG</v>
      </c>
      <c r="W1384" s="568" t="str">
        <f>VLOOKUP(A1384,'[1]Raw data'!$B:$AG,32,FALSE)</f>
        <v>DAP EP</v>
      </c>
      <c r="X1384" s="662">
        <f>VLOOKUP(A1384,'[1]Raw data'!$B:$BA,31,FALSE)</f>
        <v>45118</v>
      </c>
      <c r="Y1384" s="652" t="str">
        <f>VLOOKUP(A1384,'[1]Raw data'!$B:$AS,39,FALSE)</f>
        <v>Yes</v>
      </c>
      <c r="Z1384" s="664"/>
      <c r="AA1384" s="665"/>
      <c r="AB1384" s="666"/>
      <c r="AC1384" s="652" t="s">
        <v>4128</v>
      </c>
      <c r="AD1384" s="667">
        <v>301</v>
      </c>
      <c r="AE1384" s="667">
        <v>5</v>
      </c>
      <c r="AF1384" s="667">
        <v>302</v>
      </c>
      <c r="AG1384" s="667">
        <v>5</v>
      </c>
      <c r="AH1384" s="667"/>
      <c r="AI1384" s="668"/>
      <c r="AN1384" s="547"/>
      <c r="AO1384" s="829" t="str">
        <f t="shared" si="304"/>
        <v>Yes</v>
      </c>
      <c r="AP1384" s="259" t="str">
        <f t="shared" si="305"/>
        <v>AUG 23</v>
      </c>
      <c r="AQ1384" s="547" t="str">
        <f t="shared" si="306"/>
        <v>有定金+有預留客戶</v>
      </c>
      <c r="AR1384" s="259" t="str">
        <f t="shared" si="307"/>
        <v>Shipped_Stock</v>
      </c>
      <c r="AS1384" s="259" t="str">
        <f t="shared" si="308"/>
        <v/>
      </c>
      <c r="AT1384" s="259" t="str">
        <f t="shared" si="309"/>
        <v>威力斯（End user:瑞杰鑫）</v>
      </c>
      <c r="AU1384" s="259" t="str">
        <f t="shared" si="310"/>
        <v>C49SZX20230078SX</v>
      </c>
      <c r="AV1384" s="259" t="str">
        <f t="shared" si="311"/>
        <v>2022/11/7,蛇口港</v>
      </c>
    </row>
    <row r="1385" spans="1:48" hidden="1">
      <c r="A1385" s="604">
        <v>1712</v>
      </c>
      <c r="B1385" s="669" t="s">
        <v>1125</v>
      </c>
      <c r="C1385" s="568" t="s">
        <v>4056</v>
      </c>
      <c r="D1385" s="628">
        <v>111077</v>
      </c>
      <c r="E1385" s="759" t="s">
        <v>1653</v>
      </c>
      <c r="F1385" s="568" t="s">
        <v>201</v>
      </c>
      <c r="G1385" s="568" t="s">
        <v>24</v>
      </c>
      <c r="H1385" s="568" t="s">
        <v>26</v>
      </c>
      <c r="I1385" s="569" t="s">
        <v>2656</v>
      </c>
      <c r="J1385" s="569">
        <v>1</v>
      </c>
      <c r="K1385" s="568" t="s">
        <v>78</v>
      </c>
      <c r="L1385" s="570">
        <v>44872</v>
      </c>
      <c r="M1385" s="581" t="s">
        <v>906</v>
      </c>
      <c r="N1385" s="652" t="s">
        <v>208</v>
      </c>
      <c r="O1385" s="799">
        <v>2022.1</v>
      </c>
      <c r="P1385" s="670" t="str">
        <f>VLOOKUP(A1385,'[1]Raw data'!$B:$BA,23,FALSE)</f>
        <v>JPY</v>
      </c>
      <c r="Q1385" s="652" t="str">
        <f>VLOOKUP(A1385,'[1]Raw data'!$B:$Z,2,FALSE)</f>
        <v>C28SZX20220085DZ</v>
      </c>
      <c r="R1385" s="652" t="str">
        <f>VLOOKUP(A1385,'[1]Raw data'!$B:$Z,3,FALSE)</f>
        <v>鸿通宇</v>
      </c>
      <c r="S1385" s="652" t="str">
        <f>VLOOKUP(A1385,'[1]Raw data'!$B:$Z,4,FALSE)</f>
        <v>YSi-V</v>
      </c>
      <c r="T1385" s="652" t="str">
        <f>VLOOKUP(A1385,'[1]Raw data'!$B:$Z,8,FALSE)</f>
        <v>L-&gt;R</v>
      </c>
      <c r="U1385" s="652" t="str">
        <f>VLOOKUP(A1385,'[1]Raw data'!$B:$Z,9,FALSE)</f>
        <v>No</v>
      </c>
      <c r="V1385" s="572" t="str">
        <f t="shared" ref="V1385" si="318">IF(G1385&amp;H1385=T1385&amp;U1385,"OK","WRONG")</f>
        <v>OK</v>
      </c>
      <c r="W1385" s="568" t="str">
        <f>VLOOKUP(A1385,'[1]Raw data'!$B:$AG,32,FALSE)</f>
        <v>CIF HK</v>
      </c>
      <c r="X1385" s="652">
        <f>VLOOKUP(A1385,'[1]Raw data'!$B:$BA,31,FALSE)</f>
        <v>44776</v>
      </c>
      <c r="Y1385" s="652" t="str">
        <f>VLOOKUP(A1385,'[1]Raw data'!$B:$AS,39,FALSE)</f>
        <v>Yes</v>
      </c>
      <c r="Z1385" s="671"/>
      <c r="AA1385" s="665"/>
      <c r="AB1385" s="666"/>
      <c r="AC1385" s="652" t="s">
        <v>1951</v>
      </c>
      <c r="AD1385" s="580"/>
      <c r="AE1385" s="580"/>
      <c r="AF1385" s="580"/>
      <c r="AG1385" s="580"/>
      <c r="AH1385" s="580"/>
      <c r="AI1385" s="684"/>
      <c r="AJ1385" s="569"/>
      <c r="AK1385" s="569"/>
      <c r="AL1385" s="569"/>
      <c r="AM1385" s="569"/>
      <c r="AN1385" s="619"/>
      <c r="AO1385" s="829" t="str">
        <f t="shared" si="304"/>
        <v>Yes</v>
      </c>
      <c r="AP1385" s="259" t="str">
        <f t="shared" si="305"/>
        <v>NOV 22</v>
      </c>
      <c r="AQ1385" s="547" t="str">
        <f t="shared" si="306"/>
        <v>有定金+有預留客戶</v>
      </c>
      <c r="AR1385" s="259" t="str">
        <f t="shared" si="307"/>
        <v>Shipped_Stock</v>
      </c>
      <c r="AS1385" s="259" t="str">
        <f t="shared" si="308"/>
        <v/>
      </c>
      <c r="AT1385" s="259" t="str">
        <f t="shared" si="309"/>
        <v>鸿通宇</v>
      </c>
      <c r="AU1385" s="259" t="str">
        <f t="shared" si="310"/>
        <v>C28SZX20220085DZ</v>
      </c>
      <c r="AV1385" s="259" t="str">
        <f t="shared" si="311"/>
        <v>Nov-07</v>
      </c>
    </row>
    <row r="1386" spans="1:48" hidden="1">
      <c r="A1386" s="604">
        <v>1725</v>
      </c>
      <c r="B1386" s="669" t="s">
        <v>1125</v>
      </c>
      <c r="C1386" s="669" t="s">
        <v>281</v>
      </c>
      <c r="D1386" s="630">
        <v>111096</v>
      </c>
      <c r="E1386" s="651" t="s">
        <v>2657</v>
      </c>
      <c r="F1386" s="652" t="s">
        <v>58</v>
      </c>
      <c r="G1386" s="652" t="s">
        <v>18</v>
      </c>
      <c r="H1386" s="652" t="s">
        <v>26</v>
      </c>
      <c r="I1386" s="580" t="s">
        <v>2658</v>
      </c>
      <c r="J1386" s="580">
        <v>1</v>
      </c>
      <c r="K1386" s="568" t="s">
        <v>78</v>
      </c>
      <c r="L1386" s="570">
        <v>44872</v>
      </c>
      <c r="M1386" s="670" t="s">
        <v>906</v>
      </c>
      <c r="N1386" s="652" t="s">
        <v>208</v>
      </c>
      <c r="O1386" s="799">
        <v>2022.1</v>
      </c>
      <c r="P1386" s="670" t="str">
        <f>VLOOKUP(A1386,'[1]Raw data'!$B:$BA,23,FALSE)</f>
        <v>JPY</v>
      </c>
      <c r="Q1386" s="652" t="str">
        <f>VLOOKUP(A1386,'[1]Raw data'!$B:$Z,2,FALSE)</f>
        <v>159851(R2)-ELE</v>
      </c>
      <c r="R1386" s="652" t="str">
        <f>VLOOKUP(A1386,'[1]Raw data'!$B:$Z,3,FALSE)</f>
        <v>WKK</v>
      </c>
      <c r="S1386" s="652" t="str">
        <f>VLOOKUP(A1386,'[1]Raw data'!$B:$Z,4,FALSE)</f>
        <v>YSM20R-2</v>
      </c>
      <c r="T1386" s="652" t="str">
        <f>VLOOKUP(A1386,'[1]Raw data'!$B:$Z,8,FALSE)</f>
        <v>R-&gt;L</v>
      </c>
      <c r="U1386" s="652" t="str">
        <f>VLOOKUP(A1386,'[1]Raw data'!$B:$Z,9,FALSE)</f>
        <v>No</v>
      </c>
      <c r="V1386" s="572" t="str">
        <f>IF(G1386&amp;H1386=T1386&amp;U1386,"OK","WRONG")</f>
        <v>OK</v>
      </c>
      <c r="W1386" s="568" t="str">
        <f>VLOOKUP(A1386,'[1]Raw data'!$B:$AG,32,FALSE)</f>
        <v>CIF HK</v>
      </c>
      <c r="X1386" s="652">
        <f>VLOOKUP(A1386,'[1]Raw data'!$B:$BA,31,FALSE)</f>
        <v>44823</v>
      </c>
      <c r="Y1386" s="652" t="str">
        <f>VLOOKUP(A1386,'[1]Raw data'!$B:$AS,39,FALSE)</f>
        <v>Yes</v>
      </c>
      <c r="Z1386" s="671"/>
      <c r="AA1386" s="665"/>
      <c r="AB1386" s="666"/>
      <c r="AC1386" s="652" t="s">
        <v>2549</v>
      </c>
      <c r="AD1386" s="580">
        <v>311</v>
      </c>
      <c r="AE1386" s="580">
        <v>10</v>
      </c>
      <c r="AF1386" s="580">
        <v>301</v>
      </c>
      <c r="AG1386" s="580">
        <v>5</v>
      </c>
      <c r="AH1386" s="580">
        <v>302</v>
      </c>
      <c r="AI1386" s="684">
        <v>5</v>
      </c>
      <c r="AJ1386" s="569"/>
      <c r="AK1386" s="569"/>
      <c r="AL1386" s="569"/>
      <c r="AM1386" s="569"/>
      <c r="AN1386" s="619"/>
      <c r="AO1386" s="829" t="str">
        <f t="shared" si="304"/>
        <v>Yes</v>
      </c>
      <c r="AP1386" s="259" t="str">
        <f t="shared" si="305"/>
        <v>NOV 22</v>
      </c>
      <c r="AQ1386" s="547" t="str">
        <f t="shared" si="306"/>
        <v>有定金+有預留客戶</v>
      </c>
      <c r="AR1386" s="259" t="str">
        <f t="shared" si="307"/>
        <v>Shipped_Stock</v>
      </c>
      <c r="AS1386" s="259" t="str">
        <f t="shared" si="308"/>
        <v/>
      </c>
      <c r="AT1386" s="259" t="str">
        <f t="shared" si="309"/>
        <v>WKK</v>
      </c>
      <c r="AU1386" s="259" t="str">
        <f t="shared" si="310"/>
        <v>159851(R2)-ELE</v>
      </c>
      <c r="AV1386" s="259" t="str">
        <f t="shared" si="311"/>
        <v>Nov-07</v>
      </c>
    </row>
    <row r="1387" spans="1:48" ht="22.5" hidden="1">
      <c r="A1387" s="564">
        <v>1850</v>
      </c>
      <c r="B1387" s="669" t="s">
        <v>1125</v>
      </c>
      <c r="C1387" s="669" t="s">
        <v>281</v>
      </c>
      <c r="D1387" s="630">
        <v>111096</v>
      </c>
      <c r="E1387" s="772" t="s">
        <v>2657</v>
      </c>
      <c r="F1387" s="652" t="s">
        <v>58</v>
      </c>
      <c r="G1387" s="652" t="s">
        <v>18</v>
      </c>
      <c r="H1387" s="652" t="s">
        <v>307</v>
      </c>
      <c r="I1387" s="580" t="s">
        <v>2659</v>
      </c>
      <c r="J1387" s="580">
        <v>1</v>
      </c>
      <c r="K1387" s="652" t="s">
        <v>1419</v>
      </c>
      <c r="L1387" s="662">
        <v>44872</v>
      </c>
      <c r="M1387" s="670" t="s">
        <v>2660</v>
      </c>
      <c r="N1387" s="652" t="s">
        <v>216</v>
      </c>
      <c r="O1387" s="799">
        <v>2022.1</v>
      </c>
      <c r="P1387" s="670" t="str">
        <f>VLOOKUP(A1387,'[1]Raw data'!$B:$BA,23,FALSE)</f>
        <v>RMB</v>
      </c>
      <c r="Q1387" s="652" t="str">
        <f>VLOOKUP(A1387,'[1]Raw data'!$B:$Z,2,FALSE)</f>
        <v>C49SZX20230025DZ</v>
      </c>
      <c r="R1387" s="652" t="str">
        <f>VLOOKUP(A1387,'[1]Raw data'!$B:$Z,3,FALSE)</f>
        <v>兆晖</v>
      </c>
      <c r="S1387" s="652" t="str">
        <f>VLOOKUP(A1387,'[1]Raw data'!$B:$Z,4,FALSE)</f>
        <v>YSM20R-2</v>
      </c>
      <c r="T1387" s="652" t="str">
        <f>VLOOKUP(A1387,'[1]Raw data'!$B:$Z,8,FALSE)</f>
        <v>R-&gt;L</v>
      </c>
      <c r="U1387" s="652" t="str">
        <f>VLOOKUP(A1387,'[1]Raw data'!$B:$Z,9,FALSE)</f>
        <v>No</v>
      </c>
      <c r="V1387" s="572" t="str">
        <f>IF(G1387&amp;H1387=T1387&amp;U1387,"OK","WRONG")</f>
        <v>OK</v>
      </c>
      <c r="W1387" s="568" t="str">
        <f>VLOOKUP(A1387,'[1]Raw data'!$B:$AG,32,FALSE)</f>
        <v>DDP SZ</v>
      </c>
      <c r="X1387" s="652">
        <f>VLOOKUP(A1387,'[1]Raw data'!$B:$BA,31,FALSE)</f>
        <v>44979</v>
      </c>
      <c r="Y1387" s="652" t="str">
        <f>VLOOKUP(A1387,'[1]Raw data'!$B:$AS,39,FALSE)</f>
        <v>Yes</v>
      </c>
      <c r="Z1387" s="664"/>
      <c r="AA1387" s="665"/>
      <c r="AB1387" s="666"/>
      <c r="AC1387" s="652" t="s">
        <v>2563</v>
      </c>
      <c r="AD1387" s="667">
        <v>311</v>
      </c>
      <c r="AE1387" s="667">
        <v>10</v>
      </c>
      <c r="AF1387" s="667">
        <v>301</v>
      </c>
      <c r="AG1387" s="667">
        <v>5</v>
      </c>
      <c r="AH1387" s="667">
        <v>302</v>
      </c>
      <c r="AI1387" s="668">
        <v>5</v>
      </c>
      <c r="AN1387" s="547"/>
      <c r="AO1387" s="829" t="str">
        <f t="shared" si="304"/>
        <v>Yes</v>
      </c>
      <c r="AP1387" s="259" t="str">
        <f t="shared" si="305"/>
        <v>MAR 23</v>
      </c>
      <c r="AQ1387" s="547" t="str">
        <f t="shared" si="306"/>
        <v>有定金+有預留客戶</v>
      </c>
      <c r="AR1387" s="259" t="str">
        <f t="shared" si="307"/>
        <v>Shipped_Stock</v>
      </c>
      <c r="AS1387" s="259" t="str">
        <f t="shared" si="308"/>
        <v/>
      </c>
      <c r="AT1387" s="259" t="str">
        <f t="shared" si="309"/>
        <v>兆晖</v>
      </c>
      <c r="AU1387" s="259" t="str">
        <f t="shared" si="310"/>
        <v>C49SZX20230025DZ</v>
      </c>
      <c r="AV1387" s="259" t="str">
        <f t="shared" si="311"/>
        <v>Nov-07</v>
      </c>
    </row>
    <row r="1388" spans="1:48" ht="23.25" hidden="1" thickBot="1">
      <c r="A1388" s="564">
        <v>1906</v>
      </c>
      <c r="B1388" s="669" t="s">
        <v>1125</v>
      </c>
      <c r="C1388" s="669" t="s">
        <v>281</v>
      </c>
      <c r="D1388" s="629">
        <v>111096</v>
      </c>
      <c r="E1388" s="651" t="s">
        <v>2657</v>
      </c>
      <c r="F1388" s="652" t="s">
        <v>58</v>
      </c>
      <c r="G1388" s="652" t="s">
        <v>18</v>
      </c>
      <c r="H1388" s="652" t="s">
        <v>26</v>
      </c>
      <c r="I1388" s="580" t="s">
        <v>2661</v>
      </c>
      <c r="J1388" s="580">
        <v>1</v>
      </c>
      <c r="K1388" s="652" t="s">
        <v>85</v>
      </c>
      <c r="L1388" s="570">
        <v>44872</v>
      </c>
      <c r="M1388" s="670" t="s">
        <v>3914</v>
      </c>
      <c r="N1388" s="652" t="s">
        <v>226</v>
      </c>
      <c r="O1388" s="799">
        <v>2022.1</v>
      </c>
      <c r="P1388" s="670" t="str">
        <f>VLOOKUP(A1388,'[1]Raw data'!$B:$BA,23,FALSE)</f>
        <v>JPY</v>
      </c>
      <c r="Q1388" s="652" t="str">
        <f>VLOOKUP(A1388,'[1]Raw data'!$B:$Z,2,FALSE)</f>
        <v>C49SZX20230054SQ</v>
      </c>
      <c r="R1388" s="652" t="str">
        <f>VLOOKUP(A1388,'[1]Raw data'!$B:$Z,3,FALSE)</f>
        <v>格第</v>
      </c>
      <c r="S1388" s="652" t="str">
        <f>VLOOKUP(A1388,'[1]Raw data'!$B:$Z,4,FALSE)</f>
        <v>YSM20R-2</v>
      </c>
      <c r="T1388" s="652" t="str">
        <f>VLOOKUP(A1388,'[1]Raw data'!$B:$Z,8,FALSE)</f>
        <v>R-&gt;L</v>
      </c>
      <c r="U1388" s="652" t="str">
        <f>VLOOKUP(A1388,'[1]Raw data'!$B:$Z,9,FALSE)</f>
        <v>No</v>
      </c>
      <c r="V1388" s="572" t="str">
        <f>IF(G1388&amp;H1388=T1388&amp;U1388,"OK","WRONG")</f>
        <v>OK</v>
      </c>
      <c r="W1388" s="568" t="str">
        <f>VLOOKUP(A1388,'[1]Raw data'!$B:$AG,32,FALSE)</f>
        <v>DAP SZ</v>
      </c>
      <c r="X1388" s="652">
        <f>VLOOKUP(A1388,'[1]Raw data'!$B:$BA,31,FALSE)</f>
        <v>45037</v>
      </c>
      <c r="Y1388" s="652" t="str">
        <f>VLOOKUP(A1388,'[1]Raw data'!$B:$AS,39,FALSE)</f>
        <v>Yes</v>
      </c>
      <c r="Z1388" s="664"/>
      <c r="AA1388" s="665"/>
      <c r="AB1388" s="666"/>
      <c r="AC1388" s="652" t="s">
        <v>3952</v>
      </c>
      <c r="AD1388" s="667">
        <v>311</v>
      </c>
      <c r="AE1388" s="667">
        <v>10</v>
      </c>
      <c r="AF1388" s="667">
        <v>301</v>
      </c>
      <c r="AG1388" s="667">
        <v>5</v>
      </c>
      <c r="AH1388" s="667">
        <v>302</v>
      </c>
      <c r="AI1388" s="668">
        <v>5</v>
      </c>
      <c r="AN1388" s="547"/>
      <c r="AO1388" s="829" t="str">
        <f t="shared" si="304"/>
        <v>Yes</v>
      </c>
      <c r="AP1388" s="259" t="str">
        <f t="shared" si="305"/>
        <v>APR 23</v>
      </c>
      <c r="AQ1388" s="547" t="str">
        <f t="shared" si="306"/>
        <v>有定金+有預留客戶</v>
      </c>
      <c r="AR1388" s="259" t="str">
        <f t="shared" si="307"/>
        <v>Shipped_Stock</v>
      </c>
      <c r="AS1388" s="259" t="str">
        <f t="shared" si="308"/>
        <v/>
      </c>
      <c r="AT1388" s="259" t="str">
        <f t="shared" si="309"/>
        <v>格第</v>
      </c>
      <c r="AU1388" s="259" t="str">
        <f t="shared" si="310"/>
        <v>C49SZX20230054SQ</v>
      </c>
      <c r="AV1388" s="259" t="str">
        <f t="shared" si="311"/>
        <v>Nov-07</v>
      </c>
    </row>
    <row r="1389" spans="1:48" ht="22.5" hidden="1">
      <c r="A1389" s="564">
        <v>1864</v>
      </c>
      <c r="B1389" s="669" t="s">
        <v>1125</v>
      </c>
      <c r="C1389" s="669" t="s">
        <v>281</v>
      </c>
      <c r="D1389" s="781">
        <v>111096</v>
      </c>
      <c r="E1389" s="651" t="s">
        <v>2657</v>
      </c>
      <c r="F1389" s="652" t="s">
        <v>58</v>
      </c>
      <c r="G1389" s="652" t="s">
        <v>18</v>
      </c>
      <c r="H1389" s="652" t="s">
        <v>26</v>
      </c>
      <c r="I1389" s="580" t="s">
        <v>2663</v>
      </c>
      <c r="J1389" s="580">
        <v>1</v>
      </c>
      <c r="K1389" s="652" t="s">
        <v>2407</v>
      </c>
      <c r="L1389" s="570">
        <v>44872</v>
      </c>
      <c r="M1389" s="670" t="s">
        <v>2662</v>
      </c>
      <c r="N1389" s="652" t="s">
        <v>216</v>
      </c>
      <c r="O1389" s="799">
        <v>2022.1</v>
      </c>
      <c r="P1389" s="670" t="str">
        <f>VLOOKUP(A1389,'[1]Raw data'!$B:$BA,23,FALSE)</f>
        <v>RMB</v>
      </c>
      <c r="Q1389" s="652" t="str">
        <f>VLOOKUP(A1389,'[1]Raw data'!$B:$Z,2,FALSE)</f>
        <v>C49SZX20230035SX</v>
      </c>
      <c r="R1389" s="652" t="str">
        <f>VLOOKUP(A1389,'[1]Raw data'!$B:$Z,3,FALSE)</f>
        <v>博祯</v>
      </c>
      <c r="S1389" s="652" t="str">
        <f>VLOOKUP(A1389,'[1]Raw data'!$B:$Z,4,FALSE)</f>
        <v>YSM20R-2</v>
      </c>
      <c r="T1389" s="652" t="str">
        <f>VLOOKUP(A1389,'[1]Raw data'!$B:$Z,8,FALSE)</f>
        <v>R-&gt;L</v>
      </c>
      <c r="U1389" s="652" t="str">
        <f>VLOOKUP(A1389,'[1]Raw data'!$B:$Z,9,FALSE)</f>
        <v>No</v>
      </c>
      <c r="V1389" s="572" t="str">
        <f>IF(G1389&amp;H1389=T1389&amp;U1389,"OK","WRONG")</f>
        <v>OK</v>
      </c>
      <c r="W1389" s="568" t="str">
        <f>VLOOKUP(A1389,'[1]Raw data'!$B:$AG,32,FALSE)</f>
        <v>DDP SZ</v>
      </c>
      <c r="X1389" s="652">
        <f>VLOOKUP(A1389,'[1]Raw data'!$B:$BA,31,FALSE)</f>
        <v>44986</v>
      </c>
      <c r="Y1389" s="652" t="str">
        <f>VLOOKUP(A1389,'[1]Raw data'!$B:$AS,39,FALSE)</f>
        <v>Yes</v>
      </c>
      <c r="Z1389" s="664"/>
      <c r="AA1389" s="665"/>
      <c r="AB1389" s="666"/>
      <c r="AC1389" s="652" t="s">
        <v>2478</v>
      </c>
      <c r="AD1389" s="667">
        <v>311</v>
      </c>
      <c r="AE1389" s="667">
        <v>10</v>
      </c>
      <c r="AF1389" s="667">
        <v>301</v>
      </c>
      <c r="AG1389" s="667">
        <v>5</v>
      </c>
      <c r="AH1389" s="667">
        <v>302</v>
      </c>
      <c r="AI1389" s="668">
        <v>5</v>
      </c>
      <c r="AN1389" s="547"/>
      <c r="AO1389" s="829" t="str">
        <f t="shared" si="304"/>
        <v>Yes</v>
      </c>
      <c r="AP1389" s="259" t="str">
        <f t="shared" si="305"/>
        <v>MAR 23</v>
      </c>
      <c r="AQ1389" s="547" t="str">
        <f t="shared" si="306"/>
        <v>有定金+有預留客戶</v>
      </c>
      <c r="AR1389" s="259" t="str">
        <f t="shared" si="307"/>
        <v>Shipped_Stock</v>
      </c>
      <c r="AS1389" s="259" t="str">
        <f t="shared" si="308"/>
        <v/>
      </c>
      <c r="AT1389" s="259" t="str">
        <f t="shared" si="309"/>
        <v>博祯</v>
      </c>
      <c r="AU1389" s="259" t="str">
        <f t="shared" si="310"/>
        <v>C49SZX20230035SX</v>
      </c>
      <c r="AV1389" s="259" t="str">
        <f t="shared" si="311"/>
        <v>Nov-07</v>
      </c>
    </row>
    <row r="1390" spans="1:48" hidden="1">
      <c r="A1390" s="564">
        <v>1816</v>
      </c>
      <c r="B1390" s="669" t="s">
        <v>1125</v>
      </c>
      <c r="C1390" s="669" t="s">
        <v>281</v>
      </c>
      <c r="D1390" s="760">
        <v>111096</v>
      </c>
      <c r="E1390" s="651" t="s">
        <v>2657</v>
      </c>
      <c r="F1390" s="652" t="s">
        <v>58</v>
      </c>
      <c r="G1390" s="652" t="s">
        <v>24</v>
      </c>
      <c r="H1390" s="652" t="s">
        <v>26</v>
      </c>
      <c r="I1390" s="580" t="s">
        <v>2664</v>
      </c>
      <c r="J1390" s="580">
        <v>1</v>
      </c>
      <c r="K1390" s="652" t="s">
        <v>2407</v>
      </c>
      <c r="L1390" s="570">
        <v>44872</v>
      </c>
      <c r="M1390" s="670" t="s">
        <v>2665</v>
      </c>
      <c r="N1390" s="652" t="s">
        <v>216</v>
      </c>
      <c r="O1390" s="799">
        <v>2022.1</v>
      </c>
      <c r="P1390" s="670" t="str">
        <f>VLOOKUP(A1390,'[1]Raw data'!$B:$BA,23,FALSE)</f>
        <v>RMB</v>
      </c>
      <c r="Q1390" s="652" t="str">
        <f>VLOOKUP(A1390,'[1]Raw data'!$B:$Z,2,FALSE)</f>
        <v>C49SZX20230005SQ</v>
      </c>
      <c r="R1390" s="652" t="str">
        <f>VLOOKUP(A1390,'[1]Raw data'!$B:$Z,3,FALSE)</f>
        <v>德润通</v>
      </c>
      <c r="S1390" s="652" t="str">
        <f>VLOOKUP(A1390,'[1]Raw data'!$B:$Z,4,FALSE)</f>
        <v>YSM20R-2</v>
      </c>
      <c r="T1390" s="652" t="str">
        <f>VLOOKUP(A1390,'[1]Raw data'!$B:$Z,8,FALSE)</f>
        <v>L-&gt;R</v>
      </c>
      <c r="U1390" s="652" t="str">
        <f>VLOOKUP(A1390,'[1]Raw data'!$B:$Z,9,FALSE)</f>
        <v>No</v>
      </c>
      <c r="V1390" s="572" t="str">
        <f t="shared" ref="V1390:V1400" si="319">IF(G1390&amp;H1390=T1390&amp;U1390,"OK","WRONG")</f>
        <v>OK</v>
      </c>
      <c r="W1390" s="568" t="str">
        <f>VLOOKUP(A1390,'[1]Raw data'!$B:$AG,32,FALSE)</f>
        <v>DDP ZH</v>
      </c>
      <c r="X1390" s="652">
        <f>VLOOKUP(A1390,'[1]Raw data'!$B:$BA,31,FALSE)</f>
        <v>44937</v>
      </c>
      <c r="Y1390" s="652" t="str">
        <f>VLOOKUP(A1390,'[1]Raw data'!$B:$AS,39,FALSE)</f>
        <v>Yes</v>
      </c>
      <c r="Z1390" s="664"/>
      <c r="AA1390" s="665"/>
      <c r="AB1390" s="666"/>
      <c r="AC1390" s="652" t="s">
        <v>2666</v>
      </c>
      <c r="AD1390" s="667">
        <v>312</v>
      </c>
      <c r="AE1390" s="667">
        <v>10</v>
      </c>
      <c r="AF1390" s="667">
        <v>301</v>
      </c>
      <c r="AG1390" s="667">
        <v>5</v>
      </c>
      <c r="AH1390" s="667">
        <v>302</v>
      </c>
      <c r="AI1390" s="668">
        <v>5</v>
      </c>
      <c r="AN1390" s="547"/>
      <c r="AO1390" s="829" t="str">
        <f t="shared" si="304"/>
        <v>Yes</v>
      </c>
      <c r="AP1390" s="259" t="str">
        <f t="shared" si="305"/>
        <v>MAR 23</v>
      </c>
      <c r="AQ1390" s="547" t="str">
        <f t="shared" si="306"/>
        <v>有定金+有預留客戶</v>
      </c>
      <c r="AR1390" s="259" t="str">
        <f t="shared" si="307"/>
        <v>Shipped_Stock</v>
      </c>
      <c r="AS1390" s="259" t="str">
        <f t="shared" si="308"/>
        <v/>
      </c>
      <c r="AT1390" s="259" t="str">
        <f t="shared" si="309"/>
        <v>德润通</v>
      </c>
      <c r="AU1390" s="259" t="str">
        <f t="shared" si="310"/>
        <v>C49SZX20230005SQ</v>
      </c>
      <c r="AV1390" s="259" t="str">
        <f t="shared" si="311"/>
        <v>Nov-07</v>
      </c>
    </row>
    <row r="1391" spans="1:48" ht="22.5" hidden="1">
      <c r="A1391" s="604">
        <v>1895</v>
      </c>
      <c r="B1391" s="669" t="s">
        <v>1125</v>
      </c>
      <c r="C1391" s="669" t="s">
        <v>281</v>
      </c>
      <c r="D1391" s="760">
        <v>111096</v>
      </c>
      <c r="E1391" s="651" t="s">
        <v>2657</v>
      </c>
      <c r="F1391" s="652" t="s">
        <v>58</v>
      </c>
      <c r="G1391" s="652" t="s">
        <v>24</v>
      </c>
      <c r="H1391" s="652" t="s">
        <v>26</v>
      </c>
      <c r="I1391" s="580" t="s">
        <v>2667</v>
      </c>
      <c r="J1391" s="580">
        <v>1</v>
      </c>
      <c r="K1391" s="652" t="s">
        <v>1732</v>
      </c>
      <c r="L1391" s="570">
        <v>44872</v>
      </c>
      <c r="M1391" s="670" t="s">
        <v>2662</v>
      </c>
      <c r="N1391" s="652" t="s">
        <v>216</v>
      </c>
      <c r="O1391" s="799">
        <v>2022.1</v>
      </c>
      <c r="P1391" s="670" t="str">
        <f>VLOOKUP(A1391,'[1]Raw data'!$B:$BA,23,FALSE)</f>
        <v>RMB</v>
      </c>
      <c r="Q1391" s="652" t="str">
        <f>VLOOKUP(A1391,'[1]Raw data'!$B:$Z,2,FALSE)</f>
        <v>C49SZX20230047R1SS</v>
      </c>
      <c r="R1391" s="652" t="str">
        <f>VLOOKUP(A1391,'[1]Raw data'!$B:$Z,3,FALSE)</f>
        <v>阿姆斯特</v>
      </c>
      <c r="S1391" s="652" t="str">
        <f>VLOOKUP(A1391,'[1]Raw data'!$B:$Z,4,FALSE)</f>
        <v>YSM20R-2</v>
      </c>
      <c r="T1391" s="652" t="str">
        <f>VLOOKUP(A1391,'[1]Raw data'!$B:$Z,8,FALSE)</f>
        <v>L-&gt;R</v>
      </c>
      <c r="U1391" s="652" t="str">
        <f>VLOOKUP(A1391,'[1]Raw data'!$B:$Z,9,FALSE)</f>
        <v>No</v>
      </c>
      <c r="V1391" s="572" t="str">
        <f t="shared" si="319"/>
        <v>OK</v>
      </c>
      <c r="W1391" s="568" t="str">
        <f>VLOOKUP(A1391,'[1]Raw data'!$B:$AG,32,FALSE)</f>
        <v>DDP DG</v>
      </c>
      <c r="X1391" s="652">
        <f>VLOOKUP(A1391,'[1]Raw data'!$B:$BA,31,FALSE)</f>
        <v>45007</v>
      </c>
      <c r="Y1391" s="652" t="str">
        <f>VLOOKUP(A1391,'[1]Raw data'!$B:$AS,39,FALSE)</f>
        <v>Yes</v>
      </c>
      <c r="Z1391" s="664"/>
      <c r="AA1391" s="665"/>
      <c r="AB1391" s="666"/>
      <c r="AC1391" s="652" t="s">
        <v>2605</v>
      </c>
      <c r="AD1391" s="580">
        <v>312</v>
      </c>
      <c r="AE1391" s="580">
        <v>10</v>
      </c>
      <c r="AF1391" s="580">
        <v>301</v>
      </c>
      <c r="AG1391" s="580">
        <v>5</v>
      </c>
      <c r="AH1391" s="580">
        <v>302</v>
      </c>
      <c r="AI1391" s="684">
        <v>5</v>
      </c>
      <c r="AJ1391" s="569"/>
      <c r="AK1391" s="569"/>
      <c r="AL1391" s="569"/>
      <c r="AM1391" s="569"/>
      <c r="AN1391" s="619"/>
      <c r="AO1391" s="829" t="str">
        <f t="shared" si="304"/>
        <v>Yes</v>
      </c>
      <c r="AP1391" s="259" t="str">
        <f t="shared" si="305"/>
        <v>MAR 23</v>
      </c>
      <c r="AQ1391" s="547" t="str">
        <f t="shared" si="306"/>
        <v>有定金+有預留客戶</v>
      </c>
      <c r="AR1391" s="259" t="str">
        <f t="shared" si="307"/>
        <v>Shipped_Stock</v>
      </c>
      <c r="AS1391" s="259" t="str">
        <f t="shared" si="308"/>
        <v/>
      </c>
      <c r="AT1391" s="259" t="str">
        <f t="shared" si="309"/>
        <v>阿姆斯特</v>
      </c>
      <c r="AU1391" s="259" t="str">
        <f t="shared" si="310"/>
        <v>C49SZX20230047R1SS</v>
      </c>
      <c r="AV1391" s="259" t="str">
        <f t="shared" si="311"/>
        <v>Nov-07</v>
      </c>
    </row>
    <row r="1392" spans="1:48" ht="23.25" hidden="1" thickBot="1">
      <c r="A1392" s="564">
        <v>1896</v>
      </c>
      <c r="B1392" s="669" t="s">
        <v>1125</v>
      </c>
      <c r="C1392" s="669" t="s">
        <v>281</v>
      </c>
      <c r="D1392" s="629">
        <v>111096</v>
      </c>
      <c r="E1392" s="651" t="s">
        <v>2657</v>
      </c>
      <c r="F1392" s="652" t="s">
        <v>58</v>
      </c>
      <c r="G1392" s="652" t="s">
        <v>24</v>
      </c>
      <c r="H1392" s="652" t="s">
        <v>26</v>
      </c>
      <c r="I1392" s="580" t="s">
        <v>2668</v>
      </c>
      <c r="J1392" s="580">
        <v>1</v>
      </c>
      <c r="K1392" s="652" t="s">
        <v>2407</v>
      </c>
      <c r="L1392" s="570">
        <v>44872</v>
      </c>
      <c r="M1392" s="670" t="s">
        <v>3902</v>
      </c>
      <c r="N1392" s="652" t="s">
        <v>226</v>
      </c>
      <c r="O1392" s="799">
        <v>2022.1</v>
      </c>
      <c r="P1392" s="670" t="str">
        <f>VLOOKUP(A1392,'[1]Raw data'!$B:$BA,23,FALSE)</f>
        <v>RMB</v>
      </c>
      <c r="Q1392" s="652" t="str">
        <f>VLOOKUP(A1392,'[1]Raw data'!$B:$Z,2,FALSE)</f>
        <v>YJY-2023040701</v>
      </c>
      <c r="R1392" s="652" t="str">
        <f>VLOOKUP(A1392,'[1]Raw data'!$B:$Z,3,FALSE)</f>
        <v>清水湾（End use:呈承）</v>
      </c>
      <c r="S1392" s="652" t="str">
        <f>VLOOKUP(A1392,'[1]Raw data'!$B:$Z,4,FALSE)</f>
        <v>YSM20R-2</v>
      </c>
      <c r="T1392" s="652" t="str">
        <f>VLOOKUP(A1392,'[1]Raw data'!$B:$Z,8,FALSE)</f>
        <v>L-&gt;R</v>
      </c>
      <c r="U1392" s="652" t="str">
        <f>VLOOKUP(A1392,'[1]Raw data'!$B:$Z,9,FALSE)</f>
        <v>No</v>
      </c>
      <c r="V1392" s="572" t="str">
        <f t="shared" si="319"/>
        <v>OK</v>
      </c>
      <c r="W1392" s="568" t="str">
        <f>VLOOKUP(A1392,'[1]Raw data'!$B:$AG,32,FALSE)</f>
        <v>DDP ZS</v>
      </c>
      <c r="X1392" s="652">
        <f>VLOOKUP(A1392,'[1]Raw data'!$B:$BA,31,FALSE)</f>
        <v>45019</v>
      </c>
      <c r="Y1392" s="652" t="str">
        <f>VLOOKUP(A1392,'[1]Raw data'!$B:$AS,39,FALSE)</f>
        <v>Yes</v>
      </c>
      <c r="Z1392" s="664"/>
      <c r="AA1392" s="665"/>
      <c r="AB1392" s="666"/>
      <c r="AC1392" s="652" t="s">
        <v>3911</v>
      </c>
      <c r="AD1392" s="667">
        <v>312</v>
      </c>
      <c r="AE1392" s="667">
        <v>10</v>
      </c>
      <c r="AF1392" s="667">
        <v>301</v>
      </c>
      <c r="AG1392" s="667">
        <v>5</v>
      </c>
      <c r="AH1392" s="667">
        <v>302</v>
      </c>
      <c r="AI1392" s="668">
        <v>5</v>
      </c>
      <c r="AN1392" s="547"/>
      <c r="AO1392" s="829" t="str">
        <f t="shared" si="304"/>
        <v>Yes</v>
      </c>
      <c r="AP1392" s="259" t="str">
        <f t="shared" si="305"/>
        <v>APR 23</v>
      </c>
      <c r="AQ1392" s="547" t="str">
        <f t="shared" si="306"/>
        <v>有定金+有預留客戶</v>
      </c>
      <c r="AR1392" s="259" t="str">
        <f t="shared" si="307"/>
        <v>Shipped_Stock</v>
      </c>
      <c r="AS1392" s="259" t="str">
        <f t="shared" si="308"/>
        <v/>
      </c>
      <c r="AT1392" s="259" t="str">
        <f t="shared" si="309"/>
        <v>清水湾（End use:呈承）</v>
      </c>
      <c r="AU1392" s="259" t="str">
        <f t="shared" si="310"/>
        <v>YJY-2023040701</v>
      </c>
      <c r="AV1392" s="259" t="str">
        <f t="shared" si="311"/>
        <v>Nov-07</v>
      </c>
    </row>
    <row r="1393" spans="1:48" hidden="1">
      <c r="A1393" s="564">
        <v>1714</v>
      </c>
      <c r="B1393" s="669" t="s">
        <v>1125</v>
      </c>
      <c r="C1393" s="669" t="s">
        <v>281</v>
      </c>
      <c r="D1393" s="766">
        <v>111097</v>
      </c>
      <c r="E1393" s="800" t="s">
        <v>2669</v>
      </c>
      <c r="F1393" s="652" t="s">
        <v>58</v>
      </c>
      <c r="G1393" s="652" t="s">
        <v>24</v>
      </c>
      <c r="H1393" s="652" t="s">
        <v>26</v>
      </c>
      <c r="I1393" s="580" t="s">
        <v>2670</v>
      </c>
      <c r="J1393" s="580">
        <v>1</v>
      </c>
      <c r="K1393" s="652" t="s">
        <v>2671</v>
      </c>
      <c r="L1393" s="570">
        <v>44876</v>
      </c>
      <c r="M1393" s="670" t="s">
        <v>906</v>
      </c>
      <c r="N1393" s="652" t="s">
        <v>208</v>
      </c>
      <c r="O1393" s="799">
        <v>2022.1</v>
      </c>
      <c r="P1393" s="670" t="str">
        <f>VLOOKUP(A1393,'[1]Raw data'!$B:$BA,23,FALSE)</f>
        <v>JPY</v>
      </c>
      <c r="Q1393" s="652" t="str">
        <f>VLOOKUP(A1393,'[1]Raw data'!$B:$Z,2,FALSE)</f>
        <v>C49SZX20220086VG/ESE220803STOCK-OS</v>
      </c>
      <c r="R1393" s="652" t="str">
        <f>VLOOKUP(A1393,'[1]Raw data'!$B:$Z,3,FALSE)</f>
        <v>WKK(end user:熵基）</v>
      </c>
      <c r="S1393" s="652" t="str">
        <f>VLOOKUP(A1393,'[1]Raw data'!$B:$Z,4,FALSE)</f>
        <v>YSM20R-2</v>
      </c>
      <c r="T1393" s="652" t="str">
        <f>VLOOKUP(A1393,'[1]Raw data'!$B:$Z,8,FALSE)</f>
        <v>L-&gt;R</v>
      </c>
      <c r="U1393" s="652" t="str">
        <f>VLOOKUP(A1393,'[1]Raw data'!$B:$Z,9,FALSE)</f>
        <v>No</v>
      </c>
      <c r="V1393" s="572" t="str">
        <f t="shared" si="319"/>
        <v>OK</v>
      </c>
      <c r="W1393" s="568" t="str">
        <f>VLOOKUP(A1393,'[1]Raw data'!$B:$AG,32,FALSE)</f>
        <v>CIF HK</v>
      </c>
      <c r="X1393" s="652">
        <f>VLOOKUP(A1393,'[1]Raw data'!$B:$BA,31,FALSE)</f>
        <v>44776</v>
      </c>
      <c r="Y1393" s="652" t="str">
        <f>VLOOKUP(A1393,'[1]Raw data'!$B:$AS,39,FALSE)</f>
        <v>Yes</v>
      </c>
      <c r="Z1393" s="671"/>
      <c r="AA1393" s="665"/>
      <c r="AB1393" s="666"/>
      <c r="AC1393" s="652" t="s">
        <v>2672</v>
      </c>
      <c r="AD1393" s="667">
        <v>311</v>
      </c>
      <c r="AE1393" s="667">
        <v>10</v>
      </c>
      <c r="AF1393" s="667">
        <v>303</v>
      </c>
      <c r="AG1393" s="667">
        <v>5</v>
      </c>
      <c r="AH1393" s="667">
        <v>302</v>
      </c>
      <c r="AI1393" s="668">
        <v>5</v>
      </c>
      <c r="AN1393" s="547"/>
      <c r="AO1393" s="829" t="str">
        <f t="shared" si="304"/>
        <v>Yes</v>
      </c>
      <c r="AP1393" s="259" t="str">
        <f t="shared" si="305"/>
        <v>NOV 22</v>
      </c>
      <c r="AQ1393" s="547" t="str">
        <f t="shared" si="306"/>
        <v>有定金+有預留客戶</v>
      </c>
      <c r="AR1393" s="259" t="str">
        <f t="shared" si="307"/>
        <v>Shipped_Stock</v>
      </c>
      <c r="AS1393" s="259" t="str">
        <f t="shared" si="308"/>
        <v/>
      </c>
      <c r="AT1393" s="259" t="str">
        <f t="shared" si="309"/>
        <v>WKK(end user:熵基）</v>
      </c>
      <c r="AU1393" s="259" t="str">
        <f t="shared" si="310"/>
        <v>C49SZX20220086VG/ESE220803STOCK-OS</v>
      </c>
      <c r="AV1393" s="259" t="str">
        <f t="shared" si="311"/>
        <v>Nov-11</v>
      </c>
    </row>
    <row r="1394" spans="1:48" ht="13.5" hidden="1" thickBot="1">
      <c r="A1394" s="564">
        <v>1713</v>
      </c>
      <c r="B1394" s="669" t="s">
        <v>1125</v>
      </c>
      <c r="C1394" s="669" t="s">
        <v>281</v>
      </c>
      <c r="D1394" s="629">
        <v>111097</v>
      </c>
      <c r="E1394" s="800" t="s">
        <v>2669</v>
      </c>
      <c r="F1394" s="652" t="s">
        <v>58</v>
      </c>
      <c r="G1394" s="652" t="s">
        <v>24</v>
      </c>
      <c r="H1394" s="652" t="s">
        <v>2673</v>
      </c>
      <c r="I1394" s="580" t="s">
        <v>2674</v>
      </c>
      <c r="J1394" s="580">
        <v>1</v>
      </c>
      <c r="K1394" s="652" t="s">
        <v>2671</v>
      </c>
      <c r="L1394" s="570">
        <v>44876</v>
      </c>
      <c r="M1394" s="670" t="s">
        <v>906</v>
      </c>
      <c r="N1394" s="652" t="s">
        <v>208</v>
      </c>
      <c r="O1394" s="799">
        <v>2022.1</v>
      </c>
      <c r="P1394" s="670" t="str">
        <f>VLOOKUP(A1394,'[1]Raw data'!$B:$BA,23,FALSE)</f>
        <v>JPY</v>
      </c>
      <c r="Q1394" s="652" t="str">
        <f>VLOOKUP(A1394,'[1]Raw data'!$B:$Z,2,FALSE)</f>
        <v>C49SZX20220086VG/ESE220803STOCK-OS</v>
      </c>
      <c r="R1394" s="652" t="str">
        <f>VLOOKUP(A1394,'[1]Raw data'!$B:$Z,3,FALSE)</f>
        <v>WKK(end user:熵基）</v>
      </c>
      <c r="S1394" s="652" t="str">
        <f>VLOOKUP(A1394,'[1]Raw data'!$B:$Z,4,FALSE)</f>
        <v>YSM20R-2</v>
      </c>
      <c r="T1394" s="652" t="str">
        <f>VLOOKUP(A1394,'[1]Raw data'!$B:$Z,8,FALSE)</f>
        <v>L-&gt;R</v>
      </c>
      <c r="U1394" s="652" t="str">
        <f>VLOOKUP(A1394,'[1]Raw data'!$B:$Z,9,FALSE)</f>
        <v>cATS30+MVC+Feeder Carriage</v>
      </c>
      <c r="V1394" s="572" t="str">
        <f t="shared" si="319"/>
        <v>OK</v>
      </c>
      <c r="W1394" s="568" t="str">
        <f>VLOOKUP(A1394,'[1]Raw data'!$B:$AG,32,FALSE)</f>
        <v>CIF HK</v>
      </c>
      <c r="X1394" s="652">
        <f>VLOOKUP(A1394,'[1]Raw data'!$B:$BA,31,FALSE)</f>
        <v>44776</v>
      </c>
      <c r="Y1394" s="652" t="str">
        <f>VLOOKUP(A1394,'[1]Raw data'!$B:$AS,39,FALSE)</f>
        <v>Yes</v>
      </c>
      <c r="Z1394" s="671"/>
      <c r="AA1394" s="665"/>
      <c r="AB1394" s="666"/>
      <c r="AC1394" s="652" t="s">
        <v>2672</v>
      </c>
      <c r="AD1394" s="667">
        <v>311</v>
      </c>
      <c r="AE1394" s="667">
        <v>10</v>
      </c>
      <c r="AF1394" s="667">
        <v>303</v>
      </c>
      <c r="AG1394" s="667">
        <v>5</v>
      </c>
      <c r="AH1394" s="667">
        <v>302</v>
      </c>
      <c r="AI1394" s="668">
        <v>5</v>
      </c>
      <c r="AN1394" s="547"/>
      <c r="AO1394" s="829" t="str">
        <f t="shared" si="304"/>
        <v>Yes</v>
      </c>
      <c r="AP1394" s="259" t="str">
        <f t="shared" si="305"/>
        <v>NOV 22</v>
      </c>
      <c r="AQ1394" s="547" t="str">
        <f t="shared" si="306"/>
        <v>有定金+有預留客戶</v>
      </c>
      <c r="AR1394" s="259" t="str">
        <f t="shared" si="307"/>
        <v>Shipped_Stock</v>
      </c>
      <c r="AS1394" s="259" t="str">
        <f t="shared" si="308"/>
        <v/>
      </c>
      <c r="AT1394" s="259" t="str">
        <f t="shared" si="309"/>
        <v>WKK(end user:熵基）</v>
      </c>
      <c r="AU1394" s="259" t="str">
        <f t="shared" si="310"/>
        <v>C49SZX20220086VG/ESE220803STOCK-OS</v>
      </c>
      <c r="AV1394" s="259" t="str">
        <f t="shared" si="311"/>
        <v>Nov-11</v>
      </c>
    </row>
    <row r="1395" spans="1:48" hidden="1">
      <c r="A1395" s="564">
        <v>2020</v>
      </c>
      <c r="B1395" s="669" t="s">
        <v>1125</v>
      </c>
      <c r="C1395" s="669" t="s">
        <v>281</v>
      </c>
      <c r="D1395" s="766">
        <v>111095</v>
      </c>
      <c r="E1395" s="800" t="s">
        <v>2675</v>
      </c>
      <c r="F1395" s="652" t="s">
        <v>17</v>
      </c>
      <c r="G1395" s="652" t="s">
        <v>18</v>
      </c>
      <c r="H1395" s="652" t="s">
        <v>102</v>
      </c>
      <c r="I1395" s="580" t="s">
        <v>2676</v>
      </c>
      <c r="J1395" s="580">
        <v>1</v>
      </c>
      <c r="K1395" s="652" t="s">
        <v>4099</v>
      </c>
      <c r="L1395" s="570">
        <v>44872</v>
      </c>
      <c r="M1395" s="670" t="s">
        <v>906</v>
      </c>
      <c r="N1395" s="652" t="s">
        <v>4344</v>
      </c>
      <c r="O1395" s="799">
        <v>2022.1</v>
      </c>
      <c r="P1395" s="670" t="str">
        <f>VLOOKUP(A1395,'[1]Raw data'!$B:$BA,23,FALSE)</f>
        <v>JPY</v>
      </c>
      <c r="Q1395" s="652" t="str">
        <f>VLOOKUP(A1395,'[1]Raw data'!$B:$Z,2,FALSE)</f>
        <v>C49SZX20230125JY</v>
      </c>
      <c r="R1395" s="652" t="str">
        <f>VLOOKUP(A1395,'[1]Raw data'!$B:$Z,3,FALSE)</f>
        <v>百施达（end user:海纳科）</v>
      </c>
      <c r="S1395" s="652" t="str">
        <f>VLOOKUP(A1395,'[1]Raw data'!$B:$Z,4,FALSE)</f>
        <v>YSM10</v>
      </c>
      <c r="T1395" s="652" t="str">
        <f>VLOOKUP(A1395,'[1]Raw data'!$B:$Z,8,FALSE)</f>
        <v>L-&gt;R</v>
      </c>
      <c r="U1395" s="652" t="str">
        <f>VLOOKUP(A1395,'[1]Raw data'!$B:$Z,9,FALSE)</f>
        <v>MVC</v>
      </c>
      <c r="V1395" s="572" t="str">
        <f t="shared" si="319"/>
        <v>WRONG</v>
      </c>
      <c r="W1395" s="568" t="str">
        <f>VLOOKUP(A1395,'[1]Raw data'!$B:$AG,32,FALSE)</f>
        <v>DAP SZ</v>
      </c>
      <c r="X1395" s="662">
        <f>VLOOKUP(A1395,'[1]Raw data'!$B:$BA,31,FALSE)</f>
        <v>45246</v>
      </c>
      <c r="Y1395" s="652" t="str">
        <f>VLOOKUP(A1395,'[1]Raw data'!$B:$AS,39,FALSE)</f>
        <v>Yes</v>
      </c>
      <c r="Z1395" s="664"/>
      <c r="AA1395" s="665"/>
      <c r="AB1395" s="666"/>
      <c r="AC1395" s="652" t="s">
        <v>4409</v>
      </c>
      <c r="AD1395" s="667">
        <v>301</v>
      </c>
      <c r="AE1395" s="667">
        <v>5</v>
      </c>
      <c r="AF1395" s="667">
        <v>302</v>
      </c>
      <c r="AG1395" s="668">
        <v>5</v>
      </c>
      <c r="AH1395" s="667"/>
      <c r="AI1395" s="668"/>
      <c r="AN1395" s="547"/>
      <c r="AO1395" s="829" t="str">
        <f t="shared" si="304"/>
        <v>Yes</v>
      </c>
      <c r="AP1395" s="259" t="str">
        <f t="shared" si="305"/>
        <v>NOV 23</v>
      </c>
      <c r="AQ1395" s="547" t="str">
        <f t="shared" si="306"/>
        <v>有定金+有預留客戶</v>
      </c>
      <c r="AR1395" s="259" t="str">
        <f t="shared" si="307"/>
        <v>Shipped_Stock</v>
      </c>
      <c r="AS1395" s="259" t="str">
        <f t="shared" si="308"/>
        <v/>
      </c>
      <c r="AT1395" s="259" t="str">
        <f t="shared" si="309"/>
        <v>百施达（end user:海纳科）</v>
      </c>
      <c r="AU1395" s="259" t="str">
        <f t="shared" si="310"/>
        <v>C49SZX20230125JY</v>
      </c>
      <c r="AV1395" s="259" t="str">
        <f t="shared" si="311"/>
        <v>Nov-07</v>
      </c>
    </row>
    <row r="1396" spans="1:48" hidden="1">
      <c r="A1396" s="564">
        <v>2021</v>
      </c>
      <c r="B1396" s="669" t="s">
        <v>1125</v>
      </c>
      <c r="C1396" s="669" t="s">
        <v>281</v>
      </c>
      <c r="D1396" s="760">
        <v>111095</v>
      </c>
      <c r="E1396" s="800" t="s">
        <v>2675</v>
      </c>
      <c r="F1396" s="652" t="s">
        <v>17</v>
      </c>
      <c r="G1396" s="652" t="s">
        <v>18</v>
      </c>
      <c r="H1396" s="652" t="s">
        <v>102</v>
      </c>
      <c r="I1396" s="580" t="s">
        <v>2677</v>
      </c>
      <c r="J1396" s="580">
        <v>1</v>
      </c>
      <c r="K1396" s="652" t="s">
        <v>2407</v>
      </c>
      <c r="L1396" s="570">
        <v>44872</v>
      </c>
      <c r="M1396" s="670" t="s">
        <v>906</v>
      </c>
      <c r="N1396" s="652" t="s">
        <v>4344</v>
      </c>
      <c r="O1396" s="799">
        <v>2022.1</v>
      </c>
      <c r="P1396" s="670" t="str">
        <f>VLOOKUP(A1396,'[1]Raw data'!$B:$BA,23,FALSE)</f>
        <v>JPY</v>
      </c>
      <c r="Q1396" s="652" t="str">
        <f>VLOOKUP(A1396,'[1]Raw data'!$B:$Z,2,FALSE)</f>
        <v>C49SZX20230125JY</v>
      </c>
      <c r="R1396" s="652" t="str">
        <f>VLOOKUP(A1396,'[1]Raw data'!$B:$Z,3,FALSE)</f>
        <v>百施达（end user:海纳科）</v>
      </c>
      <c r="S1396" s="652" t="str">
        <f>VLOOKUP(A1396,'[1]Raw data'!$B:$Z,4,FALSE)</f>
        <v>YSM10</v>
      </c>
      <c r="T1396" s="652" t="str">
        <f>VLOOKUP(A1396,'[1]Raw data'!$B:$Z,8,FALSE)</f>
        <v>L-&gt;R</v>
      </c>
      <c r="U1396" s="652" t="str">
        <f>VLOOKUP(A1396,'[1]Raw data'!$B:$Z,9,FALSE)</f>
        <v>MVC</v>
      </c>
      <c r="V1396" s="572" t="str">
        <f t="shared" si="319"/>
        <v>WRONG</v>
      </c>
      <c r="W1396" s="568" t="str">
        <f>VLOOKUP(A1396,'[1]Raw data'!$B:$AG,32,FALSE)</f>
        <v>DAP SZ</v>
      </c>
      <c r="X1396" s="662">
        <f>VLOOKUP(A1396,'[1]Raw data'!$B:$BA,31,FALSE)</f>
        <v>45246</v>
      </c>
      <c r="Y1396" s="652" t="str">
        <f>VLOOKUP(A1396,'[1]Raw data'!$B:$AS,39,FALSE)</f>
        <v>Yes</v>
      </c>
      <c r="Z1396" s="664"/>
      <c r="AA1396" s="665"/>
      <c r="AB1396" s="666"/>
      <c r="AC1396" s="652" t="s">
        <v>4409</v>
      </c>
      <c r="AD1396" s="667">
        <v>301</v>
      </c>
      <c r="AE1396" s="667">
        <v>5</v>
      </c>
      <c r="AF1396" s="667">
        <v>302</v>
      </c>
      <c r="AG1396" s="668">
        <v>5</v>
      </c>
      <c r="AH1396" s="667"/>
      <c r="AI1396" s="668"/>
      <c r="AN1396" s="547"/>
      <c r="AO1396" s="829" t="str">
        <f t="shared" si="304"/>
        <v>Yes</v>
      </c>
      <c r="AP1396" s="259" t="str">
        <f t="shared" si="305"/>
        <v>NOV 23</v>
      </c>
      <c r="AQ1396" s="547" t="str">
        <f t="shared" si="306"/>
        <v>有定金+有預留客戶</v>
      </c>
      <c r="AR1396" s="259" t="str">
        <f t="shared" si="307"/>
        <v>Shipped_Stock</v>
      </c>
      <c r="AS1396" s="259" t="str">
        <f t="shared" si="308"/>
        <v/>
      </c>
      <c r="AT1396" s="259" t="str">
        <f t="shared" si="309"/>
        <v>百施达（end user:海纳科）</v>
      </c>
      <c r="AU1396" s="259" t="str">
        <f t="shared" si="310"/>
        <v>C49SZX20230125JY</v>
      </c>
      <c r="AV1396" s="259" t="str">
        <f t="shared" si="311"/>
        <v>Nov-07</v>
      </c>
    </row>
    <row r="1397" spans="1:48" hidden="1">
      <c r="A1397" s="564">
        <v>1946</v>
      </c>
      <c r="B1397" s="669" t="s">
        <v>1125</v>
      </c>
      <c r="C1397" s="669" t="s">
        <v>281</v>
      </c>
      <c r="D1397" s="760">
        <v>111095</v>
      </c>
      <c r="E1397" s="800" t="s">
        <v>2675</v>
      </c>
      <c r="F1397" s="652" t="s">
        <v>17</v>
      </c>
      <c r="G1397" s="652" t="s">
        <v>18</v>
      </c>
      <c r="H1397" s="652" t="s">
        <v>102</v>
      </c>
      <c r="I1397" s="580" t="s">
        <v>2678</v>
      </c>
      <c r="J1397" s="580">
        <v>1</v>
      </c>
      <c r="K1397" s="652" t="s">
        <v>4099</v>
      </c>
      <c r="L1397" s="570">
        <v>44872</v>
      </c>
      <c r="M1397" s="670" t="s">
        <v>906</v>
      </c>
      <c r="N1397" s="652" t="s">
        <v>4169</v>
      </c>
      <c r="O1397" s="799">
        <v>2022.1</v>
      </c>
      <c r="P1397" s="670" t="str">
        <f>VLOOKUP(A1397,'[1]Raw data'!$B:$BA,23,FALSE)</f>
        <v>RMB</v>
      </c>
      <c r="Q1397" s="652" t="str">
        <f>VLOOKUP(A1397,'[1]Raw data'!$B:$Z,2,FALSE)</f>
        <v>C49SZX20230093SX</v>
      </c>
      <c r="R1397" s="652" t="str">
        <f>VLOOKUP(A1397,'[1]Raw data'!$B:$Z,3,FALSE)</f>
        <v>益田科技(End uer:泓裕）</v>
      </c>
      <c r="S1397" s="652" t="str">
        <f>VLOOKUP(A1397,'[1]Raw data'!$B:$Z,4,FALSE)</f>
        <v>YSM10</v>
      </c>
      <c r="T1397" s="652" t="str">
        <f>VLOOKUP(A1397,'[1]Raw data'!$B:$Z,8,FALSE)</f>
        <v>L-&gt;R</v>
      </c>
      <c r="U1397" s="652" t="str">
        <f>VLOOKUP(A1397,'[1]Raw data'!$B:$Z,9,FALSE)</f>
        <v>No</v>
      </c>
      <c r="V1397" s="572" t="str">
        <f t="shared" si="319"/>
        <v>WRONG</v>
      </c>
      <c r="W1397" s="568" t="str">
        <f>VLOOKUP(A1397,'[1]Raw data'!$B:$AG,32,FALSE)</f>
        <v>DDP SZ</v>
      </c>
      <c r="X1397" s="662">
        <f>VLOOKUP(A1397,'[1]Raw data'!$B:$BA,31,FALSE)</f>
        <v>45127</v>
      </c>
      <c r="Y1397" s="652" t="str">
        <f>VLOOKUP(A1397,'[1]Raw data'!$B:$AS,39,FALSE)</f>
        <v>Yes</v>
      </c>
      <c r="Z1397" s="664"/>
      <c r="AA1397" s="665"/>
      <c r="AB1397" s="666"/>
      <c r="AC1397" s="652" t="s">
        <v>4248</v>
      </c>
      <c r="AD1397" s="667">
        <v>301</v>
      </c>
      <c r="AE1397" s="667">
        <v>5</v>
      </c>
      <c r="AF1397" s="667">
        <v>302</v>
      </c>
      <c r="AG1397" s="668">
        <v>5</v>
      </c>
      <c r="AH1397" s="667"/>
      <c r="AI1397" s="668"/>
      <c r="AN1397" s="547"/>
      <c r="AO1397" s="829" t="str">
        <f t="shared" si="304"/>
        <v>Yes</v>
      </c>
      <c r="AP1397" s="259" t="str">
        <f t="shared" si="305"/>
        <v>SEP 23</v>
      </c>
      <c r="AQ1397" s="547" t="str">
        <f t="shared" si="306"/>
        <v>有定金+有預留客戶</v>
      </c>
      <c r="AR1397" s="259" t="str">
        <f t="shared" si="307"/>
        <v>Shipped_Stock</v>
      </c>
      <c r="AS1397" s="259" t="str">
        <f t="shared" si="308"/>
        <v/>
      </c>
      <c r="AT1397" s="259" t="str">
        <f t="shared" si="309"/>
        <v>益田科技(End uer:泓裕）</v>
      </c>
      <c r="AU1397" s="259" t="str">
        <f t="shared" si="310"/>
        <v>C49SZX20230093SX</v>
      </c>
      <c r="AV1397" s="259" t="str">
        <f t="shared" si="311"/>
        <v>Nov-07</v>
      </c>
    </row>
    <row r="1398" spans="1:48" hidden="1">
      <c r="A1398" s="564">
        <v>1947</v>
      </c>
      <c r="B1398" s="669" t="s">
        <v>1125</v>
      </c>
      <c r="C1398" s="669" t="s">
        <v>281</v>
      </c>
      <c r="D1398" s="760">
        <v>111095</v>
      </c>
      <c r="E1398" s="800" t="s">
        <v>2675</v>
      </c>
      <c r="F1398" s="652" t="s">
        <v>17</v>
      </c>
      <c r="G1398" s="652" t="s">
        <v>18</v>
      </c>
      <c r="H1398" s="652" t="s">
        <v>102</v>
      </c>
      <c r="I1398" s="580" t="s">
        <v>2679</v>
      </c>
      <c r="J1398" s="580">
        <v>1</v>
      </c>
      <c r="K1398" s="652" t="s">
        <v>4099</v>
      </c>
      <c r="L1398" s="570">
        <v>44872</v>
      </c>
      <c r="M1398" s="670" t="s">
        <v>906</v>
      </c>
      <c r="N1398" s="652" t="s">
        <v>4169</v>
      </c>
      <c r="O1398" s="799">
        <v>2022.1</v>
      </c>
      <c r="P1398" s="670" t="str">
        <f>VLOOKUP(A1398,'[1]Raw data'!$B:$BA,23,FALSE)</f>
        <v>RMB</v>
      </c>
      <c r="Q1398" s="652" t="str">
        <f>VLOOKUP(A1398,'[1]Raw data'!$B:$Z,2,FALSE)</f>
        <v>C49SZX20230093SX</v>
      </c>
      <c r="R1398" s="652" t="str">
        <f>VLOOKUP(A1398,'[1]Raw data'!$B:$Z,3,FALSE)</f>
        <v>益田科技(End uer:泓裕）</v>
      </c>
      <c r="S1398" s="652" t="str">
        <f>VLOOKUP(A1398,'[1]Raw data'!$B:$Z,4,FALSE)</f>
        <v>YSM10</v>
      </c>
      <c r="T1398" s="652" t="str">
        <f>VLOOKUP(A1398,'[1]Raw data'!$B:$Z,8,FALSE)</f>
        <v>R-&gt;L</v>
      </c>
      <c r="U1398" s="652" t="str">
        <f>VLOOKUP(A1398,'[1]Raw data'!$B:$Z,9,FALSE)</f>
        <v>No</v>
      </c>
      <c r="V1398" s="572" t="str">
        <f t="shared" si="319"/>
        <v>WRONG</v>
      </c>
      <c r="W1398" s="568" t="str">
        <f>VLOOKUP(A1398,'[1]Raw data'!$B:$AG,32,FALSE)</f>
        <v>DDP SZ</v>
      </c>
      <c r="X1398" s="662">
        <f>VLOOKUP(A1398,'[1]Raw data'!$B:$BA,31,FALSE)</f>
        <v>45127</v>
      </c>
      <c r="Y1398" s="652" t="str">
        <f>VLOOKUP(A1398,'[1]Raw data'!$B:$AS,39,FALSE)</f>
        <v>Yes</v>
      </c>
      <c r="Z1398" s="664"/>
      <c r="AA1398" s="665"/>
      <c r="AB1398" s="666"/>
      <c r="AC1398" s="652" t="s">
        <v>4248</v>
      </c>
      <c r="AD1398" s="667">
        <v>301</v>
      </c>
      <c r="AE1398" s="667">
        <v>5</v>
      </c>
      <c r="AF1398" s="667">
        <v>302</v>
      </c>
      <c r="AG1398" s="668">
        <v>5</v>
      </c>
      <c r="AH1398" s="667"/>
      <c r="AI1398" s="668"/>
      <c r="AN1398" s="547"/>
      <c r="AO1398" s="829" t="str">
        <f t="shared" si="304"/>
        <v>Yes</v>
      </c>
      <c r="AP1398" s="259" t="str">
        <f t="shared" si="305"/>
        <v>SEP 23</v>
      </c>
      <c r="AQ1398" s="547" t="str">
        <f t="shared" si="306"/>
        <v>有定金+有預留客戶</v>
      </c>
      <c r="AR1398" s="259" t="str">
        <f t="shared" si="307"/>
        <v>Shipped_Stock</v>
      </c>
      <c r="AS1398" s="259" t="str">
        <f t="shared" si="308"/>
        <v/>
      </c>
      <c r="AT1398" s="259" t="str">
        <f t="shared" si="309"/>
        <v>益田科技(End uer:泓裕）</v>
      </c>
      <c r="AU1398" s="259" t="str">
        <f t="shared" si="310"/>
        <v>C49SZX20230093SX</v>
      </c>
      <c r="AV1398" s="259" t="str">
        <f t="shared" si="311"/>
        <v>Nov-07</v>
      </c>
    </row>
    <row r="1399" spans="1:48" ht="22.5" hidden="1">
      <c r="A1399" s="564">
        <v>1939</v>
      </c>
      <c r="B1399" s="669" t="s">
        <v>1125</v>
      </c>
      <c r="C1399" s="669" t="s">
        <v>281</v>
      </c>
      <c r="D1399" s="760">
        <v>111095</v>
      </c>
      <c r="E1399" s="800" t="s">
        <v>2675</v>
      </c>
      <c r="F1399" s="652" t="s">
        <v>17</v>
      </c>
      <c r="G1399" s="652" t="s">
        <v>18</v>
      </c>
      <c r="H1399" s="652" t="s">
        <v>102</v>
      </c>
      <c r="I1399" s="580" t="s">
        <v>4381</v>
      </c>
      <c r="J1399" s="580">
        <v>1</v>
      </c>
      <c r="K1399" s="652" t="s">
        <v>1419</v>
      </c>
      <c r="L1399" s="570">
        <v>44872</v>
      </c>
      <c r="M1399" s="670" t="s">
        <v>2680</v>
      </c>
      <c r="N1399" s="652" t="s">
        <v>4344</v>
      </c>
      <c r="O1399" s="799">
        <v>2022.1</v>
      </c>
      <c r="P1399" s="670" t="str">
        <f>VLOOKUP(A1399,'[1]Raw data'!$B:$BA,23,FALSE)</f>
        <v>RMB</v>
      </c>
      <c r="Q1399" s="652" t="str">
        <f>VLOOKUP(A1399,'[1]Raw data'!$B:$Z,2,FALSE)</f>
        <v>C49SZX20230091SX</v>
      </c>
      <c r="R1399" s="652" t="str">
        <f>VLOOKUP(A1399,'[1]Raw data'!$B:$Z,3,FALSE)</f>
        <v>万赢丰</v>
      </c>
      <c r="S1399" s="652" t="str">
        <f>VLOOKUP(A1399,'[1]Raw data'!$B:$Z,4,FALSE)</f>
        <v>YSM10</v>
      </c>
      <c r="T1399" s="652" t="str">
        <f>VLOOKUP(A1399,'[1]Raw data'!$B:$Z,8,FALSE)</f>
        <v>R-&gt;L</v>
      </c>
      <c r="U1399" s="652" t="str">
        <f>VLOOKUP(A1399,'[1]Raw data'!$B:$Z,9,FALSE)</f>
        <v>MVC</v>
      </c>
      <c r="V1399" s="572" t="str">
        <f t="shared" si="319"/>
        <v>WRONG</v>
      </c>
      <c r="W1399" s="568" t="str">
        <f>VLOOKUP(A1399,'[1]Raw data'!$B:$AG,32,FALSE)</f>
        <v>DDP SZ</v>
      </c>
      <c r="X1399" s="662">
        <f>VLOOKUP(A1399,'[1]Raw data'!$B:$BA,31,FALSE)</f>
        <v>45125</v>
      </c>
      <c r="Y1399" s="652" t="str">
        <f>VLOOKUP(A1399,'[1]Raw data'!$B:$AS,39,FALSE)</f>
        <v>Yes</v>
      </c>
      <c r="Z1399" s="664"/>
      <c r="AA1399" s="665"/>
      <c r="AB1399" s="666"/>
      <c r="AC1399" s="801" t="s">
        <v>4383</v>
      </c>
      <c r="AD1399" s="667">
        <v>301</v>
      </c>
      <c r="AE1399" s="667">
        <v>5</v>
      </c>
      <c r="AF1399" s="667">
        <v>302</v>
      </c>
      <c r="AG1399" s="668">
        <v>5</v>
      </c>
      <c r="AH1399" s="667"/>
      <c r="AI1399" s="668"/>
      <c r="AN1399" s="547"/>
      <c r="AO1399" s="829" t="str">
        <f t="shared" si="304"/>
        <v>Yes</v>
      </c>
      <c r="AP1399" s="259" t="str">
        <f t="shared" si="305"/>
        <v>NOV 23</v>
      </c>
      <c r="AQ1399" s="547" t="str">
        <f t="shared" si="306"/>
        <v>有定金+有預留客戶</v>
      </c>
      <c r="AR1399" s="259" t="str">
        <f t="shared" si="307"/>
        <v>Shipped_Stock</v>
      </c>
      <c r="AS1399" s="259" t="str">
        <f t="shared" si="308"/>
        <v/>
      </c>
      <c r="AT1399" s="259" t="str">
        <f t="shared" si="309"/>
        <v>万赢丰</v>
      </c>
      <c r="AU1399" s="259" t="str">
        <f t="shared" si="310"/>
        <v>C49SZX20230091SX</v>
      </c>
      <c r="AV1399" s="259" t="str">
        <f t="shared" si="311"/>
        <v>Nov-07</v>
      </c>
    </row>
    <row r="1400" spans="1:48" hidden="1">
      <c r="A1400" s="604">
        <v>1716</v>
      </c>
      <c r="B1400" s="669" t="s">
        <v>1125</v>
      </c>
      <c r="C1400" s="568" t="s">
        <v>4056</v>
      </c>
      <c r="D1400" s="695" t="s">
        <v>2681</v>
      </c>
      <c r="E1400" s="800" t="s">
        <v>2682</v>
      </c>
      <c r="F1400" s="652" t="s">
        <v>201</v>
      </c>
      <c r="G1400" s="652" t="s">
        <v>24</v>
      </c>
      <c r="H1400" s="652" t="s">
        <v>26</v>
      </c>
      <c r="I1400" s="580" t="s">
        <v>2683</v>
      </c>
      <c r="J1400" s="580">
        <v>1</v>
      </c>
      <c r="K1400" s="652"/>
      <c r="L1400" s="570" t="s">
        <v>2684</v>
      </c>
      <c r="M1400" s="670"/>
      <c r="N1400" s="652" t="s">
        <v>205</v>
      </c>
      <c r="O1400" s="580"/>
      <c r="P1400" s="670" t="str">
        <f>VLOOKUP(A1400,'[1]Raw data'!$B:$BA,23,FALSE)</f>
        <v>RMB</v>
      </c>
      <c r="Q1400" s="652" t="str">
        <f>VLOOKUP(A1400,'[1]Raw data'!$B:$Z,2,FALSE)</f>
        <v>C49SZX20220088SX</v>
      </c>
      <c r="R1400" s="652" t="str">
        <f>VLOOKUP(A1400,'[1]Raw data'!$B:$Z,3,FALSE)</f>
        <v>安林</v>
      </c>
      <c r="S1400" s="652" t="str">
        <f>VLOOKUP(A1400,'[1]Raw data'!$B:$Z,4,FALSE)</f>
        <v>YSi-V</v>
      </c>
      <c r="T1400" s="652" t="str">
        <f>VLOOKUP(A1400,'[1]Raw data'!$B:$Z,8,FALSE)</f>
        <v>L-&gt;R</v>
      </c>
      <c r="U1400" s="652" t="str">
        <f>VLOOKUP(A1400,'[1]Raw data'!$B:$Z,9,FALSE)</f>
        <v>No</v>
      </c>
      <c r="V1400" s="572" t="str">
        <f t="shared" si="319"/>
        <v>OK</v>
      </c>
      <c r="W1400" s="568" t="str">
        <f>VLOOKUP(A1400,'[1]Raw data'!$B:$AG,32,FALSE)</f>
        <v>DDP SZ</v>
      </c>
      <c r="X1400" s="652">
        <f>VLOOKUP(A1400,'[1]Raw data'!$B:$BA,31,FALSE)</f>
        <v>44783</v>
      </c>
      <c r="Y1400" s="652" t="str">
        <f>VLOOKUP(A1400,'[1]Raw data'!$B:$AS,39,FALSE)</f>
        <v>Yes</v>
      </c>
      <c r="Z1400" s="671"/>
      <c r="AA1400" s="665"/>
      <c r="AB1400" s="666"/>
      <c r="AC1400" s="652" t="s">
        <v>287</v>
      </c>
      <c r="AD1400" s="580"/>
      <c r="AE1400" s="580"/>
      <c r="AF1400" s="580"/>
      <c r="AG1400" s="684"/>
      <c r="AH1400" s="580"/>
      <c r="AI1400" s="684"/>
      <c r="AJ1400" s="569"/>
      <c r="AK1400" s="569"/>
      <c r="AL1400" s="569"/>
      <c r="AM1400" s="569"/>
      <c r="AN1400" s="619"/>
      <c r="AO1400" s="829" t="str">
        <f t="shared" si="304"/>
        <v>Yes</v>
      </c>
      <c r="AP1400" s="259" t="str">
        <f t="shared" si="305"/>
        <v>OCT 22</v>
      </c>
      <c r="AQ1400" s="547" t="str">
        <f t="shared" si="306"/>
        <v>有定金+有預留客戶</v>
      </c>
      <c r="AR1400" s="259" t="str">
        <f t="shared" si="307"/>
        <v>Shipped_Stock</v>
      </c>
      <c r="AS1400" s="259" t="str">
        <f t="shared" si="308"/>
        <v/>
      </c>
      <c r="AT1400" s="259" t="str">
        <f t="shared" si="309"/>
        <v>安林</v>
      </c>
      <c r="AU1400" s="259" t="str">
        <f t="shared" si="310"/>
        <v>C49SZX20220088SX</v>
      </c>
      <c r="AV1400" s="259" t="str">
        <f t="shared" si="311"/>
        <v>2022-10-24,上海港</v>
      </c>
    </row>
    <row r="1401" spans="1:48" hidden="1">
      <c r="A1401" s="604"/>
      <c r="B1401" s="669" t="s">
        <v>1125</v>
      </c>
      <c r="C1401" s="568" t="s">
        <v>4056</v>
      </c>
      <c r="D1401" s="650" t="s">
        <v>2681</v>
      </c>
      <c r="E1401" s="800" t="s">
        <v>2682</v>
      </c>
      <c r="F1401" s="652" t="s">
        <v>201</v>
      </c>
      <c r="G1401" s="652" t="s">
        <v>24</v>
      </c>
      <c r="H1401" s="652" t="s">
        <v>26</v>
      </c>
      <c r="I1401" s="580" t="s">
        <v>2685</v>
      </c>
      <c r="J1401" s="580">
        <v>1</v>
      </c>
      <c r="K1401" s="652"/>
      <c r="L1401" s="570" t="s">
        <v>2684</v>
      </c>
      <c r="M1401" s="670"/>
      <c r="N1401" s="652"/>
      <c r="O1401" s="580"/>
      <c r="P1401" s="670" t="s">
        <v>1246</v>
      </c>
      <c r="Q1401" s="786" t="s">
        <v>2686</v>
      </c>
      <c r="R1401" s="786" t="s">
        <v>2686</v>
      </c>
      <c r="S1401" s="652" t="s">
        <v>2687</v>
      </c>
      <c r="T1401" s="652" t="s">
        <v>2688</v>
      </c>
      <c r="U1401" s="652" t="s">
        <v>307</v>
      </c>
      <c r="V1401" s="572" t="s">
        <v>2689</v>
      </c>
      <c r="W1401" s="568" t="e">
        <f>VLOOKUP(A1401,'[1]Raw data'!$B:$AG,32,FALSE)</f>
        <v>#N/A</v>
      </c>
      <c r="X1401" s="652" t="e">
        <f>VLOOKUP(A1401,'[1]Raw data'!$B:$BA,31,FALSE)</f>
        <v>#N/A</v>
      </c>
      <c r="Y1401" s="652" t="e">
        <f>VLOOKUP(A1401,'[1]Raw data'!$B:$AS,39,FALSE)</f>
        <v>#N/A</v>
      </c>
      <c r="Z1401" s="671"/>
      <c r="AA1401" s="665"/>
      <c r="AB1401" s="666"/>
      <c r="AC1401" s="786" t="s">
        <v>2690</v>
      </c>
      <c r="AD1401" s="580"/>
      <c r="AE1401" s="580"/>
      <c r="AF1401" s="580"/>
      <c r="AG1401" s="684"/>
      <c r="AH1401" s="580"/>
      <c r="AI1401" s="684"/>
      <c r="AJ1401" s="569"/>
      <c r="AK1401" s="569"/>
      <c r="AL1401" s="569"/>
      <c r="AM1401" s="569"/>
      <c r="AN1401" s="619"/>
      <c r="AO1401" s="829" t="str">
        <f t="shared" si="304"/>
        <v>No</v>
      </c>
      <c r="AP1401" s="259" t="str">
        <f t="shared" si="305"/>
        <v>blank</v>
      </c>
      <c r="AQ1401" s="547" t="str">
        <f t="shared" si="306"/>
        <v>无定金+无預留客戶</v>
      </c>
      <c r="AR1401" s="259" t="str">
        <f t="shared" si="307"/>
        <v>Shipped_Stock</v>
      </c>
      <c r="AS1401" s="259" t="str">
        <f t="shared" si="308"/>
        <v/>
      </c>
      <c r="AT1401" s="259" t="str">
        <f t="shared" si="309"/>
        <v>留给上海做STK，有客户要</v>
      </c>
      <c r="AU1401" s="259" t="str">
        <f t="shared" si="310"/>
        <v>留给上海做STK，有客户要</v>
      </c>
      <c r="AV1401" s="259" t="str">
        <f t="shared" si="311"/>
        <v>2022-10-24,上海港</v>
      </c>
    </row>
    <row r="1402" spans="1:48" hidden="1">
      <c r="A1402" s="604">
        <v>1767</v>
      </c>
      <c r="B1402" s="669" t="s">
        <v>1125</v>
      </c>
      <c r="C1402" s="669" t="s">
        <v>15</v>
      </c>
      <c r="D1402" s="650" t="s">
        <v>2691</v>
      </c>
      <c r="E1402" s="761" t="s">
        <v>1564</v>
      </c>
      <c r="F1402" s="652" t="s">
        <v>149</v>
      </c>
      <c r="G1402" s="652" t="s">
        <v>24</v>
      </c>
      <c r="H1402" s="652" t="s">
        <v>26</v>
      </c>
      <c r="I1402" s="580" t="s">
        <v>2692</v>
      </c>
      <c r="J1402" s="580">
        <v>1</v>
      </c>
      <c r="K1402" s="652" t="s">
        <v>1806</v>
      </c>
      <c r="L1402" s="764" t="s">
        <v>3987</v>
      </c>
      <c r="M1402" s="670" t="s">
        <v>1807</v>
      </c>
      <c r="N1402" s="652" t="s">
        <v>220</v>
      </c>
      <c r="O1402" s="580">
        <v>2021.8</v>
      </c>
      <c r="P1402" s="670" t="str">
        <f>VLOOKUP(A1402,'[1]Raw data'!$B:$BA,23,FALSE)</f>
        <v>RMB</v>
      </c>
      <c r="Q1402" s="652" t="str">
        <f>VLOOKUP(A1402,'[1]Raw data'!$B:$Z,2,FALSE)</f>
        <v>C49SZX20220110SS</v>
      </c>
      <c r="R1402" s="652" t="str">
        <f>VLOOKUP(A1402,'[1]Raw data'!$B:$Z,3,FALSE)</f>
        <v>龙大光电</v>
      </c>
      <c r="S1402" s="652" t="str">
        <f>VLOOKUP(A1402,'[1]Raw data'!$B:$Z,4,FALSE)</f>
        <v>YSM40R-4</v>
      </c>
      <c r="T1402" s="652" t="str">
        <f>VLOOKUP(A1402,'[1]Raw data'!$B:$Z,8,FALSE)</f>
        <v>L-&gt;R</v>
      </c>
      <c r="U1402" s="652" t="str">
        <f>VLOOKUP(A1402,'[1]Raw data'!$B:$Z,9,FALSE)</f>
        <v>No</v>
      </c>
      <c r="V1402" s="572" t="str">
        <f t="shared" ref="V1402" si="320">IF(G1402&amp;H1402=T1402&amp;U1402,"OK","WRONG")</f>
        <v>OK</v>
      </c>
      <c r="W1402" s="568" t="str">
        <f>VLOOKUP(A1402,'[1]Raw data'!$B:$AG,32,FALSE)</f>
        <v>DDP SZ</v>
      </c>
      <c r="X1402" s="652">
        <f>VLOOKUP(A1402,'[1]Raw data'!$B:$BA,31,FALSE)</f>
        <v>44901</v>
      </c>
      <c r="Y1402" s="652" t="str">
        <f>VLOOKUP(A1402,'[1]Raw data'!$B:$AS,39,FALSE)</f>
        <v>Yes</v>
      </c>
      <c r="Z1402" s="671"/>
      <c r="AA1402" s="665"/>
      <c r="AB1402" s="666"/>
      <c r="AC1402" s="652" t="s">
        <v>1951</v>
      </c>
      <c r="AD1402" s="580"/>
      <c r="AE1402" s="580"/>
      <c r="AF1402" s="580"/>
      <c r="AG1402" s="580"/>
      <c r="AH1402" s="580"/>
      <c r="AI1402" s="684"/>
      <c r="AJ1402" s="569"/>
      <c r="AK1402" s="569"/>
      <c r="AL1402" s="569"/>
      <c r="AM1402" s="569"/>
      <c r="AN1402" s="619"/>
      <c r="AO1402" s="829" t="str">
        <f t="shared" si="304"/>
        <v>Yes</v>
      </c>
      <c r="AP1402" s="259" t="str">
        <f t="shared" si="305"/>
        <v>DEC 22</v>
      </c>
      <c r="AQ1402" s="547" t="str">
        <f t="shared" si="306"/>
        <v>有定金+有預留客戶</v>
      </c>
      <c r="AR1402" s="259" t="str">
        <f t="shared" si="307"/>
        <v>Shipped_Stock</v>
      </c>
      <c r="AS1402" s="259" t="str">
        <f t="shared" si="308"/>
        <v/>
      </c>
      <c r="AT1402" s="259" t="str">
        <f t="shared" si="309"/>
        <v>龙大光电</v>
      </c>
      <c r="AU1402" s="259" t="str">
        <f t="shared" si="310"/>
        <v>C49SZX20220110SS</v>
      </c>
      <c r="AV1402" s="259" t="str">
        <f t="shared" si="311"/>
        <v>2022-8-9Yamaha 仓库</v>
      </c>
    </row>
    <row r="1403" spans="1:48" hidden="1">
      <c r="A1403" s="604">
        <v>1768</v>
      </c>
      <c r="B1403" s="669" t="s">
        <v>1125</v>
      </c>
      <c r="C1403" s="669" t="s">
        <v>15</v>
      </c>
      <c r="D1403" s="650" t="s">
        <v>2691</v>
      </c>
      <c r="E1403" s="761" t="s">
        <v>1564</v>
      </c>
      <c r="F1403" s="652" t="s">
        <v>149</v>
      </c>
      <c r="G1403" s="652" t="s">
        <v>24</v>
      </c>
      <c r="H1403" s="652" t="s">
        <v>26</v>
      </c>
      <c r="I1403" s="580" t="s">
        <v>2693</v>
      </c>
      <c r="J1403" s="580">
        <v>1</v>
      </c>
      <c r="K1403" s="652" t="s">
        <v>1806</v>
      </c>
      <c r="L1403" s="764" t="s">
        <v>3987</v>
      </c>
      <c r="M1403" s="670" t="s">
        <v>1807</v>
      </c>
      <c r="N1403" s="652" t="s">
        <v>220</v>
      </c>
      <c r="O1403" s="580"/>
      <c r="P1403" s="670" t="str">
        <f>VLOOKUP(A1403,'[1]Raw data'!$B:$BA,23,FALSE)</f>
        <v>RMB</v>
      </c>
      <c r="Q1403" s="652" t="str">
        <f>VLOOKUP(A1403,'[1]Raw data'!$B:$Z,2,FALSE)</f>
        <v>C49SZX20220110SS</v>
      </c>
      <c r="R1403" s="652" t="str">
        <f>VLOOKUP(A1403,'[1]Raw data'!$B:$Z,3,FALSE)</f>
        <v>龙大光电</v>
      </c>
      <c r="S1403" s="652" t="str">
        <f>VLOOKUP(A1403,'[1]Raw data'!$B:$Z,4,FALSE)</f>
        <v>YSM40R-4</v>
      </c>
      <c r="T1403" s="652" t="str">
        <f>VLOOKUP(A1403,'[1]Raw data'!$B:$Z,8,FALSE)</f>
        <v>L-&gt;R</v>
      </c>
      <c r="U1403" s="652" t="str">
        <f>VLOOKUP(A1403,'[1]Raw data'!$B:$Z,9,FALSE)</f>
        <v>No</v>
      </c>
      <c r="V1403" s="572" t="str">
        <f>IF(G1403&amp;H1403=T1403&amp;U1403,"OK","WRONG")</f>
        <v>OK</v>
      </c>
      <c r="W1403" s="568" t="str">
        <f>VLOOKUP(A1403,'[1]Raw data'!$B:$AG,32,FALSE)</f>
        <v>DDP SZ</v>
      </c>
      <c r="X1403" s="652">
        <f>VLOOKUP(A1403,'[1]Raw data'!$B:$BA,31,FALSE)</f>
        <v>44901</v>
      </c>
      <c r="Y1403" s="652" t="str">
        <f>VLOOKUP(A1403,'[1]Raw data'!$B:$AS,39,FALSE)</f>
        <v>Yes</v>
      </c>
      <c r="Z1403" s="671"/>
      <c r="AA1403" s="665"/>
      <c r="AB1403" s="666"/>
      <c r="AC1403" s="652" t="s">
        <v>1951</v>
      </c>
      <c r="AD1403" s="580"/>
      <c r="AE1403" s="580"/>
      <c r="AF1403" s="580"/>
      <c r="AG1403" s="580"/>
      <c r="AH1403" s="580"/>
      <c r="AI1403" s="684"/>
      <c r="AJ1403" s="569"/>
      <c r="AK1403" s="569"/>
      <c r="AL1403" s="569"/>
      <c r="AM1403" s="569"/>
      <c r="AN1403" s="619"/>
      <c r="AO1403" s="829" t="str">
        <f t="shared" si="304"/>
        <v>Yes</v>
      </c>
      <c r="AP1403" s="259" t="str">
        <f t="shared" si="305"/>
        <v>DEC 22</v>
      </c>
      <c r="AQ1403" s="547" t="str">
        <f t="shared" si="306"/>
        <v>有定金+有預留客戶</v>
      </c>
      <c r="AR1403" s="259" t="str">
        <f t="shared" si="307"/>
        <v>Shipped_Stock</v>
      </c>
      <c r="AS1403" s="259" t="str">
        <f t="shared" si="308"/>
        <v/>
      </c>
      <c r="AT1403" s="259" t="str">
        <f t="shared" si="309"/>
        <v>龙大光电</v>
      </c>
      <c r="AU1403" s="259" t="str">
        <f t="shared" si="310"/>
        <v>C49SZX20220110SS</v>
      </c>
      <c r="AV1403" s="259" t="str">
        <f t="shared" si="311"/>
        <v>2022-8-9Yamaha 仓库</v>
      </c>
    </row>
    <row r="1404" spans="1:48" hidden="1">
      <c r="A1404" s="604">
        <v>1769</v>
      </c>
      <c r="B1404" s="669" t="s">
        <v>1125</v>
      </c>
      <c r="C1404" s="669" t="s">
        <v>15</v>
      </c>
      <c r="D1404" s="650" t="s">
        <v>2691</v>
      </c>
      <c r="E1404" s="761" t="s">
        <v>1564</v>
      </c>
      <c r="F1404" s="652" t="s">
        <v>149</v>
      </c>
      <c r="G1404" s="652" t="s">
        <v>24</v>
      </c>
      <c r="H1404" s="652" t="s">
        <v>26</v>
      </c>
      <c r="I1404" s="580" t="s">
        <v>2694</v>
      </c>
      <c r="J1404" s="580">
        <v>1</v>
      </c>
      <c r="K1404" s="652" t="s">
        <v>1806</v>
      </c>
      <c r="L1404" s="764" t="s">
        <v>3987</v>
      </c>
      <c r="M1404" s="670" t="s">
        <v>1807</v>
      </c>
      <c r="N1404" s="652" t="s">
        <v>220</v>
      </c>
      <c r="O1404" s="580"/>
      <c r="P1404" s="670" t="str">
        <f>VLOOKUP(A1404,'[1]Raw data'!$B:$BA,23,FALSE)</f>
        <v>RMB</v>
      </c>
      <c r="Q1404" s="652" t="str">
        <f>VLOOKUP(A1404,'[1]Raw data'!$B:$Z,2,FALSE)</f>
        <v>C49SZX20220110SS</v>
      </c>
      <c r="R1404" s="652" t="str">
        <f>VLOOKUP(A1404,'[1]Raw data'!$B:$Z,3,FALSE)</f>
        <v>龙大光电</v>
      </c>
      <c r="S1404" s="652" t="str">
        <f>VLOOKUP(A1404,'[1]Raw data'!$B:$Z,4,FALSE)</f>
        <v>YSM40R-4</v>
      </c>
      <c r="T1404" s="652" t="str">
        <f>VLOOKUP(A1404,'[1]Raw data'!$B:$Z,8,FALSE)</f>
        <v>L-&gt;R</v>
      </c>
      <c r="U1404" s="652" t="str">
        <f>VLOOKUP(A1404,'[1]Raw data'!$B:$Z,9,FALSE)</f>
        <v>No</v>
      </c>
      <c r="V1404" s="572" t="str">
        <f>IF(G1404&amp;H1404=T1404&amp;U1404,"OK","WRONG")</f>
        <v>OK</v>
      </c>
      <c r="W1404" s="568" t="str">
        <f>VLOOKUP(A1404,'[1]Raw data'!$B:$AG,32,FALSE)</f>
        <v>DDP SZ</v>
      </c>
      <c r="X1404" s="652">
        <f>VLOOKUP(A1404,'[1]Raw data'!$B:$BA,31,FALSE)</f>
        <v>44901</v>
      </c>
      <c r="Y1404" s="652" t="str">
        <f>VLOOKUP(A1404,'[1]Raw data'!$B:$AS,39,FALSE)</f>
        <v>Yes</v>
      </c>
      <c r="Z1404" s="671"/>
      <c r="AA1404" s="665"/>
      <c r="AB1404" s="666"/>
      <c r="AC1404" s="652" t="s">
        <v>1951</v>
      </c>
      <c r="AD1404" s="580"/>
      <c r="AE1404" s="580"/>
      <c r="AF1404" s="580"/>
      <c r="AG1404" s="580"/>
      <c r="AH1404" s="580"/>
      <c r="AI1404" s="684"/>
      <c r="AJ1404" s="569"/>
      <c r="AK1404" s="569"/>
      <c r="AL1404" s="569"/>
      <c r="AM1404" s="569"/>
      <c r="AN1404" s="619"/>
      <c r="AO1404" s="829" t="str">
        <f t="shared" si="304"/>
        <v>Yes</v>
      </c>
      <c r="AP1404" s="259" t="str">
        <f t="shared" si="305"/>
        <v>DEC 22</v>
      </c>
      <c r="AQ1404" s="547" t="str">
        <f t="shared" si="306"/>
        <v>有定金+有預留客戶</v>
      </c>
      <c r="AR1404" s="259" t="str">
        <f t="shared" si="307"/>
        <v>Shipped_Stock</v>
      </c>
      <c r="AS1404" s="259" t="str">
        <f t="shared" si="308"/>
        <v/>
      </c>
      <c r="AT1404" s="259" t="str">
        <f t="shared" si="309"/>
        <v>龙大光电</v>
      </c>
      <c r="AU1404" s="259" t="str">
        <f t="shared" si="310"/>
        <v>C49SZX20220110SS</v>
      </c>
      <c r="AV1404" s="259" t="str">
        <f t="shared" si="311"/>
        <v>2022-8-9Yamaha 仓库</v>
      </c>
    </row>
    <row r="1405" spans="1:48" hidden="1">
      <c r="A1405" s="604">
        <v>1841</v>
      </c>
      <c r="B1405" s="669" t="s">
        <v>1125</v>
      </c>
      <c r="C1405" s="669" t="s">
        <v>15</v>
      </c>
      <c r="D1405" s="650">
        <v>111131</v>
      </c>
      <c r="E1405" s="741" t="s">
        <v>2695</v>
      </c>
      <c r="F1405" s="652" t="s">
        <v>17</v>
      </c>
      <c r="G1405" s="652" t="s">
        <v>18</v>
      </c>
      <c r="H1405" s="652" t="s">
        <v>27</v>
      </c>
      <c r="I1405" s="580" t="s">
        <v>2696</v>
      </c>
      <c r="J1405" s="580">
        <v>1</v>
      </c>
      <c r="K1405" s="652" t="s">
        <v>1732</v>
      </c>
      <c r="L1405" s="662">
        <v>44960</v>
      </c>
      <c r="M1405" s="670"/>
      <c r="N1405" s="652" t="s">
        <v>216</v>
      </c>
      <c r="O1405" s="580">
        <v>2023.1</v>
      </c>
      <c r="P1405" s="670" t="str">
        <f>VLOOKUP(A1405,'[1]Raw data'!$B:$BA,23,FALSE)</f>
        <v>USD</v>
      </c>
      <c r="Q1405" s="652" t="str">
        <f>VLOOKUP(A1405,'[1]Raw data'!$B:$Z,2,FALSE)</f>
        <v>SUESE#001/23</v>
      </c>
      <c r="R1405" s="652" t="str">
        <f>VLOOKUP(A1405,'[1]Raw data'!$B:$Z,3,FALSE)</f>
        <v>SUPERIOR丰卓</v>
      </c>
      <c r="S1405" s="652" t="str">
        <f>VLOOKUP(A1405,'[1]Raw data'!$B:$Z,4,FALSE)</f>
        <v>YSM10</v>
      </c>
      <c r="T1405" s="652" t="str">
        <f>VLOOKUP(A1405,'[1]Raw data'!$B:$Z,8,FALSE)</f>
        <v>L-&gt;R</v>
      </c>
      <c r="U1405" s="652" t="str">
        <f>VLOOKUP(A1405,'[1]Raw data'!$B:$Z,9,FALSE)</f>
        <v>No</v>
      </c>
      <c r="V1405" s="572" t="str">
        <f t="shared" ref="V1405:V1427" si="321">IF(G1405&amp;H1405=T1405&amp;U1405,"OK","WRONG")</f>
        <v>WRONG</v>
      </c>
      <c r="W1405" s="568" t="str">
        <f>VLOOKUP(A1405,'[1]Raw data'!$B:$AG,32,FALSE)</f>
        <v>CIF Vietnam</v>
      </c>
      <c r="X1405" s="652">
        <f>VLOOKUP(A1405,'[1]Raw data'!$B:$BA,31,FALSE)</f>
        <v>44978</v>
      </c>
      <c r="Y1405" s="652" t="str">
        <f>VLOOKUP(A1405,'[1]Raw data'!$B:$AS,39,FALSE)</f>
        <v>Yes</v>
      </c>
      <c r="Z1405" s="664"/>
      <c r="AA1405" s="665"/>
      <c r="AB1405" s="666"/>
      <c r="AC1405" s="786" t="s">
        <v>3900</v>
      </c>
      <c r="AD1405" s="580">
        <v>301</v>
      </c>
      <c r="AE1405" s="580">
        <v>10</v>
      </c>
      <c r="AF1405" s="580"/>
      <c r="AG1405" s="580"/>
      <c r="AH1405" s="580"/>
      <c r="AI1405" s="684"/>
      <c r="AJ1405" s="569"/>
      <c r="AK1405" s="569"/>
      <c r="AL1405" s="569"/>
      <c r="AM1405" s="569"/>
      <c r="AN1405" s="619"/>
      <c r="AO1405" s="829" t="str">
        <f t="shared" si="304"/>
        <v>Yes</v>
      </c>
      <c r="AP1405" s="259" t="str">
        <f t="shared" si="305"/>
        <v>MAR 23</v>
      </c>
      <c r="AQ1405" s="547" t="str">
        <f t="shared" si="306"/>
        <v>有定金+有預留客戶</v>
      </c>
      <c r="AR1405" s="259" t="str">
        <f t="shared" si="307"/>
        <v>Shipped_Stock</v>
      </c>
      <c r="AS1405" s="259" t="str">
        <f t="shared" si="308"/>
        <v/>
      </c>
      <c r="AT1405" s="259" t="str">
        <f t="shared" si="309"/>
        <v>SUPERIOR丰卓</v>
      </c>
      <c r="AU1405" s="259" t="str">
        <f t="shared" si="310"/>
        <v>SUESE#001/23</v>
      </c>
      <c r="AV1405" s="259" t="str">
        <f t="shared" si="311"/>
        <v>Feb-03</v>
      </c>
    </row>
    <row r="1406" spans="1:48" ht="22.5" hidden="1">
      <c r="A1406" s="564">
        <v>2003</v>
      </c>
      <c r="B1406" s="669" t="s">
        <v>1125</v>
      </c>
      <c r="C1406" s="669" t="s">
        <v>15</v>
      </c>
      <c r="D1406" s="650">
        <v>111131</v>
      </c>
      <c r="E1406" s="741" t="s">
        <v>2695</v>
      </c>
      <c r="F1406" s="652" t="s">
        <v>17</v>
      </c>
      <c r="G1406" s="652" t="s">
        <v>18</v>
      </c>
      <c r="H1406" s="652" t="s">
        <v>27</v>
      </c>
      <c r="I1406" s="580" t="s">
        <v>2697</v>
      </c>
      <c r="J1406" s="580">
        <v>1</v>
      </c>
      <c r="K1406" s="652" t="s">
        <v>4099</v>
      </c>
      <c r="L1406" s="662">
        <v>44960</v>
      </c>
      <c r="M1406" s="670" t="s">
        <v>3903</v>
      </c>
      <c r="N1406" s="652" t="s">
        <v>4344</v>
      </c>
      <c r="O1406" s="580">
        <v>2023.1</v>
      </c>
      <c r="P1406" s="670" t="str">
        <f>VLOOKUP(A1406,'[1]Raw data'!$B:$BA,23,FALSE)</f>
        <v>JPY</v>
      </c>
      <c r="Q1406" s="652" t="str">
        <f>VLOOKUP(A1406,'[1]Raw data'!$B:$Z,2,FALSE)</f>
        <v>C49SZX20230120SX</v>
      </c>
      <c r="R1406" s="652" t="str">
        <f>VLOOKUP(A1406,'[1]Raw data'!$B:$Z,3,FALSE)</f>
        <v>锐诚</v>
      </c>
      <c r="S1406" s="652" t="str">
        <f>VLOOKUP(A1406,'[1]Raw data'!$B:$Z,4,FALSE)</f>
        <v>YSM10</v>
      </c>
      <c r="T1406" s="652" t="str">
        <f>VLOOKUP(A1406,'[1]Raw data'!$B:$Z,8,FALSE)</f>
        <v>L-&gt;R</v>
      </c>
      <c r="U1406" s="652" t="str">
        <f>VLOOKUP(A1406,'[1]Raw data'!$B:$Z,9,FALSE)</f>
        <v>MVC</v>
      </c>
      <c r="V1406" s="572" t="str">
        <f t="shared" si="321"/>
        <v>WRONG</v>
      </c>
      <c r="W1406" s="568" t="str">
        <f>VLOOKUP(A1406,'[1]Raw data'!$B:$AG,32,FALSE)</f>
        <v>DAP HZ</v>
      </c>
      <c r="X1406" s="662">
        <f>VLOOKUP(A1406,'[1]Raw data'!$B:$BA,31,FALSE)</f>
        <v>45236</v>
      </c>
      <c r="Y1406" s="652" t="str">
        <f>VLOOKUP(A1406,'[1]Raw data'!$B:$AS,39,FALSE)</f>
        <v>Yes</v>
      </c>
      <c r="Z1406" s="664"/>
      <c r="AA1406" s="665"/>
      <c r="AB1406" s="666"/>
      <c r="AC1406" s="652" t="s">
        <v>2518</v>
      </c>
      <c r="AD1406" s="667">
        <v>301</v>
      </c>
      <c r="AE1406" s="667">
        <v>5</v>
      </c>
      <c r="AF1406" s="667">
        <v>307</v>
      </c>
      <c r="AG1406" s="667">
        <v>5</v>
      </c>
      <c r="AH1406" s="667"/>
      <c r="AI1406" s="668"/>
      <c r="AN1406" s="547"/>
      <c r="AO1406" s="829" t="str">
        <f t="shared" si="304"/>
        <v>Yes</v>
      </c>
      <c r="AP1406" s="259" t="str">
        <f t="shared" si="305"/>
        <v>NOV 23</v>
      </c>
      <c r="AQ1406" s="547" t="str">
        <f t="shared" si="306"/>
        <v>有定金+有預留客戶</v>
      </c>
      <c r="AR1406" s="259" t="str">
        <f t="shared" si="307"/>
        <v>Shipped_Stock</v>
      </c>
      <c r="AS1406" s="259" t="str">
        <f t="shared" si="308"/>
        <v/>
      </c>
      <c r="AT1406" s="259" t="str">
        <f t="shared" si="309"/>
        <v>锐诚</v>
      </c>
      <c r="AU1406" s="259" t="str">
        <f t="shared" si="310"/>
        <v>C49SZX20230120SX</v>
      </c>
      <c r="AV1406" s="259" t="str">
        <f t="shared" si="311"/>
        <v>Feb-03</v>
      </c>
    </row>
    <row r="1407" spans="1:48" hidden="1">
      <c r="A1407" s="604">
        <v>1919</v>
      </c>
      <c r="B1407" s="669" t="s">
        <v>1125</v>
      </c>
      <c r="C1407" s="669" t="s">
        <v>15</v>
      </c>
      <c r="D1407" s="650">
        <v>111131</v>
      </c>
      <c r="E1407" s="741" t="s">
        <v>2695</v>
      </c>
      <c r="F1407" s="652" t="s">
        <v>17</v>
      </c>
      <c r="G1407" s="652" t="s">
        <v>18</v>
      </c>
      <c r="H1407" s="652" t="s">
        <v>34</v>
      </c>
      <c r="I1407" s="580" t="s">
        <v>2698</v>
      </c>
      <c r="J1407" s="580">
        <v>1</v>
      </c>
      <c r="K1407" s="652" t="s">
        <v>1419</v>
      </c>
      <c r="L1407" s="662">
        <v>44960</v>
      </c>
      <c r="M1407" s="670">
        <v>5.2999999999999999E-2</v>
      </c>
      <c r="N1407" s="652" t="s">
        <v>3992</v>
      </c>
      <c r="O1407" s="580">
        <v>2023.1</v>
      </c>
      <c r="P1407" s="670" t="str">
        <f>VLOOKUP(A1407,'[1]Raw data'!$B:$BA,23,FALSE)</f>
        <v>RMB</v>
      </c>
      <c r="Q1407" s="652" t="str">
        <f>VLOOKUP(A1407,'[1]Raw data'!$B:$Z,2,FALSE)</f>
        <v>C49SZX20230066JL/HJD23050525</v>
      </c>
      <c r="R1407" s="652" t="str">
        <f>VLOOKUP(A1407,'[1]Raw data'!$B:$Z,3,FALSE)</f>
        <v>皓吉达</v>
      </c>
      <c r="S1407" s="652" t="str">
        <f>VLOOKUP(A1407,'[1]Raw data'!$B:$Z,4,FALSE)</f>
        <v>YSM10</v>
      </c>
      <c r="T1407" s="652" t="str">
        <f>VLOOKUP(A1407,'[1]Raw data'!$B:$Z,8,FALSE)</f>
        <v>L-&gt;R</v>
      </c>
      <c r="U1407" s="652" t="str">
        <f>VLOOKUP(A1407,'[1]Raw data'!$B:$Z,9,FALSE)</f>
        <v>ATS15</v>
      </c>
      <c r="V1407" s="572" t="str">
        <f t="shared" si="321"/>
        <v>WRONG</v>
      </c>
      <c r="W1407" s="568" t="str">
        <f>VLOOKUP(A1407,'[1]Raw data'!$B:$AG,32,FALSE)</f>
        <v>DDP HY</v>
      </c>
      <c r="X1407" s="652">
        <f>VLOOKUP(A1407,'[1]Raw data'!$B:$BA,31,FALSE)</f>
        <v>45063</v>
      </c>
      <c r="Y1407" s="652" t="str">
        <f>VLOOKUP(A1407,'[1]Raw data'!$B:$AS,39,FALSE)</f>
        <v>Yes</v>
      </c>
      <c r="Z1407" s="664"/>
      <c r="AA1407" s="665"/>
      <c r="AB1407" s="666"/>
      <c r="AC1407" s="652" t="s">
        <v>4022</v>
      </c>
      <c r="AD1407" s="580">
        <v>301</v>
      </c>
      <c r="AE1407" s="580">
        <v>5</v>
      </c>
      <c r="AF1407" s="580">
        <v>302</v>
      </c>
      <c r="AG1407" s="580">
        <v>5</v>
      </c>
      <c r="AH1407" s="580"/>
      <c r="AI1407" s="684"/>
      <c r="AJ1407" s="569"/>
      <c r="AK1407" s="569"/>
      <c r="AL1407" s="569"/>
      <c r="AM1407" s="569"/>
      <c r="AN1407" s="619"/>
      <c r="AO1407" s="829" t="str">
        <f t="shared" si="304"/>
        <v>Yes</v>
      </c>
      <c r="AP1407" s="259" t="str">
        <f t="shared" si="305"/>
        <v>JUN 23</v>
      </c>
      <c r="AQ1407" s="547" t="str">
        <f t="shared" si="306"/>
        <v>有定金+有預留客戶</v>
      </c>
      <c r="AR1407" s="259" t="str">
        <f t="shared" si="307"/>
        <v>Shipped_Stock</v>
      </c>
      <c r="AS1407" s="259" t="str">
        <f t="shared" si="308"/>
        <v/>
      </c>
      <c r="AT1407" s="259" t="str">
        <f t="shared" si="309"/>
        <v>皓吉达</v>
      </c>
      <c r="AU1407" s="259" t="str">
        <f t="shared" si="310"/>
        <v>C49SZX20230066JL/HJD23050525</v>
      </c>
      <c r="AV1407" s="259" t="str">
        <f t="shared" si="311"/>
        <v>Feb-03</v>
      </c>
    </row>
    <row r="1408" spans="1:48" hidden="1">
      <c r="A1408" s="604">
        <v>1840</v>
      </c>
      <c r="B1408" s="669" t="s">
        <v>1125</v>
      </c>
      <c r="C1408" s="669" t="s">
        <v>15</v>
      </c>
      <c r="D1408" s="650">
        <v>111131</v>
      </c>
      <c r="E1408" s="741" t="s">
        <v>2695</v>
      </c>
      <c r="F1408" s="652" t="s">
        <v>17</v>
      </c>
      <c r="G1408" s="652" t="s">
        <v>18</v>
      </c>
      <c r="H1408" s="652" t="s">
        <v>34</v>
      </c>
      <c r="I1408" s="580" t="s">
        <v>2699</v>
      </c>
      <c r="J1408" s="580">
        <v>1</v>
      </c>
      <c r="K1408" s="652" t="s">
        <v>1732</v>
      </c>
      <c r="L1408" s="662">
        <v>44960</v>
      </c>
      <c r="M1408" s="670"/>
      <c r="N1408" s="652" t="s">
        <v>216</v>
      </c>
      <c r="O1408" s="580">
        <v>2023.1</v>
      </c>
      <c r="P1408" s="670" t="str">
        <f>VLOOKUP(A1408,'[1]Raw data'!$B:$BA,23,FALSE)</f>
        <v>USD</v>
      </c>
      <c r="Q1408" s="652" t="str">
        <f>VLOOKUP(A1408,'[1]Raw data'!$B:$Z,2,FALSE)</f>
        <v>SUESE#001/23</v>
      </c>
      <c r="R1408" s="652" t="str">
        <f>VLOOKUP(A1408,'[1]Raw data'!$B:$Z,3,FALSE)</f>
        <v>SUPERIOR丰卓</v>
      </c>
      <c r="S1408" s="652" t="str">
        <f>VLOOKUP(A1408,'[1]Raw data'!$B:$Z,4,FALSE)</f>
        <v>YSM10</v>
      </c>
      <c r="T1408" s="652" t="str">
        <f>VLOOKUP(A1408,'[1]Raw data'!$B:$Z,8,FALSE)</f>
        <v>L-&gt;R</v>
      </c>
      <c r="U1408" s="652" t="str">
        <f>VLOOKUP(A1408,'[1]Raw data'!$B:$Z,9,FALSE)</f>
        <v>MVC+ATS15</v>
      </c>
      <c r="V1408" s="572" t="str">
        <f t="shared" si="321"/>
        <v>WRONG</v>
      </c>
      <c r="W1408" s="568" t="str">
        <f>VLOOKUP(A1408,'[1]Raw data'!$B:$AG,32,FALSE)</f>
        <v>CIF Vietnam</v>
      </c>
      <c r="X1408" s="652">
        <f>VLOOKUP(A1408,'[1]Raw data'!$B:$BA,31,FALSE)</f>
        <v>44978</v>
      </c>
      <c r="Y1408" s="652" t="str">
        <f>VLOOKUP(A1408,'[1]Raw data'!$B:$AS,39,FALSE)</f>
        <v>Yes</v>
      </c>
      <c r="Z1408" s="664"/>
      <c r="AA1408" s="665"/>
      <c r="AB1408" s="666"/>
      <c r="AC1408" s="786" t="s">
        <v>3900</v>
      </c>
      <c r="AD1408" s="580">
        <v>302</v>
      </c>
      <c r="AE1408" s="580">
        <v>5</v>
      </c>
      <c r="AF1408" s="580">
        <v>304</v>
      </c>
      <c r="AG1408" s="580">
        <v>5</v>
      </c>
      <c r="AH1408" s="580"/>
      <c r="AI1408" s="684"/>
      <c r="AJ1408" s="569"/>
      <c r="AK1408" s="569"/>
      <c r="AL1408" s="569"/>
      <c r="AM1408" s="569"/>
      <c r="AN1408" s="619"/>
      <c r="AO1408" s="829" t="str">
        <f t="shared" si="304"/>
        <v>Yes</v>
      </c>
      <c r="AP1408" s="259" t="str">
        <f t="shared" si="305"/>
        <v>MAR 23</v>
      </c>
      <c r="AQ1408" s="547" t="str">
        <f t="shared" si="306"/>
        <v>有定金+有預留客戶</v>
      </c>
      <c r="AR1408" s="259" t="str">
        <f t="shared" si="307"/>
        <v>Shipped_Stock</v>
      </c>
      <c r="AS1408" s="259" t="str">
        <f t="shared" si="308"/>
        <v/>
      </c>
      <c r="AT1408" s="259" t="str">
        <f t="shared" si="309"/>
        <v>SUPERIOR丰卓</v>
      </c>
      <c r="AU1408" s="259" t="str">
        <f t="shared" si="310"/>
        <v>SUESE#001/23</v>
      </c>
      <c r="AV1408" s="259" t="str">
        <f t="shared" si="311"/>
        <v>Feb-03</v>
      </c>
    </row>
    <row r="1409" spans="1:48" hidden="1">
      <c r="A1409" s="564">
        <v>1865</v>
      </c>
      <c r="B1409" s="669" t="s">
        <v>1125</v>
      </c>
      <c r="C1409" s="669" t="s">
        <v>15</v>
      </c>
      <c r="D1409" s="650">
        <v>111131</v>
      </c>
      <c r="E1409" s="741" t="s">
        <v>2695</v>
      </c>
      <c r="F1409" s="652" t="s">
        <v>17</v>
      </c>
      <c r="G1409" s="652" t="s">
        <v>18</v>
      </c>
      <c r="H1409" s="652" t="s">
        <v>34</v>
      </c>
      <c r="I1409" s="580" t="s">
        <v>2700</v>
      </c>
      <c r="J1409" s="580">
        <v>1</v>
      </c>
      <c r="K1409" s="652" t="s">
        <v>1419</v>
      </c>
      <c r="L1409" s="662">
        <v>44960</v>
      </c>
      <c r="M1409" s="670">
        <v>5.2999999999999999E-2</v>
      </c>
      <c r="N1409" s="652" t="s">
        <v>4045</v>
      </c>
      <c r="O1409" s="580">
        <v>2023.1</v>
      </c>
      <c r="P1409" s="670" t="str">
        <f>VLOOKUP(A1409,'[1]Raw data'!$B:$BA,23,FALSE)</f>
        <v>RMB</v>
      </c>
      <c r="Q1409" s="652" t="str">
        <f>VLOOKUP(A1409,'[1]Raw data'!$B:$Z,2,FALSE)</f>
        <v>C49SZX20230035SX</v>
      </c>
      <c r="R1409" s="652" t="str">
        <f>VLOOKUP(A1409,'[1]Raw data'!$B:$Z,3,FALSE)</f>
        <v>博祯</v>
      </c>
      <c r="S1409" s="652" t="str">
        <f>VLOOKUP(A1409,'[1]Raw data'!$B:$Z,4,FALSE)</f>
        <v>YSM10</v>
      </c>
      <c r="T1409" s="652" t="str">
        <f>VLOOKUP(A1409,'[1]Raw data'!$B:$Z,8,FALSE)</f>
        <v>R-&gt;L</v>
      </c>
      <c r="U1409" s="652" t="str">
        <f>VLOOKUP(A1409,'[1]Raw data'!$B:$Z,9,FALSE)</f>
        <v>MVC+ATS15</v>
      </c>
      <c r="V1409" s="572" t="str">
        <f t="shared" si="321"/>
        <v>OK</v>
      </c>
      <c r="W1409" s="568" t="str">
        <f>VLOOKUP(A1409,'[1]Raw data'!$B:$AG,32,FALSE)</f>
        <v>DDP SZ</v>
      </c>
      <c r="X1409" s="662">
        <f>VLOOKUP(A1409,'[1]Raw data'!$B:$BA,31,FALSE)</f>
        <v>44986</v>
      </c>
      <c r="Y1409" s="652" t="str">
        <f>VLOOKUP(A1409,'[1]Raw data'!$B:$AS,39,FALSE)</f>
        <v>Yes</v>
      </c>
      <c r="Z1409" s="664"/>
      <c r="AA1409" s="665"/>
      <c r="AB1409" s="666"/>
      <c r="AC1409" s="652" t="s">
        <v>2478</v>
      </c>
      <c r="AD1409" s="667">
        <v>302</v>
      </c>
      <c r="AE1409" s="667">
        <v>5</v>
      </c>
      <c r="AF1409" s="667">
        <v>304</v>
      </c>
      <c r="AG1409" s="667">
        <v>5</v>
      </c>
      <c r="AH1409" s="667"/>
      <c r="AI1409" s="668"/>
      <c r="AN1409" s="547"/>
      <c r="AO1409" s="829" t="str">
        <f t="shared" si="304"/>
        <v>Yes</v>
      </c>
      <c r="AP1409" s="259" t="str">
        <f t="shared" si="305"/>
        <v>AUG 23</v>
      </c>
      <c r="AQ1409" s="547" t="str">
        <f t="shared" si="306"/>
        <v>有定金+有預留客戶</v>
      </c>
      <c r="AR1409" s="259" t="str">
        <f t="shared" si="307"/>
        <v>Shipped_Stock</v>
      </c>
      <c r="AS1409" s="259" t="str">
        <f t="shared" si="308"/>
        <v/>
      </c>
      <c r="AT1409" s="259" t="str">
        <f t="shared" si="309"/>
        <v>博祯</v>
      </c>
      <c r="AU1409" s="259" t="str">
        <f t="shared" si="310"/>
        <v>C49SZX20230035SX</v>
      </c>
      <c r="AV1409" s="259" t="str">
        <f t="shared" si="311"/>
        <v>Feb-03</v>
      </c>
    </row>
    <row r="1410" spans="1:48" ht="29.25" hidden="1" customHeight="1">
      <c r="A1410" s="564">
        <v>1863</v>
      </c>
      <c r="B1410" s="669" t="s">
        <v>1125</v>
      </c>
      <c r="C1410" s="669" t="s">
        <v>15</v>
      </c>
      <c r="D1410" s="650">
        <v>111131</v>
      </c>
      <c r="E1410" s="741" t="s">
        <v>2695</v>
      </c>
      <c r="F1410" s="652" t="s">
        <v>58</v>
      </c>
      <c r="G1410" s="652" t="s">
        <v>18</v>
      </c>
      <c r="H1410" s="652" t="s">
        <v>26</v>
      </c>
      <c r="I1410" s="580" t="s">
        <v>2701</v>
      </c>
      <c r="J1410" s="580">
        <v>1</v>
      </c>
      <c r="K1410" s="652" t="s">
        <v>4099</v>
      </c>
      <c r="L1410" s="662">
        <v>44960</v>
      </c>
      <c r="M1410" s="670" t="s">
        <v>3913</v>
      </c>
      <c r="N1410" s="652" t="s">
        <v>4045</v>
      </c>
      <c r="O1410" s="580">
        <v>2022.12</v>
      </c>
      <c r="P1410" s="670" t="str">
        <f>VLOOKUP(A1410,'[1]Raw data'!$B:$BA,23,FALSE)</f>
        <v>RMB</v>
      </c>
      <c r="Q1410" s="652" t="str">
        <f>VLOOKUP(A1410,'[1]Raw data'!$B:$Z,2,FALSE)</f>
        <v>C49SZX20230035SX</v>
      </c>
      <c r="R1410" s="652" t="str">
        <f>VLOOKUP(A1410,'[1]Raw data'!$B:$Z,3,FALSE)</f>
        <v>博祯</v>
      </c>
      <c r="S1410" s="652" t="str">
        <f>VLOOKUP(A1410,'[1]Raw data'!$B:$Z,4,FALSE)</f>
        <v>YSM20R-2</v>
      </c>
      <c r="T1410" s="652" t="str">
        <f>VLOOKUP(A1410,'[1]Raw data'!$B:$Z,8,FALSE)</f>
        <v>R-&gt;L</v>
      </c>
      <c r="U1410" s="652" t="str">
        <f>VLOOKUP(A1410,'[1]Raw data'!$B:$Z,9,FALSE)</f>
        <v>No</v>
      </c>
      <c r="V1410" s="572" t="str">
        <f t="shared" si="321"/>
        <v>OK</v>
      </c>
      <c r="W1410" s="568" t="str">
        <f>VLOOKUP(A1410,'[1]Raw data'!$B:$AG,32,FALSE)</f>
        <v>DDP SZ</v>
      </c>
      <c r="X1410" s="662">
        <f>VLOOKUP(A1410,'[1]Raw data'!$B:$BA,31,FALSE)</f>
        <v>44986</v>
      </c>
      <c r="Y1410" s="652" t="str">
        <f>VLOOKUP(A1410,'[1]Raw data'!$B:$AS,39,FALSE)</f>
        <v>Yes</v>
      </c>
      <c r="Z1410" s="664"/>
      <c r="AA1410" s="665"/>
      <c r="AB1410" s="666"/>
      <c r="AC1410" s="652" t="s">
        <v>2478</v>
      </c>
      <c r="AD1410" s="667">
        <v>301</v>
      </c>
      <c r="AE1410" s="667">
        <v>15</v>
      </c>
      <c r="AF1410" s="667">
        <v>311</v>
      </c>
      <c r="AG1410" s="667">
        <v>5</v>
      </c>
      <c r="AH1410" s="667"/>
      <c r="AI1410" s="668"/>
      <c r="AN1410" s="547"/>
      <c r="AO1410" s="829" t="str">
        <f t="shared" si="304"/>
        <v>Yes</v>
      </c>
      <c r="AP1410" s="259" t="str">
        <f t="shared" si="305"/>
        <v>AUG 23</v>
      </c>
      <c r="AQ1410" s="547" t="str">
        <f t="shared" si="306"/>
        <v>有定金+有預留客戶</v>
      </c>
      <c r="AR1410" s="259" t="str">
        <f t="shared" si="307"/>
        <v>Shipped_Stock</v>
      </c>
      <c r="AS1410" s="259" t="str">
        <f t="shared" si="308"/>
        <v/>
      </c>
      <c r="AT1410" s="259" t="str">
        <f t="shared" si="309"/>
        <v>博祯</v>
      </c>
      <c r="AU1410" s="259" t="str">
        <f t="shared" si="310"/>
        <v>C49SZX20230035SX</v>
      </c>
      <c r="AV1410" s="259" t="str">
        <f t="shared" si="311"/>
        <v>Feb-03</v>
      </c>
    </row>
    <row r="1411" spans="1:48" ht="22.5" hidden="1">
      <c r="A1411" s="604">
        <v>1532</v>
      </c>
      <c r="B1411" s="669" t="s">
        <v>1125</v>
      </c>
      <c r="C1411" s="669" t="s">
        <v>15</v>
      </c>
      <c r="D1411" s="650">
        <v>111131</v>
      </c>
      <c r="E1411" s="741" t="s">
        <v>2695</v>
      </c>
      <c r="F1411" s="652" t="s">
        <v>58</v>
      </c>
      <c r="G1411" s="652" t="s">
        <v>18</v>
      </c>
      <c r="H1411" s="652" t="s">
        <v>26</v>
      </c>
      <c r="I1411" s="580" t="s">
        <v>2702</v>
      </c>
      <c r="J1411" s="580">
        <v>1</v>
      </c>
      <c r="K1411" s="652" t="s">
        <v>1732</v>
      </c>
      <c r="L1411" s="662">
        <v>44960</v>
      </c>
      <c r="M1411" s="670" t="s">
        <v>3903</v>
      </c>
      <c r="N1411" s="652" t="s">
        <v>4023</v>
      </c>
      <c r="O1411" s="580">
        <v>2022.12</v>
      </c>
      <c r="P1411" s="670" t="str">
        <f>VLOOKUP(A1411,'[1]Raw data'!$B:$BA,23,FALSE)</f>
        <v>JPY</v>
      </c>
      <c r="Q1411" s="652" t="str">
        <f>VLOOKUP(A1411,'[1]Raw data'!$B:$Z,2,FALSE)</f>
        <v>C49SZX20230088MZ</v>
      </c>
      <c r="R1411" s="652" t="str">
        <f>VLOOKUP(A1411,'[1]Raw data'!$B:$Z,3,FALSE)</f>
        <v>东莞鸿楠</v>
      </c>
      <c r="S1411" s="652" t="str">
        <f>VLOOKUP(A1411,'[1]Raw data'!$B:$Z,4,FALSE)</f>
        <v>YSM20R-2</v>
      </c>
      <c r="T1411" s="652" t="str">
        <f>VLOOKUP(A1411,'[1]Raw data'!$B:$Z,8,FALSE)</f>
        <v>R-&gt;L</v>
      </c>
      <c r="U1411" s="652" t="str">
        <f>VLOOKUP(A1411,'[1]Raw data'!$B:$Z,9,FALSE)</f>
        <v>No</v>
      </c>
      <c r="V1411" s="572" t="str">
        <f t="shared" si="321"/>
        <v>OK</v>
      </c>
      <c r="W1411" s="568" t="str">
        <f>VLOOKUP(A1411,'[1]Raw data'!$B:$AG,32,FALSE)</f>
        <v>CIF  HK</v>
      </c>
      <c r="X1411" s="662">
        <f>VLOOKUP(A1411,'[1]Raw data'!$B:$BA,31,FALSE)</f>
        <v>45127</v>
      </c>
      <c r="Y1411" s="652" t="str">
        <f>VLOOKUP(A1411,'[1]Raw data'!$B:$AS,39,FALSE)</f>
        <v>Yes</v>
      </c>
      <c r="Z1411" s="664"/>
      <c r="AA1411" s="665"/>
      <c r="AB1411" s="666"/>
      <c r="AC1411" s="652" t="s">
        <v>4127</v>
      </c>
      <c r="AD1411" s="580">
        <v>301</v>
      </c>
      <c r="AE1411" s="580">
        <v>15</v>
      </c>
      <c r="AF1411" s="580">
        <v>311</v>
      </c>
      <c r="AG1411" s="580">
        <v>5</v>
      </c>
      <c r="AH1411" s="580"/>
      <c r="AI1411" s="684"/>
      <c r="AJ1411" s="569"/>
      <c r="AK1411" s="569"/>
      <c r="AL1411" s="569"/>
      <c r="AM1411" s="569"/>
      <c r="AN1411" s="619"/>
      <c r="AO1411" s="829" t="str">
        <f t="shared" ref="AO1411:AO1474" si="322">IFERROR(IF(Y1411&lt;&gt;"",Y1411,"No"),"No")</f>
        <v>Yes</v>
      </c>
      <c r="AP1411" s="259" t="str">
        <f t="shared" ref="AP1411:AP1474" si="323">IFERROR(IF(N1411&lt;&gt;"",N1411,"blank"),"NA")</f>
        <v>JUL 23</v>
      </c>
      <c r="AQ1411" s="547" t="str">
        <f t="shared" ref="AQ1411:AQ1474" si="324">IFERROR(IF(AND(AO1411="Yes", AP1411&lt;&gt;"blank"), "有定金+有預留客戶", IF(AND(AO1411="Yes", AP1411="blank"), "有定金+无客戶送貨期", IF(AND(OR(AO1411="No", ISBLANK(AO1411), AO1411="NA"), AP1411&lt;&gt;"blank"), "无定金+有預留客戶", IF(AND(OR(AO1411="No", ISBLANK(AO1411), AO1411="NA"), AP1411="blank"), "无定金+无預留客戶", "")))), "")</f>
        <v>有定金+有預留客戶</v>
      </c>
      <c r="AR1411" s="259" t="str">
        <f t="shared" ref="AR1411:AR1474" si="325">IFERROR(IF(B1411="已经到货", "Instock", IF(B1411="有交期", "Incoming_Stock_With_YAMAHA_Schedule", IF(B1411="TBA.", "Incoming_Stock_No_YAMAHA_Schedule", IF(B1411="已发货", "Shipped_Stock", "")))), "")</f>
        <v>Shipped_Stock</v>
      </c>
      <c r="AS1411" s="259" t="str">
        <f t="shared" ref="AS1411:AS1474" si="326">IF(AND(B1411="有交期", L1411&lt;&gt;""), L1411, "")</f>
        <v/>
      </c>
      <c r="AT1411" s="259" t="str">
        <f t="shared" ref="AT1411:AT1474" si="327">IFERROR(IF(R1411&lt;&gt;"",R1411),"-")</f>
        <v>东莞鸿楠</v>
      </c>
      <c r="AU1411" s="259" t="str">
        <f t="shared" ref="AU1411:AU1474" si="328">IFERROR(IF(Q1411&lt;&gt;"",Q1411),"-")</f>
        <v>C49SZX20230088MZ</v>
      </c>
      <c r="AV1411" s="259" t="str">
        <f t="shared" ref="AV1411:AV1474" si="329">IF(L1411="","-",TEXT(L1411,"mmm-dd"))</f>
        <v>Feb-03</v>
      </c>
    </row>
    <row r="1412" spans="1:48" ht="22.5" hidden="1">
      <c r="A1412" s="564">
        <v>1658</v>
      </c>
      <c r="B1412" s="669" t="s">
        <v>1125</v>
      </c>
      <c r="C1412" s="669" t="s">
        <v>15</v>
      </c>
      <c r="D1412" s="650">
        <v>111131</v>
      </c>
      <c r="E1412" s="741" t="s">
        <v>2695</v>
      </c>
      <c r="F1412" s="652" t="s">
        <v>58</v>
      </c>
      <c r="G1412" s="652" t="s">
        <v>18</v>
      </c>
      <c r="H1412" s="652" t="s">
        <v>307</v>
      </c>
      <c r="I1412" s="580" t="s">
        <v>2703</v>
      </c>
      <c r="J1412" s="580">
        <v>1</v>
      </c>
      <c r="K1412" s="652" t="s">
        <v>1419</v>
      </c>
      <c r="L1412" s="662">
        <v>44960</v>
      </c>
      <c r="M1412" s="670" t="s">
        <v>3903</v>
      </c>
      <c r="N1412" s="652" t="s">
        <v>4045</v>
      </c>
      <c r="O1412" s="580">
        <v>2022.12</v>
      </c>
      <c r="P1412" s="670" t="str">
        <f>VLOOKUP(A1412,'[1]Raw data'!$B:$BA,23,FALSE)</f>
        <v>RMB</v>
      </c>
      <c r="Q1412" s="652" t="str">
        <f>VLOOKUP(A1412,'[1]Raw data'!$B:$Z,2,FALSE)</f>
        <v>SNFPC-CG-2022-008</v>
      </c>
      <c r="R1412" s="652" t="str">
        <f>VLOOKUP(A1412,'[1]Raw data'!$B:$Z,3,FALSE)</f>
        <v>康佳</v>
      </c>
      <c r="S1412" s="652" t="str">
        <f>VLOOKUP(A1412,'[1]Raw data'!$B:$Z,4,FALSE)</f>
        <v>YSM20R-2</v>
      </c>
      <c r="T1412" s="652" t="str">
        <f>VLOOKUP(A1412,'[1]Raw data'!$B:$Z,8,FALSE)</f>
        <v>R-&gt;L</v>
      </c>
      <c r="U1412" s="652" t="str">
        <f>VLOOKUP(A1412,'[1]Raw data'!$B:$Z,9,FALSE)</f>
        <v>No</v>
      </c>
      <c r="V1412" s="572" t="str">
        <f t="shared" si="321"/>
        <v>OK</v>
      </c>
      <c r="W1412" s="568" t="str">
        <f>VLOOKUP(A1412,'[1]Raw data'!$B:$AG,32,FALSE)</f>
        <v>DDP SN</v>
      </c>
      <c r="X1412" s="662">
        <f>VLOOKUP(A1412,'[1]Raw data'!$B:$BA,31,FALSE)</f>
        <v>44678</v>
      </c>
      <c r="Y1412" s="652" t="str">
        <f>VLOOKUP(A1412,'[1]Raw data'!$B:$AS,39,FALSE)</f>
        <v>Yes</v>
      </c>
      <c r="Z1412" s="664"/>
      <c r="AA1412" s="665"/>
      <c r="AB1412" s="666"/>
      <c r="AC1412" s="652" t="s">
        <v>4144</v>
      </c>
      <c r="AD1412" s="667">
        <v>301</v>
      </c>
      <c r="AE1412" s="667">
        <v>15</v>
      </c>
      <c r="AF1412" s="667">
        <v>311</v>
      </c>
      <c r="AG1412" s="667">
        <v>5</v>
      </c>
      <c r="AH1412" s="667"/>
      <c r="AI1412" s="668"/>
      <c r="AN1412" s="547"/>
      <c r="AO1412" s="829" t="str">
        <f t="shared" si="322"/>
        <v>Yes</v>
      </c>
      <c r="AP1412" s="259" t="str">
        <f t="shared" si="323"/>
        <v>AUG 23</v>
      </c>
      <c r="AQ1412" s="547" t="str">
        <f t="shared" si="324"/>
        <v>有定金+有預留客戶</v>
      </c>
      <c r="AR1412" s="259" t="str">
        <f t="shared" si="325"/>
        <v>Shipped_Stock</v>
      </c>
      <c r="AS1412" s="259" t="str">
        <f t="shared" si="326"/>
        <v/>
      </c>
      <c r="AT1412" s="259" t="str">
        <f t="shared" si="327"/>
        <v>康佳</v>
      </c>
      <c r="AU1412" s="259" t="str">
        <f t="shared" si="328"/>
        <v>SNFPC-CG-2022-008</v>
      </c>
      <c r="AV1412" s="259" t="str">
        <f t="shared" si="329"/>
        <v>Feb-03</v>
      </c>
    </row>
    <row r="1413" spans="1:48" ht="22.5" hidden="1">
      <c r="A1413" s="604">
        <v>1533</v>
      </c>
      <c r="B1413" s="669" t="s">
        <v>1125</v>
      </c>
      <c r="C1413" s="669" t="s">
        <v>15</v>
      </c>
      <c r="D1413" s="650">
        <v>111131</v>
      </c>
      <c r="E1413" s="741" t="s">
        <v>2695</v>
      </c>
      <c r="F1413" s="652" t="s">
        <v>58</v>
      </c>
      <c r="G1413" s="652" t="s">
        <v>18</v>
      </c>
      <c r="H1413" s="652" t="s">
        <v>26</v>
      </c>
      <c r="I1413" s="580" t="s">
        <v>2704</v>
      </c>
      <c r="J1413" s="580">
        <v>1</v>
      </c>
      <c r="K1413" s="652" t="s">
        <v>1732</v>
      </c>
      <c r="L1413" s="662">
        <v>44960</v>
      </c>
      <c r="M1413" s="670" t="s">
        <v>3903</v>
      </c>
      <c r="N1413" s="652" t="s">
        <v>4023</v>
      </c>
      <c r="O1413" s="580">
        <v>2022.12</v>
      </c>
      <c r="P1413" s="670" t="str">
        <f>VLOOKUP(A1413,'[1]Raw data'!$B:$BA,23,FALSE)</f>
        <v>JPY</v>
      </c>
      <c r="Q1413" s="652" t="str">
        <f>VLOOKUP(A1413,'[1]Raw data'!$B:$Z,2,FALSE)</f>
        <v>C49SZX20230088MZ</v>
      </c>
      <c r="R1413" s="652" t="str">
        <f>VLOOKUP(A1413,'[1]Raw data'!$B:$Z,3,FALSE)</f>
        <v>东莞鸿楠</v>
      </c>
      <c r="S1413" s="652" t="str">
        <f>VLOOKUP(A1413,'[1]Raw data'!$B:$Z,4,FALSE)</f>
        <v>YSM20R-2</v>
      </c>
      <c r="T1413" s="652" t="str">
        <f>VLOOKUP(A1413,'[1]Raw data'!$B:$Z,8,FALSE)</f>
        <v>R-&gt;L</v>
      </c>
      <c r="U1413" s="652" t="str">
        <f>VLOOKUP(A1413,'[1]Raw data'!$B:$Z,9,FALSE)</f>
        <v>No</v>
      </c>
      <c r="V1413" s="572" t="str">
        <f t="shared" si="321"/>
        <v>OK</v>
      </c>
      <c r="W1413" s="568" t="str">
        <f>VLOOKUP(A1413,'[1]Raw data'!$B:$AG,32,FALSE)</f>
        <v>CIF  HK</v>
      </c>
      <c r="X1413" s="662">
        <f>VLOOKUP(A1413,'[1]Raw data'!$B:$BA,31,FALSE)</f>
        <v>45127</v>
      </c>
      <c r="Y1413" s="652" t="str">
        <f>VLOOKUP(A1413,'[1]Raw data'!$B:$AS,39,FALSE)</f>
        <v>Yes</v>
      </c>
      <c r="Z1413" s="664"/>
      <c r="AA1413" s="665"/>
      <c r="AB1413" s="666"/>
      <c r="AC1413" s="652" t="s">
        <v>4127</v>
      </c>
      <c r="AD1413" s="580">
        <v>311</v>
      </c>
      <c r="AE1413" s="580">
        <v>15</v>
      </c>
      <c r="AF1413" s="580">
        <v>301</v>
      </c>
      <c r="AG1413" s="580">
        <v>5</v>
      </c>
      <c r="AH1413" s="580"/>
      <c r="AI1413" s="684"/>
      <c r="AJ1413" s="569"/>
      <c r="AK1413" s="569"/>
      <c r="AL1413" s="569"/>
      <c r="AM1413" s="569"/>
      <c r="AN1413" s="619"/>
      <c r="AO1413" s="829" t="str">
        <f t="shared" si="322"/>
        <v>Yes</v>
      </c>
      <c r="AP1413" s="259" t="str">
        <f t="shared" si="323"/>
        <v>JUL 23</v>
      </c>
      <c r="AQ1413" s="547" t="str">
        <f t="shared" si="324"/>
        <v>有定金+有預留客戶</v>
      </c>
      <c r="AR1413" s="259" t="str">
        <f t="shared" si="325"/>
        <v>Shipped_Stock</v>
      </c>
      <c r="AS1413" s="259" t="str">
        <f t="shared" si="326"/>
        <v/>
      </c>
      <c r="AT1413" s="259" t="str">
        <f t="shared" si="327"/>
        <v>东莞鸿楠</v>
      </c>
      <c r="AU1413" s="259" t="str">
        <f t="shared" si="328"/>
        <v>C49SZX20230088MZ</v>
      </c>
      <c r="AV1413" s="259" t="str">
        <f t="shared" si="329"/>
        <v>Feb-03</v>
      </c>
    </row>
    <row r="1414" spans="1:48" ht="22.5" hidden="1">
      <c r="A1414" s="564">
        <v>1951</v>
      </c>
      <c r="B1414" s="669" t="s">
        <v>1125</v>
      </c>
      <c r="C1414" s="669" t="s">
        <v>15</v>
      </c>
      <c r="D1414" s="650">
        <v>111131</v>
      </c>
      <c r="E1414" s="741" t="s">
        <v>2695</v>
      </c>
      <c r="F1414" s="652" t="s">
        <v>58</v>
      </c>
      <c r="G1414" s="652" t="s">
        <v>18</v>
      </c>
      <c r="H1414" s="652" t="s">
        <v>26</v>
      </c>
      <c r="I1414" s="580" t="s">
        <v>2705</v>
      </c>
      <c r="J1414" s="580">
        <v>1</v>
      </c>
      <c r="K1414" s="652" t="s">
        <v>1732</v>
      </c>
      <c r="L1414" s="662">
        <v>44960</v>
      </c>
      <c r="M1414" s="670" t="s">
        <v>3903</v>
      </c>
      <c r="N1414" s="652" t="s">
        <v>4169</v>
      </c>
      <c r="O1414" s="580">
        <v>2022.12</v>
      </c>
      <c r="P1414" s="670" t="str">
        <f>VLOOKUP(A1414,'[1]Raw data'!$B:$BA,23,FALSE)</f>
        <v>RMB</v>
      </c>
      <c r="Q1414" s="652" t="str">
        <f>VLOOKUP(A1414,'[1]Raw data'!$B:$Z,2,FALSE)</f>
        <v>C49SZX20230093SX</v>
      </c>
      <c r="R1414" s="652" t="str">
        <f>VLOOKUP(A1414,'[1]Raw data'!$B:$Z,3,FALSE)</f>
        <v>益田科技(End uer:泓裕）</v>
      </c>
      <c r="S1414" s="652" t="str">
        <f>VLOOKUP(A1414,'[1]Raw data'!$B:$Z,4,FALSE)</f>
        <v>YSM20R-2</v>
      </c>
      <c r="T1414" s="652" t="str">
        <f>VLOOKUP(A1414,'[1]Raw data'!$B:$Z,8,FALSE)</f>
        <v>R-&gt;L</v>
      </c>
      <c r="U1414" s="652" t="str">
        <f>VLOOKUP(A1414,'[1]Raw data'!$B:$Z,9,FALSE)</f>
        <v>No</v>
      </c>
      <c r="V1414" s="572" t="str">
        <f t="shared" si="321"/>
        <v>OK</v>
      </c>
      <c r="W1414" s="568" t="str">
        <f>VLOOKUP(A1414,'[1]Raw data'!$B:$AG,32,FALSE)</f>
        <v>DDP SZ</v>
      </c>
      <c r="X1414" s="662">
        <f>VLOOKUP(A1414,'[1]Raw data'!$B:$BA,31,FALSE)</f>
        <v>45127</v>
      </c>
      <c r="Y1414" s="652" t="str">
        <f>VLOOKUP(A1414,'[1]Raw data'!$B:$AS,39,FALSE)</f>
        <v>Yes</v>
      </c>
      <c r="Z1414" s="664"/>
      <c r="AA1414" s="665"/>
      <c r="AB1414" s="666"/>
      <c r="AC1414" s="652" t="s">
        <v>4248</v>
      </c>
      <c r="AD1414" s="667">
        <v>311</v>
      </c>
      <c r="AE1414" s="667">
        <v>15</v>
      </c>
      <c r="AF1414" s="667">
        <v>301</v>
      </c>
      <c r="AG1414" s="667">
        <v>5</v>
      </c>
      <c r="AH1414" s="667"/>
      <c r="AI1414" s="668"/>
      <c r="AN1414" s="547"/>
      <c r="AO1414" s="829" t="str">
        <f t="shared" si="322"/>
        <v>Yes</v>
      </c>
      <c r="AP1414" s="259" t="str">
        <f t="shared" si="323"/>
        <v>SEP 23</v>
      </c>
      <c r="AQ1414" s="547" t="str">
        <f t="shared" si="324"/>
        <v>有定金+有預留客戶</v>
      </c>
      <c r="AR1414" s="259" t="str">
        <f t="shared" si="325"/>
        <v>Shipped_Stock</v>
      </c>
      <c r="AS1414" s="259" t="str">
        <f t="shared" si="326"/>
        <v/>
      </c>
      <c r="AT1414" s="259" t="str">
        <f t="shared" si="327"/>
        <v>益田科技(End uer:泓裕）</v>
      </c>
      <c r="AU1414" s="259" t="str">
        <f t="shared" si="328"/>
        <v>C49SZX20230093SX</v>
      </c>
      <c r="AV1414" s="259" t="str">
        <f t="shared" si="329"/>
        <v>Feb-03</v>
      </c>
    </row>
    <row r="1415" spans="1:48" ht="22.5" hidden="1">
      <c r="A1415" s="564">
        <v>1933</v>
      </c>
      <c r="B1415" s="669" t="s">
        <v>1125</v>
      </c>
      <c r="C1415" s="669" t="s">
        <v>15</v>
      </c>
      <c r="D1415" s="650">
        <v>111132</v>
      </c>
      <c r="E1415" s="741" t="s">
        <v>2706</v>
      </c>
      <c r="F1415" s="652" t="s">
        <v>58</v>
      </c>
      <c r="G1415" s="652" t="s">
        <v>24</v>
      </c>
      <c r="H1415" s="652" t="s">
        <v>26</v>
      </c>
      <c r="I1415" s="580" t="s">
        <v>2707</v>
      </c>
      <c r="J1415" s="580">
        <v>1</v>
      </c>
      <c r="K1415" s="652" t="s">
        <v>1419</v>
      </c>
      <c r="L1415" s="662">
        <v>44960</v>
      </c>
      <c r="M1415" s="670" t="s">
        <v>3903</v>
      </c>
      <c r="N1415" s="652" t="s">
        <v>4045</v>
      </c>
      <c r="O1415" s="580">
        <v>2023.1</v>
      </c>
      <c r="P1415" s="670" t="str">
        <f>VLOOKUP(A1415,'[1]Raw data'!$B:$BA,23,FALSE)</f>
        <v>RMB</v>
      </c>
      <c r="Q1415" s="652" t="str">
        <f>VLOOKUP(A1415,'[1]Raw data'!$B:$Z,2,FALSE)</f>
        <v>C49SZX20230083LC</v>
      </c>
      <c r="R1415" s="652" t="str">
        <f>VLOOKUP(A1415,'[1]Raw data'!$B:$Z,3,FALSE)</f>
        <v>兴原星</v>
      </c>
      <c r="S1415" s="652" t="str">
        <f>VLOOKUP(A1415,'[1]Raw data'!$B:$Z,4,FALSE)</f>
        <v>YSM20R-2</v>
      </c>
      <c r="T1415" s="652" t="str">
        <f>VLOOKUP(A1415,'[1]Raw data'!$B:$Z,8,FALSE)</f>
        <v>L-&gt;R</v>
      </c>
      <c r="U1415" s="652" t="str">
        <f>VLOOKUP(A1415,'[1]Raw data'!$B:$Z,9,FALSE)</f>
        <v>No</v>
      </c>
      <c r="V1415" s="572" t="str">
        <f t="shared" ref="V1415:V1418" si="330">IF(G1415&amp;H1415=T1415&amp;U1415,"OK","WRONG")</f>
        <v>OK</v>
      </c>
      <c r="W1415" s="568" t="str">
        <f>VLOOKUP(A1415,'[1]Raw data'!$B:$AG,32,FALSE)</f>
        <v>DDP GZ</v>
      </c>
      <c r="X1415" s="662">
        <f>VLOOKUP(A1415,'[1]Raw data'!$B:$BA,31,FALSE)</f>
        <v>45117</v>
      </c>
      <c r="Y1415" s="652" t="str">
        <f>VLOOKUP(A1415,'[1]Raw data'!$B:$AS,39,FALSE)</f>
        <v>Yes</v>
      </c>
      <c r="Z1415" s="664"/>
      <c r="AA1415" s="665"/>
      <c r="AB1415" s="666"/>
      <c r="AC1415" s="652" t="s">
        <v>4129</v>
      </c>
      <c r="AD1415" s="667">
        <v>311</v>
      </c>
      <c r="AE1415" s="667">
        <v>20</v>
      </c>
      <c r="AF1415" s="667"/>
      <c r="AG1415" s="667"/>
      <c r="AH1415" s="667"/>
      <c r="AI1415" s="668"/>
      <c r="AN1415" s="547"/>
      <c r="AO1415" s="829" t="str">
        <f t="shared" si="322"/>
        <v>Yes</v>
      </c>
      <c r="AP1415" s="259" t="str">
        <f t="shared" si="323"/>
        <v>AUG 23</v>
      </c>
      <c r="AQ1415" s="547" t="str">
        <f t="shared" si="324"/>
        <v>有定金+有預留客戶</v>
      </c>
      <c r="AR1415" s="259" t="str">
        <f t="shared" si="325"/>
        <v>Shipped_Stock</v>
      </c>
      <c r="AS1415" s="259" t="str">
        <f t="shared" si="326"/>
        <v/>
      </c>
      <c r="AT1415" s="259" t="str">
        <f t="shared" si="327"/>
        <v>兴原星</v>
      </c>
      <c r="AU1415" s="259" t="str">
        <f t="shared" si="328"/>
        <v>C49SZX20230083LC</v>
      </c>
      <c r="AV1415" s="259" t="str">
        <f t="shared" si="329"/>
        <v>Feb-03</v>
      </c>
    </row>
    <row r="1416" spans="1:48" ht="22.5" hidden="1">
      <c r="A1416" s="564">
        <v>1956</v>
      </c>
      <c r="B1416" s="669" t="s">
        <v>1125</v>
      </c>
      <c r="C1416" s="669" t="s">
        <v>15</v>
      </c>
      <c r="D1416" s="650">
        <v>111132</v>
      </c>
      <c r="E1416" s="741" t="s">
        <v>2708</v>
      </c>
      <c r="F1416" s="652" t="s">
        <v>17</v>
      </c>
      <c r="G1416" s="652" t="s">
        <v>18</v>
      </c>
      <c r="H1416" s="652" t="s">
        <v>27</v>
      </c>
      <c r="I1416" s="580" t="s">
        <v>4167</v>
      </c>
      <c r="J1416" s="580">
        <v>1</v>
      </c>
      <c r="K1416" s="652" t="s">
        <v>1732</v>
      </c>
      <c r="L1416" s="662">
        <v>44960</v>
      </c>
      <c r="M1416" s="670" t="s">
        <v>3903</v>
      </c>
      <c r="N1416" s="652" t="s">
        <v>4169</v>
      </c>
      <c r="O1416" s="580">
        <v>2023.1</v>
      </c>
      <c r="P1416" s="670" t="str">
        <f>VLOOKUP(A1416,'[1]Raw data'!$B:$BA,23,FALSE)</f>
        <v>RMB</v>
      </c>
      <c r="Q1416" s="652" t="str">
        <f>VLOOKUP(A1416,'[1]Raw data'!$B:$Z,2,FALSE)</f>
        <v>GD-20230250</v>
      </c>
      <c r="R1416" s="652" t="str">
        <f>VLOOKUP(A1416,'[1]Raw data'!$B:$Z,3,FALSE)</f>
        <v>泰永</v>
      </c>
      <c r="S1416" s="652" t="str">
        <f>VLOOKUP(A1416,'[1]Raw data'!$B:$Z,4,FALSE)</f>
        <v>YSM10</v>
      </c>
      <c r="T1416" s="652" t="str">
        <f>VLOOKUP(A1416,'[1]Raw data'!$B:$Z,8,FALSE)</f>
        <v>R-&gt;L</v>
      </c>
      <c r="U1416" s="652" t="str">
        <f>VLOOKUP(A1416,'[1]Raw data'!$B:$Z,9,FALSE)</f>
        <v>No</v>
      </c>
      <c r="V1416" s="572" t="str">
        <f t="shared" si="330"/>
        <v>WRONG</v>
      </c>
      <c r="W1416" s="568" t="str">
        <f>VLOOKUP(A1416,'[1]Raw data'!$B:$AG,32,FALSE)</f>
        <v>DDP ZH</v>
      </c>
      <c r="X1416" s="662">
        <f>VLOOKUP(A1416,'[1]Raw data'!$B:$BA,31,FALSE)</f>
        <v>45128</v>
      </c>
      <c r="Y1416" s="652" t="str">
        <f>VLOOKUP(A1416,'[1]Raw data'!$B:$AS,39,FALSE)</f>
        <v>Yes</v>
      </c>
      <c r="Z1416" s="664"/>
      <c r="AA1416" s="665"/>
      <c r="AB1416" s="666"/>
      <c r="AC1416" s="652" t="s">
        <v>4185</v>
      </c>
      <c r="AD1416" s="667">
        <v>301</v>
      </c>
      <c r="AE1416" s="667">
        <v>10</v>
      </c>
      <c r="AF1416" s="667"/>
      <c r="AG1416" s="667"/>
      <c r="AH1416" s="667"/>
      <c r="AI1416" s="668"/>
      <c r="AN1416" s="547"/>
      <c r="AO1416" s="829" t="str">
        <f t="shared" si="322"/>
        <v>Yes</v>
      </c>
      <c r="AP1416" s="259" t="str">
        <f t="shared" si="323"/>
        <v>SEP 23</v>
      </c>
      <c r="AQ1416" s="547" t="str">
        <f t="shared" si="324"/>
        <v>有定金+有預留客戶</v>
      </c>
      <c r="AR1416" s="259" t="str">
        <f t="shared" si="325"/>
        <v>Shipped_Stock</v>
      </c>
      <c r="AS1416" s="259" t="str">
        <f t="shared" si="326"/>
        <v/>
      </c>
      <c r="AT1416" s="259" t="str">
        <f t="shared" si="327"/>
        <v>泰永</v>
      </c>
      <c r="AU1416" s="259" t="str">
        <f t="shared" si="328"/>
        <v>GD-20230250</v>
      </c>
      <c r="AV1416" s="259" t="str">
        <f t="shared" si="329"/>
        <v>Feb-03</v>
      </c>
    </row>
    <row r="1417" spans="1:48" ht="22.5" hidden="1">
      <c r="A1417" s="564">
        <v>1955</v>
      </c>
      <c r="B1417" s="669" t="s">
        <v>1125</v>
      </c>
      <c r="C1417" s="669" t="s">
        <v>15</v>
      </c>
      <c r="D1417" s="650">
        <v>111132</v>
      </c>
      <c r="E1417" s="741" t="s">
        <v>2708</v>
      </c>
      <c r="F1417" s="652" t="s">
        <v>17</v>
      </c>
      <c r="G1417" s="652" t="s">
        <v>18</v>
      </c>
      <c r="H1417" s="652" t="s">
        <v>27</v>
      </c>
      <c r="I1417" s="580" t="s">
        <v>2709</v>
      </c>
      <c r="J1417" s="580">
        <v>1</v>
      </c>
      <c r="K1417" s="652" t="s">
        <v>1732</v>
      </c>
      <c r="L1417" s="662">
        <v>44960</v>
      </c>
      <c r="M1417" s="670" t="s">
        <v>3903</v>
      </c>
      <c r="N1417" s="652" t="s">
        <v>4169</v>
      </c>
      <c r="O1417" s="580">
        <v>2023.1</v>
      </c>
      <c r="P1417" s="670" t="str">
        <f>VLOOKUP(A1417,'[1]Raw data'!$B:$BA,23,FALSE)</f>
        <v>RMB</v>
      </c>
      <c r="Q1417" s="652" t="str">
        <f>VLOOKUP(A1417,'[1]Raw data'!$B:$Z,2,FALSE)</f>
        <v>GD-20230250</v>
      </c>
      <c r="R1417" s="652" t="str">
        <f>VLOOKUP(A1417,'[1]Raw data'!$B:$Z,3,FALSE)</f>
        <v>泰永</v>
      </c>
      <c r="S1417" s="652" t="str">
        <f>VLOOKUP(A1417,'[1]Raw data'!$B:$Z,4,FALSE)</f>
        <v>YSM10</v>
      </c>
      <c r="T1417" s="652" t="str">
        <f>VLOOKUP(A1417,'[1]Raw data'!$B:$Z,8,FALSE)</f>
        <v>R-&gt;L</v>
      </c>
      <c r="U1417" s="652" t="str">
        <f>VLOOKUP(A1417,'[1]Raw data'!$B:$Z,9,FALSE)</f>
        <v>MVC</v>
      </c>
      <c r="V1417" s="572" t="str">
        <f t="shared" si="330"/>
        <v>OK</v>
      </c>
      <c r="W1417" s="568" t="str">
        <f>VLOOKUP(A1417,'[1]Raw data'!$B:$AG,32,FALSE)</f>
        <v>DDP ZH</v>
      </c>
      <c r="X1417" s="662">
        <f>VLOOKUP(A1417,'[1]Raw data'!$B:$BA,31,FALSE)</f>
        <v>45128</v>
      </c>
      <c r="Y1417" s="652" t="str">
        <f>VLOOKUP(A1417,'[1]Raw data'!$B:$AS,39,FALSE)</f>
        <v>Yes</v>
      </c>
      <c r="Z1417" s="664"/>
      <c r="AA1417" s="665"/>
      <c r="AB1417" s="666"/>
      <c r="AC1417" s="652" t="s">
        <v>4185</v>
      </c>
      <c r="AD1417" s="667">
        <v>301</v>
      </c>
      <c r="AE1417" s="667">
        <v>10</v>
      </c>
      <c r="AF1417" s="667"/>
      <c r="AG1417" s="667"/>
      <c r="AH1417" s="667"/>
      <c r="AI1417" s="668"/>
      <c r="AN1417" s="547"/>
      <c r="AO1417" s="829" t="str">
        <f t="shared" si="322"/>
        <v>Yes</v>
      </c>
      <c r="AP1417" s="259" t="str">
        <f t="shared" si="323"/>
        <v>SEP 23</v>
      </c>
      <c r="AQ1417" s="547" t="str">
        <f t="shared" si="324"/>
        <v>有定金+有預留客戶</v>
      </c>
      <c r="AR1417" s="259" t="str">
        <f t="shared" si="325"/>
        <v>Shipped_Stock</v>
      </c>
      <c r="AS1417" s="259" t="str">
        <f t="shared" si="326"/>
        <v/>
      </c>
      <c r="AT1417" s="259" t="str">
        <f t="shared" si="327"/>
        <v>泰永</v>
      </c>
      <c r="AU1417" s="259" t="str">
        <f t="shared" si="328"/>
        <v>GD-20230250</v>
      </c>
      <c r="AV1417" s="259" t="str">
        <f t="shared" si="329"/>
        <v>Feb-03</v>
      </c>
    </row>
    <row r="1418" spans="1:48" ht="22.5" hidden="1">
      <c r="A1418" s="564">
        <v>1952</v>
      </c>
      <c r="B1418" s="669" t="s">
        <v>1125</v>
      </c>
      <c r="C1418" s="669" t="s">
        <v>15</v>
      </c>
      <c r="D1418" s="650">
        <v>111133</v>
      </c>
      <c r="E1418" s="741" t="s">
        <v>2710</v>
      </c>
      <c r="F1418" s="652" t="s">
        <v>58</v>
      </c>
      <c r="G1418" s="652" t="s">
        <v>18</v>
      </c>
      <c r="H1418" s="652" t="s">
        <v>26</v>
      </c>
      <c r="I1418" s="580" t="s">
        <v>2711</v>
      </c>
      <c r="J1418" s="580">
        <v>1</v>
      </c>
      <c r="K1418" s="652" t="s">
        <v>1732</v>
      </c>
      <c r="L1418" s="662">
        <v>44960</v>
      </c>
      <c r="M1418" s="670" t="s">
        <v>3903</v>
      </c>
      <c r="N1418" s="652" t="s">
        <v>4169</v>
      </c>
      <c r="O1418" s="580">
        <v>2022.12</v>
      </c>
      <c r="P1418" s="670" t="str">
        <f>VLOOKUP(A1418,'[1]Raw data'!$B:$BA,23,FALSE)</f>
        <v>RMB</v>
      </c>
      <c r="Q1418" s="652" t="str">
        <f>VLOOKUP(A1418,'[1]Raw data'!$B:$Z,2,FALSE)</f>
        <v>C49SZX20230093SX</v>
      </c>
      <c r="R1418" s="652" t="str">
        <f>VLOOKUP(A1418,'[1]Raw data'!$B:$Z,3,FALSE)</f>
        <v>益田科技(End uer:泓裕）</v>
      </c>
      <c r="S1418" s="652" t="str">
        <f>VLOOKUP(A1418,'[1]Raw data'!$B:$Z,4,FALSE)</f>
        <v>YSM20R-2</v>
      </c>
      <c r="T1418" s="652" t="str">
        <f>VLOOKUP(A1418,'[1]Raw data'!$B:$Z,8,FALSE)</f>
        <v>R-&gt;L</v>
      </c>
      <c r="U1418" s="652" t="str">
        <f>VLOOKUP(A1418,'[1]Raw data'!$B:$Z,9,FALSE)</f>
        <v>No</v>
      </c>
      <c r="V1418" s="572" t="str">
        <f t="shared" si="330"/>
        <v>OK</v>
      </c>
      <c r="W1418" s="568" t="str">
        <f>VLOOKUP(A1418,'[1]Raw data'!$B:$AG,32,FALSE)</f>
        <v>DDP SZ</v>
      </c>
      <c r="X1418" s="662">
        <f>VLOOKUP(A1418,'[1]Raw data'!$B:$BA,31,FALSE)</f>
        <v>45127</v>
      </c>
      <c r="Y1418" s="652" t="str">
        <f>VLOOKUP(A1418,'[1]Raw data'!$B:$AS,39,FALSE)</f>
        <v>Yes</v>
      </c>
      <c r="Z1418" s="664"/>
      <c r="AA1418" s="665"/>
      <c r="AB1418" s="666"/>
      <c r="AC1418" s="652" t="s">
        <v>4248</v>
      </c>
      <c r="AD1418" s="667">
        <v>301</v>
      </c>
      <c r="AE1418" s="667">
        <v>10</v>
      </c>
      <c r="AF1418" s="667">
        <v>307</v>
      </c>
      <c r="AG1418" s="667">
        <v>5</v>
      </c>
      <c r="AH1418" s="667">
        <v>311</v>
      </c>
      <c r="AI1418" s="667">
        <v>5</v>
      </c>
      <c r="AN1418" s="547"/>
      <c r="AO1418" s="829" t="str">
        <f t="shared" si="322"/>
        <v>Yes</v>
      </c>
      <c r="AP1418" s="259" t="str">
        <f t="shared" si="323"/>
        <v>SEP 23</v>
      </c>
      <c r="AQ1418" s="547" t="str">
        <f t="shared" si="324"/>
        <v>有定金+有預留客戶</v>
      </c>
      <c r="AR1418" s="259" t="str">
        <f t="shared" si="325"/>
        <v>Shipped_Stock</v>
      </c>
      <c r="AS1418" s="259" t="str">
        <f t="shared" si="326"/>
        <v/>
      </c>
      <c r="AT1418" s="259" t="str">
        <f t="shared" si="327"/>
        <v>益田科技(End uer:泓裕）</v>
      </c>
      <c r="AU1418" s="259" t="str">
        <f t="shared" si="328"/>
        <v>C49SZX20230093SX</v>
      </c>
      <c r="AV1418" s="259" t="str">
        <f t="shared" si="329"/>
        <v>Feb-03</v>
      </c>
    </row>
    <row r="1419" spans="1:48" ht="22.5" hidden="1">
      <c r="A1419" s="604">
        <v>1921</v>
      </c>
      <c r="B1419" s="669" t="s">
        <v>1125</v>
      </c>
      <c r="C1419" s="669" t="s">
        <v>15</v>
      </c>
      <c r="D1419" s="650">
        <v>111133</v>
      </c>
      <c r="E1419" s="741" t="s">
        <v>2710</v>
      </c>
      <c r="F1419" s="652" t="s">
        <v>58</v>
      </c>
      <c r="G1419" s="652" t="s">
        <v>18</v>
      </c>
      <c r="H1419" s="652" t="s">
        <v>26</v>
      </c>
      <c r="I1419" s="580" t="s">
        <v>2712</v>
      </c>
      <c r="J1419" s="580">
        <v>1</v>
      </c>
      <c r="K1419" s="652" t="s">
        <v>1419</v>
      </c>
      <c r="L1419" s="662">
        <v>44960</v>
      </c>
      <c r="M1419" s="670" t="s">
        <v>3903</v>
      </c>
      <c r="N1419" s="652" t="s">
        <v>4045</v>
      </c>
      <c r="O1419" s="580">
        <v>2023.1</v>
      </c>
      <c r="P1419" s="670" t="str">
        <f>VLOOKUP(A1419,'[1]Raw data'!$B:$BA,23,FALSE)</f>
        <v>RMB</v>
      </c>
      <c r="Q1419" s="652" t="str">
        <f>VLOOKUP(A1419,'[1]Raw data'!$B:$Z,2,FALSE)</f>
        <v>HX20230601A</v>
      </c>
      <c r="R1419" s="652" t="str">
        <f>VLOOKUP(A1419,'[1]Raw data'!$B:$Z,3,FALSE)</f>
        <v>恒鑫（End user:开普）</v>
      </c>
      <c r="S1419" s="652" t="str">
        <f>VLOOKUP(A1419,'[1]Raw data'!$B:$Z,4,FALSE)</f>
        <v>YSM20R-2</v>
      </c>
      <c r="T1419" s="652" t="str">
        <f>VLOOKUP(A1419,'[1]Raw data'!$B:$Z,8,FALSE)</f>
        <v>R-&gt;L</v>
      </c>
      <c r="U1419" s="652" t="str">
        <f>VLOOKUP(A1419,'[1]Raw data'!$B:$Z,9,FALSE)</f>
        <v>No</v>
      </c>
      <c r="V1419" s="572" t="str">
        <f t="shared" si="321"/>
        <v>OK</v>
      </c>
      <c r="W1419" s="568" t="str">
        <f>VLOOKUP(A1419,'[1]Raw data'!$B:$AG,32,FALSE)</f>
        <v>DDP ZS</v>
      </c>
      <c r="X1419" s="662">
        <f>VLOOKUP(A1419,'[1]Raw data'!$B:$BA,31,FALSE)</f>
        <v>45079</v>
      </c>
      <c r="Y1419" s="652" t="str">
        <f>VLOOKUP(A1419,'[1]Raw data'!$B:$AS,39,FALSE)</f>
        <v>Yes</v>
      </c>
      <c r="Z1419" s="664"/>
      <c r="AA1419" s="665"/>
      <c r="AB1419" s="666"/>
      <c r="AC1419" s="652" t="s">
        <v>4090</v>
      </c>
      <c r="AD1419" s="580">
        <v>301</v>
      </c>
      <c r="AE1419" s="580">
        <v>10</v>
      </c>
      <c r="AF1419" s="580">
        <v>311</v>
      </c>
      <c r="AG1419" s="580">
        <v>10</v>
      </c>
      <c r="AH1419" s="580"/>
      <c r="AI1419" s="684"/>
      <c r="AJ1419" s="569"/>
      <c r="AK1419" s="569"/>
      <c r="AL1419" s="569"/>
      <c r="AM1419" s="569"/>
      <c r="AN1419" s="619"/>
      <c r="AO1419" s="829" t="str">
        <f t="shared" si="322"/>
        <v>Yes</v>
      </c>
      <c r="AP1419" s="259" t="str">
        <f t="shared" si="323"/>
        <v>AUG 23</v>
      </c>
      <c r="AQ1419" s="547" t="str">
        <f t="shared" si="324"/>
        <v>有定金+有預留客戶</v>
      </c>
      <c r="AR1419" s="259" t="str">
        <f t="shared" si="325"/>
        <v>Shipped_Stock</v>
      </c>
      <c r="AS1419" s="259" t="str">
        <f t="shared" si="326"/>
        <v/>
      </c>
      <c r="AT1419" s="259" t="str">
        <f t="shared" si="327"/>
        <v>恒鑫（End user:开普）</v>
      </c>
      <c r="AU1419" s="259" t="str">
        <f t="shared" si="328"/>
        <v>HX20230601A</v>
      </c>
      <c r="AV1419" s="259" t="str">
        <f t="shared" si="329"/>
        <v>Feb-03</v>
      </c>
    </row>
    <row r="1420" spans="1:48" ht="22.5" hidden="1">
      <c r="A1420" s="564">
        <v>1953</v>
      </c>
      <c r="B1420" s="669" t="s">
        <v>1125</v>
      </c>
      <c r="C1420" s="669" t="s">
        <v>15</v>
      </c>
      <c r="D1420" s="650">
        <v>111133</v>
      </c>
      <c r="E1420" s="741" t="s">
        <v>2710</v>
      </c>
      <c r="F1420" s="652" t="s">
        <v>58</v>
      </c>
      <c r="G1420" s="652" t="s">
        <v>18</v>
      </c>
      <c r="H1420" s="652" t="s">
        <v>307</v>
      </c>
      <c r="I1420" s="580" t="s">
        <v>2713</v>
      </c>
      <c r="J1420" s="580">
        <v>1</v>
      </c>
      <c r="K1420" s="652" t="s">
        <v>1732</v>
      </c>
      <c r="L1420" s="662">
        <v>44960</v>
      </c>
      <c r="M1420" s="670" t="s">
        <v>3903</v>
      </c>
      <c r="N1420" s="652" t="s">
        <v>4169</v>
      </c>
      <c r="O1420" s="580">
        <v>2023.1</v>
      </c>
      <c r="P1420" s="670" t="str">
        <f>VLOOKUP(A1420,'[1]Raw data'!$B:$BA,23,FALSE)</f>
        <v>RMB</v>
      </c>
      <c r="Q1420" s="652" t="str">
        <f>VLOOKUP(A1420,'[1]Raw data'!$B:$Z,2,FALSE)</f>
        <v>C49SZX20230093SX</v>
      </c>
      <c r="R1420" s="652" t="str">
        <f>VLOOKUP(A1420,'[1]Raw data'!$B:$Z,3,FALSE)</f>
        <v>益田科技(End uer:泓裕）</v>
      </c>
      <c r="S1420" s="652" t="str">
        <f>VLOOKUP(A1420,'[1]Raw data'!$B:$Z,4,FALSE)</f>
        <v>YSM20R-2</v>
      </c>
      <c r="T1420" s="652" t="str">
        <f>VLOOKUP(A1420,'[1]Raw data'!$B:$Z,8,FALSE)</f>
        <v>R-&gt;L</v>
      </c>
      <c r="U1420" s="652" t="str">
        <f>VLOOKUP(A1420,'[1]Raw data'!$B:$Z,9,FALSE)</f>
        <v>No</v>
      </c>
      <c r="V1420" s="572" t="str">
        <f t="shared" si="321"/>
        <v>OK</v>
      </c>
      <c r="W1420" s="568" t="str">
        <f>VLOOKUP(A1420,'[1]Raw data'!$B:$AG,32,FALSE)</f>
        <v>DDP SZ</v>
      </c>
      <c r="X1420" s="662">
        <f>VLOOKUP(A1420,'[1]Raw data'!$B:$BA,31,FALSE)</f>
        <v>45127</v>
      </c>
      <c r="Y1420" s="652" t="str">
        <f>VLOOKUP(A1420,'[1]Raw data'!$B:$AS,39,FALSE)</f>
        <v>Yes</v>
      </c>
      <c r="Z1420" s="664"/>
      <c r="AA1420" s="665"/>
      <c r="AB1420" s="666"/>
      <c r="AC1420" s="652" t="s">
        <v>4248</v>
      </c>
      <c r="AD1420" s="667">
        <v>301</v>
      </c>
      <c r="AE1420" s="667">
        <v>10</v>
      </c>
      <c r="AF1420" s="667">
        <v>311</v>
      </c>
      <c r="AG1420" s="667">
        <v>10</v>
      </c>
      <c r="AH1420" s="667"/>
      <c r="AI1420" s="668"/>
      <c r="AN1420" s="547"/>
      <c r="AO1420" s="829" t="str">
        <f t="shared" si="322"/>
        <v>Yes</v>
      </c>
      <c r="AP1420" s="259" t="str">
        <f t="shared" si="323"/>
        <v>SEP 23</v>
      </c>
      <c r="AQ1420" s="547" t="str">
        <f t="shared" si="324"/>
        <v>有定金+有預留客戶</v>
      </c>
      <c r="AR1420" s="259" t="str">
        <f t="shared" si="325"/>
        <v>Shipped_Stock</v>
      </c>
      <c r="AS1420" s="259" t="str">
        <f t="shared" si="326"/>
        <v/>
      </c>
      <c r="AT1420" s="259" t="str">
        <f t="shared" si="327"/>
        <v>益田科技(End uer:泓裕）</v>
      </c>
      <c r="AU1420" s="259" t="str">
        <f t="shared" si="328"/>
        <v>C49SZX20230093SX</v>
      </c>
      <c r="AV1420" s="259" t="str">
        <f t="shared" si="329"/>
        <v>Feb-03</v>
      </c>
    </row>
    <row r="1421" spans="1:48" ht="22.5" hidden="1">
      <c r="A1421" s="564">
        <v>1938</v>
      </c>
      <c r="B1421" s="669" t="s">
        <v>1125</v>
      </c>
      <c r="C1421" s="669" t="s">
        <v>15</v>
      </c>
      <c r="D1421" s="650">
        <v>111133</v>
      </c>
      <c r="E1421" s="741" t="s">
        <v>2710</v>
      </c>
      <c r="F1421" s="652" t="s">
        <v>58</v>
      </c>
      <c r="G1421" s="652" t="s">
        <v>18</v>
      </c>
      <c r="H1421" s="652" t="s">
        <v>26</v>
      </c>
      <c r="I1421" s="580" t="s">
        <v>2714</v>
      </c>
      <c r="J1421" s="580">
        <v>1</v>
      </c>
      <c r="K1421" s="652" t="s">
        <v>1419</v>
      </c>
      <c r="L1421" s="662">
        <v>44960</v>
      </c>
      <c r="M1421" s="670" t="s">
        <v>3903</v>
      </c>
      <c r="N1421" s="652" t="s">
        <v>4344</v>
      </c>
      <c r="O1421" s="580">
        <v>2023.1</v>
      </c>
      <c r="P1421" s="670" t="str">
        <f>VLOOKUP(A1421,'[1]Raw data'!$B:$BA,23,FALSE)</f>
        <v>RMB</v>
      </c>
      <c r="Q1421" s="652" t="str">
        <f>VLOOKUP(A1421,'[1]Raw data'!$B:$Z,2,FALSE)</f>
        <v>C49SZX20230091SX</v>
      </c>
      <c r="R1421" s="652" t="str">
        <f>VLOOKUP(A1421,'[1]Raw data'!$B:$Z,3,FALSE)</f>
        <v>万赢丰</v>
      </c>
      <c r="S1421" s="652" t="str">
        <f>VLOOKUP(A1421,'[1]Raw data'!$B:$Z,4,FALSE)</f>
        <v>YSM20R-2</v>
      </c>
      <c r="T1421" s="652" t="str">
        <f>VLOOKUP(A1421,'[1]Raw data'!$B:$Z,8,FALSE)</f>
        <v>R-&gt;L</v>
      </c>
      <c r="U1421" s="652" t="str">
        <f>VLOOKUP(A1421,'[1]Raw data'!$B:$Z,9,FALSE)</f>
        <v>No</v>
      </c>
      <c r="V1421" s="572" t="str">
        <f t="shared" si="321"/>
        <v>OK</v>
      </c>
      <c r="W1421" s="568" t="str">
        <f>VLOOKUP(A1421,'[1]Raw data'!$B:$AG,32,FALSE)</f>
        <v>DDP SZ</v>
      </c>
      <c r="X1421" s="662">
        <f>VLOOKUP(A1421,'[1]Raw data'!$B:$BA,31,FALSE)</f>
        <v>45125</v>
      </c>
      <c r="Y1421" s="652" t="str">
        <f>VLOOKUP(A1421,'[1]Raw data'!$B:$AS,39,FALSE)</f>
        <v>Yes</v>
      </c>
      <c r="Z1421" s="664"/>
      <c r="AA1421" s="665"/>
      <c r="AB1421" s="666"/>
      <c r="AC1421" s="801" t="s">
        <v>4383</v>
      </c>
      <c r="AD1421" s="667">
        <v>301</v>
      </c>
      <c r="AE1421" s="667">
        <v>10</v>
      </c>
      <c r="AF1421" s="667">
        <v>311</v>
      </c>
      <c r="AG1421" s="667">
        <v>10</v>
      </c>
      <c r="AH1421" s="667"/>
      <c r="AI1421" s="668"/>
      <c r="AN1421" s="547"/>
      <c r="AO1421" s="829" t="str">
        <f t="shared" si="322"/>
        <v>Yes</v>
      </c>
      <c r="AP1421" s="259" t="str">
        <f t="shared" si="323"/>
        <v>NOV 23</v>
      </c>
      <c r="AQ1421" s="547" t="str">
        <f t="shared" si="324"/>
        <v>有定金+有預留客戶</v>
      </c>
      <c r="AR1421" s="259" t="str">
        <f t="shared" si="325"/>
        <v>Shipped_Stock</v>
      </c>
      <c r="AS1421" s="259" t="str">
        <f t="shared" si="326"/>
        <v/>
      </c>
      <c r="AT1421" s="259" t="str">
        <f t="shared" si="327"/>
        <v>万赢丰</v>
      </c>
      <c r="AU1421" s="259" t="str">
        <f t="shared" si="328"/>
        <v>C49SZX20230091SX</v>
      </c>
      <c r="AV1421" s="259" t="str">
        <f t="shared" si="329"/>
        <v>Feb-03</v>
      </c>
    </row>
    <row r="1422" spans="1:48" ht="22.5" hidden="1">
      <c r="A1422" s="564">
        <v>1908</v>
      </c>
      <c r="B1422" s="669" t="s">
        <v>1125</v>
      </c>
      <c r="C1422" s="669" t="s">
        <v>15</v>
      </c>
      <c r="D1422" s="650">
        <v>111133</v>
      </c>
      <c r="E1422" s="741" t="s">
        <v>2710</v>
      </c>
      <c r="F1422" s="652" t="s">
        <v>58</v>
      </c>
      <c r="G1422" s="652" t="s">
        <v>24</v>
      </c>
      <c r="H1422" s="652" t="s">
        <v>26</v>
      </c>
      <c r="I1422" s="580" t="s">
        <v>2715</v>
      </c>
      <c r="J1422" s="580">
        <v>1</v>
      </c>
      <c r="K1422" s="652" t="s">
        <v>1732</v>
      </c>
      <c r="L1422" s="662">
        <v>44960</v>
      </c>
      <c r="M1422" s="670" t="s">
        <v>3903</v>
      </c>
      <c r="N1422" s="652" t="s">
        <v>3992</v>
      </c>
      <c r="O1422" s="580">
        <v>2023.1</v>
      </c>
      <c r="P1422" s="670" t="str">
        <f>VLOOKUP(A1422,'[1]Raw data'!$B:$BA,23,FALSE)</f>
        <v>JPY</v>
      </c>
      <c r="Q1422" s="652" t="str">
        <f>VLOOKUP(A1422,'[1]Raw data'!$B:$Z,2,FALSE)</f>
        <v>C49SZX20230055SX</v>
      </c>
      <c r="R1422" s="652" t="str">
        <f>VLOOKUP(A1422,'[1]Raw data'!$B:$Z,3,FALSE)</f>
        <v>鑫亿特</v>
      </c>
      <c r="S1422" s="652" t="str">
        <f>VLOOKUP(A1422,'[1]Raw data'!$B:$Z,4,FALSE)</f>
        <v>YSM20R-2</v>
      </c>
      <c r="T1422" s="652" t="str">
        <f>VLOOKUP(A1422,'[1]Raw data'!$B:$Z,8,FALSE)</f>
        <v>L-&gt;R</v>
      </c>
      <c r="U1422" s="652" t="str">
        <f>VLOOKUP(A1422,'[1]Raw data'!$B:$Z,9,FALSE)</f>
        <v>No</v>
      </c>
      <c r="V1422" s="572" t="str">
        <f t="shared" si="321"/>
        <v>OK</v>
      </c>
      <c r="W1422" s="568" t="str">
        <f>VLOOKUP(A1422,'[1]Raw data'!$B:$AG,32,FALSE)</f>
        <v>DAP SZ</v>
      </c>
      <c r="X1422" s="652">
        <f>VLOOKUP(A1422,'[1]Raw data'!$B:$BA,31,FALSE)</f>
        <v>45038</v>
      </c>
      <c r="Y1422" s="652" t="str">
        <f>VLOOKUP(A1422,'[1]Raw data'!$B:$AS,39,FALSE)</f>
        <v>Yes</v>
      </c>
      <c r="Z1422" s="664"/>
      <c r="AA1422" s="665"/>
      <c r="AB1422" s="666"/>
      <c r="AC1422" s="652" t="s">
        <v>4035</v>
      </c>
      <c r="AD1422" s="667">
        <v>311</v>
      </c>
      <c r="AE1422" s="667">
        <v>10</v>
      </c>
      <c r="AF1422" s="667">
        <v>311</v>
      </c>
      <c r="AG1422" s="667">
        <v>10</v>
      </c>
      <c r="AH1422" s="667"/>
      <c r="AI1422" s="668"/>
      <c r="AN1422" s="547"/>
      <c r="AO1422" s="829" t="str">
        <f t="shared" si="322"/>
        <v>Yes</v>
      </c>
      <c r="AP1422" s="259" t="str">
        <f t="shared" si="323"/>
        <v>JUN 23</v>
      </c>
      <c r="AQ1422" s="547" t="str">
        <f t="shared" si="324"/>
        <v>有定金+有預留客戶</v>
      </c>
      <c r="AR1422" s="259" t="str">
        <f t="shared" si="325"/>
        <v>Shipped_Stock</v>
      </c>
      <c r="AS1422" s="259" t="str">
        <f t="shared" si="326"/>
        <v/>
      </c>
      <c r="AT1422" s="259" t="str">
        <f t="shared" si="327"/>
        <v>鑫亿特</v>
      </c>
      <c r="AU1422" s="259" t="str">
        <f t="shared" si="328"/>
        <v>C49SZX20230055SX</v>
      </c>
      <c r="AV1422" s="259" t="str">
        <f t="shared" si="329"/>
        <v>Feb-03</v>
      </c>
    </row>
    <row r="1423" spans="1:48" ht="22.5" hidden="1">
      <c r="A1423" s="564">
        <v>1910</v>
      </c>
      <c r="B1423" s="669" t="s">
        <v>1125</v>
      </c>
      <c r="C1423" s="669" t="s">
        <v>15</v>
      </c>
      <c r="D1423" s="650">
        <v>111134</v>
      </c>
      <c r="E1423" s="741" t="s">
        <v>2716</v>
      </c>
      <c r="F1423" s="652" t="s">
        <v>58</v>
      </c>
      <c r="G1423" s="652" t="s">
        <v>24</v>
      </c>
      <c r="H1423" s="652" t="s">
        <v>26</v>
      </c>
      <c r="I1423" s="580" t="s">
        <v>2717</v>
      </c>
      <c r="J1423" s="580">
        <v>1</v>
      </c>
      <c r="K1423" s="652" t="s">
        <v>1732</v>
      </c>
      <c r="L1423" s="662">
        <v>44960</v>
      </c>
      <c r="M1423" s="670" t="s">
        <v>3905</v>
      </c>
      <c r="N1423" s="652" t="s">
        <v>2502</v>
      </c>
      <c r="O1423" s="580">
        <v>2022.12</v>
      </c>
      <c r="P1423" s="670" t="str">
        <f>VLOOKUP(A1423,'[1]Raw data'!$B:$BA,23,FALSE)</f>
        <v>RMB</v>
      </c>
      <c r="Q1423" s="652" t="str">
        <f>VLOOKUP(A1423,'[1]Raw data'!$B:$Z,2,FALSE)</f>
        <v>C49SZX20230053MZ</v>
      </c>
      <c r="R1423" s="652" t="str">
        <f>VLOOKUP(A1423,'[1]Raw data'!$B:$Z,3,FALSE)</f>
        <v>佳润</v>
      </c>
      <c r="S1423" s="652" t="str">
        <f>VLOOKUP(A1423,'[1]Raw data'!$B:$Z,4,FALSE)</f>
        <v>YSM20R-2</v>
      </c>
      <c r="T1423" s="652" t="str">
        <f>VLOOKUP(A1423,'[1]Raw data'!$B:$Z,8,FALSE)</f>
        <v>L-&gt;R</v>
      </c>
      <c r="U1423" s="652" t="str">
        <f>VLOOKUP(A1423,'[1]Raw data'!$B:$Z,9,FALSE)</f>
        <v>No</v>
      </c>
      <c r="V1423" s="572" t="str">
        <f t="shared" si="321"/>
        <v>OK</v>
      </c>
      <c r="W1423" s="568" t="str">
        <f>VLOOKUP(A1423,'[1]Raw data'!$B:$AG,32,FALSE)</f>
        <v>DDP HZ</v>
      </c>
      <c r="X1423" s="652">
        <f>VLOOKUP(A1423,'[1]Raw data'!$B:$BA,31,FALSE)</f>
        <v>45037</v>
      </c>
      <c r="Y1423" s="652" t="str">
        <f>VLOOKUP(A1423,'[1]Raw data'!$B:$AS,39,FALSE)</f>
        <v>Yes</v>
      </c>
      <c r="Z1423" s="664"/>
      <c r="AA1423" s="665"/>
      <c r="AB1423" s="666"/>
      <c r="AC1423" s="652" t="s">
        <v>3965</v>
      </c>
      <c r="AD1423" s="667">
        <v>301</v>
      </c>
      <c r="AE1423" s="667">
        <v>15</v>
      </c>
      <c r="AF1423" s="667">
        <v>311</v>
      </c>
      <c r="AG1423" s="667">
        <v>5</v>
      </c>
      <c r="AH1423" s="667"/>
      <c r="AI1423" s="668"/>
      <c r="AN1423" s="547"/>
      <c r="AO1423" s="829" t="str">
        <f t="shared" si="322"/>
        <v>Yes</v>
      </c>
      <c r="AP1423" s="259" t="str">
        <f t="shared" si="323"/>
        <v>MAY 23</v>
      </c>
      <c r="AQ1423" s="547" t="str">
        <f t="shared" si="324"/>
        <v>有定金+有預留客戶</v>
      </c>
      <c r="AR1423" s="259" t="str">
        <f t="shared" si="325"/>
        <v>Shipped_Stock</v>
      </c>
      <c r="AS1423" s="259" t="str">
        <f t="shared" si="326"/>
        <v/>
      </c>
      <c r="AT1423" s="259" t="str">
        <f t="shared" si="327"/>
        <v>佳润</v>
      </c>
      <c r="AU1423" s="259" t="str">
        <f t="shared" si="328"/>
        <v>C49SZX20230053MZ</v>
      </c>
      <c r="AV1423" s="259" t="str">
        <f t="shared" si="329"/>
        <v>Feb-03</v>
      </c>
    </row>
    <row r="1424" spans="1:48" ht="22.5" hidden="1">
      <c r="A1424" s="564">
        <v>1480</v>
      </c>
      <c r="B1424" s="669" t="s">
        <v>1125</v>
      </c>
      <c r="C1424" s="669" t="s">
        <v>15</v>
      </c>
      <c r="D1424" s="650">
        <v>111134</v>
      </c>
      <c r="E1424" s="741" t="s">
        <v>2716</v>
      </c>
      <c r="F1424" s="652" t="s">
        <v>58</v>
      </c>
      <c r="G1424" s="652" t="s">
        <v>24</v>
      </c>
      <c r="H1424" s="652" t="s">
        <v>26</v>
      </c>
      <c r="I1424" s="580" t="s">
        <v>3980</v>
      </c>
      <c r="J1424" s="580">
        <v>1</v>
      </c>
      <c r="K1424" s="652" t="s">
        <v>1732</v>
      </c>
      <c r="L1424" s="662">
        <v>44960</v>
      </c>
      <c r="M1424" s="670" t="s">
        <v>3904</v>
      </c>
      <c r="N1424" s="652" t="s">
        <v>2502</v>
      </c>
      <c r="O1424" s="580">
        <v>2022.12</v>
      </c>
      <c r="P1424" s="670" t="str">
        <f>VLOOKUP(A1424,'[1]Raw data'!$B:$BA,23,FALSE)</f>
        <v>JPY</v>
      </c>
      <c r="Q1424" s="652" t="str">
        <f>VLOOKUP(A1424,'[1]Raw data'!$B:$Z,2,FALSE)</f>
        <v>C49SZX20220082MX</v>
      </c>
      <c r="R1424" s="652" t="str">
        <f>VLOOKUP(A1424,'[1]Raw data'!$B:$Z,3,FALSE)</f>
        <v>宇翔</v>
      </c>
      <c r="S1424" s="652" t="str">
        <f>VLOOKUP(A1424,'[1]Raw data'!$B:$Z,4,FALSE)</f>
        <v>YSM20R-2</v>
      </c>
      <c r="T1424" s="652" t="str">
        <f>VLOOKUP(A1424,'[1]Raw data'!$B:$Z,8,FALSE)</f>
        <v>L-&gt;R</v>
      </c>
      <c r="U1424" s="652" t="str">
        <f>VLOOKUP(A1424,'[1]Raw data'!$B:$Z,9,FALSE)</f>
        <v>No</v>
      </c>
      <c r="V1424" s="572" t="str">
        <f t="shared" si="321"/>
        <v>OK</v>
      </c>
      <c r="W1424" s="568" t="str">
        <f>VLOOKUP(A1424,'[1]Raw data'!$B:$AG,32,FALSE)</f>
        <v>DAP DG</v>
      </c>
      <c r="X1424" s="662">
        <f>VLOOKUP(A1424,'[1]Raw data'!$B:$BA,31,FALSE)</f>
        <v>44466</v>
      </c>
      <c r="Y1424" s="652" t="str">
        <f>VLOOKUP(A1424,'[1]Raw data'!$B:$AS,39,FALSE)</f>
        <v>Yes</v>
      </c>
      <c r="Z1424" s="664"/>
      <c r="AA1424" s="665"/>
      <c r="AB1424" s="666"/>
      <c r="AC1424" s="652" t="s">
        <v>3981</v>
      </c>
      <c r="AD1424" s="667">
        <v>301</v>
      </c>
      <c r="AE1424" s="667">
        <v>15</v>
      </c>
      <c r="AF1424" s="667">
        <v>311</v>
      </c>
      <c r="AG1424" s="667">
        <v>5</v>
      </c>
      <c r="AH1424" s="667"/>
      <c r="AI1424" s="668"/>
      <c r="AN1424" s="547"/>
      <c r="AO1424" s="829" t="str">
        <f t="shared" si="322"/>
        <v>Yes</v>
      </c>
      <c r="AP1424" s="259" t="str">
        <f t="shared" si="323"/>
        <v>MAY 23</v>
      </c>
      <c r="AQ1424" s="547" t="str">
        <f t="shared" si="324"/>
        <v>有定金+有預留客戶</v>
      </c>
      <c r="AR1424" s="259" t="str">
        <f t="shared" si="325"/>
        <v>Shipped_Stock</v>
      </c>
      <c r="AS1424" s="259" t="str">
        <f t="shared" si="326"/>
        <v/>
      </c>
      <c r="AT1424" s="259" t="str">
        <f t="shared" si="327"/>
        <v>宇翔</v>
      </c>
      <c r="AU1424" s="259" t="str">
        <f t="shared" si="328"/>
        <v>C49SZX20220082MX</v>
      </c>
      <c r="AV1424" s="259" t="str">
        <f t="shared" si="329"/>
        <v>Feb-03</v>
      </c>
    </row>
    <row r="1425" spans="1:48" ht="22.5" hidden="1">
      <c r="A1425" s="564">
        <v>1897</v>
      </c>
      <c r="B1425" s="669" t="s">
        <v>1125</v>
      </c>
      <c r="C1425" s="669" t="s">
        <v>15</v>
      </c>
      <c r="D1425" s="650">
        <v>111134</v>
      </c>
      <c r="E1425" s="741" t="s">
        <v>2716</v>
      </c>
      <c r="F1425" s="652" t="s">
        <v>58</v>
      </c>
      <c r="G1425" s="652" t="s">
        <v>24</v>
      </c>
      <c r="H1425" s="652" t="s">
        <v>26</v>
      </c>
      <c r="I1425" s="580" t="s">
        <v>2718</v>
      </c>
      <c r="J1425" s="580">
        <v>1</v>
      </c>
      <c r="K1425" s="652" t="s">
        <v>2407</v>
      </c>
      <c r="L1425" s="662">
        <v>44960</v>
      </c>
      <c r="M1425" s="670" t="s">
        <v>3903</v>
      </c>
      <c r="N1425" s="652" t="s">
        <v>226</v>
      </c>
      <c r="O1425" s="580">
        <v>2022.12</v>
      </c>
      <c r="P1425" s="670" t="str">
        <f>VLOOKUP(A1425,'[1]Raw data'!$B:$BA,23,FALSE)</f>
        <v>RMB</v>
      </c>
      <c r="Q1425" s="652" t="str">
        <f>VLOOKUP(A1425,'[1]Raw data'!$B:$Z,2,FALSE)</f>
        <v>YJY-2023040701</v>
      </c>
      <c r="R1425" s="652" t="str">
        <f>VLOOKUP(A1425,'[1]Raw data'!$B:$Z,3,FALSE)</f>
        <v>清水湾（End use:呈承）</v>
      </c>
      <c r="S1425" s="652" t="str">
        <f>VLOOKUP(A1425,'[1]Raw data'!$B:$Z,4,FALSE)</f>
        <v>YSM20R-2</v>
      </c>
      <c r="T1425" s="652" t="str">
        <f>VLOOKUP(A1425,'[1]Raw data'!$B:$Z,8,FALSE)</f>
        <v>L-&gt;R</v>
      </c>
      <c r="U1425" s="652" t="str">
        <f>VLOOKUP(A1425,'[1]Raw data'!$B:$Z,9,FALSE)</f>
        <v>No</v>
      </c>
      <c r="V1425" s="572" t="str">
        <f t="shared" si="321"/>
        <v>OK</v>
      </c>
      <c r="W1425" s="568" t="str">
        <f>VLOOKUP(A1425,'[1]Raw data'!$B:$AG,32,FALSE)</f>
        <v>DDP ZS</v>
      </c>
      <c r="X1425" s="662">
        <f>VLOOKUP(A1425,'[1]Raw data'!$B:$BA,31,FALSE)</f>
        <v>45019</v>
      </c>
      <c r="Y1425" s="652" t="str">
        <f>VLOOKUP(A1425,'[1]Raw data'!$B:$AS,39,FALSE)</f>
        <v>Yes</v>
      </c>
      <c r="Z1425" s="664"/>
      <c r="AA1425" s="665"/>
      <c r="AB1425" s="666"/>
      <c r="AC1425" s="652" t="s">
        <v>3911</v>
      </c>
      <c r="AD1425" s="667">
        <v>301</v>
      </c>
      <c r="AE1425" s="667">
        <v>15</v>
      </c>
      <c r="AF1425" s="667">
        <v>311</v>
      </c>
      <c r="AG1425" s="667">
        <v>5</v>
      </c>
      <c r="AH1425" s="667"/>
      <c r="AI1425" s="668"/>
      <c r="AN1425" s="547"/>
      <c r="AO1425" s="829" t="str">
        <f t="shared" si="322"/>
        <v>Yes</v>
      </c>
      <c r="AP1425" s="259" t="str">
        <f t="shared" si="323"/>
        <v>APR 23</v>
      </c>
      <c r="AQ1425" s="547" t="str">
        <f t="shared" si="324"/>
        <v>有定金+有預留客戶</v>
      </c>
      <c r="AR1425" s="259" t="str">
        <f t="shared" si="325"/>
        <v>Shipped_Stock</v>
      </c>
      <c r="AS1425" s="259" t="str">
        <f t="shared" si="326"/>
        <v/>
      </c>
      <c r="AT1425" s="259" t="str">
        <f t="shared" si="327"/>
        <v>清水湾（End use:呈承）</v>
      </c>
      <c r="AU1425" s="259" t="str">
        <f t="shared" si="328"/>
        <v>YJY-2023040701</v>
      </c>
      <c r="AV1425" s="259" t="str">
        <f t="shared" si="329"/>
        <v>Feb-03</v>
      </c>
    </row>
    <row r="1426" spans="1:48" ht="22.5" hidden="1">
      <c r="A1426" s="564">
        <v>1916</v>
      </c>
      <c r="B1426" s="669" t="s">
        <v>1125</v>
      </c>
      <c r="C1426" s="669" t="s">
        <v>15</v>
      </c>
      <c r="D1426" s="650">
        <v>111134</v>
      </c>
      <c r="E1426" s="741" t="s">
        <v>2716</v>
      </c>
      <c r="F1426" s="652" t="s">
        <v>58</v>
      </c>
      <c r="G1426" s="652" t="s">
        <v>24</v>
      </c>
      <c r="H1426" s="652" t="s">
        <v>26</v>
      </c>
      <c r="I1426" s="580" t="s">
        <v>2719</v>
      </c>
      <c r="J1426" s="580">
        <v>1</v>
      </c>
      <c r="K1426" s="652" t="s">
        <v>1732</v>
      </c>
      <c r="L1426" s="662">
        <v>44960</v>
      </c>
      <c r="M1426" s="670" t="s">
        <v>3903</v>
      </c>
      <c r="N1426" s="652" t="s">
        <v>2502</v>
      </c>
      <c r="O1426" s="580">
        <v>2022.12</v>
      </c>
      <c r="P1426" s="670" t="str">
        <f>VLOOKUP(A1426,'[1]Raw data'!$B:$BA,23,FALSE)</f>
        <v>HKD</v>
      </c>
      <c r="Q1426" s="652" t="str">
        <f>VLOOKUP(A1426,'[1]Raw data'!$B:$Z,2,FALSE)</f>
        <v>C49SZX20230063TS</v>
      </c>
      <c r="R1426" s="652" t="str">
        <f>VLOOKUP(A1426,'[1]Raw data'!$B:$Z,3,FALSE)</f>
        <v>TBS</v>
      </c>
      <c r="S1426" s="652" t="str">
        <f>VLOOKUP(A1426,'[1]Raw data'!$B:$Z,4,FALSE)</f>
        <v>YSM20R-2</v>
      </c>
      <c r="T1426" s="652" t="str">
        <f>VLOOKUP(A1426,'[1]Raw data'!$B:$Z,8,FALSE)</f>
        <v>L-&gt;R</v>
      </c>
      <c r="U1426" s="652" t="str">
        <f>VLOOKUP(A1426,'[1]Raw data'!$B:$Z,9,FALSE)</f>
        <v>No</v>
      </c>
      <c r="V1426" s="572" t="str">
        <f t="shared" si="321"/>
        <v>OK</v>
      </c>
      <c r="W1426" s="568" t="str">
        <f>VLOOKUP(A1426,'[1]Raw data'!$B:$AG,32,FALSE)</f>
        <v>CIF HK</v>
      </c>
      <c r="X1426" s="652">
        <f>VLOOKUP(A1426,'[1]Raw data'!$B:$BA,31,FALSE)</f>
        <v>45048</v>
      </c>
      <c r="Y1426" s="652" t="str">
        <f>VLOOKUP(A1426,'[1]Raw data'!$B:$AS,39,FALSE)</f>
        <v>Yes</v>
      </c>
      <c r="Z1426" s="664"/>
      <c r="AA1426" s="665"/>
      <c r="AB1426" s="666"/>
      <c r="AC1426" s="652" t="s">
        <v>3991</v>
      </c>
      <c r="AD1426" s="667">
        <v>311</v>
      </c>
      <c r="AE1426" s="667">
        <v>15</v>
      </c>
      <c r="AF1426" s="667">
        <v>301</v>
      </c>
      <c r="AG1426" s="667">
        <v>5</v>
      </c>
      <c r="AH1426" s="667"/>
      <c r="AI1426" s="668"/>
      <c r="AN1426" s="547"/>
      <c r="AO1426" s="829" t="str">
        <f t="shared" si="322"/>
        <v>Yes</v>
      </c>
      <c r="AP1426" s="259" t="str">
        <f t="shared" si="323"/>
        <v>MAY 23</v>
      </c>
      <c r="AQ1426" s="547" t="str">
        <f t="shared" si="324"/>
        <v>有定金+有預留客戶</v>
      </c>
      <c r="AR1426" s="259" t="str">
        <f t="shared" si="325"/>
        <v>Shipped_Stock</v>
      </c>
      <c r="AS1426" s="259" t="str">
        <f t="shared" si="326"/>
        <v/>
      </c>
      <c r="AT1426" s="259" t="str">
        <f t="shared" si="327"/>
        <v>TBS</v>
      </c>
      <c r="AU1426" s="259" t="str">
        <f t="shared" si="328"/>
        <v>C49SZX20230063TS</v>
      </c>
      <c r="AV1426" s="259" t="str">
        <f t="shared" si="329"/>
        <v>Feb-03</v>
      </c>
    </row>
    <row r="1427" spans="1:48" ht="22.5" hidden="1">
      <c r="A1427" s="564">
        <v>1893</v>
      </c>
      <c r="B1427" s="669" t="s">
        <v>1125</v>
      </c>
      <c r="C1427" s="669" t="s">
        <v>15</v>
      </c>
      <c r="D1427" s="650">
        <v>111134</v>
      </c>
      <c r="E1427" s="741" t="s">
        <v>2716</v>
      </c>
      <c r="F1427" s="652" t="s">
        <v>58</v>
      </c>
      <c r="G1427" s="652" t="s">
        <v>24</v>
      </c>
      <c r="H1427" s="652" t="s">
        <v>26</v>
      </c>
      <c r="I1427" s="580" t="s">
        <v>2720</v>
      </c>
      <c r="J1427" s="580">
        <v>1</v>
      </c>
      <c r="K1427" s="652" t="s">
        <v>1732</v>
      </c>
      <c r="L1427" s="662">
        <v>44960</v>
      </c>
      <c r="M1427" s="670" t="s">
        <v>3903</v>
      </c>
      <c r="N1427" s="652" t="s">
        <v>226</v>
      </c>
      <c r="O1427" s="580">
        <v>2022.12</v>
      </c>
      <c r="P1427" s="670" t="str">
        <f>VLOOKUP(A1427,'[1]Raw data'!$B:$BA,23,FALSE)</f>
        <v>RMB</v>
      </c>
      <c r="Q1427" s="652" t="str">
        <f>VLOOKUP(A1427,'[1]Raw data'!$B:$Z,2,FALSE)</f>
        <v>C49SZX20230046DM</v>
      </c>
      <c r="R1427" s="652" t="str">
        <f>VLOOKUP(A1427,'[1]Raw data'!$B:$Z,3,FALSE)</f>
        <v>菲帆</v>
      </c>
      <c r="S1427" s="652" t="str">
        <f>VLOOKUP(A1427,'[1]Raw data'!$B:$Z,4,FALSE)</f>
        <v>YSM20R-2</v>
      </c>
      <c r="T1427" s="652" t="str">
        <f>VLOOKUP(A1427,'[1]Raw data'!$B:$Z,8,FALSE)</f>
        <v>L-&gt;R</v>
      </c>
      <c r="U1427" s="652" t="str">
        <f>VLOOKUP(A1427,'[1]Raw data'!$B:$Z,9,FALSE)</f>
        <v>No</v>
      </c>
      <c r="V1427" s="572" t="str">
        <f t="shared" si="321"/>
        <v>OK</v>
      </c>
      <c r="W1427" s="568" t="str">
        <f>VLOOKUP(A1427,'[1]Raw data'!$B:$AG,32,FALSE)</f>
        <v>DDP HZ</v>
      </c>
      <c r="X1427" s="652">
        <f>VLOOKUP(A1427,'[1]Raw data'!$B:$BA,31,FALSE)</f>
        <v>45002</v>
      </c>
      <c r="Y1427" s="652" t="str">
        <f>VLOOKUP(A1427,'[1]Raw data'!$B:$AS,39,FALSE)</f>
        <v>Yes</v>
      </c>
      <c r="Z1427" s="664"/>
      <c r="AA1427" s="665"/>
      <c r="AB1427" s="666"/>
      <c r="AC1427" s="652" t="s">
        <v>3912</v>
      </c>
      <c r="AD1427" s="667">
        <v>311</v>
      </c>
      <c r="AE1427" s="667">
        <v>15</v>
      </c>
      <c r="AF1427" s="667">
        <v>301</v>
      </c>
      <c r="AG1427" s="667">
        <v>5</v>
      </c>
      <c r="AH1427" s="667"/>
      <c r="AI1427" s="668"/>
      <c r="AN1427" s="547"/>
      <c r="AO1427" s="829" t="str">
        <f t="shared" si="322"/>
        <v>Yes</v>
      </c>
      <c r="AP1427" s="259" t="str">
        <f t="shared" si="323"/>
        <v>APR 23</v>
      </c>
      <c r="AQ1427" s="547" t="str">
        <f t="shared" si="324"/>
        <v>有定金+有預留客戶</v>
      </c>
      <c r="AR1427" s="259" t="str">
        <f t="shared" si="325"/>
        <v>Shipped_Stock</v>
      </c>
      <c r="AS1427" s="259" t="str">
        <f t="shared" si="326"/>
        <v/>
      </c>
      <c r="AT1427" s="259" t="str">
        <f t="shared" si="327"/>
        <v>菲帆</v>
      </c>
      <c r="AU1427" s="259" t="str">
        <f t="shared" si="328"/>
        <v>C49SZX20230046DM</v>
      </c>
      <c r="AV1427" s="259" t="str">
        <f t="shared" si="329"/>
        <v>Feb-03</v>
      </c>
    </row>
    <row r="1428" spans="1:48" hidden="1">
      <c r="A1428" s="604">
        <v>1787</v>
      </c>
      <c r="B1428" s="669" t="s">
        <v>1125</v>
      </c>
      <c r="C1428" s="669" t="s">
        <v>15</v>
      </c>
      <c r="D1428" s="650">
        <v>111202</v>
      </c>
      <c r="E1428" s="749" t="s">
        <v>2721</v>
      </c>
      <c r="F1428" s="652" t="s">
        <v>154</v>
      </c>
      <c r="G1428" s="652" t="s">
        <v>18</v>
      </c>
      <c r="H1428" s="652" t="s">
        <v>26</v>
      </c>
      <c r="I1428" s="580" t="s">
        <v>2722</v>
      </c>
      <c r="J1428" s="580">
        <v>1</v>
      </c>
      <c r="K1428" s="652" t="s">
        <v>2671</v>
      </c>
      <c r="L1428" s="662">
        <v>45009</v>
      </c>
      <c r="M1428" s="670"/>
      <c r="N1428" s="652" t="s">
        <v>216</v>
      </c>
      <c r="O1428" s="580">
        <v>2023.3</v>
      </c>
      <c r="P1428" s="670" t="str">
        <f>VLOOKUP(A1428,'[1]Raw data'!$B:$BA,23,FALSE)</f>
        <v>JPY</v>
      </c>
      <c r="Q1428" s="652" t="str">
        <f>VLOOKUP(A1428,'[1]Raw data'!$B:$Z,2,FALSE)</f>
        <v>C49SZX20220128EC</v>
      </c>
      <c r="R1428" s="652" t="str">
        <f>VLOOKUP(A1428,'[1]Raw data'!$B:$Z,3,FALSE)</f>
        <v>海红天远</v>
      </c>
      <c r="S1428" s="652" t="str">
        <f>VLOOKUP(A1428,'[1]Raw data'!$B:$Z,4,FALSE)</f>
        <v>YSM20WR-2</v>
      </c>
      <c r="T1428" s="652" t="str">
        <f>VLOOKUP(A1428,'[1]Raw data'!$B:$Z,8,FALSE)</f>
        <v>R-&gt;L</v>
      </c>
      <c r="U1428" s="652" t="str">
        <f>VLOOKUP(A1428,'[1]Raw data'!$B:$Z,9,FALSE)</f>
        <v>No</v>
      </c>
      <c r="V1428" s="572" t="str">
        <f t="shared" ref="V1428:V1431" si="331">IF(G1428&amp;H1428=T1428&amp;U1428,"OK","WRONG")</f>
        <v>OK</v>
      </c>
      <c r="W1428" s="568" t="str">
        <f>VLOOKUP(A1428,'[1]Raw data'!$B:$AG,32,FALSE)</f>
        <v>CIF HK</v>
      </c>
      <c r="X1428" s="652">
        <f>VLOOKUP(A1428,'[1]Raw data'!$B:$BA,31,FALSE)</f>
        <v>44914</v>
      </c>
      <c r="Y1428" s="652" t="str">
        <f>VLOOKUP(A1428,'[1]Raw data'!$B:$AS,39,FALSE)</f>
        <v>Yes</v>
      </c>
      <c r="Z1428" s="664"/>
      <c r="AA1428" s="665"/>
      <c r="AB1428" s="666"/>
      <c r="AC1428" s="652" t="s">
        <v>1951</v>
      </c>
      <c r="AD1428" s="580">
        <v>303</v>
      </c>
      <c r="AE1428" s="580">
        <v>20</v>
      </c>
      <c r="AF1428" s="580">
        <v>302</v>
      </c>
      <c r="AG1428" s="580">
        <v>8</v>
      </c>
      <c r="AH1428" s="580"/>
      <c r="AI1428" s="684"/>
      <c r="AJ1428" s="569"/>
      <c r="AK1428" s="569"/>
      <c r="AL1428" s="569"/>
      <c r="AM1428" s="569"/>
      <c r="AN1428" s="619"/>
      <c r="AO1428" s="829" t="str">
        <f t="shared" si="322"/>
        <v>Yes</v>
      </c>
      <c r="AP1428" s="259" t="str">
        <f t="shared" si="323"/>
        <v>MAR 23</v>
      </c>
      <c r="AQ1428" s="547" t="str">
        <f t="shared" si="324"/>
        <v>有定金+有預留客戶</v>
      </c>
      <c r="AR1428" s="259" t="str">
        <f t="shared" si="325"/>
        <v>Shipped_Stock</v>
      </c>
      <c r="AS1428" s="259" t="str">
        <f t="shared" si="326"/>
        <v/>
      </c>
      <c r="AT1428" s="259" t="str">
        <f t="shared" si="327"/>
        <v>海红天远</v>
      </c>
      <c r="AU1428" s="259" t="str">
        <f t="shared" si="328"/>
        <v>C49SZX20220128EC</v>
      </c>
      <c r="AV1428" s="259" t="str">
        <f t="shared" si="329"/>
        <v>Mar-24</v>
      </c>
    </row>
    <row r="1429" spans="1:48" hidden="1">
      <c r="A1429" s="604">
        <v>1788</v>
      </c>
      <c r="B1429" s="669" t="s">
        <v>1125</v>
      </c>
      <c r="C1429" s="669" t="s">
        <v>15</v>
      </c>
      <c r="D1429" s="650">
        <v>111202</v>
      </c>
      <c r="E1429" s="749" t="s">
        <v>2721</v>
      </c>
      <c r="F1429" s="652" t="s">
        <v>154</v>
      </c>
      <c r="G1429" s="652" t="s">
        <v>18</v>
      </c>
      <c r="H1429" s="652" t="s">
        <v>27</v>
      </c>
      <c r="I1429" s="580" t="s">
        <v>2723</v>
      </c>
      <c r="J1429" s="580">
        <v>1</v>
      </c>
      <c r="K1429" s="652" t="s">
        <v>2671</v>
      </c>
      <c r="L1429" s="662">
        <v>45009</v>
      </c>
      <c r="M1429" s="670"/>
      <c r="N1429" s="652" t="s">
        <v>216</v>
      </c>
      <c r="O1429" s="580">
        <v>2023.3</v>
      </c>
      <c r="P1429" s="670" t="str">
        <f>VLOOKUP(A1429,'[1]Raw data'!$B:$BA,23,FALSE)</f>
        <v>JPY</v>
      </c>
      <c r="Q1429" s="652" t="str">
        <f>VLOOKUP(A1429,'[1]Raw data'!$B:$Z,2,FALSE)</f>
        <v>C49SZX20220128EC</v>
      </c>
      <c r="R1429" s="652" t="str">
        <f>VLOOKUP(A1429,'[1]Raw data'!$B:$Z,3,FALSE)</f>
        <v>海红天远</v>
      </c>
      <c r="S1429" s="652" t="str">
        <f>VLOOKUP(A1429,'[1]Raw data'!$B:$Z,4,FALSE)</f>
        <v>YSM20WR-2</v>
      </c>
      <c r="T1429" s="652" t="str">
        <f>VLOOKUP(A1429,'[1]Raw data'!$B:$Z,8,FALSE)</f>
        <v>R-&gt;L</v>
      </c>
      <c r="U1429" s="652" t="str">
        <f>VLOOKUP(A1429,'[1]Raw data'!$B:$Z,9,FALSE)</f>
        <v>No</v>
      </c>
      <c r="V1429" s="572" t="str">
        <f t="shared" si="331"/>
        <v>WRONG</v>
      </c>
      <c r="W1429" s="568" t="str">
        <f>VLOOKUP(A1429,'[1]Raw data'!$B:$AG,32,FALSE)</f>
        <v>CIF HK</v>
      </c>
      <c r="X1429" s="652">
        <f>VLOOKUP(A1429,'[1]Raw data'!$B:$BA,31,FALSE)</f>
        <v>44914</v>
      </c>
      <c r="Y1429" s="652" t="str">
        <f>VLOOKUP(A1429,'[1]Raw data'!$B:$AS,39,FALSE)</f>
        <v>Yes</v>
      </c>
      <c r="Z1429" s="664"/>
      <c r="AA1429" s="665"/>
      <c r="AB1429" s="666"/>
      <c r="AC1429" s="652" t="s">
        <v>1951</v>
      </c>
      <c r="AD1429" s="580">
        <v>303</v>
      </c>
      <c r="AE1429" s="580">
        <v>10</v>
      </c>
      <c r="AF1429" s="580">
        <v>301</v>
      </c>
      <c r="AG1429" s="580">
        <v>6</v>
      </c>
      <c r="AH1429" s="580">
        <v>302</v>
      </c>
      <c r="AI1429" s="684">
        <v>12</v>
      </c>
      <c r="AJ1429" s="569"/>
      <c r="AK1429" s="569"/>
      <c r="AL1429" s="569"/>
      <c r="AM1429" s="569"/>
      <c r="AN1429" s="619"/>
      <c r="AO1429" s="829" t="str">
        <f t="shared" si="322"/>
        <v>Yes</v>
      </c>
      <c r="AP1429" s="259" t="str">
        <f t="shared" si="323"/>
        <v>MAR 23</v>
      </c>
      <c r="AQ1429" s="547" t="str">
        <f t="shared" si="324"/>
        <v>有定金+有預留客戶</v>
      </c>
      <c r="AR1429" s="259" t="str">
        <f t="shared" si="325"/>
        <v>Shipped_Stock</v>
      </c>
      <c r="AS1429" s="259" t="str">
        <f t="shared" si="326"/>
        <v/>
      </c>
      <c r="AT1429" s="259" t="str">
        <f t="shared" si="327"/>
        <v>海红天远</v>
      </c>
      <c r="AU1429" s="259" t="str">
        <f t="shared" si="328"/>
        <v>C49SZX20220128EC</v>
      </c>
      <c r="AV1429" s="259" t="str">
        <f t="shared" si="329"/>
        <v>Mar-24</v>
      </c>
    </row>
    <row r="1430" spans="1:48" hidden="1">
      <c r="A1430" s="604">
        <v>1789</v>
      </c>
      <c r="B1430" s="669" t="s">
        <v>1125</v>
      </c>
      <c r="C1430" s="669" t="s">
        <v>15</v>
      </c>
      <c r="D1430" s="650">
        <v>111202</v>
      </c>
      <c r="E1430" s="749" t="s">
        <v>2721</v>
      </c>
      <c r="F1430" s="652" t="s">
        <v>154</v>
      </c>
      <c r="G1430" s="652" t="s">
        <v>18</v>
      </c>
      <c r="H1430" s="652" t="s">
        <v>2410</v>
      </c>
      <c r="I1430" s="580" t="s">
        <v>2724</v>
      </c>
      <c r="J1430" s="580">
        <v>1</v>
      </c>
      <c r="K1430" s="652" t="s">
        <v>2671</v>
      </c>
      <c r="L1430" s="662">
        <v>45009</v>
      </c>
      <c r="M1430" s="670"/>
      <c r="N1430" s="652" t="s">
        <v>216</v>
      </c>
      <c r="O1430" s="580">
        <v>2023.3</v>
      </c>
      <c r="P1430" s="670" t="str">
        <f>VLOOKUP(A1430,'[1]Raw data'!$B:$BA,23,FALSE)</f>
        <v>JPY</v>
      </c>
      <c r="Q1430" s="652" t="str">
        <f>VLOOKUP(A1430,'[1]Raw data'!$B:$Z,2,FALSE)</f>
        <v>C49SZX20220128EC</v>
      </c>
      <c r="R1430" s="652" t="str">
        <f>VLOOKUP(A1430,'[1]Raw data'!$B:$Z,3,FALSE)</f>
        <v>海红天远</v>
      </c>
      <c r="S1430" s="652" t="str">
        <f>VLOOKUP(A1430,'[1]Raw data'!$B:$Z,4,FALSE)</f>
        <v>YSM20WR-2</v>
      </c>
      <c r="T1430" s="652" t="str">
        <f>VLOOKUP(A1430,'[1]Raw data'!$B:$Z,8,FALSE)</f>
        <v>R-&gt;L</v>
      </c>
      <c r="U1430" s="652" t="str">
        <f>VLOOKUP(A1430,'[1]Raw data'!$B:$Z,9,FALSE)</f>
        <v>cATS10+MVC(F&amp;R)+Feeder Carriage</v>
      </c>
      <c r="V1430" s="572" t="str">
        <f t="shared" si="331"/>
        <v>WRONG</v>
      </c>
      <c r="W1430" s="568" t="str">
        <f>VLOOKUP(A1430,'[1]Raw data'!$B:$AG,32,FALSE)</f>
        <v>CIF HK</v>
      </c>
      <c r="X1430" s="652">
        <f>VLOOKUP(A1430,'[1]Raw data'!$B:$BA,31,FALSE)</f>
        <v>44914</v>
      </c>
      <c r="Y1430" s="652" t="str">
        <f>VLOOKUP(A1430,'[1]Raw data'!$B:$AS,39,FALSE)</f>
        <v>Yes</v>
      </c>
      <c r="Z1430" s="664"/>
      <c r="AA1430" s="665"/>
      <c r="AB1430" s="666"/>
      <c r="AC1430" s="652" t="s">
        <v>1951</v>
      </c>
      <c r="AD1430" s="580">
        <v>301</v>
      </c>
      <c r="AE1430" s="580">
        <v>20</v>
      </c>
      <c r="AF1430" s="580">
        <v>302</v>
      </c>
      <c r="AG1430" s="580">
        <v>8</v>
      </c>
      <c r="AH1430" s="580"/>
      <c r="AI1430" s="684"/>
      <c r="AJ1430" s="569"/>
      <c r="AK1430" s="569"/>
      <c r="AL1430" s="569"/>
      <c r="AM1430" s="569"/>
      <c r="AN1430" s="619"/>
      <c r="AO1430" s="829" t="str">
        <f t="shared" si="322"/>
        <v>Yes</v>
      </c>
      <c r="AP1430" s="259" t="str">
        <f t="shared" si="323"/>
        <v>MAR 23</v>
      </c>
      <c r="AQ1430" s="547" t="str">
        <f t="shared" si="324"/>
        <v>有定金+有預留客戶</v>
      </c>
      <c r="AR1430" s="259" t="str">
        <f t="shared" si="325"/>
        <v>Shipped_Stock</v>
      </c>
      <c r="AS1430" s="259" t="str">
        <f t="shared" si="326"/>
        <v/>
      </c>
      <c r="AT1430" s="259" t="str">
        <f t="shared" si="327"/>
        <v>海红天远</v>
      </c>
      <c r="AU1430" s="259" t="str">
        <f t="shared" si="328"/>
        <v>C49SZX20220128EC</v>
      </c>
      <c r="AV1430" s="259" t="str">
        <f t="shared" si="329"/>
        <v>Mar-24</v>
      </c>
    </row>
    <row r="1431" spans="1:48" hidden="1">
      <c r="A1431" s="564">
        <v>1818</v>
      </c>
      <c r="B1431" s="669" t="s">
        <v>1125</v>
      </c>
      <c r="C1431" s="669" t="s">
        <v>281</v>
      </c>
      <c r="D1431" s="650">
        <v>111222</v>
      </c>
      <c r="E1431" s="749" t="s">
        <v>2725</v>
      </c>
      <c r="F1431" s="652" t="s">
        <v>58</v>
      </c>
      <c r="G1431" s="652" t="s">
        <v>24</v>
      </c>
      <c r="H1431" s="652" t="s">
        <v>2410</v>
      </c>
      <c r="I1431" s="580" t="s">
        <v>3893</v>
      </c>
      <c r="J1431" s="580">
        <v>1</v>
      </c>
      <c r="K1431" s="652"/>
      <c r="L1431" s="662">
        <v>45023</v>
      </c>
      <c r="M1431" s="670">
        <v>5.16E-2</v>
      </c>
      <c r="N1431" s="652" t="s">
        <v>4349</v>
      </c>
      <c r="O1431" s="580">
        <v>2023.3</v>
      </c>
      <c r="P1431" s="670" t="str">
        <f>VLOOKUP(A1431,'[1]Raw data'!$B:$BA,23,FALSE)</f>
        <v>RMB</v>
      </c>
      <c r="Q1431" s="652" t="str">
        <f>VLOOKUP(A1431,'[1]Raw data'!$B:$Z,2,FALSE)</f>
        <v>C49SZX20230007SX</v>
      </c>
      <c r="R1431" s="652" t="str">
        <f>VLOOKUP(A1431,'[1]Raw data'!$B:$Z,3,FALSE)</f>
        <v>雷特</v>
      </c>
      <c r="S1431" s="652" t="str">
        <f>VLOOKUP(A1431,'[1]Raw data'!$B:$Z,4,FALSE)</f>
        <v>YSM20R-2</v>
      </c>
      <c r="T1431" s="652" t="str">
        <f>VLOOKUP(A1431,'[1]Raw data'!$B:$Z,8,FALSE)</f>
        <v>L-&gt;R</v>
      </c>
      <c r="U1431" s="652" t="str">
        <f>VLOOKUP(A1431,'[1]Raw data'!$B:$Z,9,FALSE)</f>
        <v>cATS10+MVC+Feeder Carriage</v>
      </c>
      <c r="V1431" s="572" t="str">
        <f t="shared" si="331"/>
        <v>OK</v>
      </c>
      <c r="W1431" s="568" t="str">
        <f>VLOOKUP(A1431,'[1]Raw data'!$B:$AG,32,FALSE)</f>
        <v>DDP ZH</v>
      </c>
      <c r="X1431" s="652">
        <f>VLOOKUP(A1431,'[1]Raw data'!$B:$BA,31,FALSE)</f>
        <v>44942</v>
      </c>
      <c r="Y1431" s="652" t="str">
        <f>VLOOKUP(A1431,'[1]Raw data'!$B:$AS,39,FALSE)</f>
        <v>Yes</v>
      </c>
      <c r="Z1431" s="664"/>
      <c r="AA1431" s="665"/>
      <c r="AB1431" s="666"/>
      <c r="AC1431" s="652" t="s">
        <v>1951</v>
      </c>
      <c r="AD1431" s="667">
        <v>301</v>
      </c>
      <c r="AE1431" s="667">
        <v>20</v>
      </c>
      <c r="AF1431" s="667"/>
      <c r="AG1431" s="667"/>
      <c r="AH1431" s="667"/>
      <c r="AI1431" s="668"/>
      <c r="AN1431" s="547"/>
      <c r="AO1431" s="829" t="str">
        <f t="shared" si="322"/>
        <v>Yes</v>
      </c>
      <c r="AP1431" s="259" t="str">
        <f t="shared" si="323"/>
        <v>TBA.</v>
      </c>
      <c r="AQ1431" s="547" t="str">
        <f t="shared" si="324"/>
        <v>有定金+有預留客戶</v>
      </c>
      <c r="AR1431" s="259" t="str">
        <f t="shared" si="325"/>
        <v>Shipped_Stock</v>
      </c>
      <c r="AS1431" s="259" t="str">
        <f t="shared" si="326"/>
        <v/>
      </c>
      <c r="AT1431" s="259" t="str">
        <f t="shared" si="327"/>
        <v>雷特</v>
      </c>
      <c r="AU1431" s="259" t="str">
        <f t="shared" si="328"/>
        <v>C49SZX20230007SX</v>
      </c>
      <c r="AV1431" s="259" t="str">
        <f t="shared" si="329"/>
        <v>Apr-07</v>
      </c>
    </row>
    <row r="1432" spans="1:48" hidden="1">
      <c r="A1432" s="564">
        <v>1856</v>
      </c>
      <c r="B1432" s="669" t="s">
        <v>1125</v>
      </c>
      <c r="C1432" s="669" t="s">
        <v>281</v>
      </c>
      <c r="D1432" s="650">
        <v>111252</v>
      </c>
      <c r="E1432" s="749" t="s">
        <v>1564</v>
      </c>
      <c r="F1432" s="652" t="s">
        <v>149</v>
      </c>
      <c r="G1432" s="652" t="s">
        <v>24</v>
      </c>
      <c r="H1432" s="652" t="s">
        <v>26</v>
      </c>
      <c r="I1432" s="580" t="s">
        <v>3894</v>
      </c>
      <c r="J1432" s="580">
        <v>1</v>
      </c>
      <c r="K1432" s="652"/>
      <c r="L1432" s="662">
        <v>45033</v>
      </c>
      <c r="M1432" s="670">
        <v>5.0900000000000001E-2</v>
      </c>
      <c r="N1432" s="652" t="s">
        <v>226</v>
      </c>
      <c r="O1432" s="580">
        <v>2023.3</v>
      </c>
      <c r="P1432" s="670" t="str">
        <f>VLOOKUP(A1432,'[1]Raw data'!$B:$BA,23,FALSE)</f>
        <v>RMB</v>
      </c>
      <c r="Q1432" s="652" t="str">
        <f>VLOOKUP(A1432,'[1]Raw data'!$B:$Z,2,FALSE)</f>
        <v>C49SZX20230029SS</v>
      </c>
      <c r="R1432" s="652" t="str">
        <f>VLOOKUP(A1432,'[1]Raw data'!$B:$Z,3,FALSE)</f>
        <v>龙大光电</v>
      </c>
      <c r="S1432" s="652" t="str">
        <f>VLOOKUP(A1432,'[1]Raw data'!$B:$Z,4,FALSE)</f>
        <v>YSM40R-4</v>
      </c>
      <c r="T1432" s="652" t="str">
        <f>VLOOKUP(A1432,'[1]Raw data'!$B:$Z,8,FALSE)</f>
        <v>R-&gt;L</v>
      </c>
      <c r="U1432" s="652" t="str">
        <f>VLOOKUP(A1432,'[1]Raw data'!$B:$Z,9,FALSE)</f>
        <v>No</v>
      </c>
      <c r="V1432" s="572" t="str">
        <f t="shared" ref="V1432:V1440" si="332">IF(G1432&amp;H1432=T1432&amp;U1432,"OK","WRONG")</f>
        <v>WRONG</v>
      </c>
      <c r="W1432" s="568" t="str">
        <f>VLOOKUP(A1432,'[1]Raw data'!$B:$AG,32,FALSE)</f>
        <v>DDP SZ</v>
      </c>
      <c r="X1432" s="652">
        <f>VLOOKUP(A1432,'[1]Raw data'!$B:$BA,31,FALSE)</f>
        <v>44985</v>
      </c>
      <c r="Y1432" s="652" t="str">
        <f>VLOOKUP(A1432,'[1]Raw data'!$B:$AS,39,FALSE)</f>
        <v>Yes</v>
      </c>
      <c r="Z1432" s="664"/>
      <c r="AA1432" s="665"/>
      <c r="AB1432" s="666"/>
      <c r="AC1432" s="652" t="s">
        <v>1951</v>
      </c>
      <c r="AD1432" s="667" t="s">
        <v>1566</v>
      </c>
      <c r="AE1432" s="667">
        <v>72</v>
      </c>
      <c r="AF1432" s="667"/>
      <c r="AG1432" s="667"/>
      <c r="AH1432" s="667"/>
      <c r="AI1432" s="668"/>
      <c r="AN1432" s="547"/>
      <c r="AO1432" s="829" t="str">
        <f t="shared" si="322"/>
        <v>Yes</v>
      </c>
      <c r="AP1432" s="259" t="str">
        <f t="shared" si="323"/>
        <v>APR 23</v>
      </c>
      <c r="AQ1432" s="547" t="str">
        <f t="shared" si="324"/>
        <v>有定金+有預留客戶</v>
      </c>
      <c r="AR1432" s="259" t="str">
        <f t="shared" si="325"/>
        <v>Shipped_Stock</v>
      </c>
      <c r="AS1432" s="259" t="str">
        <f t="shared" si="326"/>
        <v/>
      </c>
      <c r="AT1432" s="259" t="str">
        <f t="shared" si="327"/>
        <v>龙大光电</v>
      </c>
      <c r="AU1432" s="259" t="str">
        <f t="shared" si="328"/>
        <v>C49SZX20230029SS</v>
      </c>
      <c r="AV1432" s="259" t="str">
        <f t="shared" si="329"/>
        <v>Apr-17</v>
      </c>
    </row>
    <row r="1433" spans="1:48" hidden="1">
      <c r="A1433" s="564">
        <v>1857</v>
      </c>
      <c r="B1433" s="669" t="s">
        <v>1125</v>
      </c>
      <c r="C1433" s="669" t="s">
        <v>281</v>
      </c>
      <c r="D1433" s="650">
        <v>111252</v>
      </c>
      <c r="E1433" s="749" t="s">
        <v>1564</v>
      </c>
      <c r="F1433" s="652" t="s">
        <v>149</v>
      </c>
      <c r="G1433" s="652" t="s">
        <v>24</v>
      </c>
      <c r="H1433" s="652" t="s">
        <v>26</v>
      </c>
      <c r="I1433" s="580" t="s">
        <v>3895</v>
      </c>
      <c r="J1433" s="580">
        <v>1</v>
      </c>
      <c r="K1433" s="652"/>
      <c r="L1433" s="662">
        <v>45033</v>
      </c>
      <c r="M1433" s="670">
        <v>5.0900000000000001E-2</v>
      </c>
      <c r="N1433" s="652" t="s">
        <v>226</v>
      </c>
      <c r="O1433" s="580">
        <v>2023.3</v>
      </c>
      <c r="P1433" s="670" t="str">
        <f>VLOOKUP(A1433,'[1]Raw data'!$B:$BA,23,FALSE)</f>
        <v>RMB</v>
      </c>
      <c r="Q1433" s="652" t="str">
        <f>VLOOKUP(A1433,'[1]Raw data'!$B:$Z,2,FALSE)</f>
        <v>C49SZX20230029SS</v>
      </c>
      <c r="R1433" s="652" t="str">
        <f>VLOOKUP(A1433,'[1]Raw data'!$B:$Z,3,FALSE)</f>
        <v>龙大光电</v>
      </c>
      <c r="S1433" s="652" t="str">
        <f>VLOOKUP(A1433,'[1]Raw data'!$B:$Z,4,FALSE)</f>
        <v>YSM40R-4</v>
      </c>
      <c r="T1433" s="652" t="str">
        <f>VLOOKUP(A1433,'[1]Raw data'!$B:$Z,8,FALSE)</f>
        <v>R-&gt;L</v>
      </c>
      <c r="U1433" s="652" t="str">
        <f>VLOOKUP(A1433,'[1]Raw data'!$B:$Z,9,FALSE)</f>
        <v>No</v>
      </c>
      <c r="V1433" s="572" t="str">
        <f t="shared" si="332"/>
        <v>WRONG</v>
      </c>
      <c r="W1433" s="568" t="str">
        <f>VLOOKUP(A1433,'[1]Raw data'!$B:$AG,32,FALSE)</f>
        <v>DDP SZ</v>
      </c>
      <c r="X1433" s="652">
        <f>VLOOKUP(A1433,'[1]Raw data'!$B:$BA,31,FALSE)</f>
        <v>44985</v>
      </c>
      <c r="Y1433" s="652" t="str">
        <f>VLOOKUP(A1433,'[1]Raw data'!$B:$AS,39,FALSE)</f>
        <v>Yes</v>
      </c>
      <c r="Z1433" s="664"/>
      <c r="AA1433" s="665"/>
      <c r="AB1433" s="666"/>
      <c r="AC1433" s="652" t="s">
        <v>1951</v>
      </c>
      <c r="AD1433" s="667" t="s">
        <v>1566</v>
      </c>
      <c r="AE1433" s="667">
        <v>72</v>
      </c>
      <c r="AF1433" s="667"/>
      <c r="AG1433" s="667"/>
      <c r="AH1433" s="667"/>
      <c r="AI1433" s="668"/>
      <c r="AN1433" s="547"/>
      <c r="AO1433" s="829" t="str">
        <f t="shared" si="322"/>
        <v>Yes</v>
      </c>
      <c r="AP1433" s="259" t="str">
        <f t="shared" si="323"/>
        <v>APR 23</v>
      </c>
      <c r="AQ1433" s="547" t="str">
        <f t="shared" si="324"/>
        <v>有定金+有預留客戶</v>
      </c>
      <c r="AR1433" s="259" t="str">
        <f t="shared" si="325"/>
        <v>Shipped_Stock</v>
      </c>
      <c r="AS1433" s="259" t="str">
        <f t="shared" si="326"/>
        <v/>
      </c>
      <c r="AT1433" s="259" t="str">
        <f t="shared" si="327"/>
        <v>龙大光电</v>
      </c>
      <c r="AU1433" s="259" t="str">
        <f t="shared" si="328"/>
        <v>C49SZX20230029SS</v>
      </c>
      <c r="AV1433" s="259" t="str">
        <f t="shared" si="329"/>
        <v>Apr-17</v>
      </c>
    </row>
    <row r="1434" spans="1:48" hidden="1">
      <c r="A1434" s="564">
        <v>1858</v>
      </c>
      <c r="B1434" s="669" t="s">
        <v>1125</v>
      </c>
      <c r="C1434" s="669" t="s">
        <v>281</v>
      </c>
      <c r="D1434" s="650">
        <v>111252</v>
      </c>
      <c r="E1434" s="749" t="s">
        <v>1564</v>
      </c>
      <c r="F1434" s="652" t="s">
        <v>149</v>
      </c>
      <c r="G1434" s="652" t="s">
        <v>24</v>
      </c>
      <c r="H1434" s="652" t="s">
        <v>26</v>
      </c>
      <c r="I1434" s="580" t="s">
        <v>3896</v>
      </c>
      <c r="J1434" s="580">
        <v>1</v>
      </c>
      <c r="K1434" s="652"/>
      <c r="L1434" s="662">
        <v>45033</v>
      </c>
      <c r="M1434" s="670">
        <v>5.0900000000000001E-2</v>
      </c>
      <c r="N1434" s="652" t="s">
        <v>226</v>
      </c>
      <c r="O1434" s="580">
        <v>2023.3</v>
      </c>
      <c r="P1434" s="670" t="str">
        <f>VLOOKUP(A1434,'[1]Raw data'!$B:$BA,23,FALSE)</f>
        <v>RMB</v>
      </c>
      <c r="Q1434" s="652" t="str">
        <f>VLOOKUP(A1434,'[1]Raw data'!$B:$Z,2,FALSE)</f>
        <v>C49SZX20230029SS</v>
      </c>
      <c r="R1434" s="652" t="str">
        <f>VLOOKUP(A1434,'[1]Raw data'!$B:$Z,3,FALSE)</f>
        <v>龙大光电</v>
      </c>
      <c r="S1434" s="652" t="str">
        <f>VLOOKUP(A1434,'[1]Raw data'!$B:$Z,4,FALSE)</f>
        <v>YSM40R-4</v>
      </c>
      <c r="T1434" s="652" t="str">
        <f>VLOOKUP(A1434,'[1]Raw data'!$B:$Z,8,FALSE)</f>
        <v>L-&gt;R</v>
      </c>
      <c r="U1434" s="652" t="str">
        <f>VLOOKUP(A1434,'[1]Raw data'!$B:$Z,9,FALSE)</f>
        <v>No</v>
      </c>
      <c r="V1434" s="572" t="str">
        <f t="shared" si="332"/>
        <v>OK</v>
      </c>
      <c r="W1434" s="568" t="str">
        <f>VLOOKUP(A1434,'[1]Raw data'!$B:$AG,32,FALSE)</f>
        <v>DDP SZ</v>
      </c>
      <c r="X1434" s="652">
        <f>VLOOKUP(A1434,'[1]Raw data'!$B:$BA,31,FALSE)</f>
        <v>44985</v>
      </c>
      <c r="Y1434" s="652" t="str">
        <f>VLOOKUP(A1434,'[1]Raw data'!$B:$AS,39,FALSE)</f>
        <v>Yes</v>
      </c>
      <c r="Z1434" s="664"/>
      <c r="AA1434" s="665"/>
      <c r="AB1434" s="666"/>
      <c r="AC1434" s="652" t="s">
        <v>1951</v>
      </c>
      <c r="AD1434" s="667" t="s">
        <v>1566</v>
      </c>
      <c r="AE1434" s="667">
        <v>72</v>
      </c>
      <c r="AF1434" s="667"/>
      <c r="AG1434" s="667"/>
      <c r="AH1434" s="667"/>
      <c r="AI1434" s="668"/>
      <c r="AN1434" s="547"/>
      <c r="AO1434" s="829" t="str">
        <f t="shared" si="322"/>
        <v>Yes</v>
      </c>
      <c r="AP1434" s="259" t="str">
        <f t="shared" si="323"/>
        <v>APR 23</v>
      </c>
      <c r="AQ1434" s="547" t="str">
        <f t="shared" si="324"/>
        <v>有定金+有預留客戶</v>
      </c>
      <c r="AR1434" s="259" t="str">
        <f t="shared" si="325"/>
        <v>Shipped_Stock</v>
      </c>
      <c r="AS1434" s="259" t="str">
        <f t="shared" si="326"/>
        <v/>
      </c>
      <c r="AT1434" s="259" t="str">
        <f t="shared" si="327"/>
        <v>龙大光电</v>
      </c>
      <c r="AU1434" s="259" t="str">
        <f t="shared" si="328"/>
        <v>C49SZX20230029SS</v>
      </c>
      <c r="AV1434" s="259" t="str">
        <f t="shared" si="329"/>
        <v>Apr-17</v>
      </c>
    </row>
    <row r="1435" spans="1:48" hidden="1">
      <c r="A1435" s="564">
        <v>1859</v>
      </c>
      <c r="B1435" s="669" t="s">
        <v>1125</v>
      </c>
      <c r="C1435" s="669" t="s">
        <v>281</v>
      </c>
      <c r="D1435" s="650">
        <v>111252</v>
      </c>
      <c r="E1435" s="749" t="s">
        <v>1564</v>
      </c>
      <c r="F1435" s="652" t="s">
        <v>149</v>
      </c>
      <c r="G1435" s="652" t="s">
        <v>24</v>
      </c>
      <c r="H1435" s="652" t="s">
        <v>26</v>
      </c>
      <c r="I1435" s="580" t="s">
        <v>3897</v>
      </c>
      <c r="J1435" s="580">
        <v>1</v>
      </c>
      <c r="K1435" s="652"/>
      <c r="L1435" s="662">
        <v>45033</v>
      </c>
      <c r="M1435" s="670">
        <v>5.0900000000000001E-2</v>
      </c>
      <c r="N1435" s="652" t="s">
        <v>226</v>
      </c>
      <c r="O1435" s="580">
        <v>2023.3</v>
      </c>
      <c r="P1435" s="670" t="str">
        <f>VLOOKUP(A1435,'[1]Raw data'!$B:$BA,23,FALSE)</f>
        <v>RMB</v>
      </c>
      <c r="Q1435" s="652" t="str">
        <f>VLOOKUP(A1435,'[1]Raw data'!$B:$Z,2,FALSE)</f>
        <v>C49SZX20230029SS</v>
      </c>
      <c r="R1435" s="652" t="str">
        <f>VLOOKUP(A1435,'[1]Raw data'!$B:$Z,3,FALSE)</f>
        <v>龙大光电</v>
      </c>
      <c r="S1435" s="652" t="str">
        <f>VLOOKUP(A1435,'[1]Raw data'!$B:$Z,4,FALSE)</f>
        <v>YSM40R-4</v>
      </c>
      <c r="T1435" s="652" t="str">
        <f>VLOOKUP(A1435,'[1]Raw data'!$B:$Z,8,FALSE)</f>
        <v>L-&gt;R</v>
      </c>
      <c r="U1435" s="652" t="str">
        <f>VLOOKUP(A1435,'[1]Raw data'!$B:$Z,9,FALSE)</f>
        <v>No</v>
      </c>
      <c r="V1435" s="572" t="str">
        <f t="shared" si="332"/>
        <v>OK</v>
      </c>
      <c r="W1435" s="568" t="str">
        <f>VLOOKUP(A1435,'[1]Raw data'!$B:$AG,32,FALSE)</f>
        <v>DDP SZ</v>
      </c>
      <c r="X1435" s="652">
        <f>VLOOKUP(A1435,'[1]Raw data'!$B:$BA,31,FALSE)</f>
        <v>44985</v>
      </c>
      <c r="Y1435" s="652" t="str">
        <f>VLOOKUP(A1435,'[1]Raw data'!$B:$AS,39,FALSE)</f>
        <v>Yes</v>
      </c>
      <c r="Z1435" s="664"/>
      <c r="AA1435" s="665"/>
      <c r="AB1435" s="666"/>
      <c r="AC1435" s="652" t="s">
        <v>1951</v>
      </c>
      <c r="AD1435" s="667" t="s">
        <v>1566</v>
      </c>
      <c r="AE1435" s="667">
        <v>72</v>
      </c>
      <c r="AF1435" s="667"/>
      <c r="AG1435" s="667"/>
      <c r="AH1435" s="667"/>
      <c r="AI1435" s="668"/>
      <c r="AN1435" s="547"/>
      <c r="AO1435" s="829" t="str">
        <f t="shared" si="322"/>
        <v>Yes</v>
      </c>
      <c r="AP1435" s="259" t="str">
        <f t="shared" si="323"/>
        <v>APR 23</v>
      </c>
      <c r="AQ1435" s="547" t="str">
        <f t="shared" si="324"/>
        <v>有定金+有預留客戶</v>
      </c>
      <c r="AR1435" s="259" t="str">
        <f t="shared" si="325"/>
        <v>Shipped_Stock</v>
      </c>
      <c r="AS1435" s="259" t="str">
        <f t="shared" si="326"/>
        <v/>
      </c>
      <c r="AT1435" s="259" t="str">
        <f t="shared" si="327"/>
        <v>龙大光电</v>
      </c>
      <c r="AU1435" s="259" t="str">
        <f t="shared" si="328"/>
        <v>C49SZX20230029SS</v>
      </c>
      <c r="AV1435" s="259" t="str">
        <f t="shared" si="329"/>
        <v>Apr-17</v>
      </c>
    </row>
    <row r="1436" spans="1:48" ht="22.5" hidden="1">
      <c r="A1436" s="564">
        <v>2058</v>
      </c>
      <c r="B1436" s="669" t="s">
        <v>1125</v>
      </c>
      <c r="C1436" s="669" t="s">
        <v>281</v>
      </c>
      <c r="D1436" s="650">
        <v>111254</v>
      </c>
      <c r="E1436" s="749" t="s">
        <v>236</v>
      </c>
      <c r="F1436" s="652" t="s">
        <v>17</v>
      </c>
      <c r="G1436" s="652" t="s">
        <v>18</v>
      </c>
      <c r="H1436" s="652" t="s">
        <v>26</v>
      </c>
      <c r="I1436" s="580" t="s">
        <v>3935</v>
      </c>
      <c r="J1436" s="580">
        <v>1</v>
      </c>
      <c r="K1436" s="652" t="s">
        <v>4099</v>
      </c>
      <c r="L1436" s="662">
        <v>45054</v>
      </c>
      <c r="M1436" s="670" t="s">
        <v>4507</v>
      </c>
      <c r="N1436" s="652" t="s">
        <v>4375</v>
      </c>
      <c r="O1436" s="580">
        <v>2023.4</v>
      </c>
      <c r="P1436" s="670" t="str">
        <f>VLOOKUP(A1436,'[1]Raw data'!$B:$BA,23,FALSE)</f>
        <v>JPY</v>
      </c>
      <c r="Q1436" s="652" t="str">
        <f>VLOOKUP(A1436,'[1]Raw data'!$B:$Z,2,FALSE)</f>
        <v>C49SZX20230143SX</v>
      </c>
      <c r="R1436" s="652" t="str">
        <f>VLOOKUP(A1436,'[1]Raw data'!$B:$Z,3,FALSE)</f>
        <v>柏星</v>
      </c>
      <c r="S1436" s="652" t="str">
        <f>VLOOKUP(A1436,'[1]Raw data'!$B:$Z,4,FALSE)</f>
        <v>YSM10</v>
      </c>
      <c r="T1436" s="652" t="str">
        <f>VLOOKUP(A1436,'[1]Raw data'!$B:$Z,8,FALSE)</f>
        <v>L-&gt;R</v>
      </c>
      <c r="U1436" s="652" t="str">
        <f>VLOOKUP(A1436,'[1]Raw data'!$B:$Z,9,FALSE)</f>
        <v>MVC</v>
      </c>
      <c r="V1436" s="572" t="str">
        <f t="shared" si="332"/>
        <v>WRONG</v>
      </c>
      <c r="W1436" s="568" t="str">
        <f>VLOOKUP(A1436,'[1]Raw data'!$B:$AG,32,FALSE)</f>
        <v>DAP DG</v>
      </c>
      <c r="X1436" s="662">
        <f>VLOOKUP(A1436,'[1]Raw data'!$B:$BA,31,FALSE)</f>
        <v>45282</v>
      </c>
      <c r="Y1436" s="652" t="str">
        <f>VLOOKUP(A1436,'[1]Raw data'!$B:$AS,39,FALSE)</f>
        <v>Yes</v>
      </c>
      <c r="Z1436" s="664"/>
      <c r="AA1436" s="665"/>
      <c r="AB1436" s="666"/>
      <c r="AC1436" s="652" t="s">
        <v>410</v>
      </c>
      <c r="AD1436" s="667">
        <v>301</v>
      </c>
      <c r="AE1436" s="667">
        <v>10</v>
      </c>
      <c r="AF1436" s="667"/>
      <c r="AG1436" s="667"/>
      <c r="AH1436" s="667"/>
      <c r="AI1436" s="668"/>
      <c r="AN1436" s="547"/>
      <c r="AO1436" s="829" t="str">
        <f t="shared" si="322"/>
        <v>Yes</v>
      </c>
      <c r="AP1436" s="259" t="str">
        <f t="shared" si="323"/>
        <v>JAN 24</v>
      </c>
      <c r="AQ1436" s="547" t="str">
        <f t="shared" si="324"/>
        <v>有定金+有預留客戶</v>
      </c>
      <c r="AR1436" s="259" t="str">
        <f t="shared" si="325"/>
        <v>Shipped_Stock</v>
      </c>
      <c r="AS1436" s="259" t="str">
        <f t="shared" si="326"/>
        <v/>
      </c>
      <c r="AT1436" s="259" t="str">
        <f t="shared" si="327"/>
        <v>柏星</v>
      </c>
      <c r="AU1436" s="259" t="str">
        <f t="shared" si="328"/>
        <v>C49SZX20230143SX</v>
      </c>
      <c r="AV1436" s="259" t="str">
        <f t="shared" si="329"/>
        <v>May-08</v>
      </c>
    </row>
    <row r="1437" spans="1:48" hidden="1">
      <c r="A1437" s="564">
        <v>2025</v>
      </c>
      <c r="B1437" s="669" t="s">
        <v>1125</v>
      </c>
      <c r="C1437" s="669" t="s">
        <v>281</v>
      </c>
      <c r="D1437" s="650">
        <v>111254</v>
      </c>
      <c r="E1437" s="749" t="s">
        <v>236</v>
      </c>
      <c r="F1437" s="652" t="s">
        <v>17</v>
      </c>
      <c r="G1437" s="652" t="s">
        <v>18</v>
      </c>
      <c r="H1437" s="652" t="s">
        <v>26</v>
      </c>
      <c r="I1437" s="580" t="s">
        <v>4393</v>
      </c>
      <c r="J1437" s="580">
        <v>1</v>
      </c>
      <c r="K1437" s="652" t="s">
        <v>1732</v>
      </c>
      <c r="L1437" s="662">
        <v>45054</v>
      </c>
      <c r="M1437" s="670">
        <v>5.1799999999999999E-2</v>
      </c>
      <c r="N1437" s="652" t="s">
        <v>4344</v>
      </c>
      <c r="O1437" s="580">
        <v>2023.4</v>
      </c>
      <c r="P1437" s="670" t="str">
        <f>VLOOKUP(A1437,'[1]Raw data'!$B:$BA,23,FALSE)</f>
        <v>JPY</v>
      </c>
      <c r="Q1437" s="652" t="str">
        <f>VLOOKUP(A1437,'[1]Raw data'!$B:$Z,2,FALSE)</f>
        <v>C49SZX20230128SX</v>
      </c>
      <c r="R1437" s="652" t="str">
        <f>VLOOKUP(A1437,'[1]Raw data'!$B:$Z,3,FALSE)</f>
        <v>江西奕东</v>
      </c>
      <c r="S1437" s="652" t="str">
        <f>VLOOKUP(A1437,'[1]Raw data'!$B:$Z,4,FALSE)</f>
        <v>YSM10</v>
      </c>
      <c r="T1437" s="652" t="str">
        <f>VLOOKUP(A1437,'[1]Raw data'!$B:$Z,8,FALSE)</f>
        <v>L-&gt;R</v>
      </c>
      <c r="U1437" s="652" t="str">
        <f>VLOOKUP(A1437,'[1]Raw data'!$B:$Z,9,FALSE)</f>
        <v>MVC</v>
      </c>
      <c r="V1437" s="572" t="str">
        <f t="shared" si="332"/>
        <v>WRONG</v>
      </c>
      <c r="W1437" s="568" t="str">
        <f>VLOOKUP(A1437,'[1]Raw data'!$B:$AG,32,FALSE)</f>
        <v>DAP JX</v>
      </c>
      <c r="X1437" s="662">
        <f>VLOOKUP(A1437,'[1]Raw data'!$B:$BA,31,FALSE)</f>
        <v>45250</v>
      </c>
      <c r="Y1437" s="652" t="str">
        <f>VLOOKUP(A1437,'[1]Raw data'!$B:$AS,39,FALSE)</f>
        <v>Yes</v>
      </c>
      <c r="Z1437" s="664"/>
      <c r="AA1437" s="665"/>
      <c r="AB1437" s="666"/>
      <c r="AC1437" s="652" t="s">
        <v>4411</v>
      </c>
      <c r="AD1437" s="667">
        <v>301</v>
      </c>
      <c r="AE1437" s="667">
        <v>10</v>
      </c>
      <c r="AF1437" s="667"/>
      <c r="AG1437" s="667"/>
      <c r="AH1437" s="667"/>
      <c r="AI1437" s="668"/>
      <c r="AN1437" s="547"/>
      <c r="AO1437" s="829" t="str">
        <f t="shared" si="322"/>
        <v>Yes</v>
      </c>
      <c r="AP1437" s="259" t="str">
        <f t="shared" si="323"/>
        <v>NOV 23</v>
      </c>
      <c r="AQ1437" s="547" t="str">
        <f t="shared" si="324"/>
        <v>有定金+有預留客戶</v>
      </c>
      <c r="AR1437" s="259" t="str">
        <f t="shared" si="325"/>
        <v>Shipped_Stock</v>
      </c>
      <c r="AS1437" s="259" t="str">
        <f t="shared" si="326"/>
        <v/>
      </c>
      <c r="AT1437" s="259" t="str">
        <f t="shared" si="327"/>
        <v>江西奕东</v>
      </c>
      <c r="AU1437" s="259" t="str">
        <f t="shared" si="328"/>
        <v>C49SZX20230128SX</v>
      </c>
      <c r="AV1437" s="259" t="str">
        <f t="shared" si="329"/>
        <v>May-08</v>
      </c>
    </row>
    <row r="1438" spans="1:48" hidden="1">
      <c r="A1438" s="564">
        <v>2026</v>
      </c>
      <c r="B1438" s="669" t="s">
        <v>1125</v>
      </c>
      <c r="C1438" s="669" t="s">
        <v>281</v>
      </c>
      <c r="D1438" s="650">
        <v>111254</v>
      </c>
      <c r="E1438" s="749" t="s">
        <v>236</v>
      </c>
      <c r="F1438" s="652" t="s">
        <v>17</v>
      </c>
      <c r="G1438" s="652" t="s">
        <v>4394</v>
      </c>
      <c r="H1438" s="652" t="s">
        <v>4236</v>
      </c>
      <c r="I1438" s="580" t="s">
        <v>3936</v>
      </c>
      <c r="J1438" s="580">
        <v>1</v>
      </c>
      <c r="K1438" s="652" t="s">
        <v>1732</v>
      </c>
      <c r="L1438" s="662">
        <v>45054</v>
      </c>
      <c r="M1438" s="670">
        <v>5.1799999999999999E-2</v>
      </c>
      <c r="N1438" s="652" t="s">
        <v>4344</v>
      </c>
      <c r="O1438" s="580">
        <v>2023.4</v>
      </c>
      <c r="P1438" s="670" t="str">
        <f>VLOOKUP(A1438,'[1]Raw data'!$B:$BA,23,FALSE)</f>
        <v>JPY</v>
      </c>
      <c r="Q1438" s="652" t="str">
        <f>VLOOKUP(A1438,'[1]Raw data'!$B:$Z,2,FALSE)</f>
        <v>C49SZX20230128SX</v>
      </c>
      <c r="R1438" s="652" t="str">
        <f>VLOOKUP(A1438,'[1]Raw data'!$B:$Z,3,FALSE)</f>
        <v>江西奕东</v>
      </c>
      <c r="S1438" s="652" t="str">
        <f>VLOOKUP(A1438,'[1]Raw data'!$B:$Z,4,FALSE)</f>
        <v>YSM10</v>
      </c>
      <c r="T1438" s="652" t="str">
        <f>VLOOKUP(A1438,'[1]Raw data'!$B:$Z,8,FALSE)</f>
        <v>L-&gt;R</v>
      </c>
      <c r="U1438" s="652" t="str">
        <f>VLOOKUP(A1438,'[1]Raw data'!$B:$Z,9,FALSE)</f>
        <v>MVC</v>
      </c>
      <c r="V1438" s="572" t="str">
        <f t="shared" si="332"/>
        <v>WRONG</v>
      </c>
      <c r="W1438" s="568" t="str">
        <f>VLOOKUP(A1438,'[1]Raw data'!$B:$AG,32,FALSE)</f>
        <v>DAP JX</v>
      </c>
      <c r="X1438" s="662">
        <f>VLOOKUP(A1438,'[1]Raw data'!$B:$BA,31,FALSE)</f>
        <v>45250</v>
      </c>
      <c r="Y1438" s="652" t="str">
        <f>VLOOKUP(A1438,'[1]Raw data'!$B:$AS,39,FALSE)</f>
        <v>Yes</v>
      </c>
      <c r="Z1438" s="664"/>
      <c r="AA1438" s="665"/>
      <c r="AB1438" s="666"/>
      <c r="AC1438" s="652" t="s">
        <v>4411</v>
      </c>
      <c r="AD1438" s="667">
        <v>301</v>
      </c>
      <c r="AE1438" s="667">
        <v>10</v>
      </c>
      <c r="AF1438" s="667"/>
      <c r="AG1438" s="667"/>
      <c r="AH1438" s="667"/>
      <c r="AI1438" s="668"/>
      <c r="AN1438" s="547"/>
      <c r="AO1438" s="829" t="str">
        <f t="shared" si="322"/>
        <v>Yes</v>
      </c>
      <c r="AP1438" s="259" t="str">
        <f t="shared" si="323"/>
        <v>NOV 23</v>
      </c>
      <c r="AQ1438" s="547" t="str">
        <f t="shared" si="324"/>
        <v>有定金+有預留客戶</v>
      </c>
      <c r="AR1438" s="259" t="str">
        <f t="shared" si="325"/>
        <v>Shipped_Stock</v>
      </c>
      <c r="AS1438" s="259" t="str">
        <f t="shared" si="326"/>
        <v/>
      </c>
      <c r="AT1438" s="259" t="str">
        <f t="shared" si="327"/>
        <v>江西奕东</v>
      </c>
      <c r="AU1438" s="259" t="str">
        <f t="shared" si="328"/>
        <v>C49SZX20230128SX</v>
      </c>
      <c r="AV1438" s="259" t="str">
        <f t="shared" si="329"/>
        <v>May-08</v>
      </c>
    </row>
    <row r="1439" spans="1:48" hidden="1">
      <c r="A1439" s="564">
        <v>2031</v>
      </c>
      <c r="B1439" s="669" t="s">
        <v>1125</v>
      </c>
      <c r="C1439" s="669" t="s">
        <v>281</v>
      </c>
      <c r="D1439" s="650">
        <v>111254</v>
      </c>
      <c r="E1439" s="749" t="s">
        <v>236</v>
      </c>
      <c r="F1439" s="652" t="s">
        <v>17</v>
      </c>
      <c r="G1439" s="652" t="s">
        <v>18</v>
      </c>
      <c r="H1439" s="652" t="s">
        <v>26</v>
      </c>
      <c r="I1439" s="580" t="s">
        <v>3937</v>
      </c>
      <c r="J1439" s="580">
        <v>1</v>
      </c>
      <c r="K1439" s="652" t="s">
        <v>1732</v>
      </c>
      <c r="L1439" s="662">
        <v>45054</v>
      </c>
      <c r="M1439" s="670">
        <v>5.1799999999999999E-2</v>
      </c>
      <c r="N1439" s="652" t="s">
        <v>4404</v>
      </c>
      <c r="O1439" s="580">
        <v>2023.4</v>
      </c>
      <c r="P1439" s="670" t="str">
        <f>VLOOKUP(A1439,'[1]Raw data'!$B:$BA,23,FALSE)</f>
        <v>JPY</v>
      </c>
      <c r="Q1439" s="652" t="str">
        <f>VLOOKUP(A1439,'[1]Raw data'!$B:$Z,2,FALSE)</f>
        <v>C49SZX20230131EC</v>
      </c>
      <c r="R1439" s="652" t="str">
        <f>VLOOKUP(A1439,'[1]Raw data'!$B:$Z,3,FALSE)</f>
        <v>福瑞康</v>
      </c>
      <c r="S1439" s="652" t="str">
        <f>VLOOKUP(A1439,'[1]Raw data'!$B:$Z,4,FALSE)</f>
        <v>YSM10</v>
      </c>
      <c r="T1439" s="652" t="str">
        <f>VLOOKUP(A1439,'[1]Raw data'!$B:$Z,8,FALSE)</f>
        <v>L-&gt;R</v>
      </c>
      <c r="U1439" s="652" t="str">
        <f>VLOOKUP(A1439,'[1]Raw data'!$B:$Z,9,FALSE)</f>
        <v>MVC</v>
      </c>
      <c r="V1439" s="572" t="str">
        <f t="shared" si="332"/>
        <v>WRONG</v>
      </c>
      <c r="W1439" s="568" t="str">
        <f>VLOOKUP(A1439,'[1]Raw data'!$B:$AG,32,FALSE)</f>
        <v>DAP DG</v>
      </c>
      <c r="X1439" s="662">
        <f>VLOOKUP(A1439,'[1]Raw data'!$B:$BA,31,FALSE)</f>
        <v>45259</v>
      </c>
      <c r="Y1439" s="652" t="str">
        <f>VLOOKUP(A1439,'[1]Raw data'!$B:$AS,39,FALSE)</f>
        <v>Yes</v>
      </c>
      <c r="Z1439" s="671"/>
      <c r="AA1439" s="672"/>
      <c r="AB1439" s="673"/>
      <c r="AC1439" s="652" t="s">
        <v>4511</v>
      </c>
      <c r="AD1439" s="667">
        <v>301</v>
      </c>
      <c r="AE1439" s="667">
        <v>10</v>
      </c>
      <c r="AF1439" s="667"/>
      <c r="AG1439" s="667"/>
      <c r="AH1439" s="667"/>
      <c r="AI1439" s="668"/>
      <c r="AN1439" s="547"/>
      <c r="AO1439" s="829" t="str">
        <f t="shared" si="322"/>
        <v>Yes</v>
      </c>
      <c r="AP1439" s="259" t="str">
        <f t="shared" si="323"/>
        <v>DEC 23</v>
      </c>
      <c r="AQ1439" s="547" t="str">
        <f t="shared" si="324"/>
        <v>有定金+有預留客戶</v>
      </c>
      <c r="AR1439" s="259" t="str">
        <f t="shared" si="325"/>
        <v>Shipped_Stock</v>
      </c>
      <c r="AS1439" s="259" t="str">
        <f t="shared" si="326"/>
        <v/>
      </c>
      <c r="AT1439" s="259" t="str">
        <f t="shared" si="327"/>
        <v>福瑞康</v>
      </c>
      <c r="AU1439" s="259" t="str">
        <f t="shared" si="328"/>
        <v>C49SZX20230131EC</v>
      </c>
      <c r="AV1439" s="259" t="str">
        <f t="shared" si="329"/>
        <v>May-08</v>
      </c>
    </row>
    <row r="1440" spans="1:48" hidden="1">
      <c r="A1440" s="564">
        <v>2030</v>
      </c>
      <c r="B1440" s="669" t="s">
        <v>1125</v>
      </c>
      <c r="C1440" s="669" t="s">
        <v>281</v>
      </c>
      <c r="D1440" s="650">
        <v>111254</v>
      </c>
      <c r="E1440" s="749" t="s">
        <v>236</v>
      </c>
      <c r="F1440" s="652" t="s">
        <v>17</v>
      </c>
      <c r="G1440" s="652" t="s">
        <v>18</v>
      </c>
      <c r="H1440" s="652" t="s">
        <v>4200</v>
      </c>
      <c r="I1440" s="580" t="s">
        <v>3938</v>
      </c>
      <c r="J1440" s="580">
        <v>1</v>
      </c>
      <c r="K1440" s="652" t="s">
        <v>85</v>
      </c>
      <c r="L1440" s="662">
        <v>45054</v>
      </c>
      <c r="M1440" s="670">
        <v>5.1799999999999999E-2</v>
      </c>
      <c r="N1440" s="652" t="s">
        <v>4404</v>
      </c>
      <c r="O1440" s="580">
        <v>2023.4</v>
      </c>
      <c r="P1440" s="670" t="str">
        <f>VLOOKUP(A1440,'[1]Raw data'!$B:$BA,23,FALSE)</f>
        <v>JPY</v>
      </c>
      <c r="Q1440" s="652" t="str">
        <f>VLOOKUP(A1440,'[1]Raw data'!$B:$Z,2,FALSE)</f>
        <v>C49SZX20230132LC</v>
      </c>
      <c r="R1440" s="652" t="str">
        <f>VLOOKUP(A1440,'[1]Raw data'!$B:$Z,3,FALSE)</f>
        <v>声韵</v>
      </c>
      <c r="S1440" s="652" t="str">
        <f>VLOOKUP(A1440,'[1]Raw data'!$B:$Z,4,FALSE)</f>
        <v>YSM10</v>
      </c>
      <c r="T1440" s="652" t="str">
        <f>VLOOKUP(A1440,'[1]Raw data'!$B:$Z,8,FALSE)</f>
        <v>L-&gt;R</v>
      </c>
      <c r="U1440" s="652" t="str">
        <f>VLOOKUP(A1440,'[1]Raw data'!$B:$Z,9,FALSE)</f>
        <v>MVC</v>
      </c>
      <c r="V1440" s="572" t="str">
        <f t="shared" si="332"/>
        <v>WRONG</v>
      </c>
      <c r="W1440" s="568" t="str">
        <f>VLOOKUP(A1440,'[1]Raw data'!$B:$AG,32,FALSE)</f>
        <v>DAP DG</v>
      </c>
      <c r="X1440" s="662">
        <f>VLOOKUP(A1440,'[1]Raw data'!$B:$BA,31,FALSE)</f>
        <v>45259</v>
      </c>
      <c r="Y1440" s="652" t="str">
        <f>VLOOKUP(A1440,'[1]Raw data'!$B:$AS,39,FALSE)</f>
        <v>Yes</v>
      </c>
      <c r="Z1440" s="671"/>
      <c r="AA1440" s="672"/>
      <c r="AB1440" s="673"/>
      <c r="AC1440" s="652" t="s">
        <v>4471</v>
      </c>
      <c r="AD1440" s="667">
        <v>301</v>
      </c>
      <c r="AE1440" s="667">
        <v>10</v>
      </c>
      <c r="AF1440" s="667"/>
      <c r="AG1440" s="667"/>
      <c r="AH1440" s="667"/>
      <c r="AI1440" s="668"/>
      <c r="AN1440" s="547"/>
      <c r="AO1440" s="829" t="str">
        <f t="shared" si="322"/>
        <v>Yes</v>
      </c>
      <c r="AP1440" s="259" t="str">
        <f t="shared" si="323"/>
        <v>DEC 23</v>
      </c>
      <c r="AQ1440" s="547" t="str">
        <f t="shared" si="324"/>
        <v>有定金+有預留客戶</v>
      </c>
      <c r="AR1440" s="259" t="str">
        <f t="shared" si="325"/>
        <v>Shipped_Stock</v>
      </c>
      <c r="AS1440" s="259" t="str">
        <f t="shared" si="326"/>
        <v/>
      </c>
      <c r="AT1440" s="259" t="str">
        <f t="shared" si="327"/>
        <v>声韵</v>
      </c>
      <c r="AU1440" s="259" t="str">
        <f t="shared" si="328"/>
        <v>C49SZX20230132LC</v>
      </c>
      <c r="AV1440" s="259" t="str">
        <f t="shared" si="329"/>
        <v>May-08</v>
      </c>
    </row>
    <row r="1441" spans="1:48" hidden="1">
      <c r="A1441" s="604">
        <v>1842</v>
      </c>
      <c r="B1441" s="669" t="s">
        <v>1125</v>
      </c>
      <c r="C1441" s="669" t="s">
        <v>281</v>
      </c>
      <c r="D1441" s="650">
        <v>111247</v>
      </c>
      <c r="E1441" s="749" t="s">
        <v>2726</v>
      </c>
      <c r="F1441" s="652" t="s">
        <v>149</v>
      </c>
      <c r="G1441" s="652" t="s">
        <v>24</v>
      </c>
      <c r="H1441" s="652" t="s">
        <v>26</v>
      </c>
      <c r="I1441" s="580" t="s">
        <v>3931</v>
      </c>
      <c r="J1441" s="580">
        <v>1</v>
      </c>
      <c r="K1441" s="652"/>
      <c r="L1441" s="662">
        <v>45054</v>
      </c>
      <c r="M1441" s="670">
        <v>5.1700000000000003E-2</v>
      </c>
      <c r="N1441" s="652" t="s">
        <v>2502</v>
      </c>
      <c r="O1441" s="580">
        <v>2023.4</v>
      </c>
      <c r="P1441" s="670" t="str">
        <f>VLOOKUP(A1441,'[1]Raw data'!$B:$BA,23,FALSE)</f>
        <v>RMB</v>
      </c>
      <c r="Q1441" s="652" t="str">
        <f>VLOOKUP(A1441,'[1]Raw data'!$B:$Z,2,FALSE)</f>
        <v>C49SZX20230015DZ</v>
      </c>
      <c r="R1441" s="652" t="str">
        <f>VLOOKUP(A1441,'[1]Raw data'!$B:$Z,3,FALSE)</f>
        <v>深圳耕创</v>
      </c>
      <c r="S1441" s="652" t="str">
        <f>VLOOKUP(A1441,'[1]Raw data'!$B:$Z,4,FALSE)</f>
        <v>YSM40R-4</v>
      </c>
      <c r="T1441" s="652" t="str">
        <f>VLOOKUP(A1441,'[1]Raw data'!$B:$Z,8,FALSE)</f>
        <v>L-&gt;R</v>
      </c>
      <c r="U1441" s="652" t="str">
        <f>VLOOKUP(A1441,'[1]Raw data'!$B:$Z,9,FALSE)</f>
        <v>No</v>
      </c>
      <c r="V1441" s="572" t="str">
        <f>IF(G1441&amp;H1441=T1441&amp;U1441,"OK","WRONG")</f>
        <v>OK</v>
      </c>
      <c r="W1441" s="568" t="str">
        <f>VLOOKUP(A1441,'[1]Raw data'!$B:$AG,32,FALSE)</f>
        <v>DDP SZ</v>
      </c>
      <c r="X1441" s="652">
        <f>VLOOKUP(A1441,'[1]Raw data'!$B:$BA,31,FALSE)</f>
        <v>44978</v>
      </c>
      <c r="Y1441" s="652" t="str">
        <f>VLOOKUP(A1441,'[1]Raw data'!$B:$AS,39,FALSE)</f>
        <v>Yes</v>
      </c>
      <c r="Z1441" s="664"/>
      <c r="AA1441" s="715"/>
      <c r="AB1441" s="667"/>
      <c r="AC1441" s="580" t="s">
        <v>1951</v>
      </c>
      <c r="AD1441" s="580" t="s">
        <v>1566</v>
      </c>
      <c r="AE1441" s="580">
        <v>61</v>
      </c>
      <c r="AF1441" s="580">
        <v>7203</v>
      </c>
      <c r="AG1441" s="684">
        <v>11</v>
      </c>
      <c r="AH1441" s="569"/>
      <c r="AI1441" s="569"/>
      <c r="AJ1441" s="569"/>
      <c r="AK1441" s="569"/>
      <c r="AL1441" s="619"/>
      <c r="AM1441" s="619"/>
      <c r="AN1441" s="619"/>
      <c r="AO1441" s="829" t="str">
        <f t="shared" si="322"/>
        <v>Yes</v>
      </c>
      <c r="AP1441" s="259" t="str">
        <f t="shared" si="323"/>
        <v>MAY 23</v>
      </c>
      <c r="AQ1441" s="547" t="str">
        <f t="shared" si="324"/>
        <v>有定金+有預留客戶</v>
      </c>
      <c r="AR1441" s="259" t="str">
        <f t="shared" si="325"/>
        <v>Shipped_Stock</v>
      </c>
      <c r="AS1441" s="259" t="str">
        <f t="shared" si="326"/>
        <v/>
      </c>
      <c r="AT1441" s="259" t="str">
        <f t="shared" si="327"/>
        <v>深圳耕创</v>
      </c>
      <c r="AU1441" s="259" t="str">
        <f t="shared" si="328"/>
        <v>C49SZX20230015DZ</v>
      </c>
      <c r="AV1441" s="259" t="str">
        <f t="shared" si="329"/>
        <v>May-08</v>
      </c>
    </row>
    <row r="1442" spans="1:48" hidden="1">
      <c r="A1442" s="604">
        <v>1843</v>
      </c>
      <c r="B1442" s="669" t="s">
        <v>1125</v>
      </c>
      <c r="C1442" s="669" t="s">
        <v>281</v>
      </c>
      <c r="D1442" s="650">
        <v>111247</v>
      </c>
      <c r="E1442" s="749" t="s">
        <v>2726</v>
      </c>
      <c r="F1442" s="652" t="s">
        <v>149</v>
      </c>
      <c r="G1442" s="652" t="s">
        <v>24</v>
      </c>
      <c r="H1442" s="652" t="s">
        <v>26</v>
      </c>
      <c r="I1442" s="580" t="s">
        <v>3932</v>
      </c>
      <c r="J1442" s="580">
        <v>1</v>
      </c>
      <c r="K1442" s="652"/>
      <c r="L1442" s="662">
        <v>45054</v>
      </c>
      <c r="M1442" s="670">
        <v>5.1700000000000003E-2</v>
      </c>
      <c r="N1442" s="652" t="s">
        <v>2502</v>
      </c>
      <c r="O1442" s="580">
        <v>2023.4</v>
      </c>
      <c r="P1442" s="670" t="str">
        <f>VLOOKUP(A1442,'[1]Raw data'!$B:$BA,23,FALSE)</f>
        <v>RMB</v>
      </c>
      <c r="Q1442" s="652" t="str">
        <f>VLOOKUP(A1442,'[1]Raw data'!$B:$Z,2,FALSE)</f>
        <v>C49SZX20230016DZ</v>
      </c>
      <c r="R1442" s="652" t="str">
        <f>VLOOKUP(A1442,'[1]Raw data'!$B:$Z,3,FALSE)</f>
        <v>惠州耕创</v>
      </c>
      <c r="S1442" s="652" t="str">
        <f>VLOOKUP(A1442,'[1]Raw data'!$B:$Z,4,FALSE)</f>
        <v>YSM40R-4</v>
      </c>
      <c r="T1442" s="652" t="str">
        <f>VLOOKUP(A1442,'[1]Raw data'!$B:$Z,8,FALSE)</f>
        <v>L-&gt;R</v>
      </c>
      <c r="U1442" s="652" t="str">
        <f>VLOOKUP(A1442,'[1]Raw data'!$B:$Z,9,FALSE)</f>
        <v>No</v>
      </c>
      <c r="V1442" s="572" t="str">
        <f t="shared" ref="V1442" si="333">IF(G1442&amp;H1442=T1442&amp;U1442,"OK","WRONG")</f>
        <v>OK</v>
      </c>
      <c r="W1442" s="568" t="str">
        <f>VLOOKUP(A1442,'[1]Raw data'!$B:$AG,32,FALSE)</f>
        <v>DDP HZ</v>
      </c>
      <c r="X1442" s="652">
        <f>VLOOKUP(A1442,'[1]Raw data'!$B:$BA,31,FALSE)</f>
        <v>44978</v>
      </c>
      <c r="Y1442" s="652" t="str">
        <f>VLOOKUP(A1442,'[1]Raw data'!$B:$AS,39,FALSE)</f>
        <v>Yes</v>
      </c>
      <c r="Z1442" s="664"/>
      <c r="AA1442" s="665"/>
      <c r="AB1442" s="666"/>
      <c r="AC1442" s="580" t="s">
        <v>1951</v>
      </c>
      <c r="AD1442" s="580" t="s">
        <v>1566</v>
      </c>
      <c r="AE1442" s="580">
        <v>72</v>
      </c>
      <c r="AF1442" s="580"/>
      <c r="AG1442" s="580"/>
      <c r="AH1442" s="580"/>
      <c r="AI1442" s="684"/>
      <c r="AJ1442" s="569"/>
      <c r="AK1442" s="569"/>
      <c r="AL1442" s="569"/>
      <c r="AM1442" s="569"/>
      <c r="AN1442" s="619"/>
      <c r="AO1442" s="829" t="str">
        <f t="shared" si="322"/>
        <v>Yes</v>
      </c>
      <c r="AP1442" s="259" t="str">
        <f t="shared" si="323"/>
        <v>MAY 23</v>
      </c>
      <c r="AQ1442" s="547" t="str">
        <f t="shared" si="324"/>
        <v>有定金+有預留客戶</v>
      </c>
      <c r="AR1442" s="259" t="str">
        <f t="shared" si="325"/>
        <v>Shipped_Stock</v>
      </c>
      <c r="AS1442" s="259" t="str">
        <f t="shared" si="326"/>
        <v/>
      </c>
      <c r="AT1442" s="259" t="str">
        <f t="shared" si="327"/>
        <v>惠州耕创</v>
      </c>
      <c r="AU1442" s="259" t="str">
        <f t="shared" si="328"/>
        <v>C49SZX20230016DZ</v>
      </c>
      <c r="AV1442" s="259" t="str">
        <f t="shared" si="329"/>
        <v>May-08</v>
      </c>
    </row>
    <row r="1443" spans="1:48" hidden="1">
      <c r="A1443" s="604">
        <v>1844</v>
      </c>
      <c r="B1443" s="669" t="s">
        <v>1125</v>
      </c>
      <c r="C1443" s="669" t="s">
        <v>281</v>
      </c>
      <c r="D1443" s="650">
        <v>111247</v>
      </c>
      <c r="E1443" s="749" t="s">
        <v>2726</v>
      </c>
      <c r="F1443" s="652" t="s">
        <v>149</v>
      </c>
      <c r="G1443" s="652" t="s">
        <v>24</v>
      </c>
      <c r="H1443" s="652" t="s">
        <v>26</v>
      </c>
      <c r="I1443" s="580" t="s">
        <v>3933</v>
      </c>
      <c r="J1443" s="580">
        <v>1</v>
      </c>
      <c r="K1443" s="652"/>
      <c r="L1443" s="662">
        <v>45054</v>
      </c>
      <c r="M1443" s="670">
        <v>5.1700000000000003E-2</v>
      </c>
      <c r="N1443" s="652" t="s">
        <v>2502</v>
      </c>
      <c r="O1443" s="580">
        <v>2023.4</v>
      </c>
      <c r="P1443" s="670" t="str">
        <f>VLOOKUP(A1443,'[1]Raw data'!$B:$BA,23,FALSE)</f>
        <v>RMB</v>
      </c>
      <c r="Q1443" s="652" t="str">
        <f>VLOOKUP(A1443,'[1]Raw data'!$B:$Z,2,FALSE)</f>
        <v>C49SZX20230016DZ</v>
      </c>
      <c r="R1443" s="652" t="str">
        <f>VLOOKUP(A1443,'[1]Raw data'!$B:$Z,3,FALSE)</f>
        <v>惠州耕创</v>
      </c>
      <c r="S1443" s="652" t="str">
        <f>VLOOKUP(A1443,'[1]Raw data'!$B:$Z,4,FALSE)</f>
        <v>YSM40R-4</v>
      </c>
      <c r="T1443" s="652" t="str">
        <f>VLOOKUP(A1443,'[1]Raw data'!$B:$Z,8,FALSE)</f>
        <v>L-&gt;R</v>
      </c>
      <c r="U1443" s="652" t="str">
        <f>VLOOKUP(A1443,'[1]Raw data'!$B:$Z,9,FALSE)</f>
        <v>No</v>
      </c>
      <c r="V1443" s="572" t="str">
        <f t="shared" ref="V1443:V1444" si="334">IF(G1443&amp;H1443=T1443&amp;U1443,"OK","WRONG")</f>
        <v>OK</v>
      </c>
      <c r="W1443" s="568" t="str">
        <f>VLOOKUP(A1443,'[1]Raw data'!$B:$AG,32,FALSE)</f>
        <v>DDP HZ</v>
      </c>
      <c r="X1443" s="652">
        <f>VLOOKUP(A1443,'[1]Raw data'!$B:$BA,31,FALSE)</f>
        <v>44978</v>
      </c>
      <c r="Y1443" s="652" t="str">
        <f>VLOOKUP(A1443,'[1]Raw data'!$B:$AS,39,FALSE)</f>
        <v>Yes</v>
      </c>
      <c r="Z1443" s="664"/>
      <c r="AA1443" s="665"/>
      <c r="AB1443" s="666"/>
      <c r="AC1443" s="580" t="s">
        <v>1951</v>
      </c>
      <c r="AD1443" s="580" t="s">
        <v>1566</v>
      </c>
      <c r="AE1443" s="580">
        <v>72</v>
      </c>
      <c r="AF1443" s="580"/>
      <c r="AG1443" s="580"/>
      <c r="AH1443" s="580"/>
      <c r="AI1443" s="684"/>
      <c r="AJ1443" s="569"/>
      <c r="AK1443" s="569"/>
      <c r="AL1443" s="569"/>
      <c r="AM1443" s="569"/>
      <c r="AN1443" s="619"/>
      <c r="AO1443" s="829" t="str">
        <f t="shared" si="322"/>
        <v>Yes</v>
      </c>
      <c r="AP1443" s="259" t="str">
        <f t="shared" si="323"/>
        <v>MAY 23</v>
      </c>
      <c r="AQ1443" s="547" t="str">
        <f t="shared" si="324"/>
        <v>有定金+有預留客戶</v>
      </c>
      <c r="AR1443" s="259" t="str">
        <f t="shared" si="325"/>
        <v>Shipped_Stock</v>
      </c>
      <c r="AS1443" s="259" t="str">
        <f t="shared" si="326"/>
        <v/>
      </c>
      <c r="AT1443" s="259" t="str">
        <f t="shared" si="327"/>
        <v>惠州耕创</v>
      </c>
      <c r="AU1443" s="259" t="str">
        <f t="shared" si="328"/>
        <v>C49SZX20230016DZ</v>
      </c>
      <c r="AV1443" s="259" t="str">
        <f t="shared" si="329"/>
        <v>May-08</v>
      </c>
    </row>
    <row r="1444" spans="1:48" hidden="1">
      <c r="A1444" s="604">
        <v>1845</v>
      </c>
      <c r="B1444" s="669" t="s">
        <v>1125</v>
      </c>
      <c r="C1444" s="669" t="s">
        <v>281</v>
      </c>
      <c r="D1444" s="650">
        <v>111247</v>
      </c>
      <c r="E1444" s="749" t="s">
        <v>2726</v>
      </c>
      <c r="F1444" s="652" t="s">
        <v>149</v>
      </c>
      <c r="G1444" s="652" t="s">
        <v>24</v>
      </c>
      <c r="H1444" s="652" t="s">
        <v>26</v>
      </c>
      <c r="I1444" s="580" t="s">
        <v>3934</v>
      </c>
      <c r="J1444" s="580">
        <v>1</v>
      </c>
      <c r="K1444" s="652"/>
      <c r="L1444" s="662">
        <v>45054</v>
      </c>
      <c r="M1444" s="670">
        <v>5.1700000000000003E-2</v>
      </c>
      <c r="N1444" s="652" t="s">
        <v>2502</v>
      </c>
      <c r="O1444" s="580">
        <v>2023.4</v>
      </c>
      <c r="P1444" s="670" t="str">
        <f>VLOOKUP(A1444,'[1]Raw data'!$B:$BA,23,FALSE)</f>
        <v>RMB</v>
      </c>
      <c r="Q1444" s="652" t="str">
        <f>VLOOKUP(A1444,'[1]Raw data'!$B:$Z,2,FALSE)</f>
        <v>C49SZX20230016DZ</v>
      </c>
      <c r="R1444" s="652" t="str">
        <f>VLOOKUP(A1444,'[1]Raw data'!$B:$Z,3,FALSE)</f>
        <v>惠州耕创</v>
      </c>
      <c r="S1444" s="652" t="str">
        <f>VLOOKUP(A1444,'[1]Raw data'!$B:$Z,4,FALSE)</f>
        <v>YSM40R-4</v>
      </c>
      <c r="T1444" s="652" t="str">
        <f>VLOOKUP(A1444,'[1]Raw data'!$B:$Z,8,FALSE)</f>
        <v>L-&gt;R</v>
      </c>
      <c r="U1444" s="652" t="str">
        <f>VLOOKUP(A1444,'[1]Raw data'!$B:$Z,9,FALSE)</f>
        <v>No</v>
      </c>
      <c r="V1444" s="572" t="str">
        <f t="shared" si="334"/>
        <v>OK</v>
      </c>
      <c r="W1444" s="568" t="str">
        <f>VLOOKUP(A1444,'[1]Raw data'!$B:$AG,32,FALSE)</f>
        <v>DDP HZ</v>
      </c>
      <c r="X1444" s="652">
        <f>VLOOKUP(A1444,'[1]Raw data'!$B:$BA,31,FALSE)</f>
        <v>44978</v>
      </c>
      <c r="Y1444" s="652" t="str">
        <f>VLOOKUP(A1444,'[1]Raw data'!$B:$AS,39,FALSE)</f>
        <v>Yes</v>
      </c>
      <c r="Z1444" s="664"/>
      <c r="AA1444" s="665"/>
      <c r="AB1444" s="666"/>
      <c r="AC1444" s="580" t="s">
        <v>1951</v>
      </c>
      <c r="AD1444" s="580" t="s">
        <v>1566</v>
      </c>
      <c r="AE1444" s="580">
        <v>72</v>
      </c>
      <c r="AF1444" s="580"/>
      <c r="AG1444" s="580"/>
      <c r="AH1444" s="580"/>
      <c r="AI1444" s="684"/>
      <c r="AJ1444" s="569"/>
      <c r="AK1444" s="569"/>
      <c r="AL1444" s="569"/>
      <c r="AM1444" s="569"/>
      <c r="AN1444" s="619"/>
      <c r="AO1444" s="829" t="str">
        <f t="shared" si="322"/>
        <v>Yes</v>
      </c>
      <c r="AP1444" s="259" t="str">
        <f t="shared" si="323"/>
        <v>MAY 23</v>
      </c>
      <c r="AQ1444" s="547" t="str">
        <f t="shared" si="324"/>
        <v>有定金+有預留客戶</v>
      </c>
      <c r="AR1444" s="259" t="str">
        <f t="shared" si="325"/>
        <v>Shipped_Stock</v>
      </c>
      <c r="AS1444" s="259" t="str">
        <f t="shared" si="326"/>
        <v/>
      </c>
      <c r="AT1444" s="259" t="str">
        <f t="shared" si="327"/>
        <v>惠州耕创</v>
      </c>
      <c r="AU1444" s="259" t="str">
        <f t="shared" si="328"/>
        <v>C49SZX20230016DZ</v>
      </c>
      <c r="AV1444" s="259" t="str">
        <f t="shared" si="329"/>
        <v>May-08</v>
      </c>
    </row>
    <row r="1445" spans="1:48" hidden="1">
      <c r="A1445" s="604">
        <v>1867</v>
      </c>
      <c r="B1445" s="669" t="s">
        <v>1125</v>
      </c>
      <c r="C1445" s="669" t="s">
        <v>281</v>
      </c>
      <c r="D1445" s="650">
        <v>111258</v>
      </c>
      <c r="E1445" s="651" t="s">
        <v>2727</v>
      </c>
      <c r="F1445" s="652" t="s">
        <v>149</v>
      </c>
      <c r="G1445" s="652" t="s">
        <v>24</v>
      </c>
      <c r="H1445" s="652" t="s">
        <v>26</v>
      </c>
      <c r="I1445" s="580" t="s">
        <v>3939</v>
      </c>
      <c r="J1445" s="580">
        <v>1</v>
      </c>
      <c r="K1445" s="652"/>
      <c r="L1445" s="662">
        <v>45054</v>
      </c>
      <c r="M1445" s="670">
        <v>5.1799999999999999E-2</v>
      </c>
      <c r="N1445" s="652" t="s">
        <v>2502</v>
      </c>
      <c r="O1445" s="580">
        <v>2023.4</v>
      </c>
      <c r="P1445" s="670" t="str">
        <f>VLOOKUP(A1445,'[1]Raw data'!$B:$BA,23,FALSE)</f>
        <v>RMB</v>
      </c>
      <c r="Q1445" s="652" t="str">
        <f>VLOOKUP(A1445,'[1]Raw data'!$B:$Z,2,FALSE)</f>
        <v>C49SZX20230036SS</v>
      </c>
      <c r="R1445" s="652" t="str">
        <f>VLOOKUP(A1445,'[1]Raw data'!$B:$Z,3,FALSE)</f>
        <v>龙大光电</v>
      </c>
      <c r="S1445" s="652" t="str">
        <f>VLOOKUP(A1445,'[1]Raw data'!$B:$Z,4,FALSE)</f>
        <v>YSM40R-4</v>
      </c>
      <c r="T1445" s="652" t="str">
        <f>VLOOKUP(A1445,'[1]Raw data'!$B:$Z,8,FALSE)</f>
        <v>L-&gt;R</v>
      </c>
      <c r="U1445" s="652" t="str">
        <f>VLOOKUP(A1445,'[1]Raw data'!$B:$Z,9,FALSE)</f>
        <v>No</v>
      </c>
      <c r="V1445" s="572" t="str">
        <f>IF(G1445&amp;H1445=T1445&amp;U1445,"OK","WRONG")</f>
        <v>OK</v>
      </c>
      <c r="W1445" s="568" t="str">
        <f>VLOOKUP(A1445,'[1]Raw data'!$B:$AG,32,FALSE)</f>
        <v>DDP SZ</v>
      </c>
      <c r="X1445" s="652">
        <f>VLOOKUP(A1445,'[1]Raw data'!$B:$BA,31,FALSE)</f>
        <v>44988</v>
      </c>
      <c r="Y1445" s="652" t="str">
        <f>VLOOKUP(A1445,'[1]Raw data'!$B:$AS,39,FALSE)</f>
        <v>Yes</v>
      </c>
      <c r="Z1445" s="664"/>
      <c r="AA1445" s="665"/>
      <c r="AB1445" s="666"/>
      <c r="AC1445" s="580" t="s">
        <v>1951</v>
      </c>
      <c r="AD1445" s="580" t="s">
        <v>1566</v>
      </c>
      <c r="AE1445" s="580">
        <v>72</v>
      </c>
      <c r="AF1445" s="580"/>
      <c r="AG1445" s="580"/>
      <c r="AH1445" s="580"/>
      <c r="AI1445" s="684"/>
      <c r="AJ1445" s="569"/>
      <c r="AK1445" s="569"/>
      <c r="AL1445" s="569"/>
      <c r="AM1445" s="569"/>
      <c r="AN1445" s="619"/>
      <c r="AO1445" s="829" t="str">
        <f t="shared" si="322"/>
        <v>Yes</v>
      </c>
      <c r="AP1445" s="259" t="str">
        <f t="shared" si="323"/>
        <v>MAY 23</v>
      </c>
      <c r="AQ1445" s="547" t="str">
        <f t="shared" si="324"/>
        <v>有定金+有預留客戶</v>
      </c>
      <c r="AR1445" s="259" t="str">
        <f t="shared" si="325"/>
        <v>Shipped_Stock</v>
      </c>
      <c r="AS1445" s="259" t="str">
        <f t="shared" si="326"/>
        <v/>
      </c>
      <c r="AT1445" s="259" t="str">
        <f t="shared" si="327"/>
        <v>龙大光电</v>
      </c>
      <c r="AU1445" s="259" t="str">
        <f t="shared" si="328"/>
        <v>C49SZX20230036SS</v>
      </c>
      <c r="AV1445" s="259" t="str">
        <f t="shared" si="329"/>
        <v>May-08</v>
      </c>
    </row>
    <row r="1446" spans="1:48" hidden="1">
      <c r="A1446" s="604">
        <v>1868</v>
      </c>
      <c r="B1446" s="669" t="s">
        <v>1125</v>
      </c>
      <c r="C1446" s="669" t="s">
        <v>281</v>
      </c>
      <c r="D1446" s="650">
        <v>111258</v>
      </c>
      <c r="E1446" s="651" t="s">
        <v>2727</v>
      </c>
      <c r="F1446" s="652" t="s">
        <v>149</v>
      </c>
      <c r="G1446" s="652" t="s">
        <v>24</v>
      </c>
      <c r="H1446" s="652" t="s">
        <v>26</v>
      </c>
      <c r="I1446" s="580" t="s">
        <v>3940</v>
      </c>
      <c r="J1446" s="580">
        <v>1</v>
      </c>
      <c r="K1446" s="652"/>
      <c r="L1446" s="662">
        <v>45054</v>
      </c>
      <c r="M1446" s="670">
        <v>5.1799999999999999E-2</v>
      </c>
      <c r="N1446" s="652" t="s">
        <v>2502</v>
      </c>
      <c r="O1446" s="580">
        <v>2023.4</v>
      </c>
      <c r="P1446" s="670" t="str">
        <f>VLOOKUP(A1446,'[1]Raw data'!$B:$BA,23,FALSE)</f>
        <v>RMB</v>
      </c>
      <c r="Q1446" s="652" t="str">
        <f>VLOOKUP(A1446,'[1]Raw data'!$B:$Z,2,FALSE)</f>
        <v>C49SZX20230036SS</v>
      </c>
      <c r="R1446" s="652" t="str">
        <f>VLOOKUP(A1446,'[1]Raw data'!$B:$Z,3,FALSE)</f>
        <v>龙大光电</v>
      </c>
      <c r="S1446" s="652" t="str">
        <f>VLOOKUP(A1446,'[1]Raw data'!$B:$Z,4,FALSE)</f>
        <v>YSM40R-4</v>
      </c>
      <c r="T1446" s="652" t="str">
        <f>VLOOKUP(A1446,'[1]Raw data'!$B:$Z,8,FALSE)</f>
        <v>L-&gt;R</v>
      </c>
      <c r="U1446" s="652" t="str">
        <f>VLOOKUP(A1446,'[1]Raw data'!$B:$Z,9,FALSE)</f>
        <v>No</v>
      </c>
      <c r="V1446" s="572" t="str">
        <f>IF(G1446&amp;H1446=T1446&amp;U1446,"OK","WRONG")</f>
        <v>OK</v>
      </c>
      <c r="W1446" s="568" t="str">
        <f>VLOOKUP(A1446,'[1]Raw data'!$B:$AG,32,FALSE)</f>
        <v>DDP SZ</v>
      </c>
      <c r="X1446" s="652">
        <f>VLOOKUP(A1446,'[1]Raw data'!$B:$BA,31,FALSE)</f>
        <v>44988</v>
      </c>
      <c r="Y1446" s="652" t="str">
        <f>VLOOKUP(A1446,'[1]Raw data'!$B:$AS,39,FALSE)</f>
        <v>Yes</v>
      </c>
      <c r="Z1446" s="664"/>
      <c r="AA1446" s="665"/>
      <c r="AB1446" s="666"/>
      <c r="AC1446" s="580" t="s">
        <v>1951</v>
      </c>
      <c r="AD1446" s="580" t="s">
        <v>1566</v>
      </c>
      <c r="AE1446" s="580">
        <v>72</v>
      </c>
      <c r="AF1446" s="580"/>
      <c r="AG1446" s="580"/>
      <c r="AH1446" s="580"/>
      <c r="AI1446" s="684"/>
      <c r="AJ1446" s="569"/>
      <c r="AK1446" s="569"/>
      <c r="AL1446" s="569"/>
      <c r="AM1446" s="569"/>
      <c r="AN1446" s="619"/>
      <c r="AO1446" s="829" t="str">
        <f t="shared" si="322"/>
        <v>Yes</v>
      </c>
      <c r="AP1446" s="259" t="str">
        <f t="shared" si="323"/>
        <v>MAY 23</v>
      </c>
      <c r="AQ1446" s="547" t="str">
        <f t="shared" si="324"/>
        <v>有定金+有預留客戶</v>
      </c>
      <c r="AR1446" s="259" t="str">
        <f t="shared" si="325"/>
        <v>Shipped_Stock</v>
      </c>
      <c r="AS1446" s="259" t="str">
        <f t="shared" si="326"/>
        <v/>
      </c>
      <c r="AT1446" s="259" t="str">
        <f t="shared" si="327"/>
        <v>龙大光电</v>
      </c>
      <c r="AU1446" s="259" t="str">
        <f t="shared" si="328"/>
        <v>C49SZX20230036SS</v>
      </c>
      <c r="AV1446" s="259" t="str">
        <f t="shared" si="329"/>
        <v>May-08</v>
      </c>
    </row>
    <row r="1447" spans="1:48" hidden="1">
      <c r="A1447" s="564">
        <v>1954</v>
      </c>
      <c r="B1447" s="669" t="s">
        <v>1125</v>
      </c>
      <c r="C1447" s="669" t="s">
        <v>281</v>
      </c>
      <c r="D1447" s="650">
        <v>111253</v>
      </c>
      <c r="E1447" s="749" t="s">
        <v>236</v>
      </c>
      <c r="F1447" s="652" t="s">
        <v>58</v>
      </c>
      <c r="G1447" s="652" t="s">
        <v>24</v>
      </c>
      <c r="H1447" s="652" t="s">
        <v>26</v>
      </c>
      <c r="I1447" s="580" t="s">
        <v>3953</v>
      </c>
      <c r="J1447" s="580">
        <v>1</v>
      </c>
      <c r="K1447" s="652" t="s">
        <v>1419</v>
      </c>
      <c r="L1447" s="662">
        <v>45061</v>
      </c>
      <c r="M1447" s="670">
        <v>5.1799999999999999E-2</v>
      </c>
      <c r="N1447" s="652" t="s">
        <v>4045</v>
      </c>
      <c r="O1447" s="580">
        <v>2023.4</v>
      </c>
      <c r="P1447" s="670" t="str">
        <f>VLOOKUP(A1447,'[1]Raw data'!$B:$BA,23,FALSE)</f>
        <v>RMB</v>
      </c>
      <c r="Q1447" s="652" t="str">
        <f>VLOOKUP(A1447,'[1]Raw data'!$B:$Z,2,FALSE)</f>
        <v>LDY-2023071801</v>
      </c>
      <c r="R1447" s="652" t="str">
        <f>VLOOKUP(A1447,'[1]Raw data'!$B:$Z,3,FALSE)</f>
        <v>莱帝亚</v>
      </c>
      <c r="S1447" s="652" t="str">
        <f>VLOOKUP(A1447,'[1]Raw data'!$B:$Z,4,FALSE)</f>
        <v>YSM20R-2</v>
      </c>
      <c r="T1447" s="652" t="str">
        <f>VLOOKUP(A1447,'[1]Raw data'!$B:$Z,8,FALSE)</f>
        <v>L-&gt;R</v>
      </c>
      <c r="U1447" s="652" t="str">
        <f>VLOOKUP(A1447,'[1]Raw data'!$B:$Z,9,FALSE)</f>
        <v>MVC</v>
      </c>
      <c r="V1447" s="572" t="str">
        <f t="shared" ref="V1447:V1448" si="335">IF(G1447&amp;H1447=T1447&amp;U1447,"OK","WRONG")</f>
        <v>WRONG</v>
      </c>
      <c r="W1447" s="568" t="str">
        <f>VLOOKUP(A1447,'[1]Raw data'!$B:$AG,32,FALSE)</f>
        <v>DDP GZ</v>
      </c>
      <c r="X1447" s="662">
        <f>VLOOKUP(A1447,'[1]Raw data'!$B:$BA,31,FALSE)</f>
        <v>45131</v>
      </c>
      <c r="Y1447" s="652" t="str">
        <f>VLOOKUP(A1447,'[1]Raw data'!$B:$AS,39,FALSE)</f>
        <v>Yes</v>
      </c>
      <c r="Z1447" s="664"/>
      <c r="AA1447" s="665"/>
      <c r="AB1447" s="666"/>
      <c r="AC1447" s="652" t="s">
        <v>4168</v>
      </c>
      <c r="AD1447" s="667">
        <v>301</v>
      </c>
      <c r="AE1447" s="667">
        <v>10</v>
      </c>
      <c r="AF1447" s="667">
        <v>306</v>
      </c>
      <c r="AG1447" s="667">
        <v>10</v>
      </c>
      <c r="AH1447" s="667"/>
      <c r="AI1447" s="668"/>
      <c r="AN1447" s="547"/>
      <c r="AO1447" s="829" t="str">
        <f t="shared" si="322"/>
        <v>Yes</v>
      </c>
      <c r="AP1447" s="259" t="str">
        <f t="shared" si="323"/>
        <v>AUG 23</v>
      </c>
      <c r="AQ1447" s="547" t="str">
        <f t="shared" si="324"/>
        <v>有定金+有預留客戶</v>
      </c>
      <c r="AR1447" s="259" t="str">
        <f t="shared" si="325"/>
        <v>Shipped_Stock</v>
      </c>
      <c r="AS1447" s="259" t="str">
        <f t="shared" si="326"/>
        <v/>
      </c>
      <c r="AT1447" s="259" t="str">
        <f t="shared" si="327"/>
        <v>莱帝亚</v>
      </c>
      <c r="AU1447" s="259" t="str">
        <f t="shared" si="328"/>
        <v>LDY-2023071801</v>
      </c>
      <c r="AV1447" s="259" t="str">
        <f t="shared" si="329"/>
        <v>May-15</v>
      </c>
    </row>
    <row r="1448" spans="1:48" hidden="1">
      <c r="A1448" s="564">
        <v>1900</v>
      </c>
      <c r="B1448" s="669" t="s">
        <v>1125</v>
      </c>
      <c r="C1448" s="669" t="s">
        <v>281</v>
      </c>
      <c r="D1448" s="650">
        <v>111253</v>
      </c>
      <c r="E1448" s="749" t="s">
        <v>236</v>
      </c>
      <c r="F1448" s="652" t="s">
        <v>58</v>
      </c>
      <c r="G1448" s="652" t="s">
        <v>24</v>
      </c>
      <c r="H1448" s="652" t="s">
        <v>26</v>
      </c>
      <c r="I1448" s="580" t="s">
        <v>3954</v>
      </c>
      <c r="J1448" s="580">
        <v>1</v>
      </c>
      <c r="K1448" s="652" t="s">
        <v>1732</v>
      </c>
      <c r="L1448" s="662">
        <v>45061</v>
      </c>
      <c r="M1448" s="670">
        <v>5.1799999999999999E-2</v>
      </c>
      <c r="N1448" s="652" t="s">
        <v>4045</v>
      </c>
      <c r="O1448" s="580">
        <v>2023.4</v>
      </c>
      <c r="P1448" s="670" t="str">
        <f>VLOOKUP(A1448,'[1]Raw data'!$B:$BA,23,FALSE)</f>
        <v>RMB</v>
      </c>
      <c r="Q1448" s="652" t="str">
        <f>VLOOKUP(A1448,'[1]Raw data'!$B:$Z,2,FALSE)</f>
        <v>C49SZX20230048SQ</v>
      </c>
      <c r="R1448" s="652" t="str">
        <f>VLOOKUP(A1448,'[1]Raw data'!$B:$Z,3,FALSE)</f>
        <v>旭宇盛翔</v>
      </c>
      <c r="S1448" s="652" t="str">
        <f>VLOOKUP(A1448,'[1]Raw data'!$B:$Z,4,FALSE)</f>
        <v>YSM20R-2</v>
      </c>
      <c r="T1448" s="652" t="str">
        <f>VLOOKUP(A1448,'[1]Raw data'!$B:$Z,8,FALSE)</f>
        <v>L-&gt;R</v>
      </c>
      <c r="U1448" s="652" t="str">
        <f>VLOOKUP(A1448,'[1]Raw data'!$B:$Z,9,FALSE)</f>
        <v>No</v>
      </c>
      <c r="V1448" s="572" t="str">
        <f t="shared" si="335"/>
        <v>OK</v>
      </c>
      <c r="W1448" s="568" t="str">
        <f>VLOOKUP(A1448,'[1]Raw data'!$B:$AG,32,FALSE)</f>
        <v>DDP SZ</v>
      </c>
      <c r="X1448" s="662">
        <f>VLOOKUP(A1448,'[1]Raw data'!$B:$BA,31,FALSE)</f>
        <v>45034</v>
      </c>
      <c r="Y1448" s="652" t="str">
        <f>VLOOKUP(A1448,'[1]Raw data'!$B:$AS,39,FALSE)</f>
        <v>Yes</v>
      </c>
      <c r="Z1448" s="664"/>
      <c r="AA1448" s="665"/>
      <c r="AB1448" s="666"/>
      <c r="AC1448" s="652" t="s">
        <v>4135</v>
      </c>
      <c r="AD1448" s="667">
        <v>301</v>
      </c>
      <c r="AE1448" s="667">
        <v>10</v>
      </c>
      <c r="AF1448" s="667">
        <v>307</v>
      </c>
      <c r="AG1448" s="667">
        <v>10</v>
      </c>
      <c r="AH1448" s="667"/>
      <c r="AI1448" s="668"/>
      <c r="AN1448" s="547"/>
      <c r="AO1448" s="829" t="str">
        <f t="shared" si="322"/>
        <v>Yes</v>
      </c>
      <c r="AP1448" s="259" t="str">
        <f t="shared" si="323"/>
        <v>AUG 23</v>
      </c>
      <c r="AQ1448" s="547" t="str">
        <f t="shared" si="324"/>
        <v>有定金+有預留客戶</v>
      </c>
      <c r="AR1448" s="259" t="str">
        <f t="shared" si="325"/>
        <v>Shipped_Stock</v>
      </c>
      <c r="AS1448" s="259" t="str">
        <f t="shared" si="326"/>
        <v/>
      </c>
      <c r="AT1448" s="259" t="str">
        <f t="shared" si="327"/>
        <v>旭宇盛翔</v>
      </c>
      <c r="AU1448" s="259" t="str">
        <f t="shared" si="328"/>
        <v>C49SZX20230048SQ</v>
      </c>
      <c r="AV1448" s="259" t="str">
        <f t="shared" si="329"/>
        <v>May-15</v>
      </c>
    </row>
    <row r="1449" spans="1:48" hidden="1">
      <c r="A1449" s="604">
        <v>1928</v>
      </c>
      <c r="B1449" s="669" t="s">
        <v>1125</v>
      </c>
      <c r="C1449" s="669" t="s">
        <v>281</v>
      </c>
      <c r="D1449" s="650">
        <v>111253</v>
      </c>
      <c r="E1449" s="749" t="s">
        <v>236</v>
      </c>
      <c r="F1449" s="652" t="s">
        <v>58</v>
      </c>
      <c r="G1449" s="652" t="s">
        <v>24</v>
      </c>
      <c r="H1449" s="652" t="s">
        <v>307</v>
      </c>
      <c r="I1449" s="580" t="s">
        <v>3955</v>
      </c>
      <c r="J1449" s="580">
        <v>1</v>
      </c>
      <c r="K1449" s="652" t="s">
        <v>1732</v>
      </c>
      <c r="L1449" s="662">
        <v>45061</v>
      </c>
      <c r="M1449" s="670">
        <v>5.1799999999999999E-2</v>
      </c>
      <c r="N1449" s="652" t="s">
        <v>4045</v>
      </c>
      <c r="O1449" s="580">
        <v>2023.4</v>
      </c>
      <c r="P1449" s="670" t="str">
        <f>VLOOKUP(A1449,'[1]Raw data'!$B:$BA,23,FALSE)</f>
        <v>JPY</v>
      </c>
      <c r="Q1449" s="652" t="str">
        <f>VLOOKUP(A1449,'[1]Raw data'!$B:$Z,2,FALSE)</f>
        <v>C49SZX20230073MZ</v>
      </c>
      <c r="R1449" s="652" t="str">
        <f>VLOOKUP(A1449,'[1]Raw data'!$B:$Z,3,FALSE)</f>
        <v>方案集（End user:陆巡）</v>
      </c>
      <c r="S1449" s="652" t="str">
        <f>VLOOKUP(A1449,'[1]Raw data'!$B:$Z,4,FALSE)</f>
        <v>YSM20R-2</v>
      </c>
      <c r="T1449" s="652" t="str">
        <f>VLOOKUP(A1449,'[1]Raw data'!$B:$Z,8,FALSE)</f>
        <v>L-&gt;R</v>
      </c>
      <c r="U1449" s="652" t="str">
        <f>VLOOKUP(A1449,'[1]Raw data'!$B:$Z,9,FALSE)</f>
        <v>No</v>
      </c>
      <c r="V1449" s="572" t="str">
        <f>IF(G1449&amp;H1449=T1449&amp;U1449,"OK","WRONG")</f>
        <v>OK</v>
      </c>
      <c r="W1449" s="568" t="str">
        <f>VLOOKUP(A1449,'[1]Raw data'!$B:$AG,32,FALSE)</f>
        <v>CIF HK</v>
      </c>
      <c r="X1449" s="662">
        <f>VLOOKUP(A1449,'[1]Raw data'!$B:$BA,31,FALSE)</f>
        <v>45097</v>
      </c>
      <c r="Y1449" s="652" t="str">
        <f>VLOOKUP(A1449,'[1]Raw data'!$B:$AS,39,FALSE)</f>
        <v>Yes</v>
      </c>
      <c r="Z1449" s="664"/>
      <c r="AA1449" s="665"/>
      <c r="AB1449" s="666"/>
      <c r="AC1449" s="652" t="s">
        <v>4152</v>
      </c>
      <c r="AD1449" s="580">
        <v>301</v>
      </c>
      <c r="AE1449" s="580">
        <v>20</v>
      </c>
      <c r="AF1449" s="580"/>
      <c r="AG1449" s="580"/>
      <c r="AH1449" s="580"/>
      <c r="AI1449" s="684"/>
      <c r="AJ1449" s="569"/>
      <c r="AK1449" s="569"/>
      <c r="AL1449" s="569"/>
      <c r="AM1449" s="569"/>
      <c r="AN1449" s="619"/>
      <c r="AO1449" s="829" t="str">
        <f t="shared" si="322"/>
        <v>Yes</v>
      </c>
      <c r="AP1449" s="259" t="str">
        <f t="shared" si="323"/>
        <v>AUG 23</v>
      </c>
      <c r="AQ1449" s="547" t="str">
        <f t="shared" si="324"/>
        <v>有定金+有預留客戶</v>
      </c>
      <c r="AR1449" s="259" t="str">
        <f t="shared" si="325"/>
        <v>Shipped_Stock</v>
      </c>
      <c r="AS1449" s="259" t="str">
        <f t="shared" si="326"/>
        <v/>
      </c>
      <c r="AT1449" s="259" t="str">
        <f t="shared" si="327"/>
        <v>方案集（End user:陆巡）</v>
      </c>
      <c r="AU1449" s="259" t="str">
        <f t="shared" si="328"/>
        <v>C49SZX20230073MZ</v>
      </c>
      <c r="AV1449" s="259" t="str">
        <f t="shared" si="329"/>
        <v>May-15</v>
      </c>
    </row>
    <row r="1450" spans="1:48" hidden="1">
      <c r="A1450" s="604">
        <v>1929</v>
      </c>
      <c r="B1450" s="669" t="s">
        <v>1125</v>
      </c>
      <c r="C1450" s="669" t="s">
        <v>281</v>
      </c>
      <c r="D1450" s="650">
        <v>111253</v>
      </c>
      <c r="E1450" s="749" t="s">
        <v>236</v>
      </c>
      <c r="F1450" s="652" t="s">
        <v>58</v>
      </c>
      <c r="G1450" s="652" t="s">
        <v>24</v>
      </c>
      <c r="H1450" s="652" t="s">
        <v>26</v>
      </c>
      <c r="I1450" s="580" t="s">
        <v>3956</v>
      </c>
      <c r="J1450" s="580">
        <v>1</v>
      </c>
      <c r="K1450" s="652" t="s">
        <v>1732</v>
      </c>
      <c r="L1450" s="662">
        <v>45061</v>
      </c>
      <c r="M1450" s="670">
        <v>5.1799999999999999E-2</v>
      </c>
      <c r="N1450" s="652" t="s">
        <v>4045</v>
      </c>
      <c r="O1450" s="580">
        <v>2023.4</v>
      </c>
      <c r="P1450" s="670" t="str">
        <f>VLOOKUP(A1450,'[1]Raw data'!$B:$BA,23,FALSE)</f>
        <v>JPY</v>
      </c>
      <c r="Q1450" s="652" t="str">
        <f>VLOOKUP(A1450,'[1]Raw data'!$B:$Z,2,FALSE)</f>
        <v>C49SZX20230073MZ</v>
      </c>
      <c r="R1450" s="652" t="str">
        <f>VLOOKUP(A1450,'[1]Raw data'!$B:$Z,3,FALSE)</f>
        <v>方案集（End user:陆巡）</v>
      </c>
      <c r="S1450" s="652" t="str">
        <f>VLOOKUP(A1450,'[1]Raw data'!$B:$Z,4,FALSE)</f>
        <v>YSM20R-2</v>
      </c>
      <c r="T1450" s="652" t="str">
        <f>VLOOKUP(A1450,'[1]Raw data'!$B:$Z,8,FALSE)</f>
        <v>L-&gt;R</v>
      </c>
      <c r="U1450" s="652" t="str">
        <f>VLOOKUP(A1450,'[1]Raw data'!$B:$Z,9,FALSE)</f>
        <v>No</v>
      </c>
      <c r="V1450" s="572" t="str">
        <f>IF(G1450&amp;H1450=T1450&amp;U1450,"OK","WRONG")</f>
        <v>OK</v>
      </c>
      <c r="W1450" s="568" t="str">
        <f>VLOOKUP(A1450,'[1]Raw data'!$B:$AG,32,FALSE)</f>
        <v>CIF HK</v>
      </c>
      <c r="X1450" s="662">
        <f>VLOOKUP(A1450,'[1]Raw data'!$B:$BA,31,FALSE)</f>
        <v>45097</v>
      </c>
      <c r="Y1450" s="652" t="str">
        <f>VLOOKUP(A1450,'[1]Raw data'!$B:$AS,39,FALSE)</f>
        <v>Yes</v>
      </c>
      <c r="Z1450" s="664"/>
      <c r="AA1450" s="665"/>
      <c r="AB1450" s="666"/>
      <c r="AC1450" s="652" t="s">
        <v>4152</v>
      </c>
      <c r="AD1450" s="580">
        <v>301</v>
      </c>
      <c r="AE1450" s="580">
        <v>20</v>
      </c>
      <c r="AF1450" s="580"/>
      <c r="AG1450" s="580"/>
      <c r="AH1450" s="580"/>
      <c r="AI1450" s="684"/>
      <c r="AJ1450" s="569"/>
      <c r="AK1450" s="569"/>
      <c r="AL1450" s="569"/>
      <c r="AM1450" s="569"/>
      <c r="AN1450" s="619"/>
      <c r="AO1450" s="829" t="str">
        <f t="shared" si="322"/>
        <v>Yes</v>
      </c>
      <c r="AP1450" s="259" t="str">
        <f t="shared" si="323"/>
        <v>AUG 23</v>
      </c>
      <c r="AQ1450" s="547" t="str">
        <f t="shared" si="324"/>
        <v>有定金+有預留客戶</v>
      </c>
      <c r="AR1450" s="259" t="str">
        <f t="shared" si="325"/>
        <v>Shipped_Stock</v>
      </c>
      <c r="AS1450" s="259" t="str">
        <f t="shared" si="326"/>
        <v/>
      </c>
      <c r="AT1450" s="259" t="str">
        <f t="shared" si="327"/>
        <v>方案集（End user:陆巡）</v>
      </c>
      <c r="AU1450" s="259" t="str">
        <f t="shared" si="328"/>
        <v>C49SZX20230073MZ</v>
      </c>
      <c r="AV1450" s="259" t="str">
        <f t="shared" si="329"/>
        <v>May-15</v>
      </c>
    </row>
    <row r="1451" spans="1:48" hidden="1">
      <c r="A1451" s="564">
        <v>1976</v>
      </c>
      <c r="B1451" s="669" t="s">
        <v>1125</v>
      </c>
      <c r="C1451" s="669" t="s">
        <v>281</v>
      </c>
      <c r="D1451" s="650">
        <v>111253</v>
      </c>
      <c r="E1451" s="749" t="s">
        <v>236</v>
      </c>
      <c r="F1451" s="652" t="s">
        <v>58</v>
      </c>
      <c r="G1451" s="652" t="s">
        <v>24</v>
      </c>
      <c r="H1451" s="652" t="s">
        <v>26</v>
      </c>
      <c r="I1451" s="580" t="s">
        <v>3957</v>
      </c>
      <c r="J1451" s="580">
        <v>1</v>
      </c>
      <c r="K1451" s="652" t="s">
        <v>1732</v>
      </c>
      <c r="L1451" s="662">
        <v>45061</v>
      </c>
      <c r="M1451" s="670">
        <v>5.1799999999999999E-2</v>
      </c>
      <c r="N1451" s="652" t="s">
        <v>4169</v>
      </c>
      <c r="O1451" s="580">
        <v>2023.4</v>
      </c>
      <c r="P1451" s="670" t="str">
        <f>VLOOKUP(A1451,'[1]Raw data'!$B:$BA,23,FALSE)</f>
        <v>JPY</v>
      </c>
      <c r="Q1451" s="652" t="str">
        <f>VLOOKUP(A1451,'[1]Raw data'!$B:$Z,2,FALSE)</f>
        <v>C49SZX20230102SX</v>
      </c>
      <c r="R1451" s="652" t="str">
        <f>VLOOKUP(A1451,'[1]Raw data'!$B:$Z,3,FALSE)</f>
        <v>太美亚</v>
      </c>
      <c r="S1451" s="652" t="str">
        <f>VLOOKUP(A1451,'[1]Raw data'!$B:$Z,4,FALSE)</f>
        <v>YSM20R-2</v>
      </c>
      <c r="T1451" s="652" t="str">
        <f>VLOOKUP(A1451,'[1]Raw data'!$B:$Z,8,FALSE)</f>
        <v>L-&gt;R</v>
      </c>
      <c r="U1451" s="652" t="str">
        <f>VLOOKUP(A1451,'[1]Raw data'!$B:$Z,9,FALSE)</f>
        <v>No</v>
      </c>
      <c r="V1451" s="572" t="str">
        <f>IF(G1451&amp;H1451=T1451&amp;U1451,"OK","WRONG")</f>
        <v>OK</v>
      </c>
      <c r="W1451" s="568" t="str">
        <f>VLOOKUP(A1451,'[1]Raw data'!$B:$AG,32,FALSE)</f>
        <v>DAP YC</v>
      </c>
      <c r="X1451" s="662">
        <f>VLOOKUP(A1451,'[1]Raw data'!$B:$BA,31,FALSE)</f>
        <v>45184</v>
      </c>
      <c r="Y1451" s="652" t="str">
        <f>VLOOKUP(A1451,'[1]Raw data'!$B:$AS,39,FALSE)</f>
        <v>Yes</v>
      </c>
      <c r="Z1451" s="664"/>
      <c r="AA1451" s="665"/>
      <c r="AB1451" s="666"/>
      <c r="AC1451" s="652" t="s">
        <v>4240</v>
      </c>
      <c r="AD1451" s="667">
        <v>301</v>
      </c>
      <c r="AE1451" s="667">
        <v>20</v>
      </c>
      <c r="AF1451" s="667"/>
      <c r="AG1451" s="667"/>
      <c r="AH1451" s="667"/>
      <c r="AI1451" s="668"/>
      <c r="AN1451" s="547"/>
      <c r="AO1451" s="829" t="str">
        <f t="shared" si="322"/>
        <v>Yes</v>
      </c>
      <c r="AP1451" s="259" t="str">
        <f t="shared" si="323"/>
        <v>SEP 23</v>
      </c>
      <c r="AQ1451" s="547" t="str">
        <f t="shared" si="324"/>
        <v>有定金+有預留客戶</v>
      </c>
      <c r="AR1451" s="259" t="str">
        <f t="shared" si="325"/>
        <v>Shipped_Stock</v>
      </c>
      <c r="AS1451" s="259" t="str">
        <f t="shared" si="326"/>
        <v/>
      </c>
      <c r="AT1451" s="259" t="str">
        <f t="shared" si="327"/>
        <v>太美亚</v>
      </c>
      <c r="AU1451" s="259" t="str">
        <f t="shared" si="328"/>
        <v>C49SZX20230102SX</v>
      </c>
      <c r="AV1451" s="259" t="str">
        <f t="shared" si="329"/>
        <v>May-15</v>
      </c>
    </row>
    <row r="1452" spans="1:48" hidden="1">
      <c r="A1452" s="564">
        <v>1977</v>
      </c>
      <c r="B1452" s="669" t="s">
        <v>1125</v>
      </c>
      <c r="C1452" s="669" t="s">
        <v>281</v>
      </c>
      <c r="D1452" s="650">
        <v>111253</v>
      </c>
      <c r="E1452" s="749" t="s">
        <v>236</v>
      </c>
      <c r="F1452" s="652" t="s">
        <v>58</v>
      </c>
      <c r="G1452" s="652" t="s">
        <v>24</v>
      </c>
      <c r="H1452" s="652" t="s">
        <v>26</v>
      </c>
      <c r="I1452" s="580" t="s">
        <v>3958</v>
      </c>
      <c r="J1452" s="580">
        <v>1</v>
      </c>
      <c r="K1452" s="652" t="s">
        <v>1732</v>
      </c>
      <c r="L1452" s="662">
        <v>45061</v>
      </c>
      <c r="M1452" s="670">
        <v>5.1799999999999999E-2</v>
      </c>
      <c r="N1452" s="652" t="s">
        <v>4169</v>
      </c>
      <c r="O1452" s="580">
        <v>2023.4</v>
      </c>
      <c r="P1452" s="670" t="str">
        <f>VLOOKUP(A1452,'[1]Raw data'!$B:$BA,23,FALSE)</f>
        <v>JPY</v>
      </c>
      <c r="Q1452" s="652" t="str">
        <f>VLOOKUP(A1452,'[1]Raw data'!$B:$Z,2,FALSE)</f>
        <v>C49SZX20230102SX</v>
      </c>
      <c r="R1452" s="652" t="str">
        <f>VLOOKUP(A1452,'[1]Raw data'!$B:$Z,3,FALSE)</f>
        <v>太美亚</v>
      </c>
      <c r="S1452" s="652" t="str">
        <f>VLOOKUP(A1452,'[1]Raw data'!$B:$Z,4,FALSE)</f>
        <v>YSM20R-2</v>
      </c>
      <c r="T1452" s="652" t="str">
        <f>VLOOKUP(A1452,'[1]Raw data'!$B:$Z,8,FALSE)</f>
        <v>L-&gt;R</v>
      </c>
      <c r="U1452" s="652" t="str">
        <f>VLOOKUP(A1452,'[1]Raw data'!$B:$Z,9,FALSE)</f>
        <v>No</v>
      </c>
      <c r="V1452" s="572" t="str">
        <f t="shared" ref="V1452:V1454" si="336">IF(G1452&amp;H1452=T1452&amp;U1452,"OK","WRONG")</f>
        <v>OK</v>
      </c>
      <c r="W1452" s="568" t="str">
        <f>VLOOKUP(A1452,'[1]Raw data'!$B:$AG,32,FALSE)</f>
        <v>DAP YC</v>
      </c>
      <c r="X1452" s="662">
        <f>VLOOKUP(A1452,'[1]Raw data'!$B:$BA,31,FALSE)</f>
        <v>45184</v>
      </c>
      <c r="Y1452" s="652" t="str">
        <f>VLOOKUP(A1452,'[1]Raw data'!$B:$AS,39,FALSE)</f>
        <v>Yes</v>
      </c>
      <c r="Z1452" s="664"/>
      <c r="AA1452" s="665"/>
      <c r="AB1452" s="666"/>
      <c r="AC1452" s="652" t="s">
        <v>4240</v>
      </c>
      <c r="AD1452" s="667">
        <v>301</v>
      </c>
      <c r="AE1452" s="667">
        <v>20</v>
      </c>
      <c r="AF1452" s="667"/>
      <c r="AG1452" s="667"/>
      <c r="AH1452" s="667"/>
      <c r="AI1452" s="668"/>
      <c r="AN1452" s="547"/>
      <c r="AO1452" s="829" t="str">
        <f t="shared" si="322"/>
        <v>Yes</v>
      </c>
      <c r="AP1452" s="259" t="str">
        <f t="shared" si="323"/>
        <v>SEP 23</v>
      </c>
      <c r="AQ1452" s="547" t="str">
        <f t="shared" si="324"/>
        <v>有定金+有預留客戶</v>
      </c>
      <c r="AR1452" s="259" t="str">
        <f t="shared" si="325"/>
        <v>Shipped_Stock</v>
      </c>
      <c r="AS1452" s="259" t="str">
        <f t="shared" si="326"/>
        <v/>
      </c>
      <c r="AT1452" s="259" t="str">
        <f t="shared" si="327"/>
        <v>太美亚</v>
      </c>
      <c r="AU1452" s="259" t="str">
        <f t="shared" si="328"/>
        <v>C49SZX20230102SX</v>
      </c>
      <c r="AV1452" s="259" t="str">
        <f t="shared" si="329"/>
        <v>May-15</v>
      </c>
    </row>
    <row r="1453" spans="1:48" hidden="1">
      <c r="A1453" s="564">
        <v>1950</v>
      </c>
      <c r="B1453" s="669" t="s">
        <v>1125</v>
      </c>
      <c r="C1453" s="669" t="s">
        <v>281</v>
      </c>
      <c r="D1453" s="650">
        <v>111253</v>
      </c>
      <c r="E1453" s="749" t="s">
        <v>236</v>
      </c>
      <c r="F1453" s="652" t="s">
        <v>58</v>
      </c>
      <c r="G1453" s="652" t="s">
        <v>24</v>
      </c>
      <c r="H1453" s="652" t="s">
        <v>26</v>
      </c>
      <c r="I1453" s="580" t="s">
        <v>3959</v>
      </c>
      <c r="J1453" s="580">
        <v>1</v>
      </c>
      <c r="K1453" s="652" t="s">
        <v>1732</v>
      </c>
      <c r="L1453" s="662">
        <v>45061</v>
      </c>
      <c r="M1453" s="670">
        <v>5.1799999999999999E-2</v>
      </c>
      <c r="N1453" s="652" t="s">
        <v>4169</v>
      </c>
      <c r="O1453" s="580">
        <v>2023.4</v>
      </c>
      <c r="P1453" s="670" t="str">
        <f>VLOOKUP(A1453,'[1]Raw data'!$B:$BA,23,FALSE)</f>
        <v>RMB</v>
      </c>
      <c r="Q1453" s="652" t="str">
        <f>VLOOKUP(A1453,'[1]Raw data'!$B:$Z,2,FALSE)</f>
        <v>C49SZX20230093SX</v>
      </c>
      <c r="R1453" s="652" t="str">
        <f>VLOOKUP(A1453,'[1]Raw data'!$B:$Z,3,FALSE)</f>
        <v>益田科技(End uer:泓裕）</v>
      </c>
      <c r="S1453" s="652" t="str">
        <f>VLOOKUP(A1453,'[1]Raw data'!$B:$Z,4,FALSE)</f>
        <v>YSM20R-2</v>
      </c>
      <c r="T1453" s="652" t="str">
        <f>VLOOKUP(A1453,'[1]Raw data'!$B:$Z,8,FALSE)</f>
        <v>L-&gt;R</v>
      </c>
      <c r="U1453" s="652" t="str">
        <f>VLOOKUP(A1453,'[1]Raw data'!$B:$Z,9,FALSE)</f>
        <v>No</v>
      </c>
      <c r="V1453" s="572" t="str">
        <f t="shared" si="336"/>
        <v>OK</v>
      </c>
      <c r="W1453" s="568" t="str">
        <f>VLOOKUP(A1453,'[1]Raw data'!$B:$AG,32,FALSE)</f>
        <v>DDP SZ</v>
      </c>
      <c r="X1453" s="662">
        <f>VLOOKUP(A1453,'[1]Raw data'!$B:$BA,31,FALSE)</f>
        <v>45127</v>
      </c>
      <c r="Y1453" s="652" t="str">
        <f>VLOOKUP(A1453,'[1]Raw data'!$B:$AS,39,FALSE)</f>
        <v>Yes</v>
      </c>
      <c r="Z1453" s="664"/>
      <c r="AA1453" s="665"/>
      <c r="AB1453" s="666"/>
      <c r="AC1453" s="652" t="s">
        <v>4248</v>
      </c>
      <c r="AD1453" s="667">
        <v>301</v>
      </c>
      <c r="AE1453" s="667">
        <v>20</v>
      </c>
      <c r="AF1453" s="667"/>
      <c r="AG1453" s="667"/>
      <c r="AH1453" s="667"/>
      <c r="AI1453" s="668"/>
      <c r="AN1453" s="547"/>
      <c r="AO1453" s="829" t="str">
        <f t="shared" si="322"/>
        <v>Yes</v>
      </c>
      <c r="AP1453" s="259" t="str">
        <f t="shared" si="323"/>
        <v>SEP 23</v>
      </c>
      <c r="AQ1453" s="547" t="str">
        <f t="shared" si="324"/>
        <v>有定金+有預留客戶</v>
      </c>
      <c r="AR1453" s="259" t="str">
        <f t="shared" si="325"/>
        <v>Shipped_Stock</v>
      </c>
      <c r="AS1453" s="259" t="str">
        <f t="shared" si="326"/>
        <v/>
      </c>
      <c r="AT1453" s="259" t="str">
        <f t="shared" si="327"/>
        <v>益田科技(End uer:泓裕）</v>
      </c>
      <c r="AU1453" s="259" t="str">
        <f t="shared" si="328"/>
        <v>C49SZX20230093SX</v>
      </c>
      <c r="AV1453" s="259" t="str">
        <f t="shared" si="329"/>
        <v>May-15</v>
      </c>
    </row>
    <row r="1454" spans="1:48" hidden="1">
      <c r="A1454" s="564">
        <v>1948</v>
      </c>
      <c r="B1454" s="669" t="s">
        <v>1125</v>
      </c>
      <c r="C1454" s="669" t="s">
        <v>281</v>
      </c>
      <c r="D1454" s="650">
        <v>111253</v>
      </c>
      <c r="E1454" s="749" t="s">
        <v>236</v>
      </c>
      <c r="F1454" s="652" t="s">
        <v>58</v>
      </c>
      <c r="G1454" s="652" t="s">
        <v>24</v>
      </c>
      <c r="H1454" s="652" t="s">
        <v>26</v>
      </c>
      <c r="I1454" s="580" t="s">
        <v>3960</v>
      </c>
      <c r="J1454" s="580">
        <v>1</v>
      </c>
      <c r="K1454" s="652" t="s">
        <v>1732</v>
      </c>
      <c r="L1454" s="662">
        <v>45061</v>
      </c>
      <c r="M1454" s="670">
        <v>5.1799999999999999E-2</v>
      </c>
      <c r="N1454" s="652" t="s">
        <v>4169</v>
      </c>
      <c r="O1454" s="580">
        <v>2023.4</v>
      </c>
      <c r="P1454" s="670" t="str">
        <f>VLOOKUP(A1454,'[1]Raw data'!$B:$BA,23,FALSE)</f>
        <v>RMB</v>
      </c>
      <c r="Q1454" s="652" t="str">
        <f>VLOOKUP(A1454,'[1]Raw data'!$B:$Z,2,FALSE)</f>
        <v>C49SZX20230093SX</v>
      </c>
      <c r="R1454" s="652" t="str">
        <f>VLOOKUP(A1454,'[1]Raw data'!$B:$Z,3,FALSE)</f>
        <v>益田科技(End uer:泓裕）</v>
      </c>
      <c r="S1454" s="652" t="str">
        <f>VLOOKUP(A1454,'[1]Raw data'!$B:$Z,4,FALSE)</f>
        <v>YSM20R-2</v>
      </c>
      <c r="T1454" s="652" t="str">
        <f>VLOOKUP(A1454,'[1]Raw data'!$B:$Z,8,FALSE)</f>
        <v>L-&gt;R</v>
      </c>
      <c r="U1454" s="652" t="str">
        <f>VLOOKUP(A1454,'[1]Raw data'!$B:$Z,9,FALSE)</f>
        <v>No</v>
      </c>
      <c r="V1454" s="572" t="str">
        <f t="shared" si="336"/>
        <v>OK</v>
      </c>
      <c r="W1454" s="568" t="str">
        <f>VLOOKUP(A1454,'[1]Raw data'!$B:$AG,32,FALSE)</f>
        <v>DDP SZ</v>
      </c>
      <c r="X1454" s="662">
        <f>VLOOKUP(A1454,'[1]Raw data'!$B:$BA,31,FALSE)</f>
        <v>45127</v>
      </c>
      <c r="Y1454" s="652" t="str">
        <f>VLOOKUP(A1454,'[1]Raw data'!$B:$AS,39,FALSE)</f>
        <v>Yes</v>
      </c>
      <c r="Z1454" s="664"/>
      <c r="AA1454" s="665"/>
      <c r="AB1454" s="666"/>
      <c r="AC1454" s="652" t="s">
        <v>4248</v>
      </c>
      <c r="AD1454" s="667">
        <v>301</v>
      </c>
      <c r="AE1454" s="667">
        <v>20</v>
      </c>
      <c r="AF1454" s="667"/>
      <c r="AG1454" s="667"/>
      <c r="AH1454" s="667"/>
      <c r="AI1454" s="668"/>
      <c r="AN1454" s="547"/>
      <c r="AO1454" s="829" t="str">
        <f t="shared" si="322"/>
        <v>Yes</v>
      </c>
      <c r="AP1454" s="259" t="str">
        <f t="shared" si="323"/>
        <v>SEP 23</v>
      </c>
      <c r="AQ1454" s="547" t="str">
        <f t="shared" si="324"/>
        <v>有定金+有預留客戶</v>
      </c>
      <c r="AR1454" s="259" t="str">
        <f t="shared" si="325"/>
        <v>Shipped_Stock</v>
      </c>
      <c r="AS1454" s="259" t="str">
        <f t="shared" si="326"/>
        <v/>
      </c>
      <c r="AT1454" s="259" t="str">
        <f t="shared" si="327"/>
        <v>益田科技(End uer:泓裕）</v>
      </c>
      <c r="AU1454" s="259" t="str">
        <f t="shared" si="328"/>
        <v>C49SZX20230093SX</v>
      </c>
      <c r="AV1454" s="259" t="str">
        <f t="shared" si="329"/>
        <v>May-15</v>
      </c>
    </row>
    <row r="1455" spans="1:48" hidden="1">
      <c r="A1455" s="564">
        <v>1949</v>
      </c>
      <c r="B1455" s="669" t="s">
        <v>1125</v>
      </c>
      <c r="C1455" s="669" t="s">
        <v>281</v>
      </c>
      <c r="D1455" s="650">
        <v>111253</v>
      </c>
      <c r="E1455" s="749" t="s">
        <v>236</v>
      </c>
      <c r="F1455" s="652" t="s">
        <v>58</v>
      </c>
      <c r="G1455" s="652" t="s">
        <v>24</v>
      </c>
      <c r="H1455" s="652" t="s">
        <v>26</v>
      </c>
      <c r="I1455" s="580" t="s">
        <v>3961</v>
      </c>
      <c r="J1455" s="580">
        <v>1</v>
      </c>
      <c r="K1455" s="652" t="s">
        <v>1732</v>
      </c>
      <c r="L1455" s="662">
        <v>45061</v>
      </c>
      <c r="M1455" s="670">
        <v>5.1799999999999999E-2</v>
      </c>
      <c r="N1455" s="652" t="s">
        <v>4169</v>
      </c>
      <c r="O1455" s="580">
        <v>2023.4</v>
      </c>
      <c r="P1455" s="670" t="str">
        <f>VLOOKUP(A1455,'[1]Raw data'!$B:$BA,23,FALSE)</f>
        <v>RMB</v>
      </c>
      <c r="Q1455" s="652" t="str">
        <f>VLOOKUP(A1455,'[1]Raw data'!$B:$Z,2,FALSE)</f>
        <v>C49SZX20230093SX</v>
      </c>
      <c r="R1455" s="652" t="str">
        <f>VLOOKUP(A1455,'[1]Raw data'!$B:$Z,3,FALSE)</f>
        <v>益田科技(End uer:泓裕）</v>
      </c>
      <c r="S1455" s="652" t="str">
        <f>VLOOKUP(A1455,'[1]Raw data'!$B:$Z,4,FALSE)</f>
        <v>YSM20R-2</v>
      </c>
      <c r="T1455" s="652" t="str">
        <f>VLOOKUP(A1455,'[1]Raw data'!$B:$Z,8,FALSE)</f>
        <v>L-&gt;R</v>
      </c>
      <c r="U1455" s="652" t="str">
        <f>VLOOKUP(A1455,'[1]Raw data'!$B:$Z,9,FALSE)</f>
        <v>No</v>
      </c>
      <c r="V1455" s="572" t="str">
        <f t="shared" ref="V1455:V1461" si="337">IF(G1455&amp;H1455=T1455&amp;U1455,"OK","WRONG")</f>
        <v>OK</v>
      </c>
      <c r="W1455" s="568" t="str">
        <f>VLOOKUP(A1455,'[1]Raw data'!$B:$AG,32,FALSE)</f>
        <v>DDP SZ</v>
      </c>
      <c r="X1455" s="662">
        <f>VLOOKUP(A1455,'[1]Raw data'!$B:$BA,31,FALSE)</f>
        <v>45127</v>
      </c>
      <c r="Y1455" s="652" t="str">
        <f>VLOOKUP(A1455,'[1]Raw data'!$B:$AS,39,FALSE)</f>
        <v>Yes</v>
      </c>
      <c r="Z1455" s="664"/>
      <c r="AA1455" s="665"/>
      <c r="AB1455" s="666"/>
      <c r="AC1455" s="652" t="s">
        <v>4248</v>
      </c>
      <c r="AD1455" s="667">
        <v>301</v>
      </c>
      <c r="AE1455" s="667">
        <v>20</v>
      </c>
      <c r="AF1455" s="667"/>
      <c r="AG1455" s="667"/>
      <c r="AH1455" s="667"/>
      <c r="AI1455" s="668"/>
      <c r="AN1455" s="547"/>
      <c r="AO1455" s="829" t="str">
        <f t="shared" si="322"/>
        <v>Yes</v>
      </c>
      <c r="AP1455" s="259" t="str">
        <f t="shared" si="323"/>
        <v>SEP 23</v>
      </c>
      <c r="AQ1455" s="547" t="str">
        <f t="shared" si="324"/>
        <v>有定金+有預留客戶</v>
      </c>
      <c r="AR1455" s="259" t="str">
        <f t="shared" si="325"/>
        <v>Shipped_Stock</v>
      </c>
      <c r="AS1455" s="259" t="str">
        <f t="shared" si="326"/>
        <v/>
      </c>
      <c r="AT1455" s="259" t="str">
        <f t="shared" si="327"/>
        <v>益田科技(End uer:泓裕）</v>
      </c>
      <c r="AU1455" s="259" t="str">
        <f t="shared" si="328"/>
        <v>C49SZX20230093SX</v>
      </c>
      <c r="AV1455" s="259" t="str">
        <f t="shared" si="329"/>
        <v>May-15</v>
      </c>
    </row>
    <row r="1456" spans="1:48" hidden="1">
      <c r="A1456" s="564">
        <v>1974</v>
      </c>
      <c r="B1456" s="669" t="s">
        <v>1125</v>
      </c>
      <c r="C1456" s="669" t="s">
        <v>281</v>
      </c>
      <c r="D1456" s="650">
        <v>111253</v>
      </c>
      <c r="E1456" s="749" t="s">
        <v>236</v>
      </c>
      <c r="F1456" s="652" t="s">
        <v>58</v>
      </c>
      <c r="G1456" s="652" t="s">
        <v>24</v>
      </c>
      <c r="H1456" s="652" t="s">
        <v>26</v>
      </c>
      <c r="I1456" s="580" t="s">
        <v>4130</v>
      </c>
      <c r="J1456" s="580">
        <v>1</v>
      </c>
      <c r="K1456" s="652" t="s">
        <v>1732</v>
      </c>
      <c r="L1456" s="662">
        <v>45061</v>
      </c>
      <c r="M1456" s="670">
        <v>5.1799999999999999E-2</v>
      </c>
      <c r="N1456" s="652" t="s">
        <v>4169</v>
      </c>
      <c r="O1456" s="580">
        <v>2023.4</v>
      </c>
      <c r="P1456" s="670" t="str">
        <f>VLOOKUP(A1456,'[1]Raw data'!$B:$BA,23,FALSE)</f>
        <v>JPY</v>
      </c>
      <c r="Q1456" s="652" t="str">
        <f>VLOOKUP(A1456,'[1]Raw data'!$B:$Z,2,FALSE)</f>
        <v>C49SZX20230100JL</v>
      </c>
      <c r="R1456" s="652" t="str">
        <f>VLOOKUP(A1456,'[1]Raw data'!$B:$Z,3,FALSE)</f>
        <v>海龙智通</v>
      </c>
      <c r="S1456" s="652" t="str">
        <f>VLOOKUP(A1456,'[1]Raw data'!$B:$Z,4,FALSE)</f>
        <v>YSM20R-2</v>
      </c>
      <c r="T1456" s="652" t="str">
        <f>VLOOKUP(A1456,'[1]Raw data'!$B:$Z,8,FALSE)</f>
        <v>L-&gt;R</v>
      </c>
      <c r="U1456" s="652" t="str">
        <f>VLOOKUP(A1456,'[1]Raw data'!$B:$Z,9,FALSE)</f>
        <v>No</v>
      </c>
      <c r="V1456" s="572" t="str">
        <f t="shared" si="337"/>
        <v>OK</v>
      </c>
      <c r="W1456" s="568" t="str">
        <f>VLOOKUP(A1456,'[1]Raw data'!$B:$AG,32,FALSE)</f>
        <v>DAP DG</v>
      </c>
      <c r="X1456" s="662">
        <f>VLOOKUP(A1456,'[1]Raw data'!$B:$BA,31,FALSE)</f>
        <v>45182</v>
      </c>
      <c r="Y1456" s="652" t="str">
        <f>VLOOKUP(A1456,'[1]Raw data'!$B:$AS,39,FALSE)</f>
        <v>Yes</v>
      </c>
      <c r="Z1456" s="664"/>
      <c r="AA1456" s="665"/>
      <c r="AB1456" s="666"/>
      <c r="AC1456" s="652" t="s">
        <v>4187</v>
      </c>
      <c r="AD1456" s="667">
        <v>301</v>
      </c>
      <c r="AE1456" s="667">
        <v>20</v>
      </c>
      <c r="AF1456" s="667"/>
      <c r="AG1456" s="667"/>
      <c r="AH1456" s="667"/>
      <c r="AI1456" s="668"/>
      <c r="AN1456" s="547"/>
      <c r="AO1456" s="829" t="str">
        <f t="shared" si="322"/>
        <v>Yes</v>
      </c>
      <c r="AP1456" s="259" t="str">
        <f t="shared" si="323"/>
        <v>SEP 23</v>
      </c>
      <c r="AQ1456" s="547" t="str">
        <f t="shared" si="324"/>
        <v>有定金+有預留客戶</v>
      </c>
      <c r="AR1456" s="259" t="str">
        <f t="shared" si="325"/>
        <v>Shipped_Stock</v>
      </c>
      <c r="AS1456" s="259" t="str">
        <f t="shared" si="326"/>
        <v/>
      </c>
      <c r="AT1456" s="259" t="str">
        <f t="shared" si="327"/>
        <v>海龙智通</v>
      </c>
      <c r="AU1456" s="259" t="str">
        <f t="shared" si="328"/>
        <v>C49SZX20230100JL</v>
      </c>
      <c r="AV1456" s="259" t="str">
        <f t="shared" si="329"/>
        <v>May-15</v>
      </c>
    </row>
    <row r="1457" spans="1:48" hidden="1">
      <c r="A1457" s="604">
        <v>1911</v>
      </c>
      <c r="B1457" s="669" t="s">
        <v>1125</v>
      </c>
      <c r="C1457" s="669" t="s">
        <v>281</v>
      </c>
      <c r="D1457" s="650" t="s">
        <v>3950</v>
      </c>
      <c r="E1457" s="749" t="s">
        <v>236</v>
      </c>
      <c r="F1457" s="652" t="s">
        <v>58</v>
      </c>
      <c r="G1457" s="652" t="s">
        <v>24</v>
      </c>
      <c r="H1457" s="652" t="s">
        <v>26</v>
      </c>
      <c r="I1457" s="580" t="s">
        <v>3941</v>
      </c>
      <c r="J1457" s="580">
        <v>1</v>
      </c>
      <c r="K1457" s="652" t="s">
        <v>1419</v>
      </c>
      <c r="L1457" s="764" t="s">
        <v>3989</v>
      </c>
      <c r="M1457" s="809" t="s">
        <v>3951</v>
      </c>
      <c r="N1457" s="652" t="s">
        <v>2502</v>
      </c>
      <c r="O1457" s="580">
        <v>2022.03</v>
      </c>
      <c r="P1457" s="670" t="str">
        <f>VLOOKUP(A1457,'[1]Raw data'!$B:$BA,23,FALSE)</f>
        <v>RMB</v>
      </c>
      <c r="Q1457" s="652" t="str">
        <f>VLOOKUP(A1457,'[1]Raw data'!$B:$Z,2,FALSE)</f>
        <v>C49SZX20230058EC</v>
      </c>
      <c r="R1457" s="652" t="str">
        <f>VLOOKUP(A1457,'[1]Raw data'!$B:$Z,3,FALSE)</f>
        <v>圣亨</v>
      </c>
      <c r="S1457" s="652" t="str">
        <f>VLOOKUP(A1457,'[1]Raw data'!$B:$Z,4,FALSE)</f>
        <v>YSM20R-2</v>
      </c>
      <c r="T1457" s="652" t="str">
        <f>VLOOKUP(A1457,'[1]Raw data'!$B:$Z,8,FALSE)</f>
        <v>L-&gt;R</v>
      </c>
      <c r="U1457" s="652" t="str">
        <f>VLOOKUP(A1457,'[1]Raw data'!$B:$Z,9,FALSE)</f>
        <v>No</v>
      </c>
      <c r="V1457" s="572" t="str">
        <f t="shared" si="337"/>
        <v>OK</v>
      </c>
      <c r="W1457" s="568" t="str">
        <f>VLOOKUP(A1457,'[1]Raw data'!$B:$AG,32,FALSE)</f>
        <v>DDP DG</v>
      </c>
      <c r="X1457" s="652">
        <f>VLOOKUP(A1457,'[1]Raw data'!$B:$BA,31,FALSE)</f>
        <v>45042</v>
      </c>
      <c r="Y1457" s="652" t="str">
        <f>VLOOKUP(A1457,'[1]Raw data'!$B:$AS,39,FALSE)</f>
        <v>Yes</v>
      </c>
      <c r="Z1457" s="664"/>
      <c r="AA1457" s="665"/>
      <c r="AB1457" s="666"/>
      <c r="AC1457" s="652" t="s">
        <v>3966</v>
      </c>
      <c r="AD1457" s="580">
        <v>302</v>
      </c>
      <c r="AE1457" s="580">
        <v>4</v>
      </c>
      <c r="AF1457" s="580">
        <v>303</v>
      </c>
      <c r="AG1457" s="580">
        <v>5</v>
      </c>
      <c r="AH1457" s="580">
        <v>304</v>
      </c>
      <c r="AI1457" s="684">
        <v>5</v>
      </c>
      <c r="AJ1457" s="580">
        <v>307</v>
      </c>
      <c r="AK1457" s="569">
        <v>6</v>
      </c>
      <c r="AL1457" s="569"/>
      <c r="AM1457" s="569"/>
      <c r="AN1457" s="619"/>
      <c r="AO1457" s="829" t="str">
        <f t="shared" si="322"/>
        <v>Yes</v>
      </c>
      <c r="AP1457" s="259" t="str">
        <f t="shared" si="323"/>
        <v>MAY 23</v>
      </c>
      <c r="AQ1457" s="547" t="str">
        <f t="shared" si="324"/>
        <v>有定金+有預留客戶</v>
      </c>
      <c r="AR1457" s="259" t="str">
        <f t="shared" si="325"/>
        <v>Shipped_Stock</v>
      </c>
      <c r="AS1457" s="259" t="str">
        <f t="shared" si="326"/>
        <v/>
      </c>
      <c r="AT1457" s="259" t="str">
        <f t="shared" si="327"/>
        <v>圣亨</v>
      </c>
      <c r="AU1457" s="259" t="str">
        <f t="shared" si="328"/>
        <v>C49SZX20230058EC</v>
      </c>
      <c r="AV1457" s="259" t="str">
        <f t="shared" si="329"/>
        <v>2022/4/15 北京单</v>
      </c>
    </row>
    <row r="1458" spans="1:48" hidden="1">
      <c r="A1458" s="564">
        <v>1914</v>
      </c>
      <c r="B1458" s="669" t="s">
        <v>1125</v>
      </c>
      <c r="C1458" s="669" t="s">
        <v>281</v>
      </c>
      <c r="D1458" s="650" t="s">
        <v>3946</v>
      </c>
      <c r="E1458" s="749" t="s">
        <v>236</v>
      </c>
      <c r="F1458" s="652" t="s">
        <v>58</v>
      </c>
      <c r="G1458" s="652" t="s">
        <v>24</v>
      </c>
      <c r="H1458" s="652" t="s">
        <v>26</v>
      </c>
      <c r="I1458" s="580" t="s">
        <v>3942</v>
      </c>
      <c r="J1458" s="580">
        <v>1</v>
      </c>
      <c r="K1458" s="652" t="s">
        <v>1419</v>
      </c>
      <c r="L1458" s="764" t="s">
        <v>3989</v>
      </c>
      <c r="M1458" s="809" t="s">
        <v>3951</v>
      </c>
      <c r="N1458" s="652" t="s">
        <v>2502</v>
      </c>
      <c r="O1458" s="580">
        <v>2022.04</v>
      </c>
      <c r="P1458" s="670" t="str">
        <f>VLOOKUP(A1458,'[1]Raw data'!$B:$BA,23,FALSE)</f>
        <v>RMB</v>
      </c>
      <c r="Q1458" s="652" t="str">
        <f>VLOOKUP(A1458,'[1]Raw data'!$B:$Z,2,FALSE)</f>
        <v>C49SZX20230060RZ</v>
      </c>
      <c r="R1458" s="652" t="str">
        <f>VLOOKUP(A1458,'[1]Raw data'!$B:$Z,3,FALSE)</f>
        <v>艾为康</v>
      </c>
      <c r="S1458" s="652" t="str">
        <f>VLOOKUP(A1458,'[1]Raw data'!$B:$Z,4,FALSE)</f>
        <v>YSM20R-2</v>
      </c>
      <c r="T1458" s="652" t="str">
        <f>VLOOKUP(A1458,'[1]Raw data'!$B:$Z,8,FALSE)</f>
        <v>L-&gt;R</v>
      </c>
      <c r="U1458" s="652" t="str">
        <f>VLOOKUP(A1458,'[1]Raw data'!$B:$Z,9,FALSE)</f>
        <v>No</v>
      </c>
      <c r="V1458" s="572" t="str">
        <f t="shared" si="337"/>
        <v>OK</v>
      </c>
      <c r="W1458" s="568" t="str">
        <f>VLOOKUP(A1458,'[1]Raw data'!$B:$AG,32,FALSE)</f>
        <v>DDP SZ</v>
      </c>
      <c r="X1458" s="652">
        <f>VLOOKUP(A1458,'[1]Raw data'!$B:$BA,31,FALSE)</f>
        <v>45052</v>
      </c>
      <c r="Y1458" s="652" t="str">
        <f>VLOOKUP(A1458,'[1]Raw data'!$B:$AS,39,FALSE)</f>
        <v>Yes</v>
      </c>
      <c r="Z1458" s="664"/>
      <c r="AA1458" s="665"/>
      <c r="AB1458" s="666"/>
      <c r="AC1458" s="652" t="s">
        <v>3971</v>
      </c>
      <c r="AD1458" s="667">
        <v>301</v>
      </c>
      <c r="AE1458" s="667">
        <v>6</v>
      </c>
      <c r="AF1458" s="667">
        <v>302</v>
      </c>
      <c r="AG1458" s="667">
        <v>12</v>
      </c>
      <c r="AH1458" s="667">
        <v>303</v>
      </c>
      <c r="AI1458" s="668">
        <v>1</v>
      </c>
      <c r="AJ1458" s="667">
        <v>304</v>
      </c>
      <c r="AK1458" s="576">
        <v>1</v>
      </c>
      <c r="AN1458" s="547"/>
      <c r="AO1458" s="829" t="str">
        <f t="shared" si="322"/>
        <v>Yes</v>
      </c>
      <c r="AP1458" s="259" t="str">
        <f t="shared" si="323"/>
        <v>MAY 23</v>
      </c>
      <c r="AQ1458" s="547" t="str">
        <f t="shared" si="324"/>
        <v>有定金+有預留客戶</v>
      </c>
      <c r="AR1458" s="259" t="str">
        <f t="shared" si="325"/>
        <v>Shipped_Stock</v>
      </c>
      <c r="AS1458" s="259" t="str">
        <f t="shared" si="326"/>
        <v/>
      </c>
      <c r="AT1458" s="259" t="str">
        <f t="shared" si="327"/>
        <v>艾为康</v>
      </c>
      <c r="AU1458" s="259" t="str">
        <f t="shared" si="328"/>
        <v>C49SZX20230060RZ</v>
      </c>
      <c r="AV1458" s="259" t="str">
        <f t="shared" si="329"/>
        <v>2022/4/15 北京单</v>
      </c>
    </row>
    <row r="1459" spans="1:48" hidden="1">
      <c r="A1459" s="564">
        <v>1915</v>
      </c>
      <c r="B1459" s="669" t="s">
        <v>1125</v>
      </c>
      <c r="C1459" s="669" t="s">
        <v>281</v>
      </c>
      <c r="D1459" s="650" t="s">
        <v>3947</v>
      </c>
      <c r="E1459" s="749" t="s">
        <v>236</v>
      </c>
      <c r="F1459" s="652" t="s">
        <v>58</v>
      </c>
      <c r="G1459" s="652" t="s">
        <v>24</v>
      </c>
      <c r="H1459" s="652" t="s">
        <v>26</v>
      </c>
      <c r="I1459" s="580" t="s">
        <v>3943</v>
      </c>
      <c r="J1459" s="580">
        <v>1</v>
      </c>
      <c r="K1459" s="652" t="s">
        <v>1419</v>
      </c>
      <c r="L1459" s="764" t="s">
        <v>3989</v>
      </c>
      <c r="M1459" s="809" t="s">
        <v>3951</v>
      </c>
      <c r="N1459" s="652" t="s">
        <v>2502</v>
      </c>
      <c r="O1459" s="580">
        <v>2022.03</v>
      </c>
      <c r="P1459" s="670" t="str">
        <f>VLOOKUP(A1459,'[1]Raw data'!$B:$BA,23,FALSE)</f>
        <v>RMB</v>
      </c>
      <c r="Q1459" s="652" t="str">
        <f>VLOOKUP(A1459,'[1]Raw data'!$B:$Z,2,FALSE)</f>
        <v>C49SZX20230060RZ</v>
      </c>
      <c r="R1459" s="652" t="str">
        <f>VLOOKUP(A1459,'[1]Raw data'!$B:$Z,3,FALSE)</f>
        <v>艾为康</v>
      </c>
      <c r="S1459" s="652" t="str">
        <f>VLOOKUP(A1459,'[1]Raw data'!$B:$Z,4,FALSE)</f>
        <v>YSM20R-2</v>
      </c>
      <c r="T1459" s="652" t="str">
        <f>VLOOKUP(A1459,'[1]Raw data'!$B:$Z,8,FALSE)</f>
        <v>L-&gt;R</v>
      </c>
      <c r="U1459" s="652" t="str">
        <f>VLOOKUP(A1459,'[1]Raw data'!$B:$Z,9,FALSE)</f>
        <v>No</v>
      </c>
      <c r="V1459" s="572" t="str">
        <f t="shared" si="337"/>
        <v>OK</v>
      </c>
      <c r="W1459" s="568" t="str">
        <f>VLOOKUP(A1459,'[1]Raw data'!$B:$AG,32,FALSE)</f>
        <v>DDP SZ</v>
      </c>
      <c r="X1459" s="652">
        <f>VLOOKUP(A1459,'[1]Raw data'!$B:$BA,31,FALSE)</f>
        <v>45052</v>
      </c>
      <c r="Y1459" s="652" t="str">
        <f>VLOOKUP(A1459,'[1]Raw data'!$B:$AS,39,FALSE)</f>
        <v>Yes</v>
      </c>
      <c r="Z1459" s="664"/>
      <c r="AA1459" s="665"/>
      <c r="AB1459" s="666"/>
      <c r="AC1459" s="652" t="s">
        <v>3971</v>
      </c>
      <c r="AD1459" s="667">
        <v>301</v>
      </c>
      <c r="AE1459" s="667">
        <v>7</v>
      </c>
      <c r="AF1459" s="667">
        <v>302</v>
      </c>
      <c r="AG1459" s="667">
        <v>10</v>
      </c>
      <c r="AH1459" s="667">
        <v>303</v>
      </c>
      <c r="AI1459" s="668">
        <v>1</v>
      </c>
      <c r="AJ1459" s="667">
        <v>304</v>
      </c>
      <c r="AK1459" s="576">
        <v>1</v>
      </c>
      <c r="AL1459" s="667">
        <v>307</v>
      </c>
      <c r="AM1459" s="576">
        <v>1</v>
      </c>
      <c r="AN1459" s="547"/>
      <c r="AO1459" s="829" t="str">
        <f t="shared" si="322"/>
        <v>Yes</v>
      </c>
      <c r="AP1459" s="259" t="str">
        <f t="shared" si="323"/>
        <v>MAY 23</v>
      </c>
      <c r="AQ1459" s="547" t="str">
        <f t="shared" si="324"/>
        <v>有定金+有預留客戶</v>
      </c>
      <c r="AR1459" s="259" t="str">
        <f t="shared" si="325"/>
        <v>Shipped_Stock</v>
      </c>
      <c r="AS1459" s="259" t="str">
        <f t="shared" si="326"/>
        <v/>
      </c>
      <c r="AT1459" s="259" t="str">
        <f t="shared" si="327"/>
        <v>艾为康</v>
      </c>
      <c r="AU1459" s="259" t="str">
        <f t="shared" si="328"/>
        <v>C49SZX20230060RZ</v>
      </c>
      <c r="AV1459" s="259" t="str">
        <f t="shared" si="329"/>
        <v>2022/4/15 北京单</v>
      </c>
    </row>
    <row r="1460" spans="1:48" hidden="1">
      <c r="A1460" s="564">
        <v>1971</v>
      </c>
      <c r="B1460" s="669" t="s">
        <v>1125</v>
      </c>
      <c r="C1460" s="669" t="s">
        <v>281</v>
      </c>
      <c r="D1460" s="650" t="s">
        <v>3948</v>
      </c>
      <c r="E1460" s="749" t="s">
        <v>236</v>
      </c>
      <c r="F1460" s="652" t="s">
        <v>58</v>
      </c>
      <c r="G1460" s="652" t="s">
        <v>24</v>
      </c>
      <c r="H1460" s="652" t="s">
        <v>26</v>
      </c>
      <c r="I1460" s="580" t="s">
        <v>3944</v>
      </c>
      <c r="J1460" s="580">
        <v>1</v>
      </c>
      <c r="K1460" s="652" t="s">
        <v>1419</v>
      </c>
      <c r="L1460" s="764" t="s">
        <v>3990</v>
      </c>
      <c r="M1460" s="809" t="s">
        <v>3951</v>
      </c>
      <c r="N1460" s="652" t="s">
        <v>4186</v>
      </c>
      <c r="O1460" s="580">
        <v>2022.06</v>
      </c>
      <c r="P1460" s="670" t="str">
        <f>VLOOKUP(A1460,'[1]Raw data'!$B:$BA,23,FALSE)</f>
        <v>RMB</v>
      </c>
      <c r="Q1460" s="652" t="str">
        <f>VLOOKUP(A1460,'[1]Raw data'!$B:$Z,2,FALSE)</f>
        <v>C49SZX20230099EC</v>
      </c>
      <c r="R1460" s="652" t="str">
        <f>VLOOKUP(A1460,'[1]Raw data'!$B:$Z,3,FALSE)</f>
        <v>和兴美成</v>
      </c>
      <c r="S1460" s="652" t="str">
        <f>VLOOKUP(A1460,'[1]Raw data'!$B:$Z,4,FALSE)</f>
        <v>YSM20R-2</v>
      </c>
      <c r="T1460" s="652" t="str">
        <f>VLOOKUP(A1460,'[1]Raw data'!$B:$Z,8,FALSE)</f>
        <v>L-&gt;R</v>
      </c>
      <c r="U1460" s="652" t="str">
        <f>VLOOKUP(A1460,'[1]Raw data'!$B:$Z,9,FALSE)</f>
        <v>No</v>
      </c>
      <c r="V1460" s="572" t="str">
        <f t="shared" si="337"/>
        <v>OK</v>
      </c>
      <c r="W1460" s="568" t="str">
        <f>VLOOKUP(A1460,'[1]Raw data'!$B:$AG,32,FALSE)</f>
        <v>DDP HZ</v>
      </c>
      <c r="X1460" s="662">
        <f>VLOOKUP(A1460,'[1]Raw data'!$B:$BA,31,FALSE)</f>
        <v>45173</v>
      </c>
      <c r="Y1460" s="652" t="str">
        <f>VLOOKUP(A1460,'[1]Raw data'!$B:$AS,39,FALSE)</f>
        <v>Yes</v>
      </c>
      <c r="Z1460" s="664"/>
      <c r="AA1460" s="665"/>
      <c r="AB1460" s="666"/>
      <c r="AC1460" s="652" t="s">
        <v>4323</v>
      </c>
      <c r="AD1460" s="667">
        <v>302</v>
      </c>
      <c r="AE1460" s="667">
        <v>20</v>
      </c>
      <c r="AF1460" s="667"/>
      <c r="AG1460" s="667"/>
      <c r="AH1460" s="667"/>
      <c r="AI1460" s="668"/>
      <c r="AN1460" s="547"/>
      <c r="AO1460" s="829" t="str">
        <f t="shared" si="322"/>
        <v>Yes</v>
      </c>
      <c r="AP1460" s="259" t="str">
        <f t="shared" si="323"/>
        <v>OCT 23</v>
      </c>
      <c r="AQ1460" s="547" t="str">
        <f t="shared" si="324"/>
        <v>有定金+有預留客戶</v>
      </c>
      <c r="AR1460" s="259" t="str">
        <f t="shared" si="325"/>
        <v>Shipped_Stock</v>
      </c>
      <c r="AS1460" s="259" t="str">
        <f t="shared" si="326"/>
        <v/>
      </c>
      <c r="AT1460" s="259" t="str">
        <f t="shared" si="327"/>
        <v>和兴美成</v>
      </c>
      <c r="AU1460" s="259" t="str">
        <f t="shared" si="328"/>
        <v>C49SZX20230099EC</v>
      </c>
      <c r="AV1460" s="259" t="str">
        <f t="shared" si="329"/>
        <v>2022-7-25北京单</v>
      </c>
    </row>
    <row r="1461" spans="1:48" hidden="1">
      <c r="A1461" s="564">
        <v>1973</v>
      </c>
      <c r="B1461" s="669" t="s">
        <v>1125</v>
      </c>
      <c r="C1461" s="669" t="s">
        <v>281</v>
      </c>
      <c r="D1461" s="650" t="s">
        <v>3949</v>
      </c>
      <c r="E1461" s="749" t="s">
        <v>236</v>
      </c>
      <c r="F1461" s="652" t="s">
        <v>58</v>
      </c>
      <c r="G1461" s="652" t="s">
        <v>24</v>
      </c>
      <c r="H1461" s="652" t="s">
        <v>26</v>
      </c>
      <c r="I1461" s="580" t="s">
        <v>3945</v>
      </c>
      <c r="J1461" s="580">
        <v>1</v>
      </c>
      <c r="K1461" s="652" t="s">
        <v>1419</v>
      </c>
      <c r="L1461" s="764" t="s">
        <v>3990</v>
      </c>
      <c r="M1461" s="809" t="s">
        <v>3951</v>
      </c>
      <c r="N1461" s="652" t="s">
        <v>4169</v>
      </c>
      <c r="O1461" s="580">
        <v>2022.07</v>
      </c>
      <c r="P1461" s="670" t="str">
        <f>VLOOKUP(A1461,'[1]Raw data'!$B:$BA,23,FALSE)</f>
        <v>RMB</v>
      </c>
      <c r="Q1461" s="652" t="str">
        <f>VLOOKUP(A1461,'[1]Raw data'!$B:$Z,2,FALSE)</f>
        <v>C49SZX202300095SX</v>
      </c>
      <c r="R1461" s="652" t="str">
        <f>VLOOKUP(A1461,'[1]Raw data'!$B:$Z,3,FALSE)</f>
        <v>利速达</v>
      </c>
      <c r="S1461" s="652" t="str">
        <f>VLOOKUP(A1461,'[1]Raw data'!$B:$Z,4,FALSE)</f>
        <v>YSM20R-2</v>
      </c>
      <c r="T1461" s="652" t="str">
        <f>VLOOKUP(A1461,'[1]Raw data'!$B:$Z,8,FALSE)</f>
        <v>L-&gt;R</v>
      </c>
      <c r="U1461" s="652" t="str">
        <f>VLOOKUP(A1461,'[1]Raw data'!$B:$Z,9,FALSE)</f>
        <v>No</v>
      </c>
      <c r="V1461" s="572" t="str">
        <f t="shared" si="337"/>
        <v>OK</v>
      </c>
      <c r="W1461" s="568" t="str">
        <f>VLOOKUP(A1461,'[1]Raw data'!$B:$AG,32,FALSE)</f>
        <v>DDP SZ</v>
      </c>
      <c r="X1461" s="662">
        <f>VLOOKUP(A1461,'[1]Raw data'!$B:$BA,31,FALSE)</f>
        <v>45161</v>
      </c>
      <c r="Y1461" s="652" t="str">
        <f>VLOOKUP(A1461,'[1]Raw data'!$B:$AS,39,FALSE)</f>
        <v>Yes</v>
      </c>
      <c r="Z1461" s="664"/>
      <c r="AA1461" s="665"/>
      <c r="AB1461" s="666"/>
      <c r="AC1461" s="652" t="s">
        <v>2514</v>
      </c>
      <c r="AD1461" s="667">
        <v>301</v>
      </c>
      <c r="AE1461" s="667">
        <v>15</v>
      </c>
      <c r="AF1461" s="667">
        <v>302</v>
      </c>
      <c r="AG1461" s="667">
        <v>3</v>
      </c>
      <c r="AH1461" s="667">
        <v>303</v>
      </c>
      <c r="AI1461" s="668">
        <v>1</v>
      </c>
      <c r="AJ1461" s="667">
        <v>304</v>
      </c>
      <c r="AK1461" s="576">
        <v>1</v>
      </c>
      <c r="AN1461" s="547"/>
      <c r="AO1461" s="829" t="str">
        <f t="shared" si="322"/>
        <v>Yes</v>
      </c>
      <c r="AP1461" s="259" t="str">
        <f t="shared" si="323"/>
        <v>SEP 23</v>
      </c>
      <c r="AQ1461" s="547" t="str">
        <f t="shared" si="324"/>
        <v>有定金+有預留客戶</v>
      </c>
      <c r="AR1461" s="259" t="str">
        <f t="shared" si="325"/>
        <v>Shipped_Stock</v>
      </c>
      <c r="AS1461" s="259" t="str">
        <f t="shared" si="326"/>
        <v/>
      </c>
      <c r="AT1461" s="259" t="str">
        <f t="shared" si="327"/>
        <v>利速达</v>
      </c>
      <c r="AU1461" s="259" t="str">
        <f t="shared" si="328"/>
        <v>C49SZX202300095SX</v>
      </c>
      <c r="AV1461" s="259" t="str">
        <f t="shared" si="329"/>
        <v>2022-7-25北京单</v>
      </c>
    </row>
    <row r="1462" spans="1:48" hidden="1">
      <c r="A1462" s="564">
        <v>1982</v>
      </c>
      <c r="B1462" s="669" t="s">
        <v>1125</v>
      </c>
      <c r="C1462" s="669" t="s">
        <v>281</v>
      </c>
      <c r="D1462" s="650">
        <v>111277</v>
      </c>
      <c r="E1462" s="749" t="s">
        <v>236</v>
      </c>
      <c r="F1462" s="652" t="s">
        <v>17</v>
      </c>
      <c r="G1462" s="652" t="s">
        <v>18</v>
      </c>
      <c r="H1462" s="652" t="s">
        <v>26</v>
      </c>
      <c r="I1462" s="580" t="s">
        <v>3993</v>
      </c>
      <c r="J1462" s="580">
        <v>1</v>
      </c>
      <c r="K1462" s="652" t="s">
        <v>1732</v>
      </c>
      <c r="L1462" s="662">
        <v>45100</v>
      </c>
      <c r="M1462" s="670">
        <v>5.16E-2</v>
      </c>
      <c r="N1462" s="652" t="s">
        <v>4186</v>
      </c>
      <c r="O1462" s="580">
        <v>2023.5</v>
      </c>
      <c r="P1462" s="670" t="str">
        <f>VLOOKUP(A1462,'[1]Raw data'!$B:$BA,23,FALSE)</f>
        <v>JPY</v>
      </c>
      <c r="Q1462" s="652" t="str">
        <f>VLOOKUP(A1462,'[1]Raw data'!$B:$Z,2,FALSE)</f>
        <v>C49SZX20230101R1DM</v>
      </c>
      <c r="R1462" s="652" t="str">
        <f>VLOOKUP(A1462,'[1]Raw data'!$B:$Z,3,FALSE)</f>
        <v>菲帆</v>
      </c>
      <c r="S1462" s="652" t="str">
        <f>VLOOKUP(A1462,'[1]Raw data'!$B:$Z,4,FALSE)</f>
        <v>YSM10</v>
      </c>
      <c r="T1462" s="652" t="str">
        <f>VLOOKUP(A1462,'[1]Raw data'!$B:$Z,8,FALSE)</f>
        <v>L-&gt;R</v>
      </c>
      <c r="U1462" s="652" t="str">
        <f>VLOOKUP(A1462,'[1]Raw data'!$B:$Z,9,FALSE)</f>
        <v>MVC</v>
      </c>
      <c r="V1462" s="572" t="str">
        <f t="shared" ref="V1462:V1472" si="338">IF(G1462&amp;H1462=T1462&amp;U1462,"OK","WRONG")</f>
        <v>WRONG</v>
      </c>
      <c r="W1462" s="568" t="str">
        <f>VLOOKUP(A1462,'[1]Raw data'!$B:$AG,32,FALSE)</f>
        <v>DAP HZ</v>
      </c>
      <c r="X1462" s="662">
        <f>VLOOKUP(A1462,'[1]Raw data'!$B:$BA,31,FALSE)</f>
        <v>45190</v>
      </c>
      <c r="Y1462" s="652" t="str">
        <f>VLOOKUP(A1462,'[1]Raw data'!$B:$AS,39,FALSE)</f>
        <v>Yes</v>
      </c>
      <c r="Z1462" s="664"/>
      <c r="AA1462" s="665"/>
      <c r="AB1462" s="666"/>
      <c r="AC1462" s="652" t="s">
        <v>4378</v>
      </c>
      <c r="AD1462" s="667">
        <v>301</v>
      </c>
      <c r="AE1462" s="667">
        <v>10</v>
      </c>
      <c r="AF1462" s="667"/>
      <c r="AG1462" s="667"/>
      <c r="AH1462" s="667"/>
      <c r="AI1462" s="668"/>
      <c r="AN1462" s="547"/>
      <c r="AO1462" s="829" t="str">
        <f t="shared" si="322"/>
        <v>Yes</v>
      </c>
      <c r="AP1462" s="259" t="str">
        <f t="shared" si="323"/>
        <v>OCT 23</v>
      </c>
      <c r="AQ1462" s="547" t="str">
        <f t="shared" si="324"/>
        <v>有定金+有預留客戶</v>
      </c>
      <c r="AR1462" s="259" t="str">
        <f t="shared" si="325"/>
        <v>Shipped_Stock</v>
      </c>
      <c r="AS1462" s="259" t="str">
        <f t="shared" si="326"/>
        <v/>
      </c>
      <c r="AT1462" s="259" t="str">
        <f t="shared" si="327"/>
        <v>菲帆</v>
      </c>
      <c r="AU1462" s="259" t="str">
        <f t="shared" si="328"/>
        <v>C49SZX20230101R1DM</v>
      </c>
      <c r="AV1462" s="259" t="str">
        <f t="shared" si="329"/>
        <v>Jun-23</v>
      </c>
    </row>
    <row r="1463" spans="1:48" hidden="1">
      <c r="A1463" s="564">
        <v>2059</v>
      </c>
      <c r="B1463" s="669" t="s">
        <v>1125</v>
      </c>
      <c r="C1463" s="669" t="s">
        <v>281</v>
      </c>
      <c r="D1463" s="650">
        <v>111277</v>
      </c>
      <c r="E1463" s="749" t="s">
        <v>236</v>
      </c>
      <c r="F1463" s="652" t="s">
        <v>17</v>
      </c>
      <c r="G1463" s="652" t="s">
        <v>18</v>
      </c>
      <c r="H1463" s="652" t="s">
        <v>26</v>
      </c>
      <c r="I1463" s="580" t="s">
        <v>4351</v>
      </c>
      <c r="J1463" s="580">
        <v>1</v>
      </c>
      <c r="K1463" s="652" t="s">
        <v>1732</v>
      </c>
      <c r="L1463" s="662">
        <v>45100</v>
      </c>
      <c r="M1463" s="670">
        <v>5.16E-2</v>
      </c>
      <c r="N1463" s="652" t="s">
        <v>4375</v>
      </c>
      <c r="O1463" s="580">
        <v>2023.5</v>
      </c>
      <c r="P1463" s="670" t="str">
        <f>VLOOKUP(A1463,'[1]Raw data'!$B:$BA,23,FALSE)</f>
        <v>JPY</v>
      </c>
      <c r="Q1463" s="652" t="str">
        <f>VLOOKUP(A1463,'[1]Raw data'!$B:$Z,2,FALSE)</f>
        <v>C49SZX20240002SX</v>
      </c>
      <c r="R1463" s="652" t="str">
        <f>VLOOKUP(A1463,'[1]Raw data'!$B:$Z,3,FALSE)</f>
        <v>悦之彩</v>
      </c>
      <c r="S1463" s="652" t="str">
        <f>VLOOKUP(A1463,'[1]Raw data'!$B:$Z,4,FALSE)</f>
        <v>YSM10</v>
      </c>
      <c r="T1463" s="652" t="str">
        <f>VLOOKUP(A1463,'[1]Raw data'!$B:$Z,8,FALSE)</f>
        <v>L-&gt;R</v>
      </c>
      <c r="U1463" s="652" t="str">
        <f>VLOOKUP(A1463,'[1]Raw data'!$B:$Z,9,FALSE)</f>
        <v>MVC</v>
      </c>
      <c r="V1463" s="572" t="str">
        <f t="shared" si="338"/>
        <v>WRONG</v>
      </c>
      <c r="W1463" s="568" t="str">
        <f>VLOOKUP(A1463,'[1]Raw data'!$B:$AG,32,FALSE)</f>
        <v>DAP SZ</v>
      </c>
      <c r="X1463" s="662">
        <f>VLOOKUP(A1463,'[1]Raw data'!$B:$BA,31,FALSE)</f>
        <v>45300</v>
      </c>
      <c r="Y1463" s="652" t="str">
        <f>VLOOKUP(A1463,'[1]Raw data'!$B:$AS,39,FALSE)</f>
        <v>Yes</v>
      </c>
      <c r="Z1463" s="664"/>
      <c r="AA1463" s="665"/>
      <c r="AB1463" s="666"/>
      <c r="AC1463" s="652" t="s">
        <v>1548</v>
      </c>
      <c r="AD1463" s="667">
        <v>301</v>
      </c>
      <c r="AE1463" s="667">
        <v>10</v>
      </c>
      <c r="AF1463" s="667"/>
      <c r="AG1463" s="667"/>
      <c r="AH1463" s="667"/>
      <c r="AI1463" s="668"/>
      <c r="AN1463" s="547"/>
      <c r="AO1463" s="829" t="str">
        <f t="shared" si="322"/>
        <v>Yes</v>
      </c>
      <c r="AP1463" s="259" t="str">
        <f t="shared" si="323"/>
        <v>JAN 24</v>
      </c>
      <c r="AQ1463" s="547" t="str">
        <f t="shared" si="324"/>
        <v>有定金+有預留客戶</v>
      </c>
      <c r="AR1463" s="259" t="str">
        <f t="shared" si="325"/>
        <v>Shipped_Stock</v>
      </c>
      <c r="AS1463" s="259" t="str">
        <f t="shared" si="326"/>
        <v/>
      </c>
      <c r="AT1463" s="259" t="str">
        <f t="shared" si="327"/>
        <v>悦之彩</v>
      </c>
      <c r="AU1463" s="259" t="str">
        <f t="shared" si="328"/>
        <v>C49SZX20240002SX</v>
      </c>
      <c r="AV1463" s="259" t="str">
        <f t="shared" si="329"/>
        <v>Jun-23</v>
      </c>
    </row>
    <row r="1464" spans="1:48" ht="22.5" hidden="1">
      <c r="A1464" s="564">
        <v>2050</v>
      </c>
      <c r="B1464" s="669" t="s">
        <v>1125</v>
      </c>
      <c r="C1464" s="669" t="s">
        <v>281</v>
      </c>
      <c r="D1464" s="650">
        <v>111277</v>
      </c>
      <c r="E1464" s="749" t="s">
        <v>236</v>
      </c>
      <c r="F1464" s="652" t="s">
        <v>17</v>
      </c>
      <c r="G1464" s="652" t="s">
        <v>18</v>
      </c>
      <c r="H1464" s="652" t="s">
        <v>26</v>
      </c>
      <c r="I1464" s="580" t="s">
        <v>3994</v>
      </c>
      <c r="J1464" s="580">
        <v>1</v>
      </c>
      <c r="K1464" s="652" t="s">
        <v>1732</v>
      </c>
      <c r="L1464" s="662">
        <v>45100</v>
      </c>
      <c r="M1464" s="683" t="s">
        <v>4521</v>
      </c>
      <c r="N1464" s="652" t="s">
        <v>4375</v>
      </c>
      <c r="O1464" s="580">
        <v>2023.6</v>
      </c>
      <c r="P1464" s="670" t="str">
        <f>VLOOKUP(A1464,'[1]Raw data'!$B:$BA,23,FALSE)</f>
        <v>JPY</v>
      </c>
      <c r="Q1464" s="652" t="str">
        <f>VLOOKUP(A1464,'[1]Raw data'!$B:$Z,2,FALSE)</f>
        <v>C49SZX20230142SS</v>
      </c>
      <c r="R1464" s="652" t="str">
        <f>VLOOKUP(A1464,'[1]Raw data'!$B:$Z,3,FALSE)</f>
        <v>盈通恒翼</v>
      </c>
      <c r="S1464" s="652" t="str">
        <f>VLOOKUP(A1464,'[1]Raw data'!$B:$Z,4,FALSE)</f>
        <v>YSM10</v>
      </c>
      <c r="T1464" s="652" t="str">
        <f>VLOOKUP(A1464,'[1]Raw data'!$B:$Z,8,FALSE)</f>
        <v>L-&gt;R</v>
      </c>
      <c r="U1464" s="652" t="str">
        <f>VLOOKUP(A1464,'[1]Raw data'!$B:$Z,9,FALSE)</f>
        <v>No</v>
      </c>
      <c r="V1464" s="572" t="str">
        <f t="shared" si="338"/>
        <v>WRONG</v>
      </c>
      <c r="W1464" s="568" t="str">
        <f>VLOOKUP(A1464,'[1]Raw data'!$B:$AG,32,FALSE)</f>
        <v>DAP SZ</v>
      </c>
      <c r="X1464" s="662">
        <f>VLOOKUP(A1464,'[1]Raw data'!$B:$BA,31,FALSE)</f>
        <v>45282</v>
      </c>
      <c r="Y1464" s="652" t="str">
        <f>VLOOKUP(A1464,'[1]Raw data'!$B:$AS,39,FALSE)</f>
        <v>Yes</v>
      </c>
      <c r="Z1464" s="664"/>
      <c r="AA1464" s="665"/>
      <c r="AB1464" s="666"/>
      <c r="AC1464" s="652" t="s">
        <v>4553</v>
      </c>
      <c r="AD1464" s="667">
        <v>301</v>
      </c>
      <c r="AE1464" s="667">
        <v>10</v>
      </c>
      <c r="AF1464" s="667"/>
      <c r="AG1464" s="667"/>
      <c r="AH1464" s="667"/>
      <c r="AI1464" s="668"/>
      <c r="AN1464" s="547"/>
      <c r="AO1464" s="829" t="str">
        <f t="shared" si="322"/>
        <v>Yes</v>
      </c>
      <c r="AP1464" s="259" t="str">
        <f t="shared" si="323"/>
        <v>JAN 24</v>
      </c>
      <c r="AQ1464" s="547" t="str">
        <f t="shared" si="324"/>
        <v>有定金+有預留客戶</v>
      </c>
      <c r="AR1464" s="259" t="str">
        <f t="shared" si="325"/>
        <v>Shipped_Stock</v>
      </c>
      <c r="AS1464" s="259" t="str">
        <f t="shared" si="326"/>
        <v/>
      </c>
      <c r="AT1464" s="259" t="str">
        <f t="shared" si="327"/>
        <v>盈通恒翼</v>
      </c>
      <c r="AU1464" s="259" t="str">
        <f t="shared" si="328"/>
        <v>C49SZX20230142SS</v>
      </c>
      <c r="AV1464" s="259" t="str">
        <f t="shared" si="329"/>
        <v>Jun-23</v>
      </c>
    </row>
    <row r="1465" spans="1:48" hidden="1">
      <c r="A1465" s="564">
        <v>2057</v>
      </c>
      <c r="B1465" s="669" t="s">
        <v>1125</v>
      </c>
      <c r="C1465" s="669" t="s">
        <v>281</v>
      </c>
      <c r="D1465" s="650">
        <v>111277</v>
      </c>
      <c r="E1465" s="749" t="s">
        <v>236</v>
      </c>
      <c r="F1465" s="652" t="s">
        <v>17</v>
      </c>
      <c r="G1465" s="652" t="s">
        <v>18</v>
      </c>
      <c r="H1465" s="652" t="s">
        <v>26</v>
      </c>
      <c r="I1465" s="580" t="s">
        <v>3995</v>
      </c>
      <c r="J1465" s="580">
        <v>1</v>
      </c>
      <c r="K1465" s="652" t="s">
        <v>1732</v>
      </c>
      <c r="L1465" s="662">
        <v>45100</v>
      </c>
      <c r="M1465" s="670">
        <v>5.16E-2</v>
      </c>
      <c r="N1465" s="652" t="s">
        <v>4375</v>
      </c>
      <c r="O1465" s="580">
        <v>2023.6</v>
      </c>
      <c r="P1465" s="670" t="str">
        <f>VLOOKUP(A1465,'[1]Raw data'!$B:$BA,23,FALSE)</f>
        <v>JPY</v>
      </c>
      <c r="Q1465" s="652" t="str">
        <f>VLOOKUP(A1465,'[1]Raw data'!$B:$Z,2,FALSE)</f>
        <v>C49SZX20230145BH</v>
      </c>
      <c r="R1465" s="652" t="str">
        <f>VLOOKUP(A1465,'[1]Raw data'!$B:$Z,3,FALSE)</f>
        <v>世纪佳柔</v>
      </c>
      <c r="S1465" s="652" t="str">
        <f>VLOOKUP(A1465,'[1]Raw data'!$B:$Z,4,FALSE)</f>
        <v>YSM10</v>
      </c>
      <c r="T1465" s="652" t="str">
        <f>VLOOKUP(A1465,'[1]Raw data'!$B:$Z,8,FALSE)</f>
        <v>L-&gt;R</v>
      </c>
      <c r="U1465" s="652" t="str">
        <f>VLOOKUP(A1465,'[1]Raw data'!$B:$Z,9,FALSE)</f>
        <v>MVC</v>
      </c>
      <c r="V1465" s="572" t="str">
        <f t="shared" ref="V1465:V1467" si="339">IF(G1465&amp;H1465=T1465&amp;U1465,"OK","WRONG")</f>
        <v>WRONG</v>
      </c>
      <c r="W1465" s="568" t="str">
        <f>VLOOKUP(A1465,'[1]Raw data'!$B:$AG,32,FALSE)</f>
        <v>DAP DG</v>
      </c>
      <c r="X1465" s="662">
        <f>VLOOKUP(A1465,'[1]Raw data'!$B:$BA,31,FALSE)</f>
        <v>45283</v>
      </c>
      <c r="Y1465" s="652" t="str">
        <f>VLOOKUP(A1465,'[1]Raw data'!$B:$AS,39,FALSE)</f>
        <v>Yes</v>
      </c>
      <c r="Z1465" s="671"/>
      <c r="AA1465" s="665"/>
      <c r="AB1465" s="666"/>
      <c r="AC1465" s="715" t="s">
        <v>4551</v>
      </c>
      <c r="AD1465" s="667">
        <v>301</v>
      </c>
      <c r="AE1465" s="667">
        <v>10</v>
      </c>
      <c r="AF1465" s="667"/>
      <c r="AG1465" s="667"/>
      <c r="AH1465" s="667"/>
      <c r="AI1465" s="668"/>
      <c r="AN1465" s="547"/>
      <c r="AO1465" s="829" t="str">
        <f t="shared" si="322"/>
        <v>Yes</v>
      </c>
      <c r="AP1465" s="259" t="str">
        <f t="shared" si="323"/>
        <v>JAN 24</v>
      </c>
      <c r="AQ1465" s="547" t="str">
        <f t="shared" si="324"/>
        <v>有定金+有預留客戶</v>
      </c>
      <c r="AR1465" s="259" t="str">
        <f t="shared" si="325"/>
        <v>Shipped_Stock</v>
      </c>
      <c r="AS1465" s="259" t="str">
        <f t="shared" si="326"/>
        <v/>
      </c>
      <c r="AT1465" s="259" t="str">
        <f t="shared" si="327"/>
        <v>世纪佳柔</v>
      </c>
      <c r="AU1465" s="259" t="str">
        <f t="shared" si="328"/>
        <v>C49SZX20230145BH</v>
      </c>
      <c r="AV1465" s="259" t="str">
        <f t="shared" si="329"/>
        <v>Jun-23</v>
      </c>
    </row>
    <row r="1466" spans="1:48" hidden="1">
      <c r="A1466" s="564">
        <v>2060</v>
      </c>
      <c r="B1466" s="669" t="s">
        <v>1125</v>
      </c>
      <c r="C1466" s="669" t="s">
        <v>281</v>
      </c>
      <c r="D1466" s="650">
        <v>111277</v>
      </c>
      <c r="E1466" s="749" t="s">
        <v>236</v>
      </c>
      <c r="F1466" s="652" t="s">
        <v>17</v>
      </c>
      <c r="G1466" s="652" t="s">
        <v>18</v>
      </c>
      <c r="H1466" s="652" t="s">
        <v>26</v>
      </c>
      <c r="I1466" s="580" t="s">
        <v>3996</v>
      </c>
      <c r="J1466" s="580">
        <v>1</v>
      </c>
      <c r="K1466" s="652" t="s">
        <v>1732</v>
      </c>
      <c r="L1466" s="662">
        <v>45100</v>
      </c>
      <c r="M1466" s="670">
        <v>5.16E-2</v>
      </c>
      <c r="N1466" s="652" t="s">
        <v>4375</v>
      </c>
      <c r="O1466" s="580">
        <v>2023.5</v>
      </c>
      <c r="P1466" s="670" t="str">
        <f>VLOOKUP(A1466,'[1]Raw data'!$B:$BA,23,FALSE)</f>
        <v>JPY</v>
      </c>
      <c r="Q1466" s="652" t="str">
        <f>VLOOKUP(A1466,'[1]Raw data'!$B:$Z,2,FALSE)</f>
        <v>C49SZX20240002SX</v>
      </c>
      <c r="R1466" s="652" t="str">
        <f>VLOOKUP(A1466,'[1]Raw data'!$B:$Z,3,FALSE)</f>
        <v>悦之彩</v>
      </c>
      <c r="S1466" s="652" t="str">
        <f>VLOOKUP(A1466,'[1]Raw data'!$B:$Z,4,FALSE)</f>
        <v>YSM10</v>
      </c>
      <c r="T1466" s="652" t="str">
        <f>VLOOKUP(A1466,'[1]Raw data'!$B:$Z,8,FALSE)</f>
        <v>L-&gt;R</v>
      </c>
      <c r="U1466" s="652" t="str">
        <f>VLOOKUP(A1466,'[1]Raw data'!$B:$Z,9,FALSE)</f>
        <v>MVC</v>
      </c>
      <c r="V1466" s="572" t="str">
        <f t="shared" si="339"/>
        <v>WRONG</v>
      </c>
      <c r="W1466" s="568" t="str">
        <f>VLOOKUP(A1466,'[1]Raw data'!$B:$AG,32,FALSE)</f>
        <v>DAP SZ</v>
      </c>
      <c r="X1466" s="662">
        <f>VLOOKUP(A1466,'[1]Raw data'!$B:$BA,31,FALSE)</f>
        <v>45300</v>
      </c>
      <c r="Y1466" s="652" t="str">
        <f>VLOOKUP(A1466,'[1]Raw data'!$B:$AS,39,FALSE)</f>
        <v>Yes</v>
      </c>
      <c r="Z1466" s="664"/>
      <c r="AA1466" s="665"/>
      <c r="AB1466" s="666"/>
      <c r="AC1466" s="652" t="s">
        <v>1548</v>
      </c>
      <c r="AD1466" s="667">
        <v>301</v>
      </c>
      <c r="AE1466" s="667">
        <v>10</v>
      </c>
      <c r="AF1466" s="667"/>
      <c r="AG1466" s="667"/>
      <c r="AH1466" s="667"/>
      <c r="AI1466" s="668"/>
      <c r="AN1466" s="547"/>
      <c r="AO1466" s="829" t="str">
        <f t="shared" si="322"/>
        <v>Yes</v>
      </c>
      <c r="AP1466" s="259" t="str">
        <f t="shared" si="323"/>
        <v>JAN 24</v>
      </c>
      <c r="AQ1466" s="547" t="str">
        <f t="shared" si="324"/>
        <v>有定金+有預留客戶</v>
      </c>
      <c r="AR1466" s="259" t="str">
        <f t="shared" si="325"/>
        <v>Shipped_Stock</v>
      </c>
      <c r="AS1466" s="259" t="str">
        <f t="shared" si="326"/>
        <v/>
      </c>
      <c r="AT1466" s="259" t="str">
        <f t="shared" si="327"/>
        <v>悦之彩</v>
      </c>
      <c r="AU1466" s="259" t="str">
        <f t="shared" si="328"/>
        <v>C49SZX20240002SX</v>
      </c>
      <c r="AV1466" s="259" t="str">
        <f t="shared" si="329"/>
        <v>Jun-23</v>
      </c>
    </row>
    <row r="1467" spans="1:48" hidden="1">
      <c r="A1467" s="564">
        <v>1930</v>
      </c>
      <c r="B1467" s="669" t="s">
        <v>1125</v>
      </c>
      <c r="C1467" s="669" t="s">
        <v>281</v>
      </c>
      <c r="D1467" s="650" t="s">
        <v>3920</v>
      </c>
      <c r="E1467" s="749" t="s">
        <v>236</v>
      </c>
      <c r="F1467" s="652" t="s">
        <v>17</v>
      </c>
      <c r="G1467" s="652" t="s">
        <v>18</v>
      </c>
      <c r="H1467" s="652" t="s">
        <v>19</v>
      </c>
      <c r="I1467" s="580" t="s">
        <v>3997</v>
      </c>
      <c r="J1467" s="580">
        <v>1</v>
      </c>
      <c r="K1467" s="652" t="s">
        <v>1732</v>
      </c>
      <c r="L1467" s="662">
        <v>45100</v>
      </c>
      <c r="M1467" s="670">
        <v>5.0799999999999998E-2</v>
      </c>
      <c r="N1467" s="652" t="s">
        <v>4045</v>
      </c>
      <c r="O1467" s="580">
        <v>2023.5</v>
      </c>
      <c r="P1467" s="670" t="str">
        <f>VLOOKUP(A1467,'[1]Raw data'!$B:$BA,23,FALSE)</f>
        <v>JPY</v>
      </c>
      <c r="Q1467" s="652" t="str">
        <f>VLOOKUP(A1467,'[1]Raw data'!$B:$Z,2,FALSE)</f>
        <v>C49SZX20230073MZ</v>
      </c>
      <c r="R1467" s="652" t="str">
        <f>VLOOKUP(A1467,'[1]Raw data'!$B:$Z,3,FALSE)</f>
        <v>方案集（End user:陆巡）</v>
      </c>
      <c r="S1467" s="652" t="str">
        <f>VLOOKUP(A1467,'[1]Raw data'!$B:$Z,4,FALSE)</f>
        <v>YSM10</v>
      </c>
      <c r="T1467" s="652" t="str">
        <f>VLOOKUP(A1467,'[1]Raw data'!$B:$Z,8,FALSE)</f>
        <v>L-&gt;R</v>
      </c>
      <c r="U1467" s="652" t="str">
        <f>VLOOKUP(A1467,'[1]Raw data'!$B:$Z,9,FALSE)</f>
        <v>MVC+ATS15</v>
      </c>
      <c r="V1467" s="572" t="str">
        <f t="shared" si="339"/>
        <v>WRONG</v>
      </c>
      <c r="W1467" s="568" t="str">
        <f>VLOOKUP(A1467,'[1]Raw data'!$B:$AG,32,FALSE)</f>
        <v>CIF HK</v>
      </c>
      <c r="X1467" s="662">
        <f>VLOOKUP(A1467,'[1]Raw data'!$B:$BA,31,FALSE)</f>
        <v>45097</v>
      </c>
      <c r="Y1467" s="652" t="str">
        <f>VLOOKUP(A1467,'[1]Raw data'!$B:$AS,39,FALSE)</f>
        <v>Yes</v>
      </c>
      <c r="Z1467" s="664"/>
      <c r="AA1467" s="665"/>
      <c r="AB1467" s="666"/>
      <c r="AC1467" s="652" t="s">
        <v>4152</v>
      </c>
      <c r="AD1467" s="667">
        <v>301</v>
      </c>
      <c r="AE1467" s="667">
        <v>10</v>
      </c>
      <c r="AF1467" s="667"/>
      <c r="AG1467" s="667"/>
      <c r="AH1467" s="667"/>
      <c r="AI1467" s="668"/>
      <c r="AN1467" s="547"/>
      <c r="AO1467" s="829" t="str">
        <f t="shared" si="322"/>
        <v>Yes</v>
      </c>
      <c r="AP1467" s="259" t="str">
        <f t="shared" si="323"/>
        <v>AUG 23</v>
      </c>
      <c r="AQ1467" s="547" t="str">
        <f t="shared" si="324"/>
        <v>有定金+有預留客戶</v>
      </c>
      <c r="AR1467" s="259" t="str">
        <f t="shared" si="325"/>
        <v>Shipped_Stock</v>
      </c>
      <c r="AS1467" s="259" t="str">
        <f t="shared" si="326"/>
        <v/>
      </c>
      <c r="AT1467" s="259" t="str">
        <f t="shared" si="327"/>
        <v>方案集（End user:陆巡）</v>
      </c>
      <c r="AU1467" s="259" t="str">
        <f t="shared" si="328"/>
        <v>C49SZX20230073MZ</v>
      </c>
      <c r="AV1467" s="259" t="str">
        <f t="shared" si="329"/>
        <v>Jun-23</v>
      </c>
    </row>
    <row r="1468" spans="1:48" hidden="1">
      <c r="A1468" s="564">
        <v>1979</v>
      </c>
      <c r="B1468" s="669" t="s">
        <v>1125</v>
      </c>
      <c r="C1468" s="669" t="s">
        <v>281</v>
      </c>
      <c r="D1468" s="650" t="s">
        <v>3920</v>
      </c>
      <c r="E1468" s="749" t="s">
        <v>236</v>
      </c>
      <c r="F1468" s="652" t="s">
        <v>17</v>
      </c>
      <c r="G1468" s="652" t="s">
        <v>18</v>
      </c>
      <c r="H1468" s="652" t="s">
        <v>19</v>
      </c>
      <c r="I1468" s="580" t="s">
        <v>3998</v>
      </c>
      <c r="J1468" s="580">
        <v>1</v>
      </c>
      <c r="K1468" s="652" t="s">
        <v>1732</v>
      </c>
      <c r="L1468" s="662">
        <v>45100</v>
      </c>
      <c r="M1468" s="670">
        <v>5.0799999999999998E-2</v>
      </c>
      <c r="N1468" s="652" t="s">
        <v>4169</v>
      </c>
      <c r="O1468" s="580">
        <v>2023.5</v>
      </c>
      <c r="P1468" s="670" t="str">
        <f>VLOOKUP(A1468,'[1]Raw data'!$B:$BA,23,FALSE)</f>
        <v>JPY</v>
      </c>
      <c r="Q1468" s="652" t="str">
        <f>VLOOKUP(A1468,'[1]Raw data'!$B:$Z,2,FALSE)</f>
        <v>C49SZX20230102SX</v>
      </c>
      <c r="R1468" s="652" t="str">
        <f>VLOOKUP(A1468,'[1]Raw data'!$B:$Z,3,FALSE)</f>
        <v>太美亚</v>
      </c>
      <c r="S1468" s="652" t="str">
        <f>VLOOKUP(A1468,'[1]Raw data'!$B:$Z,4,FALSE)</f>
        <v>YSM10</v>
      </c>
      <c r="T1468" s="652" t="str">
        <f>VLOOKUP(A1468,'[1]Raw data'!$B:$Z,8,FALSE)</f>
        <v>L-&gt;R</v>
      </c>
      <c r="U1468" s="652" t="str">
        <f>VLOOKUP(A1468,'[1]Raw data'!$B:$Z,9,FALSE)</f>
        <v>MVC+ATS15</v>
      </c>
      <c r="V1468" s="572" t="str">
        <f t="shared" si="338"/>
        <v>WRONG</v>
      </c>
      <c r="W1468" s="568" t="str">
        <f>VLOOKUP(A1468,'[1]Raw data'!$B:$AG,32,FALSE)</f>
        <v>DAP YC</v>
      </c>
      <c r="X1468" s="662">
        <f>VLOOKUP(A1468,'[1]Raw data'!$B:$BA,31,FALSE)</f>
        <v>45184</v>
      </c>
      <c r="Y1468" s="652" t="str">
        <f>VLOOKUP(A1468,'[1]Raw data'!$B:$AS,39,FALSE)</f>
        <v>Yes</v>
      </c>
      <c r="Z1468" s="664"/>
      <c r="AA1468" s="665"/>
      <c r="AB1468" s="666"/>
      <c r="AC1468" s="652" t="s">
        <v>4240</v>
      </c>
      <c r="AD1468" s="667">
        <v>301</v>
      </c>
      <c r="AE1468" s="667">
        <v>10</v>
      </c>
      <c r="AF1468" s="667"/>
      <c r="AG1468" s="667"/>
      <c r="AH1468" s="667"/>
      <c r="AI1468" s="668"/>
      <c r="AN1468" s="547"/>
      <c r="AO1468" s="829" t="str">
        <f t="shared" si="322"/>
        <v>Yes</v>
      </c>
      <c r="AP1468" s="259" t="str">
        <f t="shared" si="323"/>
        <v>SEP 23</v>
      </c>
      <c r="AQ1468" s="547" t="str">
        <f t="shared" si="324"/>
        <v>有定金+有預留客戶</v>
      </c>
      <c r="AR1468" s="259" t="str">
        <f t="shared" si="325"/>
        <v>Shipped_Stock</v>
      </c>
      <c r="AS1468" s="259" t="str">
        <f t="shared" si="326"/>
        <v/>
      </c>
      <c r="AT1468" s="259" t="str">
        <f t="shared" si="327"/>
        <v>太美亚</v>
      </c>
      <c r="AU1468" s="259" t="str">
        <f t="shared" si="328"/>
        <v>C49SZX20230102SX</v>
      </c>
      <c r="AV1468" s="259" t="str">
        <f t="shared" si="329"/>
        <v>Jun-23</v>
      </c>
    </row>
    <row r="1469" spans="1:48" hidden="1">
      <c r="A1469" s="564">
        <v>1978</v>
      </c>
      <c r="B1469" s="669" t="s">
        <v>1125</v>
      </c>
      <c r="C1469" s="669" t="s">
        <v>281</v>
      </c>
      <c r="D1469" s="650" t="s">
        <v>3920</v>
      </c>
      <c r="E1469" s="749" t="s">
        <v>236</v>
      </c>
      <c r="F1469" s="652" t="s">
        <v>17</v>
      </c>
      <c r="G1469" s="652" t="s">
        <v>18</v>
      </c>
      <c r="H1469" s="652" t="s">
        <v>19</v>
      </c>
      <c r="I1469" s="580" t="s">
        <v>3999</v>
      </c>
      <c r="J1469" s="580">
        <v>1</v>
      </c>
      <c r="K1469" s="652" t="s">
        <v>1732</v>
      </c>
      <c r="L1469" s="662">
        <v>45100</v>
      </c>
      <c r="M1469" s="670">
        <v>5.0799999999999998E-2</v>
      </c>
      <c r="N1469" s="652" t="s">
        <v>4169</v>
      </c>
      <c r="O1469" s="580">
        <v>2023.6</v>
      </c>
      <c r="P1469" s="670" t="str">
        <f>VLOOKUP(A1469,'[1]Raw data'!$B:$BA,23,FALSE)</f>
        <v>JPY</v>
      </c>
      <c r="Q1469" s="652" t="str">
        <f>VLOOKUP(A1469,'[1]Raw data'!$B:$Z,2,FALSE)</f>
        <v>C49SZX20230102SX</v>
      </c>
      <c r="R1469" s="652" t="str">
        <f>VLOOKUP(A1469,'[1]Raw data'!$B:$Z,3,FALSE)</f>
        <v>太美亚</v>
      </c>
      <c r="S1469" s="652" t="str">
        <f>VLOOKUP(A1469,'[1]Raw data'!$B:$Z,4,FALSE)</f>
        <v>YSM10</v>
      </c>
      <c r="T1469" s="652" t="str">
        <f>VLOOKUP(A1469,'[1]Raw data'!$B:$Z,8,FALSE)</f>
        <v>L-&gt;R</v>
      </c>
      <c r="U1469" s="652" t="str">
        <f>VLOOKUP(A1469,'[1]Raw data'!$B:$Z,9,FALSE)</f>
        <v>MVC+ATS15</v>
      </c>
      <c r="V1469" s="572" t="str">
        <f t="shared" si="338"/>
        <v>WRONG</v>
      </c>
      <c r="W1469" s="568" t="str">
        <f>VLOOKUP(A1469,'[1]Raw data'!$B:$AG,32,FALSE)</f>
        <v>DAP YC</v>
      </c>
      <c r="X1469" s="662">
        <f>VLOOKUP(A1469,'[1]Raw data'!$B:$BA,31,FALSE)</f>
        <v>45184</v>
      </c>
      <c r="Y1469" s="652" t="str">
        <f>VLOOKUP(A1469,'[1]Raw data'!$B:$AS,39,FALSE)</f>
        <v>Yes</v>
      </c>
      <c r="Z1469" s="664"/>
      <c r="AA1469" s="665"/>
      <c r="AB1469" s="666"/>
      <c r="AC1469" s="652" t="s">
        <v>4240</v>
      </c>
      <c r="AD1469" s="667">
        <v>301</v>
      </c>
      <c r="AE1469" s="667">
        <v>10</v>
      </c>
      <c r="AF1469" s="667"/>
      <c r="AG1469" s="667"/>
      <c r="AH1469" s="667"/>
      <c r="AI1469" s="668"/>
      <c r="AN1469" s="547"/>
      <c r="AO1469" s="829" t="str">
        <f t="shared" si="322"/>
        <v>Yes</v>
      </c>
      <c r="AP1469" s="259" t="str">
        <f t="shared" si="323"/>
        <v>SEP 23</v>
      </c>
      <c r="AQ1469" s="547" t="str">
        <f t="shared" si="324"/>
        <v>有定金+有預留客戶</v>
      </c>
      <c r="AR1469" s="259" t="str">
        <f t="shared" si="325"/>
        <v>Shipped_Stock</v>
      </c>
      <c r="AS1469" s="259" t="str">
        <f t="shared" si="326"/>
        <v/>
      </c>
      <c r="AT1469" s="259" t="str">
        <f t="shared" si="327"/>
        <v>太美亚</v>
      </c>
      <c r="AU1469" s="259" t="str">
        <f t="shared" si="328"/>
        <v>C49SZX20230102SX</v>
      </c>
      <c r="AV1469" s="259" t="str">
        <f t="shared" si="329"/>
        <v>Jun-23</v>
      </c>
    </row>
    <row r="1470" spans="1:48" hidden="1">
      <c r="A1470" s="564">
        <v>1970</v>
      </c>
      <c r="B1470" s="669" t="s">
        <v>1125</v>
      </c>
      <c r="C1470" s="669" t="s">
        <v>281</v>
      </c>
      <c r="D1470" s="650" t="s">
        <v>3920</v>
      </c>
      <c r="E1470" s="749" t="s">
        <v>236</v>
      </c>
      <c r="F1470" s="652" t="s">
        <v>17</v>
      </c>
      <c r="G1470" s="652" t="s">
        <v>18</v>
      </c>
      <c r="H1470" s="652" t="s">
        <v>19</v>
      </c>
      <c r="I1470" s="580" t="s">
        <v>4000</v>
      </c>
      <c r="J1470" s="580">
        <v>1</v>
      </c>
      <c r="K1470" s="652" t="s">
        <v>2407</v>
      </c>
      <c r="L1470" s="662">
        <v>45100</v>
      </c>
      <c r="M1470" s="670">
        <v>5.0799999999999998E-2</v>
      </c>
      <c r="N1470" s="652" t="s">
        <v>4186</v>
      </c>
      <c r="O1470" s="580">
        <v>2023.6</v>
      </c>
      <c r="P1470" s="670" t="str">
        <f>VLOOKUP(A1470,'[1]Raw data'!$B:$BA,23,FALSE)</f>
        <v>RMB</v>
      </c>
      <c r="Q1470" s="652" t="str">
        <f>VLOOKUP(A1470,'[1]Raw data'!$B:$Z,2,FALSE)</f>
        <v>C49SZX20230098SX</v>
      </c>
      <c r="R1470" s="652" t="str">
        <f>VLOOKUP(A1470,'[1]Raw data'!$B:$Z,3,FALSE)</f>
        <v>锐诚</v>
      </c>
      <c r="S1470" s="652" t="str">
        <f>VLOOKUP(A1470,'[1]Raw data'!$B:$Z,4,FALSE)</f>
        <v>YSM10</v>
      </c>
      <c r="T1470" s="652" t="str">
        <f>VLOOKUP(A1470,'[1]Raw data'!$B:$Z,8,FALSE)</f>
        <v>L-&gt;R</v>
      </c>
      <c r="U1470" s="652" t="str">
        <f>VLOOKUP(A1470,'[1]Raw data'!$B:$Z,9,FALSE)</f>
        <v>MVC+ATS15</v>
      </c>
      <c r="V1470" s="572" t="str">
        <f t="shared" si="338"/>
        <v>WRONG</v>
      </c>
      <c r="W1470" s="568" t="str">
        <f>VLOOKUP(A1470,'[1]Raw data'!$B:$AG,32,FALSE)</f>
        <v>DDP HZ</v>
      </c>
      <c r="X1470" s="662">
        <f>VLOOKUP(A1470,'[1]Raw data'!$B:$BA,31,FALSE)</f>
        <v>45169</v>
      </c>
      <c r="Y1470" s="652" t="str">
        <f>VLOOKUP(A1470,'[1]Raw data'!$B:$AS,39,FALSE)</f>
        <v>Yes</v>
      </c>
      <c r="Z1470" s="664"/>
      <c r="AA1470" s="665"/>
      <c r="AB1470" s="666"/>
      <c r="AC1470" s="652" t="s">
        <v>563</v>
      </c>
      <c r="AD1470" s="667">
        <v>301</v>
      </c>
      <c r="AE1470" s="667">
        <v>10</v>
      </c>
      <c r="AF1470" s="667"/>
      <c r="AG1470" s="667"/>
      <c r="AH1470" s="667"/>
      <c r="AI1470" s="668"/>
      <c r="AN1470" s="547"/>
      <c r="AO1470" s="829" t="str">
        <f t="shared" si="322"/>
        <v>Yes</v>
      </c>
      <c r="AP1470" s="259" t="str">
        <f t="shared" si="323"/>
        <v>OCT 23</v>
      </c>
      <c r="AQ1470" s="547" t="str">
        <f t="shared" si="324"/>
        <v>有定金+有預留客戶</v>
      </c>
      <c r="AR1470" s="259" t="str">
        <f t="shared" si="325"/>
        <v>Shipped_Stock</v>
      </c>
      <c r="AS1470" s="259" t="str">
        <f t="shared" si="326"/>
        <v/>
      </c>
      <c r="AT1470" s="259" t="str">
        <f t="shared" si="327"/>
        <v>锐诚</v>
      </c>
      <c r="AU1470" s="259" t="str">
        <f t="shared" si="328"/>
        <v>C49SZX20230098SX</v>
      </c>
      <c r="AV1470" s="259" t="str">
        <f t="shared" si="329"/>
        <v>Jun-23</v>
      </c>
    </row>
    <row r="1471" spans="1:48" hidden="1">
      <c r="A1471" s="564">
        <v>1994</v>
      </c>
      <c r="B1471" s="669" t="s">
        <v>1125</v>
      </c>
      <c r="C1471" s="669" t="s">
        <v>281</v>
      </c>
      <c r="D1471" s="650" t="s">
        <v>3920</v>
      </c>
      <c r="E1471" s="749" t="s">
        <v>236</v>
      </c>
      <c r="F1471" s="652" t="s">
        <v>17</v>
      </c>
      <c r="G1471" s="652" t="s">
        <v>18</v>
      </c>
      <c r="H1471" s="652" t="s">
        <v>19</v>
      </c>
      <c r="I1471" s="580" t="s">
        <v>4001</v>
      </c>
      <c r="J1471" s="580">
        <v>1</v>
      </c>
      <c r="K1471" s="652" t="s">
        <v>1732</v>
      </c>
      <c r="L1471" s="662">
        <v>45100</v>
      </c>
      <c r="M1471" s="670">
        <v>5.0799999999999998E-2</v>
      </c>
      <c r="N1471" s="652" t="s">
        <v>4344</v>
      </c>
      <c r="O1471" s="580">
        <v>2023.6</v>
      </c>
      <c r="P1471" s="670" t="str">
        <f>VLOOKUP(A1471,'[1]Raw data'!$B:$BA,23,FALSE)</f>
        <v>USD</v>
      </c>
      <c r="Q1471" s="652" t="str">
        <f>VLOOKUP(A1471,'[1]Raw data'!$B:$Z,2,FALSE)</f>
        <v>HJD-ESE20231016</v>
      </c>
      <c r="R1471" s="652" t="str">
        <f>VLOOKUP(A1471,'[1]Raw data'!$B:$Z,3,FALSE)</f>
        <v>越南皓吉达</v>
      </c>
      <c r="S1471" s="652" t="str">
        <f>VLOOKUP(A1471,'[1]Raw data'!$B:$Z,4,FALSE)</f>
        <v>YSM10</v>
      </c>
      <c r="T1471" s="652" t="str">
        <f>VLOOKUP(A1471,'[1]Raw data'!$B:$Z,8,FALSE)</f>
        <v>L-&gt;R</v>
      </c>
      <c r="U1471" s="652" t="str">
        <f>VLOOKUP(A1471,'[1]Raw data'!$B:$Z,9,FALSE)</f>
        <v>ATS15</v>
      </c>
      <c r="V1471" s="572" t="str">
        <f t="shared" si="338"/>
        <v>WRONG</v>
      </c>
      <c r="W1471" s="568" t="str">
        <f>VLOOKUP(A1471,'[1]Raw data'!$B:$AG,32,FALSE)</f>
        <v>CIF Vietnam</v>
      </c>
      <c r="X1471" s="662">
        <f>VLOOKUP(A1471,'[1]Raw data'!$B:$BA,31,FALSE)</f>
        <v>45215</v>
      </c>
      <c r="Y1471" s="652" t="str">
        <f>VLOOKUP(A1471,'[1]Raw data'!$B:$AS,39,FALSE)</f>
        <v>Yes</v>
      </c>
      <c r="Z1471" s="664"/>
      <c r="AA1471" s="665"/>
      <c r="AB1471" s="666"/>
      <c r="AC1471" s="652" t="s">
        <v>4382</v>
      </c>
      <c r="AD1471" s="667">
        <v>301</v>
      </c>
      <c r="AE1471" s="667">
        <v>10</v>
      </c>
      <c r="AF1471" s="667"/>
      <c r="AG1471" s="667"/>
      <c r="AH1471" s="667"/>
      <c r="AI1471" s="668"/>
      <c r="AN1471" s="547"/>
      <c r="AO1471" s="829" t="str">
        <f t="shared" si="322"/>
        <v>Yes</v>
      </c>
      <c r="AP1471" s="259" t="str">
        <f t="shared" si="323"/>
        <v>NOV 23</v>
      </c>
      <c r="AQ1471" s="547" t="str">
        <f t="shared" si="324"/>
        <v>有定金+有預留客戶</v>
      </c>
      <c r="AR1471" s="259" t="str">
        <f t="shared" si="325"/>
        <v>Shipped_Stock</v>
      </c>
      <c r="AS1471" s="259" t="str">
        <f t="shared" si="326"/>
        <v/>
      </c>
      <c r="AT1471" s="259" t="str">
        <f t="shared" si="327"/>
        <v>越南皓吉达</v>
      </c>
      <c r="AU1471" s="259" t="str">
        <f t="shared" si="328"/>
        <v>HJD-ESE20231016</v>
      </c>
      <c r="AV1471" s="259" t="str">
        <f t="shared" si="329"/>
        <v>Jun-23</v>
      </c>
    </row>
    <row r="1472" spans="1:48" hidden="1">
      <c r="A1472" s="564">
        <v>1984</v>
      </c>
      <c r="B1472" s="669" t="s">
        <v>1125</v>
      </c>
      <c r="C1472" s="669" t="s">
        <v>281</v>
      </c>
      <c r="D1472" s="650">
        <v>111278</v>
      </c>
      <c r="E1472" s="749" t="s">
        <v>236</v>
      </c>
      <c r="F1472" s="652" t="s">
        <v>58</v>
      </c>
      <c r="G1472" s="652" t="s">
        <v>24</v>
      </c>
      <c r="H1472" s="652" t="s">
        <v>26</v>
      </c>
      <c r="I1472" s="580" t="s">
        <v>4002</v>
      </c>
      <c r="J1472" s="580">
        <v>1</v>
      </c>
      <c r="K1472" s="652" t="s">
        <v>1732</v>
      </c>
      <c r="L1472" s="662">
        <v>45103</v>
      </c>
      <c r="M1472" s="670">
        <v>5.16E-2</v>
      </c>
      <c r="N1472" s="652" t="s">
        <v>4186</v>
      </c>
      <c r="O1472" s="580">
        <v>2023.6</v>
      </c>
      <c r="P1472" s="670" t="str">
        <f>VLOOKUP(A1472,'[1]Raw data'!$B:$BA,23,FALSE)</f>
        <v>JPY</v>
      </c>
      <c r="Q1472" s="652" t="str">
        <f>VLOOKUP(A1472,'[1]Raw data'!$B:$Z,2,FALSE)</f>
        <v>C49SZX20230109JY</v>
      </c>
      <c r="R1472" s="652" t="str">
        <f>VLOOKUP(A1472,'[1]Raw data'!$B:$Z,3,FALSE)</f>
        <v>精德鸿（end user:海纳科)</v>
      </c>
      <c r="S1472" s="652" t="str">
        <f>VLOOKUP(A1472,'[1]Raw data'!$B:$Z,4,FALSE)</f>
        <v>YSM20R-2</v>
      </c>
      <c r="T1472" s="652" t="str">
        <f>VLOOKUP(A1472,'[1]Raw data'!$B:$Z,8,FALSE)</f>
        <v>L-&gt;R</v>
      </c>
      <c r="U1472" s="652" t="str">
        <f>VLOOKUP(A1472,'[1]Raw data'!$B:$Z,9,FALSE)</f>
        <v>MVC F&amp;R</v>
      </c>
      <c r="V1472" s="572" t="str">
        <f t="shared" si="338"/>
        <v>WRONG</v>
      </c>
      <c r="W1472" s="568" t="str">
        <f>VLOOKUP(A1472,'[1]Raw data'!$B:$AG,32,FALSE)</f>
        <v>DAP SZ</v>
      </c>
      <c r="X1472" s="662">
        <f>VLOOKUP(A1472,'[1]Raw data'!$B:$BA,31,FALSE)</f>
        <v>45190</v>
      </c>
      <c r="Y1472" s="652" t="str">
        <f>VLOOKUP(A1472,'[1]Raw data'!$B:$AS,39,FALSE)</f>
        <v>Yes</v>
      </c>
      <c r="Z1472" s="664"/>
      <c r="AA1472" s="665"/>
      <c r="AB1472" s="666"/>
      <c r="AC1472" s="652" t="s">
        <v>4338</v>
      </c>
      <c r="AD1472" s="667">
        <v>301</v>
      </c>
      <c r="AE1472" s="667">
        <v>20</v>
      </c>
      <c r="AF1472" s="667"/>
      <c r="AG1472" s="667"/>
      <c r="AH1472" s="667"/>
      <c r="AI1472" s="668"/>
      <c r="AN1472" s="547"/>
      <c r="AO1472" s="829" t="str">
        <f t="shared" si="322"/>
        <v>Yes</v>
      </c>
      <c r="AP1472" s="259" t="str">
        <f t="shared" si="323"/>
        <v>OCT 23</v>
      </c>
      <c r="AQ1472" s="547" t="str">
        <f t="shared" si="324"/>
        <v>有定金+有預留客戶</v>
      </c>
      <c r="AR1472" s="259" t="str">
        <f t="shared" si="325"/>
        <v>Shipped_Stock</v>
      </c>
      <c r="AS1472" s="259" t="str">
        <f t="shared" si="326"/>
        <v/>
      </c>
      <c r="AT1472" s="259" t="str">
        <f t="shared" si="327"/>
        <v>精德鸿（end user:海纳科)</v>
      </c>
      <c r="AU1472" s="259" t="str">
        <f t="shared" si="328"/>
        <v>C49SZX20230109JY</v>
      </c>
      <c r="AV1472" s="259" t="str">
        <f t="shared" si="329"/>
        <v>Jun-26</v>
      </c>
    </row>
    <row r="1473" spans="1:48" hidden="1">
      <c r="A1473" s="564">
        <v>1981</v>
      </c>
      <c r="B1473" s="669" t="s">
        <v>1125</v>
      </c>
      <c r="C1473" s="669" t="s">
        <v>281</v>
      </c>
      <c r="D1473" s="650">
        <v>111278</v>
      </c>
      <c r="E1473" s="749" t="s">
        <v>236</v>
      </c>
      <c r="F1473" s="652" t="s">
        <v>58</v>
      </c>
      <c r="G1473" s="652" t="s">
        <v>24</v>
      </c>
      <c r="H1473" s="652" t="s">
        <v>26</v>
      </c>
      <c r="I1473" s="580" t="s">
        <v>4003</v>
      </c>
      <c r="J1473" s="580">
        <v>1</v>
      </c>
      <c r="K1473" s="652" t="s">
        <v>1732</v>
      </c>
      <c r="L1473" s="662">
        <v>45103</v>
      </c>
      <c r="M1473" s="670">
        <v>5.16E-2</v>
      </c>
      <c r="N1473" s="652" t="s">
        <v>4186</v>
      </c>
      <c r="O1473" s="580">
        <v>2023.6</v>
      </c>
      <c r="P1473" s="670" t="str">
        <f>VLOOKUP(A1473,'[1]Raw data'!$B:$BA,23,FALSE)</f>
        <v>JPY</v>
      </c>
      <c r="Q1473" s="652" t="str">
        <f>VLOOKUP(A1473,'[1]Raw data'!$B:$Z,2,FALSE)</f>
        <v>C49SZX20230101R1DM</v>
      </c>
      <c r="R1473" s="652" t="str">
        <f>VLOOKUP(A1473,'[1]Raw data'!$B:$Z,3,FALSE)</f>
        <v>菲帆</v>
      </c>
      <c r="S1473" s="652" t="str">
        <f>VLOOKUP(A1473,'[1]Raw data'!$B:$Z,4,FALSE)</f>
        <v>YSM20R-2</v>
      </c>
      <c r="T1473" s="652" t="str">
        <f>VLOOKUP(A1473,'[1]Raw data'!$B:$Z,8,FALSE)</f>
        <v>L-&gt;R</v>
      </c>
      <c r="U1473" s="652" t="str">
        <f>VLOOKUP(A1473,'[1]Raw data'!$B:$Z,9,FALSE)</f>
        <v>No</v>
      </c>
      <c r="V1473" s="572" t="str">
        <f t="shared" ref="V1473:V1502" si="340">IF(G1473&amp;H1473=T1473&amp;U1473,"OK","WRONG")</f>
        <v>OK</v>
      </c>
      <c r="W1473" s="568" t="str">
        <f>VLOOKUP(A1473,'[1]Raw data'!$B:$AG,32,FALSE)</f>
        <v>DAP HZ</v>
      </c>
      <c r="X1473" s="662">
        <f>VLOOKUP(A1473,'[1]Raw data'!$B:$BA,31,FALSE)</f>
        <v>45190</v>
      </c>
      <c r="Y1473" s="652" t="str">
        <f>VLOOKUP(A1473,'[1]Raw data'!$B:$AS,39,FALSE)</f>
        <v>Yes</v>
      </c>
      <c r="Z1473" s="664"/>
      <c r="AA1473" s="665"/>
      <c r="AB1473" s="666"/>
      <c r="AC1473" s="652" t="s">
        <v>4378</v>
      </c>
      <c r="AD1473" s="667">
        <v>301</v>
      </c>
      <c r="AE1473" s="667">
        <v>20</v>
      </c>
      <c r="AF1473" s="667"/>
      <c r="AG1473" s="667"/>
      <c r="AH1473" s="667"/>
      <c r="AI1473" s="668"/>
      <c r="AN1473" s="547"/>
      <c r="AO1473" s="829" t="str">
        <f t="shared" si="322"/>
        <v>Yes</v>
      </c>
      <c r="AP1473" s="259" t="str">
        <f t="shared" si="323"/>
        <v>OCT 23</v>
      </c>
      <c r="AQ1473" s="547" t="str">
        <f t="shared" si="324"/>
        <v>有定金+有預留客戶</v>
      </c>
      <c r="AR1473" s="259" t="str">
        <f t="shared" si="325"/>
        <v>Shipped_Stock</v>
      </c>
      <c r="AS1473" s="259" t="str">
        <f t="shared" si="326"/>
        <v/>
      </c>
      <c r="AT1473" s="259" t="str">
        <f t="shared" si="327"/>
        <v>菲帆</v>
      </c>
      <c r="AU1473" s="259" t="str">
        <f t="shared" si="328"/>
        <v>C49SZX20230101R1DM</v>
      </c>
      <c r="AV1473" s="259" t="str">
        <f t="shared" si="329"/>
        <v>Jun-26</v>
      </c>
    </row>
    <row r="1474" spans="1:48" hidden="1">
      <c r="A1474" s="564">
        <v>1998</v>
      </c>
      <c r="B1474" s="669" t="s">
        <v>1125</v>
      </c>
      <c r="C1474" s="669" t="s">
        <v>281</v>
      </c>
      <c r="D1474" s="650">
        <v>111278</v>
      </c>
      <c r="E1474" s="749" t="s">
        <v>236</v>
      </c>
      <c r="F1474" s="652" t="s">
        <v>58</v>
      </c>
      <c r="G1474" s="652" t="s">
        <v>24</v>
      </c>
      <c r="H1474" s="652" t="s">
        <v>26</v>
      </c>
      <c r="I1474" s="580" t="s">
        <v>4004</v>
      </c>
      <c r="J1474" s="580">
        <v>1</v>
      </c>
      <c r="K1474" s="652" t="s">
        <v>1732</v>
      </c>
      <c r="L1474" s="662">
        <v>45103</v>
      </c>
      <c r="M1474" s="670">
        <v>5.16E-2</v>
      </c>
      <c r="N1474" s="652" t="s">
        <v>4344</v>
      </c>
      <c r="O1474" s="580">
        <v>2023.6</v>
      </c>
      <c r="P1474" s="670" t="str">
        <f>VLOOKUP(A1474,'[1]Raw data'!$B:$BA,23,FALSE)</f>
        <v>JPY</v>
      </c>
      <c r="Q1474" s="652" t="str">
        <f>VLOOKUP(A1474,'[1]Raw data'!$B:$Z,2,FALSE)</f>
        <v>C49SZX20230113EC</v>
      </c>
      <c r="R1474" s="652" t="str">
        <f>VLOOKUP(A1474,'[1]Raw data'!$B:$Z,3,FALSE)</f>
        <v>骏孚</v>
      </c>
      <c r="S1474" s="652" t="str">
        <f>VLOOKUP(A1474,'[1]Raw data'!$B:$Z,4,FALSE)</f>
        <v>YSM20R-2</v>
      </c>
      <c r="T1474" s="652" t="str">
        <f>VLOOKUP(A1474,'[1]Raw data'!$B:$Z,8,FALSE)</f>
        <v>L-&gt;R</v>
      </c>
      <c r="U1474" s="652" t="str">
        <f>VLOOKUP(A1474,'[1]Raw data'!$B:$Z,9,FALSE)</f>
        <v>No</v>
      </c>
      <c r="V1474" s="572" t="str">
        <f t="shared" si="340"/>
        <v>OK</v>
      </c>
      <c r="W1474" s="568" t="str">
        <f>VLOOKUP(A1474,'[1]Raw data'!$B:$AG,32,FALSE)</f>
        <v>DAP GZ</v>
      </c>
      <c r="X1474" s="662">
        <f>VLOOKUP(A1474,'[1]Raw data'!$B:$BA,31,FALSE)</f>
        <v>45226</v>
      </c>
      <c r="Y1474" s="652" t="str">
        <f>VLOOKUP(A1474,'[1]Raw data'!$B:$AS,39,FALSE)</f>
        <v>Yes</v>
      </c>
      <c r="Z1474" s="664"/>
      <c r="AA1474" s="665"/>
      <c r="AB1474" s="666"/>
      <c r="AC1474" s="652" t="s">
        <v>4379</v>
      </c>
      <c r="AD1474" s="667">
        <v>301</v>
      </c>
      <c r="AE1474" s="667">
        <v>20</v>
      </c>
      <c r="AF1474" s="667"/>
      <c r="AG1474" s="667"/>
      <c r="AH1474" s="667"/>
      <c r="AI1474" s="668"/>
      <c r="AN1474" s="547"/>
      <c r="AO1474" s="829" t="str">
        <f t="shared" si="322"/>
        <v>Yes</v>
      </c>
      <c r="AP1474" s="259" t="str">
        <f t="shared" si="323"/>
        <v>NOV 23</v>
      </c>
      <c r="AQ1474" s="547" t="str">
        <f t="shared" si="324"/>
        <v>有定金+有預留客戶</v>
      </c>
      <c r="AR1474" s="259" t="str">
        <f t="shared" si="325"/>
        <v>Shipped_Stock</v>
      </c>
      <c r="AS1474" s="259" t="str">
        <f t="shared" si="326"/>
        <v/>
      </c>
      <c r="AT1474" s="259" t="str">
        <f t="shared" si="327"/>
        <v>骏孚</v>
      </c>
      <c r="AU1474" s="259" t="str">
        <f t="shared" si="328"/>
        <v>C49SZX20230113EC</v>
      </c>
      <c r="AV1474" s="259" t="str">
        <f t="shared" si="329"/>
        <v>Jun-26</v>
      </c>
    </row>
    <row r="1475" spans="1:48" hidden="1">
      <c r="A1475" s="564">
        <v>1940</v>
      </c>
      <c r="B1475" s="669" t="s">
        <v>1125</v>
      </c>
      <c r="C1475" s="669" t="s">
        <v>281</v>
      </c>
      <c r="D1475" s="650">
        <v>111278</v>
      </c>
      <c r="E1475" s="749" t="s">
        <v>236</v>
      </c>
      <c r="F1475" s="652" t="s">
        <v>58</v>
      </c>
      <c r="G1475" s="652" t="s">
        <v>24</v>
      </c>
      <c r="H1475" s="652" t="s">
        <v>26</v>
      </c>
      <c r="I1475" s="580" t="s">
        <v>4005</v>
      </c>
      <c r="J1475" s="580">
        <v>1</v>
      </c>
      <c r="K1475" s="652" t="s">
        <v>1732</v>
      </c>
      <c r="L1475" s="662">
        <v>45103</v>
      </c>
      <c r="M1475" s="670">
        <v>5.16E-2</v>
      </c>
      <c r="N1475" s="652" t="s">
        <v>4344</v>
      </c>
      <c r="O1475" s="580">
        <v>2023.6</v>
      </c>
      <c r="P1475" s="670" t="str">
        <f>VLOOKUP(A1475,'[1]Raw data'!$B:$BA,23,FALSE)</f>
        <v>JPY</v>
      </c>
      <c r="Q1475" s="652" t="str">
        <f>VLOOKUP(A1475,'[1]Raw data'!$B:$Z,2,FALSE)</f>
        <v>C49SZX20230089EC</v>
      </c>
      <c r="R1475" s="652" t="str">
        <f>VLOOKUP(A1475,'[1]Raw data'!$B:$Z,3,FALSE)</f>
        <v>领德创</v>
      </c>
      <c r="S1475" s="652" t="str">
        <f>VLOOKUP(A1475,'[1]Raw data'!$B:$Z,4,FALSE)</f>
        <v>YSM20R-2</v>
      </c>
      <c r="T1475" s="652" t="str">
        <f>VLOOKUP(A1475,'[1]Raw data'!$B:$Z,8,FALSE)</f>
        <v>L-&gt;R</v>
      </c>
      <c r="U1475" s="652" t="str">
        <f>VLOOKUP(A1475,'[1]Raw data'!$B:$Z,9,FALSE)</f>
        <v>No</v>
      </c>
      <c r="V1475" s="572" t="str">
        <f t="shared" si="340"/>
        <v>OK</v>
      </c>
      <c r="W1475" s="568" t="str">
        <f>VLOOKUP(A1475,'[1]Raw data'!$B:$AG,32,FALSE)</f>
        <v>DAP SZ</v>
      </c>
      <c r="X1475" s="662">
        <f>VLOOKUP(A1475,'[1]Raw data'!$B:$BA,31,FALSE)</f>
        <v>45126</v>
      </c>
      <c r="Y1475" s="652" t="str">
        <f>VLOOKUP(A1475,'[1]Raw data'!$B:$AS,39,FALSE)</f>
        <v>Yes</v>
      </c>
      <c r="Z1475" s="671"/>
      <c r="AA1475" s="672"/>
      <c r="AB1475" s="673"/>
      <c r="AC1475" s="652" t="s">
        <v>4392</v>
      </c>
      <c r="AD1475" s="667">
        <v>301</v>
      </c>
      <c r="AE1475" s="667">
        <v>20</v>
      </c>
      <c r="AF1475" s="667"/>
      <c r="AG1475" s="667"/>
      <c r="AH1475" s="667"/>
      <c r="AI1475" s="668"/>
      <c r="AN1475" s="547"/>
      <c r="AO1475" s="829" t="str">
        <f t="shared" ref="AO1475:AO1538" si="341">IFERROR(IF(Y1475&lt;&gt;"",Y1475,"No"),"No")</f>
        <v>Yes</v>
      </c>
      <c r="AP1475" s="259" t="str">
        <f t="shared" ref="AP1475:AP1538" si="342">IFERROR(IF(N1475&lt;&gt;"",N1475,"blank"),"NA")</f>
        <v>NOV 23</v>
      </c>
      <c r="AQ1475" s="547" t="str">
        <f t="shared" ref="AQ1475:AQ1538" si="343">IFERROR(IF(AND(AO1475="Yes", AP1475&lt;&gt;"blank"), "有定金+有預留客戶", IF(AND(AO1475="Yes", AP1475="blank"), "有定金+无客戶送貨期", IF(AND(OR(AO1475="No", ISBLANK(AO1475), AO1475="NA"), AP1475&lt;&gt;"blank"), "无定金+有預留客戶", IF(AND(OR(AO1475="No", ISBLANK(AO1475), AO1475="NA"), AP1475="blank"), "无定金+无預留客戶", "")))), "")</f>
        <v>有定金+有預留客戶</v>
      </c>
      <c r="AR1475" s="259" t="str">
        <f t="shared" ref="AR1475:AR1538" si="344">IFERROR(IF(B1475="已经到货", "Instock", IF(B1475="有交期", "Incoming_Stock_With_YAMAHA_Schedule", IF(B1475="TBA.", "Incoming_Stock_No_YAMAHA_Schedule", IF(B1475="已发货", "Shipped_Stock", "")))), "")</f>
        <v>Shipped_Stock</v>
      </c>
      <c r="AS1475" s="259" t="str">
        <f t="shared" ref="AS1475:AS1538" si="345">IF(AND(B1475="有交期", L1475&lt;&gt;""), L1475, "")</f>
        <v/>
      </c>
      <c r="AT1475" s="259" t="str">
        <f t="shared" ref="AT1475:AT1538" si="346">IFERROR(IF(R1475&lt;&gt;"",R1475),"-")</f>
        <v>领德创</v>
      </c>
      <c r="AU1475" s="259" t="str">
        <f t="shared" ref="AU1475:AU1538" si="347">IFERROR(IF(Q1475&lt;&gt;"",Q1475),"-")</f>
        <v>C49SZX20230089EC</v>
      </c>
      <c r="AV1475" s="259" t="str">
        <f t="shared" ref="AV1475:AV1538" si="348">IF(L1475="","-",TEXT(L1475,"mmm-dd"))</f>
        <v>Jun-26</v>
      </c>
    </row>
    <row r="1476" spans="1:48" hidden="1">
      <c r="A1476" s="564">
        <v>1941</v>
      </c>
      <c r="B1476" s="669" t="s">
        <v>1125</v>
      </c>
      <c r="C1476" s="669" t="s">
        <v>281</v>
      </c>
      <c r="D1476" s="650">
        <v>111278</v>
      </c>
      <c r="E1476" s="749" t="s">
        <v>236</v>
      </c>
      <c r="F1476" s="652" t="s">
        <v>58</v>
      </c>
      <c r="G1476" s="652" t="s">
        <v>24</v>
      </c>
      <c r="H1476" s="652" t="s">
        <v>26</v>
      </c>
      <c r="I1476" s="580" t="s">
        <v>4006</v>
      </c>
      <c r="J1476" s="580">
        <v>1</v>
      </c>
      <c r="K1476" s="652" t="s">
        <v>1732</v>
      </c>
      <c r="L1476" s="662">
        <v>45103</v>
      </c>
      <c r="M1476" s="670">
        <v>5.16E-2</v>
      </c>
      <c r="N1476" s="652" t="s">
        <v>4344</v>
      </c>
      <c r="O1476" s="580">
        <v>2023.6</v>
      </c>
      <c r="P1476" s="670" t="str">
        <f>VLOOKUP(A1476,'[1]Raw data'!$B:$BA,23,FALSE)</f>
        <v>JPY</v>
      </c>
      <c r="Q1476" s="652" t="str">
        <f>VLOOKUP(A1476,'[1]Raw data'!$B:$Z,2,FALSE)</f>
        <v>C49SZX20230089EC</v>
      </c>
      <c r="R1476" s="652" t="str">
        <f>VLOOKUP(A1476,'[1]Raw data'!$B:$Z,3,FALSE)</f>
        <v>领德创</v>
      </c>
      <c r="S1476" s="652" t="str">
        <f>VLOOKUP(A1476,'[1]Raw data'!$B:$Z,4,FALSE)</f>
        <v>YSM20R-2</v>
      </c>
      <c r="T1476" s="652" t="str">
        <f>VLOOKUP(A1476,'[1]Raw data'!$B:$Z,8,FALSE)</f>
        <v>L-&gt;R</v>
      </c>
      <c r="U1476" s="652" t="str">
        <f>VLOOKUP(A1476,'[1]Raw data'!$B:$Z,9,FALSE)</f>
        <v>No</v>
      </c>
      <c r="V1476" s="572" t="str">
        <f t="shared" si="340"/>
        <v>OK</v>
      </c>
      <c r="W1476" s="568" t="str">
        <f>VLOOKUP(A1476,'[1]Raw data'!$B:$AG,32,FALSE)</f>
        <v>DAP SZ</v>
      </c>
      <c r="X1476" s="662">
        <f>VLOOKUP(A1476,'[1]Raw data'!$B:$BA,31,FALSE)</f>
        <v>45126</v>
      </c>
      <c r="Y1476" s="652" t="str">
        <f>VLOOKUP(A1476,'[1]Raw data'!$B:$AS,39,FALSE)</f>
        <v>Yes</v>
      </c>
      <c r="Z1476" s="671"/>
      <c r="AA1476" s="672"/>
      <c r="AB1476" s="673"/>
      <c r="AC1476" s="652" t="s">
        <v>4392</v>
      </c>
      <c r="AD1476" s="667">
        <v>301</v>
      </c>
      <c r="AE1476" s="667">
        <v>20</v>
      </c>
      <c r="AF1476" s="667"/>
      <c r="AG1476" s="667"/>
      <c r="AH1476" s="667"/>
      <c r="AI1476" s="668"/>
      <c r="AN1476" s="547"/>
      <c r="AO1476" s="829" t="str">
        <f t="shared" si="341"/>
        <v>Yes</v>
      </c>
      <c r="AP1476" s="259" t="str">
        <f t="shared" si="342"/>
        <v>NOV 23</v>
      </c>
      <c r="AQ1476" s="547" t="str">
        <f t="shared" si="343"/>
        <v>有定金+有預留客戶</v>
      </c>
      <c r="AR1476" s="259" t="str">
        <f t="shared" si="344"/>
        <v>Shipped_Stock</v>
      </c>
      <c r="AS1476" s="259" t="str">
        <f t="shared" si="345"/>
        <v/>
      </c>
      <c r="AT1476" s="259" t="str">
        <f t="shared" si="346"/>
        <v>领德创</v>
      </c>
      <c r="AU1476" s="259" t="str">
        <f t="shared" si="347"/>
        <v>C49SZX20230089EC</v>
      </c>
      <c r="AV1476" s="259" t="str">
        <f t="shared" si="348"/>
        <v>Jun-26</v>
      </c>
    </row>
    <row r="1477" spans="1:48" hidden="1">
      <c r="A1477" s="564">
        <v>2029</v>
      </c>
      <c r="B1477" s="669" t="s">
        <v>1125</v>
      </c>
      <c r="C1477" s="669" t="s">
        <v>281</v>
      </c>
      <c r="D1477" s="650" t="s">
        <v>3921</v>
      </c>
      <c r="E1477" s="749" t="s">
        <v>236</v>
      </c>
      <c r="F1477" s="652" t="s">
        <v>58</v>
      </c>
      <c r="G1477" s="652" t="s">
        <v>24</v>
      </c>
      <c r="H1477" s="652" t="s">
        <v>26</v>
      </c>
      <c r="I1477" s="580" t="s">
        <v>4007</v>
      </c>
      <c r="J1477" s="580">
        <v>1</v>
      </c>
      <c r="K1477" s="652" t="s">
        <v>85</v>
      </c>
      <c r="L1477" s="662">
        <v>45103</v>
      </c>
      <c r="M1477" s="670">
        <v>5.0799999999999998E-2</v>
      </c>
      <c r="N1477" s="652" t="s">
        <v>4404</v>
      </c>
      <c r="O1477" s="580">
        <v>2023.6</v>
      </c>
      <c r="P1477" s="670" t="str">
        <f>VLOOKUP(A1477,'[1]Raw data'!$B:$BA,23,FALSE)</f>
        <v>JPY</v>
      </c>
      <c r="Q1477" s="652" t="str">
        <f>VLOOKUP(A1477,'[1]Raw data'!$B:$Z,2,FALSE)</f>
        <v>C49SZX20230132LC</v>
      </c>
      <c r="R1477" s="652" t="str">
        <f>VLOOKUP(A1477,'[1]Raw data'!$B:$Z,3,FALSE)</f>
        <v>声韵</v>
      </c>
      <c r="S1477" s="652" t="str">
        <f>VLOOKUP(A1477,'[1]Raw data'!$B:$Z,4,FALSE)</f>
        <v>YSM20R-2</v>
      </c>
      <c r="T1477" s="652" t="str">
        <f>VLOOKUP(A1477,'[1]Raw data'!$B:$Z,8,FALSE)</f>
        <v>L-&gt;R</v>
      </c>
      <c r="U1477" s="652" t="str">
        <f>VLOOKUP(A1477,'[1]Raw data'!$B:$Z,9,FALSE)</f>
        <v>No</v>
      </c>
      <c r="V1477" s="572" t="str">
        <f t="shared" si="340"/>
        <v>OK</v>
      </c>
      <c r="W1477" s="568" t="str">
        <f>VLOOKUP(A1477,'[1]Raw data'!$B:$AG,32,FALSE)</f>
        <v>DAP DG</v>
      </c>
      <c r="X1477" s="662">
        <f>VLOOKUP(A1477,'[1]Raw data'!$B:$BA,31,FALSE)</f>
        <v>45259</v>
      </c>
      <c r="Y1477" s="652" t="str">
        <f>VLOOKUP(A1477,'[1]Raw data'!$B:$AS,39,FALSE)</f>
        <v>Yes</v>
      </c>
      <c r="Z1477" s="671"/>
      <c r="AA1477" s="672"/>
      <c r="AB1477" s="673"/>
      <c r="AC1477" s="652" t="s">
        <v>4471</v>
      </c>
      <c r="AD1477" s="667">
        <v>301</v>
      </c>
      <c r="AE1477" s="667">
        <v>20</v>
      </c>
      <c r="AF1477" s="667"/>
      <c r="AG1477" s="667"/>
      <c r="AH1477" s="667"/>
      <c r="AI1477" s="668"/>
      <c r="AN1477" s="547"/>
      <c r="AO1477" s="829" t="str">
        <f t="shared" si="341"/>
        <v>Yes</v>
      </c>
      <c r="AP1477" s="259" t="str">
        <f t="shared" si="342"/>
        <v>DEC 23</v>
      </c>
      <c r="AQ1477" s="547" t="str">
        <f t="shared" si="343"/>
        <v>有定金+有預留客戶</v>
      </c>
      <c r="AR1477" s="259" t="str">
        <f t="shared" si="344"/>
        <v>Shipped_Stock</v>
      </c>
      <c r="AS1477" s="259" t="str">
        <f t="shared" si="345"/>
        <v/>
      </c>
      <c r="AT1477" s="259" t="str">
        <f t="shared" si="346"/>
        <v>声韵</v>
      </c>
      <c r="AU1477" s="259" t="str">
        <f t="shared" si="347"/>
        <v>C49SZX20230132LC</v>
      </c>
      <c r="AV1477" s="259" t="str">
        <f t="shared" si="348"/>
        <v>Jun-26</v>
      </c>
    </row>
    <row r="1478" spans="1:48" hidden="1">
      <c r="A1478" s="564">
        <v>2002</v>
      </c>
      <c r="B1478" s="669" t="s">
        <v>1125</v>
      </c>
      <c r="C1478" s="669" t="s">
        <v>281</v>
      </c>
      <c r="D1478" s="650" t="s">
        <v>3921</v>
      </c>
      <c r="E1478" s="749" t="s">
        <v>236</v>
      </c>
      <c r="F1478" s="652" t="s">
        <v>58</v>
      </c>
      <c r="G1478" s="652" t="s">
        <v>24</v>
      </c>
      <c r="H1478" s="652" t="s">
        <v>26</v>
      </c>
      <c r="I1478" s="580" t="s">
        <v>4008</v>
      </c>
      <c r="J1478" s="580">
        <v>1</v>
      </c>
      <c r="K1478" s="652" t="s">
        <v>4099</v>
      </c>
      <c r="L1478" s="662">
        <v>45103</v>
      </c>
      <c r="M1478" s="670">
        <v>5.0799999999999998E-2</v>
      </c>
      <c r="N1478" s="652" t="s">
        <v>4344</v>
      </c>
      <c r="O1478" s="580">
        <v>2023.6</v>
      </c>
      <c r="P1478" s="670" t="str">
        <f>VLOOKUP(A1478,'[1]Raw data'!$B:$BA,23,FALSE)</f>
        <v>JPY</v>
      </c>
      <c r="Q1478" s="652" t="str">
        <f>VLOOKUP(A1478,'[1]Raw data'!$B:$Z,2,FALSE)</f>
        <v>C49SZX20230120SX</v>
      </c>
      <c r="R1478" s="652" t="str">
        <f>VLOOKUP(A1478,'[1]Raw data'!$B:$Z,3,FALSE)</f>
        <v>锐诚</v>
      </c>
      <c r="S1478" s="652" t="str">
        <f>VLOOKUP(A1478,'[1]Raw data'!$B:$Z,4,FALSE)</f>
        <v>YSM20R-2</v>
      </c>
      <c r="T1478" s="652" t="str">
        <f>VLOOKUP(A1478,'[1]Raw data'!$B:$Z,8,FALSE)</f>
        <v>L-&gt;R</v>
      </c>
      <c r="U1478" s="652" t="str">
        <f>VLOOKUP(A1478,'[1]Raw data'!$B:$Z,9,FALSE)</f>
        <v>MVC</v>
      </c>
      <c r="V1478" s="572" t="str">
        <f t="shared" si="340"/>
        <v>WRONG</v>
      </c>
      <c r="W1478" s="568" t="str">
        <f>VLOOKUP(A1478,'[1]Raw data'!$B:$AG,32,FALSE)</f>
        <v>DAP HZ</v>
      </c>
      <c r="X1478" s="662">
        <f>VLOOKUP(A1478,'[1]Raw data'!$B:$BA,31,FALSE)</f>
        <v>45236</v>
      </c>
      <c r="Y1478" s="652" t="str">
        <f>VLOOKUP(A1478,'[1]Raw data'!$B:$AS,39,FALSE)</f>
        <v>Yes</v>
      </c>
      <c r="Z1478" s="664"/>
      <c r="AA1478" s="665"/>
      <c r="AB1478" s="666"/>
      <c r="AC1478" s="652" t="s">
        <v>2518</v>
      </c>
      <c r="AD1478" s="667">
        <v>301</v>
      </c>
      <c r="AE1478" s="667">
        <v>15</v>
      </c>
      <c r="AF1478" s="667">
        <v>302</v>
      </c>
      <c r="AG1478" s="667">
        <v>5</v>
      </c>
      <c r="AH1478" s="667"/>
      <c r="AI1478" s="668"/>
      <c r="AN1478" s="547"/>
      <c r="AO1478" s="829" t="str">
        <f t="shared" si="341"/>
        <v>Yes</v>
      </c>
      <c r="AP1478" s="259" t="str">
        <f t="shared" si="342"/>
        <v>NOV 23</v>
      </c>
      <c r="AQ1478" s="547" t="str">
        <f t="shared" si="343"/>
        <v>有定金+有預留客戶</v>
      </c>
      <c r="AR1478" s="259" t="str">
        <f t="shared" si="344"/>
        <v>Shipped_Stock</v>
      </c>
      <c r="AS1478" s="259" t="str">
        <f t="shared" si="345"/>
        <v/>
      </c>
      <c r="AT1478" s="259" t="str">
        <f t="shared" si="346"/>
        <v>锐诚</v>
      </c>
      <c r="AU1478" s="259" t="str">
        <f t="shared" si="347"/>
        <v>C49SZX20230120SX</v>
      </c>
      <c r="AV1478" s="259" t="str">
        <f t="shared" si="348"/>
        <v>Jun-26</v>
      </c>
    </row>
    <row r="1479" spans="1:48" hidden="1">
      <c r="A1479" s="564">
        <v>2018</v>
      </c>
      <c r="B1479" s="669" t="s">
        <v>1125</v>
      </c>
      <c r="C1479" s="669" t="s">
        <v>281</v>
      </c>
      <c r="D1479" s="650" t="s">
        <v>3921</v>
      </c>
      <c r="E1479" s="749" t="s">
        <v>236</v>
      </c>
      <c r="F1479" s="652" t="s">
        <v>58</v>
      </c>
      <c r="G1479" s="652" t="s">
        <v>24</v>
      </c>
      <c r="H1479" s="652" t="s">
        <v>26</v>
      </c>
      <c r="I1479" s="580" t="s">
        <v>4009</v>
      </c>
      <c r="J1479" s="580">
        <v>1</v>
      </c>
      <c r="K1479" s="652" t="s">
        <v>1732</v>
      </c>
      <c r="L1479" s="662">
        <v>45103</v>
      </c>
      <c r="M1479" s="670">
        <v>5.0799999999999998E-2</v>
      </c>
      <c r="N1479" s="652" t="s">
        <v>4344</v>
      </c>
      <c r="O1479" s="580">
        <v>2023.6</v>
      </c>
      <c r="P1479" s="670" t="str">
        <f>VLOOKUP(A1479,'[1]Raw data'!$B:$BA,23,FALSE)</f>
        <v>JPY</v>
      </c>
      <c r="Q1479" s="652" t="str">
        <f>VLOOKUP(A1479,'[1]Raw data'!$B:$Z,2,FALSE)</f>
        <v>C49SZX20230123SX</v>
      </c>
      <c r="R1479" s="652" t="str">
        <f>VLOOKUP(A1479,'[1]Raw data'!$B:$Z,3,FALSE)</f>
        <v>永顺创</v>
      </c>
      <c r="S1479" s="652" t="str">
        <f>VLOOKUP(A1479,'[1]Raw data'!$B:$Z,4,FALSE)</f>
        <v>YSM20R-2</v>
      </c>
      <c r="T1479" s="652" t="str">
        <f>VLOOKUP(A1479,'[1]Raw data'!$B:$Z,8,FALSE)</f>
        <v>L-&gt;R</v>
      </c>
      <c r="U1479" s="652" t="str">
        <f>VLOOKUP(A1479,'[1]Raw data'!$B:$Z,9,FALSE)</f>
        <v>No</v>
      </c>
      <c r="V1479" s="572" t="str">
        <f t="shared" si="340"/>
        <v>OK</v>
      </c>
      <c r="W1479" s="568" t="str">
        <f>VLOOKUP(A1479,'[1]Raw data'!$B:$AG,32,FALSE)</f>
        <v>DAP SZ</v>
      </c>
      <c r="X1479" s="662">
        <f>VLOOKUP(A1479,'[1]Raw data'!$B:$BA,31,FALSE)</f>
        <v>45240</v>
      </c>
      <c r="Y1479" s="652" t="str">
        <f>VLOOKUP(A1479,'[1]Raw data'!$B:$AS,39,FALSE)</f>
        <v>Yes</v>
      </c>
      <c r="Z1479" s="664"/>
      <c r="AA1479" s="665"/>
      <c r="AB1479" s="666"/>
      <c r="AC1479" s="652" t="s">
        <v>4410</v>
      </c>
      <c r="AD1479" s="667">
        <v>301</v>
      </c>
      <c r="AE1479" s="667">
        <v>15</v>
      </c>
      <c r="AF1479" s="667">
        <v>302</v>
      </c>
      <c r="AG1479" s="667">
        <v>5</v>
      </c>
      <c r="AH1479" s="667"/>
      <c r="AI1479" s="668"/>
      <c r="AN1479" s="547"/>
      <c r="AO1479" s="829" t="str">
        <f t="shared" si="341"/>
        <v>Yes</v>
      </c>
      <c r="AP1479" s="259" t="str">
        <f t="shared" si="342"/>
        <v>NOV 23</v>
      </c>
      <c r="AQ1479" s="547" t="str">
        <f t="shared" si="343"/>
        <v>有定金+有預留客戶</v>
      </c>
      <c r="AR1479" s="259" t="str">
        <f t="shared" si="344"/>
        <v>Shipped_Stock</v>
      </c>
      <c r="AS1479" s="259" t="str">
        <f t="shared" si="345"/>
        <v/>
      </c>
      <c r="AT1479" s="259" t="str">
        <f t="shared" si="346"/>
        <v>永顺创</v>
      </c>
      <c r="AU1479" s="259" t="str">
        <f t="shared" si="347"/>
        <v>C49SZX20230123SX</v>
      </c>
      <c r="AV1479" s="259" t="str">
        <f t="shared" si="348"/>
        <v>Jun-26</v>
      </c>
    </row>
    <row r="1480" spans="1:48" hidden="1">
      <c r="A1480" s="564">
        <v>2027</v>
      </c>
      <c r="B1480" s="669" t="s">
        <v>1125</v>
      </c>
      <c r="C1480" s="669" t="s">
        <v>281</v>
      </c>
      <c r="D1480" s="650" t="s">
        <v>3921</v>
      </c>
      <c r="E1480" s="749" t="s">
        <v>236</v>
      </c>
      <c r="F1480" s="652" t="s">
        <v>58</v>
      </c>
      <c r="G1480" s="652" t="s">
        <v>24</v>
      </c>
      <c r="H1480" s="652" t="s">
        <v>26</v>
      </c>
      <c r="I1480" s="580" t="s">
        <v>4010</v>
      </c>
      <c r="J1480" s="580">
        <v>1</v>
      </c>
      <c r="K1480" s="652" t="s">
        <v>1732</v>
      </c>
      <c r="L1480" s="662">
        <v>45103</v>
      </c>
      <c r="M1480" s="670">
        <v>5.0799999999999998E-2</v>
      </c>
      <c r="N1480" s="652" t="s">
        <v>4404</v>
      </c>
      <c r="O1480" s="580">
        <v>2023.6</v>
      </c>
      <c r="P1480" s="670" t="str">
        <f>VLOOKUP(A1480,'[1]Raw data'!$B:$BA,23,FALSE)</f>
        <v>JPY</v>
      </c>
      <c r="Q1480" s="652" t="str">
        <f>VLOOKUP(A1480,'[1]Raw data'!$B:$Z,2,FALSE)</f>
        <v>C49SZX20230130JY</v>
      </c>
      <c r="R1480" s="652" t="str">
        <f>VLOOKUP(A1480,'[1]Raw data'!$B:$Z,3,FALSE)</f>
        <v>精莞盈</v>
      </c>
      <c r="S1480" s="652" t="str">
        <f>VLOOKUP(A1480,'[1]Raw data'!$B:$Z,4,FALSE)</f>
        <v>YSM20R-2</v>
      </c>
      <c r="T1480" s="652" t="str">
        <f>VLOOKUP(A1480,'[1]Raw data'!$B:$Z,8,FALSE)</f>
        <v>L-&gt;R</v>
      </c>
      <c r="U1480" s="652" t="str">
        <f>VLOOKUP(A1480,'[1]Raw data'!$B:$Z,9,FALSE)</f>
        <v>MVC</v>
      </c>
      <c r="V1480" s="572" t="str">
        <f t="shared" si="340"/>
        <v>WRONG</v>
      </c>
      <c r="W1480" s="568" t="str">
        <f>VLOOKUP(A1480,'[1]Raw data'!$B:$AG,32,FALSE)</f>
        <v>DAP SZ</v>
      </c>
      <c r="X1480" s="662">
        <f>VLOOKUP(A1480,'[1]Raw data'!$B:$BA,31,FALSE)</f>
        <v>45257</v>
      </c>
      <c r="Y1480" s="652" t="str">
        <f>VLOOKUP(A1480,'[1]Raw data'!$B:$AS,39,FALSE)</f>
        <v>Yes</v>
      </c>
      <c r="Z1480" s="671"/>
      <c r="AA1480" s="672"/>
      <c r="AB1480" s="673"/>
      <c r="AC1480" s="652" t="s">
        <v>4512</v>
      </c>
      <c r="AD1480" s="667">
        <v>301</v>
      </c>
      <c r="AE1480" s="667">
        <v>15</v>
      </c>
      <c r="AF1480" s="667">
        <v>302</v>
      </c>
      <c r="AG1480" s="667">
        <v>5</v>
      </c>
      <c r="AH1480" s="667"/>
      <c r="AI1480" s="668"/>
      <c r="AN1480" s="547"/>
      <c r="AO1480" s="829" t="str">
        <f t="shared" si="341"/>
        <v>Yes</v>
      </c>
      <c r="AP1480" s="259" t="str">
        <f t="shared" si="342"/>
        <v>DEC 23</v>
      </c>
      <c r="AQ1480" s="547" t="str">
        <f t="shared" si="343"/>
        <v>有定金+有預留客戶</v>
      </c>
      <c r="AR1480" s="259" t="str">
        <f t="shared" si="344"/>
        <v>Shipped_Stock</v>
      </c>
      <c r="AS1480" s="259" t="str">
        <f t="shared" si="345"/>
        <v/>
      </c>
      <c r="AT1480" s="259" t="str">
        <f t="shared" si="346"/>
        <v>精莞盈</v>
      </c>
      <c r="AU1480" s="259" t="str">
        <f t="shared" si="347"/>
        <v>C49SZX20230130JY</v>
      </c>
      <c r="AV1480" s="259" t="str">
        <f t="shared" si="348"/>
        <v>Jun-26</v>
      </c>
    </row>
    <row r="1481" spans="1:48" hidden="1">
      <c r="A1481" s="564">
        <v>2028</v>
      </c>
      <c r="B1481" s="669" t="s">
        <v>1125</v>
      </c>
      <c r="C1481" s="669" t="s">
        <v>281</v>
      </c>
      <c r="D1481" s="650" t="s">
        <v>3921</v>
      </c>
      <c r="E1481" s="749" t="s">
        <v>236</v>
      </c>
      <c r="F1481" s="652" t="s">
        <v>58</v>
      </c>
      <c r="G1481" s="652" t="s">
        <v>24</v>
      </c>
      <c r="H1481" s="652" t="s">
        <v>26</v>
      </c>
      <c r="I1481" s="580" t="s">
        <v>4011</v>
      </c>
      <c r="J1481" s="580">
        <v>1</v>
      </c>
      <c r="K1481" s="652" t="s">
        <v>1732</v>
      </c>
      <c r="L1481" s="662">
        <v>45103</v>
      </c>
      <c r="M1481" s="670">
        <v>5.0799999999999998E-2</v>
      </c>
      <c r="N1481" s="652" t="s">
        <v>4404</v>
      </c>
      <c r="O1481" s="580">
        <v>2023.6</v>
      </c>
      <c r="P1481" s="670" t="str">
        <f>VLOOKUP(A1481,'[1]Raw data'!$B:$BA,23,FALSE)</f>
        <v>JPY</v>
      </c>
      <c r="Q1481" s="652" t="str">
        <f>VLOOKUP(A1481,'[1]Raw data'!$B:$Z,2,FALSE)</f>
        <v>C49SZX20230130JY</v>
      </c>
      <c r="R1481" s="652" t="str">
        <f>VLOOKUP(A1481,'[1]Raw data'!$B:$Z,3,FALSE)</f>
        <v>精莞盈</v>
      </c>
      <c r="S1481" s="652" t="str">
        <f>VLOOKUP(A1481,'[1]Raw data'!$B:$Z,4,FALSE)</f>
        <v>YSM20R-2</v>
      </c>
      <c r="T1481" s="652" t="str">
        <f>VLOOKUP(A1481,'[1]Raw data'!$B:$Z,8,FALSE)</f>
        <v>L-&gt;R</v>
      </c>
      <c r="U1481" s="652" t="str">
        <f>VLOOKUP(A1481,'[1]Raw data'!$B:$Z,9,FALSE)</f>
        <v>No</v>
      </c>
      <c r="V1481" s="572" t="str">
        <f t="shared" si="340"/>
        <v>OK</v>
      </c>
      <c r="W1481" s="568" t="str">
        <f>VLOOKUP(A1481,'[1]Raw data'!$B:$AG,32,FALSE)</f>
        <v>DAP SZ</v>
      </c>
      <c r="X1481" s="662">
        <f>VLOOKUP(A1481,'[1]Raw data'!$B:$BA,31,FALSE)</f>
        <v>45257</v>
      </c>
      <c r="Y1481" s="652" t="str">
        <f>VLOOKUP(A1481,'[1]Raw data'!$B:$AS,39,FALSE)</f>
        <v>Yes</v>
      </c>
      <c r="Z1481" s="671"/>
      <c r="AA1481" s="672"/>
      <c r="AB1481" s="673"/>
      <c r="AC1481" s="652" t="s">
        <v>4512</v>
      </c>
      <c r="AD1481" s="667">
        <v>301</v>
      </c>
      <c r="AE1481" s="667">
        <v>15</v>
      </c>
      <c r="AF1481" s="667">
        <v>302</v>
      </c>
      <c r="AG1481" s="667">
        <v>5</v>
      </c>
      <c r="AH1481" s="667"/>
      <c r="AI1481" s="668"/>
      <c r="AN1481" s="547"/>
      <c r="AO1481" s="829" t="str">
        <f t="shared" si="341"/>
        <v>Yes</v>
      </c>
      <c r="AP1481" s="259" t="str">
        <f t="shared" si="342"/>
        <v>DEC 23</v>
      </c>
      <c r="AQ1481" s="547" t="str">
        <f t="shared" si="343"/>
        <v>有定金+有預留客戶</v>
      </c>
      <c r="AR1481" s="259" t="str">
        <f t="shared" si="344"/>
        <v>Shipped_Stock</v>
      </c>
      <c r="AS1481" s="259" t="str">
        <f t="shared" si="345"/>
        <v/>
      </c>
      <c r="AT1481" s="259" t="str">
        <f t="shared" si="346"/>
        <v>精莞盈</v>
      </c>
      <c r="AU1481" s="259" t="str">
        <f t="shared" si="347"/>
        <v>C49SZX20230130JY</v>
      </c>
      <c r="AV1481" s="259" t="str">
        <f t="shared" si="348"/>
        <v>Jun-26</v>
      </c>
    </row>
    <row r="1482" spans="1:48" hidden="1">
      <c r="A1482" s="564">
        <v>2043</v>
      </c>
      <c r="B1482" s="669" t="s">
        <v>1125</v>
      </c>
      <c r="C1482" s="669" t="s">
        <v>281</v>
      </c>
      <c r="D1482" s="650" t="s">
        <v>4087</v>
      </c>
      <c r="E1482" s="749" t="s">
        <v>236</v>
      </c>
      <c r="F1482" s="652" t="s">
        <v>58</v>
      </c>
      <c r="G1482" s="652" t="s">
        <v>24</v>
      </c>
      <c r="H1482" s="652" t="s">
        <v>26</v>
      </c>
      <c r="I1482" s="580" t="s">
        <v>4091</v>
      </c>
      <c r="J1482" s="580">
        <v>1</v>
      </c>
      <c r="K1482" s="652" t="s">
        <v>1732</v>
      </c>
      <c r="L1482" s="662">
        <v>45140</v>
      </c>
      <c r="M1482" s="670">
        <v>5.0799999999999998E-2</v>
      </c>
      <c r="N1482" s="652" t="s">
        <v>4404</v>
      </c>
      <c r="O1482" s="580">
        <v>2023.7</v>
      </c>
      <c r="P1482" s="670" t="str">
        <f>VLOOKUP(A1482,'[1]Raw data'!$B:$BA,23,FALSE)</f>
        <v>RMB</v>
      </c>
      <c r="Q1482" s="652" t="str">
        <f>VLOOKUP(A1482,'[1]Raw data'!$B:$Z,2,FALSE)</f>
        <v>C49SZX20230140SX</v>
      </c>
      <c r="R1482" s="652" t="str">
        <f>VLOOKUP(A1482,'[1]Raw data'!$B:$Z,3,FALSE)</f>
        <v>莫思特</v>
      </c>
      <c r="S1482" s="652" t="str">
        <f>VLOOKUP(A1482,'[1]Raw data'!$B:$Z,4,FALSE)</f>
        <v>YSM20R-2</v>
      </c>
      <c r="T1482" s="652" t="str">
        <f>VLOOKUP(A1482,'[1]Raw data'!$B:$Z,8,FALSE)</f>
        <v>L-&gt;R</v>
      </c>
      <c r="U1482" s="652" t="str">
        <f>VLOOKUP(A1482,'[1]Raw data'!$B:$Z,9,FALSE)</f>
        <v>No</v>
      </c>
      <c r="V1482" s="572" t="str">
        <f t="shared" ref="V1482:V1491" si="349">IF(G1482&amp;H1482=T1482&amp;U1482,"OK","WRONG")</f>
        <v>OK</v>
      </c>
      <c r="W1482" s="568" t="str">
        <f>VLOOKUP(A1482,'[1]Raw data'!$B:$AG,32,FALSE)</f>
        <v>DDP HZ</v>
      </c>
      <c r="X1482" s="662">
        <f>VLOOKUP(A1482,'[1]Raw data'!$B:$BA,31,FALSE)</f>
        <v>45271</v>
      </c>
      <c r="Y1482" s="652" t="str">
        <f>VLOOKUP(A1482,'[1]Raw data'!$B:$AS,39,FALSE)</f>
        <v>Yes</v>
      </c>
      <c r="Z1482" s="664"/>
      <c r="AA1482" s="665"/>
      <c r="AB1482" s="666"/>
      <c r="AC1482" s="652" t="s">
        <v>2374</v>
      </c>
      <c r="AD1482" s="667">
        <v>301</v>
      </c>
      <c r="AE1482" s="667">
        <v>20</v>
      </c>
      <c r="AF1482" s="667"/>
      <c r="AG1482" s="667"/>
      <c r="AH1482" s="667"/>
      <c r="AI1482" s="668"/>
      <c r="AN1482" s="547"/>
      <c r="AO1482" s="829" t="str">
        <f t="shared" si="341"/>
        <v>Yes</v>
      </c>
      <c r="AP1482" s="259" t="str">
        <f t="shared" si="342"/>
        <v>DEC 23</v>
      </c>
      <c r="AQ1482" s="547" t="str">
        <f t="shared" si="343"/>
        <v>有定金+有預留客戶</v>
      </c>
      <c r="AR1482" s="259" t="str">
        <f t="shared" si="344"/>
        <v>Shipped_Stock</v>
      </c>
      <c r="AS1482" s="259" t="str">
        <f t="shared" si="345"/>
        <v/>
      </c>
      <c r="AT1482" s="259" t="str">
        <f t="shared" si="346"/>
        <v>莫思特</v>
      </c>
      <c r="AU1482" s="259" t="str">
        <f t="shared" si="347"/>
        <v>C49SZX20230140SX</v>
      </c>
      <c r="AV1482" s="259" t="str">
        <f t="shared" si="348"/>
        <v>Aug-02</v>
      </c>
    </row>
    <row r="1483" spans="1:48" hidden="1">
      <c r="A1483" s="564">
        <v>2034</v>
      </c>
      <c r="B1483" s="669" t="s">
        <v>1125</v>
      </c>
      <c r="C1483" s="669" t="s">
        <v>281</v>
      </c>
      <c r="D1483" s="650" t="s">
        <v>4087</v>
      </c>
      <c r="E1483" s="749" t="s">
        <v>236</v>
      </c>
      <c r="F1483" s="652" t="s">
        <v>58</v>
      </c>
      <c r="G1483" s="652" t="s">
        <v>24</v>
      </c>
      <c r="H1483" s="652" t="s">
        <v>26</v>
      </c>
      <c r="I1483" s="580" t="s">
        <v>4092</v>
      </c>
      <c r="J1483" s="580">
        <v>1</v>
      </c>
      <c r="K1483" s="652" t="s">
        <v>1732</v>
      </c>
      <c r="L1483" s="662">
        <v>45140</v>
      </c>
      <c r="M1483" s="670">
        <v>5.0799999999999998E-2</v>
      </c>
      <c r="N1483" s="652" t="s">
        <v>4375</v>
      </c>
      <c r="O1483" s="580">
        <v>2023.7</v>
      </c>
      <c r="P1483" s="670" t="str">
        <f>VLOOKUP(A1483,'[1]Raw data'!$B:$BA,23,FALSE)</f>
        <v>RMB</v>
      </c>
      <c r="Q1483" s="652" t="str">
        <f>VLOOKUP(A1483,'[1]Raw data'!$B:$Z,2,FALSE)</f>
        <v>CG20231204009</v>
      </c>
      <c r="R1483" s="652" t="str">
        <f>VLOOKUP(A1483,'[1]Raw data'!$B:$Z,3,FALSE)</f>
        <v>徕芬</v>
      </c>
      <c r="S1483" s="652" t="str">
        <f>VLOOKUP(A1483,'[1]Raw data'!$B:$Z,4,FALSE)</f>
        <v>YSM20R-2</v>
      </c>
      <c r="T1483" s="652" t="str">
        <f>VLOOKUP(A1483,'[1]Raw data'!$B:$Z,8,FALSE)</f>
        <v>L-&gt;R</v>
      </c>
      <c r="U1483" s="652" t="str">
        <f>VLOOKUP(A1483,'[1]Raw data'!$B:$Z,9,FALSE)</f>
        <v>No</v>
      </c>
      <c r="V1483" s="572" t="str">
        <f t="shared" si="349"/>
        <v>OK</v>
      </c>
      <c r="W1483" s="568" t="str">
        <f>VLOOKUP(A1483,'[1]Raw data'!$B:$AG,32,FALSE)</f>
        <v>DDP DG</v>
      </c>
      <c r="X1483" s="662">
        <f>VLOOKUP(A1483,'[1]Raw data'!$B:$BA,31,FALSE)</f>
        <v>45261</v>
      </c>
      <c r="Y1483" s="652" t="str">
        <f>VLOOKUP(A1483,'[1]Raw data'!$B:$AS,39,FALSE)</f>
        <v>Yes</v>
      </c>
      <c r="Z1483" s="671"/>
      <c r="AA1483" s="672"/>
      <c r="AB1483" s="673"/>
      <c r="AC1483" s="652" t="s">
        <v>3898</v>
      </c>
      <c r="AD1483" s="667">
        <v>301</v>
      </c>
      <c r="AE1483" s="667">
        <v>20</v>
      </c>
      <c r="AF1483" s="667"/>
      <c r="AG1483" s="667"/>
      <c r="AH1483" s="667"/>
      <c r="AI1483" s="668"/>
      <c r="AN1483" s="547"/>
      <c r="AO1483" s="829" t="str">
        <f t="shared" si="341"/>
        <v>Yes</v>
      </c>
      <c r="AP1483" s="259" t="str">
        <f t="shared" si="342"/>
        <v>JAN 24</v>
      </c>
      <c r="AQ1483" s="547" t="str">
        <f t="shared" si="343"/>
        <v>有定金+有預留客戶</v>
      </c>
      <c r="AR1483" s="259" t="str">
        <f t="shared" si="344"/>
        <v>Shipped_Stock</v>
      </c>
      <c r="AS1483" s="259" t="str">
        <f t="shared" si="345"/>
        <v/>
      </c>
      <c r="AT1483" s="259" t="str">
        <f t="shared" si="346"/>
        <v>徕芬</v>
      </c>
      <c r="AU1483" s="259" t="str">
        <f t="shared" si="347"/>
        <v>CG20231204009</v>
      </c>
      <c r="AV1483" s="259" t="str">
        <f t="shared" si="348"/>
        <v>Aug-02</v>
      </c>
    </row>
    <row r="1484" spans="1:48" hidden="1">
      <c r="A1484" s="564">
        <v>2047</v>
      </c>
      <c r="B1484" s="669" t="s">
        <v>1125</v>
      </c>
      <c r="C1484" s="669" t="s">
        <v>281</v>
      </c>
      <c r="D1484" s="650" t="s">
        <v>4087</v>
      </c>
      <c r="E1484" s="749" t="s">
        <v>236</v>
      </c>
      <c r="F1484" s="652" t="s">
        <v>58</v>
      </c>
      <c r="G1484" s="652" t="s">
        <v>24</v>
      </c>
      <c r="H1484" s="652" t="s">
        <v>26</v>
      </c>
      <c r="I1484" s="580" t="s">
        <v>4440</v>
      </c>
      <c r="J1484" s="580">
        <v>1</v>
      </c>
      <c r="K1484" s="652" t="s">
        <v>1732</v>
      </c>
      <c r="L1484" s="662">
        <v>45140</v>
      </c>
      <c r="M1484" s="670">
        <v>5.0799999999999998E-2</v>
      </c>
      <c r="N1484" s="652" t="s">
        <v>4404</v>
      </c>
      <c r="O1484" s="580">
        <v>2023.7</v>
      </c>
      <c r="P1484" s="670" t="str">
        <f>VLOOKUP(A1484,'[1]Raw data'!$B:$BA,23,FALSE)</f>
        <v>JPY</v>
      </c>
      <c r="Q1484" s="652" t="str">
        <f>VLOOKUP(A1484,'[1]Raw data'!$B:$Z,2,FALSE)</f>
        <v>C49SZX20230139DX</v>
      </c>
      <c r="R1484" s="652" t="str">
        <f>VLOOKUP(A1484,'[1]Raw data'!$B:$Z,3,FALSE)</f>
        <v>联鸿精密（end user:倍美斯）</v>
      </c>
      <c r="S1484" s="652" t="str">
        <f>VLOOKUP(A1484,'[1]Raw data'!$B:$Z,4,FALSE)</f>
        <v>YSM20R-2</v>
      </c>
      <c r="T1484" s="652" t="str">
        <f>VLOOKUP(A1484,'[1]Raw data'!$B:$Z,8,FALSE)</f>
        <v>L-&gt;R</v>
      </c>
      <c r="U1484" s="652" t="str">
        <f>VLOOKUP(A1484,'[1]Raw data'!$B:$Z,9,FALSE)</f>
        <v>MVC</v>
      </c>
      <c r="V1484" s="572" t="str">
        <f t="shared" si="349"/>
        <v>WRONG</v>
      </c>
      <c r="W1484" s="568" t="str">
        <f>VLOOKUP(A1484,'[1]Raw data'!$B:$AG,32,FALSE)</f>
        <v>DAP SZ</v>
      </c>
      <c r="X1484" s="662">
        <f>VLOOKUP(A1484,'[1]Raw data'!$B:$BA,31,FALSE)</f>
        <v>45273</v>
      </c>
      <c r="Y1484" s="652" t="str">
        <f>VLOOKUP(A1484,'[1]Raw data'!$B:$AS,39,FALSE)</f>
        <v>Yes</v>
      </c>
      <c r="Z1484" s="664"/>
      <c r="AA1484" s="665"/>
      <c r="AB1484" s="666"/>
      <c r="AC1484" s="652" t="s">
        <v>4552</v>
      </c>
      <c r="AD1484" s="667">
        <v>301</v>
      </c>
      <c r="AE1484" s="667">
        <v>20</v>
      </c>
      <c r="AF1484" s="667"/>
      <c r="AG1484" s="667"/>
      <c r="AH1484" s="667"/>
      <c r="AI1484" s="668"/>
      <c r="AN1484" s="547"/>
      <c r="AO1484" s="829" t="str">
        <f t="shared" si="341"/>
        <v>Yes</v>
      </c>
      <c r="AP1484" s="259" t="str">
        <f t="shared" si="342"/>
        <v>DEC 23</v>
      </c>
      <c r="AQ1484" s="547" t="str">
        <f t="shared" si="343"/>
        <v>有定金+有預留客戶</v>
      </c>
      <c r="AR1484" s="259" t="str">
        <f t="shared" si="344"/>
        <v>Shipped_Stock</v>
      </c>
      <c r="AS1484" s="259" t="str">
        <f t="shared" si="345"/>
        <v/>
      </c>
      <c r="AT1484" s="259" t="str">
        <f t="shared" si="346"/>
        <v>联鸿精密（end user:倍美斯）</v>
      </c>
      <c r="AU1484" s="259" t="str">
        <f t="shared" si="347"/>
        <v>C49SZX20230139DX</v>
      </c>
      <c r="AV1484" s="259" t="str">
        <f t="shared" si="348"/>
        <v>Aug-02</v>
      </c>
    </row>
    <row r="1485" spans="1:48" hidden="1">
      <c r="A1485" s="564">
        <v>2035</v>
      </c>
      <c r="B1485" s="669" t="s">
        <v>1125</v>
      </c>
      <c r="C1485" s="669" t="s">
        <v>281</v>
      </c>
      <c r="D1485" s="650" t="s">
        <v>4087</v>
      </c>
      <c r="E1485" s="749" t="s">
        <v>236</v>
      </c>
      <c r="F1485" s="652" t="s">
        <v>58</v>
      </c>
      <c r="G1485" s="652" t="s">
        <v>24</v>
      </c>
      <c r="H1485" s="652" t="s">
        <v>26</v>
      </c>
      <c r="I1485" s="580" t="s">
        <v>4093</v>
      </c>
      <c r="J1485" s="580">
        <v>1</v>
      </c>
      <c r="K1485" s="652" t="s">
        <v>1732</v>
      </c>
      <c r="L1485" s="662">
        <v>45140</v>
      </c>
      <c r="M1485" s="670">
        <v>5.0799999999999998E-2</v>
      </c>
      <c r="N1485" s="652" t="s">
        <v>4375</v>
      </c>
      <c r="O1485" s="580">
        <v>2023.7</v>
      </c>
      <c r="P1485" s="670" t="str">
        <f>VLOOKUP(A1485,'[1]Raw data'!$B:$BA,23,FALSE)</f>
        <v>RMB</v>
      </c>
      <c r="Q1485" s="652" t="str">
        <f>VLOOKUP(A1485,'[1]Raw data'!$B:$Z,2,FALSE)</f>
        <v>CG20231204009</v>
      </c>
      <c r="R1485" s="652" t="str">
        <f>VLOOKUP(A1485,'[1]Raw data'!$B:$Z,3,FALSE)</f>
        <v>徕芬</v>
      </c>
      <c r="S1485" s="652" t="str">
        <f>VLOOKUP(A1485,'[1]Raw data'!$B:$Z,4,FALSE)</f>
        <v>YSM20R-2</v>
      </c>
      <c r="T1485" s="652" t="str">
        <f>VLOOKUP(A1485,'[1]Raw data'!$B:$Z,8,FALSE)</f>
        <v>L-&gt;R</v>
      </c>
      <c r="U1485" s="652" t="str">
        <f>VLOOKUP(A1485,'[1]Raw data'!$B:$Z,9,FALSE)</f>
        <v>No</v>
      </c>
      <c r="V1485" s="572" t="str">
        <f t="shared" si="349"/>
        <v>OK</v>
      </c>
      <c r="W1485" s="568" t="str">
        <f>VLOOKUP(A1485,'[1]Raw data'!$B:$AG,32,FALSE)</f>
        <v>DDP DG</v>
      </c>
      <c r="X1485" s="662">
        <f>VLOOKUP(A1485,'[1]Raw data'!$B:$BA,31,FALSE)</f>
        <v>45261</v>
      </c>
      <c r="Y1485" s="652" t="str">
        <f>VLOOKUP(A1485,'[1]Raw data'!$B:$AS,39,FALSE)</f>
        <v>Yes</v>
      </c>
      <c r="Z1485" s="671"/>
      <c r="AA1485" s="672"/>
      <c r="AB1485" s="673"/>
      <c r="AC1485" s="652" t="s">
        <v>3898</v>
      </c>
      <c r="AD1485" s="667">
        <v>301</v>
      </c>
      <c r="AE1485" s="667">
        <v>20</v>
      </c>
      <c r="AF1485" s="667"/>
      <c r="AG1485" s="667"/>
      <c r="AH1485" s="667"/>
      <c r="AI1485" s="668"/>
      <c r="AN1485" s="547"/>
      <c r="AO1485" s="829" t="str">
        <f t="shared" si="341"/>
        <v>Yes</v>
      </c>
      <c r="AP1485" s="259" t="str">
        <f t="shared" si="342"/>
        <v>JAN 24</v>
      </c>
      <c r="AQ1485" s="547" t="str">
        <f t="shared" si="343"/>
        <v>有定金+有預留客戶</v>
      </c>
      <c r="AR1485" s="259" t="str">
        <f t="shared" si="344"/>
        <v>Shipped_Stock</v>
      </c>
      <c r="AS1485" s="259" t="str">
        <f t="shared" si="345"/>
        <v/>
      </c>
      <c r="AT1485" s="259" t="str">
        <f t="shared" si="346"/>
        <v>徕芬</v>
      </c>
      <c r="AU1485" s="259" t="str">
        <f t="shared" si="347"/>
        <v>CG20231204009</v>
      </c>
      <c r="AV1485" s="259" t="str">
        <f t="shared" si="348"/>
        <v>Aug-02</v>
      </c>
    </row>
    <row r="1486" spans="1:48" hidden="1">
      <c r="A1486" s="564">
        <v>2063</v>
      </c>
      <c r="B1486" s="669" t="s">
        <v>1125</v>
      </c>
      <c r="C1486" s="669" t="s">
        <v>281</v>
      </c>
      <c r="D1486" s="650" t="s">
        <v>4087</v>
      </c>
      <c r="E1486" s="749" t="s">
        <v>236</v>
      </c>
      <c r="F1486" s="652" t="s">
        <v>58</v>
      </c>
      <c r="G1486" s="652" t="s">
        <v>24</v>
      </c>
      <c r="H1486" s="652" t="s">
        <v>26</v>
      </c>
      <c r="I1486" s="580" t="s">
        <v>4094</v>
      </c>
      <c r="J1486" s="580">
        <v>1</v>
      </c>
      <c r="K1486" s="652" t="s">
        <v>1732</v>
      </c>
      <c r="L1486" s="662">
        <v>45140</v>
      </c>
      <c r="M1486" s="670">
        <v>5.0799999999999998E-2</v>
      </c>
      <c r="N1486" s="652" t="s">
        <v>4375</v>
      </c>
      <c r="O1486" s="580">
        <v>2023.7</v>
      </c>
      <c r="P1486" s="670" t="str">
        <f>VLOOKUP(A1486,'[1]Raw data'!$B:$BA,23,FALSE)</f>
        <v>JPY</v>
      </c>
      <c r="Q1486" s="652" t="str">
        <f>VLOOKUP(A1486,'[1]Raw data'!$B:$Z,2,FALSE)</f>
        <v>C49SZX20240005EC</v>
      </c>
      <c r="R1486" s="652" t="str">
        <f>VLOOKUP(A1486,'[1]Raw data'!$B:$Z,3,FALSE)</f>
        <v>诺亚兴</v>
      </c>
      <c r="S1486" s="652" t="str">
        <f>VLOOKUP(A1486,'[1]Raw data'!$B:$Z,4,FALSE)</f>
        <v>YSM20R-2</v>
      </c>
      <c r="T1486" s="652" t="str">
        <f>VLOOKUP(A1486,'[1]Raw data'!$B:$Z,8,FALSE)</f>
        <v>L-&gt;R</v>
      </c>
      <c r="U1486" s="652" t="str">
        <f>VLOOKUP(A1486,'[1]Raw data'!$B:$Z,9,FALSE)</f>
        <v>MVC</v>
      </c>
      <c r="V1486" s="572" t="str">
        <f t="shared" si="349"/>
        <v>WRONG</v>
      </c>
      <c r="W1486" s="568" t="str">
        <f>VLOOKUP(A1486,'[1]Raw data'!$B:$AG,32,FALSE)</f>
        <v>CIF HK</v>
      </c>
      <c r="X1486" s="662">
        <f>VLOOKUP(A1486,'[1]Raw data'!$B:$BA,31,FALSE)</f>
        <v>45308</v>
      </c>
      <c r="Y1486" s="652" t="str">
        <f>VLOOKUP(A1486,'[1]Raw data'!$B:$AS,39,FALSE)</f>
        <v>Yes</v>
      </c>
      <c r="Z1486" s="664"/>
      <c r="AA1486" s="665"/>
      <c r="AB1486" s="666"/>
      <c r="AC1486" s="652"/>
      <c r="AD1486" s="667">
        <v>301</v>
      </c>
      <c r="AE1486" s="667">
        <v>20</v>
      </c>
      <c r="AF1486" s="667"/>
      <c r="AG1486" s="667"/>
      <c r="AH1486" s="667"/>
      <c r="AI1486" s="668"/>
      <c r="AN1486" s="547"/>
      <c r="AO1486" s="829" t="str">
        <f t="shared" si="341"/>
        <v>Yes</v>
      </c>
      <c r="AP1486" s="259" t="str">
        <f t="shared" si="342"/>
        <v>JAN 24</v>
      </c>
      <c r="AQ1486" s="547" t="str">
        <f t="shared" si="343"/>
        <v>有定金+有預留客戶</v>
      </c>
      <c r="AR1486" s="259" t="str">
        <f t="shared" si="344"/>
        <v>Shipped_Stock</v>
      </c>
      <c r="AS1486" s="259" t="str">
        <f t="shared" si="345"/>
        <v/>
      </c>
      <c r="AT1486" s="259" t="str">
        <f t="shared" si="346"/>
        <v>诺亚兴</v>
      </c>
      <c r="AU1486" s="259" t="str">
        <f t="shared" si="347"/>
        <v>C49SZX20240005EC</v>
      </c>
      <c r="AV1486" s="259" t="str">
        <f t="shared" si="348"/>
        <v>Aug-02</v>
      </c>
    </row>
    <row r="1487" spans="1:48" ht="22.5" hidden="1">
      <c r="A1487" s="564">
        <v>2056</v>
      </c>
      <c r="B1487" s="669" t="s">
        <v>1125</v>
      </c>
      <c r="C1487" s="669" t="s">
        <v>281</v>
      </c>
      <c r="D1487" s="650">
        <v>111310</v>
      </c>
      <c r="E1487" s="749" t="s">
        <v>236</v>
      </c>
      <c r="F1487" s="652" t="s">
        <v>58</v>
      </c>
      <c r="G1487" s="652" t="s">
        <v>24</v>
      </c>
      <c r="H1487" s="652" t="s">
        <v>26</v>
      </c>
      <c r="I1487" s="580" t="s">
        <v>4095</v>
      </c>
      <c r="J1487" s="580">
        <v>1</v>
      </c>
      <c r="K1487" s="652" t="s">
        <v>1732</v>
      </c>
      <c r="L1487" s="662">
        <v>45140</v>
      </c>
      <c r="M1487" s="670" t="s">
        <v>4147</v>
      </c>
      <c r="N1487" s="652" t="s">
        <v>4375</v>
      </c>
      <c r="O1487" s="580">
        <v>2023.7</v>
      </c>
      <c r="P1487" s="670" t="str">
        <f>VLOOKUP(A1487,'[1]Raw data'!$B:$BA,23,FALSE)</f>
        <v>JPY</v>
      </c>
      <c r="Q1487" s="652" t="str">
        <f>VLOOKUP(A1487,'[1]Raw data'!$B:$Z,2,FALSE)</f>
        <v>C49SZX20230145BH</v>
      </c>
      <c r="R1487" s="652" t="str">
        <f>VLOOKUP(A1487,'[1]Raw data'!$B:$Z,3,FALSE)</f>
        <v>世纪佳柔</v>
      </c>
      <c r="S1487" s="652" t="str">
        <f>VLOOKUP(A1487,'[1]Raw data'!$B:$Z,4,FALSE)</f>
        <v>YSM20R-2</v>
      </c>
      <c r="T1487" s="652" t="str">
        <f>VLOOKUP(A1487,'[1]Raw data'!$B:$Z,8,FALSE)</f>
        <v>L-&gt;R</v>
      </c>
      <c r="U1487" s="652" t="str">
        <f>VLOOKUP(A1487,'[1]Raw data'!$B:$Z,9,FALSE)</f>
        <v>No</v>
      </c>
      <c r="V1487" s="572" t="str">
        <f t="shared" si="349"/>
        <v>OK</v>
      </c>
      <c r="W1487" s="568" t="str">
        <f>VLOOKUP(A1487,'[1]Raw data'!$B:$AG,32,FALSE)</f>
        <v>DAP DG</v>
      </c>
      <c r="X1487" s="662">
        <f>VLOOKUP(A1487,'[1]Raw data'!$B:$BA,31,FALSE)</f>
        <v>45283</v>
      </c>
      <c r="Y1487" s="652" t="str">
        <f>VLOOKUP(A1487,'[1]Raw data'!$B:$AS,39,FALSE)</f>
        <v>Yes</v>
      </c>
      <c r="Z1487" s="671"/>
      <c r="AA1487" s="665"/>
      <c r="AB1487" s="666"/>
      <c r="AC1487" s="715" t="s">
        <v>4551</v>
      </c>
      <c r="AD1487" s="667">
        <v>301</v>
      </c>
      <c r="AE1487" s="667">
        <v>20</v>
      </c>
      <c r="AF1487" s="667"/>
      <c r="AG1487" s="667"/>
      <c r="AH1487" s="667"/>
      <c r="AI1487" s="668"/>
      <c r="AN1487" s="547"/>
      <c r="AO1487" s="829" t="str">
        <f t="shared" si="341"/>
        <v>Yes</v>
      </c>
      <c r="AP1487" s="259" t="str">
        <f t="shared" si="342"/>
        <v>JAN 24</v>
      </c>
      <c r="AQ1487" s="547" t="str">
        <f t="shared" si="343"/>
        <v>有定金+有預留客戶</v>
      </c>
      <c r="AR1487" s="259" t="str">
        <f t="shared" si="344"/>
        <v>Shipped_Stock</v>
      </c>
      <c r="AS1487" s="259" t="str">
        <f t="shared" si="345"/>
        <v/>
      </c>
      <c r="AT1487" s="259" t="str">
        <f t="shared" si="346"/>
        <v>世纪佳柔</v>
      </c>
      <c r="AU1487" s="259" t="str">
        <f t="shared" si="347"/>
        <v>C49SZX20230145BH</v>
      </c>
      <c r="AV1487" s="259" t="str">
        <f t="shared" si="348"/>
        <v>Aug-02</v>
      </c>
    </row>
    <row r="1488" spans="1:48" ht="22.5" hidden="1">
      <c r="A1488" s="564">
        <v>2044</v>
      </c>
      <c r="B1488" s="669" t="s">
        <v>1125</v>
      </c>
      <c r="C1488" s="669" t="s">
        <v>281</v>
      </c>
      <c r="D1488" s="650">
        <v>111310</v>
      </c>
      <c r="E1488" s="749" t="s">
        <v>236</v>
      </c>
      <c r="F1488" s="652" t="s">
        <v>58</v>
      </c>
      <c r="G1488" s="652" t="s">
        <v>24</v>
      </c>
      <c r="H1488" s="652" t="s">
        <v>4445</v>
      </c>
      <c r="I1488" s="580" t="s">
        <v>4419</v>
      </c>
      <c r="J1488" s="580">
        <v>1</v>
      </c>
      <c r="K1488" s="652" t="s">
        <v>1732</v>
      </c>
      <c r="L1488" s="662">
        <v>45140</v>
      </c>
      <c r="M1488" s="670" t="s">
        <v>4147</v>
      </c>
      <c r="N1488" s="652" t="s">
        <v>4404</v>
      </c>
      <c r="O1488" s="580">
        <v>2023.7</v>
      </c>
      <c r="P1488" s="670" t="str">
        <f>VLOOKUP(A1488,'[1]Raw data'!$B:$BA,23,FALSE)</f>
        <v>JPY</v>
      </c>
      <c r="Q1488" s="652" t="str">
        <f>VLOOKUP(A1488,'[1]Raw data'!$B:$Z,2,FALSE)</f>
        <v>C49SZX202300141SS</v>
      </c>
      <c r="R1488" s="652" t="str">
        <f>VLOOKUP(A1488,'[1]Raw data'!$B:$Z,3,FALSE)</f>
        <v>派勤</v>
      </c>
      <c r="S1488" s="652" t="str">
        <f>VLOOKUP(A1488,'[1]Raw data'!$B:$Z,4,FALSE)</f>
        <v>YSM20R-2</v>
      </c>
      <c r="T1488" s="652" t="str">
        <f>VLOOKUP(A1488,'[1]Raw data'!$B:$Z,8,FALSE)</f>
        <v>L-&gt;R</v>
      </c>
      <c r="U1488" s="652" t="str">
        <f>VLOOKUP(A1488,'[1]Raw data'!$B:$Z,9,FALSE)</f>
        <v>MVC</v>
      </c>
      <c r="V1488" s="572" t="str">
        <f t="shared" si="349"/>
        <v>WRONG</v>
      </c>
      <c r="W1488" s="568" t="str">
        <f>VLOOKUP(A1488,'[1]Raw data'!$B:$AG,32,FALSE)</f>
        <v>DAP SZ</v>
      </c>
      <c r="X1488" s="662">
        <f>VLOOKUP(A1488,'[1]Raw data'!$B:$BA,31,FALSE)</f>
        <v>45268</v>
      </c>
      <c r="Y1488" s="652" t="str">
        <f>VLOOKUP(A1488,'[1]Raw data'!$B:$AS,39,FALSE)</f>
        <v>Yes</v>
      </c>
      <c r="Z1488" s="664"/>
      <c r="AA1488" s="665"/>
      <c r="AB1488" s="666"/>
      <c r="AC1488" s="652" t="s">
        <v>4470</v>
      </c>
      <c r="AD1488" s="667">
        <v>301</v>
      </c>
      <c r="AE1488" s="667">
        <v>20</v>
      </c>
      <c r="AF1488" s="667"/>
      <c r="AG1488" s="667"/>
      <c r="AH1488" s="667"/>
      <c r="AI1488" s="668"/>
      <c r="AN1488" s="547"/>
      <c r="AO1488" s="829" t="str">
        <f t="shared" si="341"/>
        <v>Yes</v>
      </c>
      <c r="AP1488" s="259" t="str">
        <f t="shared" si="342"/>
        <v>DEC 23</v>
      </c>
      <c r="AQ1488" s="547" t="str">
        <f t="shared" si="343"/>
        <v>有定金+有預留客戶</v>
      </c>
      <c r="AR1488" s="259" t="str">
        <f t="shared" si="344"/>
        <v>Shipped_Stock</v>
      </c>
      <c r="AS1488" s="259" t="str">
        <f t="shared" si="345"/>
        <v/>
      </c>
      <c r="AT1488" s="259" t="str">
        <f t="shared" si="346"/>
        <v>派勤</v>
      </c>
      <c r="AU1488" s="259" t="str">
        <f t="shared" si="347"/>
        <v>C49SZX202300141SS</v>
      </c>
      <c r="AV1488" s="259" t="str">
        <f t="shared" si="348"/>
        <v>Aug-02</v>
      </c>
    </row>
    <row r="1489" spans="1:48" ht="22.5" hidden="1">
      <c r="A1489" s="564">
        <v>2081</v>
      </c>
      <c r="B1489" s="802" t="s">
        <v>1125</v>
      </c>
      <c r="C1489" s="802" t="s">
        <v>281</v>
      </c>
      <c r="D1489" s="803">
        <v>111310</v>
      </c>
      <c r="E1489" s="804" t="s">
        <v>236</v>
      </c>
      <c r="F1489" s="715" t="s">
        <v>58</v>
      </c>
      <c r="G1489" s="715" t="s">
        <v>24</v>
      </c>
      <c r="H1489" s="715" t="s">
        <v>4031</v>
      </c>
      <c r="I1489" s="667" t="s">
        <v>4096</v>
      </c>
      <c r="J1489" s="667">
        <v>1</v>
      </c>
      <c r="K1489" s="715" t="s">
        <v>1732</v>
      </c>
      <c r="L1489" s="805">
        <v>45140</v>
      </c>
      <c r="M1489" s="722" t="s">
        <v>4147</v>
      </c>
      <c r="N1489" s="652" t="s">
        <v>4417</v>
      </c>
      <c r="O1489" s="580">
        <v>2023.7</v>
      </c>
      <c r="P1489" s="807" t="str">
        <f>VLOOKUP(A1489,'[1]Raw data'!$B:$BA,23,FALSE)</f>
        <v>JPY</v>
      </c>
      <c r="Q1489" s="808" t="str">
        <f>VLOOKUP(A1489,'[1]Raw data'!$B:$Z,2,FALSE)</f>
        <v>C49SZX20240018DZ</v>
      </c>
      <c r="R1489" s="808" t="str">
        <f>VLOOKUP(A1489,'[1]Raw data'!$B:$Z,3,FALSE)</f>
        <v>斯迈</v>
      </c>
      <c r="S1489" s="715" t="str">
        <f>VLOOKUP(A1489,'[1]Raw data'!$B:$Z,4,FALSE)</f>
        <v>YSM20R-2</v>
      </c>
      <c r="T1489" s="715" t="str">
        <f>VLOOKUP(A1489,'[1]Raw data'!$B:$Z,8,FALSE)</f>
        <v>L-&gt;R</v>
      </c>
      <c r="U1489" s="715" t="str">
        <f>VLOOKUP(A1489,'[1]Raw data'!$B:$Z,9,FALSE)</f>
        <v>No</v>
      </c>
      <c r="V1489" s="714" t="str">
        <f t="shared" si="349"/>
        <v>OK</v>
      </c>
      <c r="W1489" s="806" t="str">
        <f>VLOOKUP(A1489,'[1]Raw data'!$B:$AG,32,FALSE)</f>
        <v>DAP GZ</v>
      </c>
      <c r="X1489" s="805">
        <f>VLOOKUP(A1489,'[1]Raw data'!$B:$BA,31,FALSE)</f>
        <v>45316</v>
      </c>
      <c r="Y1489" s="715" t="str">
        <f>VLOOKUP(A1489,'[1]Raw data'!$B:$AS,39,FALSE)</f>
        <v>Yes</v>
      </c>
      <c r="Z1489" s="664"/>
      <c r="AA1489" s="665"/>
      <c r="AB1489" s="666"/>
      <c r="AC1489" s="715"/>
      <c r="AD1489" s="667">
        <v>301</v>
      </c>
      <c r="AE1489" s="667">
        <v>20</v>
      </c>
      <c r="AF1489" s="667"/>
      <c r="AG1489" s="667"/>
      <c r="AH1489" s="667"/>
      <c r="AI1489" s="668"/>
      <c r="AN1489" s="547"/>
      <c r="AO1489" s="829" t="str">
        <f t="shared" si="341"/>
        <v>Yes</v>
      </c>
      <c r="AP1489" s="259" t="str">
        <f t="shared" si="342"/>
        <v>FEB 24</v>
      </c>
      <c r="AQ1489" s="547" t="str">
        <f t="shared" si="343"/>
        <v>有定金+有預留客戶</v>
      </c>
      <c r="AR1489" s="259" t="str">
        <f t="shared" si="344"/>
        <v>Shipped_Stock</v>
      </c>
      <c r="AS1489" s="259" t="str">
        <f t="shared" si="345"/>
        <v/>
      </c>
      <c r="AT1489" s="259" t="str">
        <f t="shared" si="346"/>
        <v>斯迈</v>
      </c>
      <c r="AU1489" s="259" t="str">
        <f t="shared" si="347"/>
        <v>C49SZX20240018DZ</v>
      </c>
      <c r="AV1489" s="259" t="str">
        <f t="shared" si="348"/>
        <v>Aug-02</v>
      </c>
    </row>
    <row r="1490" spans="1:48" ht="22.5" hidden="1">
      <c r="A1490" s="564">
        <v>2053</v>
      </c>
      <c r="B1490" s="669" t="s">
        <v>1125</v>
      </c>
      <c r="C1490" s="669" t="s">
        <v>281</v>
      </c>
      <c r="D1490" s="650">
        <v>111310</v>
      </c>
      <c r="E1490" s="749" t="s">
        <v>236</v>
      </c>
      <c r="F1490" s="652" t="s">
        <v>58</v>
      </c>
      <c r="G1490" s="652" t="s">
        <v>24</v>
      </c>
      <c r="H1490" s="652" t="s">
        <v>26</v>
      </c>
      <c r="I1490" s="580" t="s">
        <v>4097</v>
      </c>
      <c r="J1490" s="580">
        <v>1</v>
      </c>
      <c r="K1490" s="652" t="s">
        <v>1732</v>
      </c>
      <c r="L1490" s="662">
        <v>45140</v>
      </c>
      <c r="M1490" s="670" t="s">
        <v>4147</v>
      </c>
      <c r="N1490" s="652" t="s">
        <v>4375</v>
      </c>
      <c r="O1490" s="580">
        <v>2023.7</v>
      </c>
      <c r="P1490" s="670" t="str">
        <f>VLOOKUP(A1490,'[1]Raw data'!$B:$BA,23,FALSE)</f>
        <v>JPY</v>
      </c>
      <c r="Q1490" s="652" t="str">
        <f>VLOOKUP(A1490,'[1]Raw data'!$B:$Z,2,FALSE)</f>
        <v>C49SZX20230142SS</v>
      </c>
      <c r="R1490" s="652" t="str">
        <f>VLOOKUP(A1490,'[1]Raw data'!$B:$Z,3,FALSE)</f>
        <v>盈通恒翼</v>
      </c>
      <c r="S1490" s="652" t="str">
        <f>VLOOKUP(A1490,'[1]Raw data'!$B:$Z,4,FALSE)</f>
        <v>YSM20R-2</v>
      </c>
      <c r="T1490" s="652" t="str">
        <f>VLOOKUP(A1490,'[1]Raw data'!$B:$Z,8,FALSE)</f>
        <v>L-&gt;R</v>
      </c>
      <c r="U1490" s="652" t="str">
        <f>VLOOKUP(A1490,'[1]Raw data'!$B:$Z,9,FALSE)</f>
        <v>No</v>
      </c>
      <c r="V1490" s="572" t="str">
        <f t="shared" si="349"/>
        <v>OK</v>
      </c>
      <c r="W1490" s="568" t="str">
        <f>VLOOKUP(A1490,'[1]Raw data'!$B:$AG,32,FALSE)</f>
        <v>DAP SZ</v>
      </c>
      <c r="X1490" s="662">
        <f>VLOOKUP(A1490,'[1]Raw data'!$B:$BA,31,FALSE)</f>
        <v>45282</v>
      </c>
      <c r="Y1490" s="652" t="str">
        <f>VLOOKUP(A1490,'[1]Raw data'!$B:$AS,39,FALSE)</f>
        <v>Yes</v>
      </c>
      <c r="Z1490" s="664"/>
      <c r="AA1490" s="665"/>
      <c r="AB1490" s="666"/>
      <c r="AC1490" s="652" t="s">
        <v>4553</v>
      </c>
      <c r="AD1490" s="667">
        <v>301</v>
      </c>
      <c r="AE1490" s="667">
        <v>20</v>
      </c>
      <c r="AF1490" s="667"/>
      <c r="AG1490" s="667"/>
      <c r="AH1490" s="667"/>
      <c r="AI1490" s="668"/>
      <c r="AN1490" s="547"/>
      <c r="AO1490" s="829" t="str">
        <f t="shared" si="341"/>
        <v>Yes</v>
      </c>
      <c r="AP1490" s="259" t="str">
        <f t="shared" si="342"/>
        <v>JAN 24</v>
      </c>
      <c r="AQ1490" s="547" t="str">
        <f t="shared" si="343"/>
        <v>有定金+有預留客戶</v>
      </c>
      <c r="AR1490" s="259" t="str">
        <f t="shared" si="344"/>
        <v>Shipped_Stock</v>
      </c>
      <c r="AS1490" s="259" t="str">
        <f t="shared" si="345"/>
        <v/>
      </c>
      <c r="AT1490" s="259" t="str">
        <f t="shared" si="346"/>
        <v>盈通恒翼</v>
      </c>
      <c r="AU1490" s="259" t="str">
        <f t="shared" si="347"/>
        <v>C49SZX20230142SS</v>
      </c>
      <c r="AV1490" s="259" t="str">
        <f t="shared" si="348"/>
        <v>Aug-02</v>
      </c>
    </row>
    <row r="1491" spans="1:48" ht="22.5" hidden="1">
      <c r="A1491" s="564">
        <v>2055</v>
      </c>
      <c r="B1491" s="669" t="s">
        <v>1125</v>
      </c>
      <c r="C1491" s="669" t="s">
        <v>281</v>
      </c>
      <c r="D1491" s="650">
        <v>111310</v>
      </c>
      <c r="E1491" s="749" t="s">
        <v>236</v>
      </c>
      <c r="F1491" s="652" t="s">
        <v>58</v>
      </c>
      <c r="G1491" s="652" t="s">
        <v>24</v>
      </c>
      <c r="H1491" s="652" t="s">
        <v>26</v>
      </c>
      <c r="I1491" s="580" t="s">
        <v>4098</v>
      </c>
      <c r="J1491" s="580">
        <v>1</v>
      </c>
      <c r="K1491" s="652" t="s">
        <v>1732</v>
      </c>
      <c r="L1491" s="662">
        <v>45140</v>
      </c>
      <c r="M1491" s="670" t="s">
        <v>4147</v>
      </c>
      <c r="N1491" s="652" t="s">
        <v>4375</v>
      </c>
      <c r="O1491" s="580">
        <v>2023.7</v>
      </c>
      <c r="P1491" s="670" t="str">
        <f>VLOOKUP(A1491,'[1]Raw data'!$B:$BA,23,FALSE)</f>
        <v>JPY</v>
      </c>
      <c r="Q1491" s="652" t="str">
        <f>VLOOKUP(A1491,'[1]Raw data'!$B:$Z,2,FALSE)</f>
        <v>C49SZX20230145BH</v>
      </c>
      <c r="R1491" s="652" t="str">
        <f>VLOOKUP(A1491,'[1]Raw data'!$B:$Z,3,FALSE)</f>
        <v>世纪佳柔</v>
      </c>
      <c r="S1491" s="652" t="str">
        <f>VLOOKUP(A1491,'[1]Raw data'!$B:$Z,4,FALSE)</f>
        <v>YSM20R-2</v>
      </c>
      <c r="T1491" s="652" t="str">
        <f>VLOOKUP(A1491,'[1]Raw data'!$B:$Z,8,FALSE)</f>
        <v>L-&gt;R</v>
      </c>
      <c r="U1491" s="652" t="str">
        <f>VLOOKUP(A1491,'[1]Raw data'!$B:$Z,9,FALSE)</f>
        <v>No</v>
      </c>
      <c r="V1491" s="572" t="str">
        <f t="shared" si="349"/>
        <v>OK</v>
      </c>
      <c r="W1491" s="568" t="str">
        <f>VLOOKUP(A1491,'[1]Raw data'!$B:$AG,32,FALSE)</f>
        <v>DAP DG</v>
      </c>
      <c r="X1491" s="662">
        <f>VLOOKUP(A1491,'[1]Raw data'!$B:$BA,31,FALSE)</f>
        <v>45283</v>
      </c>
      <c r="Y1491" s="652" t="str">
        <f>VLOOKUP(A1491,'[1]Raw data'!$B:$AS,39,FALSE)</f>
        <v>Yes</v>
      </c>
      <c r="Z1491" s="671"/>
      <c r="AA1491" s="665"/>
      <c r="AB1491" s="666"/>
      <c r="AC1491" s="715" t="s">
        <v>4551</v>
      </c>
      <c r="AD1491" s="667">
        <v>301</v>
      </c>
      <c r="AE1491" s="667">
        <v>20</v>
      </c>
      <c r="AF1491" s="667"/>
      <c r="AG1491" s="667"/>
      <c r="AH1491" s="667"/>
      <c r="AI1491" s="668"/>
      <c r="AN1491" s="547"/>
      <c r="AO1491" s="829" t="str">
        <f t="shared" si="341"/>
        <v>Yes</v>
      </c>
      <c r="AP1491" s="259" t="str">
        <f t="shared" si="342"/>
        <v>JAN 24</v>
      </c>
      <c r="AQ1491" s="547" t="str">
        <f t="shared" si="343"/>
        <v>有定金+有預留客戶</v>
      </c>
      <c r="AR1491" s="259" t="str">
        <f t="shared" si="344"/>
        <v>Shipped_Stock</v>
      </c>
      <c r="AS1491" s="259" t="str">
        <f t="shared" si="345"/>
        <v/>
      </c>
      <c r="AT1491" s="259" t="str">
        <f t="shared" si="346"/>
        <v>世纪佳柔</v>
      </c>
      <c r="AU1491" s="259" t="str">
        <f t="shared" si="347"/>
        <v>C49SZX20230145BH</v>
      </c>
      <c r="AV1491" s="259" t="str">
        <f t="shared" si="348"/>
        <v>Aug-02</v>
      </c>
    </row>
    <row r="1492" spans="1:48" hidden="1">
      <c r="A1492" s="604">
        <v>1920</v>
      </c>
      <c r="B1492" s="669" t="s">
        <v>1125</v>
      </c>
      <c r="C1492" s="669" t="s">
        <v>4056</v>
      </c>
      <c r="D1492" s="650" t="s">
        <v>4050</v>
      </c>
      <c r="E1492" s="749" t="s">
        <v>4051</v>
      </c>
      <c r="F1492" s="652" t="s">
        <v>201</v>
      </c>
      <c r="G1492" s="652" t="s">
        <v>18</v>
      </c>
      <c r="H1492" s="652" t="s">
        <v>26</v>
      </c>
      <c r="I1492" s="580" t="s">
        <v>4122</v>
      </c>
      <c r="J1492" s="580">
        <v>1</v>
      </c>
      <c r="K1492" s="652" t="s">
        <v>2671</v>
      </c>
      <c r="L1492" s="662" t="s">
        <v>4071</v>
      </c>
      <c r="M1492" s="670">
        <v>5.2200000000000003E-2</v>
      </c>
      <c r="N1492" s="652" t="s">
        <v>4045</v>
      </c>
      <c r="O1492" s="580"/>
      <c r="P1492" s="670" t="str">
        <f>VLOOKUP(A1492,'[1]Raw data'!$B:$BA,23,FALSE)</f>
        <v>RMB</v>
      </c>
      <c r="Q1492" s="652" t="str">
        <f>VLOOKUP(A1492,'[1]Raw data'!$B:$Z,2,FALSE)</f>
        <v>C28SZX20230069R1SX</v>
      </c>
      <c r="R1492" s="652" t="str">
        <f>VLOOKUP(A1492,'[1]Raw data'!$B:$Z,3,FALSE)</f>
        <v>纬博特（End user：成景）</v>
      </c>
      <c r="S1492" s="652" t="str">
        <f>VLOOKUP(A1492,'[1]Raw data'!$B:$Z,4,FALSE)</f>
        <v>YSi-V</v>
      </c>
      <c r="T1492" s="652" t="str">
        <f>VLOOKUP(A1492,'[1]Raw data'!$B:$Z,8,FALSE)</f>
        <v>R-&gt;L</v>
      </c>
      <c r="U1492" s="652" t="str">
        <f>VLOOKUP(A1492,'[1]Raw data'!$B:$Z,9,FALSE)</f>
        <v>No</v>
      </c>
      <c r="V1492" s="572" t="str">
        <f>IF(G1492&amp;H1492=T1492&amp;U1492,"OK","WRONG")</f>
        <v>OK</v>
      </c>
      <c r="W1492" s="568" t="str">
        <f>VLOOKUP(A1492,'[1]Raw data'!$B:$AG,32,FALSE)</f>
        <v>DDP FS</v>
      </c>
      <c r="X1492" s="662">
        <f>VLOOKUP(A1492,'[1]Raw data'!$B:$BA,31,FALSE)</f>
        <v>45070</v>
      </c>
      <c r="Y1492" s="652" t="str">
        <f>VLOOKUP(A1492,'[1]Raw data'!$B:$AS,39,FALSE)</f>
        <v>Yes</v>
      </c>
      <c r="Z1492" s="664"/>
      <c r="AA1492" s="665"/>
      <c r="AB1492" s="666"/>
      <c r="AC1492" s="652" t="s">
        <v>1951</v>
      </c>
      <c r="AD1492" s="580"/>
      <c r="AE1492" s="580"/>
      <c r="AF1492" s="580"/>
      <c r="AG1492" s="580"/>
      <c r="AH1492" s="580"/>
      <c r="AI1492" s="684"/>
      <c r="AJ1492" s="569"/>
      <c r="AK1492" s="569"/>
      <c r="AL1492" s="569"/>
      <c r="AM1492" s="569"/>
      <c r="AN1492" s="619"/>
      <c r="AO1492" s="829" t="str">
        <f t="shared" si="341"/>
        <v>Yes</v>
      </c>
      <c r="AP1492" s="259" t="str">
        <f t="shared" si="342"/>
        <v>AUG 23</v>
      </c>
      <c r="AQ1492" s="547" t="str">
        <f t="shared" si="343"/>
        <v>有定金+有預留客戶</v>
      </c>
      <c r="AR1492" s="259" t="str">
        <f t="shared" si="344"/>
        <v>Shipped_Stock</v>
      </c>
      <c r="AS1492" s="259" t="str">
        <f t="shared" si="345"/>
        <v/>
      </c>
      <c r="AT1492" s="259" t="str">
        <f t="shared" si="346"/>
        <v>纬博特（End user：成景）</v>
      </c>
      <c r="AU1492" s="259" t="str">
        <f t="shared" si="347"/>
        <v>C28SZX20230069R1SX</v>
      </c>
      <c r="AV1492" s="259" t="str">
        <f t="shared" si="348"/>
        <v>2023/8/7,上海港</v>
      </c>
    </row>
    <row r="1493" spans="1:48" ht="22.5" hidden="1">
      <c r="A1493" s="564">
        <v>2017</v>
      </c>
      <c r="B1493" s="802" t="s">
        <v>1125</v>
      </c>
      <c r="C1493" s="802" t="s">
        <v>281</v>
      </c>
      <c r="D1493" s="803" t="s">
        <v>4088</v>
      </c>
      <c r="E1493" s="804" t="s">
        <v>236</v>
      </c>
      <c r="F1493" s="715" t="s">
        <v>17</v>
      </c>
      <c r="G1493" s="715" t="s">
        <v>18</v>
      </c>
      <c r="H1493" s="715" t="s">
        <v>26</v>
      </c>
      <c r="I1493" s="667" t="s">
        <v>4506</v>
      </c>
      <c r="J1493" s="667">
        <v>1</v>
      </c>
      <c r="K1493" s="715" t="s">
        <v>1419</v>
      </c>
      <c r="L1493" s="805">
        <v>45152</v>
      </c>
      <c r="M1493" s="831" t="s">
        <v>4536</v>
      </c>
      <c r="N1493" s="652" t="s">
        <v>4375</v>
      </c>
      <c r="O1493" s="580">
        <v>2023.7</v>
      </c>
      <c r="P1493" s="807" t="str">
        <f>VLOOKUP(A1493,'[1]Raw data'!$B:$BA,23,FALSE)</f>
        <v>JPY</v>
      </c>
      <c r="Q1493" s="808" t="str">
        <f>VLOOKUP(A1493,'[1]Raw data'!$B:$Z,2,FALSE)</f>
        <v>C49SZX20230111SX</v>
      </c>
      <c r="R1493" s="808" t="str">
        <f>VLOOKUP(A1493,'[1]Raw data'!$B:$Z,3,FALSE)</f>
        <v>兴开泰（end user:兴连）</v>
      </c>
      <c r="S1493" s="715" t="str">
        <f>VLOOKUP(A1493,'[1]Raw data'!$B:$Z,4,FALSE)</f>
        <v>YSM10</v>
      </c>
      <c r="T1493" s="715" t="str">
        <f>VLOOKUP(A1493,'[1]Raw data'!$B:$Z,8,FALSE)</f>
        <v>R-&gt;L</v>
      </c>
      <c r="U1493" s="715" t="str">
        <f>VLOOKUP(A1493,'[1]Raw data'!$B:$Z,9,FALSE)</f>
        <v>MVC</v>
      </c>
      <c r="V1493" s="714" t="str">
        <f t="shared" si="340"/>
        <v>WRONG</v>
      </c>
      <c r="W1493" s="806" t="str">
        <f>VLOOKUP(A1493,'[1]Raw data'!$B:$AG,32,FALSE)</f>
        <v>DAP DG</v>
      </c>
      <c r="X1493" s="805">
        <f>VLOOKUP(A1493,'[1]Raw data'!$B:$BA,31,FALSE)</f>
        <v>45237</v>
      </c>
      <c r="Y1493" s="715" t="str">
        <f>VLOOKUP(A1493,'[1]Raw data'!$B:$AS,39,FALSE)</f>
        <v>Yes</v>
      </c>
      <c r="Z1493" s="664"/>
      <c r="AA1493" s="665"/>
      <c r="AB1493" s="666"/>
      <c r="AC1493" s="715"/>
      <c r="AD1493" s="667">
        <v>301</v>
      </c>
      <c r="AE1493" s="667">
        <v>10</v>
      </c>
      <c r="AF1493" s="667"/>
      <c r="AG1493" s="667"/>
      <c r="AH1493" s="667"/>
      <c r="AI1493" s="668"/>
      <c r="AN1493" s="547"/>
      <c r="AO1493" s="829" t="str">
        <f t="shared" si="341"/>
        <v>Yes</v>
      </c>
      <c r="AP1493" s="259" t="str">
        <f t="shared" si="342"/>
        <v>JAN 24</v>
      </c>
      <c r="AQ1493" s="547" t="str">
        <f t="shared" si="343"/>
        <v>有定金+有預留客戶</v>
      </c>
      <c r="AR1493" s="259" t="str">
        <f t="shared" si="344"/>
        <v>Shipped_Stock</v>
      </c>
      <c r="AS1493" s="259" t="str">
        <f t="shared" si="345"/>
        <v/>
      </c>
      <c r="AT1493" s="259" t="str">
        <f t="shared" si="346"/>
        <v>兴开泰（end user:兴连）</v>
      </c>
      <c r="AU1493" s="259" t="str">
        <f t="shared" si="347"/>
        <v>C49SZX20230111SX</v>
      </c>
      <c r="AV1493" s="259" t="str">
        <f t="shared" si="348"/>
        <v>Aug-14</v>
      </c>
    </row>
    <row r="1494" spans="1:48" hidden="1">
      <c r="A1494" s="564">
        <v>2010</v>
      </c>
      <c r="B1494" s="802" t="s">
        <v>1125</v>
      </c>
      <c r="C1494" s="802" t="s">
        <v>281</v>
      </c>
      <c r="D1494" s="803" t="s">
        <v>4088</v>
      </c>
      <c r="E1494" s="804" t="s">
        <v>236</v>
      </c>
      <c r="F1494" s="715" t="s">
        <v>17</v>
      </c>
      <c r="G1494" s="715" t="s">
        <v>18</v>
      </c>
      <c r="H1494" s="715" t="s">
        <v>4055</v>
      </c>
      <c r="I1494" s="667" t="s">
        <v>4114</v>
      </c>
      <c r="J1494" s="667">
        <v>1</v>
      </c>
      <c r="K1494" s="715" t="s">
        <v>1732</v>
      </c>
      <c r="L1494" s="805">
        <v>45152</v>
      </c>
      <c r="M1494" s="722">
        <v>5.0799999999999998E-2</v>
      </c>
      <c r="N1494" s="652" t="s">
        <v>4375</v>
      </c>
      <c r="O1494" s="580">
        <v>2023.7</v>
      </c>
      <c r="P1494" s="807" t="str">
        <f>VLOOKUP(A1494,'[1]Raw data'!$B:$BA,23,FALSE)</f>
        <v>JPY</v>
      </c>
      <c r="Q1494" s="808" t="str">
        <f>VLOOKUP(A1494,'[1]Raw data'!$B:$Z,2,FALSE)</f>
        <v>C49SZX20230111SX</v>
      </c>
      <c r="R1494" s="808" t="str">
        <f>VLOOKUP(A1494,'[1]Raw data'!$B:$Z,3,FALSE)</f>
        <v>兴开泰（end user:兴连）</v>
      </c>
      <c r="S1494" s="715" t="str">
        <f>VLOOKUP(A1494,'[1]Raw data'!$B:$Z,4,FALSE)</f>
        <v>YSM10</v>
      </c>
      <c r="T1494" s="715" t="str">
        <f>VLOOKUP(A1494,'[1]Raw data'!$B:$Z,8,FALSE)</f>
        <v>L-&gt;R</v>
      </c>
      <c r="U1494" s="715" t="str">
        <f>VLOOKUP(A1494,'[1]Raw data'!$B:$Z,9,FALSE)</f>
        <v>MVC</v>
      </c>
      <c r="V1494" s="714" t="str">
        <f t="shared" si="340"/>
        <v>WRONG</v>
      </c>
      <c r="W1494" s="806" t="str">
        <f>VLOOKUP(A1494,'[1]Raw data'!$B:$AG,32,FALSE)</f>
        <v>DAP DG</v>
      </c>
      <c r="X1494" s="805">
        <f>VLOOKUP(A1494,'[1]Raw data'!$B:$BA,31,FALSE)</f>
        <v>45237</v>
      </c>
      <c r="Y1494" s="715" t="str">
        <f>VLOOKUP(A1494,'[1]Raw data'!$B:$AS,39,FALSE)</f>
        <v>Yes</v>
      </c>
      <c r="Z1494" s="664"/>
      <c r="AA1494" s="665"/>
      <c r="AB1494" s="666"/>
      <c r="AC1494" s="715"/>
      <c r="AD1494" s="667">
        <v>301</v>
      </c>
      <c r="AE1494" s="667">
        <v>10</v>
      </c>
      <c r="AF1494" s="667"/>
      <c r="AG1494" s="667"/>
      <c r="AH1494" s="667"/>
      <c r="AI1494" s="668"/>
      <c r="AN1494" s="547"/>
      <c r="AO1494" s="829" t="str">
        <f t="shared" si="341"/>
        <v>Yes</v>
      </c>
      <c r="AP1494" s="259" t="str">
        <f t="shared" si="342"/>
        <v>JAN 24</v>
      </c>
      <c r="AQ1494" s="547" t="str">
        <f t="shared" si="343"/>
        <v>有定金+有預留客戶</v>
      </c>
      <c r="AR1494" s="259" t="str">
        <f t="shared" si="344"/>
        <v>Shipped_Stock</v>
      </c>
      <c r="AS1494" s="259" t="str">
        <f t="shared" si="345"/>
        <v/>
      </c>
      <c r="AT1494" s="259" t="str">
        <f t="shared" si="346"/>
        <v>兴开泰（end user:兴连）</v>
      </c>
      <c r="AU1494" s="259" t="str">
        <f t="shared" si="347"/>
        <v>C49SZX20230111SX</v>
      </c>
      <c r="AV1494" s="259" t="str">
        <f t="shared" si="348"/>
        <v>Aug-14</v>
      </c>
    </row>
    <row r="1495" spans="1:48" hidden="1">
      <c r="A1495" s="564">
        <v>2011</v>
      </c>
      <c r="B1495" s="802" t="s">
        <v>1125</v>
      </c>
      <c r="C1495" s="802" t="s">
        <v>281</v>
      </c>
      <c r="D1495" s="803" t="s">
        <v>4088</v>
      </c>
      <c r="E1495" s="804" t="s">
        <v>236</v>
      </c>
      <c r="F1495" s="715" t="s">
        <v>17</v>
      </c>
      <c r="G1495" s="715" t="s">
        <v>18</v>
      </c>
      <c r="H1495" s="715" t="s">
        <v>26</v>
      </c>
      <c r="I1495" s="667" t="s">
        <v>4115</v>
      </c>
      <c r="J1495" s="667">
        <v>1</v>
      </c>
      <c r="K1495" s="715" t="s">
        <v>1732</v>
      </c>
      <c r="L1495" s="805">
        <v>45152</v>
      </c>
      <c r="M1495" s="722">
        <v>5.0799999999999998E-2</v>
      </c>
      <c r="N1495" s="652" t="s">
        <v>4375</v>
      </c>
      <c r="O1495" s="580">
        <v>2023.7</v>
      </c>
      <c r="P1495" s="807" t="str">
        <f>VLOOKUP(A1495,'[1]Raw data'!$B:$BA,23,FALSE)</f>
        <v>JPY</v>
      </c>
      <c r="Q1495" s="808" t="str">
        <f>VLOOKUP(A1495,'[1]Raw data'!$B:$Z,2,FALSE)</f>
        <v>C49SZX20230111SX</v>
      </c>
      <c r="R1495" s="808" t="str">
        <f>VLOOKUP(A1495,'[1]Raw data'!$B:$Z,3,FALSE)</f>
        <v>兴开泰（end user:兴连）</v>
      </c>
      <c r="S1495" s="715" t="str">
        <f>VLOOKUP(A1495,'[1]Raw data'!$B:$Z,4,FALSE)</f>
        <v>YSM10</v>
      </c>
      <c r="T1495" s="715" t="str">
        <f>VLOOKUP(A1495,'[1]Raw data'!$B:$Z,8,FALSE)</f>
        <v>L-&gt;R</v>
      </c>
      <c r="U1495" s="715" t="str">
        <f>VLOOKUP(A1495,'[1]Raw data'!$B:$Z,9,FALSE)</f>
        <v>MVC</v>
      </c>
      <c r="V1495" s="714" t="str">
        <f t="shared" si="340"/>
        <v>WRONG</v>
      </c>
      <c r="W1495" s="806" t="str">
        <f>VLOOKUP(A1495,'[1]Raw data'!$B:$AG,32,FALSE)</f>
        <v>DAP DG</v>
      </c>
      <c r="X1495" s="805">
        <f>VLOOKUP(A1495,'[1]Raw data'!$B:$BA,31,FALSE)</f>
        <v>45237</v>
      </c>
      <c r="Y1495" s="715" t="str">
        <f>VLOOKUP(A1495,'[1]Raw data'!$B:$AS,39,FALSE)</f>
        <v>Yes</v>
      </c>
      <c r="Z1495" s="664"/>
      <c r="AA1495" s="665"/>
      <c r="AB1495" s="666"/>
      <c r="AC1495" s="715"/>
      <c r="AD1495" s="667">
        <v>301</v>
      </c>
      <c r="AE1495" s="667">
        <v>10</v>
      </c>
      <c r="AF1495" s="667"/>
      <c r="AG1495" s="667"/>
      <c r="AH1495" s="667"/>
      <c r="AI1495" s="668"/>
      <c r="AN1495" s="547"/>
      <c r="AO1495" s="829" t="str">
        <f t="shared" si="341"/>
        <v>Yes</v>
      </c>
      <c r="AP1495" s="259" t="str">
        <f t="shared" si="342"/>
        <v>JAN 24</v>
      </c>
      <c r="AQ1495" s="547" t="str">
        <f t="shared" si="343"/>
        <v>有定金+有預留客戶</v>
      </c>
      <c r="AR1495" s="259" t="str">
        <f t="shared" si="344"/>
        <v>Shipped_Stock</v>
      </c>
      <c r="AS1495" s="259" t="str">
        <f t="shared" si="345"/>
        <v/>
      </c>
      <c r="AT1495" s="259" t="str">
        <f t="shared" si="346"/>
        <v>兴开泰（end user:兴连）</v>
      </c>
      <c r="AU1495" s="259" t="str">
        <f t="shared" si="347"/>
        <v>C49SZX20230111SX</v>
      </c>
      <c r="AV1495" s="259" t="str">
        <f t="shared" si="348"/>
        <v>Aug-14</v>
      </c>
    </row>
    <row r="1496" spans="1:48" ht="16.5" hidden="1">
      <c r="A1496" s="564">
        <v>2012</v>
      </c>
      <c r="B1496" s="802" t="s">
        <v>1125</v>
      </c>
      <c r="C1496" s="802" t="s">
        <v>281</v>
      </c>
      <c r="D1496" s="803" t="s">
        <v>4088</v>
      </c>
      <c r="E1496" s="804" t="s">
        <v>236</v>
      </c>
      <c r="F1496" s="715" t="s">
        <v>17</v>
      </c>
      <c r="G1496" s="715" t="s">
        <v>18</v>
      </c>
      <c r="H1496" s="715" t="s">
        <v>26</v>
      </c>
      <c r="I1496" s="667" t="s">
        <v>4352</v>
      </c>
      <c r="J1496" s="667">
        <v>1</v>
      </c>
      <c r="K1496" s="715" t="s">
        <v>1732</v>
      </c>
      <c r="L1496" s="805">
        <v>45152</v>
      </c>
      <c r="M1496" s="722">
        <v>5.0799999999999998E-2</v>
      </c>
      <c r="N1496" s="652" t="s">
        <v>4375</v>
      </c>
      <c r="O1496" s="580">
        <v>2023.7</v>
      </c>
      <c r="P1496" s="807" t="str">
        <f>VLOOKUP(A1496,'[1]Raw data'!$B:$BA,23,FALSE)</f>
        <v>JPY</v>
      </c>
      <c r="Q1496" s="808" t="str">
        <f>VLOOKUP(A1496,'[1]Raw data'!$B:$Z,2,FALSE)</f>
        <v>C49SZX20230111SX</v>
      </c>
      <c r="R1496" s="808" t="str">
        <f>VLOOKUP(A1496,'[1]Raw data'!$B:$Z,3,FALSE)</f>
        <v>兴开泰（end user:兴连）</v>
      </c>
      <c r="S1496" s="715" t="str">
        <f>VLOOKUP(A1496,'[1]Raw data'!$B:$Z,4,FALSE)</f>
        <v>YSM10</v>
      </c>
      <c r="T1496" s="715" t="str">
        <f>VLOOKUP(A1496,'[1]Raw data'!$B:$Z,8,FALSE)</f>
        <v>L-&gt;R</v>
      </c>
      <c r="U1496" s="715" t="str">
        <f>VLOOKUP(A1496,'[1]Raw data'!$B:$Z,9,FALSE)</f>
        <v>MVC</v>
      </c>
      <c r="V1496" s="714" t="str">
        <f t="shared" si="340"/>
        <v>WRONG</v>
      </c>
      <c r="W1496" s="806" t="str">
        <f>VLOOKUP(A1496,'[1]Raw data'!$B:$AG,32,FALSE)</f>
        <v>DAP DG</v>
      </c>
      <c r="X1496" s="805">
        <f>VLOOKUP(A1496,'[1]Raw data'!$B:$BA,31,FALSE)</f>
        <v>45237</v>
      </c>
      <c r="Y1496" s="715" t="str">
        <f>VLOOKUP(A1496,'[1]Raw data'!$B:$AS,39,FALSE)</f>
        <v>Yes</v>
      </c>
      <c r="Z1496" s="664"/>
      <c r="AA1496" s="665"/>
      <c r="AB1496" s="666"/>
      <c r="AC1496" s="715"/>
      <c r="AD1496" s="667">
        <v>301</v>
      </c>
      <c r="AE1496" s="667">
        <v>10</v>
      </c>
      <c r="AF1496" s="667"/>
      <c r="AG1496" s="667"/>
      <c r="AH1496" s="667"/>
      <c r="AI1496" s="668"/>
      <c r="AN1496" s="547"/>
      <c r="AO1496" s="829" t="str">
        <f t="shared" si="341"/>
        <v>Yes</v>
      </c>
      <c r="AP1496" s="259" t="str">
        <f t="shared" si="342"/>
        <v>JAN 24</v>
      </c>
      <c r="AQ1496" s="547" t="str">
        <f t="shared" si="343"/>
        <v>有定金+有預留客戶</v>
      </c>
      <c r="AR1496" s="259" t="str">
        <f t="shared" si="344"/>
        <v>Shipped_Stock</v>
      </c>
      <c r="AS1496" s="259" t="str">
        <f t="shared" si="345"/>
        <v/>
      </c>
      <c r="AT1496" s="259" t="str">
        <f t="shared" si="346"/>
        <v>兴开泰（end user:兴连）</v>
      </c>
      <c r="AU1496" s="259" t="str">
        <f t="shared" si="347"/>
        <v>C49SZX20230111SX</v>
      </c>
      <c r="AV1496" s="259" t="str">
        <f t="shared" si="348"/>
        <v>Aug-14</v>
      </c>
    </row>
    <row r="1497" spans="1:48" hidden="1">
      <c r="A1497" s="564">
        <v>2013</v>
      </c>
      <c r="B1497" s="802" t="s">
        <v>1125</v>
      </c>
      <c r="C1497" s="802" t="s">
        <v>281</v>
      </c>
      <c r="D1497" s="803" t="s">
        <v>4088</v>
      </c>
      <c r="E1497" s="804" t="s">
        <v>236</v>
      </c>
      <c r="F1497" s="715" t="s">
        <v>17</v>
      </c>
      <c r="G1497" s="715" t="s">
        <v>18</v>
      </c>
      <c r="H1497" s="715" t="s">
        <v>26</v>
      </c>
      <c r="I1497" s="667" t="s">
        <v>4116</v>
      </c>
      <c r="J1497" s="667">
        <v>1</v>
      </c>
      <c r="K1497" s="715" t="s">
        <v>1732</v>
      </c>
      <c r="L1497" s="805">
        <v>45152</v>
      </c>
      <c r="M1497" s="722">
        <v>5.0799999999999998E-2</v>
      </c>
      <c r="N1497" s="652" t="s">
        <v>4375</v>
      </c>
      <c r="O1497" s="580">
        <v>2023.7</v>
      </c>
      <c r="P1497" s="807" t="str">
        <f>VLOOKUP(A1497,'[1]Raw data'!$B:$BA,23,FALSE)</f>
        <v>JPY</v>
      </c>
      <c r="Q1497" s="808" t="str">
        <f>VLOOKUP(A1497,'[1]Raw data'!$B:$Z,2,FALSE)</f>
        <v>C49SZX20230111SX</v>
      </c>
      <c r="R1497" s="808" t="str">
        <f>VLOOKUP(A1497,'[1]Raw data'!$B:$Z,3,FALSE)</f>
        <v>兴开泰（end user:兴连）</v>
      </c>
      <c r="S1497" s="715" t="str">
        <f>VLOOKUP(A1497,'[1]Raw data'!$B:$Z,4,FALSE)</f>
        <v>YSM10</v>
      </c>
      <c r="T1497" s="715" t="str">
        <f>VLOOKUP(A1497,'[1]Raw data'!$B:$Z,8,FALSE)</f>
        <v>L-&gt;R</v>
      </c>
      <c r="U1497" s="715" t="str">
        <f>VLOOKUP(A1497,'[1]Raw data'!$B:$Z,9,FALSE)</f>
        <v>MVC</v>
      </c>
      <c r="V1497" s="714" t="str">
        <f t="shared" si="340"/>
        <v>WRONG</v>
      </c>
      <c r="W1497" s="806" t="str">
        <f>VLOOKUP(A1497,'[1]Raw data'!$B:$AG,32,FALSE)</f>
        <v>DAP DG</v>
      </c>
      <c r="X1497" s="805">
        <f>VLOOKUP(A1497,'[1]Raw data'!$B:$BA,31,FALSE)</f>
        <v>45237</v>
      </c>
      <c r="Y1497" s="715" t="str">
        <f>VLOOKUP(A1497,'[1]Raw data'!$B:$AS,39,FALSE)</f>
        <v>Yes</v>
      </c>
      <c r="Z1497" s="664"/>
      <c r="AA1497" s="665"/>
      <c r="AB1497" s="666"/>
      <c r="AC1497" s="715"/>
      <c r="AD1497" s="667">
        <v>301</v>
      </c>
      <c r="AE1497" s="667">
        <v>10</v>
      </c>
      <c r="AF1497" s="667"/>
      <c r="AG1497" s="667"/>
      <c r="AH1497" s="667"/>
      <c r="AI1497" s="668"/>
      <c r="AN1497" s="547"/>
      <c r="AO1497" s="829" t="str">
        <f t="shared" si="341"/>
        <v>Yes</v>
      </c>
      <c r="AP1497" s="259" t="str">
        <f t="shared" si="342"/>
        <v>JAN 24</v>
      </c>
      <c r="AQ1497" s="547" t="str">
        <f t="shared" si="343"/>
        <v>有定金+有預留客戶</v>
      </c>
      <c r="AR1497" s="259" t="str">
        <f t="shared" si="344"/>
        <v>Shipped_Stock</v>
      </c>
      <c r="AS1497" s="259" t="str">
        <f t="shared" si="345"/>
        <v/>
      </c>
      <c r="AT1497" s="259" t="str">
        <f t="shared" si="346"/>
        <v>兴开泰（end user:兴连）</v>
      </c>
      <c r="AU1497" s="259" t="str">
        <f t="shared" si="347"/>
        <v>C49SZX20230111SX</v>
      </c>
      <c r="AV1497" s="259" t="str">
        <f t="shared" si="348"/>
        <v>Aug-14</v>
      </c>
    </row>
    <row r="1498" spans="1:48" hidden="1">
      <c r="A1498" s="564">
        <v>2014</v>
      </c>
      <c r="B1498" s="802" t="s">
        <v>1125</v>
      </c>
      <c r="C1498" s="802" t="s">
        <v>281</v>
      </c>
      <c r="D1498" s="803">
        <v>111309</v>
      </c>
      <c r="E1498" s="804" t="s">
        <v>236</v>
      </c>
      <c r="F1498" s="715" t="s">
        <v>17</v>
      </c>
      <c r="G1498" s="715" t="s">
        <v>18</v>
      </c>
      <c r="H1498" s="715" t="s">
        <v>26</v>
      </c>
      <c r="I1498" s="667" t="s">
        <v>4117</v>
      </c>
      <c r="J1498" s="667">
        <v>1</v>
      </c>
      <c r="K1498" s="715" t="s">
        <v>1732</v>
      </c>
      <c r="L1498" s="805">
        <v>45152</v>
      </c>
      <c r="M1498" s="722">
        <v>5.0500000000000003E-2</v>
      </c>
      <c r="N1498" s="652" t="s">
        <v>4375</v>
      </c>
      <c r="O1498" s="580">
        <v>2023.7</v>
      </c>
      <c r="P1498" s="807" t="str">
        <f>VLOOKUP(A1498,'[1]Raw data'!$B:$BA,23,FALSE)</f>
        <v>JPY</v>
      </c>
      <c r="Q1498" s="808" t="str">
        <f>VLOOKUP(A1498,'[1]Raw data'!$B:$Z,2,FALSE)</f>
        <v>C49SZX20230111SX</v>
      </c>
      <c r="R1498" s="808" t="str">
        <f>VLOOKUP(A1498,'[1]Raw data'!$B:$Z,3,FALSE)</f>
        <v>兴开泰（end user:兴连）</v>
      </c>
      <c r="S1498" s="715" t="str">
        <f>VLOOKUP(A1498,'[1]Raw data'!$B:$Z,4,FALSE)</f>
        <v>YSM10</v>
      </c>
      <c r="T1498" s="715" t="str">
        <f>VLOOKUP(A1498,'[1]Raw data'!$B:$Z,8,FALSE)</f>
        <v>R-&gt;L</v>
      </c>
      <c r="U1498" s="715" t="str">
        <f>VLOOKUP(A1498,'[1]Raw data'!$B:$Z,9,FALSE)</f>
        <v>MVC</v>
      </c>
      <c r="V1498" s="714" t="str">
        <f t="shared" si="340"/>
        <v>WRONG</v>
      </c>
      <c r="W1498" s="806" t="str">
        <f>VLOOKUP(A1498,'[1]Raw data'!$B:$AG,32,FALSE)</f>
        <v>DAP DG</v>
      </c>
      <c r="X1498" s="805">
        <f>VLOOKUP(A1498,'[1]Raw data'!$B:$BA,31,FALSE)</f>
        <v>45237</v>
      </c>
      <c r="Y1498" s="715" t="str">
        <f>VLOOKUP(A1498,'[1]Raw data'!$B:$AS,39,FALSE)</f>
        <v>Yes</v>
      </c>
      <c r="Z1498" s="664"/>
      <c r="AA1498" s="665"/>
      <c r="AB1498" s="666"/>
      <c r="AC1498" s="715"/>
      <c r="AD1498" s="667">
        <v>301</v>
      </c>
      <c r="AE1498" s="667">
        <v>10</v>
      </c>
      <c r="AF1498" s="667"/>
      <c r="AG1498" s="667"/>
      <c r="AH1498" s="667"/>
      <c r="AI1498" s="668"/>
      <c r="AN1498" s="547"/>
      <c r="AO1498" s="829" t="str">
        <f t="shared" si="341"/>
        <v>Yes</v>
      </c>
      <c r="AP1498" s="259" t="str">
        <f t="shared" si="342"/>
        <v>JAN 24</v>
      </c>
      <c r="AQ1498" s="547" t="str">
        <f t="shared" si="343"/>
        <v>有定金+有預留客戶</v>
      </c>
      <c r="AR1498" s="259" t="str">
        <f t="shared" si="344"/>
        <v>Shipped_Stock</v>
      </c>
      <c r="AS1498" s="259" t="str">
        <f t="shared" si="345"/>
        <v/>
      </c>
      <c r="AT1498" s="259" t="str">
        <f t="shared" si="346"/>
        <v>兴开泰（end user:兴连）</v>
      </c>
      <c r="AU1498" s="259" t="str">
        <f t="shared" si="347"/>
        <v>C49SZX20230111SX</v>
      </c>
      <c r="AV1498" s="259" t="str">
        <f t="shared" si="348"/>
        <v>Aug-14</v>
      </c>
    </row>
    <row r="1499" spans="1:48" hidden="1">
      <c r="A1499" s="564">
        <v>2015</v>
      </c>
      <c r="B1499" s="802" t="s">
        <v>1125</v>
      </c>
      <c r="C1499" s="802" t="s">
        <v>281</v>
      </c>
      <c r="D1499" s="803">
        <v>111309</v>
      </c>
      <c r="E1499" s="804" t="s">
        <v>236</v>
      </c>
      <c r="F1499" s="715" t="s">
        <v>17</v>
      </c>
      <c r="G1499" s="715" t="s">
        <v>18</v>
      </c>
      <c r="H1499" s="715" t="s">
        <v>26</v>
      </c>
      <c r="I1499" s="667" t="s">
        <v>4118</v>
      </c>
      <c r="J1499" s="667">
        <v>1</v>
      </c>
      <c r="K1499" s="715" t="s">
        <v>1732</v>
      </c>
      <c r="L1499" s="805">
        <v>45152</v>
      </c>
      <c r="M1499" s="722">
        <v>5.0500000000000003E-2</v>
      </c>
      <c r="N1499" s="652" t="s">
        <v>4375</v>
      </c>
      <c r="O1499" s="580">
        <v>2023.7</v>
      </c>
      <c r="P1499" s="807" t="str">
        <f>VLOOKUP(A1499,'[1]Raw data'!$B:$BA,23,FALSE)</f>
        <v>JPY</v>
      </c>
      <c r="Q1499" s="808" t="str">
        <f>VLOOKUP(A1499,'[1]Raw data'!$B:$Z,2,FALSE)</f>
        <v>C49SZX20230111SX</v>
      </c>
      <c r="R1499" s="808" t="str">
        <f>VLOOKUP(A1499,'[1]Raw data'!$B:$Z,3,FALSE)</f>
        <v>兴开泰（end user:兴连）</v>
      </c>
      <c r="S1499" s="715" t="str">
        <f>VLOOKUP(A1499,'[1]Raw data'!$B:$Z,4,FALSE)</f>
        <v>YSM10</v>
      </c>
      <c r="T1499" s="715" t="str">
        <f>VLOOKUP(A1499,'[1]Raw data'!$B:$Z,8,FALSE)</f>
        <v>R-&gt;L</v>
      </c>
      <c r="U1499" s="715" t="str">
        <f>VLOOKUP(A1499,'[1]Raw data'!$B:$Z,9,FALSE)</f>
        <v>MVC</v>
      </c>
      <c r="V1499" s="714" t="str">
        <f t="shared" si="340"/>
        <v>WRONG</v>
      </c>
      <c r="W1499" s="806" t="str">
        <f>VLOOKUP(A1499,'[1]Raw data'!$B:$AG,32,FALSE)</f>
        <v>DAP DG</v>
      </c>
      <c r="X1499" s="805">
        <f>VLOOKUP(A1499,'[1]Raw data'!$B:$BA,31,FALSE)</f>
        <v>45237</v>
      </c>
      <c r="Y1499" s="715" t="str">
        <f>VLOOKUP(A1499,'[1]Raw data'!$B:$AS,39,FALSE)</f>
        <v>Yes</v>
      </c>
      <c r="Z1499" s="664"/>
      <c r="AA1499" s="665"/>
      <c r="AB1499" s="666"/>
      <c r="AC1499" s="715"/>
      <c r="AD1499" s="667">
        <v>301</v>
      </c>
      <c r="AE1499" s="667">
        <v>10</v>
      </c>
      <c r="AF1499" s="667"/>
      <c r="AG1499" s="667"/>
      <c r="AH1499" s="667"/>
      <c r="AI1499" s="668"/>
      <c r="AN1499" s="547"/>
      <c r="AO1499" s="829" t="str">
        <f t="shared" si="341"/>
        <v>Yes</v>
      </c>
      <c r="AP1499" s="259" t="str">
        <f t="shared" si="342"/>
        <v>JAN 24</v>
      </c>
      <c r="AQ1499" s="547" t="str">
        <f t="shared" si="343"/>
        <v>有定金+有預留客戶</v>
      </c>
      <c r="AR1499" s="259" t="str">
        <f t="shared" si="344"/>
        <v>Shipped_Stock</v>
      </c>
      <c r="AS1499" s="259" t="str">
        <f t="shared" si="345"/>
        <v/>
      </c>
      <c r="AT1499" s="259" t="str">
        <f t="shared" si="346"/>
        <v>兴开泰（end user:兴连）</v>
      </c>
      <c r="AU1499" s="259" t="str">
        <f t="shared" si="347"/>
        <v>C49SZX20230111SX</v>
      </c>
      <c r="AV1499" s="259" t="str">
        <f t="shared" si="348"/>
        <v>Aug-14</v>
      </c>
    </row>
    <row r="1500" spans="1:48" hidden="1">
      <c r="A1500" s="564">
        <v>2016</v>
      </c>
      <c r="B1500" s="802" t="s">
        <v>1125</v>
      </c>
      <c r="C1500" s="802" t="s">
        <v>281</v>
      </c>
      <c r="D1500" s="803">
        <v>111309</v>
      </c>
      <c r="E1500" s="804" t="s">
        <v>236</v>
      </c>
      <c r="F1500" s="715" t="s">
        <v>17</v>
      </c>
      <c r="G1500" s="715" t="s">
        <v>18</v>
      </c>
      <c r="H1500" s="715" t="s">
        <v>4479</v>
      </c>
      <c r="I1500" s="667" t="s">
        <v>4119</v>
      </c>
      <c r="J1500" s="667">
        <v>1</v>
      </c>
      <c r="K1500" s="715" t="s">
        <v>1732</v>
      </c>
      <c r="L1500" s="805">
        <v>45152</v>
      </c>
      <c r="M1500" s="722">
        <v>5.0500000000000003E-2</v>
      </c>
      <c r="N1500" s="652" t="s">
        <v>4375</v>
      </c>
      <c r="O1500" s="580">
        <v>2023.7</v>
      </c>
      <c r="P1500" s="807" t="str">
        <f>VLOOKUP(A1500,'[1]Raw data'!$B:$BA,23,FALSE)</f>
        <v>JPY</v>
      </c>
      <c r="Q1500" s="808" t="str">
        <f>VLOOKUP(A1500,'[1]Raw data'!$B:$Z,2,FALSE)</f>
        <v>C49SZX20230111SX</v>
      </c>
      <c r="R1500" s="808" t="str">
        <f>VLOOKUP(A1500,'[1]Raw data'!$B:$Z,3,FALSE)</f>
        <v>兴开泰（end user:兴连）</v>
      </c>
      <c r="S1500" s="715" t="str">
        <f>VLOOKUP(A1500,'[1]Raw data'!$B:$Z,4,FALSE)</f>
        <v>YSM10</v>
      </c>
      <c r="T1500" s="715" t="str">
        <f>VLOOKUP(A1500,'[1]Raw data'!$B:$Z,8,FALSE)</f>
        <v>R-&gt;L</v>
      </c>
      <c r="U1500" s="715" t="str">
        <f>VLOOKUP(A1500,'[1]Raw data'!$B:$Z,9,FALSE)</f>
        <v>MVC</v>
      </c>
      <c r="V1500" s="714" t="str">
        <f t="shared" si="340"/>
        <v>WRONG</v>
      </c>
      <c r="W1500" s="806" t="str">
        <f>VLOOKUP(A1500,'[1]Raw data'!$B:$AG,32,FALSE)</f>
        <v>DAP DG</v>
      </c>
      <c r="X1500" s="805">
        <f>VLOOKUP(A1500,'[1]Raw data'!$B:$BA,31,FALSE)</f>
        <v>45237</v>
      </c>
      <c r="Y1500" s="715" t="str">
        <f>VLOOKUP(A1500,'[1]Raw data'!$B:$AS,39,FALSE)</f>
        <v>Yes</v>
      </c>
      <c r="Z1500" s="664"/>
      <c r="AA1500" s="665"/>
      <c r="AB1500" s="666"/>
      <c r="AC1500" s="715"/>
      <c r="AD1500" s="667">
        <v>301</v>
      </c>
      <c r="AE1500" s="667">
        <v>10</v>
      </c>
      <c r="AF1500" s="667"/>
      <c r="AG1500" s="667"/>
      <c r="AH1500" s="667"/>
      <c r="AI1500" s="668"/>
      <c r="AN1500" s="547"/>
      <c r="AO1500" s="829" t="str">
        <f t="shared" si="341"/>
        <v>Yes</v>
      </c>
      <c r="AP1500" s="259" t="str">
        <f t="shared" si="342"/>
        <v>JAN 24</v>
      </c>
      <c r="AQ1500" s="547" t="str">
        <f t="shared" si="343"/>
        <v>有定金+有預留客戶</v>
      </c>
      <c r="AR1500" s="259" t="str">
        <f t="shared" si="344"/>
        <v>Shipped_Stock</v>
      </c>
      <c r="AS1500" s="259" t="str">
        <f t="shared" si="345"/>
        <v/>
      </c>
      <c r="AT1500" s="259" t="str">
        <f t="shared" si="346"/>
        <v>兴开泰（end user:兴连）</v>
      </c>
      <c r="AU1500" s="259" t="str">
        <f t="shared" si="347"/>
        <v>C49SZX20230111SX</v>
      </c>
      <c r="AV1500" s="259" t="str">
        <f t="shared" si="348"/>
        <v>Aug-14</v>
      </c>
    </row>
    <row r="1501" spans="1:48" hidden="1">
      <c r="A1501" s="564">
        <v>2019</v>
      </c>
      <c r="B1501" s="669" t="s">
        <v>1125</v>
      </c>
      <c r="C1501" s="669" t="s">
        <v>281</v>
      </c>
      <c r="D1501" s="650">
        <v>111309</v>
      </c>
      <c r="E1501" s="749" t="s">
        <v>236</v>
      </c>
      <c r="F1501" s="652" t="s">
        <v>17</v>
      </c>
      <c r="G1501" s="652" t="s">
        <v>18</v>
      </c>
      <c r="H1501" s="652" t="s">
        <v>19</v>
      </c>
      <c r="I1501" s="580" t="s">
        <v>4120</v>
      </c>
      <c r="J1501" s="580">
        <v>1</v>
      </c>
      <c r="K1501" s="652" t="s">
        <v>1732</v>
      </c>
      <c r="L1501" s="662">
        <v>45152</v>
      </c>
      <c r="M1501" s="670">
        <v>5.0500000000000003E-2</v>
      </c>
      <c r="N1501" s="652" t="s">
        <v>4344</v>
      </c>
      <c r="O1501" s="580">
        <v>2023.7</v>
      </c>
      <c r="P1501" s="670" t="str">
        <f>VLOOKUP(A1501,'[1]Raw data'!$B:$BA,23,FALSE)</f>
        <v>JPY</v>
      </c>
      <c r="Q1501" s="652" t="str">
        <f>VLOOKUP(A1501,'[1]Raw data'!$B:$Z,2,FALSE)</f>
        <v>C49SZX20230123SX</v>
      </c>
      <c r="R1501" s="652" t="str">
        <f>VLOOKUP(A1501,'[1]Raw data'!$B:$Z,3,FALSE)</f>
        <v>永顺创</v>
      </c>
      <c r="S1501" s="652" t="str">
        <f>VLOOKUP(A1501,'[1]Raw data'!$B:$Z,4,FALSE)</f>
        <v>YSM10</v>
      </c>
      <c r="T1501" s="652" t="str">
        <f>VLOOKUP(A1501,'[1]Raw data'!$B:$Z,8,FALSE)</f>
        <v>L-&gt;R</v>
      </c>
      <c r="U1501" s="652" t="str">
        <f>VLOOKUP(A1501,'[1]Raw data'!$B:$Z,9,FALSE)</f>
        <v>MVC+ATS15</v>
      </c>
      <c r="V1501" s="572" t="str">
        <f t="shared" si="340"/>
        <v>WRONG</v>
      </c>
      <c r="W1501" s="568" t="str">
        <f>VLOOKUP(A1501,'[1]Raw data'!$B:$AG,32,FALSE)</f>
        <v>DAP SZ</v>
      </c>
      <c r="X1501" s="662">
        <f>VLOOKUP(A1501,'[1]Raw data'!$B:$BA,31,FALSE)</f>
        <v>45240</v>
      </c>
      <c r="Y1501" s="652" t="str">
        <f>VLOOKUP(A1501,'[1]Raw data'!$B:$AS,39,FALSE)</f>
        <v>Yes</v>
      </c>
      <c r="Z1501" s="664"/>
      <c r="AA1501" s="665"/>
      <c r="AB1501" s="666"/>
      <c r="AC1501" s="652" t="s">
        <v>4410</v>
      </c>
      <c r="AD1501" s="667">
        <v>301</v>
      </c>
      <c r="AE1501" s="667">
        <v>10</v>
      </c>
      <c r="AF1501" s="667"/>
      <c r="AG1501" s="667"/>
      <c r="AH1501" s="667"/>
      <c r="AI1501" s="668"/>
      <c r="AN1501" s="547"/>
      <c r="AO1501" s="829" t="str">
        <f t="shared" si="341"/>
        <v>Yes</v>
      </c>
      <c r="AP1501" s="259" t="str">
        <f t="shared" si="342"/>
        <v>NOV 23</v>
      </c>
      <c r="AQ1501" s="547" t="str">
        <f t="shared" si="343"/>
        <v>有定金+有預留客戶</v>
      </c>
      <c r="AR1501" s="259" t="str">
        <f t="shared" si="344"/>
        <v>Shipped_Stock</v>
      </c>
      <c r="AS1501" s="259" t="str">
        <f t="shared" si="345"/>
        <v/>
      </c>
      <c r="AT1501" s="259" t="str">
        <f t="shared" si="346"/>
        <v>永顺创</v>
      </c>
      <c r="AU1501" s="259" t="str">
        <f t="shared" si="347"/>
        <v>C49SZX20230123SX</v>
      </c>
      <c r="AV1501" s="259" t="str">
        <f t="shared" si="348"/>
        <v>Aug-14</v>
      </c>
    </row>
    <row r="1502" spans="1:48" hidden="1">
      <c r="A1502" s="564">
        <v>2022</v>
      </c>
      <c r="B1502" s="669" t="s">
        <v>1125</v>
      </c>
      <c r="C1502" s="669" t="s">
        <v>281</v>
      </c>
      <c r="D1502" s="650">
        <v>111309</v>
      </c>
      <c r="E1502" s="749" t="s">
        <v>236</v>
      </c>
      <c r="F1502" s="652" t="s">
        <v>17</v>
      </c>
      <c r="G1502" s="652" t="s">
        <v>18</v>
      </c>
      <c r="H1502" s="652" t="s">
        <v>19</v>
      </c>
      <c r="I1502" s="580" t="s">
        <v>4121</v>
      </c>
      <c r="J1502" s="580">
        <v>1</v>
      </c>
      <c r="K1502" s="652" t="s">
        <v>2407</v>
      </c>
      <c r="L1502" s="662">
        <v>45152</v>
      </c>
      <c r="M1502" s="670">
        <v>5.0500000000000003E-2</v>
      </c>
      <c r="N1502" s="652" t="s">
        <v>4404</v>
      </c>
      <c r="O1502" s="580">
        <v>2023.7</v>
      </c>
      <c r="P1502" s="670" t="str">
        <f>VLOOKUP(A1502,'[1]Raw data'!$B:$BA,23,FALSE)</f>
        <v>RMB</v>
      </c>
      <c r="Q1502" s="652" t="str">
        <f>VLOOKUP(A1502,'[1]Raw data'!$B:$Z,2,FALSE)</f>
        <v>C49SZX20230129JL/HJD23110851</v>
      </c>
      <c r="R1502" s="652" t="str">
        <f>VLOOKUP(A1502,'[1]Raw data'!$B:$Z,3,FALSE)</f>
        <v>皓吉达</v>
      </c>
      <c r="S1502" s="652" t="str">
        <f>VLOOKUP(A1502,'[1]Raw data'!$B:$Z,4,FALSE)</f>
        <v>YSM10</v>
      </c>
      <c r="T1502" s="652" t="str">
        <f>VLOOKUP(A1502,'[1]Raw data'!$B:$Z,8,FALSE)</f>
        <v>L-&gt;R</v>
      </c>
      <c r="U1502" s="652" t="str">
        <f>VLOOKUP(A1502,'[1]Raw data'!$B:$Z,9,FALSE)</f>
        <v>ATS15</v>
      </c>
      <c r="V1502" s="572" t="str">
        <f t="shared" si="340"/>
        <v>WRONG</v>
      </c>
      <c r="W1502" s="568" t="str">
        <f>VLOOKUP(A1502,'[1]Raw data'!$B:$AG,32,FALSE)</f>
        <v>DDP HY</v>
      </c>
      <c r="X1502" s="662">
        <f>VLOOKUP(A1502,'[1]Raw data'!$B:$BA,31,FALSE)</f>
        <v>45250</v>
      </c>
      <c r="Y1502" s="652" t="str">
        <f>VLOOKUP(A1502,'[1]Raw data'!$B:$AS,39,FALSE)</f>
        <v>Yes</v>
      </c>
      <c r="Z1502" s="664"/>
      <c r="AA1502" s="665"/>
      <c r="AB1502" s="666"/>
      <c r="AC1502" s="652" t="s">
        <v>4022</v>
      </c>
      <c r="AD1502" s="667">
        <v>301</v>
      </c>
      <c r="AE1502" s="667">
        <v>10</v>
      </c>
      <c r="AF1502" s="667"/>
      <c r="AG1502" s="667"/>
      <c r="AH1502" s="667"/>
      <c r="AI1502" s="668"/>
      <c r="AN1502" s="547"/>
      <c r="AO1502" s="829" t="str">
        <f t="shared" si="341"/>
        <v>Yes</v>
      </c>
      <c r="AP1502" s="259" t="str">
        <f t="shared" si="342"/>
        <v>DEC 23</v>
      </c>
      <c r="AQ1502" s="547" t="str">
        <f t="shared" si="343"/>
        <v>有定金+有預留客戶</v>
      </c>
      <c r="AR1502" s="259" t="str">
        <f t="shared" si="344"/>
        <v>Shipped_Stock</v>
      </c>
      <c r="AS1502" s="259" t="str">
        <f t="shared" si="345"/>
        <v/>
      </c>
      <c r="AT1502" s="259" t="str">
        <f t="shared" si="346"/>
        <v>皓吉达</v>
      </c>
      <c r="AU1502" s="259" t="str">
        <f t="shared" si="347"/>
        <v>C49SZX20230129JL/HJD23110851</v>
      </c>
      <c r="AV1502" s="259" t="str">
        <f t="shared" si="348"/>
        <v>Aug-14</v>
      </c>
    </row>
    <row r="1503" spans="1:48" hidden="1">
      <c r="A1503" s="564">
        <v>2045</v>
      </c>
      <c r="B1503" s="669" t="s">
        <v>1125</v>
      </c>
      <c r="C1503" s="669" t="s">
        <v>281</v>
      </c>
      <c r="D1503" s="650">
        <v>111342</v>
      </c>
      <c r="E1503" s="749" t="s">
        <v>236</v>
      </c>
      <c r="F1503" s="652" t="s">
        <v>58</v>
      </c>
      <c r="G1503" s="652" t="s">
        <v>24</v>
      </c>
      <c r="H1503" s="652" t="s">
        <v>26</v>
      </c>
      <c r="I1503" s="580" t="s">
        <v>4157</v>
      </c>
      <c r="J1503" s="580">
        <v>1</v>
      </c>
      <c r="K1503" s="652" t="s">
        <v>1732</v>
      </c>
      <c r="L1503" s="662">
        <v>45175</v>
      </c>
      <c r="M1503" s="670">
        <v>5.0500000000000003E-2</v>
      </c>
      <c r="N1503" s="652" t="s">
        <v>4375</v>
      </c>
      <c r="O1503" s="580">
        <v>2023.8</v>
      </c>
      <c r="P1503" s="670" t="str">
        <f>VLOOKUP(A1503,'[1]Raw data'!$B:$BA,23,FALSE)</f>
        <v>JPY</v>
      </c>
      <c r="Q1503" s="652" t="str">
        <f>VLOOKUP(A1503,'[1]Raw data'!$B:$Z,2,FALSE)</f>
        <v>C49SZX20230142MZ</v>
      </c>
      <c r="R1503" s="652" t="str">
        <f>VLOOKUP(A1503,'[1]Raw data'!$B:$Z,3,FALSE)</f>
        <v>朗格邦定</v>
      </c>
      <c r="S1503" s="652" t="str">
        <f>VLOOKUP(A1503,'[1]Raw data'!$B:$Z,4,FALSE)</f>
        <v>YSM20R-2</v>
      </c>
      <c r="T1503" s="652" t="str">
        <f>VLOOKUP(A1503,'[1]Raw data'!$B:$Z,8,FALSE)</f>
        <v>L-&gt;R</v>
      </c>
      <c r="U1503" s="652" t="str">
        <f>VLOOKUP(A1503,'[1]Raw data'!$B:$Z,9,FALSE)</f>
        <v>No</v>
      </c>
      <c r="V1503" s="572" t="str">
        <f t="shared" ref="V1503:V1507" si="350">IF(G1503&amp;H1503=T1503&amp;U1503,"OK","WRONG")</f>
        <v>OK</v>
      </c>
      <c r="W1503" s="568" t="str">
        <f>VLOOKUP(A1503,'[1]Raw data'!$B:$AG,32,FALSE)</f>
        <v>DAP SZ</v>
      </c>
      <c r="X1503" s="662">
        <f>VLOOKUP(A1503,'[1]Raw data'!$B:$BA,31,FALSE)</f>
        <v>45271</v>
      </c>
      <c r="Y1503" s="652" t="str">
        <f>VLOOKUP(A1503,'[1]Raw data'!$B:$AS,39,FALSE)</f>
        <v>Yes</v>
      </c>
      <c r="Z1503" s="664"/>
      <c r="AA1503" s="665"/>
      <c r="AB1503" s="666"/>
      <c r="AC1503" s="652" t="s">
        <v>4554</v>
      </c>
      <c r="AD1503" s="667">
        <v>301</v>
      </c>
      <c r="AE1503" s="667">
        <v>10</v>
      </c>
      <c r="AF1503" s="667">
        <v>302</v>
      </c>
      <c r="AG1503" s="667">
        <v>10</v>
      </c>
      <c r="AH1503" s="667"/>
      <c r="AI1503" s="668"/>
      <c r="AN1503" s="547"/>
      <c r="AO1503" s="829" t="str">
        <f t="shared" si="341"/>
        <v>Yes</v>
      </c>
      <c r="AP1503" s="259" t="str">
        <f t="shared" si="342"/>
        <v>JAN 24</v>
      </c>
      <c r="AQ1503" s="547" t="str">
        <f t="shared" si="343"/>
        <v>有定金+有預留客戶</v>
      </c>
      <c r="AR1503" s="259" t="str">
        <f t="shared" si="344"/>
        <v>Shipped_Stock</v>
      </c>
      <c r="AS1503" s="259" t="str">
        <f t="shared" si="345"/>
        <v/>
      </c>
      <c r="AT1503" s="259" t="str">
        <f t="shared" si="346"/>
        <v>朗格邦定</v>
      </c>
      <c r="AU1503" s="259" t="str">
        <f t="shared" si="347"/>
        <v>C49SZX20230142MZ</v>
      </c>
      <c r="AV1503" s="259" t="str">
        <f t="shared" si="348"/>
        <v>Sep-06</v>
      </c>
    </row>
    <row r="1504" spans="1:48" hidden="1">
      <c r="A1504" s="564">
        <v>2082</v>
      </c>
      <c r="B1504" s="802" t="s">
        <v>1125</v>
      </c>
      <c r="C1504" s="802" t="s">
        <v>281</v>
      </c>
      <c r="D1504" s="803">
        <v>111342</v>
      </c>
      <c r="E1504" s="804" t="s">
        <v>236</v>
      </c>
      <c r="F1504" s="715" t="s">
        <v>58</v>
      </c>
      <c r="G1504" s="715" t="s">
        <v>24</v>
      </c>
      <c r="H1504" s="715" t="s">
        <v>26</v>
      </c>
      <c r="I1504" s="667" t="s">
        <v>4158</v>
      </c>
      <c r="J1504" s="667">
        <v>1</v>
      </c>
      <c r="K1504" s="715" t="s">
        <v>1732</v>
      </c>
      <c r="L1504" s="805">
        <v>45175</v>
      </c>
      <c r="M1504" s="722">
        <v>5.0500000000000003E-2</v>
      </c>
      <c r="N1504" s="652" t="s">
        <v>4417</v>
      </c>
      <c r="O1504" s="580">
        <v>2023.8</v>
      </c>
      <c r="P1504" s="807" t="str">
        <f>VLOOKUP(A1504,'[1]Raw data'!$B:$BA,23,FALSE)</f>
        <v>JPY</v>
      </c>
      <c r="Q1504" s="808" t="str">
        <f>VLOOKUP(A1504,'[1]Raw data'!$B:$Z,2,FALSE)</f>
        <v>C49SZX20240018DZ</v>
      </c>
      <c r="R1504" s="808" t="str">
        <f>VLOOKUP(A1504,'[1]Raw data'!$B:$Z,3,FALSE)</f>
        <v>斯迈</v>
      </c>
      <c r="S1504" s="715" t="str">
        <f>VLOOKUP(A1504,'[1]Raw data'!$B:$Z,4,FALSE)</f>
        <v>YSM20R-2</v>
      </c>
      <c r="T1504" s="715" t="str">
        <f>VLOOKUP(A1504,'[1]Raw data'!$B:$Z,8,FALSE)</f>
        <v>L-&gt;R</v>
      </c>
      <c r="U1504" s="715" t="str">
        <f>VLOOKUP(A1504,'[1]Raw data'!$B:$Z,9,FALSE)</f>
        <v>No</v>
      </c>
      <c r="V1504" s="714" t="str">
        <f t="shared" si="350"/>
        <v>OK</v>
      </c>
      <c r="W1504" s="806" t="str">
        <f>VLOOKUP(A1504,'[1]Raw data'!$B:$AG,32,FALSE)</f>
        <v>DAP GZ</v>
      </c>
      <c r="X1504" s="805">
        <f>VLOOKUP(A1504,'[1]Raw data'!$B:$BA,31,FALSE)</f>
        <v>45316</v>
      </c>
      <c r="Y1504" s="715" t="str">
        <f>VLOOKUP(A1504,'[1]Raw data'!$B:$AS,39,FALSE)</f>
        <v>Yes</v>
      </c>
      <c r="Z1504" s="664"/>
      <c r="AA1504" s="665"/>
      <c r="AB1504" s="666"/>
      <c r="AC1504" s="715"/>
      <c r="AD1504" s="667">
        <v>301</v>
      </c>
      <c r="AE1504" s="667">
        <v>10</v>
      </c>
      <c r="AF1504" s="667">
        <v>302</v>
      </c>
      <c r="AG1504" s="667">
        <v>10</v>
      </c>
      <c r="AH1504" s="667"/>
      <c r="AI1504" s="668"/>
      <c r="AN1504" s="547"/>
      <c r="AO1504" s="829" t="str">
        <f t="shared" si="341"/>
        <v>Yes</v>
      </c>
      <c r="AP1504" s="259" t="str">
        <f t="shared" si="342"/>
        <v>FEB 24</v>
      </c>
      <c r="AQ1504" s="547" t="str">
        <f t="shared" si="343"/>
        <v>有定金+有預留客戶</v>
      </c>
      <c r="AR1504" s="259" t="str">
        <f t="shared" si="344"/>
        <v>Shipped_Stock</v>
      </c>
      <c r="AS1504" s="259" t="str">
        <f t="shared" si="345"/>
        <v/>
      </c>
      <c r="AT1504" s="259" t="str">
        <f t="shared" si="346"/>
        <v>斯迈</v>
      </c>
      <c r="AU1504" s="259" t="str">
        <f t="shared" si="347"/>
        <v>C49SZX20240018DZ</v>
      </c>
      <c r="AV1504" s="259" t="str">
        <f t="shared" si="348"/>
        <v>Sep-06</v>
      </c>
    </row>
    <row r="1505" spans="1:48" hidden="1">
      <c r="A1505" s="564">
        <v>2083</v>
      </c>
      <c r="B1505" s="802" t="s">
        <v>1125</v>
      </c>
      <c r="C1505" s="802" t="s">
        <v>281</v>
      </c>
      <c r="D1505" s="803">
        <v>111342</v>
      </c>
      <c r="E1505" s="804" t="s">
        <v>236</v>
      </c>
      <c r="F1505" s="715" t="s">
        <v>58</v>
      </c>
      <c r="G1505" s="715" t="s">
        <v>24</v>
      </c>
      <c r="H1505" s="715" t="s">
        <v>4031</v>
      </c>
      <c r="I1505" s="667" t="s">
        <v>4159</v>
      </c>
      <c r="J1505" s="667">
        <v>1</v>
      </c>
      <c r="K1505" s="715" t="s">
        <v>1732</v>
      </c>
      <c r="L1505" s="805">
        <v>45175</v>
      </c>
      <c r="M1505" s="722">
        <v>5.0500000000000003E-2</v>
      </c>
      <c r="N1505" s="652" t="s">
        <v>4417</v>
      </c>
      <c r="O1505" s="580">
        <v>2023.8</v>
      </c>
      <c r="P1505" s="807" t="str">
        <f>VLOOKUP(A1505,'[1]Raw data'!$B:$BA,23,FALSE)</f>
        <v>JPY</v>
      </c>
      <c r="Q1505" s="808" t="str">
        <f>VLOOKUP(A1505,'[1]Raw data'!$B:$Z,2,FALSE)</f>
        <v>C49SZX20240018DZ</v>
      </c>
      <c r="R1505" s="808" t="str">
        <f>VLOOKUP(A1505,'[1]Raw data'!$B:$Z,3,FALSE)</f>
        <v>斯迈</v>
      </c>
      <c r="S1505" s="715" t="str">
        <f>VLOOKUP(A1505,'[1]Raw data'!$B:$Z,4,FALSE)</f>
        <v>YSM20R-2</v>
      </c>
      <c r="T1505" s="715" t="str">
        <f>VLOOKUP(A1505,'[1]Raw data'!$B:$Z,8,FALSE)</f>
        <v>L-&gt;R</v>
      </c>
      <c r="U1505" s="715" t="str">
        <f>VLOOKUP(A1505,'[1]Raw data'!$B:$Z,9,FALSE)</f>
        <v>No</v>
      </c>
      <c r="V1505" s="714" t="str">
        <f t="shared" si="350"/>
        <v>OK</v>
      </c>
      <c r="W1505" s="806" t="str">
        <f>VLOOKUP(A1505,'[1]Raw data'!$B:$AG,32,FALSE)</f>
        <v>DAP GZ</v>
      </c>
      <c r="X1505" s="805">
        <f>VLOOKUP(A1505,'[1]Raw data'!$B:$BA,31,FALSE)</f>
        <v>45316</v>
      </c>
      <c r="Y1505" s="715" t="str">
        <f>VLOOKUP(A1505,'[1]Raw data'!$B:$AS,39,FALSE)</f>
        <v>Yes</v>
      </c>
      <c r="Z1505" s="664"/>
      <c r="AA1505" s="665"/>
      <c r="AB1505" s="666"/>
      <c r="AC1505" s="715"/>
      <c r="AD1505" s="667">
        <v>301</v>
      </c>
      <c r="AE1505" s="667">
        <v>10</v>
      </c>
      <c r="AF1505" s="667">
        <v>302</v>
      </c>
      <c r="AG1505" s="667">
        <v>10</v>
      </c>
      <c r="AH1505" s="667"/>
      <c r="AI1505" s="668"/>
      <c r="AN1505" s="547"/>
      <c r="AO1505" s="829" t="str">
        <f t="shared" si="341"/>
        <v>Yes</v>
      </c>
      <c r="AP1505" s="259" t="str">
        <f t="shared" si="342"/>
        <v>FEB 24</v>
      </c>
      <c r="AQ1505" s="547" t="str">
        <f t="shared" si="343"/>
        <v>有定金+有預留客戶</v>
      </c>
      <c r="AR1505" s="259" t="str">
        <f t="shared" si="344"/>
        <v>Shipped_Stock</v>
      </c>
      <c r="AS1505" s="259" t="str">
        <f t="shared" si="345"/>
        <v/>
      </c>
      <c r="AT1505" s="259" t="str">
        <f t="shared" si="346"/>
        <v>斯迈</v>
      </c>
      <c r="AU1505" s="259" t="str">
        <f t="shared" si="347"/>
        <v>C49SZX20240018DZ</v>
      </c>
      <c r="AV1505" s="259" t="str">
        <f t="shared" si="348"/>
        <v>Sep-06</v>
      </c>
    </row>
    <row r="1506" spans="1:48" hidden="1">
      <c r="A1506" s="564">
        <v>2084</v>
      </c>
      <c r="B1506" s="802" t="s">
        <v>1125</v>
      </c>
      <c r="C1506" s="802" t="s">
        <v>281</v>
      </c>
      <c r="D1506" s="803">
        <v>111342</v>
      </c>
      <c r="E1506" s="804" t="s">
        <v>236</v>
      </c>
      <c r="F1506" s="715" t="s">
        <v>58</v>
      </c>
      <c r="G1506" s="715" t="s">
        <v>24</v>
      </c>
      <c r="H1506" s="715" t="s">
        <v>26</v>
      </c>
      <c r="I1506" s="667" t="s">
        <v>4160</v>
      </c>
      <c r="J1506" s="667">
        <v>1</v>
      </c>
      <c r="K1506" s="715" t="s">
        <v>1732</v>
      </c>
      <c r="L1506" s="805">
        <v>45175</v>
      </c>
      <c r="M1506" s="722">
        <v>5.0500000000000003E-2</v>
      </c>
      <c r="N1506" s="652" t="s">
        <v>4417</v>
      </c>
      <c r="O1506" s="580">
        <v>2023.8</v>
      </c>
      <c r="P1506" s="807" t="str">
        <f>VLOOKUP(A1506,'[1]Raw data'!$B:$BA,23,FALSE)</f>
        <v>JPY</v>
      </c>
      <c r="Q1506" s="808" t="str">
        <f>VLOOKUP(A1506,'[1]Raw data'!$B:$Z,2,FALSE)</f>
        <v>C49SZX20240018DZ</v>
      </c>
      <c r="R1506" s="808" t="str">
        <f>VLOOKUP(A1506,'[1]Raw data'!$B:$Z,3,FALSE)</f>
        <v>斯迈</v>
      </c>
      <c r="S1506" s="715" t="str">
        <f>VLOOKUP(A1506,'[1]Raw data'!$B:$Z,4,FALSE)</f>
        <v>YSM20R-2</v>
      </c>
      <c r="T1506" s="715" t="str">
        <f>VLOOKUP(A1506,'[1]Raw data'!$B:$Z,8,FALSE)</f>
        <v>L-&gt;R</v>
      </c>
      <c r="U1506" s="715" t="str">
        <f>VLOOKUP(A1506,'[1]Raw data'!$B:$Z,9,FALSE)</f>
        <v>No</v>
      </c>
      <c r="V1506" s="714" t="str">
        <f t="shared" si="350"/>
        <v>OK</v>
      </c>
      <c r="W1506" s="806" t="str">
        <f>VLOOKUP(A1506,'[1]Raw data'!$B:$AG,32,FALSE)</f>
        <v>DAP GZ</v>
      </c>
      <c r="X1506" s="805">
        <f>VLOOKUP(A1506,'[1]Raw data'!$B:$BA,31,FALSE)</f>
        <v>45316</v>
      </c>
      <c r="Y1506" s="715" t="str">
        <f>VLOOKUP(A1506,'[1]Raw data'!$B:$AS,39,FALSE)</f>
        <v>Yes</v>
      </c>
      <c r="Z1506" s="664"/>
      <c r="AA1506" s="665"/>
      <c r="AB1506" s="666"/>
      <c r="AC1506" s="715"/>
      <c r="AD1506" s="667">
        <v>302</v>
      </c>
      <c r="AE1506" s="667">
        <v>10</v>
      </c>
      <c r="AF1506" s="667">
        <v>302</v>
      </c>
      <c r="AG1506" s="667">
        <v>10</v>
      </c>
      <c r="AH1506" s="667"/>
      <c r="AI1506" s="668"/>
      <c r="AN1506" s="547"/>
      <c r="AO1506" s="829" t="str">
        <f t="shared" si="341"/>
        <v>Yes</v>
      </c>
      <c r="AP1506" s="259" t="str">
        <f t="shared" si="342"/>
        <v>FEB 24</v>
      </c>
      <c r="AQ1506" s="547" t="str">
        <f t="shared" si="343"/>
        <v>有定金+有預留客戶</v>
      </c>
      <c r="AR1506" s="259" t="str">
        <f t="shared" si="344"/>
        <v>Shipped_Stock</v>
      </c>
      <c r="AS1506" s="259" t="str">
        <f t="shared" si="345"/>
        <v/>
      </c>
      <c r="AT1506" s="259" t="str">
        <f t="shared" si="346"/>
        <v>斯迈</v>
      </c>
      <c r="AU1506" s="259" t="str">
        <f t="shared" si="347"/>
        <v>C49SZX20240018DZ</v>
      </c>
      <c r="AV1506" s="259" t="str">
        <f t="shared" si="348"/>
        <v>Sep-06</v>
      </c>
    </row>
    <row r="1507" spans="1:48" hidden="1">
      <c r="A1507" s="564">
        <v>2090</v>
      </c>
      <c r="B1507" s="802" t="s">
        <v>1125</v>
      </c>
      <c r="C1507" s="802" t="s">
        <v>281</v>
      </c>
      <c r="D1507" s="803">
        <v>111342</v>
      </c>
      <c r="E1507" s="804" t="s">
        <v>236</v>
      </c>
      <c r="F1507" s="715" t="s">
        <v>58</v>
      </c>
      <c r="G1507" s="715" t="s">
        <v>24</v>
      </c>
      <c r="H1507" s="715" t="s">
        <v>26</v>
      </c>
      <c r="I1507" s="845" t="s">
        <v>4604</v>
      </c>
      <c r="J1507" s="667">
        <v>1</v>
      </c>
      <c r="K1507" s="715" t="s">
        <v>1732</v>
      </c>
      <c r="L1507" s="805">
        <v>45175</v>
      </c>
      <c r="M1507" s="846">
        <v>5.0500000000000003E-2</v>
      </c>
      <c r="N1507" s="652" t="s">
        <v>4417</v>
      </c>
      <c r="O1507" s="580">
        <v>2023.8</v>
      </c>
      <c r="P1507" s="722" t="str">
        <f>VLOOKUP(A1507,'[1]Raw data'!$B:$BA,23,FALSE)</f>
        <v>JPY</v>
      </c>
      <c r="Q1507" s="715" t="str">
        <f>VLOOKUP(A1507,'[1]Raw data'!$B:$Z,2,FALSE)</f>
        <v>C49SZX20240021EC</v>
      </c>
      <c r="R1507" s="715" t="str">
        <f>VLOOKUP(A1507,'[1]Raw data'!$B:$Z,3,FALSE)</f>
        <v>格美通</v>
      </c>
      <c r="S1507" s="715" t="str">
        <f>VLOOKUP(A1507,'[1]Raw data'!$B:$Z,4,FALSE)</f>
        <v>YSM20R-2</v>
      </c>
      <c r="T1507" s="715" t="str">
        <f>VLOOKUP(A1507,'[1]Raw data'!$B:$Z,8,FALSE)</f>
        <v>L-&gt;R</v>
      </c>
      <c r="U1507" s="715" t="str">
        <f>VLOOKUP(A1507,'[1]Raw data'!$B:$Z,9,FALSE)</f>
        <v>No</v>
      </c>
      <c r="V1507" s="714" t="str">
        <f t="shared" si="350"/>
        <v>OK</v>
      </c>
      <c r="W1507" s="806" t="str">
        <f>VLOOKUP(A1507,'[1]Raw data'!$B:$AG,32,FALSE)</f>
        <v>DAP SZ</v>
      </c>
      <c r="X1507" s="805">
        <f>VLOOKUP(A1507,'[1]Raw data'!$B:$BA,31,FALSE)</f>
        <v>45320</v>
      </c>
      <c r="Y1507" s="715" t="str">
        <f>VLOOKUP(A1507,'[1]Raw data'!$B:$AS,39,FALSE)</f>
        <v>Yes</v>
      </c>
      <c r="Z1507" s="664"/>
      <c r="AA1507" s="665"/>
      <c r="AB1507" s="666"/>
      <c r="AC1507" s="715"/>
      <c r="AD1507" s="667">
        <v>302</v>
      </c>
      <c r="AE1507" s="667">
        <v>10</v>
      </c>
      <c r="AF1507" s="667">
        <v>302</v>
      </c>
      <c r="AG1507" s="667">
        <v>10</v>
      </c>
      <c r="AH1507" s="667"/>
      <c r="AI1507" s="668"/>
      <c r="AN1507" s="547"/>
      <c r="AO1507" s="829" t="str">
        <f t="shared" si="341"/>
        <v>Yes</v>
      </c>
      <c r="AP1507" s="259" t="str">
        <f t="shared" si="342"/>
        <v>FEB 24</v>
      </c>
      <c r="AQ1507" s="547" t="str">
        <f t="shared" si="343"/>
        <v>有定金+有預留客戶</v>
      </c>
      <c r="AR1507" s="259" t="str">
        <f t="shared" si="344"/>
        <v>Shipped_Stock</v>
      </c>
      <c r="AS1507" s="259" t="str">
        <f t="shared" si="345"/>
        <v/>
      </c>
      <c r="AT1507" s="259" t="str">
        <f t="shared" si="346"/>
        <v>格美通</v>
      </c>
      <c r="AU1507" s="259" t="str">
        <f t="shared" si="347"/>
        <v>C49SZX20240021EC</v>
      </c>
      <c r="AV1507" s="259" t="str">
        <f t="shared" si="348"/>
        <v>Sep-06</v>
      </c>
    </row>
    <row r="1508" spans="1:48" hidden="1">
      <c r="A1508" s="564">
        <v>2052</v>
      </c>
      <c r="B1508" s="669" t="s">
        <v>1125</v>
      </c>
      <c r="C1508" s="669" t="s">
        <v>281</v>
      </c>
      <c r="D1508" s="650">
        <v>111341</v>
      </c>
      <c r="E1508" s="749" t="s">
        <v>236</v>
      </c>
      <c r="F1508" s="652" t="s">
        <v>17</v>
      </c>
      <c r="G1508" s="652" t="s">
        <v>18</v>
      </c>
      <c r="H1508" s="652" t="s">
        <v>26</v>
      </c>
      <c r="I1508" s="580" t="s">
        <v>4505</v>
      </c>
      <c r="J1508" s="580">
        <v>1</v>
      </c>
      <c r="K1508" s="652" t="s">
        <v>1732</v>
      </c>
      <c r="L1508" s="662">
        <v>45175</v>
      </c>
      <c r="M1508" s="670">
        <v>5.0299999999999997E-2</v>
      </c>
      <c r="N1508" s="652" t="s">
        <v>4375</v>
      </c>
      <c r="O1508" s="580">
        <v>2023.7</v>
      </c>
      <c r="P1508" s="670" t="str">
        <f>VLOOKUP(A1508,'[1]Raw data'!$B:$BA,23,FALSE)</f>
        <v>JPY</v>
      </c>
      <c r="Q1508" s="652" t="str">
        <f>VLOOKUP(A1508,'[1]Raw data'!$B:$Z,2,FALSE)</f>
        <v>C49SZX20230142SS</v>
      </c>
      <c r="R1508" s="652" t="str">
        <f>VLOOKUP(A1508,'[1]Raw data'!$B:$Z,3,FALSE)</f>
        <v>盈通恒翼</v>
      </c>
      <c r="S1508" s="652" t="str">
        <f>VLOOKUP(A1508,'[1]Raw data'!$B:$Z,4,FALSE)</f>
        <v>YSM10</v>
      </c>
      <c r="T1508" s="652" t="str">
        <f>VLOOKUP(A1508,'[1]Raw data'!$B:$Z,8,FALSE)</f>
        <v>R-&gt;L</v>
      </c>
      <c r="U1508" s="652" t="str">
        <f>VLOOKUP(A1508,'[1]Raw data'!$B:$Z,9,FALSE)</f>
        <v>No</v>
      </c>
      <c r="V1508" s="572" t="str">
        <f t="shared" ref="V1508:V1512" si="351">IF(G1508&amp;H1508=T1508&amp;U1508,"OK","WRONG")</f>
        <v>OK</v>
      </c>
      <c r="W1508" s="568" t="str">
        <f>VLOOKUP(A1508,'[1]Raw data'!$B:$AG,32,FALSE)</f>
        <v>DAP SZ</v>
      </c>
      <c r="X1508" s="662">
        <f>VLOOKUP(A1508,'[1]Raw data'!$B:$BA,31,FALSE)</f>
        <v>45282</v>
      </c>
      <c r="Y1508" s="652" t="str">
        <f>VLOOKUP(A1508,'[1]Raw data'!$B:$AS,39,FALSE)</f>
        <v>Yes</v>
      </c>
      <c r="Z1508" s="664"/>
      <c r="AA1508" s="665"/>
      <c r="AB1508" s="666"/>
      <c r="AC1508" s="652" t="s">
        <v>4553</v>
      </c>
      <c r="AD1508" s="667">
        <v>301</v>
      </c>
      <c r="AE1508" s="667">
        <v>10</v>
      </c>
      <c r="AF1508" s="667"/>
      <c r="AG1508" s="667"/>
      <c r="AH1508" s="667"/>
      <c r="AI1508" s="668"/>
      <c r="AN1508" s="547"/>
      <c r="AO1508" s="829" t="str">
        <f t="shared" si="341"/>
        <v>Yes</v>
      </c>
      <c r="AP1508" s="259" t="str">
        <f t="shared" si="342"/>
        <v>JAN 24</v>
      </c>
      <c r="AQ1508" s="547" t="str">
        <f t="shared" si="343"/>
        <v>有定金+有預留客戶</v>
      </c>
      <c r="AR1508" s="259" t="str">
        <f t="shared" si="344"/>
        <v>Shipped_Stock</v>
      </c>
      <c r="AS1508" s="259" t="str">
        <f t="shared" si="345"/>
        <v/>
      </c>
      <c r="AT1508" s="259" t="str">
        <f t="shared" si="346"/>
        <v>盈通恒翼</v>
      </c>
      <c r="AU1508" s="259" t="str">
        <f t="shared" si="347"/>
        <v>C49SZX20230142SS</v>
      </c>
      <c r="AV1508" s="259" t="str">
        <f t="shared" si="348"/>
        <v>Sep-06</v>
      </c>
    </row>
    <row r="1509" spans="1:48" hidden="1">
      <c r="A1509" s="564">
        <v>2051</v>
      </c>
      <c r="B1509" s="669" t="s">
        <v>1125</v>
      </c>
      <c r="C1509" s="669" t="s">
        <v>281</v>
      </c>
      <c r="D1509" s="650">
        <v>111341</v>
      </c>
      <c r="E1509" s="749" t="s">
        <v>236</v>
      </c>
      <c r="F1509" s="652" t="s">
        <v>17</v>
      </c>
      <c r="G1509" s="652" t="s">
        <v>18</v>
      </c>
      <c r="H1509" s="652" t="s">
        <v>26</v>
      </c>
      <c r="I1509" s="580" t="s">
        <v>4153</v>
      </c>
      <c r="J1509" s="580">
        <v>1</v>
      </c>
      <c r="K1509" s="652" t="s">
        <v>1732</v>
      </c>
      <c r="L1509" s="662">
        <v>45175</v>
      </c>
      <c r="M1509" s="670">
        <v>5.0299999999999997E-2</v>
      </c>
      <c r="N1509" s="652" t="s">
        <v>4375</v>
      </c>
      <c r="O1509" s="580">
        <v>2023.7</v>
      </c>
      <c r="P1509" s="670" t="str">
        <f>VLOOKUP(A1509,'[1]Raw data'!$B:$BA,23,FALSE)</f>
        <v>JPY</v>
      </c>
      <c r="Q1509" s="652" t="str">
        <f>VLOOKUP(A1509,'[1]Raw data'!$B:$Z,2,FALSE)</f>
        <v>C49SZX20230142SS</v>
      </c>
      <c r="R1509" s="652" t="str">
        <f>VLOOKUP(A1509,'[1]Raw data'!$B:$Z,3,FALSE)</f>
        <v>盈通恒翼</v>
      </c>
      <c r="S1509" s="652" t="str">
        <f>VLOOKUP(A1509,'[1]Raw data'!$B:$Z,4,FALSE)</f>
        <v>YSM10</v>
      </c>
      <c r="T1509" s="652" t="str">
        <f>VLOOKUP(A1509,'[1]Raw data'!$B:$Z,8,FALSE)</f>
        <v>R-&gt;L</v>
      </c>
      <c r="U1509" s="652" t="str">
        <f>VLOOKUP(A1509,'[1]Raw data'!$B:$Z,9,FALSE)</f>
        <v>No</v>
      </c>
      <c r="V1509" s="572" t="str">
        <f t="shared" si="351"/>
        <v>OK</v>
      </c>
      <c r="W1509" s="568" t="str">
        <f>VLOOKUP(A1509,'[1]Raw data'!$B:$AG,32,FALSE)</f>
        <v>DAP SZ</v>
      </c>
      <c r="X1509" s="662">
        <f>VLOOKUP(A1509,'[1]Raw data'!$B:$BA,31,FALSE)</f>
        <v>45282</v>
      </c>
      <c r="Y1509" s="652" t="str">
        <f>VLOOKUP(A1509,'[1]Raw data'!$B:$AS,39,FALSE)</f>
        <v>Yes</v>
      </c>
      <c r="Z1509" s="664"/>
      <c r="AA1509" s="665"/>
      <c r="AB1509" s="666"/>
      <c r="AC1509" s="652" t="s">
        <v>4553</v>
      </c>
      <c r="AD1509" s="667">
        <v>301</v>
      </c>
      <c r="AE1509" s="667">
        <v>10</v>
      </c>
      <c r="AF1509" s="667"/>
      <c r="AG1509" s="667"/>
      <c r="AH1509" s="667"/>
      <c r="AI1509" s="668"/>
      <c r="AN1509" s="547"/>
      <c r="AO1509" s="829" t="str">
        <f t="shared" si="341"/>
        <v>Yes</v>
      </c>
      <c r="AP1509" s="259" t="str">
        <f t="shared" si="342"/>
        <v>JAN 24</v>
      </c>
      <c r="AQ1509" s="547" t="str">
        <f t="shared" si="343"/>
        <v>有定金+有預留客戶</v>
      </c>
      <c r="AR1509" s="259" t="str">
        <f t="shared" si="344"/>
        <v>Shipped_Stock</v>
      </c>
      <c r="AS1509" s="259" t="str">
        <f t="shared" si="345"/>
        <v/>
      </c>
      <c r="AT1509" s="259" t="str">
        <f t="shared" si="346"/>
        <v>盈通恒翼</v>
      </c>
      <c r="AU1509" s="259" t="str">
        <f t="shared" si="347"/>
        <v>C49SZX20230142SS</v>
      </c>
      <c r="AV1509" s="259" t="str">
        <f t="shared" si="348"/>
        <v>Sep-06</v>
      </c>
    </row>
    <row r="1510" spans="1:48" hidden="1">
      <c r="A1510" s="564">
        <v>2049</v>
      </c>
      <c r="B1510" s="669" t="s">
        <v>1125</v>
      </c>
      <c r="C1510" s="669" t="s">
        <v>281</v>
      </c>
      <c r="D1510" s="650">
        <v>111341</v>
      </c>
      <c r="E1510" s="749" t="s">
        <v>236</v>
      </c>
      <c r="F1510" s="652" t="s">
        <v>17</v>
      </c>
      <c r="G1510" s="652" t="s">
        <v>18</v>
      </c>
      <c r="H1510" s="652" t="s">
        <v>26</v>
      </c>
      <c r="I1510" s="580" t="s">
        <v>4154</v>
      </c>
      <c r="J1510" s="580">
        <v>1</v>
      </c>
      <c r="K1510" s="652" t="s">
        <v>1732</v>
      </c>
      <c r="L1510" s="662">
        <v>45175</v>
      </c>
      <c r="M1510" s="670">
        <v>5.0299999999999997E-2</v>
      </c>
      <c r="N1510" s="652" t="s">
        <v>4375</v>
      </c>
      <c r="O1510" s="580">
        <v>2023.7</v>
      </c>
      <c r="P1510" s="670" t="str">
        <f>VLOOKUP(A1510,'[1]Raw data'!$B:$BA,23,FALSE)</f>
        <v>JPY</v>
      </c>
      <c r="Q1510" s="652" t="str">
        <f>VLOOKUP(A1510,'[1]Raw data'!$B:$Z,2,FALSE)</f>
        <v>C49SZX20230142SS</v>
      </c>
      <c r="R1510" s="652" t="str">
        <f>VLOOKUP(A1510,'[1]Raw data'!$B:$Z,3,FALSE)</f>
        <v>盈通恒翼</v>
      </c>
      <c r="S1510" s="652" t="str">
        <f>VLOOKUP(A1510,'[1]Raw data'!$B:$Z,4,FALSE)</f>
        <v>YSM10</v>
      </c>
      <c r="T1510" s="652" t="str">
        <f>VLOOKUP(A1510,'[1]Raw data'!$B:$Z,8,FALSE)</f>
        <v>L-&gt;R</v>
      </c>
      <c r="U1510" s="652" t="str">
        <f>VLOOKUP(A1510,'[1]Raw data'!$B:$Z,9,FALSE)</f>
        <v>No</v>
      </c>
      <c r="V1510" s="572" t="str">
        <f t="shared" si="351"/>
        <v>WRONG</v>
      </c>
      <c r="W1510" s="568" t="str">
        <f>VLOOKUP(A1510,'[1]Raw data'!$B:$AG,32,FALSE)</f>
        <v>DAP SZ</v>
      </c>
      <c r="X1510" s="662">
        <f>VLOOKUP(A1510,'[1]Raw data'!$B:$BA,31,FALSE)</f>
        <v>45282</v>
      </c>
      <c r="Y1510" s="652" t="str">
        <f>VLOOKUP(A1510,'[1]Raw data'!$B:$AS,39,FALSE)</f>
        <v>Yes</v>
      </c>
      <c r="Z1510" s="664"/>
      <c r="AA1510" s="665"/>
      <c r="AB1510" s="666"/>
      <c r="AC1510" s="652" t="s">
        <v>4553</v>
      </c>
      <c r="AD1510" s="667">
        <v>301</v>
      </c>
      <c r="AE1510" s="667">
        <v>10</v>
      </c>
      <c r="AF1510" s="667"/>
      <c r="AG1510" s="667"/>
      <c r="AH1510" s="667"/>
      <c r="AI1510" s="668"/>
      <c r="AN1510" s="547"/>
      <c r="AO1510" s="829" t="str">
        <f t="shared" si="341"/>
        <v>Yes</v>
      </c>
      <c r="AP1510" s="259" t="str">
        <f t="shared" si="342"/>
        <v>JAN 24</v>
      </c>
      <c r="AQ1510" s="547" t="str">
        <f t="shared" si="343"/>
        <v>有定金+有預留客戶</v>
      </c>
      <c r="AR1510" s="259" t="str">
        <f t="shared" si="344"/>
        <v>Shipped_Stock</v>
      </c>
      <c r="AS1510" s="259" t="str">
        <f t="shared" si="345"/>
        <v/>
      </c>
      <c r="AT1510" s="259" t="str">
        <f t="shared" si="346"/>
        <v>盈通恒翼</v>
      </c>
      <c r="AU1510" s="259" t="str">
        <f t="shared" si="347"/>
        <v>C49SZX20230142SS</v>
      </c>
      <c r="AV1510" s="259" t="str">
        <f t="shared" si="348"/>
        <v>Sep-06</v>
      </c>
    </row>
    <row r="1511" spans="1:48" ht="33.75">
      <c r="A1511" s="564">
        <v>2089</v>
      </c>
      <c r="B1511" s="802" t="s">
        <v>75</v>
      </c>
      <c r="C1511" s="802" t="s">
        <v>281</v>
      </c>
      <c r="D1511" s="803">
        <v>111341</v>
      </c>
      <c r="E1511" s="804" t="s">
        <v>236</v>
      </c>
      <c r="F1511" s="715" t="s">
        <v>17</v>
      </c>
      <c r="G1511" s="715" t="s">
        <v>18</v>
      </c>
      <c r="H1511" s="715" t="s">
        <v>26</v>
      </c>
      <c r="I1511" s="667" t="s">
        <v>4155</v>
      </c>
      <c r="J1511" s="667">
        <v>1</v>
      </c>
      <c r="K1511" s="715" t="s">
        <v>1419</v>
      </c>
      <c r="L1511" s="805">
        <v>45175</v>
      </c>
      <c r="M1511" s="831" t="s">
        <v>4522</v>
      </c>
      <c r="N1511" s="652" t="s">
        <v>4528</v>
      </c>
      <c r="O1511" s="580">
        <v>2023.7</v>
      </c>
      <c r="P1511" s="807" t="str">
        <f>VLOOKUP(A1511,'[1]Raw data'!$B:$BA,23,FALSE)</f>
        <v>RMB</v>
      </c>
      <c r="Q1511" s="808" t="str">
        <f>VLOOKUP(A1511,'[1]Raw data'!$B:$Z,2,FALSE)</f>
        <v>C49SZX20240022SS/ZC20240119106</v>
      </c>
      <c r="R1511" s="808" t="str">
        <f>VLOOKUP(A1511,'[1]Raw data'!$B:$Z,3,FALSE)</f>
        <v>创舰</v>
      </c>
      <c r="S1511" s="715" t="str">
        <f>VLOOKUP(A1511,'[1]Raw data'!$B:$Z,4,FALSE)</f>
        <v>YSM10</v>
      </c>
      <c r="T1511" s="715" t="str">
        <f>VLOOKUP(A1511,'[1]Raw data'!$B:$Z,8,FALSE)</f>
        <v>L-&gt;R</v>
      </c>
      <c r="U1511" s="715" t="str">
        <f>VLOOKUP(A1511,'[1]Raw data'!$B:$Z,9,FALSE)</f>
        <v>MVC</v>
      </c>
      <c r="V1511" s="714" t="str">
        <f t="shared" si="351"/>
        <v>WRONG</v>
      </c>
      <c r="W1511" s="806" t="str">
        <f>VLOOKUP(A1511,'[1]Raw data'!$B:$AG,32,FALSE)</f>
        <v>DDP HZ</v>
      </c>
      <c r="X1511" s="805">
        <f>VLOOKUP(A1511,'[1]Raw data'!$B:$BA,31,FALSE)</f>
        <v>45321</v>
      </c>
      <c r="Y1511" s="715" t="str">
        <f>VLOOKUP(A1511,'[1]Raw data'!$B:$AS,39,FALSE)</f>
        <v>Yes</v>
      </c>
      <c r="Z1511" s="664"/>
      <c r="AA1511" s="665"/>
      <c r="AB1511" s="666"/>
      <c r="AC1511" s="715"/>
      <c r="AD1511" s="667">
        <v>301</v>
      </c>
      <c r="AE1511" s="667">
        <v>10</v>
      </c>
      <c r="AF1511" s="667"/>
      <c r="AG1511" s="667"/>
      <c r="AH1511" s="667"/>
      <c r="AI1511" s="668"/>
      <c r="AN1511" s="547"/>
      <c r="AO1511" s="829" t="str">
        <f t="shared" si="341"/>
        <v>Yes</v>
      </c>
      <c r="AP1511" s="259" t="str">
        <f t="shared" si="342"/>
        <v>MAR 24</v>
      </c>
      <c r="AQ1511" s="547" t="str">
        <f t="shared" si="343"/>
        <v>有定金+有預留客戶</v>
      </c>
      <c r="AR1511" s="259" t="str">
        <f t="shared" si="344"/>
        <v>Instock</v>
      </c>
      <c r="AS1511" s="259" t="str">
        <f t="shared" si="345"/>
        <v/>
      </c>
      <c r="AT1511" s="259" t="str">
        <f t="shared" si="346"/>
        <v>创舰</v>
      </c>
      <c r="AU1511" s="259" t="str">
        <f t="shared" si="347"/>
        <v>C49SZX20240022SS/ZC20240119106</v>
      </c>
      <c r="AV1511" s="259" t="str">
        <f t="shared" si="348"/>
        <v>Sep-06</v>
      </c>
    </row>
    <row r="1512" spans="1:48" hidden="1">
      <c r="A1512" s="564">
        <v>2023</v>
      </c>
      <c r="B1512" s="669" t="s">
        <v>1125</v>
      </c>
      <c r="C1512" s="669" t="s">
        <v>281</v>
      </c>
      <c r="D1512" s="650">
        <v>111341</v>
      </c>
      <c r="E1512" s="749" t="s">
        <v>236</v>
      </c>
      <c r="F1512" s="652" t="s">
        <v>17</v>
      </c>
      <c r="G1512" s="652" t="s">
        <v>18</v>
      </c>
      <c r="H1512" s="652" t="s">
        <v>19</v>
      </c>
      <c r="I1512" s="580" t="s">
        <v>4156</v>
      </c>
      <c r="J1512" s="580">
        <v>1</v>
      </c>
      <c r="K1512" s="652" t="s">
        <v>1732</v>
      </c>
      <c r="L1512" s="662">
        <v>45175</v>
      </c>
      <c r="M1512" s="670">
        <v>5.0299999999999997E-2</v>
      </c>
      <c r="N1512" s="652" t="s">
        <v>4344</v>
      </c>
      <c r="O1512" s="580">
        <v>2023.8</v>
      </c>
      <c r="P1512" s="670" t="str">
        <f>VLOOKUP(A1512,'[1]Raw data'!$B:$BA,23,FALSE)</f>
        <v>JPY</v>
      </c>
      <c r="Q1512" s="652" t="str">
        <f>VLOOKUP(A1512,'[1]Raw data'!$B:$Z,2,FALSE)</f>
        <v>C49SZX20230128SX</v>
      </c>
      <c r="R1512" s="652" t="str">
        <f>VLOOKUP(A1512,'[1]Raw data'!$B:$Z,3,FALSE)</f>
        <v>江西奕东</v>
      </c>
      <c r="S1512" s="652" t="str">
        <f>VLOOKUP(A1512,'[1]Raw data'!$B:$Z,4,FALSE)</f>
        <v>YSM10</v>
      </c>
      <c r="T1512" s="652" t="str">
        <f>VLOOKUP(A1512,'[1]Raw data'!$B:$Z,8,FALSE)</f>
        <v>L-&gt;R</v>
      </c>
      <c r="U1512" s="652" t="str">
        <f>VLOOKUP(A1512,'[1]Raw data'!$B:$Z,9,FALSE)</f>
        <v>MVC+ATS15</v>
      </c>
      <c r="V1512" s="572" t="str">
        <f t="shared" si="351"/>
        <v>WRONG</v>
      </c>
      <c r="W1512" s="568" t="str">
        <f>VLOOKUP(A1512,'[1]Raw data'!$B:$AG,32,FALSE)</f>
        <v>DAP JX</v>
      </c>
      <c r="X1512" s="662">
        <f>VLOOKUP(A1512,'[1]Raw data'!$B:$BA,31,FALSE)</f>
        <v>45250</v>
      </c>
      <c r="Y1512" s="652" t="str">
        <f>VLOOKUP(A1512,'[1]Raw data'!$B:$AS,39,FALSE)</f>
        <v>Yes</v>
      </c>
      <c r="Z1512" s="664"/>
      <c r="AA1512" s="665"/>
      <c r="AB1512" s="666"/>
      <c r="AC1512" s="652" t="s">
        <v>4411</v>
      </c>
      <c r="AD1512" s="667">
        <v>301</v>
      </c>
      <c r="AE1512" s="667">
        <v>10</v>
      </c>
      <c r="AF1512" s="667"/>
      <c r="AG1512" s="667"/>
      <c r="AH1512" s="667"/>
      <c r="AI1512" s="668"/>
      <c r="AN1512" s="547"/>
      <c r="AO1512" s="829" t="str">
        <f t="shared" si="341"/>
        <v>Yes</v>
      </c>
      <c r="AP1512" s="259" t="str">
        <f t="shared" si="342"/>
        <v>NOV 23</v>
      </c>
      <c r="AQ1512" s="547" t="str">
        <f t="shared" si="343"/>
        <v>有定金+有預留客戶</v>
      </c>
      <c r="AR1512" s="259" t="str">
        <f t="shared" si="344"/>
        <v>Shipped_Stock</v>
      </c>
      <c r="AS1512" s="259" t="str">
        <f t="shared" si="345"/>
        <v/>
      </c>
      <c r="AT1512" s="259" t="str">
        <f t="shared" si="346"/>
        <v>江西奕东</v>
      </c>
      <c r="AU1512" s="259" t="str">
        <f t="shared" si="347"/>
        <v>C49SZX20230128SX</v>
      </c>
      <c r="AV1512" s="259" t="str">
        <f t="shared" si="348"/>
        <v>Sep-06</v>
      </c>
    </row>
    <row r="1513" spans="1:48" ht="36" hidden="1">
      <c r="A1513" s="564">
        <v>1932</v>
      </c>
      <c r="B1513" s="669" t="s">
        <v>1125</v>
      </c>
      <c r="C1513" s="669" t="s">
        <v>281</v>
      </c>
      <c r="D1513" s="650" t="s">
        <v>4070</v>
      </c>
      <c r="E1513" s="749" t="s">
        <v>236</v>
      </c>
      <c r="F1513" s="652" t="s">
        <v>17</v>
      </c>
      <c r="G1513" s="652" t="s">
        <v>24</v>
      </c>
      <c r="H1513" s="652" t="s">
        <v>4065</v>
      </c>
      <c r="I1513" s="580" t="s">
        <v>4178</v>
      </c>
      <c r="J1513" s="580">
        <v>1</v>
      </c>
      <c r="K1513" s="652" t="s">
        <v>78</v>
      </c>
      <c r="L1513" s="662">
        <v>45194</v>
      </c>
      <c r="M1513" s="670" t="s">
        <v>4072</v>
      </c>
      <c r="N1513" s="652" t="s">
        <v>4169</v>
      </c>
      <c r="O1513" s="580">
        <v>2023.9</v>
      </c>
      <c r="P1513" s="670" t="str">
        <f>VLOOKUP(A1513,'[1]Raw data'!$B:$BA,23,FALSE)</f>
        <v>USD</v>
      </c>
      <c r="Q1513" s="652" t="str">
        <f>VLOOKUP(A1513,'[1]Raw data'!$B:$Z,2,FALSE)</f>
        <v>C49SZX20230076JL/4600002395</v>
      </c>
      <c r="R1513" s="652" t="str">
        <f>VLOOKUP(A1513,'[1]Raw data'!$B:$Z,3,FALSE)</f>
        <v>高伟</v>
      </c>
      <c r="S1513" s="652" t="str">
        <f>VLOOKUP(A1513,'[1]Raw data'!$B:$Z,4,FALSE)</f>
        <v>YSM10</v>
      </c>
      <c r="T1513" s="652" t="str">
        <f>VLOOKUP(A1513,'[1]Raw data'!$B:$Z,8,FALSE)</f>
        <v>L-&gt;R</v>
      </c>
      <c r="U1513" s="652" t="str">
        <f>VLOOKUP(A1513,'[1]Raw data'!$B:$Z,9,FALSE)</f>
        <v>MVC+ATS15(with 5 heads)</v>
      </c>
      <c r="V1513" s="572" t="str">
        <f t="shared" ref="V1513:V1517" si="352">IF(G1513&amp;H1513=T1513&amp;U1513,"OK","WRONG")</f>
        <v>WRONG</v>
      </c>
      <c r="W1513" s="568" t="str">
        <f>VLOOKUP(A1513,'[1]Raw data'!$B:$AG,32,FALSE)</f>
        <v>CIF HK</v>
      </c>
      <c r="X1513" s="662">
        <f>VLOOKUP(A1513,'[1]Raw data'!$B:$BA,31,FALSE)</f>
        <v>45104</v>
      </c>
      <c r="Y1513" s="652" t="str">
        <f>VLOOKUP(A1513,'[1]Raw data'!$B:$AS,39,FALSE)</f>
        <v>Yes</v>
      </c>
      <c r="Z1513" s="664"/>
      <c r="AA1513" s="665"/>
      <c r="AB1513" s="666"/>
      <c r="AC1513" s="652" t="s">
        <v>4336</v>
      </c>
      <c r="AD1513" s="667">
        <v>301</v>
      </c>
      <c r="AE1513" s="667">
        <v>5</v>
      </c>
      <c r="AF1513" s="667"/>
      <c r="AG1513" s="667"/>
      <c r="AH1513" s="667"/>
      <c r="AI1513" s="668"/>
      <c r="AN1513" s="547"/>
      <c r="AO1513" s="829" t="str">
        <f t="shared" si="341"/>
        <v>Yes</v>
      </c>
      <c r="AP1513" s="259" t="str">
        <f t="shared" si="342"/>
        <v>SEP 23</v>
      </c>
      <c r="AQ1513" s="547" t="str">
        <f t="shared" si="343"/>
        <v>有定金+有預留客戶</v>
      </c>
      <c r="AR1513" s="259" t="str">
        <f t="shared" si="344"/>
        <v>Shipped_Stock</v>
      </c>
      <c r="AS1513" s="259" t="str">
        <f t="shared" si="345"/>
        <v/>
      </c>
      <c r="AT1513" s="259" t="str">
        <f t="shared" si="346"/>
        <v>高伟</v>
      </c>
      <c r="AU1513" s="259" t="str">
        <f t="shared" si="347"/>
        <v>C49SZX20230076JL/4600002395</v>
      </c>
      <c r="AV1513" s="259" t="str">
        <f t="shared" si="348"/>
        <v>Sep-25</v>
      </c>
    </row>
    <row r="1514" spans="1:48" hidden="1">
      <c r="A1514" s="564">
        <v>2024</v>
      </c>
      <c r="B1514" s="669" t="s">
        <v>1125</v>
      </c>
      <c r="C1514" s="669" t="s">
        <v>281</v>
      </c>
      <c r="D1514" s="650">
        <v>111361</v>
      </c>
      <c r="E1514" s="749" t="s">
        <v>236</v>
      </c>
      <c r="F1514" s="652" t="s">
        <v>17</v>
      </c>
      <c r="G1514" s="652" t="s">
        <v>18</v>
      </c>
      <c r="H1514" s="652" t="s">
        <v>19</v>
      </c>
      <c r="I1514" s="580" t="s">
        <v>4179</v>
      </c>
      <c r="J1514" s="580">
        <v>1</v>
      </c>
      <c r="K1514" s="652" t="s">
        <v>1732</v>
      </c>
      <c r="L1514" s="662">
        <v>45194</v>
      </c>
      <c r="M1514" s="670">
        <v>0.05</v>
      </c>
      <c r="N1514" s="652" t="s">
        <v>4344</v>
      </c>
      <c r="O1514" s="580">
        <v>2023.9</v>
      </c>
      <c r="P1514" s="670" t="str">
        <f>VLOOKUP(A1514,'[1]Raw data'!$B:$BA,23,FALSE)</f>
        <v>JPY</v>
      </c>
      <c r="Q1514" s="652" t="str">
        <f>VLOOKUP(A1514,'[1]Raw data'!$B:$Z,2,FALSE)</f>
        <v>C49SZX20230128SX</v>
      </c>
      <c r="R1514" s="652" t="str">
        <f>VLOOKUP(A1514,'[1]Raw data'!$B:$Z,3,FALSE)</f>
        <v>江西奕东</v>
      </c>
      <c r="S1514" s="652" t="str">
        <f>VLOOKUP(A1514,'[1]Raw data'!$B:$Z,4,FALSE)</f>
        <v>YSM10</v>
      </c>
      <c r="T1514" s="652" t="str">
        <f>VLOOKUP(A1514,'[1]Raw data'!$B:$Z,8,FALSE)</f>
        <v>L-&gt;R</v>
      </c>
      <c r="U1514" s="652" t="str">
        <f>VLOOKUP(A1514,'[1]Raw data'!$B:$Z,9,FALSE)</f>
        <v>MVC+ATS15</v>
      </c>
      <c r="V1514" s="572" t="str">
        <f t="shared" si="352"/>
        <v>WRONG</v>
      </c>
      <c r="W1514" s="568" t="str">
        <f>VLOOKUP(A1514,'[1]Raw data'!$B:$AG,32,FALSE)</f>
        <v>DAP JX</v>
      </c>
      <c r="X1514" s="662">
        <f>VLOOKUP(A1514,'[1]Raw data'!$B:$BA,31,FALSE)</f>
        <v>45250</v>
      </c>
      <c r="Y1514" s="652" t="str">
        <f>VLOOKUP(A1514,'[1]Raw data'!$B:$AS,39,FALSE)</f>
        <v>Yes</v>
      </c>
      <c r="Z1514" s="664"/>
      <c r="AA1514" s="665"/>
      <c r="AB1514" s="666"/>
      <c r="AC1514" s="652" t="s">
        <v>4411</v>
      </c>
      <c r="AD1514" s="667">
        <v>301</v>
      </c>
      <c r="AE1514" s="667">
        <v>5</v>
      </c>
      <c r="AF1514" s="667">
        <v>302</v>
      </c>
      <c r="AG1514" s="667">
        <v>5</v>
      </c>
      <c r="AH1514" s="667"/>
      <c r="AI1514" s="668"/>
      <c r="AN1514" s="547"/>
      <c r="AO1514" s="829" t="str">
        <f t="shared" si="341"/>
        <v>Yes</v>
      </c>
      <c r="AP1514" s="259" t="str">
        <f t="shared" si="342"/>
        <v>NOV 23</v>
      </c>
      <c r="AQ1514" s="547" t="str">
        <f t="shared" si="343"/>
        <v>有定金+有預留客戶</v>
      </c>
      <c r="AR1514" s="259" t="str">
        <f t="shared" si="344"/>
        <v>Shipped_Stock</v>
      </c>
      <c r="AS1514" s="259" t="str">
        <f t="shared" si="345"/>
        <v/>
      </c>
      <c r="AT1514" s="259" t="str">
        <f t="shared" si="346"/>
        <v>江西奕东</v>
      </c>
      <c r="AU1514" s="259" t="str">
        <f t="shared" si="347"/>
        <v>C49SZX20230128SX</v>
      </c>
      <c r="AV1514" s="259" t="str">
        <f t="shared" si="348"/>
        <v>Sep-25</v>
      </c>
    </row>
    <row r="1515" spans="1:48" hidden="1">
      <c r="A1515" s="564">
        <v>2046</v>
      </c>
      <c r="B1515" s="669" t="s">
        <v>1125</v>
      </c>
      <c r="C1515" s="669" t="s">
        <v>281</v>
      </c>
      <c r="D1515" s="650">
        <v>111361</v>
      </c>
      <c r="E1515" s="749" t="s">
        <v>236</v>
      </c>
      <c r="F1515" s="652" t="s">
        <v>17</v>
      </c>
      <c r="G1515" s="652" t="s">
        <v>18</v>
      </c>
      <c r="H1515" s="652" t="s">
        <v>26</v>
      </c>
      <c r="I1515" s="580" t="s">
        <v>4180</v>
      </c>
      <c r="J1515" s="580">
        <v>1</v>
      </c>
      <c r="K1515" s="652" t="s">
        <v>1732</v>
      </c>
      <c r="L1515" s="662">
        <v>45194</v>
      </c>
      <c r="M1515" s="670">
        <v>0.05</v>
      </c>
      <c r="N1515" s="652" t="s">
        <v>4375</v>
      </c>
      <c r="O1515" s="580">
        <v>2023.8</v>
      </c>
      <c r="P1515" s="670" t="str">
        <f>VLOOKUP(A1515,'[1]Raw data'!$B:$BA,23,FALSE)</f>
        <v>JPY</v>
      </c>
      <c r="Q1515" s="652" t="str">
        <f>VLOOKUP(A1515,'[1]Raw data'!$B:$Z,2,FALSE)</f>
        <v>C49SZX20230142MZ</v>
      </c>
      <c r="R1515" s="652" t="str">
        <f>VLOOKUP(A1515,'[1]Raw data'!$B:$Z,3,FALSE)</f>
        <v>朗格邦定</v>
      </c>
      <c r="S1515" s="652" t="str">
        <f>VLOOKUP(A1515,'[1]Raw data'!$B:$Z,4,FALSE)</f>
        <v>YSM10</v>
      </c>
      <c r="T1515" s="652" t="str">
        <f>VLOOKUP(A1515,'[1]Raw data'!$B:$Z,8,FALSE)</f>
        <v>R-&gt;L</v>
      </c>
      <c r="U1515" s="652" t="str">
        <f>VLOOKUP(A1515,'[1]Raw data'!$B:$Z,9,FALSE)</f>
        <v>MVC</v>
      </c>
      <c r="V1515" s="572" t="str">
        <f t="shared" si="352"/>
        <v>WRONG</v>
      </c>
      <c r="W1515" s="568" t="str">
        <f>VLOOKUP(A1515,'[1]Raw data'!$B:$AG,32,FALSE)</f>
        <v>DAP SZ</v>
      </c>
      <c r="X1515" s="662">
        <f>VLOOKUP(A1515,'[1]Raw data'!$B:$BA,31,FALSE)</f>
        <v>45271</v>
      </c>
      <c r="Y1515" s="652" t="str">
        <f>VLOOKUP(A1515,'[1]Raw data'!$B:$AS,39,FALSE)</f>
        <v>Yes</v>
      </c>
      <c r="Z1515" s="664"/>
      <c r="AA1515" s="665"/>
      <c r="AB1515" s="666"/>
      <c r="AC1515" s="652" t="s">
        <v>4554</v>
      </c>
      <c r="AD1515" s="667">
        <v>301</v>
      </c>
      <c r="AE1515" s="667">
        <v>5</v>
      </c>
      <c r="AF1515" s="667">
        <v>302</v>
      </c>
      <c r="AG1515" s="667">
        <v>5</v>
      </c>
      <c r="AH1515" s="667"/>
      <c r="AI1515" s="668"/>
      <c r="AN1515" s="547"/>
      <c r="AO1515" s="829" t="str">
        <f t="shared" si="341"/>
        <v>Yes</v>
      </c>
      <c r="AP1515" s="259" t="str">
        <f t="shared" si="342"/>
        <v>JAN 24</v>
      </c>
      <c r="AQ1515" s="547" t="str">
        <f t="shared" si="343"/>
        <v>有定金+有預留客戶</v>
      </c>
      <c r="AR1515" s="259" t="str">
        <f t="shared" si="344"/>
        <v>Shipped_Stock</v>
      </c>
      <c r="AS1515" s="259" t="str">
        <f t="shared" si="345"/>
        <v/>
      </c>
      <c r="AT1515" s="259" t="str">
        <f t="shared" si="346"/>
        <v>朗格邦定</v>
      </c>
      <c r="AU1515" s="259" t="str">
        <f t="shared" si="347"/>
        <v>C49SZX20230142MZ</v>
      </c>
      <c r="AV1515" s="259" t="str">
        <f t="shared" si="348"/>
        <v>Sep-25</v>
      </c>
    </row>
    <row r="1516" spans="1:48" ht="33.75">
      <c r="A1516" s="564">
        <v>2098</v>
      </c>
      <c r="B1516" s="802" t="s">
        <v>75</v>
      </c>
      <c r="C1516" s="802" t="s">
        <v>281</v>
      </c>
      <c r="D1516" s="803">
        <v>111361</v>
      </c>
      <c r="E1516" s="804" t="s">
        <v>236</v>
      </c>
      <c r="F1516" s="715" t="s">
        <v>17</v>
      </c>
      <c r="G1516" s="715" t="s">
        <v>18</v>
      </c>
      <c r="H1516" s="715" t="s">
        <v>26</v>
      </c>
      <c r="I1516" s="667" t="s">
        <v>4181</v>
      </c>
      <c r="J1516" s="667">
        <v>1</v>
      </c>
      <c r="K1516" s="715" t="s">
        <v>1419</v>
      </c>
      <c r="L1516" s="805">
        <v>45194</v>
      </c>
      <c r="M1516" s="831" t="s">
        <v>4535</v>
      </c>
      <c r="N1516" s="652" t="s">
        <v>4528</v>
      </c>
      <c r="O1516" s="580">
        <v>2023.8</v>
      </c>
      <c r="P1516" s="722" t="str">
        <f>VLOOKUP(A1516,'[1]Raw data'!$B:$BA,23,FALSE)</f>
        <v>JPY</v>
      </c>
      <c r="Q1516" s="715" t="str">
        <f>VLOOKUP(A1516,'[1]Raw data'!$B:$Z,2,FALSE)</f>
        <v>C49SZX20240029JY</v>
      </c>
      <c r="R1516" s="715" t="str">
        <f>VLOOKUP(A1516,'[1]Raw data'!$B:$Z,3,FALSE)</f>
        <v>建航</v>
      </c>
      <c r="S1516" s="715" t="str">
        <f>VLOOKUP(A1516,'[1]Raw data'!$B:$Z,4,FALSE)</f>
        <v>YSM10</v>
      </c>
      <c r="T1516" s="715" t="str">
        <f>VLOOKUP(A1516,'[1]Raw data'!$B:$Z,8,FALSE)</f>
        <v>L-&gt;R</v>
      </c>
      <c r="U1516" s="715" t="str">
        <f>VLOOKUP(A1516,'[1]Raw data'!$B:$Z,9,FALSE)</f>
        <v>MVC</v>
      </c>
      <c r="V1516" s="714" t="str">
        <f t="shared" si="352"/>
        <v>WRONG</v>
      </c>
      <c r="W1516" s="806" t="str">
        <f>VLOOKUP(A1516,'[1]Raw data'!$B:$AG,32,FALSE)</f>
        <v>DAP SZ</v>
      </c>
      <c r="X1516" s="805">
        <f>VLOOKUP(A1516,'[1]Raw data'!$B:$BA,31,FALSE)</f>
        <v>45344</v>
      </c>
      <c r="Y1516" s="715" t="str">
        <f>VLOOKUP(A1516,'[1]Raw data'!$B:$AS,39,FALSE)</f>
        <v>Yes</v>
      </c>
      <c r="Z1516" s="664"/>
      <c r="AA1516" s="665"/>
      <c r="AB1516" s="666"/>
      <c r="AC1516" s="715"/>
      <c r="AD1516" s="667">
        <v>301</v>
      </c>
      <c r="AE1516" s="667">
        <v>5</v>
      </c>
      <c r="AF1516" s="667">
        <v>302</v>
      </c>
      <c r="AG1516" s="667">
        <v>5</v>
      </c>
      <c r="AH1516" s="667"/>
      <c r="AI1516" s="668"/>
      <c r="AN1516" s="547"/>
      <c r="AO1516" s="829" t="str">
        <f t="shared" si="341"/>
        <v>Yes</v>
      </c>
      <c r="AP1516" s="259" t="str">
        <f t="shared" si="342"/>
        <v>MAR 24</v>
      </c>
      <c r="AQ1516" s="547" t="str">
        <f t="shared" si="343"/>
        <v>有定金+有預留客戶</v>
      </c>
      <c r="AR1516" s="259" t="str">
        <f t="shared" si="344"/>
        <v>Instock</v>
      </c>
      <c r="AS1516" s="259" t="str">
        <f t="shared" si="345"/>
        <v/>
      </c>
      <c r="AT1516" s="259" t="str">
        <f t="shared" si="346"/>
        <v>建航</v>
      </c>
      <c r="AU1516" s="259" t="str">
        <f t="shared" si="347"/>
        <v>C49SZX20240029JY</v>
      </c>
      <c r="AV1516" s="259" t="str">
        <f t="shared" si="348"/>
        <v>Sep-25</v>
      </c>
    </row>
    <row r="1517" spans="1:48" hidden="1">
      <c r="A1517" s="564">
        <v>2086</v>
      </c>
      <c r="B1517" s="802" t="s">
        <v>1125</v>
      </c>
      <c r="C1517" s="802" t="s">
        <v>281</v>
      </c>
      <c r="D1517" s="803">
        <v>111361</v>
      </c>
      <c r="E1517" s="804" t="s">
        <v>236</v>
      </c>
      <c r="F1517" s="715" t="s">
        <v>17</v>
      </c>
      <c r="G1517" s="715" t="s">
        <v>18</v>
      </c>
      <c r="H1517" s="715" t="s">
        <v>26</v>
      </c>
      <c r="I1517" s="667" t="s">
        <v>4182</v>
      </c>
      <c r="J1517" s="667">
        <v>1</v>
      </c>
      <c r="K1517" s="715" t="s">
        <v>1732</v>
      </c>
      <c r="L1517" s="805">
        <v>45194</v>
      </c>
      <c r="M1517" s="722">
        <v>0.05</v>
      </c>
      <c r="N1517" s="652" t="s">
        <v>4417</v>
      </c>
      <c r="O1517" s="580">
        <v>2023.8</v>
      </c>
      <c r="P1517" s="807" t="str">
        <f>VLOOKUP(A1517,'[1]Raw data'!$B:$BA,23,FALSE)</f>
        <v>JPY</v>
      </c>
      <c r="Q1517" s="808" t="str">
        <f>VLOOKUP(A1517,'[1]Raw data'!$B:$Z,2,FALSE)</f>
        <v>C49SZX20240013SX</v>
      </c>
      <c r="R1517" s="808" t="str">
        <f>VLOOKUP(A1517,'[1]Raw data'!$B:$Z,3,FALSE)</f>
        <v>江西优控</v>
      </c>
      <c r="S1517" s="715" t="str">
        <f>VLOOKUP(A1517,'[1]Raw data'!$B:$Z,4,FALSE)</f>
        <v>YSM10</v>
      </c>
      <c r="T1517" s="715" t="str">
        <f>VLOOKUP(A1517,'[1]Raw data'!$B:$Z,8,FALSE)</f>
        <v>L-&gt;R</v>
      </c>
      <c r="U1517" s="715" t="str">
        <f>VLOOKUP(A1517,'[1]Raw data'!$B:$Z,9,FALSE)</f>
        <v>MVC</v>
      </c>
      <c r="V1517" s="714" t="str">
        <f t="shared" si="352"/>
        <v>WRONG</v>
      </c>
      <c r="W1517" s="806" t="str">
        <f>VLOOKUP(A1517,'[1]Raw data'!$B:$AG,32,FALSE)</f>
        <v>DAP JX</v>
      </c>
      <c r="X1517" s="805">
        <f>VLOOKUP(A1517,'[1]Raw data'!$B:$BA,31,FALSE)</f>
        <v>45314</v>
      </c>
      <c r="Y1517" s="715" t="str">
        <f>VLOOKUP(A1517,'[1]Raw data'!$B:$AS,39,FALSE)</f>
        <v>Yes</v>
      </c>
      <c r="Z1517" s="664"/>
      <c r="AA1517" s="665"/>
      <c r="AB1517" s="666"/>
      <c r="AC1517" s="715"/>
      <c r="AD1517" s="667">
        <v>301</v>
      </c>
      <c r="AE1517" s="667">
        <v>5</v>
      </c>
      <c r="AF1517" s="667">
        <v>302</v>
      </c>
      <c r="AG1517" s="667">
        <v>5</v>
      </c>
      <c r="AH1517" s="667"/>
      <c r="AI1517" s="668"/>
      <c r="AN1517" s="547"/>
      <c r="AO1517" s="829" t="str">
        <f t="shared" si="341"/>
        <v>Yes</v>
      </c>
      <c r="AP1517" s="259" t="str">
        <f t="shared" si="342"/>
        <v>FEB 24</v>
      </c>
      <c r="AQ1517" s="547" t="str">
        <f t="shared" si="343"/>
        <v>有定金+有預留客戶</v>
      </c>
      <c r="AR1517" s="259" t="str">
        <f t="shared" si="344"/>
        <v>Shipped_Stock</v>
      </c>
      <c r="AS1517" s="259" t="str">
        <f t="shared" si="345"/>
        <v/>
      </c>
      <c r="AT1517" s="259" t="str">
        <f t="shared" si="346"/>
        <v>江西优控</v>
      </c>
      <c r="AU1517" s="259" t="str">
        <f t="shared" si="347"/>
        <v>C49SZX20240013SX</v>
      </c>
      <c r="AV1517" s="259" t="str">
        <f t="shared" si="348"/>
        <v>Sep-25</v>
      </c>
    </row>
    <row r="1518" spans="1:48" ht="22.5" hidden="1">
      <c r="A1518" s="564">
        <v>2085</v>
      </c>
      <c r="B1518" s="802" t="s">
        <v>1125</v>
      </c>
      <c r="C1518" s="802" t="s">
        <v>281</v>
      </c>
      <c r="D1518" s="803">
        <v>111362</v>
      </c>
      <c r="E1518" s="804" t="s">
        <v>236</v>
      </c>
      <c r="F1518" s="715" t="s">
        <v>58</v>
      </c>
      <c r="G1518" s="715" t="s">
        <v>24</v>
      </c>
      <c r="H1518" s="715" t="s">
        <v>26</v>
      </c>
      <c r="I1518" s="667" t="s">
        <v>4286</v>
      </c>
      <c r="J1518" s="667">
        <v>1</v>
      </c>
      <c r="K1518" s="715" t="s">
        <v>1732</v>
      </c>
      <c r="L1518" s="805">
        <v>45205</v>
      </c>
      <c r="M1518" s="831" t="s">
        <v>4579</v>
      </c>
      <c r="N1518" s="652" t="s">
        <v>4417</v>
      </c>
      <c r="O1518" s="580">
        <v>2023.9</v>
      </c>
      <c r="P1518" s="807" t="str">
        <f>VLOOKUP(A1518,'[1]Raw data'!$B:$BA,23,FALSE)</f>
        <v>JPY</v>
      </c>
      <c r="Q1518" s="808" t="str">
        <f>VLOOKUP(A1518,'[1]Raw data'!$B:$Z,2,FALSE)</f>
        <v>C49SZX20240013SX</v>
      </c>
      <c r="R1518" s="808" t="str">
        <f>VLOOKUP(A1518,'[1]Raw data'!$B:$Z,3,FALSE)</f>
        <v>江西优控</v>
      </c>
      <c r="S1518" s="715" t="str">
        <f>VLOOKUP(A1518,'[1]Raw data'!$B:$Z,4,FALSE)</f>
        <v>YSM20R-2</v>
      </c>
      <c r="T1518" s="715" t="str">
        <f>VLOOKUP(A1518,'[1]Raw data'!$B:$Z,8,FALSE)</f>
        <v>L-&gt;R</v>
      </c>
      <c r="U1518" s="715" t="str">
        <f>VLOOKUP(A1518,'[1]Raw data'!$B:$Z,9,FALSE)</f>
        <v>No</v>
      </c>
      <c r="V1518" s="714" t="str">
        <f t="shared" ref="V1518:V1522" si="353">IF(G1518&amp;H1518=T1518&amp;U1518,"OK","WRONG")</f>
        <v>OK</v>
      </c>
      <c r="W1518" s="806" t="str">
        <f>VLOOKUP(A1518,'[1]Raw data'!$B:$AG,32,FALSE)</f>
        <v>DAP JX</v>
      </c>
      <c r="X1518" s="805">
        <f>VLOOKUP(A1518,'[1]Raw data'!$B:$BA,31,FALSE)</f>
        <v>45314</v>
      </c>
      <c r="Y1518" s="715" t="str">
        <f>VLOOKUP(A1518,'[1]Raw data'!$B:$AS,39,FALSE)</f>
        <v>Yes</v>
      </c>
      <c r="Z1518" s="664"/>
      <c r="AA1518" s="665"/>
      <c r="AB1518" s="666"/>
      <c r="AC1518" s="715"/>
      <c r="AD1518" s="667">
        <v>303</v>
      </c>
      <c r="AE1518" s="667">
        <v>10</v>
      </c>
      <c r="AF1518" s="667">
        <v>302</v>
      </c>
      <c r="AG1518" s="667">
        <v>5</v>
      </c>
      <c r="AH1518" s="667">
        <v>313</v>
      </c>
      <c r="AI1518" s="668">
        <v>5</v>
      </c>
      <c r="AN1518" s="547"/>
      <c r="AO1518" s="829" t="str">
        <f t="shared" si="341"/>
        <v>Yes</v>
      </c>
      <c r="AP1518" s="259" t="str">
        <f t="shared" si="342"/>
        <v>FEB 24</v>
      </c>
      <c r="AQ1518" s="547" t="str">
        <f t="shared" si="343"/>
        <v>有定金+有預留客戶</v>
      </c>
      <c r="AR1518" s="259" t="str">
        <f t="shared" si="344"/>
        <v>Shipped_Stock</v>
      </c>
      <c r="AS1518" s="259" t="str">
        <f t="shared" si="345"/>
        <v/>
      </c>
      <c r="AT1518" s="259" t="str">
        <f t="shared" si="346"/>
        <v>江西优控</v>
      </c>
      <c r="AU1518" s="259" t="str">
        <f t="shared" si="347"/>
        <v>C49SZX20240013SX</v>
      </c>
      <c r="AV1518" s="259" t="str">
        <f t="shared" si="348"/>
        <v>Oct-06</v>
      </c>
    </row>
    <row r="1519" spans="1:48">
      <c r="B1519" s="802" t="s">
        <v>75</v>
      </c>
      <c r="C1519" s="802" t="s">
        <v>281</v>
      </c>
      <c r="D1519" s="803">
        <v>111362</v>
      </c>
      <c r="E1519" s="804" t="s">
        <v>236</v>
      </c>
      <c r="F1519" s="715" t="s">
        <v>58</v>
      </c>
      <c r="G1519" s="715" t="s">
        <v>24</v>
      </c>
      <c r="H1519" s="715" t="s">
        <v>26</v>
      </c>
      <c r="I1519" s="845" t="s">
        <v>4605</v>
      </c>
      <c r="J1519" s="667">
        <v>1</v>
      </c>
      <c r="K1519" s="715" t="s">
        <v>1732</v>
      </c>
      <c r="L1519" s="805">
        <v>45205</v>
      </c>
      <c r="M1519" s="846">
        <v>0.05</v>
      </c>
      <c r="N1519" s="652"/>
      <c r="O1519" s="580">
        <v>2023.9</v>
      </c>
      <c r="P1519" s="722" t="e">
        <f>VLOOKUP(A1519,'[1]Raw data'!$B:$BA,23,FALSE)</f>
        <v>#N/A</v>
      </c>
      <c r="Q1519" s="715" t="e">
        <f>VLOOKUP(A1519,'[1]Raw data'!$B:$Z,2,FALSE)</f>
        <v>#N/A</v>
      </c>
      <c r="R1519" s="715" t="e">
        <f>VLOOKUP(A1519,'[1]Raw data'!$B:$Z,3,FALSE)</f>
        <v>#N/A</v>
      </c>
      <c r="S1519" s="715" t="e">
        <f>VLOOKUP(A1519,'[1]Raw data'!$B:$Z,4,FALSE)</f>
        <v>#N/A</v>
      </c>
      <c r="T1519" s="715" t="e">
        <f>VLOOKUP(A1519,'[1]Raw data'!$B:$Z,8,FALSE)</f>
        <v>#N/A</v>
      </c>
      <c r="U1519" s="715" t="e">
        <f>VLOOKUP(A1519,'[1]Raw data'!$B:$Z,9,FALSE)</f>
        <v>#N/A</v>
      </c>
      <c r="V1519" s="714" t="e">
        <f t="shared" si="353"/>
        <v>#N/A</v>
      </c>
      <c r="W1519" s="806" t="e">
        <f>VLOOKUP(A1519,'[1]Raw data'!$B:$AG,32,FALSE)</f>
        <v>#N/A</v>
      </c>
      <c r="X1519" s="805" t="e">
        <f>VLOOKUP(A1519,'[1]Raw data'!$B:$BA,31,FALSE)</f>
        <v>#N/A</v>
      </c>
      <c r="Y1519" s="715" t="e">
        <f>VLOOKUP(A1519,'[1]Raw data'!$B:$AS,39,FALSE)</f>
        <v>#N/A</v>
      </c>
      <c r="Z1519" s="664"/>
      <c r="AA1519" s="665"/>
      <c r="AB1519" s="666"/>
      <c r="AC1519" s="715"/>
      <c r="AD1519" s="667">
        <v>303</v>
      </c>
      <c r="AE1519" s="667">
        <v>10</v>
      </c>
      <c r="AF1519" s="667">
        <v>313</v>
      </c>
      <c r="AG1519" s="667">
        <v>10</v>
      </c>
      <c r="AH1519" s="667"/>
      <c r="AI1519" s="668"/>
      <c r="AN1519" s="547"/>
      <c r="AO1519" s="829" t="str">
        <f t="shared" si="341"/>
        <v>No</v>
      </c>
      <c r="AP1519" s="259" t="str">
        <f t="shared" si="342"/>
        <v>blank</v>
      </c>
      <c r="AQ1519" s="547" t="str">
        <f t="shared" si="343"/>
        <v>无定金+无預留客戶</v>
      </c>
      <c r="AR1519" s="259" t="str">
        <f t="shared" si="344"/>
        <v>Instock</v>
      </c>
      <c r="AS1519" s="259" t="str">
        <f t="shared" si="345"/>
        <v/>
      </c>
      <c r="AT1519" s="259" t="str">
        <f t="shared" si="346"/>
        <v>-</v>
      </c>
      <c r="AU1519" s="259" t="str">
        <f t="shared" si="347"/>
        <v>-</v>
      </c>
      <c r="AV1519" s="259" t="str">
        <f t="shared" si="348"/>
        <v>Oct-06</v>
      </c>
    </row>
    <row r="1520" spans="1:48" ht="22.5">
      <c r="A1520" s="564">
        <v>2087</v>
      </c>
      <c r="B1520" s="802" t="s">
        <v>75</v>
      </c>
      <c r="C1520" s="802" t="s">
        <v>281</v>
      </c>
      <c r="D1520" s="803">
        <v>111362</v>
      </c>
      <c r="E1520" s="804" t="s">
        <v>236</v>
      </c>
      <c r="F1520" s="715" t="s">
        <v>58</v>
      </c>
      <c r="G1520" s="715" t="s">
        <v>24</v>
      </c>
      <c r="H1520" s="715" t="s">
        <v>26</v>
      </c>
      <c r="I1520" s="667" t="s">
        <v>4287</v>
      </c>
      <c r="J1520" s="667">
        <v>1</v>
      </c>
      <c r="K1520" s="715" t="s">
        <v>1732</v>
      </c>
      <c r="L1520" s="805">
        <v>45205</v>
      </c>
      <c r="M1520" s="831" t="s">
        <v>4579</v>
      </c>
      <c r="N1520" s="652" t="s">
        <v>4417</v>
      </c>
      <c r="O1520" s="580">
        <v>2023.9</v>
      </c>
      <c r="P1520" s="807" t="str">
        <f>VLOOKUP(A1520,'[1]Raw data'!$B:$BA,23,FALSE)</f>
        <v>USD</v>
      </c>
      <c r="Q1520" s="808" t="str">
        <f>VLOOKUP(A1520,'[1]Raw data'!$B:$Z,2,FALSE)</f>
        <v>C49SZX20240019SX</v>
      </c>
      <c r="R1520" s="808" t="str">
        <f>VLOOKUP(A1520,'[1]Raw data'!$B:$Z,3,FALSE)</f>
        <v>佳日兴（end user:广基达）</v>
      </c>
      <c r="S1520" s="715" t="str">
        <f>VLOOKUP(A1520,'[1]Raw data'!$B:$Z,4,FALSE)</f>
        <v>YSM20R-2</v>
      </c>
      <c r="T1520" s="715" t="str">
        <f>VLOOKUP(A1520,'[1]Raw data'!$B:$Z,8,FALSE)</f>
        <v>L-&gt;R</v>
      </c>
      <c r="U1520" s="715" t="str">
        <f>VLOOKUP(A1520,'[1]Raw data'!$B:$Z,9,FALSE)</f>
        <v>No</v>
      </c>
      <c r="V1520" s="714" t="str">
        <f t="shared" si="353"/>
        <v>OK</v>
      </c>
      <c r="W1520" s="806" t="str">
        <f>VLOOKUP(A1520,'[1]Raw data'!$B:$AG,32,FALSE)</f>
        <v>CIF Vietnam</v>
      </c>
      <c r="X1520" s="805">
        <f>VLOOKUP(A1520,'[1]Raw data'!$B:$BA,31,FALSE)</f>
        <v>45317</v>
      </c>
      <c r="Y1520" s="715" t="str">
        <f>VLOOKUP(A1520,'[1]Raw data'!$B:$AS,39,FALSE)</f>
        <v>Yes</v>
      </c>
      <c r="Z1520" s="664"/>
      <c r="AA1520" s="665"/>
      <c r="AB1520" s="666"/>
      <c r="AC1520" s="715"/>
      <c r="AD1520" s="667">
        <v>303</v>
      </c>
      <c r="AE1520" s="667">
        <v>10</v>
      </c>
      <c r="AF1520" s="667">
        <v>302</v>
      </c>
      <c r="AG1520" s="667">
        <v>5</v>
      </c>
      <c r="AH1520" s="667">
        <v>313</v>
      </c>
      <c r="AI1520" s="668">
        <v>5</v>
      </c>
      <c r="AN1520" s="547"/>
      <c r="AO1520" s="829" t="str">
        <f t="shared" si="341"/>
        <v>Yes</v>
      </c>
      <c r="AP1520" s="259" t="str">
        <f t="shared" si="342"/>
        <v>FEB 24</v>
      </c>
      <c r="AQ1520" s="547" t="str">
        <f t="shared" si="343"/>
        <v>有定金+有預留客戶</v>
      </c>
      <c r="AR1520" s="259" t="str">
        <f t="shared" si="344"/>
        <v>Instock</v>
      </c>
      <c r="AS1520" s="259" t="str">
        <f t="shared" si="345"/>
        <v/>
      </c>
      <c r="AT1520" s="259" t="str">
        <f t="shared" si="346"/>
        <v>佳日兴（end user:广基达）</v>
      </c>
      <c r="AU1520" s="259" t="str">
        <f t="shared" si="347"/>
        <v>C49SZX20240019SX</v>
      </c>
      <c r="AV1520" s="259" t="str">
        <f t="shared" si="348"/>
        <v>Oct-06</v>
      </c>
    </row>
    <row r="1521" spans="1:48">
      <c r="A1521" s="564">
        <v>2093</v>
      </c>
      <c r="B1521" s="802" t="s">
        <v>75</v>
      </c>
      <c r="C1521" s="802" t="s">
        <v>281</v>
      </c>
      <c r="D1521" s="803">
        <v>111362</v>
      </c>
      <c r="E1521" s="804" t="s">
        <v>236</v>
      </c>
      <c r="F1521" s="715" t="s">
        <v>58</v>
      </c>
      <c r="G1521" s="715" t="s">
        <v>24</v>
      </c>
      <c r="H1521" s="715" t="s">
        <v>26</v>
      </c>
      <c r="I1521" s="667" t="s">
        <v>4288</v>
      </c>
      <c r="J1521" s="667">
        <v>1</v>
      </c>
      <c r="K1521" s="715" t="s">
        <v>1732</v>
      </c>
      <c r="L1521" s="805">
        <v>45205</v>
      </c>
      <c r="M1521" s="722">
        <v>0.05</v>
      </c>
      <c r="N1521" s="652"/>
      <c r="O1521" s="580">
        <v>2023.9</v>
      </c>
      <c r="P1521" s="722" t="str">
        <f>VLOOKUP(A1521,'[1]Raw data'!$B:$BA,23,FALSE)</f>
        <v>RMB</v>
      </c>
      <c r="Q1521" s="715" t="str">
        <f>VLOOKUP(A1521,'[1]Raw data'!$B:$Z,2,FALSE)</f>
        <v>C49SZX20240025JL</v>
      </c>
      <c r="R1521" s="715" t="str">
        <f>VLOOKUP(A1521,'[1]Raw data'!$B:$Z,3,FALSE)</f>
        <v>博新</v>
      </c>
      <c r="S1521" s="715" t="str">
        <f>VLOOKUP(A1521,'[1]Raw data'!$B:$Z,4,FALSE)</f>
        <v>YSM20R-2</v>
      </c>
      <c r="T1521" s="715" t="str">
        <f>VLOOKUP(A1521,'[1]Raw data'!$B:$Z,8,FALSE)</f>
        <v>L-&gt;R</v>
      </c>
      <c r="U1521" s="715" t="str">
        <f>VLOOKUP(A1521,'[1]Raw data'!$B:$Z,9,FALSE)</f>
        <v>No</v>
      </c>
      <c r="V1521" s="714" t="str">
        <f t="shared" si="353"/>
        <v>OK</v>
      </c>
      <c r="W1521" s="806" t="str">
        <f>VLOOKUP(A1521,'[1]Raw data'!$B:$AG,32,FALSE)</f>
        <v>DDP SZ</v>
      </c>
      <c r="X1521" s="805">
        <f>VLOOKUP(A1521,'[1]Raw data'!$B:$BA,31,FALSE)</f>
        <v>45322</v>
      </c>
      <c r="Y1521" s="715" t="str">
        <f>VLOOKUP(A1521,'[1]Raw data'!$B:$AS,39,FALSE)</f>
        <v>No</v>
      </c>
      <c r="Z1521" s="664"/>
      <c r="AA1521" s="665"/>
      <c r="AB1521" s="666"/>
      <c r="AC1521" s="715"/>
      <c r="AD1521" s="667">
        <v>303</v>
      </c>
      <c r="AE1521" s="667">
        <v>10</v>
      </c>
      <c r="AF1521" s="667">
        <v>302</v>
      </c>
      <c r="AG1521" s="667">
        <v>5</v>
      </c>
      <c r="AH1521" s="667">
        <v>313</v>
      </c>
      <c r="AI1521" s="668">
        <v>5</v>
      </c>
      <c r="AN1521" s="547"/>
      <c r="AO1521" s="829" t="str">
        <f t="shared" si="341"/>
        <v>No</v>
      </c>
      <c r="AP1521" s="259" t="str">
        <f t="shared" si="342"/>
        <v>blank</v>
      </c>
      <c r="AQ1521" s="547" t="str">
        <f t="shared" si="343"/>
        <v>无定金+无預留客戶</v>
      </c>
      <c r="AR1521" s="259" t="str">
        <f t="shared" si="344"/>
        <v>Instock</v>
      </c>
      <c r="AS1521" s="259" t="str">
        <f t="shared" si="345"/>
        <v/>
      </c>
      <c r="AT1521" s="259" t="str">
        <f t="shared" si="346"/>
        <v>博新</v>
      </c>
      <c r="AU1521" s="259" t="str">
        <f t="shared" si="347"/>
        <v>C49SZX20240025JL</v>
      </c>
      <c r="AV1521" s="259" t="str">
        <f t="shared" si="348"/>
        <v>Oct-06</v>
      </c>
    </row>
    <row r="1522" spans="1:48">
      <c r="A1522" s="564">
        <v>2061</v>
      </c>
      <c r="B1522" s="802" t="s">
        <v>75</v>
      </c>
      <c r="C1522" s="802" t="s">
        <v>281</v>
      </c>
      <c r="D1522" s="803">
        <v>111362</v>
      </c>
      <c r="E1522" s="804" t="s">
        <v>236</v>
      </c>
      <c r="F1522" s="715" t="s">
        <v>58</v>
      </c>
      <c r="G1522" s="715" t="s">
        <v>24</v>
      </c>
      <c r="H1522" s="715" t="s">
        <v>26</v>
      </c>
      <c r="I1522" s="667" t="s">
        <v>4289</v>
      </c>
      <c r="J1522" s="667">
        <v>1</v>
      </c>
      <c r="K1522" s="715" t="s">
        <v>1732</v>
      </c>
      <c r="L1522" s="805">
        <v>45205</v>
      </c>
      <c r="M1522" s="722">
        <v>0.05</v>
      </c>
      <c r="N1522" s="652" t="s">
        <v>4417</v>
      </c>
      <c r="O1522" s="580">
        <v>2023.9</v>
      </c>
      <c r="P1522" s="807" t="str">
        <f>VLOOKUP(A1522,'[1]Raw data'!$B:$BA,23,FALSE)</f>
        <v>JPY</v>
      </c>
      <c r="Q1522" s="808" t="str">
        <f>VLOOKUP(A1522,'[1]Raw data'!$B:$Z,2,FALSE)</f>
        <v>C49SZX20240001JY</v>
      </c>
      <c r="R1522" s="808" t="str">
        <f>VLOOKUP(A1522,'[1]Raw data'!$B:$Z,3,FALSE)</f>
        <v>豫龙辉</v>
      </c>
      <c r="S1522" s="715" t="str">
        <f>VLOOKUP(A1522,'[1]Raw data'!$B:$Z,4,FALSE)</f>
        <v>YSM20R-2</v>
      </c>
      <c r="T1522" s="715" t="str">
        <f>VLOOKUP(A1522,'[1]Raw data'!$B:$Z,8,FALSE)</f>
        <v>L-&gt;R</v>
      </c>
      <c r="U1522" s="715" t="str">
        <f>VLOOKUP(A1522,'[1]Raw data'!$B:$Z,9,FALSE)</f>
        <v>MVC</v>
      </c>
      <c r="V1522" s="714" t="str">
        <f t="shared" si="353"/>
        <v>WRONG</v>
      </c>
      <c r="W1522" s="806" t="str">
        <f>VLOOKUP(A1522,'[1]Raw data'!$B:$AG,32,FALSE)</f>
        <v>DAP SZ</v>
      </c>
      <c r="X1522" s="805">
        <f>VLOOKUP(A1522,'[1]Raw data'!$B:$BA,31,FALSE)</f>
        <v>45303</v>
      </c>
      <c r="Y1522" s="715" t="str">
        <f>VLOOKUP(A1522,'[1]Raw data'!$B:$AS,39,FALSE)</f>
        <v>Yes</v>
      </c>
      <c r="Z1522" s="664"/>
      <c r="AA1522" s="665"/>
      <c r="AB1522" s="666"/>
      <c r="AC1522" s="715"/>
      <c r="AD1522" s="667">
        <v>303</v>
      </c>
      <c r="AE1522" s="667">
        <v>10</v>
      </c>
      <c r="AF1522" s="667">
        <v>302</v>
      </c>
      <c r="AG1522" s="667">
        <v>5</v>
      </c>
      <c r="AH1522" s="667">
        <v>313</v>
      </c>
      <c r="AI1522" s="668">
        <v>5</v>
      </c>
      <c r="AN1522" s="547"/>
      <c r="AO1522" s="829" t="str">
        <f t="shared" si="341"/>
        <v>Yes</v>
      </c>
      <c r="AP1522" s="259" t="str">
        <f t="shared" si="342"/>
        <v>FEB 24</v>
      </c>
      <c r="AQ1522" s="547" t="str">
        <f t="shared" si="343"/>
        <v>有定金+有預留客戶</v>
      </c>
      <c r="AR1522" s="259" t="str">
        <f t="shared" si="344"/>
        <v>Instock</v>
      </c>
      <c r="AS1522" s="259" t="str">
        <f t="shared" si="345"/>
        <v/>
      </c>
      <c r="AT1522" s="259" t="str">
        <f t="shared" si="346"/>
        <v>豫龙辉</v>
      </c>
      <c r="AU1522" s="259" t="str">
        <f t="shared" si="347"/>
        <v>C49SZX20240001JY</v>
      </c>
      <c r="AV1522" s="259" t="str">
        <f t="shared" si="348"/>
        <v>Oct-06</v>
      </c>
    </row>
    <row r="1523" spans="1:48" hidden="1">
      <c r="A1523" s="564">
        <v>1836</v>
      </c>
      <c r="B1523" s="669" t="s">
        <v>1125</v>
      </c>
      <c r="C1523" s="669" t="s">
        <v>4056</v>
      </c>
      <c r="D1523" s="650" t="s">
        <v>4111</v>
      </c>
      <c r="E1523" s="749" t="s">
        <v>2162</v>
      </c>
      <c r="F1523" s="652" t="s">
        <v>201</v>
      </c>
      <c r="G1523" s="652" t="s">
        <v>18</v>
      </c>
      <c r="H1523" s="652" t="s">
        <v>26</v>
      </c>
      <c r="I1523" s="580" t="s">
        <v>4371</v>
      </c>
      <c r="J1523" s="580">
        <v>1</v>
      </c>
      <c r="K1523" s="652" t="s">
        <v>2671</v>
      </c>
      <c r="L1523" s="662">
        <v>45242</v>
      </c>
      <c r="M1523" s="670" t="s">
        <v>4231</v>
      </c>
      <c r="N1523" s="652" t="s">
        <v>4344</v>
      </c>
      <c r="O1523" s="799">
        <v>2023.1</v>
      </c>
      <c r="P1523" s="670" t="str">
        <f>VLOOKUP(A1523,'[1]Raw data'!$B:$BA,23,FALSE)</f>
        <v>JPY</v>
      </c>
      <c r="Q1523" s="652" t="str">
        <f>VLOOKUP(A1523,'[1]Raw data'!$B:$Z,2,FALSE)</f>
        <v>C28SZX20230085MZ</v>
      </c>
      <c r="R1523" s="652" t="str">
        <f>VLOOKUP(A1523,'[1]Raw data'!$B:$Z,3,FALSE)</f>
        <v>东莞鸿楠</v>
      </c>
      <c r="S1523" s="652" t="str">
        <f>VLOOKUP(A1523,'[1]Raw data'!$B:$Z,4,FALSE)</f>
        <v>YSi-V</v>
      </c>
      <c r="T1523" s="652" t="str">
        <f>VLOOKUP(A1523,'[1]Raw data'!$B:$Z,8,FALSE)</f>
        <v>R-&gt;L</v>
      </c>
      <c r="U1523" s="652" t="str">
        <f>VLOOKUP(A1523,'[1]Raw data'!$B:$Z,9,FALSE)</f>
        <v>No</v>
      </c>
      <c r="V1523" s="572" t="str">
        <f>IF(G1523&amp;H1523=T1523&amp;U1523,"OK","WRONG")</f>
        <v>OK</v>
      </c>
      <c r="W1523" s="568" t="str">
        <f>VLOOKUP(A1523,'[1]Raw data'!$B:$AG,32,FALSE)</f>
        <v>CIF HK</v>
      </c>
      <c r="X1523" s="662">
        <f>VLOOKUP(A1523,'[1]Raw data'!$B:$BA,31,FALSE)</f>
        <v>45118</v>
      </c>
      <c r="Y1523" s="652" t="str">
        <f>VLOOKUP(A1523,'[1]Raw data'!$B:$AS,39,FALSE)</f>
        <v>Yes</v>
      </c>
      <c r="Z1523" s="671"/>
      <c r="AA1523" s="672"/>
      <c r="AB1523" s="673"/>
      <c r="AC1523" s="652" t="s">
        <v>1951</v>
      </c>
      <c r="AD1523" s="667"/>
      <c r="AE1523" s="667"/>
      <c r="AF1523" s="667"/>
      <c r="AG1523" s="667"/>
      <c r="AH1523" s="667"/>
      <c r="AI1523" s="668"/>
      <c r="AN1523" s="547"/>
      <c r="AO1523" s="829" t="str">
        <f t="shared" si="341"/>
        <v>Yes</v>
      </c>
      <c r="AP1523" s="259" t="str">
        <f t="shared" si="342"/>
        <v>NOV 23</v>
      </c>
      <c r="AQ1523" s="547" t="str">
        <f t="shared" si="343"/>
        <v>有定金+有預留客戶</v>
      </c>
      <c r="AR1523" s="259" t="str">
        <f t="shared" si="344"/>
        <v>Shipped_Stock</v>
      </c>
      <c r="AS1523" s="259" t="str">
        <f t="shared" si="345"/>
        <v/>
      </c>
      <c r="AT1523" s="259" t="str">
        <f t="shared" si="346"/>
        <v>东莞鸿楠</v>
      </c>
      <c r="AU1523" s="259" t="str">
        <f t="shared" si="347"/>
        <v>C28SZX20230085MZ</v>
      </c>
      <c r="AV1523" s="259" t="str">
        <f t="shared" si="348"/>
        <v>Nov-12</v>
      </c>
    </row>
    <row r="1524" spans="1:48" ht="36" hidden="1">
      <c r="A1524" s="564">
        <v>1967</v>
      </c>
      <c r="B1524" s="669" t="s">
        <v>1125</v>
      </c>
      <c r="C1524" s="669" t="s">
        <v>281</v>
      </c>
      <c r="D1524" s="650" t="s">
        <v>4230</v>
      </c>
      <c r="E1524" s="749" t="s">
        <v>236</v>
      </c>
      <c r="F1524" s="652" t="s">
        <v>17</v>
      </c>
      <c r="G1524" s="652" t="s">
        <v>24</v>
      </c>
      <c r="H1524" s="652" t="s">
        <v>4177</v>
      </c>
      <c r="I1524" s="580" t="s">
        <v>4508</v>
      </c>
      <c r="J1524" s="580">
        <v>1</v>
      </c>
      <c r="K1524" s="652" t="s">
        <v>78</v>
      </c>
      <c r="L1524" s="662">
        <v>45261</v>
      </c>
      <c r="M1524" s="670" t="s">
        <v>4239</v>
      </c>
      <c r="N1524" s="652" t="s">
        <v>4404</v>
      </c>
      <c r="O1524" s="580">
        <v>2023.11</v>
      </c>
      <c r="P1524" s="670" t="str">
        <f>VLOOKUP(A1524,'[1]Raw data'!$B:$BA,23,FALSE)</f>
        <v>USD</v>
      </c>
      <c r="Q1524" s="652" t="str">
        <f>VLOOKUP(A1524,'[1]Raw data'!$B:$Z,2,FALSE)</f>
        <v>C49SZX20230096JL/4600003030</v>
      </c>
      <c r="R1524" s="652" t="str">
        <f>VLOOKUP(A1524,'[1]Raw data'!$B:$Z,3,FALSE)</f>
        <v>高伟</v>
      </c>
      <c r="S1524" s="652" t="str">
        <f>VLOOKUP(A1524,'[1]Raw data'!$B:$Z,4,FALSE)</f>
        <v>YSM10</v>
      </c>
      <c r="T1524" s="652" t="str">
        <f>VLOOKUP(A1524,'[1]Raw data'!$B:$Z,8,FALSE)</f>
        <v>L-&gt;R</v>
      </c>
      <c r="U1524" s="652" t="str">
        <f>VLOOKUP(A1524,'[1]Raw data'!$B:$Z,9,FALSE)</f>
        <v xml:space="preserve">MVC(with 5 heads) </v>
      </c>
      <c r="V1524" s="572" t="str">
        <f t="shared" ref="V1524:V1538" si="354">IF(G1524&amp;H1524=T1524&amp;U1524,"OK","WRONG")</f>
        <v>OK</v>
      </c>
      <c r="W1524" s="568" t="str">
        <f>VLOOKUP(A1524,'[1]Raw data'!$B:$AG,32,FALSE)</f>
        <v>CIF HK</v>
      </c>
      <c r="X1524" s="662">
        <f>VLOOKUP(A1524,'[1]Raw data'!$B:$BA,31,FALSE)</f>
        <v>45159</v>
      </c>
      <c r="Y1524" s="652" t="str">
        <f>VLOOKUP(A1524,'[1]Raw data'!$B:$AS,39,FALSE)</f>
        <v>Yes</v>
      </c>
      <c r="Z1524" s="664"/>
      <c r="AA1524" s="665"/>
      <c r="AB1524" s="666"/>
      <c r="AC1524" s="652" t="s">
        <v>4509</v>
      </c>
      <c r="AD1524" s="667">
        <v>303</v>
      </c>
      <c r="AE1524" s="667">
        <v>5</v>
      </c>
      <c r="AF1524" s="667"/>
      <c r="AG1524" s="667"/>
      <c r="AH1524" s="667"/>
      <c r="AI1524" s="668"/>
      <c r="AN1524" s="547"/>
      <c r="AO1524" s="829" t="str">
        <f t="shared" si="341"/>
        <v>Yes</v>
      </c>
      <c r="AP1524" s="259" t="str">
        <f t="shared" si="342"/>
        <v>DEC 23</v>
      </c>
      <c r="AQ1524" s="547" t="str">
        <f t="shared" si="343"/>
        <v>有定金+有預留客戶</v>
      </c>
      <c r="AR1524" s="259" t="str">
        <f t="shared" si="344"/>
        <v>Shipped_Stock</v>
      </c>
      <c r="AS1524" s="259" t="str">
        <f t="shared" si="345"/>
        <v/>
      </c>
      <c r="AT1524" s="259" t="str">
        <f t="shared" si="346"/>
        <v>高伟</v>
      </c>
      <c r="AU1524" s="259" t="str">
        <f t="shared" si="347"/>
        <v>C49SZX20230096JL/4600003030</v>
      </c>
      <c r="AV1524" s="259" t="str">
        <f t="shared" si="348"/>
        <v>Dec-01</v>
      </c>
    </row>
    <row r="1525" spans="1:48" ht="36" hidden="1">
      <c r="A1525" s="564">
        <v>1968</v>
      </c>
      <c r="B1525" s="669" t="s">
        <v>1125</v>
      </c>
      <c r="C1525" s="669" t="s">
        <v>281</v>
      </c>
      <c r="D1525" s="650" t="s">
        <v>4230</v>
      </c>
      <c r="E1525" s="749" t="s">
        <v>236</v>
      </c>
      <c r="F1525" s="652" t="s">
        <v>17</v>
      </c>
      <c r="G1525" s="652" t="s">
        <v>24</v>
      </c>
      <c r="H1525" s="652" t="s">
        <v>4177</v>
      </c>
      <c r="I1525" s="580" t="s">
        <v>4395</v>
      </c>
      <c r="J1525" s="580">
        <v>1</v>
      </c>
      <c r="K1525" s="652" t="s">
        <v>78</v>
      </c>
      <c r="L1525" s="662">
        <v>45261</v>
      </c>
      <c r="M1525" s="670" t="s">
        <v>4239</v>
      </c>
      <c r="N1525" s="652" t="s">
        <v>4404</v>
      </c>
      <c r="O1525" s="580">
        <v>2023.11</v>
      </c>
      <c r="P1525" s="670" t="str">
        <f>VLOOKUP(A1525,'[1]Raw data'!$B:$BA,23,FALSE)</f>
        <v>USD</v>
      </c>
      <c r="Q1525" s="652" t="str">
        <f>VLOOKUP(A1525,'[1]Raw data'!$B:$Z,2,FALSE)</f>
        <v>C49SZX20230096JL/4600003030</v>
      </c>
      <c r="R1525" s="652" t="str">
        <f>VLOOKUP(A1525,'[1]Raw data'!$B:$Z,3,FALSE)</f>
        <v>高伟</v>
      </c>
      <c r="S1525" s="652" t="str">
        <f>VLOOKUP(A1525,'[1]Raw data'!$B:$Z,4,FALSE)</f>
        <v>YSM10</v>
      </c>
      <c r="T1525" s="652" t="str">
        <f>VLOOKUP(A1525,'[1]Raw data'!$B:$Z,8,FALSE)</f>
        <v>L-&gt;R</v>
      </c>
      <c r="U1525" s="652" t="str">
        <f>VLOOKUP(A1525,'[1]Raw data'!$B:$Z,9,FALSE)</f>
        <v xml:space="preserve">MVC(with 5 heads) </v>
      </c>
      <c r="V1525" s="572" t="str">
        <f t="shared" si="354"/>
        <v>OK</v>
      </c>
      <c r="W1525" s="568" t="str">
        <f>VLOOKUP(A1525,'[1]Raw data'!$B:$AG,32,FALSE)</f>
        <v>CIF HK</v>
      </c>
      <c r="X1525" s="662">
        <f>VLOOKUP(A1525,'[1]Raw data'!$B:$BA,31,FALSE)</f>
        <v>45159</v>
      </c>
      <c r="Y1525" s="652" t="str">
        <f>VLOOKUP(A1525,'[1]Raw data'!$B:$AS,39,FALSE)</f>
        <v>Yes</v>
      </c>
      <c r="Z1525" s="664"/>
      <c r="AA1525" s="665"/>
      <c r="AB1525" s="666"/>
      <c r="AC1525" s="652" t="s">
        <v>4509</v>
      </c>
      <c r="AD1525" s="667">
        <v>301</v>
      </c>
      <c r="AE1525" s="667">
        <v>5</v>
      </c>
      <c r="AF1525" s="667"/>
      <c r="AG1525" s="667"/>
      <c r="AH1525" s="667"/>
      <c r="AI1525" s="668"/>
      <c r="AN1525" s="547"/>
      <c r="AO1525" s="829" t="str">
        <f t="shared" si="341"/>
        <v>Yes</v>
      </c>
      <c r="AP1525" s="259" t="str">
        <f t="shared" si="342"/>
        <v>DEC 23</v>
      </c>
      <c r="AQ1525" s="547" t="str">
        <f t="shared" si="343"/>
        <v>有定金+有預留客戶</v>
      </c>
      <c r="AR1525" s="259" t="str">
        <f t="shared" si="344"/>
        <v>Shipped_Stock</v>
      </c>
      <c r="AS1525" s="259" t="str">
        <f t="shared" si="345"/>
        <v/>
      </c>
      <c r="AT1525" s="259" t="str">
        <f t="shared" si="346"/>
        <v>高伟</v>
      </c>
      <c r="AU1525" s="259" t="str">
        <f t="shared" si="347"/>
        <v>C49SZX20230096JL/4600003030</v>
      </c>
      <c r="AV1525" s="259" t="str">
        <f t="shared" si="348"/>
        <v>Dec-01</v>
      </c>
    </row>
    <row r="1526" spans="1:48" ht="22.5">
      <c r="A1526" s="564">
        <v>2071</v>
      </c>
      <c r="B1526" s="802" t="s">
        <v>75</v>
      </c>
      <c r="C1526" s="802" t="s">
        <v>281</v>
      </c>
      <c r="D1526" s="803">
        <v>111421</v>
      </c>
      <c r="E1526" s="804" t="s">
        <v>236</v>
      </c>
      <c r="F1526" s="715" t="s">
        <v>17</v>
      </c>
      <c r="G1526" s="715" t="s">
        <v>18</v>
      </c>
      <c r="H1526" s="715" t="s">
        <v>26</v>
      </c>
      <c r="I1526" s="667" t="s">
        <v>4397</v>
      </c>
      <c r="J1526" s="667">
        <v>1</v>
      </c>
      <c r="K1526" s="715" t="s">
        <v>1732</v>
      </c>
      <c r="L1526" s="805">
        <v>45261</v>
      </c>
      <c r="M1526" s="722" t="s">
        <v>4460</v>
      </c>
      <c r="N1526" s="652" t="s">
        <v>4528</v>
      </c>
      <c r="O1526" s="580">
        <v>2023.11</v>
      </c>
      <c r="P1526" s="722" t="str">
        <f>VLOOKUP(A1526,'[1]Raw data'!$B:$BA,23,FALSE)</f>
        <v>JPY</v>
      </c>
      <c r="Q1526" s="715" t="str">
        <f>VLOOKUP(A1526,'[1]Raw data'!$B:$Z,2,FALSE)</f>
        <v>C49SZX20230009MZ</v>
      </c>
      <c r="R1526" s="715" t="str">
        <f>VLOOKUP(A1526,'[1]Raw data'!$B:$Z,3,FALSE)</f>
        <v>鸿楠</v>
      </c>
      <c r="S1526" s="715" t="str">
        <f>VLOOKUP(A1526,'[1]Raw data'!$B:$Z,4,FALSE)</f>
        <v>YSM10</v>
      </c>
      <c r="T1526" s="715" t="str">
        <f>VLOOKUP(A1526,'[1]Raw data'!$B:$Z,8,FALSE)</f>
        <v>R-&gt;L</v>
      </c>
      <c r="U1526" s="715" t="str">
        <f>VLOOKUP(A1526,'[1]Raw data'!$B:$Z,9,FALSE)</f>
        <v>MVC</v>
      </c>
      <c r="V1526" s="714" t="str">
        <f t="shared" si="354"/>
        <v>WRONG</v>
      </c>
      <c r="W1526" s="806" t="str">
        <f>VLOOKUP(A1526,'[1]Raw data'!$B:$AG,32,FALSE)</f>
        <v>CIF HK</v>
      </c>
      <c r="X1526" s="805">
        <f>VLOOKUP(A1526,'[1]Raw data'!$B:$BA,31,FALSE)</f>
        <v>45313</v>
      </c>
      <c r="Y1526" s="715" t="str">
        <f>VLOOKUP(A1526,'[1]Raw data'!$B:$AS,39,FALSE)</f>
        <v>Yes</v>
      </c>
      <c r="Z1526" s="664"/>
      <c r="AA1526" s="665"/>
      <c r="AB1526" s="666"/>
      <c r="AC1526" s="715"/>
      <c r="AD1526" s="667">
        <v>302</v>
      </c>
      <c r="AE1526" s="667">
        <v>5</v>
      </c>
      <c r="AF1526" s="667">
        <v>303</v>
      </c>
      <c r="AG1526" s="667">
        <v>5</v>
      </c>
      <c r="AH1526" s="667"/>
      <c r="AI1526" s="668"/>
      <c r="AN1526" s="547"/>
      <c r="AO1526" s="829" t="str">
        <f t="shared" si="341"/>
        <v>Yes</v>
      </c>
      <c r="AP1526" s="259" t="str">
        <f t="shared" si="342"/>
        <v>MAR 24</v>
      </c>
      <c r="AQ1526" s="547" t="str">
        <f t="shared" si="343"/>
        <v>有定金+有預留客戶</v>
      </c>
      <c r="AR1526" s="259" t="str">
        <f t="shared" si="344"/>
        <v>Instock</v>
      </c>
      <c r="AS1526" s="259" t="str">
        <f t="shared" si="345"/>
        <v/>
      </c>
      <c r="AT1526" s="259" t="str">
        <f t="shared" si="346"/>
        <v>鸿楠</v>
      </c>
      <c r="AU1526" s="259" t="str">
        <f t="shared" si="347"/>
        <v>C49SZX20230009MZ</v>
      </c>
      <c r="AV1526" s="259" t="str">
        <f t="shared" si="348"/>
        <v>Dec-01</v>
      </c>
    </row>
    <row r="1527" spans="1:48" ht="22.5">
      <c r="A1527" s="564">
        <v>2070</v>
      </c>
      <c r="B1527" s="802" t="s">
        <v>75</v>
      </c>
      <c r="C1527" s="802" t="s">
        <v>281</v>
      </c>
      <c r="D1527" s="803">
        <v>111421</v>
      </c>
      <c r="E1527" s="804" t="s">
        <v>236</v>
      </c>
      <c r="F1527" s="715" t="s">
        <v>17</v>
      </c>
      <c r="G1527" s="715" t="s">
        <v>18</v>
      </c>
      <c r="H1527" s="715" t="s">
        <v>26</v>
      </c>
      <c r="I1527" s="667" t="s">
        <v>4398</v>
      </c>
      <c r="J1527" s="667">
        <v>1</v>
      </c>
      <c r="K1527" s="715" t="s">
        <v>1732</v>
      </c>
      <c r="L1527" s="805">
        <v>45261</v>
      </c>
      <c r="M1527" s="722" t="s">
        <v>4460</v>
      </c>
      <c r="N1527" s="652" t="s">
        <v>4528</v>
      </c>
      <c r="O1527" s="580">
        <v>2023.11</v>
      </c>
      <c r="P1527" s="722" t="str">
        <f>VLOOKUP(A1527,'[1]Raw data'!$B:$BA,23,FALSE)</f>
        <v>JPY</v>
      </c>
      <c r="Q1527" s="715" t="str">
        <f>VLOOKUP(A1527,'[1]Raw data'!$B:$Z,2,FALSE)</f>
        <v>C49SZX20230009MZ</v>
      </c>
      <c r="R1527" s="715" t="str">
        <f>VLOOKUP(A1527,'[1]Raw data'!$B:$Z,3,FALSE)</f>
        <v>鸿楠</v>
      </c>
      <c r="S1527" s="715" t="str">
        <f>VLOOKUP(A1527,'[1]Raw data'!$B:$Z,4,FALSE)</f>
        <v>YSM10</v>
      </c>
      <c r="T1527" s="715" t="str">
        <f>VLOOKUP(A1527,'[1]Raw data'!$B:$Z,8,FALSE)</f>
        <v>R-&gt;L</v>
      </c>
      <c r="U1527" s="715" t="str">
        <f>VLOOKUP(A1527,'[1]Raw data'!$B:$Z,9,FALSE)</f>
        <v>MVC</v>
      </c>
      <c r="V1527" s="714" t="str">
        <f t="shared" si="354"/>
        <v>WRONG</v>
      </c>
      <c r="W1527" s="806" t="str">
        <f>VLOOKUP(A1527,'[1]Raw data'!$B:$AG,32,FALSE)</f>
        <v>CIF HK</v>
      </c>
      <c r="X1527" s="805">
        <f>VLOOKUP(A1527,'[1]Raw data'!$B:$BA,31,FALSE)</f>
        <v>45313</v>
      </c>
      <c r="Y1527" s="715" t="str">
        <f>VLOOKUP(A1527,'[1]Raw data'!$B:$AS,39,FALSE)</f>
        <v>Yes</v>
      </c>
      <c r="Z1527" s="664"/>
      <c r="AA1527" s="665"/>
      <c r="AB1527" s="666"/>
      <c r="AC1527" s="715"/>
      <c r="AD1527" s="667">
        <v>302</v>
      </c>
      <c r="AE1527" s="667">
        <v>5</v>
      </c>
      <c r="AF1527" s="667">
        <v>303</v>
      </c>
      <c r="AG1527" s="667">
        <v>5</v>
      </c>
      <c r="AH1527" s="667"/>
      <c r="AI1527" s="668"/>
      <c r="AN1527" s="547"/>
      <c r="AO1527" s="829" t="str">
        <f t="shared" si="341"/>
        <v>Yes</v>
      </c>
      <c r="AP1527" s="259" t="str">
        <f t="shared" si="342"/>
        <v>MAR 24</v>
      </c>
      <c r="AQ1527" s="547" t="str">
        <f t="shared" si="343"/>
        <v>有定金+有預留客戶</v>
      </c>
      <c r="AR1527" s="259" t="str">
        <f t="shared" si="344"/>
        <v>Instock</v>
      </c>
      <c r="AS1527" s="259" t="str">
        <f t="shared" si="345"/>
        <v/>
      </c>
      <c r="AT1527" s="259" t="str">
        <f t="shared" si="346"/>
        <v>鸿楠</v>
      </c>
      <c r="AU1527" s="259" t="str">
        <f t="shared" si="347"/>
        <v>C49SZX20230009MZ</v>
      </c>
      <c r="AV1527" s="259" t="str">
        <f t="shared" si="348"/>
        <v>Dec-01</v>
      </c>
    </row>
    <row r="1528" spans="1:48" ht="22.5" hidden="1">
      <c r="A1528" s="564">
        <v>2036</v>
      </c>
      <c r="B1528" s="669" t="s">
        <v>1125</v>
      </c>
      <c r="C1528" s="669" t="s">
        <v>281</v>
      </c>
      <c r="D1528" s="650">
        <v>111421</v>
      </c>
      <c r="E1528" s="749" t="s">
        <v>236</v>
      </c>
      <c r="F1528" s="652" t="s">
        <v>17</v>
      </c>
      <c r="G1528" s="652" t="s">
        <v>18</v>
      </c>
      <c r="H1528" s="652" t="s">
        <v>19</v>
      </c>
      <c r="I1528" s="580" t="s">
        <v>4396</v>
      </c>
      <c r="J1528" s="580">
        <v>1</v>
      </c>
      <c r="K1528" s="652" t="s">
        <v>1732</v>
      </c>
      <c r="L1528" s="662">
        <v>45261</v>
      </c>
      <c r="M1528" s="670" t="s">
        <v>4460</v>
      </c>
      <c r="N1528" s="652" t="s">
        <v>4375</v>
      </c>
      <c r="O1528" s="580">
        <v>2023.11</v>
      </c>
      <c r="P1528" s="670" t="str">
        <f>VLOOKUP(A1528,'[1]Raw data'!$B:$BA,23,FALSE)</f>
        <v>RMB</v>
      </c>
      <c r="Q1528" s="652" t="str">
        <f>VLOOKUP(A1528,'[1]Raw data'!$B:$Z,2,FALSE)</f>
        <v>CG20231204009</v>
      </c>
      <c r="R1528" s="652" t="str">
        <f>VLOOKUP(A1528,'[1]Raw data'!$B:$Z,3,FALSE)</f>
        <v>徕芬</v>
      </c>
      <c r="S1528" s="652" t="str">
        <f>VLOOKUP(A1528,'[1]Raw data'!$B:$Z,4,FALSE)</f>
        <v>YSM10</v>
      </c>
      <c r="T1528" s="652" t="str">
        <f>VLOOKUP(A1528,'[1]Raw data'!$B:$Z,8,FALSE)</f>
        <v>L-&gt;R</v>
      </c>
      <c r="U1528" s="652" t="str">
        <f>VLOOKUP(A1528,'[1]Raw data'!$B:$Z,9,FALSE)</f>
        <v>MVC+ATS15</v>
      </c>
      <c r="V1528" s="572" t="str">
        <f t="shared" si="354"/>
        <v>WRONG</v>
      </c>
      <c r="W1528" s="568" t="str">
        <f>VLOOKUP(A1528,'[1]Raw data'!$B:$AG,32,FALSE)</f>
        <v>DDP DG</v>
      </c>
      <c r="X1528" s="662">
        <f>VLOOKUP(A1528,'[1]Raw data'!$B:$BA,31,FALSE)</f>
        <v>45261</v>
      </c>
      <c r="Y1528" s="652" t="str">
        <f>VLOOKUP(A1528,'[1]Raw data'!$B:$AS,39,FALSE)</f>
        <v>Yes</v>
      </c>
      <c r="Z1528" s="671"/>
      <c r="AA1528" s="672"/>
      <c r="AB1528" s="673"/>
      <c r="AC1528" s="652" t="s">
        <v>3898</v>
      </c>
      <c r="AD1528" s="667">
        <v>302</v>
      </c>
      <c r="AE1528" s="667">
        <v>10</v>
      </c>
      <c r="AF1528" s="667"/>
      <c r="AG1528" s="667"/>
      <c r="AH1528" s="667"/>
      <c r="AI1528" s="668"/>
      <c r="AN1528" s="547"/>
      <c r="AO1528" s="829" t="str">
        <f t="shared" si="341"/>
        <v>Yes</v>
      </c>
      <c r="AP1528" s="259" t="str">
        <f t="shared" si="342"/>
        <v>JAN 24</v>
      </c>
      <c r="AQ1528" s="547" t="str">
        <f t="shared" si="343"/>
        <v>有定金+有預留客戶</v>
      </c>
      <c r="AR1528" s="259" t="str">
        <f t="shared" si="344"/>
        <v>Shipped_Stock</v>
      </c>
      <c r="AS1528" s="259" t="str">
        <f t="shared" si="345"/>
        <v/>
      </c>
      <c r="AT1528" s="259" t="str">
        <f t="shared" si="346"/>
        <v>徕芬</v>
      </c>
      <c r="AU1528" s="259" t="str">
        <f t="shared" si="347"/>
        <v>CG20231204009</v>
      </c>
      <c r="AV1528" s="259" t="str">
        <f t="shared" si="348"/>
        <v>Dec-01</v>
      </c>
    </row>
    <row r="1529" spans="1:48" ht="22.5" hidden="1">
      <c r="A1529" s="564">
        <v>2008</v>
      </c>
      <c r="B1529" s="802" t="s">
        <v>1125</v>
      </c>
      <c r="C1529" s="802" t="s">
        <v>15</v>
      </c>
      <c r="D1529" s="803">
        <v>111452</v>
      </c>
      <c r="E1529" s="804" t="s">
        <v>236</v>
      </c>
      <c r="F1529" s="715" t="s">
        <v>58</v>
      </c>
      <c r="G1529" s="715" t="s">
        <v>18</v>
      </c>
      <c r="H1529" s="715" t="s">
        <v>26</v>
      </c>
      <c r="I1529" s="667" t="s">
        <v>4414</v>
      </c>
      <c r="J1529" s="667">
        <v>1</v>
      </c>
      <c r="K1529" s="715" t="s">
        <v>1732</v>
      </c>
      <c r="L1529" s="805">
        <v>45268</v>
      </c>
      <c r="M1529" s="722" t="s">
        <v>4460</v>
      </c>
      <c r="N1529" s="652" t="s">
        <v>4375</v>
      </c>
      <c r="O1529" s="580">
        <v>2023.11</v>
      </c>
      <c r="P1529" s="807" t="str">
        <f>VLOOKUP(A1529,'[1]Raw data'!$B:$BA,23,FALSE)</f>
        <v>JPY</v>
      </c>
      <c r="Q1529" s="808" t="str">
        <f>VLOOKUP(A1529,'[1]Raw data'!$B:$Z,2,FALSE)</f>
        <v>C49SZX20230111SX</v>
      </c>
      <c r="R1529" s="808" t="str">
        <f>VLOOKUP(A1529,'[1]Raw data'!$B:$Z,3,FALSE)</f>
        <v>兴开泰（end user:兴连）</v>
      </c>
      <c r="S1529" s="715" t="str">
        <f>VLOOKUP(A1529,'[1]Raw data'!$B:$Z,4,FALSE)</f>
        <v>YSM20R-2</v>
      </c>
      <c r="T1529" s="715" t="str">
        <f>VLOOKUP(A1529,'[1]Raw data'!$B:$Z,8,FALSE)</f>
        <v>R-&gt;L</v>
      </c>
      <c r="U1529" s="715" t="str">
        <f>VLOOKUP(A1529,'[1]Raw data'!$B:$Z,9,FALSE)</f>
        <v>No</v>
      </c>
      <c r="V1529" s="714" t="str">
        <f t="shared" ref="V1529:V1537" si="355">IF(G1529&amp;H1529=T1529&amp;U1529,"OK","WRONG")</f>
        <v>OK</v>
      </c>
      <c r="W1529" s="806" t="str">
        <f>VLOOKUP(A1529,'[1]Raw data'!$B:$AG,32,FALSE)</f>
        <v>DAP DG</v>
      </c>
      <c r="X1529" s="805">
        <f>VLOOKUP(A1529,'[1]Raw data'!$B:$BA,31,FALSE)</f>
        <v>45237</v>
      </c>
      <c r="Y1529" s="715" t="str">
        <f>VLOOKUP(A1529,'[1]Raw data'!$B:$AS,39,FALSE)</f>
        <v>Yes</v>
      </c>
      <c r="Z1529" s="664"/>
      <c r="AA1529" s="665"/>
      <c r="AB1529" s="666"/>
      <c r="AC1529" s="715"/>
      <c r="AD1529" s="667">
        <v>301</v>
      </c>
      <c r="AE1529" s="667">
        <v>20</v>
      </c>
      <c r="AF1529" s="667"/>
      <c r="AG1529" s="667"/>
      <c r="AH1529" s="667"/>
      <c r="AI1529" s="668"/>
      <c r="AN1529" s="547"/>
      <c r="AO1529" s="829" t="str">
        <f t="shared" si="341"/>
        <v>Yes</v>
      </c>
      <c r="AP1529" s="259" t="str">
        <f t="shared" si="342"/>
        <v>JAN 24</v>
      </c>
      <c r="AQ1529" s="547" t="str">
        <f t="shared" si="343"/>
        <v>有定金+有預留客戶</v>
      </c>
      <c r="AR1529" s="259" t="str">
        <f t="shared" si="344"/>
        <v>Shipped_Stock</v>
      </c>
      <c r="AS1529" s="259" t="str">
        <f t="shared" si="345"/>
        <v/>
      </c>
      <c r="AT1529" s="259" t="str">
        <f t="shared" si="346"/>
        <v>兴开泰（end user:兴连）</v>
      </c>
      <c r="AU1529" s="259" t="str">
        <f t="shared" si="347"/>
        <v>C49SZX20230111SX</v>
      </c>
      <c r="AV1529" s="259" t="str">
        <f t="shared" si="348"/>
        <v>Dec-08</v>
      </c>
    </row>
    <row r="1530" spans="1:48" ht="22.5" hidden="1">
      <c r="A1530" s="564">
        <v>2009</v>
      </c>
      <c r="B1530" s="802" t="s">
        <v>1125</v>
      </c>
      <c r="C1530" s="802" t="s">
        <v>15</v>
      </c>
      <c r="D1530" s="803">
        <v>111452</v>
      </c>
      <c r="E1530" s="804" t="s">
        <v>236</v>
      </c>
      <c r="F1530" s="715" t="s">
        <v>58</v>
      </c>
      <c r="G1530" s="715" t="s">
        <v>18</v>
      </c>
      <c r="H1530" s="715" t="s">
        <v>26</v>
      </c>
      <c r="I1530" s="667" t="s">
        <v>4415</v>
      </c>
      <c r="J1530" s="667">
        <v>1</v>
      </c>
      <c r="K1530" s="715" t="s">
        <v>1732</v>
      </c>
      <c r="L1530" s="805">
        <v>45268</v>
      </c>
      <c r="M1530" s="722" t="s">
        <v>4460</v>
      </c>
      <c r="N1530" s="652" t="s">
        <v>4375</v>
      </c>
      <c r="O1530" s="580">
        <v>2023.11</v>
      </c>
      <c r="P1530" s="807" t="str">
        <f>VLOOKUP(A1530,'[1]Raw data'!$B:$BA,23,FALSE)</f>
        <v>JPY</v>
      </c>
      <c r="Q1530" s="808" t="str">
        <f>VLOOKUP(A1530,'[1]Raw data'!$B:$Z,2,FALSE)</f>
        <v>C49SZX20230111SX</v>
      </c>
      <c r="R1530" s="808" t="str">
        <f>VLOOKUP(A1530,'[1]Raw data'!$B:$Z,3,FALSE)</f>
        <v>兴开泰（end user:兴连）</v>
      </c>
      <c r="S1530" s="715" t="str">
        <f>VLOOKUP(A1530,'[1]Raw data'!$B:$Z,4,FALSE)</f>
        <v>YSM20R-2</v>
      </c>
      <c r="T1530" s="715" t="str">
        <f>VLOOKUP(A1530,'[1]Raw data'!$B:$Z,8,FALSE)</f>
        <v>R-&gt;L</v>
      </c>
      <c r="U1530" s="715" t="str">
        <f>VLOOKUP(A1530,'[1]Raw data'!$B:$Z,9,FALSE)</f>
        <v>No</v>
      </c>
      <c r="V1530" s="714" t="str">
        <f t="shared" si="355"/>
        <v>OK</v>
      </c>
      <c r="W1530" s="806" t="str">
        <f>VLOOKUP(A1530,'[1]Raw data'!$B:$AG,32,FALSE)</f>
        <v>DAP DG</v>
      </c>
      <c r="X1530" s="805">
        <f>VLOOKUP(A1530,'[1]Raw data'!$B:$BA,31,FALSE)</f>
        <v>45237</v>
      </c>
      <c r="Y1530" s="715" t="str">
        <f>VLOOKUP(A1530,'[1]Raw data'!$B:$AS,39,FALSE)</f>
        <v>Yes</v>
      </c>
      <c r="Z1530" s="664"/>
      <c r="AA1530" s="665"/>
      <c r="AB1530" s="666"/>
      <c r="AC1530" s="715"/>
      <c r="AD1530" s="667">
        <v>301</v>
      </c>
      <c r="AE1530" s="667">
        <v>20</v>
      </c>
      <c r="AF1530" s="667"/>
      <c r="AG1530" s="667"/>
      <c r="AH1530" s="667"/>
      <c r="AI1530" s="668"/>
      <c r="AN1530" s="547"/>
      <c r="AO1530" s="829" t="str">
        <f t="shared" si="341"/>
        <v>Yes</v>
      </c>
      <c r="AP1530" s="259" t="str">
        <f t="shared" si="342"/>
        <v>JAN 24</v>
      </c>
      <c r="AQ1530" s="547" t="str">
        <f t="shared" si="343"/>
        <v>有定金+有預留客戶</v>
      </c>
      <c r="AR1530" s="259" t="str">
        <f t="shared" si="344"/>
        <v>Shipped_Stock</v>
      </c>
      <c r="AS1530" s="259" t="str">
        <f t="shared" si="345"/>
        <v/>
      </c>
      <c r="AT1530" s="259" t="str">
        <f t="shared" si="346"/>
        <v>兴开泰（end user:兴连）</v>
      </c>
      <c r="AU1530" s="259" t="str">
        <f t="shared" si="347"/>
        <v>C49SZX20230111SX</v>
      </c>
      <c r="AV1530" s="259" t="str">
        <f t="shared" si="348"/>
        <v>Dec-08</v>
      </c>
    </row>
    <row r="1531" spans="1:48" ht="22.5" hidden="1">
      <c r="A1531" s="564">
        <v>2054</v>
      </c>
      <c r="B1531" s="669" t="s">
        <v>1125</v>
      </c>
      <c r="C1531" s="669" t="s">
        <v>15</v>
      </c>
      <c r="D1531" s="650">
        <v>111452</v>
      </c>
      <c r="E1531" s="749" t="s">
        <v>236</v>
      </c>
      <c r="F1531" s="652" t="s">
        <v>58</v>
      </c>
      <c r="G1531" s="652" t="s">
        <v>18</v>
      </c>
      <c r="H1531" s="652" t="s">
        <v>26</v>
      </c>
      <c r="I1531" s="580" t="s">
        <v>4416</v>
      </c>
      <c r="J1531" s="580">
        <v>1</v>
      </c>
      <c r="K1531" s="652" t="s">
        <v>1732</v>
      </c>
      <c r="L1531" s="662">
        <v>45268</v>
      </c>
      <c r="M1531" s="670" t="s">
        <v>4460</v>
      </c>
      <c r="N1531" s="652" t="s">
        <v>4375</v>
      </c>
      <c r="O1531" s="580">
        <v>2023.11</v>
      </c>
      <c r="P1531" s="670" t="str">
        <f>VLOOKUP(A1531,'[1]Raw data'!$B:$BA,23,FALSE)</f>
        <v>JPY</v>
      </c>
      <c r="Q1531" s="652" t="str">
        <f>VLOOKUP(A1531,'[1]Raw data'!$B:$Z,2,FALSE)</f>
        <v>C49SZX20230142SS</v>
      </c>
      <c r="R1531" s="652" t="str">
        <f>VLOOKUP(A1531,'[1]Raw data'!$B:$Z,3,FALSE)</f>
        <v>盈通恒翼</v>
      </c>
      <c r="S1531" s="652" t="str">
        <f>VLOOKUP(A1531,'[1]Raw data'!$B:$Z,4,FALSE)</f>
        <v>YSM20R-2</v>
      </c>
      <c r="T1531" s="652" t="str">
        <f>VLOOKUP(A1531,'[1]Raw data'!$B:$Z,8,FALSE)</f>
        <v>R-&gt;L</v>
      </c>
      <c r="U1531" s="652" t="str">
        <f>VLOOKUP(A1531,'[1]Raw data'!$B:$Z,9,FALSE)</f>
        <v>No</v>
      </c>
      <c r="V1531" s="572" t="str">
        <f t="shared" si="355"/>
        <v>OK</v>
      </c>
      <c r="W1531" s="568" t="str">
        <f>VLOOKUP(A1531,'[1]Raw data'!$B:$AG,32,FALSE)</f>
        <v>DAP SZ</v>
      </c>
      <c r="X1531" s="662">
        <f>VLOOKUP(A1531,'[1]Raw data'!$B:$BA,31,FALSE)</f>
        <v>45282</v>
      </c>
      <c r="Y1531" s="652" t="str">
        <f>VLOOKUP(A1531,'[1]Raw data'!$B:$AS,39,FALSE)</f>
        <v>Yes</v>
      </c>
      <c r="Z1531" s="664"/>
      <c r="AA1531" s="665"/>
      <c r="AB1531" s="666"/>
      <c r="AC1531" s="652" t="s">
        <v>4553</v>
      </c>
      <c r="AD1531" s="667">
        <v>301</v>
      </c>
      <c r="AE1531" s="667">
        <v>20</v>
      </c>
      <c r="AF1531" s="667"/>
      <c r="AG1531" s="667"/>
      <c r="AH1531" s="667"/>
      <c r="AI1531" s="668"/>
      <c r="AN1531" s="547"/>
      <c r="AO1531" s="829" t="str">
        <f t="shared" si="341"/>
        <v>Yes</v>
      </c>
      <c r="AP1531" s="259" t="str">
        <f t="shared" si="342"/>
        <v>JAN 24</v>
      </c>
      <c r="AQ1531" s="547" t="str">
        <f t="shared" si="343"/>
        <v>有定金+有預留客戶</v>
      </c>
      <c r="AR1531" s="259" t="str">
        <f t="shared" si="344"/>
        <v>Shipped_Stock</v>
      </c>
      <c r="AS1531" s="259" t="str">
        <f t="shared" si="345"/>
        <v/>
      </c>
      <c r="AT1531" s="259" t="str">
        <f t="shared" si="346"/>
        <v>盈通恒翼</v>
      </c>
      <c r="AU1531" s="259" t="str">
        <f t="shared" si="347"/>
        <v>C49SZX20230142SS</v>
      </c>
      <c r="AV1531" s="259" t="str">
        <f t="shared" si="348"/>
        <v>Dec-08</v>
      </c>
    </row>
    <row r="1532" spans="1:48" ht="22.5" hidden="1">
      <c r="A1532" s="564">
        <v>2006</v>
      </c>
      <c r="B1532" s="802" t="s">
        <v>1125</v>
      </c>
      <c r="C1532" s="802" t="s">
        <v>15</v>
      </c>
      <c r="D1532" s="803">
        <v>111452</v>
      </c>
      <c r="E1532" s="804" t="s">
        <v>236</v>
      </c>
      <c r="F1532" s="715" t="s">
        <v>58</v>
      </c>
      <c r="G1532" s="715" t="s">
        <v>24</v>
      </c>
      <c r="H1532" s="715" t="s">
        <v>26</v>
      </c>
      <c r="I1532" s="667" t="s">
        <v>4412</v>
      </c>
      <c r="J1532" s="667">
        <v>1</v>
      </c>
      <c r="K1532" s="715" t="s">
        <v>1732</v>
      </c>
      <c r="L1532" s="805">
        <v>45268</v>
      </c>
      <c r="M1532" s="722" t="s">
        <v>4460</v>
      </c>
      <c r="N1532" s="652" t="s">
        <v>4375</v>
      </c>
      <c r="O1532" s="580">
        <v>2023.11</v>
      </c>
      <c r="P1532" s="807" t="str">
        <f>VLOOKUP(A1532,'[1]Raw data'!$B:$BA,23,FALSE)</f>
        <v>JPY</v>
      </c>
      <c r="Q1532" s="808" t="str">
        <f>VLOOKUP(A1532,'[1]Raw data'!$B:$Z,2,FALSE)</f>
        <v>C49SZX20230111SX</v>
      </c>
      <c r="R1532" s="808" t="str">
        <f>VLOOKUP(A1532,'[1]Raw data'!$B:$Z,3,FALSE)</f>
        <v>兴开泰（end user:兴连）</v>
      </c>
      <c r="S1532" s="715" t="str">
        <f>VLOOKUP(A1532,'[1]Raw data'!$B:$Z,4,FALSE)</f>
        <v>YSM20R-2</v>
      </c>
      <c r="T1532" s="715" t="str">
        <f>VLOOKUP(A1532,'[1]Raw data'!$B:$Z,8,FALSE)</f>
        <v>L-&gt;R</v>
      </c>
      <c r="U1532" s="715" t="str">
        <f>VLOOKUP(A1532,'[1]Raw data'!$B:$Z,9,FALSE)</f>
        <v>No</v>
      </c>
      <c r="V1532" s="714" t="str">
        <f t="shared" si="355"/>
        <v>OK</v>
      </c>
      <c r="W1532" s="806" t="str">
        <f>VLOOKUP(A1532,'[1]Raw data'!$B:$AG,32,FALSE)</f>
        <v>DAP DG</v>
      </c>
      <c r="X1532" s="805">
        <f>VLOOKUP(A1532,'[1]Raw data'!$B:$BA,31,FALSE)</f>
        <v>45237</v>
      </c>
      <c r="Y1532" s="715" t="str">
        <f>VLOOKUP(A1532,'[1]Raw data'!$B:$AS,39,FALSE)</f>
        <v>Yes</v>
      </c>
      <c r="Z1532" s="664"/>
      <c r="AA1532" s="665"/>
      <c r="AB1532" s="666"/>
      <c r="AC1532" s="715"/>
      <c r="AD1532" s="667">
        <v>301</v>
      </c>
      <c r="AE1532" s="667">
        <v>20</v>
      </c>
      <c r="AF1532" s="667"/>
      <c r="AG1532" s="667"/>
      <c r="AH1532" s="667"/>
      <c r="AI1532" s="668"/>
      <c r="AN1532" s="547"/>
      <c r="AO1532" s="829" t="str">
        <f t="shared" si="341"/>
        <v>Yes</v>
      </c>
      <c r="AP1532" s="259" t="str">
        <f t="shared" si="342"/>
        <v>JAN 24</v>
      </c>
      <c r="AQ1532" s="547" t="str">
        <f t="shared" si="343"/>
        <v>有定金+有預留客戶</v>
      </c>
      <c r="AR1532" s="259" t="str">
        <f t="shared" si="344"/>
        <v>Shipped_Stock</v>
      </c>
      <c r="AS1532" s="259" t="str">
        <f t="shared" si="345"/>
        <v/>
      </c>
      <c r="AT1532" s="259" t="str">
        <f t="shared" si="346"/>
        <v>兴开泰（end user:兴连）</v>
      </c>
      <c r="AU1532" s="259" t="str">
        <f t="shared" si="347"/>
        <v>C49SZX20230111SX</v>
      </c>
      <c r="AV1532" s="259" t="str">
        <f t="shared" si="348"/>
        <v>Dec-08</v>
      </c>
    </row>
    <row r="1533" spans="1:48" ht="22.5" hidden="1">
      <c r="A1533" s="564">
        <v>2007</v>
      </c>
      <c r="B1533" s="802" t="s">
        <v>1125</v>
      </c>
      <c r="C1533" s="802" t="s">
        <v>15</v>
      </c>
      <c r="D1533" s="803">
        <v>111452</v>
      </c>
      <c r="E1533" s="804" t="s">
        <v>236</v>
      </c>
      <c r="F1533" s="715" t="s">
        <v>58</v>
      </c>
      <c r="G1533" s="715" t="s">
        <v>24</v>
      </c>
      <c r="H1533" s="715" t="s">
        <v>26</v>
      </c>
      <c r="I1533" s="667" t="s">
        <v>4413</v>
      </c>
      <c r="J1533" s="667">
        <v>1</v>
      </c>
      <c r="K1533" s="715" t="s">
        <v>1732</v>
      </c>
      <c r="L1533" s="805">
        <v>45268</v>
      </c>
      <c r="M1533" s="722" t="s">
        <v>4460</v>
      </c>
      <c r="N1533" s="652" t="s">
        <v>4375</v>
      </c>
      <c r="O1533" s="580">
        <v>2023.11</v>
      </c>
      <c r="P1533" s="807" t="str">
        <f>VLOOKUP(A1533,'[1]Raw data'!$B:$BA,23,FALSE)</f>
        <v>JPY</v>
      </c>
      <c r="Q1533" s="808" t="str">
        <f>VLOOKUP(A1533,'[1]Raw data'!$B:$Z,2,FALSE)</f>
        <v>C49SZX20230111SX</v>
      </c>
      <c r="R1533" s="808" t="str">
        <f>VLOOKUP(A1533,'[1]Raw data'!$B:$Z,3,FALSE)</f>
        <v>兴开泰（end user:兴连）</v>
      </c>
      <c r="S1533" s="715" t="str">
        <f>VLOOKUP(A1533,'[1]Raw data'!$B:$Z,4,FALSE)</f>
        <v>YSM20R-2</v>
      </c>
      <c r="T1533" s="715" t="str">
        <f>VLOOKUP(A1533,'[1]Raw data'!$B:$Z,8,FALSE)</f>
        <v>L-&gt;R</v>
      </c>
      <c r="U1533" s="715" t="str">
        <f>VLOOKUP(A1533,'[1]Raw data'!$B:$Z,9,FALSE)</f>
        <v>No</v>
      </c>
      <c r="V1533" s="714" t="str">
        <f t="shared" si="355"/>
        <v>OK</v>
      </c>
      <c r="W1533" s="806" t="str">
        <f>VLOOKUP(A1533,'[1]Raw data'!$B:$AG,32,FALSE)</f>
        <v>DAP DG</v>
      </c>
      <c r="X1533" s="805">
        <f>VLOOKUP(A1533,'[1]Raw data'!$B:$BA,31,FALSE)</f>
        <v>45237</v>
      </c>
      <c r="Y1533" s="715" t="str">
        <f>VLOOKUP(A1533,'[1]Raw data'!$B:$AS,39,FALSE)</f>
        <v>Yes</v>
      </c>
      <c r="Z1533" s="664"/>
      <c r="AA1533" s="665"/>
      <c r="AB1533" s="666"/>
      <c r="AC1533" s="715"/>
      <c r="AD1533" s="667">
        <v>301</v>
      </c>
      <c r="AE1533" s="667">
        <v>20</v>
      </c>
      <c r="AF1533" s="667"/>
      <c r="AG1533" s="667"/>
      <c r="AH1533" s="667"/>
      <c r="AI1533" s="668"/>
      <c r="AN1533" s="547"/>
      <c r="AO1533" s="829" t="str">
        <f t="shared" si="341"/>
        <v>Yes</v>
      </c>
      <c r="AP1533" s="259" t="str">
        <f t="shared" si="342"/>
        <v>JAN 24</v>
      </c>
      <c r="AQ1533" s="547" t="str">
        <f t="shared" si="343"/>
        <v>有定金+有預留客戶</v>
      </c>
      <c r="AR1533" s="259" t="str">
        <f t="shared" si="344"/>
        <v>Shipped_Stock</v>
      </c>
      <c r="AS1533" s="259" t="str">
        <f t="shared" si="345"/>
        <v/>
      </c>
      <c r="AT1533" s="259" t="str">
        <f t="shared" si="346"/>
        <v>兴开泰（end user:兴连）</v>
      </c>
      <c r="AU1533" s="259" t="str">
        <f t="shared" si="347"/>
        <v>C49SZX20230111SX</v>
      </c>
      <c r="AV1533" s="259" t="str">
        <f t="shared" si="348"/>
        <v>Dec-08</v>
      </c>
    </row>
    <row r="1534" spans="1:48">
      <c r="B1534" s="802" t="s">
        <v>75</v>
      </c>
      <c r="C1534" s="802" t="s">
        <v>281</v>
      </c>
      <c r="D1534" s="803">
        <v>111464</v>
      </c>
      <c r="E1534" s="804" t="s">
        <v>4384</v>
      </c>
      <c r="F1534" s="715" t="s">
        <v>58</v>
      </c>
      <c r="G1534" s="715" t="s">
        <v>24</v>
      </c>
      <c r="H1534" s="715" t="s">
        <v>26</v>
      </c>
      <c r="I1534" s="667" t="s">
        <v>4480</v>
      </c>
      <c r="J1534" s="667">
        <v>1</v>
      </c>
      <c r="K1534" s="715" t="s">
        <v>1732</v>
      </c>
      <c r="L1534" s="805">
        <v>45296</v>
      </c>
      <c r="M1534" s="831" t="s">
        <v>4580</v>
      </c>
      <c r="N1534" s="652"/>
      <c r="O1534" s="580">
        <v>2023.11</v>
      </c>
      <c r="P1534" s="722" t="e">
        <f>VLOOKUP(A1534,'[1]Raw data'!$B:$BA,23,FALSE)</f>
        <v>#N/A</v>
      </c>
      <c r="Q1534" s="715" t="e">
        <f>VLOOKUP(A1534,'[1]Raw data'!$B:$Z,2,FALSE)</f>
        <v>#N/A</v>
      </c>
      <c r="R1534" s="715" t="e">
        <f>VLOOKUP(A1534,'[1]Raw data'!$B:$Z,3,FALSE)</f>
        <v>#N/A</v>
      </c>
      <c r="S1534" s="715" t="e">
        <f>VLOOKUP(A1534,'[1]Raw data'!$B:$Z,4,FALSE)</f>
        <v>#N/A</v>
      </c>
      <c r="T1534" s="715" t="e">
        <f>VLOOKUP(A1534,'[1]Raw data'!$B:$Z,8,FALSE)</f>
        <v>#N/A</v>
      </c>
      <c r="U1534" s="715" t="e">
        <f>VLOOKUP(A1534,'[1]Raw data'!$B:$Z,9,FALSE)</f>
        <v>#N/A</v>
      </c>
      <c r="V1534" s="714" t="e">
        <f t="shared" si="355"/>
        <v>#N/A</v>
      </c>
      <c r="W1534" s="806" t="e">
        <f>VLOOKUP(A1534,'[1]Raw data'!$B:$AG,32,FALSE)</f>
        <v>#N/A</v>
      </c>
      <c r="X1534" s="805" t="e">
        <f>VLOOKUP(A1534,'[1]Raw data'!$B:$BA,31,FALSE)</f>
        <v>#N/A</v>
      </c>
      <c r="Y1534" s="715" t="e">
        <f>VLOOKUP(A1534,'[1]Raw data'!$B:$AS,39,FALSE)</f>
        <v>#N/A</v>
      </c>
      <c r="Z1534" s="664"/>
      <c r="AA1534" s="665"/>
      <c r="AB1534" s="666"/>
      <c r="AC1534" s="715"/>
      <c r="AD1534" s="667">
        <v>311</v>
      </c>
      <c r="AE1534" s="667">
        <v>10</v>
      </c>
      <c r="AF1534" s="667">
        <v>301</v>
      </c>
      <c r="AG1534" s="667">
        <v>5</v>
      </c>
      <c r="AH1534" s="667">
        <v>302</v>
      </c>
      <c r="AI1534" s="668">
        <v>5</v>
      </c>
      <c r="AN1534" s="547"/>
      <c r="AO1534" s="829" t="str">
        <f t="shared" si="341"/>
        <v>No</v>
      </c>
      <c r="AP1534" s="259" t="str">
        <f t="shared" si="342"/>
        <v>blank</v>
      </c>
      <c r="AQ1534" s="547" t="str">
        <f t="shared" si="343"/>
        <v>无定金+无預留客戶</v>
      </c>
      <c r="AR1534" s="259" t="str">
        <f t="shared" si="344"/>
        <v>Instock</v>
      </c>
      <c r="AS1534" s="259" t="str">
        <f t="shared" si="345"/>
        <v/>
      </c>
      <c r="AT1534" s="259" t="str">
        <f t="shared" si="346"/>
        <v>-</v>
      </c>
      <c r="AU1534" s="259" t="str">
        <f t="shared" si="347"/>
        <v>-</v>
      </c>
      <c r="AV1534" s="259" t="str">
        <f t="shared" si="348"/>
        <v>Jan-05</v>
      </c>
    </row>
    <row r="1535" spans="1:48">
      <c r="A1535" s="564">
        <v>2005</v>
      </c>
      <c r="B1535" s="802" t="s">
        <v>75</v>
      </c>
      <c r="C1535" s="802" t="s">
        <v>281</v>
      </c>
      <c r="D1535" s="803">
        <v>111464</v>
      </c>
      <c r="E1535" s="804" t="s">
        <v>4384</v>
      </c>
      <c r="F1535" s="715" t="s">
        <v>58</v>
      </c>
      <c r="G1535" s="715" t="s">
        <v>24</v>
      </c>
      <c r="H1535" s="715" t="s">
        <v>26</v>
      </c>
      <c r="I1535" s="667" t="s">
        <v>4481</v>
      </c>
      <c r="J1535" s="667">
        <v>1</v>
      </c>
      <c r="K1535" s="715" t="s">
        <v>1732</v>
      </c>
      <c r="L1535" s="805">
        <v>45296</v>
      </c>
      <c r="M1535" s="831" t="s">
        <v>4580</v>
      </c>
      <c r="N1535" s="652"/>
      <c r="O1535" s="580">
        <v>2023.12</v>
      </c>
      <c r="P1535" s="722" t="str">
        <f>VLOOKUP(A1535,'[1]Raw data'!$B:$BA,23,FALSE)</f>
        <v>JPY</v>
      </c>
      <c r="Q1535" s="715" t="str">
        <f>VLOOKUP(A1535,'[1]Raw data'!$B:$Z,2,FALSE)</f>
        <v>C49SZX20230115JY</v>
      </c>
      <c r="R1535" s="715" t="str">
        <f>VLOOKUP(A1535,'[1]Raw data'!$B:$Z,3,FALSE)</f>
        <v>万有</v>
      </c>
      <c r="S1535" s="715" t="str">
        <f>VLOOKUP(A1535,'[1]Raw data'!$B:$Z,4,FALSE)</f>
        <v>YSM20R-2</v>
      </c>
      <c r="T1535" s="715" t="str">
        <f>VLOOKUP(A1535,'[1]Raw data'!$B:$Z,8,FALSE)</f>
        <v>L-&gt;R</v>
      </c>
      <c r="U1535" s="715" t="str">
        <f>VLOOKUP(A1535,'[1]Raw data'!$B:$Z,9,FALSE)</f>
        <v>No</v>
      </c>
      <c r="V1535" s="714" t="str">
        <f t="shared" si="355"/>
        <v>OK</v>
      </c>
      <c r="W1535" s="806" t="str">
        <f>VLOOKUP(A1535,'[1]Raw data'!$B:$AG,32,FALSE)</f>
        <v>DAP DG</v>
      </c>
      <c r="X1535" s="805">
        <f>VLOOKUP(A1535,'[1]Raw data'!$B:$BA,31,FALSE)</f>
        <v>45239</v>
      </c>
      <c r="Y1535" s="715" t="str">
        <f>VLOOKUP(A1535,'[1]Raw data'!$B:$AS,39,FALSE)</f>
        <v>Yes</v>
      </c>
      <c r="Z1535" s="664"/>
      <c r="AA1535" s="665"/>
      <c r="AB1535" s="666"/>
      <c r="AC1535" s="715"/>
      <c r="AD1535" s="667">
        <v>311</v>
      </c>
      <c r="AE1535" s="667">
        <v>10</v>
      </c>
      <c r="AF1535" s="667">
        <v>301</v>
      </c>
      <c r="AG1535" s="667">
        <v>5</v>
      </c>
      <c r="AH1535" s="667">
        <v>303</v>
      </c>
      <c r="AI1535" s="668">
        <v>5</v>
      </c>
      <c r="AN1535" s="547"/>
      <c r="AO1535" s="829" t="str">
        <f t="shared" si="341"/>
        <v>Yes</v>
      </c>
      <c r="AP1535" s="259" t="str">
        <f t="shared" si="342"/>
        <v>blank</v>
      </c>
      <c r="AQ1535" s="547" t="str">
        <f t="shared" si="343"/>
        <v>有定金+无客戶送貨期</v>
      </c>
      <c r="AR1535" s="259" t="str">
        <f t="shared" si="344"/>
        <v>Instock</v>
      </c>
      <c r="AS1535" s="259" t="str">
        <f t="shared" si="345"/>
        <v/>
      </c>
      <c r="AT1535" s="259" t="str">
        <f t="shared" si="346"/>
        <v>万有</v>
      </c>
      <c r="AU1535" s="259" t="str">
        <f t="shared" si="347"/>
        <v>C49SZX20230115JY</v>
      </c>
      <c r="AV1535" s="259" t="str">
        <f t="shared" si="348"/>
        <v>Jan-05</v>
      </c>
    </row>
    <row r="1536" spans="1:48" ht="22.5">
      <c r="B1536" s="802" t="s">
        <v>75</v>
      </c>
      <c r="C1536" s="802" t="s">
        <v>281</v>
      </c>
      <c r="D1536" s="803">
        <v>111464</v>
      </c>
      <c r="E1536" s="804" t="s">
        <v>4384</v>
      </c>
      <c r="F1536" s="715" t="s">
        <v>58</v>
      </c>
      <c r="G1536" s="715" t="s">
        <v>24</v>
      </c>
      <c r="H1536" s="715" t="s">
        <v>26</v>
      </c>
      <c r="I1536" s="667" t="s">
        <v>4482</v>
      </c>
      <c r="J1536" s="667">
        <v>1</v>
      </c>
      <c r="K1536" s="715" t="s">
        <v>1732</v>
      </c>
      <c r="L1536" s="805">
        <v>45296</v>
      </c>
      <c r="M1536" s="722" t="s">
        <v>4527</v>
      </c>
      <c r="N1536" s="652"/>
      <c r="O1536" s="580">
        <v>2023.12</v>
      </c>
      <c r="P1536" s="722" t="e">
        <f>VLOOKUP(A1536,'[1]Raw data'!$B:$BA,23,FALSE)</f>
        <v>#N/A</v>
      </c>
      <c r="Q1536" s="715" t="e">
        <f>VLOOKUP(A1536,'[1]Raw data'!$B:$Z,2,FALSE)</f>
        <v>#N/A</v>
      </c>
      <c r="R1536" s="715" t="e">
        <f>VLOOKUP(A1536,'[1]Raw data'!$B:$Z,3,FALSE)</f>
        <v>#N/A</v>
      </c>
      <c r="S1536" s="715" t="e">
        <f>VLOOKUP(A1536,'[1]Raw data'!$B:$Z,4,FALSE)</f>
        <v>#N/A</v>
      </c>
      <c r="T1536" s="715" t="e">
        <f>VLOOKUP(A1536,'[1]Raw data'!$B:$Z,8,FALSE)</f>
        <v>#N/A</v>
      </c>
      <c r="U1536" s="715" t="e">
        <f>VLOOKUP(A1536,'[1]Raw data'!$B:$Z,9,FALSE)</f>
        <v>#N/A</v>
      </c>
      <c r="V1536" s="714" t="e">
        <f t="shared" si="355"/>
        <v>#N/A</v>
      </c>
      <c r="W1536" s="806" t="e">
        <f>VLOOKUP(A1536,'[1]Raw data'!$B:$AG,32,FALSE)</f>
        <v>#N/A</v>
      </c>
      <c r="X1536" s="805" t="e">
        <f>VLOOKUP(A1536,'[1]Raw data'!$B:$BA,31,FALSE)</f>
        <v>#N/A</v>
      </c>
      <c r="Y1536" s="715" t="e">
        <f>VLOOKUP(A1536,'[1]Raw data'!$B:$AS,39,FALSE)</f>
        <v>#N/A</v>
      </c>
      <c r="Z1536" s="664"/>
      <c r="AA1536" s="665"/>
      <c r="AB1536" s="666"/>
      <c r="AC1536" s="715"/>
      <c r="AD1536" s="667">
        <v>311</v>
      </c>
      <c r="AE1536" s="667">
        <v>10</v>
      </c>
      <c r="AF1536" s="667">
        <v>302</v>
      </c>
      <c r="AG1536" s="667">
        <v>5</v>
      </c>
      <c r="AH1536" s="667">
        <v>303</v>
      </c>
      <c r="AI1536" s="668">
        <v>5</v>
      </c>
      <c r="AN1536" s="547"/>
      <c r="AO1536" s="829" t="str">
        <f t="shared" si="341"/>
        <v>No</v>
      </c>
      <c r="AP1536" s="259" t="str">
        <f t="shared" si="342"/>
        <v>blank</v>
      </c>
      <c r="AQ1536" s="547" t="str">
        <f t="shared" si="343"/>
        <v>无定金+无預留客戶</v>
      </c>
      <c r="AR1536" s="259" t="str">
        <f t="shared" si="344"/>
        <v>Instock</v>
      </c>
      <c r="AS1536" s="259" t="str">
        <f t="shared" si="345"/>
        <v/>
      </c>
      <c r="AT1536" s="259" t="str">
        <f t="shared" si="346"/>
        <v>-</v>
      </c>
      <c r="AU1536" s="259" t="str">
        <f t="shared" si="347"/>
        <v>-</v>
      </c>
      <c r="AV1536" s="259" t="str">
        <f t="shared" si="348"/>
        <v>Jan-05</v>
      </c>
    </row>
    <row r="1537" spans="1:48" ht="24.75">
      <c r="B1537" s="802" t="s">
        <v>75</v>
      </c>
      <c r="C1537" s="802" t="s">
        <v>281</v>
      </c>
      <c r="D1537" s="803">
        <v>111464</v>
      </c>
      <c r="E1537" s="804" t="s">
        <v>4384</v>
      </c>
      <c r="F1537" s="715" t="s">
        <v>58</v>
      </c>
      <c r="G1537" s="715" t="s">
        <v>24</v>
      </c>
      <c r="H1537" s="715" t="s">
        <v>26</v>
      </c>
      <c r="I1537" s="845" t="s">
        <v>4584</v>
      </c>
      <c r="J1537" s="667">
        <v>1</v>
      </c>
      <c r="K1537" s="715" t="s">
        <v>1732</v>
      </c>
      <c r="L1537" s="805">
        <v>45296</v>
      </c>
      <c r="M1537" s="722" t="s">
        <v>4527</v>
      </c>
      <c r="N1537" s="652"/>
      <c r="O1537" s="580">
        <v>2023.12</v>
      </c>
      <c r="P1537" s="722" t="e">
        <f>VLOOKUP(A1537,'[1]Raw data'!$B:$BA,23,FALSE)</f>
        <v>#N/A</v>
      </c>
      <c r="Q1537" s="715" t="e">
        <f>VLOOKUP(A1537,'[1]Raw data'!$B:$Z,2,FALSE)</f>
        <v>#N/A</v>
      </c>
      <c r="R1537" s="715" t="e">
        <f>VLOOKUP(A1537,'[1]Raw data'!$B:$Z,3,FALSE)</f>
        <v>#N/A</v>
      </c>
      <c r="S1537" s="715" t="e">
        <f>VLOOKUP(A1537,'[1]Raw data'!$B:$Z,4,FALSE)</f>
        <v>#N/A</v>
      </c>
      <c r="T1537" s="715" t="e">
        <f>VLOOKUP(A1537,'[1]Raw data'!$B:$Z,8,FALSE)</f>
        <v>#N/A</v>
      </c>
      <c r="U1537" s="715" t="e">
        <f>VLOOKUP(A1537,'[1]Raw data'!$B:$Z,9,FALSE)</f>
        <v>#N/A</v>
      </c>
      <c r="V1537" s="714" t="e">
        <f t="shared" si="355"/>
        <v>#N/A</v>
      </c>
      <c r="W1537" s="806" t="e">
        <f>VLOOKUP(A1537,'[1]Raw data'!$B:$AG,32,FALSE)</f>
        <v>#N/A</v>
      </c>
      <c r="X1537" s="805" t="e">
        <f>VLOOKUP(A1537,'[1]Raw data'!$B:$BA,31,FALSE)</f>
        <v>#N/A</v>
      </c>
      <c r="Y1537" s="715" t="e">
        <f>VLOOKUP(A1537,'[1]Raw data'!$B:$AS,39,FALSE)</f>
        <v>#N/A</v>
      </c>
      <c r="Z1537" s="664"/>
      <c r="AA1537" s="665"/>
      <c r="AB1537" s="666"/>
      <c r="AC1537" s="715"/>
      <c r="AD1537" s="667">
        <v>311</v>
      </c>
      <c r="AE1537" s="667">
        <v>10</v>
      </c>
      <c r="AF1537" s="667">
        <v>302</v>
      </c>
      <c r="AG1537" s="667">
        <v>5</v>
      </c>
      <c r="AH1537" s="667">
        <v>303</v>
      </c>
      <c r="AI1537" s="668">
        <v>5</v>
      </c>
      <c r="AN1537" s="547"/>
      <c r="AO1537" s="829" t="str">
        <f t="shared" si="341"/>
        <v>No</v>
      </c>
      <c r="AP1537" s="259" t="str">
        <f t="shared" si="342"/>
        <v>blank</v>
      </c>
      <c r="AQ1537" s="547" t="str">
        <f t="shared" si="343"/>
        <v>无定金+无預留客戶</v>
      </c>
      <c r="AR1537" s="259" t="str">
        <f t="shared" si="344"/>
        <v>Instock</v>
      </c>
      <c r="AS1537" s="259" t="str">
        <f t="shared" si="345"/>
        <v/>
      </c>
      <c r="AT1537" s="259" t="str">
        <f t="shared" si="346"/>
        <v>-</v>
      </c>
      <c r="AU1537" s="259" t="str">
        <f t="shared" si="347"/>
        <v>-</v>
      </c>
      <c r="AV1537" s="259" t="str">
        <f t="shared" si="348"/>
        <v>Jan-05</v>
      </c>
    </row>
    <row r="1538" spans="1:48">
      <c r="A1538" s="564">
        <v>1969</v>
      </c>
      <c r="B1538" s="802" t="s">
        <v>75</v>
      </c>
      <c r="C1538" s="802" t="s">
        <v>15</v>
      </c>
      <c r="D1538" s="803">
        <v>111440</v>
      </c>
      <c r="E1538" s="804" t="s">
        <v>4246</v>
      </c>
      <c r="F1538" s="715" t="s">
        <v>4247</v>
      </c>
      <c r="G1538" s="715" t="s">
        <v>24</v>
      </c>
      <c r="H1538" s="715" t="s">
        <v>26</v>
      </c>
      <c r="I1538" s="667" t="s">
        <v>4483</v>
      </c>
      <c r="J1538" s="667">
        <v>1</v>
      </c>
      <c r="K1538" s="715" t="s">
        <v>1732</v>
      </c>
      <c r="L1538" s="805">
        <v>45296</v>
      </c>
      <c r="M1538" s="722">
        <v>4.9599999999999998E-2</v>
      </c>
      <c r="N1538" s="652"/>
      <c r="O1538" s="580">
        <v>2023.12</v>
      </c>
      <c r="P1538" s="722" t="str">
        <f>VLOOKUP(A1538,'[1]Raw data'!$B:$BA,23,FALSE)</f>
        <v>RMB</v>
      </c>
      <c r="Q1538" s="715" t="str">
        <f>VLOOKUP(A1538,'[1]Raw data'!$B:$Z,2,FALSE)</f>
        <v>SNFPC-CG-2023-006</v>
      </c>
      <c r="R1538" s="715" t="str">
        <f>VLOOKUP(A1538,'[1]Raw data'!$B:$Z,3,FALSE)</f>
        <v xml:space="preserve">康佳 </v>
      </c>
      <c r="S1538" s="715" t="str">
        <f>VLOOKUP(A1538,'[1]Raw data'!$B:$Z,4,FALSE)</f>
        <v>S20</v>
      </c>
      <c r="T1538" s="715" t="str">
        <f>VLOOKUP(A1538,'[1]Raw data'!$B:$Z,8,FALSE)</f>
        <v>L-&gt;R</v>
      </c>
      <c r="U1538" s="715" t="str">
        <f>VLOOKUP(A1538,'[1]Raw data'!$B:$Z,9,FALSE)</f>
        <v>No</v>
      </c>
      <c r="V1538" s="714" t="str">
        <f t="shared" si="354"/>
        <v>OK</v>
      </c>
      <c r="W1538" s="806" t="str">
        <f>VLOOKUP(A1538,'[1]Raw data'!$B:$AG,32,FALSE)</f>
        <v>DDP SN</v>
      </c>
      <c r="X1538" s="805">
        <f>VLOOKUP(A1538,'[1]Raw data'!$B:$BA,31,FALSE)</f>
        <v>45142</v>
      </c>
      <c r="Y1538" s="715" t="str">
        <f>VLOOKUP(A1538,'[1]Raw data'!$B:$AS,39,FALSE)</f>
        <v>Yes</v>
      </c>
      <c r="Z1538" s="664"/>
      <c r="AA1538" s="665"/>
      <c r="AB1538" s="666"/>
      <c r="AC1538" s="715"/>
      <c r="AD1538" s="667"/>
      <c r="AE1538" s="667"/>
      <c r="AF1538" s="667"/>
      <c r="AG1538" s="667"/>
      <c r="AH1538" s="667"/>
      <c r="AI1538" s="668"/>
      <c r="AN1538" s="547"/>
      <c r="AO1538" s="829" t="str">
        <f t="shared" si="341"/>
        <v>Yes</v>
      </c>
      <c r="AP1538" s="259" t="str">
        <f t="shared" si="342"/>
        <v>blank</v>
      </c>
      <c r="AQ1538" s="547" t="str">
        <f t="shared" si="343"/>
        <v>有定金+无客戶送貨期</v>
      </c>
      <c r="AR1538" s="259" t="str">
        <f t="shared" si="344"/>
        <v>Instock</v>
      </c>
      <c r="AS1538" s="259" t="str">
        <f t="shared" si="345"/>
        <v/>
      </c>
      <c r="AT1538" s="259" t="str">
        <f t="shared" si="346"/>
        <v xml:space="preserve">康佳 </v>
      </c>
      <c r="AU1538" s="259" t="str">
        <f t="shared" si="347"/>
        <v>SNFPC-CG-2023-006</v>
      </c>
      <c r="AV1538" s="259" t="str">
        <f t="shared" si="348"/>
        <v>Jan-05</v>
      </c>
    </row>
    <row r="1539" spans="1:48" ht="36" hidden="1">
      <c r="A1539" s="564">
        <v>2000</v>
      </c>
      <c r="B1539" s="669" t="s">
        <v>1125</v>
      </c>
      <c r="C1539" s="669" t="s">
        <v>281</v>
      </c>
      <c r="D1539" s="650" t="s">
        <v>4373</v>
      </c>
      <c r="E1539" s="749" t="s">
        <v>236</v>
      </c>
      <c r="F1539" s="652" t="s">
        <v>17</v>
      </c>
      <c r="G1539" s="652" t="s">
        <v>24</v>
      </c>
      <c r="H1539" s="652" t="s">
        <v>4065</v>
      </c>
      <c r="I1539" s="580" t="s">
        <v>4510</v>
      </c>
      <c r="J1539" s="580">
        <v>1</v>
      </c>
      <c r="K1539" s="652"/>
      <c r="L1539" s="662">
        <v>45296</v>
      </c>
      <c r="M1539" s="670" t="s">
        <v>4374</v>
      </c>
      <c r="N1539" s="652" t="s">
        <v>4375</v>
      </c>
      <c r="O1539" s="580">
        <v>2023.12</v>
      </c>
      <c r="P1539" s="670" t="str">
        <f>VLOOKUP(A1539,'[1]Raw data'!$B:$BA,23,FALSE)</f>
        <v>USD</v>
      </c>
      <c r="Q1539" s="652" t="str">
        <f>VLOOKUP(A1539,'[1]Raw data'!$B:$Z,2,FALSE)</f>
        <v>C49SZX20230119JL/4600003615</v>
      </c>
      <c r="R1539" s="652" t="str">
        <f>VLOOKUP(A1539,'[1]Raw data'!$B:$Z,3,FALSE)</f>
        <v>高伟</v>
      </c>
      <c r="S1539" s="652" t="str">
        <f>VLOOKUP(A1539,'[1]Raw data'!$B:$Z,4,FALSE)</f>
        <v>YSM10</v>
      </c>
      <c r="T1539" s="652" t="str">
        <f>VLOOKUP(A1539,'[1]Raw data'!$B:$Z,8,FALSE)</f>
        <v>L-&gt;R</v>
      </c>
      <c r="U1539" s="652" t="str">
        <f>VLOOKUP(A1539,'[1]Raw data'!$B:$Z,9,FALSE)</f>
        <v>MVC+ATS15(with 5 heads)</v>
      </c>
      <c r="V1539" s="572" t="str">
        <f t="shared" ref="V1539:V1546" si="356">IF(G1539&amp;H1539=T1539&amp;U1539,"OK","WRONG")</f>
        <v>WRONG</v>
      </c>
      <c r="W1539" s="568" t="str">
        <f>VLOOKUP(A1539,'[1]Raw data'!$B:$AG,32,FALSE)</f>
        <v>CIF HK</v>
      </c>
      <c r="X1539" s="662">
        <f>VLOOKUP(A1539,'[1]Raw data'!$B:$BA,31,FALSE)</f>
        <v>45233</v>
      </c>
      <c r="Y1539" s="652" t="str">
        <f>VLOOKUP(A1539,'[1]Raw data'!$B:$AS,39,FALSE)</f>
        <v>Yes</v>
      </c>
      <c r="Z1539" s="671"/>
      <c r="AA1539" s="672"/>
      <c r="AB1539" s="673"/>
      <c r="AC1539" s="652" t="s">
        <v>4336</v>
      </c>
      <c r="AD1539" s="667">
        <v>301</v>
      </c>
      <c r="AE1539" s="667">
        <v>5</v>
      </c>
      <c r="AF1539" s="667"/>
      <c r="AG1539" s="667"/>
      <c r="AH1539" s="667"/>
      <c r="AI1539" s="668"/>
      <c r="AN1539" s="547"/>
      <c r="AO1539" s="829" t="str">
        <f t="shared" ref="AO1539:AO1602" si="357">IFERROR(IF(Y1539&lt;&gt;"",Y1539,"No"),"No")</f>
        <v>Yes</v>
      </c>
      <c r="AP1539" s="259" t="str">
        <f t="shared" ref="AP1539:AP1615" si="358">IFERROR(IF(N1539&lt;&gt;"",N1539,"blank"),"NA")</f>
        <v>JAN 24</v>
      </c>
      <c r="AQ1539" s="547" t="str">
        <f t="shared" ref="AQ1539:AQ1602" si="359">IFERROR(IF(AND(AO1539="Yes", AP1539&lt;&gt;"blank"), "有定金+有預留客戶", IF(AND(AO1539="Yes", AP1539="blank"), "有定金+无客戶送貨期", IF(AND(OR(AO1539="No", ISBLANK(AO1539), AO1539="NA"), AP1539&lt;&gt;"blank"), "无定金+有預留客戶", IF(AND(OR(AO1539="No", ISBLANK(AO1539), AO1539="NA"), AP1539="blank"), "无定金+无預留客戶", "")))), "")</f>
        <v>有定金+有預留客戶</v>
      </c>
      <c r="AR1539" s="259" t="str">
        <f t="shared" ref="AR1539:AR1598" si="360">IFERROR(IF(B1539="已经到货", "Instock", IF(B1539="有交期", "Incoming_Stock_With_YAMAHA_Schedule", IF(B1539="TBA.", "Incoming_Stock_No_YAMAHA_Schedule", IF(B1539="已发货", "Shipped_Stock", "")))), "")</f>
        <v>Shipped_Stock</v>
      </c>
      <c r="AS1539" s="259" t="str">
        <f t="shared" ref="AS1539:AS1598" si="361">IF(AND(B1539="有交期", L1539&lt;&gt;""), L1539, "")</f>
        <v/>
      </c>
      <c r="AT1539" s="259" t="str">
        <f t="shared" ref="AT1539:AT1602" si="362">IFERROR(IF(R1539&lt;&gt;"",R1539),"-")</f>
        <v>高伟</v>
      </c>
      <c r="AU1539" s="259" t="str">
        <f t="shared" ref="AU1539:AU1602" si="363">IFERROR(IF(Q1539&lt;&gt;"",Q1539),"-")</f>
        <v>C49SZX20230119JL/4600003615</v>
      </c>
      <c r="AV1539" s="259" t="str">
        <f t="shared" ref="AV1539:AV1602" si="364">IF(L1539="","-",TEXT(L1539,"mmm-dd"))</f>
        <v>Jan-05</v>
      </c>
    </row>
    <row r="1540" spans="1:48" ht="36" hidden="1">
      <c r="A1540" s="564">
        <v>2001</v>
      </c>
      <c r="B1540" s="669" t="s">
        <v>1125</v>
      </c>
      <c r="C1540" s="669" t="s">
        <v>281</v>
      </c>
      <c r="D1540" s="650" t="s">
        <v>4373</v>
      </c>
      <c r="E1540" s="749" t="s">
        <v>236</v>
      </c>
      <c r="F1540" s="652" t="s">
        <v>17</v>
      </c>
      <c r="G1540" s="652" t="s">
        <v>24</v>
      </c>
      <c r="H1540" s="652" t="s">
        <v>4065</v>
      </c>
      <c r="I1540" s="580" t="s">
        <v>4484</v>
      </c>
      <c r="J1540" s="580">
        <v>1</v>
      </c>
      <c r="K1540" s="652"/>
      <c r="L1540" s="662">
        <v>45296</v>
      </c>
      <c r="M1540" s="670" t="s">
        <v>4374</v>
      </c>
      <c r="N1540" s="652" t="s">
        <v>4375</v>
      </c>
      <c r="O1540" s="580">
        <v>2023.12</v>
      </c>
      <c r="P1540" s="670" t="str">
        <f>VLOOKUP(A1540,'[1]Raw data'!$B:$BA,23,FALSE)</f>
        <v>USD</v>
      </c>
      <c r="Q1540" s="652" t="str">
        <f>VLOOKUP(A1540,'[1]Raw data'!$B:$Z,2,FALSE)</f>
        <v>C49SZX20230119JL/4600003615</v>
      </c>
      <c r="R1540" s="652" t="str">
        <f>VLOOKUP(A1540,'[1]Raw data'!$B:$Z,3,FALSE)</f>
        <v>高伟</v>
      </c>
      <c r="S1540" s="652" t="str">
        <f>VLOOKUP(A1540,'[1]Raw data'!$B:$Z,4,FALSE)</f>
        <v>YSM10</v>
      </c>
      <c r="T1540" s="652" t="str">
        <f>VLOOKUP(A1540,'[1]Raw data'!$B:$Z,8,FALSE)</f>
        <v>L-&gt;R</v>
      </c>
      <c r="U1540" s="652" t="str">
        <f>VLOOKUP(A1540,'[1]Raw data'!$B:$Z,9,FALSE)</f>
        <v>MVC+ATS15(with 5 heads)</v>
      </c>
      <c r="V1540" s="572" t="str">
        <f t="shared" si="356"/>
        <v>WRONG</v>
      </c>
      <c r="W1540" s="568" t="str">
        <f>VLOOKUP(A1540,'[1]Raw data'!$B:$AG,32,FALSE)</f>
        <v>CIF HK</v>
      </c>
      <c r="X1540" s="662">
        <f>VLOOKUP(A1540,'[1]Raw data'!$B:$BA,31,FALSE)</f>
        <v>45233</v>
      </c>
      <c r="Y1540" s="652" t="str">
        <f>VLOOKUP(A1540,'[1]Raw data'!$B:$AS,39,FALSE)</f>
        <v>Yes</v>
      </c>
      <c r="Z1540" s="671"/>
      <c r="AA1540" s="672"/>
      <c r="AB1540" s="673"/>
      <c r="AC1540" s="652" t="s">
        <v>4336</v>
      </c>
      <c r="AD1540" s="667">
        <v>301</v>
      </c>
      <c r="AE1540" s="667">
        <v>5</v>
      </c>
      <c r="AF1540" s="667"/>
      <c r="AG1540" s="667"/>
      <c r="AH1540" s="667"/>
      <c r="AI1540" s="668"/>
      <c r="AN1540" s="547"/>
      <c r="AO1540" s="829" t="str">
        <f t="shared" si="357"/>
        <v>Yes</v>
      </c>
      <c r="AP1540" s="259" t="str">
        <f t="shared" si="358"/>
        <v>JAN 24</v>
      </c>
      <c r="AQ1540" s="547" t="str">
        <f t="shared" si="359"/>
        <v>有定金+有預留客戶</v>
      </c>
      <c r="AR1540" s="259" t="str">
        <f t="shared" si="360"/>
        <v>Shipped_Stock</v>
      </c>
      <c r="AS1540" s="259" t="str">
        <f t="shared" si="361"/>
        <v/>
      </c>
      <c r="AT1540" s="259" t="str">
        <f t="shared" si="362"/>
        <v>高伟</v>
      </c>
      <c r="AU1540" s="259" t="str">
        <f t="shared" si="363"/>
        <v>C49SZX20230119JL/4600003615</v>
      </c>
      <c r="AV1540" s="259" t="str">
        <f t="shared" si="364"/>
        <v>Jan-05</v>
      </c>
    </row>
    <row r="1541" spans="1:48" ht="22.5">
      <c r="A1541" s="564">
        <v>2088</v>
      </c>
      <c r="B1541" s="802" t="s">
        <v>75</v>
      </c>
      <c r="C1541" s="802" t="s">
        <v>281</v>
      </c>
      <c r="D1541" s="803">
        <v>111465</v>
      </c>
      <c r="E1541" s="804" t="s">
        <v>236</v>
      </c>
      <c r="F1541" s="715" t="s">
        <v>17</v>
      </c>
      <c r="G1541" s="715" t="s">
        <v>18</v>
      </c>
      <c r="H1541" s="715" t="s">
        <v>19</v>
      </c>
      <c r="I1541" s="667" t="s">
        <v>4485</v>
      </c>
      <c r="J1541" s="667">
        <v>1</v>
      </c>
      <c r="K1541" s="715" t="s">
        <v>1732</v>
      </c>
      <c r="L1541" s="805">
        <v>45296</v>
      </c>
      <c r="M1541" s="722" t="s">
        <v>4527</v>
      </c>
      <c r="N1541" s="652" t="s">
        <v>4417</v>
      </c>
      <c r="O1541" s="580">
        <v>2023.12</v>
      </c>
      <c r="P1541" s="807" t="str">
        <f>VLOOKUP(A1541,'[1]Raw data'!$B:$BA,23,FALSE)</f>
        <v>USD</v>
      </c>
      <c r="Q1541" s="808" t="str">
        <f>VLOOKUP(A1541,'[1]Raw data'!$B:$Z,2,FALSE)</f>
        <v>C49SZX20240019SX</v>
      </c>
      <c r="R1541" s="808" t="str">
        <f>VLOOKUP(A1541,'[1]Raw data'!$B:$Z,3,FALSE)</f>
        <v>佳日兴（end user:广基达）</v>
      </c>
      <c r="S1541" s="715" t="str">
        <f>VLOOKUP(A1541,'[1]Raw data'!$B:$Z,4,FALSE)</f>
        <v>YSM10</v>
      </c>
      <c r="T1541" s="715" t="str">
        <f>VLOOKUP(A1541,'[1]Raw data'!$B:$Z,8,FALSE)</f>
        <v>L-&gt;R</v>
      </c>
      <c r="U1541" s="715" t="str">
        <f>VLOOKUP(A1541,'[1]Raw data'!$B:$Z,9,FALSE)</f>
        <v>MVC+ATS15</v>
      </c>
      <c r="V1541" s="714" t="str">
        <f t="shared" si="356"/>
        <v>WRONG</v>
      </c>
      <c r="W1541" s="806" t="str">
        <f>VLOOKUP(A1541,'[1]Raw data'!$B:$AG,32,FALSE)</f>
        <v>CIF Vietnam</v>
      </c>
      <c r="X1541" s="805">
        <f>VLOOKUP(A1541,'[1]Raw data'!$B:$BA,31,FALSE)</f>
        <v>45317</v>
      </c>
      <c r="Y1541" s="715" t="str">
        <f>VLOOKUP(A1541,'[1]Raw data'!$B:$AS,39,FALSE)</f>
        <v>Yes</v>
      </c>
      <c r="Z1541" s="664"/>
      <c r="AA1541" s="665"/>
      <c r="AB1541" s="666"/>
      <c r="AC1541" s="715"/>
      <c r="AD1541" s="667">
        <v>301</v>
      </c>
      <c r="AE1541" s="667">
        <v>10</v>
      </c>
      <c r="AF1541" s="667"/>
      <c r="AG1541" s="667"/>
      <c r="AH1541" s="667"/>
      <c r="AI1541" s="668"/>
      <c r="AN1541" s="547"/>
      <c r="AO1541" s="829" t="str">
        <f t="shared" si="357"/>
        <v>Yes</v>
      </c>
      <c r="AP1541" s="259" t="str">
        <f t="shared" si="358"/>
        <v>FEB 24</v>
      </c>
      <c r="AQ1541" s="547" t="str">
        <f t="shared" si="359"/>
        <v>有定金+有預留客戶</v>
      </c>
      <c r="AR1541" s="259" t="str">
        <f t="shared" si="360"/>
        <v>Instock</v>
      </c>
      <c r="AS1541" s="259" t="str">
        <f t="shared" si="361"/>
        <v/>
      </c>
      <c r="AT1541" s="259" t="str">
        <f t="shared" si="362"/>
        <v>佳日兴（end user:广基达）</v>
      </c>
      <c r="AU1541" s="259" t="str">
        <f t="shared" si="363"/>
        <v>C49SZX20240019SX</v>
      </c>
      <c r="AV1541" s="259" t="str">
        <f t="shared" si="364"/>
        <v>Jan-05</v>
      </c>
    </row>
    <row r="1542" spans="1:48" ht="22.5">
      <c r="A1542" s="564">
        <v>2094</v>
      </c>
      <c r="B1542" s="802" t="s">
        <v>75</v>
      </c>
      <c r="C1542" s="802" t="s">
        <v>281</v>
      </c>
      <c r="D1542" s="803">
        <v>111465</v>
      </c>
      <c r="E1542" s="804" t="s">
        <v>236</v>
      </c>
      <c r="F1542" s="715" t="s">
        <v>17</v>
      </c>
      <c r="G1542" s="715" t="s">
        <v>18</v>
      </c>
      <c r="H1542" s="715" t="s">
        <v>19</v>
      </c>
      <c r="I1542" s="667" t="s">
        <v>4486</v>
      </c>
      <c r="J1542" s="667">
        <v>1</v>
      </c>
      <c r="K1542" s="715" t="s">
        <v>1732</v>
      </c>
      <c r="L1542" s="805">
        <v>45296</v>
      </c>
      <c r="M1542" s="722" t="s">
        <v>4527</v>
      </c>
      <c r="N1542" s="652" t="s">
        <v>4528</v>
      </c>
      <c r="O1542" s="580">
        <v>2023.12</v>
      </c>
      <c r="P1542" s="722" t="str">
        <f>VLOOKUP(A1542,'[1]Raw data'!$B:$BA,23,FALSE)</f>
        <v>USD</v>
      </c>
      <c r="Q1542" s="715" t="str">
        <f>VLOOKUP(A1542,'[1]Raw data'!$B:$Z,2,FALSE)</f>
        <v>C49SZX20240026JL/4600004198</v>
      </c>
      <c r="R1542" s="715" t="str">
        <f>VLOOKUP(A1542,'[1]Raw data'!$B:$Z,3,FALSE)</f>
        <v>高伟</v>
      </c>
      <c r="S1542" s="715" t="str">
        <f>VLOOKUP(A1542,'[1]Raw data'!$B:$Z,4,FALSE)</f>
        <v>YSM10</v>
      </c>
      <c r="T1542" s="715" t="str">
        <f>VLOOKUP(A1542,'[1]Raw data'!$B:$Z,8,FALSE)</f>
        <v>L-&gt;R</v>
      </c>
      <c r="U1542" s="715" t="str">
        <f>VLOOKUP(A1542,'[1]Raw data'!$B:$Z,9,FALSE)</f>
        <v>MVC+ATS15</v>
      </c>
      <c r="V1542" s="714" t="str">
        <f t="shared" si="356"/>
        <v>WRONG</v>
      </c>
      <c r="W1542" s="806" t="str">
        <f>VLOOKUP(A1542,'[1]Raw data'!$B:$AG,32,FALSE)</f>
        <v>CIF HK</v>
      </c>
      <c r="X1542" s="805">
        <f>VLOOKUP(A1542,'[1]Raw data'!$B:$BA,31,FALSE)</f>
        <v>45323</v>
      </c>
      <c r="Y1542" s="715" t="str">
        <f>VLOOKUP(A1542,'[1]Raw data'!$B:$AS,39,FALSE)</f>
        <v>Yes</v>
      </c>
      <c r="Z1542" s="664"/>
      <c r="AA1542" s="665"/>
      <c r="AB1542" s="666"/>
      <c r="AC1542" s="715"/>
      <c r="AD1542" s="667">
        <v>301</v>
      </c>
      <c r="AE1542" s="667">
        <v>10</v>
      </c>
      <c r="AF1542" s="667"/>
      <c r="AG1542" s="667"/>
      <c r="AH1542" s="667"/>
      <c r="AI1542" s="668"/>
      <c r="AN1542" s="547"/>
      <c r="AO1542" s="829" t="str">
        <f t="shared" si="357"/>
        <v>Yes</v>
      </c>
      <c r="AP1542" s="259" t="str">
        <f t="shared" si="358"/>
        <v>MAR 24</v>
      </c>
      <c r="AQ1542" s="547" t="str">
        <f t="shared" si="359"/>
        <v>有定金+有預留客戶</v>
      </c>
      <c r="AR1542" s="259" t="str">
        <f t="shared" si="360"/>
        <v>Instock</v>
      </c>
      <c r="AS1542" s="259" t="str">
        <f t="shared" si="361"/>
        <v/>
      </c>
      <c r="AT1542" s="259" t="str">
        <f t="shared" si="362"/>
        <v>高伟</v>
      </c>
      <c r="AU1542" s="259" t="str">
        <f t="shared" si="363"/>
        <v>C49SZX20240026JL/4600004198</v>
      </c>
      <c r="AV1542" s="259" t="str">
        <f t="shared" si="364"/>
        <v>Jan-05</v>
      </c>
    </row>
    <row r="1543" spans="1:48" ht="22.5">
      <c r="A1543" s="564">
        <v>2097</v>
      </c>
      <c r="B1543" s="802" t="s">
        <v>75</v>
      </c>
      <c r="C1543" s="802" t="s">
        <v>281</v>
      </c>
      <c r="D1543" s="803">
        <v>111465</v>
      </c>
      <c r="E1543" s="804" t="s">
        <v>236</v>
      </c>
      <c r="F1543" s="715" t="s">
        <v>17</v>
      </c>
      <c r="G1543" s="715" t="s">
        <v>18</v>
      </c>
      <c r="H1543" s="715" t="s">
        <v>19</v>
      </c>
      <c r="I1543" s="667" t="s">
        <v>4487</v>
      </c>
      <c r="J1543" s="667">
        <v>1</v>
      </c>
      <c r="K1543" s="715" t="s">
        <v>1732</v>
      </c>
      <c r="L1543" s="805">
        <v>45296</v>
      </c>
      <c r="M1543" s="722" t="s">
        <v>4527</v>
      </c>
      <c r="N1543" s="652" t="s">
        <v>4528</v>
      </c>
      <c r="O1543" s="580">
        <v>2023.12</v>
      </c>
      <c r="P1543" s="807" t="str">
        <f>VLOOKUP(A1543,'[1]Raw data'!$B:$BA,23,FALSE)</f>
        <v>RMB</v>
      </c>
      <c r="Q1543" s="808" t="str">
        <f>VLOOKUP(A1543,'[1]Raw data'!$B:$Z,2,FALSE)</f>
        <v>C49SZX20240028JL/HJD24020240</v>
      </c>
      <c r="R1543" s="808" t="str">
        <f>VLOOKUP(A1543,'[1]Raw data'!$B:$Z,3,FALSE)</f>
        <v>皓吉达</v>
      </c>
      <c r="S1543" s="715" t="str">
        <f>VLOOKUP(A1543,'[1]Raw data'!$B:$Z,4,FALSE)</f>
        <v>YSM10</v>
      </c>
      <c r="T1543" s="715" t="str">
        <f>VLOOKUP(A1543,'[1]Raw data'!$B:$Z,8,FALSE)</f>
        <v>L-&gt;R</v>
      </c>
      <c r="U1543" s="715" t="str">
        <f>VLOOKUP(A1543,'[1]Raw data'!$B:$Z,9,FALSE)</f>
        <v>ATS15</v>
      </c>
      <c r="V1543" s="714" t="str">
        <f t="shared" si="356"/>
        <v>WRONG</v>
      </c>
      <c r="W1543" s="806" t="str">
        <f>VLOOKUP(A1543,'[1]Raw data'!$B:$AG,32,FALSE)</f>
        <v>DDP HY</v>
      </c>
      <c r="X1543" s="805">
        <f>VLOOKUP(A1543,'[1]Raw data'!$B:$BA,31,FALSE)</f>
        <v>45329</v>
      </c>
      <c r="Y1543" s="715" t="str">
        <f>VLOOKUP(A1543,'[1]Raw data'!$B:$AS,39,FALSE)</f>
        <v>Yes</v>
      </c>
      <c r="Z1543" s="664"/>
      <c r="AA1543" s="665"/>
      <c r="AB1543" s="666"/>
      <c r="AC1543" s="715"/>
      <c r="AD1543" s="667">
        <v>301</v>
      </c>
      <c r="AE1543" s="667">
        <v>10</v>
      </c>
      <c r="AF1543" s="667"/>
      <c r="AG1543" s="667"/>
      <c r="AH1543" s="667"/>
      <c r="AI1543" s="668"/>
      <c r="AN1543" s="547"/>
      <c r="AO1543" s="829" t="str">
        <f t="shared" si="357"/>
        <v>Yes</v>
      </c>
      <c r="AP1543" s="259" t="str">
        <f t="shared" si="358"/>
        <v>MAR 24</v>
      </c>
      <c r="AQ1543" s="547" t="str">
        <f t="shared" si="359"/>
        <v>有定金+有預留客戶</v>
      </c>
      <c r="AR1543" s="259" t="str">
        <f t="shared" si="360"/>
        <v>Instock</v>
      </c>
      <c r="AS1543" s="259" t="str">
        <f t="shared" si="361"/>
        <v/>
      </c>
      <c r="AT1543" s="259" t="str">
        <f t="shared" si="362"/>
        <v>皓吉达</v>
      </c>
      <c r="AU1543" s="259" t="str">
        <f t="shared" si="363"/>
        <v>C49SZX20240028JL/HJD24020240</v>
      </c>
      <c r="AV1543" s="259" t="str">
        <f t="shared" si="364"/>
        <v>Jan-05</v>
      </c>
    </row>
    <row r="1544" spans="1:48" ht="33.75" hidden="1">
      <c r="A1544" s="604">
        <v>2032</v>
      </c>
      <c r="B1544" s="669" t="s">
        <v>1125</v>
      </c>
      <c r="C1544" s="669" t="s">
        <v>281</v>
      </c>
      <c r="D1544" s="650">
        <v>111501</v>
      </c>
      <c r="E1544" s="749" t="s">
        <v>4418</v>
      </c>
      <c r="F1544" s="652" t="s">
        <v>17</v>
      </c>
      <c r="G1544" s="652" t="s">
        <v>24</v>
      </c>
      <c r="H1544" s="652" t="s">
        <v>4065</v>
      </c>
      <c r="I1544" s="569" t="s">
        <v>4557</v>
      </c>
      <c r="J1544" s="580">
        <v>1</v>
      </c>
      <c r="K1544" s="652" t="s">
        <v>2671</v>
      </c>
      <c r="L1544" s="662">
        <v>45324</v>
      </c>
      <c r="M1544" s="670" t="s">
        <v>4421</v>
      </c>
      <c r="N1544" s="652" t="s">
        <v>4417</v>
      </c>
      <c r="O1544" s="580">
        <v>2024.1</v>
      </c>
      <c r="P1544" s="670" t="str">
        <f>VLOOKUP(A1544,'[1]Raw data'!$B:$BA,23,FALSE)</f>
        <v>USD</v>
      </c>
      <c r="Q1544" s="652" t="str">
        <f>VLOOKUP(A1544,'[1]Raw data'!$B:$Z,2,FALSE)</f>
        <v>C49SZX20230133JL/4600003765</v>
      </c>
      <c r="R1544" s="652" t="str">
        <f>VLOOKUP(A1544,'[1]Raw data'!$B:$Z,3,FALSE)</f>
        <v>高伟</v>
      </c>
      <c r="S1544" s="652" t="str">
        <f>VLOOKUP(A1544,'[1]Raw data'!$B:$Z,4,FALSE)</f>
        <v>YSM10</v>
      </c>
      <c r="T1544" s="652" t="str">
        <f>VLOOKUP(A1544,'[1]Raw data'!$B:$Z,8,FALSE)</f>
        <v>L-&gt;R</v>
      </c>
      <c r="U1544" s="652" t="str">
        <f>VLOOKUP(A1544,'[1]Raw data'!$B:$Z,9,FALSE)</f>
        <v>MVC+ATS15(with 5 heads)</v>
      </c>
      <c r="V1544" s="572" t="str">
        <f>IF(G1544&amp;H1544=T1544&amp;U1544,"OK","WRONG")</f>
        <v>WRONG</v>
      </c>
      <c r="W1544" s="568" t="str">
        <f>VLOOKUP(A1544,'[1]Raw data'!$B:$AG,32,FALSE)</f>
        <v>CIF HK</v>
      </c>
      <c r="X1544" s="662">
        <f>VLOOKUP(A1544,'[1]Raw data'!$B:$BA,31,FALSE)</f>
        <v>45260</v>
      </c>
      <c r="Y1544" s="652" t="str">
        <f>VLOOKUP(A1544,'[1]Raw data'!$B:$AS,39,FALSE)</f>
        <v>Yes</v>
      </c>
      <c r="Z1544" s="664"/>
      <c r="AA1544" s="665"/>
      <c r="AB1544" s="666"/>
      <c r="AC1544" s="652" t="s">
        <v>1951</v>
      </c>
      <c r="AD1544" s="580">
        <v>301</v>
      </c>
      <c r="AE1544" s="580">
        <v>5</v>
      </c>
      <c r="AF1544" s="580"/>
      <c r="AG1544" s="580"/>
      <c r="AH1544" s="580"/>
      <c r="AI1544" s="684"/>
      <c r="AJ1544" s="569"/>
      <c r="AK1544" s="569"/>
      <c r="AL1544" s="569"/>
      <c r="AM1544" s="569"/>
      <c r="AN1544" s="619"/>
      <c r="AO1544" s="829" t="str">
        <f t="shared" si="357"/>
        <v>Yes</v>
      </c>
      <c r="AP1544" s="260" t="str">
        <f t="shared" si="358"/>
        <v>FEB 24</v>
      </c>
      <c r="AQ1544" s="547" t="str">
        <f t="shared" si="359"/>
        <v>有定金+有預留客戶</v>
      </c>
      <c r="AR1544" s="259" t="str">
        <f t="shared" si="360"/>
        <v>Shipped_Stock</v>
      </c>
      <c r="AS1544" s="259" t="str">
        <f t="shared" si="361"/>
        <v/>
      </c>
      <c r="AT1544" s="259" t="str">
        <f t="shared" si="362"/>
        <v>高伟</v>
      </c>
      <c r="AU1544" s="259" t="str">
        <f t="shared" si="363"/>
        <v>C49SZX20230133JL/4600003765</v>
      </c>
      <c r="AV1544" s="259" t="str">
        <f t="shared" si="364"/>
        <v>Feb-02</v>
      </c>
    </row>
    <row r="1545" spans="1:48" ht="33.75" hidden="1">
      <c r="A1545" s="604">
        <v>2033</v>
      </c>
      <c r="B1545" s="669" t="s">
        <v>1125</v>
      </c>
      <c r="C1545" s="669" t="s">
        <v>281</v>
      </c>
      <c r="D1545" s="650">
        <v>111501</v>
      </c>
      <c r="E1545" s="749" t="s">
        <v>4418</v>
      </c>
      <c r="F1545" s="652" t="s">
        <v>17</v>
      </c>
      <c r="G1545" s="652" t="s">
        <v>24</v>
      </c>
      <c r="H1545" s="652" t="s">
        <v>4065</v>
      </c>
      <c r="I1545" s="569" t="s">
        <v>4558</v>
      </c>
      <c r="J1545" s="580">
        <v>1</v>
      </c>
      <c r="K1545" s="652" t="s">
        <v>2671</v>
      </c>
      <c r="L1545" s="662">
        <v>45324</v>
      </c>
      <c r="M1545" s="670" t="s">
        <v>4421</v>
      </c>
      <c r="N1545" s="652" t="s">
        <v>4417</v>
      </c>
      <c r="O1545" s="580">
        <v>2024.1</v>
      </c>
      <c r="P1545" s="670" t="str">
        <f>VLOOKUP(A1545,'[1]Raw data'!$B:$BA,23,FALSE)</f>
        <v>USD</v>
      </c>
      <c r="Q1545" s="652" t="str">
        <f>VLOOKUP(A1545,'[1]Raw data'!$B:$Z,2,FALSE)</f>
        <v>C49SZX20230133JL/4600003765</v>
      </c>
      <c r="R1545" s="652" t="str">
        <f>VLOOKUP(A1545,'[1]Raw data'!$B:$Z,3,FALSE)</f>
        <v>高伟</v>
      </c>
      <c r="S1545" s="652" t="str">
        <f>VLOOKUP(A1545,'[1]Raw data'!$B:$Z,4,FALSE)</f>
        <v>YSM10</v>
      </c>
      <c r="T1545" s="652" t="str">
        <f>VLOOKUP(A1545,'[1]Raw data'!$B:$Z,8,FALSE)</f>
        <v>L-&gt;R</v>
      </c>
      <c r="U1545" s="652" t="str">
        <f>VLOOKUP(A1545,'[1]Raw data'!$B:$Z,9,FALSE)</f>
        <v>MVC+ATS15(with 5 heads)</v>
      </c>
      <c r="V1545" s="572" t="str">
        <f>IF(G1545&amp;H1545=T1545&amp;U1545,"OK","WRONG")</f>
        <v>WRONG</v>
      </c>
      <c r="W1545" s="568" t="str">
        <f>VLOOKUP(A1545,'[1]Raw data'!$B:$AG,32,FALSE)</f>
        <v>CIF HK</v>
      </c>
      <c r="X1545" s="662">
        <f>VLOOKUP(A1545,'[1]Raw data'!$B:$BA,31,FALSE)</f>
        <v>45260</v>
      </c>
      <c r="Y1545" s="652" t="str">
        <f>VLOOKUP(A1545,'[1]Raw data'!$B:$AS,39,FALSE)</f>
        <v>Yes</v>
      </c>
      <c r="Z1545" s="664"/>
      <c r="AA1545" s="665"/>
      <c r="AB1545" s="666"/>
      <c r="AC1545" s="652" t="s">
        <v>1951</v>
      </c>
      <c r="AD1545" s="580">
        <v>301</v>
      </c>
      <c r="AE1545" s="580">
        <v>5</v>
      </c>
      <c r="AF1545" s="580"/>
      <c r="AG1545" s="580"/>
      <c r="AH1545" s="580"/>
      <c r="AI1545" s="684"/>
      <c r="AJ1545" s="569"/>
      <c r="AK1545" s="569"/>
      <c r="AL1545" s="569"/>
      <c r="AM1545" s="569"/>
      <c r="AN1545" s="619"/>
      <c r="AO1545" s="829" t="str">
        <f t="shared" si="357"/>
        <v>Yes</v>
      </c>
      <c r="AP1545" s="260" t="str">
        <f t="shared" si="358"/>
        <v>FEB 24</v>
      </c>
      <c r="AQ1545" s="547" t="str">
        <f t="shared" si="359"/>
        <v>有定金+有預留客戶</v>
      </c>
      <c r="AR1545" s="259" t="str">
        <f t="shared" si="360"/>
        <v>Shipped_Stock</v>
      </c>
      <c r="AS1545" s="259" t="str">
        <f t="shared" si="361"/>
        <v/>
      </c>
      <c r="AT1545" s="259" t="str">
        <f t="shared" si="362"/>
        <v>高伟</v>
      </c>
      <c r="AU1545" s="259" t="str">
        <f t="shared" si="363"/>
        <v>C49SZX20230133JL/4600003765</v>
      </c>
      <c r="AV1545" s="259" t="str">
        <f t="shared" si="364"/>
        <v>Feb-02</v>
      </c>
    </row>
    <row r="1546" spans="1:48" ht="33.75">
      <c r="A1546" s="564">
        <v>2040</v>
      </c>
      <c r="B1546" s="802" t="s">
        <v>75</v>
      </c>
      <c r="C1546" s="802" t="s">
        <v>281</v>
      </c>
      <c r="D1546" s="803">
        <v>111482</v>
      </c>
      <c r="E1546" s="804" t="s">
        <v>4384</v>
      </c>
      <c r="F1546" s="715" t="s">
        <v>58</v>
      </c>
      <c r="G1546" s="715" t="s">
        <v>24</v>
      </c>
      <c r="H1546" s="715" t="s">
        <v>4385</v>
      </c>
      <c r="I1546" s="667" t="s">
        <v>4559</v>
      </c>
      <c r="J1546" s="667">
        <v>1</v>
      </c>
      <c r="K1546" s="715"/>
      <c r="L1546" s="805">
        <v>45349</v>
      </c>
      <c r="M1546" s="722" t="s">
        <v>4420</v>
      </c>
      <c r="N1546" s="652" t="s">
        <v>4417</v>
      </c>
      <c r="O1546" s="580">
        <v>2024.1</v>
      </c>
      <c r="P1546" s="807" t="str">
        <f>VLOOKUP(A1546,'[1]Raw data'!$B:$BA,23,FALSE)</f>
        <v>USD</v>
      </c>
      <c r="Q1546" s="808" t="str">
        <f>VLOOKUP(A1546,'[1]Raw data'!$B:$Z,2,FALSE)</f>
        <v>C49SZX20230136JAL</v>
      </c>
      <c r="R1546" s="808" t="str">
        <f>VLOOKUP(A1546,'[1]Raw data'!$B:$Z,3,FALSE)</f>
        <v>TBS</v>
      </c>
      <c r="S1546" s="715" t="str">
        <f>VLOOKUP(A1546,'[1]Raw data'!$B:$Z,4,FALSE)</f>
        <v>YSM20R-2</v>
      </c>
      <c r="T1546" s="715" t="str">
        <f>VLOOKUP(A1546,'[1]Raw data'!$B:$Z,8,FALSE)</f>
        <v>L-&gt;R</v>
      </c>
      <c r="U1546" s="715" t="str">
        <f>VLOOKUP(A1546,'[1]Raw data'!$B:$Z,9,FALSE)</f>
        <v>MVC+cATS10+ANC</v>
      </c>
      <c r="V1546" s="714" t="str">
        <f t="shared" si="356"/>
        <v>WRONG</v>
      </c>
      <c r="W1546" s="806" t="str">
        <f>VLOOKUP(A1546,'[1]Raw data'!$B:$AG,32,FALSE)</f>
        <v>CIF HK</v>
      </c>
      <c r="X1546" s="805">
        <f>VLOOKUP(A1546,'[1]Raw data'!$B:$BA,31,FALSE)</f>
        <v>45264</v>
      </c>
      <c r="Y1546" s="715" t="str">
        <f>VLOOKUP(A1546,'[1]Raw data'!$B:$AS,39,FALSE)</f>
        <v>Yes</v>
      </c>
      <c r="Z1546" s="664"/>
      <c r="AA1546" s="665"/>
      <c r="AB1546" s="666"/>
      <c r="AC1546" s="715"/>
      <c r="AD1546" s="667">
        <v>301</v>
      </c>
      <c r="AE1546" s="667">
        <v>20</v>
      </c>
      <c r="AF1546" s="667"/>
      <c r="AG1546" s="667"/>
      <c r="AH1546" s="667"/>
      <c r="AI1546" s="668"/>
      <c r="AN1546" s="547"/>
      <c r="AO1546" s="829" t="str">
        <f t="shared" si="357"/>
        <v>Yes</v>
      </c>
      <c r="AP1546" s="259" t="str">
        <f t="shared" si="358"/>
        <v>FEB 24</v>
      </c>
      <c r="AQ1546" s="547" t="str">
        <f t="shared" si="359"/>
        <v>有定金+有預留客戶</v>
      </c>
      <c r="AR1546" s="259" t="str">
        <f t="shared" si="360"/>
        <v>Instock</v>
      </c>
      <c r="AS1546" s="844" t="str">
        <f t="shared" si="361"/>
        <v/>
      </c>
      <c r="AT1546" s="259" t="str">
        <f t="shared" si="362"/>
        <v>TBS</v>
      </c>
      <c r="AU1546" s="259" t="str">
        <f t="shared" si="363"/>
        <v>C49SZX20230136JAL</v>
      </c>
      <c r="AV1546" s="259" t="str">
        <f t="shared" si="364"/>
        <v>Feb-27</v>
      </c>
    </row>
    <row r="1547" spans="1:48">
      <c r="A1547" s="564">
        <v>2004</v>
      </c>
      <c r="B1547" s="802" t="s">
        <v>2980</v>
      </c>
      <c r="C1547" s="802" t="s">
        <v>4056</v>
      </c>
      <c r="D1547" s="803" t="s">
        <v>4403</v>
      </c>
      <c r="E1547" s="804" t="s">
        <v>4407</v>
      </c>
      <c r="F1547" s="715" t="s">
        <v>201</v>
      </c>
      <c r="G1547" s="715" t="s">
        <v>24</v>
      </c>
      <c r="H1547" s="715" t="s">
        <v>26</v>
      </c>
      <c r="I1547" s="667" t="s">
        <v>4469</v>
      </c>
      <c r="J1547" s="667">
        <v>1</v>
      </c>
      <c r="K1547" s="715"/>
      <c r="L1547" s="805">
        <v>45348</v>
      </c>
      <c r="M1547" s="722" t="s">
        <v>4566</v>
      </c>
      <c r="N1547" s="652" t="s">
        <v>4417</v>
      </c>
      <c r="O1547" s="580">
        <v>2024.1</v>
      </c>
      <c r="P1547" s="807" t="str">
        <f>VLOOKUP(A1547,'[1]Raw data'!$B:$BA,23,FALSE)</f>
        <v>JPY</v>
      </c>
      <c r="Q1547" s="808" t="str">
        <f>VLOOKUP(A1547,'[1]Raw data'!$B:$Z,2,FALSE)</f>
        <v>C28SZX20230122SX</v>
      </c>
      <c r="R1547" s="808" t="str">
        <f>VLOOKUP(A1547,'[1]Raw data'!$B:$Z,3,FALSE)</f>
        <v>锐诚</v>
      </c>
      <c r="S1547" s="715" t="str">
        <f>VLOOKUP(A1547,'[1]Raw data'!$B:$Z,4,FALSE)</f>
        <v>YSi-V</v>
      </c>
      <c r="T1547" s="715" t="str">
        <f>VLOOKUP(A1547,'[1]Raw data'!$B:$Z,8,FALSE)</f>
        <v>L-&gt;R</v>
      </c>
      <c r="U1547" s="715" t="str">
        <f>VLOOKUP(A1547,'[1]Raw data'!$B:$Z,9,FALSE)</f>
        <v>No</v>
      </c>
      <c r="V1547" s="714" t="str">
        <f>IF(G1547&amp;H1547=T1547&amp;U1547,"OK","WRONG")</f>
        <v>OK</v>
      </c>
      <c r="W1547" s="586" t="str">
        <f>VLOOKUP(A1547,'[1]Raw data'!$B:$AG,32,FALSE)</f>
        <v>DAP HZ</v>
      </c>
      <c r="X1547" s="805">
        <f>VLOOKUP(A1547,'[1]Raw data'!$B:$BA,31,FALSE)</f>
        <v>45236</v>
      </c>
      <c r="Y1547" s="715" t="str">
        <f>VLOOKUP(A1547,'[1]Raw data'!$B:$AS,39,FALSE)</f>
        <v>Yes</v>
      </c>
      <c r="Z1547" s="664"/>
      <c r="AA1547" s="665"/>
      <c r="AB1547" s="666"/>
      <c r="AC1547" s="715"/>
      <c r="AD1547" s="667"/>
      <c r="AE1547" s="667"/>
      <c r="AF1547" s="667"/>
      <c r="AG1547" s="667"/>
      <c r="AH1547" s="667"/>
      <c r="AI1547" s="668"/>
      <c r="AN1547" s="547"/>
      <c r="AO1547" s="829" t="str">
        <f t="shared" si="357"/>
        <v>Yes</v>
      </c>
      <c r="AP1547" s="259" t="str">
        <f t="shared" si="358"/>
        <v>FEB 24</v>
      </c>
      <c r="AQ1547" s="547" t="str">
        <f t="shared" si="359"/>
        <v>有定金+有預留客戶</v>
      </c>
      <c r="AR1547" s="259" t="str">
        <f t="shared" si="360"/>
        <v>Incoming_Stock_With_YAMAHA_Schedule</v>
      </c>
      <c r="AS1547" s="844">
        <f t="shared" si="361"/>
        <v>45348</v>
      </c>
      <c r="AT1547" s="259" t="str">
        <f t="shared" si="362"/>
        <v>锐诚</v>
      </c>
      <c r="AU1547" s="259" t="str">
        <f t="shared" si="363"/>
        <v>C28SZX20230122SX</v>
      </c>
      <c r="AV1547" s="259" t="str">
        <f t="shared" si="364"/>
        <v>Feb-26</v>
      </c>
    </row>
    <row r="1548" spans="1:48">
      <c r="A1548" s="564">
        <v>2037</v>
      </c>
      <c r="B1548" s="802" t="s">
        <v>2980</v>
      </c>
      <c r="C1548" s="802" t="s">
        <v>281</v>
      </c>
      <c r="D1548" s="803">
        <v>111503</v>
      </c>
      <c r="E1548" s="804" t="s">
        <v>4423</v>
      </c>
      <c r="F1548" s="715" t="s">
        <v>58</v>
      </c>
      <c r="G1548" s="715" t="s">
        <v>24</v>
      </c>
      <c r="H1548" s="715" t="s">
        <v>2410</v>
      </c>
      <c r="I1548" s="667" t="s">
        <v>4577</v>
      </c>
      <c r="J1548" s="667">
        <v>1</v>
      </c>
      <c r="K1548" s="715"/>
      <c r="L1548" s="805">
        <v>45348</v>
      </c>
      <c r="M1548" s="722">
        <v>4.99E-2</v>
      </c>
      <c r="N1548" s="652" t="s">
        <v>4417</v>
      </c>
      <c r="O1548" s="580">
        <v>2024.1</v>
      </c>
      <c r="P1548" s="807" t="str">
        <f>VLOOKUP(A1548,'[1]Raw data'!$B:$BA,23,FALSE)</f>
        <v>RMB</v>
      </c>
      <c r="Q1548" s="808" t="str">
        <f>VLOOKUP(A1548,'[1]Raw data'!$B:$Z,2,FALSE)</f>
        <v>CG20231204009</v>
      </c>
      <c r="R1548" s="808" t="str">
        <f>VLOOKUP(A1548,'[1]Raw data'!$B:$Z,3,FALSE)</f>
        <v>徕芬</v>
      </c>
      <c r="S1548" s="715" t="str">
        <f>VLOOKUP(A1548,'[1]Raw data'!$B:$Z,4,FALSE)</f>
        <v>YSM20R-2</v>
      </c>
      <c r="T1548" s="715" t="str">
        <f>VLOOKUP(A1548,'[1]Raw data'!$B:$Z,8,FALSE)</f>
        <v>L-&gt;R</v>
      </c>
      <c r="U1548" s="715" t="str">
        <f>VLOOKUP(A1548,'[1]Raw data'!$B:$Z,9,FALSE)</f>
        <v>cATS10+MVC+Feeder Carriage</v>
      </c>
      <c r="V1548" s="714" t="str">
        <f>IF(G1548&amp;H1548=T1548&amp;U1548,"OK","WRONG")</f>
        <v>OK</v>
      </c>
      <c r="W1548" s="806" t="str">
        <f>VLOOKUP(A1548,'[1]Raw data'!$B:$AG,32,FALSE)</f>
        <v>DDP DG</v>
      </c>
      <c r="X1548" s="805">
        <f>VLOOKUP(A1548,'[1]Raw data'!$B:$BA,31,FALSE)</f>
        <v>45261</v>
      </c>
      <c r="Y1548" s="715" t="str">
        <f>VLOOKUP(A1548,'[1]Raw data'!$B:$AS,39,FALSE)</f>
        <v>Yes</v>
      </c>
      <c r="Z1548" s="664"/>
      <c r="AA1548" s="665"/>
      <c r="AB1548" s="666"/>
      <c r="AC1548" s="715"/>
      <c r="AD1548" s="667">
        <v>301</v>
      </c>
      <c r="AE1548" s="667">
        <v>10</v>
      </c>
      <c r="AF1548" s="667">
        <v>303</v>
      </c>
      <c r="AG1548" s="667">
        <v>10</v>
      </c>
      <c r="AH1548" s="667"/>
      <c r="AI1548" s="668"/>
      <c r="AN1548" s="547"/>
      <c r="AO1548" s="829" t="str">
        <f t="shared" si="357"/>
        <v>Yes</v>
      </c>
      <c r="AP1548" s="259" t="str">
        <f>IFERROR(IF(N1548&lt;&gt;"",N1548,"blank"),"NA")</f>
        <v>FEB 24</v>
      </c>
      <c r="AQ1548" s="547" t="str">
        <f t="shared" si="359"/>
        <v>有定金+有預留客戶</v>
      </c>
      <c r="AR1548" s="259" t="str">
        <f t="shared" si="360"/>
        <v>Incoming_Stock_With_YAMAHA_Schedule</v>
      </c>
      <c r="AS1548" s="844">
        <f t="shared" si="361"/>
        <v>45348</v>
      </c>
      <c r="AT1548" s="259" t="str">
        <f t="shared" si="362"/>
        <v>徕芬</v>
      </c>
      <c r="AU1548" s="259" t="str">
        <f t="shared" si="363"/>
        <v>CG20231204009</v>
      </c>
      <c r="AV1548" s="259" t="str">
        <f t="shared" si="364"/>
        <v>Feb-26</v>
      </c>
    </row>
    <row r="1549" spans="1:48">
      <c r="A1549" s="564">
        <v>2038</v>
      </c>
      <c r="B1549" s="802" t="s">
        <v>2980</v>
      </c>
      <c r="C1549" s="802" t="s">
        <v>281</v>
      </c>
      <c r="D1549" s="803">
        <v>111503</v>
      </c>
      <c r="E1549" s="804" t="s">
        <v>4423</v>
      </c>
      <c r="F1549" s="715" t="s">
        <v>58</v>
      </c>
      <c r="G1549" s="715" t="s">
        <v>24</v>
      </c>
      <c r="H1549" s="715" t="s">
        <v>2410</v>
      </c>
      <c r="I1549" s="667" t="s">
        <v>4578</v>
      </c>
      <c r="J1549" s="667">
        <v>1</v>
      </c>
      <c r="K1549" s="715"/>
      <c r="L1549" s="805">
        <v>45348</v>
      </c>
      <c r="M1549" s="722">
        <v>4.99E-2</v>
      </c>
      <c r="N1549" s="652" t="s">
        <v>4417</v>
      </c>
      <c r="O1549" s="580">
        <v>2024.2</v>
      </c>
      <c r="P1549" s="807" t="str">
        <f>VLOOKUP(A1549,'[1]Raw data'!$B:$BA,23,FALSE)</f>
        <v>RMB</v>
      </c>
      <c r="Q1549" s="808" t="str">
        <f>VLOOKUP(A1549,'[1]Raw data'!$B:$Z,2,FALSE)</f>
        <v>CG20231204009</v>
      </c>
      <c r="R1549" s="808" t="str">
        <f>VLOOKUP(A1549,'[1]Raw data'!$B:$Z,3,FALSE)</f>
        <v>徕芬</v>
      </c>
      <c r="S1549" s="715" t="str">
        <f>VLOOKUP(A1549,'[1]Raw data'!$B:$Z,4,FALSE)</f>
        <v>YSM20R-2</v>
      </c>
      <c r="T1549" s="715" t="str">
        <f>VLOOKUP(A1549,'[1]Raw data'!$B:$Z,8,FALSE)</f>
        <v>L-&gt;R</v>
      </c>
      <c r="U1549" s="715" t="str">
        <f>VLOOKUP(A1549,'[1]Raw data'!$B:$Z,9,FALSE)</f>
        <v>cATS10+MVC+Feeder Carriage</v>
      </c>
      <c r="V1549" s="714" t="str">
        <f>IF(G1549&amp;H1549=T1549&amp;U1549,"OK","WRONG")</f>
        <v>OK</v>
      </c>
      <c r="W1549" s="806" t="str">
        <f>VLOOKUP(A1549,'[1]Raw data'!$B:$AG,32,FALSE)</f>
        <v>DDP DG</v>
      </c>
      <c r="X1549" s="805">
        <f>VLOOKUP(A1549,'[1]Raw data'!$B:$BA,31,FALSE)</f>
        <v>45261</v>
      </c>
      <c r="Y1549" s="715" t="str">
        <f>VLOOKUP(A1549,'[1]Raw data'!$B:$AS,39,FALSE)</f>
        <v>Yes</v>
      </c>
      <c r="Z1549" s="664"/>
      <c r="AA1549" s="665"/>
      <c r="AB1549" s="666"/>
      <c r="AC1549" s="715"/>
      <c r="AD1549" s="667">
        <v>301</v>
      </c>
      <c r="AE1549" s="667">
        <v>10</v>
      </c>
      <c r="AF1549" s="667">
        <v>303</v>
      </c>
      <c r="AG1549" s="667">
        <v>10</v>
      </c>
      <c r="AH1549" s="667"/>
      <c r="AI1549" s="668"/>
      <c r="AN1549" s="547"/>
      <c r="AO1549" s="829" t="str">
        <f t="shared" si="357"/>
        <v>Yes</v>
      </c>
      <c r="AP1549" s="259" t="str">
        <f>IFERROR(IF(N1549&lt;&gt;"",N1549,"blank"),"NA")</f>
        <v>FEB 24</v>
      </c>
      <c r="AQ1549" s="547" t="str">
        <f t="shared" si="359"/>
        <v>有定金+有預留客戶</v>
      </c>
      <c r="AR1549" s="259" t="str">
        <f t="shared" si="360"/>
        <v>Incoming_Stock_With_YAMAHA_Schedule</v>
      </c>
      <c r="AS1549" s="844">
        <f t="shared" si="361"/>
        <v>45348</v>
      </c>
      <c r="AT1549" s="259" t="str">
        <f t="shared" si="362"/>
        <v>徕芬</v>
      </c>
      <c r="AU1549" s="259" t="str">
        <f t="shared" si="363"/>
        <v>CG20231204009</v>
      </c>
      <c r="AV1549" s="259" t="str">
        <f t="shared" si="364"/>
        <v>Feb-26</v>
      </c>
    </row>
    <row r="1550" spans="1:48">
      <c r="B1550" s="802" t="s">
        <v>2980</v>
      </c>
      <c r="C1550" s="802" t="s">
        <v>4056</v>
      </c>
      <c r="D1550" s="803" t="s">
        <v>4405</v>
      </c>
      <c r="E1550" s="804" t="s">
        <v>236</v>
      </c>
      <c r="F1550" s="715" t="s">
        <v>4587</v>
      </c>
      <c r="G1550" s="715" t="s">
        <v>24</v>
      </c>
      <c r="H1550" s="715" t="s">
        <v>26</v>
      </c>
      <c r="I1550" s="576" t="s">
        <v>4591</v>
      </c>
      <c r="J1550" s="667">
        <v>1</v>
      </c>
      <c r="K1550" s="715"/>
      <c r="L1550" s="805">
        <v>45354</v>
      </c>
      <c r="M1550" s="722" t="s">
        <v>4607</v>
      </c>
      <c r="N1550" s="652"/>
      <c r="O1550" s="799"/>
      <c r="P1550" s="722" t="e">
        <f>VLOOKUP(A1550,'[1]Raw data'!$B:$BA,23,FALSE)</f>
        <v>#N/A</v>
      </c>
      <c r="Q1550" s="715" t="e">
        <f>VLOOKUP(A1550,'[1]Raw data'!$B:$Z,2,FALSE)</f>
        <v>#N/A</v>
      </c>
      <c r="R1550" s="715" t="e">
        <f>VLOOKUP(A1550,'[1]Raw data'!$B:$Z,3,FALSE)</f>
        <v>#N/A</v>
      </c>
      <c r="S1550" s="715" t="e">
        <f>VLOOKUP(A1550,'[1]Raw data'!$B:$Z,4,FALSE)</f>
        <v>#N/A</v>
      </c>
      <c r="T1550" s="715" t="e">
        <f>VLOOKUP(A1550,'[1]Raw data'!$B:$Z,8,FALSE)</f>
        <v>#N/A</v>
      </c>
      <c r="U1550" s="715" t="e">
        <f>VLOOKUP(A1550,'[1]Raw data'!$B:$Z,9,FALSE)</f>
        <v>#N/A</v>
      </c>
      <c r="V1550" s="714" t="e">
        <f>IF(G1550&amp;H1550=T1550&amp;U1550,"OK","WRONG")</f>
        <v>#N/A</v>
      </c>
      <c r="W1550" s="586" t="e">
        <f>VLOOKUP(A1550,'[1]Raw data'!$B:$AG,32,FALSE)</f>
        <v>#N/A</v>
      </c>
      <c r="X1550" s="805" t="e">
        <f>VLOOKUP(A1550,'[1]Raw data'!$B:$BA,31,FALSE)</f>
        <v>#N/A</v>
      </c>
      <c r="Y1550" s="715" t="e">
        <f>VLOOKUP(A1550,'[1]Raw data'!$B:$AS,39,FALSE)</f>
        <v>#N/A</v>
      </c>
      <c r="Z1550" s="664"/>
      <c r="AA1550" s="665"/>
      <c r="AB1550" s="666"/>
      <c r="AC1550" s="715"/>
      <c r="AD1550" s="667"/>
      <c r="AE1550" s="667"/>
      <c r="AF1550" s="667"/>
      <c r="AG1550" s="667"/>
      <c r="AH1550" s="667"/>
      <c r="AI1550" s="668"/>
      <c r="AN1550" s="547"/>
      <c r="AO1550" s="829" t="str">
        <f t="shared" si="357"/>
        <v>No</v>
      </c>
      <c r="AP1550" s="259" t="str">
        <f t="shared" si="358"/>
        <v>blank</v>
      </c>
      <c r="AQ1550" s="547" t="str">
        <f t="shared" si="359"/>
        <v>无定金+无預留客戶</v>
      </c>
      <c r="AR1550" s="259" t="str">
        <f t="shared" si="360"/>
        <v>Incoming_Stock_With_YAMAHA_Schedule</v>
      </c>
      <c r="AS1550" s="844">
        <f t="shared" si="361"/>
        <v>45354</v>
      </c>
      <c r="AT1550" s="259" t="str">
        <f t="shared" si="362"/>
        <v>-</v>
      </c>
      <c r="AU1550" s="259" t="str">
        <f t="shared" si="363"/>
        <v>-</v>
      </c>
      <c r="AV1550" s="259" t="str">
        <f t="shared" si="364"/>
        <v>Mar-03</v>
      </c>
    </row>
    <row r="1551" spans="1:48">
      <c r="B1551" s="802" t="s">
        <v>2980</v>
      </c>
      <c r="C1551" s="802" t="s">
        <v>4056</v>
      </c>
      <c r="D1551" s="803" t="s">
        <v>4405</v>
      </c>
      <c r="E1551" s="804" t="s">
        <v>236</v>
      </c>
      <c r="F1551" s="715" t="s">
        <v>4589</v>
      </c>
      <c r="G1551" s="715" t="s">
        <v>24</v>
      </c>
      <c r="H1551" s="715" t="s">
        <v>26</v>
      </c>
      <c r="I1551" s="576" t="s">
        <v>4592</v>
      </c>
      <c r="J1551" s="667">
        <v>1</v>
      </c>
      <c r="K1551" s="715"/>
      <c r="L1551" s="805">
        <v>45354</v>
      </c>
      <c r="M1551" s="722" t="s">
        <v>4607</v>
      </c>
      <c r="N1551" s="652"/>
      <c r="O1551" s="799"/>
      <c r="P1551" s="722" t="e">
        <f>VLOOKUP(A1551,'[1]Raw data'!$B:$BA,23,FALSE)</f>
        <v>#N/A</v>
      </c>
      <c r="Q1551" s="715" t="e">
        <f>VLOOKUP(A1551,'[1]Raw data'!$B:$Z,2,FALSE)</f>
        <v>#N/A</v>
      </c>
      <c r="R1551" s="715" t="e">
        <f>VLOOKUP(A1551,'[1]Raw data'!$B:$Z,3,FALSE)</f>
        <v>#N/A</v>
      </c>
      <c r="S1551" s="715" t="e">
        <f>VLOOKUP(A1551,'[1]Raw data'!$B:$Z,4,FALSE)</f>
        <v>#N/A</v>
      </c>
      <c r="T1551" s="715" t="e">
        <f>VLOOKUP(A1551,'[1]Raw data'!$B:$Z,8,FALSE)</f>
        <v>#N/A</v>
      </c>
      <c r="U1551" s="715" t="e">
        <f>VLOOKUP(A1551,'[1]Raw data'!$B:$Z,9,FALSE)</f>
        <v>#N/A</v>
      </c>
      <c r="V1551" s="714" t="e">
        <f>IF(G1551&amp;H1551=T1551&amp;U1551,"OK","WRONG")</f>
        <v>#N/A</v>
      </c>
      <c r="W1551" s="586" t="e">
        <f>VLOOKUP(A1551,'[1]Raw data'!$B:$AG,32,FALSE)</f>
        <v>#N/A</v>
      </c>
      <c r="X1551" s="805" t="e">
        <f>VLOOKUP(A1551,'[1]Raw data'!$B:$BA,31,FALSE)</f>
        <v>#N/A</v>
      </c>
      <c r="Y1551" s="715" t="e">
        <f>VLOOKUP(A1551,'[1]Raw data'!$B:$AS,39,FALSE)</f>
        <v>#N/A</v>
      </c>
      <c r="Z1551" s="664"/>
      <c r="AA1551" s="665"/>
      <c r="AB1551" s="666"/>
      <c r="AC1551" s="715"/>
      <c r="AD1551" s="667"/>
      <c r="AE1551" s="667"/>
      <c r="AF1551" s="667"/>
      <c r="AG1551" s="667"/>
      <c r="AH1551" s="667"/>
      <c r="AI1551" s="668"/>
      <c r="AN1551" s="547"/>
      <c r="AO1551" s="829" t="str">
        <f t="shared" si="357"/>
        <v>No</v>
      </c>
      <c r="AP1551" s="259" t="str">
        <f t="shared" si="358"/>
        <v>blank</v>
      </c>
      <c r="AQ1551" s="547" t="str">
        <f t="shared" si="359"/>
        <v>无定金+无預留客戶</v>
      </c>
      <c r="AR1551" s="259" t="str">
        <f t="shared" si="360"/>
        <v>Incoming_Stock_With_YAMAHA_Schedule</v>
      </c>
      <c r="AS1551" s="844">
        <f t="shared" si="361"/>
        <v>45354</v>
      </c>
      <c r="AT1551" s="259" t="str">
        <f t="shared" si="362"/>
        <v>-</v>
      </c>
      <c r="AU1551" s="259" t="str">
        <f t="shared" si="363"/>
        <v>-</v>
      </c>
      <c r="AV1551" s="259" t="str">
        <f t="shared" si="364"/>
        <v>Mar-03</v>
      </c>
    </row>
    <row r="1552" spans="1:48">
      <c r="A1552" s="564">
        <v>2096</v>
      </c>
      <c r="B1552" s="802" t="s">
        <v>2980</v>
      </c>
      <c r="C1552" s="802" t="s">
        <v>281</v>
      </c>
      <c r="D1552" s="803">
        <v>111521</v>
      </c>
      <c r="E1552" s="810" t="s">
        <v>236</v>
      </c>
      <c r="F1552" s="715" t="s">
        <v>17</v>
      </c>
      <c r="G1552" s="715" t="s">
        <v>18</v>
      </c>
      <c r="H1552" s="715" t="s">
        <v>19</v>
      </c>
      <c r="I1552" s="667"/>
      <c r="J1552" s="667">
        <v>1</v>
      </c>
      <c r="K1552" s="715"/>
      <c r="L1552" s="805">
        <v>45355</v>
      </c>
      <c r="M1552" s="722">
        <v>4.9299999999999997E-2</v>
      </c>
      <c r="N1552" s="652" t="s">
        <v>4528</v>
      </c>
      <c r="O1552" s="580"/>
      <c r="P1552" s="722" t="str">
        <f>VLOOKUP(A1552,'[1]Raw data'!$B:$BA,23,FALSE)</f>
        <v>USD</v>
      </c>
      <c r="Q1552" s="715" t="str">
        <f>VLOOKUP(A1552,'[1]Raw data'!$B:$Z,2,FALSE)</f>
        <v>C49SZX20240027JL/4600004199</v>
      </c>
      <c r="R1552" s="715" t="str">
        <f>VLOOKUP(A1552,'[1]Raw data'!$B:$Z,3,FALSE)</f>
        <v>高伟</v>
      </c>
      <c r="S1552" s="715" t="str">
        <f>VLOOKUP(A1552,'[1]Raw data'!$B:$Z,4,FALSE)</f>
        <v>YSM10</v>
      </c>
      <c r="T1552" s="715" t="str">
        <f>VLOOKUP(A1552,'[1]Raw data'!$B:$Z,8,FALSE)</f>
        <v>L-&gt;R</v>
      </c>
      <c r="U1552" s="715" t="str">
        <f>VLOOKUP(A1552,'[1]Raw data'!$B:$Z,9,FALSE)</f>
        <v>MVC+ATS15</v>
      </c>
      <c r="V1552" s="714" t="str">
        <f t="shared" ref="V1552:V1553" si="365">IF(G1552&amp;H1552=T1552&amp;U1552,"OK","WRONG")</f>
        <v>WRONG</v>
      </c>
      <c r="W1552" s="806" t="str">
        <f>VLOOKUP(A1552,'[1]Raw data'!$B:$AG,32,FALSE)</f>
        <v>CIF HK</v>
      </c>
      <c r="X1552" s="805">
        <f>VLOOKUP(A1552,'[1]Raw data'!$B:$BA,31,FALSE)</f>
        <v>45323</v>
      </c>
      <c r="Y1552" s="715" t="str">
        <f>VLOOKUP(A1552,'[1]Raw data'!$B:$AS,39,FALSE)</f>
        <v>Yes</v>
      </c>
      <c r="Z1552" s="664"/>
      <c r="AA1552" s="665"/>
      <c r="AB1552" s="666"/>
      <c r="AC1552" s="715"/>
      <c r="AD1552" s="750">
        <v>301</v>
      </c>
      <c r="AE1552" s="750">
        <v>5</v>
      </c>
      <c r="AF1552" s="750">
        <v>303</v>
      </c>
      <c r="AG1552" s="750">
        <v>5</v>
      </c>
      <c r="AH1552" s="667"/>
      <c r="AI1552" s="668"/>
      <c r="AN1552" s="547"/>
      <c r="AO1552" s="829" t="str">
        <f t="shared" si="357"/>
        <v>Yes</v>
      </c>
      <c r="AP1552" s="259" t="str">
        <f t="shared" si="358"/>
        <v>MAR 24</v>
      </c>
      <c r="AQ1552" s="547" t="str">
        <f t="shared" si="359"/>
        <v>有定金+有預留客戶</v>
      </c>
      <c r="AR1552" s="259" t="str">
        <f t="shared" si="360"/>
        <v>Incoming_Stock_With_YAMAHA_Schedule</v>
      </c>
      <c r="AS1552" s="844">
        <f t="shared" si="361"/>
        <v>45355</v>
      </c>
      <c r="AT1552" s="259" t="str">
        <f t="shared" si="362"/>
        <v>高伟</v>
      </c>
      <c r="AU1552" s="259" t="str">
        <f t="shared" si="363"/>
        <v>C49SZX20240027JL/4600004199</v>
      </c>
      <c r="AV1552" s="259" t="str">
        <f t="shared" si="364"/>
        <v>Mar-04</v>
      </c>
    </row>
    <row r="1553" spans="1:48">
      <c r="A1553" s="564">
        <v>2095</v>
      </c>
      <c r="B1553" s="802" t="s">
        <v>2980</v>
      </c>
      <c r="C1553" s="802" t="s">
        <v>281</v>
      </c>
      <c r="D1553" s="803">
        <v>111521</v>
      </c>
      <c r="E1553" s="810" t="s">
        <v>236</v>
      </c>
      <c r="F1553" s="715" t="s">
        <v>17</v>
      </c>
      <c r="G1553" s="715" t="s">
        <v>18</v>
      </c>
      <c r="H1553" s="715" t="s">
        <v>19</v>
      </c>
      <c r="I1553" s="667"/>
      <c r="J1553" s="667">
        <v>1</v>
      </c>
      <c r="K1553" s="715"/>
      <c r="L1553" s="805">
        <v>45355</v>
      </c>
      <c r="M1553" s="722">
        <v>4.9299999999999997E-2</v>
      </c>
      <c r="N1553" s="652"/>
      <c r="O1553" s="580"/>
      <c r="P1553" s="722" t="str">
        <f>VLOOKUP(A1553,'[1]Raw data'!$B:$BA,23,FALSE)</f>
        <v>USD</v>
      </c>
      <c r="Q1553" s="715" t="str">
        <f>VLOOKUP(A1553,'[1]Raw data'!$B:$Z,2,FALSE)</f>
        <v>C49SZX20240026JL/4600004198</v>
      </c>
      <c r="R1553" s="715" t="str">
        <f>VLOOKUP(A1553,'[1]Raw data'!$B:$Z,3,FALSE)</f>
        <v>高伟</v>
      </c>
      <c r="S1553" s="715" t="str">
        <f>VLOOKUP(A1553,'[1]Raw data'!$B:$Z,4,FALSE)</f>
        <v>YSM10</v>
      </c>
      <c r="T1553" s="715" t="str">
        <f>VLOOKUP(A1553,'[1]Raw data'!$B:$Z,8,FALSE)</f>
        <v>L-&gt;R</v>
      </c>
      <c r="U1553" s="715" t="str">
        <f>VLOOKUP(A1553,'[1]Raw data'!$B:$Z,9,FALSE)</f>
        <v>MVC+ATS15</v>
      </c>
      <c r="V1553" s="714" t="str">
        <f t="shared" si="365"/>
        <v>WRONG</v>
      </c>
      <c r="W1553" s="806" t="str">
        <f>VLOOKUP(A1553,'[1]Raw data'!$B:$AG,32,FALSE)</f>
        <v>CIF HK</v>
      </c>
      <c r="X1553" s="805">
        <f>VLOOKUP(A1553,'[1]Raw data'!$B:$BA,31,FALSE)</f>
        <v>45323</v>
      </c>
      <c r="Y1553" s="715" t="str">
        <f>VLOOKUP(A1553,'[1]Raw data'!$B:$AS,39,FALSE)</f>
        <v>Yes</v>
      </c>
      <c r="Z1553" s="664"/>
      <c r="AA1553" s="665"/>
      <c r="AB1553" s="666"/>
      <c r="AC1553" s="715"/>
      <c r="AD1553" s="750">
        <v>301</v>
      </c>
      <c r="AE1553" s="750">
        <v>5</v>
      </c>
      <c r="AF1553" s="750">
        <v>303</v>
      </c>
      <c r="AG1553" s="750">
        <v>5</v>
      </c>
      <c r="AH1553" s="667"/>
      <c r="AI1553" s="668"/>
      <c r="AN1553" s="547"/>
      <c r="AO1553" s="829" t="str">
        <f t="shared" si="357"/>
        <v>Yes</v>
      </c>
      <c r="AP1553" s="259" t="str">
        <f t="shared" si="358"/>
        <v>blank</v>
      </c>
      <c r="AQ1553" s="547" t="str">
        <f t="shared" si="359"/>
        <v>有定金+无客戶送貨期</v>
      </c>
      <c r="AR1553" s="259" t="str">
        <f t="shared" si="360"/>
        <v>Incoming_Stock_With_YAMAHA_Schedule</v>
      </c>
      <c r="AS1553" s="844">
        <f t="shared" si="361"/>
        <v>45355</v>
      </c>
      <c r="AT1553" s="259" t="str">
        <f t="shared" si="362"/>
        <v>高伟</v>
      </c>
      <c r="AU1553" s="259" t="str">
        <f t="shared" si="363"/>
        <v>C49SZX20240026JL/4600004198</v>
      </c>
      <c r="AV1553" s="259" t="str">
        <f t="shared" si="364"/>
        <v>Mar-04</v>
      </c>
    </row>
    <row r="1554" spans="1:48">
      <c r="A1554" s="564">
        <v>2062</v>
      </c>
      <c r="B1554" s="802" t="s">
        <v>2980</v>
      </c>
      <c r="C1554" s="802" t="s">
        <v>281</v>
      </c>
      <c r="D1554" s="803">
        <v>111521</v>
      </c>
      <c r="E1554" s="810" t="s">
        <v>236</v>
      </c>
      <c r="F1554" s="715" t="s">
        <v>17</v>
      </c>
      <c r="G1554" s="715" t="s">
        <v>18</v>
      </c>
      <c r="H1554" s="715" t="s">
        <v>26</v>
      </c>
      <c r="J1554" s="667">
        <v>1</v>
      </c>
      <c r="K1554" s="715"/>
      <c r="L1554" s="805">
        <v>45355</v>
      </c>
      <c r="M1554" s="722">
        <v>4.9299999999999997E-2</v>
      </c>
      <c r="N1554" s="652" t="s">
        <v>4528</v>
      </c>
      <c r="O1554" s="580"/>
      <c r="P1554" s="722" t="str">
        <f>VLOOKUP(A1554,'[1]Raw data'!$B:$BA,23,FALSE)</f>
        <v>RMB</v>
      </c>
      <c r="Q1554" s="715" t="str">
        <f>VLOOKUP(A1554,'[1]Raw data'!$B:$Z,2,FALSE)</f>
        <v>C49SZX20240006SQ</v>
      </c>
      <c r="R1554" s="715" t="str">
        <f>VLOOKUP(A1554,'[1]Raw data'!$B:$Z,3,FALSE)</f>
        <v>中孟</v>
      </c>
      <c r="S1554" s="715" t="str">
        <f>VLOOKUP(A1554,'[1]Raw data'!$B:$Z,4,FALSE)</f>
        <v>YSM10</v>
      </c>
      <c r="T1554" s="715" t="str">
        <f>VLOOKUP(A1554,'[1]Raw data'!$B:$Z,8,FALSE)</f>
        <v>L-&gt;R</v>
      </c>
      <c r="U1554" s="715" t="str">
        <f>VLOOKUP(A1554,'[1]Raw data'!$B:$Z,9,FALSE)</f>
        <v>MVC</v>
      </c>
      <c r="V1554" s="714" t="str">
        <f t="shared" ref="V1554:V1558" si="366">IF(G1554&amp;H1554=T1554&amp;U1554,"OK","WRONG")</f>
        <v>WRONG</v>
      </c>
      <c r="W1554" s="806" t="str">
        <f>VLOOKUP(A1554,'[1]Raw data'!$B:$AG,32,FALSE)</f>
        <v>DDP GZ</v>
      </c>
      <c r="X1554" s="805">
        <f>VLOOKUP(A1554,'[1]Raw data'!$B:$BA,31,FALSE)</f>
        <v>45307</v>
      </c>
      <c r="Y1554" s="715" t="str">
        <f>VLOOKUP(A1554,'[1]Raw data'!$B:$AS,39,FALSE)</f>
        <v>Yes</v>
      </c>
      <c r="Z1554" s="664"/>
      <c r="AA1554" s="665"/>
      <c r="AB1554" s="666"/>
      <c r="AC1554" s="715"/>
      <c r="AD1554" s="750">
        <v>301</v>
      </c>
      <c r="AE1554" s="750">
        <v>10</v>
      </c>
      <c r="AF1554" s="750"/>
      <c r="AG1554" s="750"/>
      <c r="AH1554" s="667"/>
      <c r="AI1554" s="668"/>
      <c r="AN1554" s="547"/>
      <c r="AO1554" s="829" t="str">
        <f t="shared" si="357"/>
        <v>Yes</v>
      </c>
      <c r="AP1554" s="259" t="str">
        <f t="shared" si="358"/>
        <v>MAR 24</v>
      </c>
      <c r="AQ1554" s="547" t="str">
        <f t="shared" si="359"/>
        <v>有定金+有預留客戶</v>
      </c>
      <c r="AR1554" s="259" t="str">
        <f t="shared" si="360"/>
        <v>Incoming_Stock_With_YAMAHA_Schedule</v>
      </c>
      <c r="AS1554" s="844">
        <f t="shared" si="361"/>
        <v>45355</v>
      </c>
      <c r="AT1554" s="259" t="str">
        <f t="shared" si="362"/>
        <v>中孟</v>
      </c>
      <c r="AU1554" s="259" t="str">
        <f t="shared" si="363"/>
        <v>C49SZX20240006SQ</v>
      </c>
      <c r="AV1554" s="259" t="str">
        <f t="shared" si="364"/>
        <v>Mar-04</v>
      </c>
    </row>
    <row r="1555" spans="1:48">
      <c r="B1555" s="802" t="s">
        <v>2980</v>
      </c>
      <c r="C1555" s="802" t="s">
        <v>281</v>
      </c>
      <c r="D1555" s="803">
        <v>111521</v>
      </c>
      <c r="E1555" s="810" t="s">
        <v>236</v>
      </c>
      <c r="F1555" s="715" t="s">
        <v>17</v>
      </c>
      <c r="G1555" s="715" t="s">
        <v>18</v>
      </c>
      <c r="H1555" s="715" t="s">
        <v>26</v>
      </c>
      <c r="I1555" s="667"/>
      <c r="J1555" s="667">
        <v>1</v>
      </c>
      <c r="K1555" s="715"/>
      <c r="L1555" s="805">
        <v>45355</v>
      </c>
      <c r="M1555" s="722">
        <v>4.9299999999999997E-2</v>
      </c>
      <c r="N1555" s="652"/>
      <c r="O1555" s="580"/>
      <c r="P1555" s="722" t="e">
        <f>VLOOKUP(A1555,'[1]Raw data'!$B:$BA,23,FALSE)</f>
        <v>#N/A</v>
      </c>
      <c r="Q1555" s="715" t="e">
        <f>VLOOKUP(A1555,'[1]Raw data'!$B:$Z,2,FALSE)</f>
        <v>#N/A</v>
      </c>
      <c r="R1555" s="715" t="e">
        <f>VLOOKUP(A1555,'[1]Raw data'!$B:$Z,3,FALSE)</f>
        <v>#N/A</v>
      </c>
      <c r="S1555" s="715" t="e">
        <f>VLOOKUP(A1555,'[1]Raw data'!$B:$Z,4,FALSE)</f>
        <v>#N/A</v>
      </c>
      <c r="T1555" s="715" t="e">
        <f>VLOOKUP(A1555,'[1]Raw data'!$B:$Z,8,FALSE)</f>
        <v>#N/A</v>
      </c>
      <c r="U1555" s="715" t="e">
        <f>VLOOKUP(A1555,'[1]Raw data'!$B:$Z,9,FALSE)</f>
        <v>#N/A</v>
      </c>
      <c r="V1555" s="714" t="e">
        <f t="shared" si="366"/>
        <v>#N/A</v>
      </c>
      <c r="W1555" s="806" t="e">
        <f>VLOOKUP(A1555,'[1]Raw data'!$B:$AG,32,FALSE)</f>
        <v>#N/A</v>
      </c>
      <c r="X1555" s="805" t="e">
        <f>VLOOKUP(A1555,'[1]Raw data'!$B:$BA,31,FALSE)</f>
        <v>#N/A</v>
      </c>
      <c r="Y1555" s="715" t="e">
        <f>VLOOKUP(A1555,'[1]Raw data'!$B:$AS,39,FALSE)</f>
        <v>#N/A</v>
      </c>
      <c r="Z1555" s="664"/>
      <c r="AA1555" s="665"/>
      <c r="AB1555" s="666"/>
      <c r="AC1555" s="715"/>
      <c r="AD1555" s="750">
        <v>301</v>
      </c>
      <c r="AE1555" s="750">
        <v>5</v>
      </c>
      <c r="AF1555" s="750">
        <v>303</v>
      </c>
      <c r="AG1555" s="750">
        <v>5</v>
      </c>
      <c r="AH1555" s="667"/>
      <c r="AI1555" s="668"/>
      <c r="AN1555" s="547"/>
      <c r="AO1555" s="829" t="str">
        <f t="shared" si="357"/>
        <v>No</v>
      </c>
      <c r="AP1555" s="259" t="str">
        <f t="shared" si="358"/>
        <v>blank</v>
      </c>
      <c r="AQ1555" s="547" t="str">
        <f t="shared" si="359"/>
        <v>无定金+无預留客戶</v>
      </c>
      <c r="AR1555" s="259" t="str">
        <f t="shared" si="360"/>
        <v>Incoming_Stock_With_YAMAHA_Schedule</v>
      </c>
      <c r="AS1555" s="844">
        <f t="shared" si="361"/>
        <v>45355</v>
      </c>
      <c r="AT1555" s="259" t="str">
        <f t="shared" si="362"/>
        <v>-</v>
      </c>
      <c r="AU1555" s="259" t="str">
        <f t="shared" si="363"/>
        <v>-</v>
      </c>
      <c r="AV1555" s="259" t="str">
        <f t="shared" si="364"/>
        <v>Mar-04</v>
      </c>
    </row>
    <row r="1556" spans="1:48">
      <c r="A1556" s="564">
        <v>1924</v>
      </c>
      <c r="B1556" s="802" t="s">
        <v>2980</v>
      </c>
      <c r="C1556" s="802" t="s">
        <v>281</v>
      </c>
      <c r="D1556" s="803" t="s">
        <v>4526</v>
      </c>
      <c r="E1556" s="810" t="s">
        <v>236</v>
      </c>
      <c r="F1556" s="715" t="s">
        <v>17</v>
      </c>
      <c r="G1556" s="715" t="s">
        <v>18</v>
      </c>
      <c r="H1556" s="715" t="s">
        <v>26</v>
      </c>
      <c r="I1556" s="667"/>
      <c r="J1556" s="667">
        <v>1</v>
      </c>
      <c r="K1556" s="715"/>
      <c r="L1556" s="805">
        <v>45355</v>
      </c>
      <c r="M1556" s="722"/>
      <c r="N1556" s="652" t="s">
        <v>4528</v>
      </c>
      <c r="O1556" s="580"/>
      <c r="P1556" s="722" t="str">
        <f>VLOOKUP(A1556,'[1]Raw data'!$B:$BA,23,FALSE)</f>
        <v>JPY</v>
      </c>
      <c r="Q1556" s="715" t="str">
        <f>VLOOKUP(A1556,'[1]Raw data'!$B:$Z,2,FALSE)</f>
        <v>C49SZX20230068JY</v>
      </c>
      <c r="R1556" s="715" t="str">
        <f>VLOOKUP(A1556,'[1]Raw data'!$B:$Z,3,FALSE)</f>
        <v>海凌科</v>
      </c>
      <c r="S1556" s="715" t="str">
        <f>VLOOKUP(A1556,'[1]Raw data'!$B:$Z,4,FALSE)</f>
        <v>YSM10</v>
      </c>
      <c r="T1556" s="715" t="str">
        <f>VLOOKUP(A1556,'[1]Raw data'!$B:$Z,8,FALSE)</f>
        <v>L-&gt;R</v>
      </c>
      <c r="U1556" s="715" t="str">
        <f>VLOOKUP(A1556,'[1]Raw data'!$B:$Z,9,FALSE)</f>
        <v>No</v>
      </c>
      <c r="V1556" s="714" t="str">
        <f t="shared" si="366"/>
        <v>WRONG</v>
      </c>
      <c r="W1556" s="806" t="str">
        <f>VLOOKUP(A1556,'[1]Raw data'!$B:$AG,32,FALSE)</f>
        <v>DAP LS</v>
      </c>
      <c r="X1556" s="805">
        <f>VLOOKUP(A1556,'[1]Raw data'!$B:$BA,31,FALSE)</f>
        <v>45066</v>
      </c>
      <c r="Y1556" s="715" t="str">
        <f>VLOOKUP(A1556,'[1]Raw data'!$B:$AS,39,FALSE)</f>
        <v>Yes</v>
      </c>
      <c r="Z1556" s="664"/>
      <c r="AA1556" s="665"/>
      <c r="AB1556" s="666"/>
      <c r="AC1556" s="715"/>
      <c r="AD1556" s="750">
        <v>301</v>
      </c>
      <c r="AE1556" s="750">
        <v>5</v>
      </c>
      <c r="AF1556" s="750">
        <v>303</v>
      </c>
      <c r="AG1556" s="750">
        <v>5</v>
      </c>
      <c r="AH1556" s="667"/>
      <c r="AI1556" s="668"/>
      <c r="AN1556" s="547"/>
      <c r="AO1556" s="829" t="str">
        <f t="shared" si="357"/>
        <v>Yes</v>
      </c>
      <c r="AP1556" s="259" t="str">
        <f t="shared" si="358"/>
        <v>MAR 24</v>
      </c>
      <c r="AQ1556" s="547" t="str">
        <f t="shared" si="359"/>
        <v>有定金+有預留客戶</v>
      </c>
      <c r="AR1556" s="259" t="str">
        <f t="shared" si="360"/>
        <v>Incoming_Stock_With_YAMAHA_Schedule</v>
      </c>
      <c r="AS1556" s="844">
        <f t="shared" si="361"/>
        <v>45355</v>
      </c>
      <c r="AT1556" s="259" t="str">
        <f t="shared" si="362"/>
        <v>海凌科</v>
      </c>
      <c r="AU1556" s="259" t="str">
        <f t="shared" si="363"/>
        <v>C49SZX20230068JY</v>
      </c>
      <c r="AV1556" s="259" t="str">
        <f t="shared" si="364"/>
        <v>Mar-04</v>
      </c>
    </row>
    <row r="1557" spans="1:48">
      <c r="A1557" s="564">
        <v>1925</v>
      </c>
      <c r="B1557" s="802" t="s">
        <v>2980</v>
      </c>
      <c r="C1557" s="802" t="s">
        <v>281</v>
      </c>
      <c r="D1557" s="803" t="s">
        <v>4526</v>
      </c>
      <c r="E1557" s="810" t="s">
        <v>236</v>
      </c>
      <c r="F1557" s="715" t="s">
        <v>17</v>
      </c>
      <c r="G1557" s="715" t="s">
        <v>18</v>
      </c>
      <c r="H1557" s="715" t="s">
        <v>26</v>
      </c>
      <c r="I1557" s="667"/>
      <c r="J1557" s="667">
        <v>1</v>
      </c>
      <c r="K1557" s="715"/>
      <c r="L1557" s="805">
        <v>45355</v>
      </c>
      <c r="M1557" s="722"/>
      <c r="N1557" s="652" t="s">
        <v>4528</v>
      </c>
      <c r="O1557" s="580"/>
      <c r="P1557" s="722" t="str">
        <f>VLOOKUP(A1557,'[1]Raw data'!$B:$BA,23,FALSE)</f>
        <v>JPY</v>
      </c>
      <c r="Q1557" s="715" t="str">
        <f>VLOOKUP(A1557,'[1]Raw data'!$B:$Z,2,FALSE)</f>
        <v>C49SZX20230068JY</v>
      </c>
      <c r="R1557" s="715" t="str">
        <f>VLOOKUP(A1557,'[1]Raw data'!$B:$Z,3,FALSE)</f>
        <v>海凌科</v>
      </c>
      <c r="S1557" s="715" t="str">
        <f>VLOOKUP(A1557,'[1]Raw data'!$B:$Z,4,FALSE)</f>
        <v>YSM10</v>
      </c>
      <c r="T1557" s="715" t="str">
        <f>VLOOKUP(A1557,'[1]Raw data'!$B:$Z,8,FALSE)</f>
        <v>R-&gt;L</v>
      </c>
      <c r="U1557" s="715" t="str">
        <f>VLOOKUP(A1557,'[1]Raw data'!$B:$Z,9,FALSE)</f>
        <v>No</v>
      </c>
      <c r="V1557" s="714" t="str">
        <f t="shared" si="366"/>
        <v>OK</v>
      </c>
      <c r="W1557" s="806" t="str">
        <f>VLOOKUP(A1557,'[1]Raw data'!$B:$AG,32,FALSE)</f>
        <v>DAP LS</v>
      </c>
      <c r="X1557" s="805">
        <f>VLOOKUP(A1557,'[1]Raw data'!$B:$BA,31,FALSE)</f>
        <v>45066</v>
      </c>
      <c r="Y1557" s="715" t="str">
        <f>VLOOKUP(A1557,'[1]Raw data'!$B:$AS,39,FALSE)</f>
        <v>Yes</v>
      </c>
      <c r="Z1557" s="664"/>
      <c r="AA1557" s="665"/>
      <c r="AB1557" s="666"/>
      <c r="AC1557" s="715"/>
      <c r="AD1557" s="750">
        <v>301</v>
      </c>
      <c r="AE1557" s="750">
        <v>5</v>
      </c>
      <c r="AF1557" s="750">
        <v>302</v>
      </c>
      <c r="AG1557" s="750">
        <v>5</v>
      </c>
      <c r="AH1557" s="667"/>
      <c r="AI1557" s="668"/>
      <c r="AN1557" s="547"/>
      <c r="AO1557" s="829" t="str">
        <f t="shared" si="357"/>
        <v>Yes</v>
      </c>
      <c r="AP1557" s="259" t="str">
        <f t="shared" si="358"/>
        <v>MAR 24</v>
      </c>
      <c r="AQ1557" s="547" t="str">
        <f t="shared" si="359"/>
        <v>有定金+有預留客戶</v>
      </c>
      <c r="AR1557" s="259" t="str">
        <f t="shared" si="360"/>
        <v>Incoming_Stock_With_YAMAHA_Schedule</v>
      </c>
      <c r="AS1557" s="844">
        <f t="shared" si="361"/>
        <v>45355</v>
      </c>
      <c r="AT1557" s="259" t="str">
        <f t="shared" si="362"/>
        <v>海凌科</v>
      </c>
      <c r="AU1557" s="259" t="str">
        <f t="shared" si="363"/>
        <v>C49SZX20230068JY</v>
      </c>
      <c r="AV1557" s="259" t="str">
        <f t="shared" si="364"/>
        <v>Mar-04</v>
      </c>
    </row>
    <row r="1558" spans="1:48">
      <c r="A1558" s="564">
        <v>1926</v>
      </c>
      <c r="B1558" s="802" t="s">
        <v>2980</v>
      </c>
      <c r="C1558" s="802" t="s">
        <v>281</v>
      </c>
      <c r="D1558" s="803" t="s">
        <v>4526</v>
      </c>
      <c r="E1558" s="810" t="s">
        <v>236</v>
      </c>
      <c r="F1558" s="715" t="s">
        <v>17</v>
      </c>
      <c r="G1558" s="715" t="s">
        <v>18</v>
      </c>
      <c r="H1558" s="715" t="s">
        <v>26</v>
      </c>
      <c r="I1558" s="667"/>
      <c r="J1558" s="667">
        <v>1</v>
      </c>
      <c r="K1558" s="715"/>
      <c r="L1558" s="805">
        <v>45355</v>
      </c>
      <c r="M1558" s="722"/>
      <c r="N1558" s="652" t="s">
        <v>4528</v>
      </c>
      <c r="O1558" s="580"/>
      <c r="P1558" s="722" t="str">
        <f>VLOOKUP(A1558,'[1]Raw data'!$B:$BA,23,FALSE)</f>
        <v>JPY</v>
      </c>
      <c r="Q1558" s="715" t="str">
        <f>VLOOKUP(A1558,'[1]Raw data'!$B:$Z,2,FALSE)</f>
        <v>C49SZX20230068JY</v>
      </c>
      <c r="R1558" s="715" t="str">
        <f>VLOOKUP(A1558,'[1]Raw data'!$B:$Z,3,FALSE)</f>
        <v>海凌科</v>
      </c>
      <c r="S1558" s="715" t="str">
        <f>VLOOKUP(A1558,'[1]Raw data'!$B:$Z,4,FALSE)</f>
        <v>YSM10</v>
      </c>
      <c r="T1558" s="715" t="str">
        <f>VLOOKUP(A1558,'[1]Raw data'!$B:$Z,8,FALSE)</f>
        <v>R-&gt;L</v>
      </c>
      <c r="U1558" s="715" t="str">
        <f>VLOOKUP(A1558,'[1]Raw data'!$B:$Z,9,FALSE)</f>
        <v>No</v>
      </c>
      <c r="V1558" s="714" t="str">
        <f t="shared" si="366"/>
        <v>OK</v>
      </c>
      <c r="W1558" s="806" t="str">
        <f>VLOOKUP(A1558,'[1]Raw data'!$B:$AG,32,FALSE)</f>
        <v>DAP LS</v>
      </c>
      <c r="X1558" s="805">
        <f>VLOOKUP(A1558,'[1]Raw data'!$B:$BA,31,FALSE)</f>
        <v>45066</v>
      </c>
      <c r="Y1558" s="715" t="str">
        <f>VLOOKUP(A1558,'[1]Raw data'!$B:$AS,39,FALSE)</f>
        <v>Yes</v>
      </c>
      <c r="Z1558" s="664"/>
      <c r="AA1558" s="665"/>
      <c r="AB1558" s="666"/>
      <c r="AC1558" s="715"/>
      <c r="AD1558" s="750">
        <v>301</v>
      </c>
      <c r="AE1558" s="750">
        <v>5</v>
      </c>
      <c r="AF1558" s="750">
        <v>302</v>
      </c>
      <c r="AG1558" s="750">
        <v>5</v>
      </c>
      <c r="AH1558" s="667"/>
      <c r="AI1558" s="668"/>
      <c r="AN1558" s="547"/>
      <c r="AO1558" s="829" t="str">
        <f t="shared" si="357"/>
        <v>Yes</v>
      </c>
      <c r="AP1558" s="259" t="str">
        <f t="shared" si="358"/>
        <v>MAR 24</v>
      </c>
      <c r="AQ1558" s="547" t="str">
        <f t="shared" si="359"/>
        <v>有定金+有預留客戶</v>
      </c>
      <c r="AR1558" s="259" t="str">
        <f t="shared" si="360"/>
        <v>Incoming_Stock_With_YAMAHA_Schedule</v>
      </c>
      <c r="AS1558" s="844">
        <f t="shared" si="361"/>
        <v>45355</v>
      </c>
      <c r="AT1558" s="259" t="str">
        <f t="shared" si="362"/>
        <v>海凌科</v>
      </c>
      <c r="AU1558" s="259" t="str">
        <f t="shared" si="363"/>
        <v>C49SZX20230068JY</v>
      </c>
      <c r="AV1558" s="259" t="str">
        <f t="shared" si="364"/>
        <v>Mar-04</v>
      </c>
    </row>
    <row r="1559" spans="1:48">
      <c r="A1559" s="564">
        <v>1927</v>
      </c>
      <c r="B1559" s="802" t="s">
        <v>2980</v>
      </c>
      <c r="C1559" s="802" t="s">
        <v>281</v>
      </c>
      <c r="D1559" s="803" t="s">
        <v>4526</v>
      </c>
      <c r="E1559" s="810" t="s">
        <v>236</v>
      </c>
      <c r="F1559" s="715" t="s">
        <v>17</v>
      </c>
      <c r="G1559" s="715" t="s">
        <v>18</v>
      </c>
      <c r="H1559" s="715" t="s">
        <v>26</v>
      </c>
      <c r="I1559" s="667"/>
      <c r="J1559" s="667">
        <v>1</v>
      </c>
      <c r="K1559" s="715"/>
      <c r="L1559" s="805">
        <v>45355</v>
      </c>
      <c r="M1559" s="722"/>
      <c r="N1559" s="652" t="s">
        <v>4528</v>
      </c>
      <c r="O1559" s="580"/>
      <c r="P1559" s="722" t="str">
        <f>VLOOKUP(A1559,'[1]Raw data'!$B:$BA,23,FALSE)</f>
        <v>JPY</v>
      </c>
      <c r="Q1559" s="715" t="str">
        <f>VLOOKUP(A1559,'[1]Raw data'!$B:$Z,2,FALSE)</f>
        <v>C49SZX20230068JY</v>
      </c>
      <c r="R1559" s="715" t="str">
        <f>VLOOKUP(A1559,'[1]Raw data'!$B:$Z,3,FALSE)</f>
        <v>海凌科</v>
      </c>
      <c r="S1559" s="715" t="str">
        <f>VLOOKUP(A1559,'[1]Raw data'!$B:$Z,4,FALSE)</f>
        <v>YSM10</v>
      </c>
      <c r="T1559" s="715" t="str">
        <f>VLOOKUP(A1559,'[1]Raw data'!$B:$Z,8,FALSE)</f>
        <v>R-&gt;L</v>
      </c>
      <c r="U1559" s="715" t="str">
        <f>VLOOKUP(A1559,'[1]Raw data'!$B:$Z,9,FALSE)</f>
        <v>No</v>
      </c>
      <c r="V1559" s="714" t="str">
        <f t="shared" ref="V1559:V1582" si="367">IF(G1559&amp;H1559=T1559&amp;U1559,"OK","WRONG")</f>
        <v>OK</v>
      </c>
      <c r="W1559" s="806" t="str">
        <f>VLOOKUP(A1559,'[1]Raw data'!$B:$AG,32,FALSE)</f>
        <v>DAP LS</v>
      </c>
      <c r="X1559" s="805">
        <f>VLOOKUP(A1559,'[1]Raw data'!$B:$BA,31,FALSE)</f>
        <v>45066</v>
      </c>
      <c r="Y1559" s="715" t="str">
        <f>VLOOKUP(A1559,'[1]Raw data'!$B:$AS,39,FALSE)</f>
        <v>Yes</v>
      </c>
      <c r="Z1559" s="664"/>
      <c r="AA1559" s="665"/>
      <c r="AB1559" s="666"/>
      <c r="AC1559" s="715"/>
      <c r="AD1559" s="750">
        <v>301</v>
      </c>
      <c r="AE1559" s="750">
        <v>5</v>
      </c>
      <c r="AF1559" s="750">
        <v>302</v>
      </c>
      <c r="AG1559" s="750">
        <v>5</v>
      </c>
      <c r="AH1559" s="667"/>
      <c r="AI1559" s="668"/>
      <c r="AN1559" s="547"/>
      <c r="AO1559" s="829" t="str">
        <f t="shared" si="357"/>
        <v>Yes</v>
      </c>
      <c r="AP1559" s="259" t="str">
        <f t="shared" si="358"/>
        <v>MAR 24</v>
      </c>
      <c r="AQ1559" s="547" t="str">
        <f t="shared" si="359"/>
        <v>有定金+有預留客戶</v>
      </c>
      <c r="AR1559" s="259" t="str">
        <f t="shared" si="360"/>
        <v>Incoming_Stock_With_YAMAHA_Schedule</v>
      </c>
      <c r="AS1559" s="844">
        <f t="shared" si="361"/>
        <v>45355</v>
      </c>
      <c r="AT1559" s="259" t="str">
        <f t="shared" si="362"/>
        <v>海凌科</v>
      </c>
      <c r="AU1559" s="259" t="str">
        <f t="shared" si="363"/>
        <v>C49SZX20230068JY</v>
      </c>
      <c r="AV1559" s="259" t="str">
        <f t="shared" si="364"/>
        <v>Mar-04</v>
      </c>
    </row>
    <row r="1560" spans="1:48">
      <c r="A1560" s="564">
        <v>1922</v>
      </c>
      <c r="B1560" s="802" t="s">
        <v>2980</v>
      </c>
      <c r="C1560" s="802" t="s">
        <v>281</v>
      </c>
      <c r="D1560" s="803" t="s">
        <v>4526</v>
      </c>
      <c r="E1560" s="810" t="s">
        <v>236</v>
      </c>
      <c r="F1560" s="715" t="s">
        <v>17</v>
      </c>
      <c r="G1560" s="715" t="s">
        <v>18</v>
      </c>
      <c r="H1560" s="715" t="s">
        <v>26</v>
      </c>
      <c r="I1560" s="667"/>
      <c r="J1560" s="667">
        <v>1</v>
      </c>
      <c r="K1560" s="715"/>
      <c r="L1560" s="805">
        <v>45355</v>
      </c>
      <c r="M1560" s="722"/>
      <c r="N1560" s="652" t="s">
        <v>4528</v>
      </c>
      <c r="O1560" s="580"/>
      <c r="P1560" s="722" t="str">
        <f>VLOOKUP(A1560,'[1]Raw data'!$B:$BA,23,FALSE)</f>
        <v>JPY</v>
      </c>
      <c r="Q1560" s="715" t="str">
        <f>VLOOKUP(A1560,'[1]Raw data'!$B:$Z,2,FALSE)</f>
        <v>C49SZX20230068JY</v>
      </c>
      <c r="R1560" s="715" t="str">
        <f>VLOOKUP(A1560,'[1]Raw data'!$B:$Z,3,FALSE)</f>
        <v>海凌科</v>
      </c>
      <c r="S1560" s="715" t="str">
        <f>VLOOKUP(A1560,'[1]Raw data'!$B:$Z,4,FALSE)</f>
        <v>YSM10</v>
      </c>
      <c r="T1560" s="715" t="str">
        <f>VLOOKUP(A1560,'[1]Raw data'!$B:$Z,8,FALSE)</f>
        <v>L-&gt;R</v>
      </c>
      <c r="U1560" s="715" t="str">
        <f>VLOOKUP(A1560,'[1]Raw data'!$B:$Z,9,FALSE)</f>
        <v>No</v>
      </c>
      <c r="V1560" s="714" t="str">
        <f t="shared" si="367"/>
        <v>WRONG</v>
      </c>
      <c r="W1560" s="806" t="str">
        <f>VLOOKUP(A1560,'[1]Raw data'!$B:$AG,32,FALSE)</f>
        <v>DAP LS</v>
      </c>
      <c r="X1560" s="805">
        <f>VLOOKUP(A1560,'[1]Raw data'!$B:$BA,31,FALSE)</f>
        <v>45066</v>
      </c>
      <c r="Y1560" s="715" t="str">
        <f>VLOOKUP(A1560,'[1]Raw data'!$B:$AS,39,FALSE)</f>
        <v>Yes</v>
      </c>
      <c r="Z1560" s="664"/>
      <c r="AA1560" s="665"/>
      <c r="AB1560" s="666"/>
      <c r="AC1560" s="715"/>
      <c r="AD1560" s="750">
        <v>301</v>
      </c>
      <c r="AE1560" s="750">
        <v>5</v>
      </c>
      <c r="AF1560" s="750">
        <v>302</v>
      </c>
      <c r="AG1560" s="750">
        <v>5</v>
      </c>
      <c r="AH1560" s="667"/>
      <c r="AI1560" s="668"/>
      <c r="AN1560" s="547"/>
      <c r="AO1560" s="829" t="str">
        <f t="shared" si="357"/>
        <v>Yes</v>
      </c>
      <c r="AP1560" s="259" t="str">
        <f t="shared" si="358"/>
        <v>MAR 24</v>
      </c>
      <c r="AQ1560" s="547" t="str">
        <f t="shared" si="359"/>
        <v>有定金+有預留客戶</v>
      </c>
      <c r="AR1560" s="259" t="str">
        <f t="shared" si="360"/>
        <v>Incoming_Stock_With_YAMAHA_Schedule</v>
      </c>
      <c r="AS1560" s="844">
        <f t="shared" si="361"/>
        <v>45355</v>
      </c>
      <c r="AT1560" s="259" t="str">
        <f t="shared" si="362"/>
        <v>海凌科</v>
      </c>
      <c r="AU1560" s="259" t="str">
        <f t="shared" si="363"/>
        <v>C49SZX20230068JY</v>
      </c>
      <c r="AV1560" s="259" t="str">
        <f t="shared" si="364"/>
        <v>Mar-04</v>
      </c>
    </row>
    <row r="1561" spans="1:48">
      <c r="A1561" s="564">
        <v>1923</v>
      </c>
      <c r="B1561" s="802" t="s">
        <v>2980</v>
      </c>
      <c r="C1561" s="802" t="s">
        <v>281</v>
      </c>
      <c r="D1561" s="803" t="s">
        <v>4526</v>
      </c>
      <c r="E1561" s="810" t="s">
        <v>236</v>
      </c>
      <c r="F1561" s="715" t="s">
        <v>17</v>
      </c>
      <c r="G1561" s="715" t="s">
        <v>18</v>
      </c>
      <c r="H1561" s="715" t="s">
        <v>26</v>
      </c>
      <c r="I1561" s="667"/>
      <c r="J1561" s="667">
        <v>1</v>
      </c>
      <c r="K1561" s="715"/>
      <c r="L1561" s="805">
        <v>45355</v>
      </c>
      <c r="M1561" s="722"/>
      <c r="N1561" s="652" t="s">
        <v>4528</v>
      </c>
      <c r="O1561" s="580"/>
      <c r="P1561" s="722" t="str">
        <f>VLOOKUP(A1561,'[1]Raw data'!$B:$BA,23,FALSE)</f>
        <v>JPY</v>
      </c>
      <c r="Q1561" s="715" t="str">
        <f>VLOOKUP(A1561,'[1]Raw data'!$B:$Z,2,FALSE)</f>
        <v>C49SZX20230068JY</v>
      </c>
      <c r="R1561" s="715" t="str">
        <f>VLOOKUP(A1561,'[1]Raw data'!$B:$Z,3,FALSE)</f>
        <v>海凌科</v>
      </c>
      <c r="S1561" s="715" t="str">
        <f>VLOOKUP(A1561,'[1]Raw data'!$B:$Z,4,FALSE)</f>
        <v>YSM10</v>
      </c>
      <c r="T1561" s="715" t="str">
        <f>VLOOKUP(A1561,'[1]Raw data'!$B:$Z,8,FALSE)</f>
        <v>L-&gt;R</v>
      </c>
      <c r="U1561" s="715" t="str">
        <f>VLOOKUP(A1561,'[1]Raw data'!$B:$Z,9,FALSE)</f>
        <v>No</v>
      </c>
      <c r="V1561" s="714" t="str">
        <f t="shared" si="367"/>
        <v>WRONG</v>
      </c>
      <c r="W1561" s="806" t="str">
        <f>VLOOKUP(A1561,'[1]Raw data'!$B:$AG,32,FALSE)</f>
        <v>DAP LS</v>
      </c>
      <c r="X1561" s="805">
        <f>VLOOKUP(A1561,'[1]Raw data'!$B:$BA,31,FALSE)</f>
        <v>45066</v>
      </c>
      <c r="Y1561" s="715" t="str">
        <f>VLOOKUP(A1561,'[1]Raw data'!$B:$AS,39,FALSE)</f>
        <v>Yes</v>
      </c>
      <c r="Z1561" s="664"/>
      <c r="AA1561" s="665"/>
      <c r="AB1561" s="666"/>
      <c r="AC1561" s="715"/>
      <c r="AD1561" s="750">
        <v>301</v>
      </c>
      <c r="AE1561" s="750">
        <v>5</v>
      </c>
      <c r="AF1561" s="750">
        <v>302</v>
      </c>
      <c r="AG1561" s="750">
        <v>5</v>
      </c>
      <c r="AH1561" s="667"/>
      <c r="AI1561" s="668"/>
      <c r="AN1561" s="547"/>
      <c r="AO1561" s="829" t="str">
        <f t="shared" si="357"/>
        <v>Yes</v>
      </c>
      <c r="AP1561" s="259" t="str">
        <f t="shared" si="358"/>
        <v>MAR 24</v>
      </c>
      <c r="AQ1561" s="547" t="str">
        <f t="shared" si="359"/>
        <v>有定金+有預留客戶</v>
      </c>
      <c r="AR1561" s="259" t="str">
        <f t="shared" si="360"/>
        <v>Incoming_Stock_With_YAMAHA_Schedule</v>
      </c>
      <c r="AS1561" s="844">
        <f t="shared" si="361"/>
        <v>45355</v>
      </c>
      <c r="AT1561" s="259" t="str">
        <f t="shared" si="362"/>
        <v>海凌科</v>
      </c>
      <c r="AU1561" s="259" t="str">
        <f t="shared" si="363"/>
        <v>C49SZX20230068JY</v>
      </c>
      <c r="AV1561" s="259" t="str">
        <f t="shared" si="364"/>
        <v>Mar-04</v>
      </c>
    </row>
    <row r="1562" spans="1:48">
      <c r="A1562" s="564">
        <v>2065</v>
      </c>
      <c r="B1562" s="802" t="s">
        <v>2980</v>
      </c>
      <c r="C1562" s="802" t="s">
        <v>281</v>
      </c>
      <c r="D1562" s="803" t="s">
        <v>4526</v>
      </c>
      <c r="E1562" s="810" t="s">
        <v>236</v>
      </c>
      <c r="F1562" s="715" t="s">
        <v>17</v>
      </c>
      <c r="G1562" s="715" t="s">
        <v>18</v>
      </c>
      <c r="H1562" s="715" t="s">
        <v>19</v>
      </c>
      <c r="I1562" s="667"/>
      <c r="J1562" s="667">
        <v>1</v>
      </c>
      <c r="K1562" s="715"/>
      <c r="L1562" s="805">
        <v>45355</v>
      </c>
      <c r="M1562" s="722"/>
      <c r="N1562" s="652"/>
      <c r="O1562" s="580"/>
      <c r="P1562" s="722" t="str">
        <f>VLOOKUP(A1562,'[1]Raw data'!$B:$BA,23,FALSE)</f>
        <v>RMB</v>
      </c>
      <c r="Q1562" s="715" t="str">
        <f>VLOOKUP(A1562,'[1]Raw data'!$B:$Z,2,FALSE)</f>
        <v>C49SZX20240007MZ</v>
      </c>
      <c r="R1562" s="715" t="str">
        <f>VLOOKUP(A1562,'[1]Raw data'!$B:$Z,3,FALSE)</f>
        <v>飞霖</v>
      </c>
      <c r="S1562" s="715" t="str">
        <f>VLOOKUP(A1562,'[1]Raw data'!$B:$Z,4,FALSE)</f>
        <v>YSM10</v>
      </c>
      <c r="T1562" s="715" t="str">
        <f>VLOOKUP(A1562,'[1]Raw data'!$B:$Z,8,FALSE)</f>
        <v>L-&gt;R</v>
      </c>
      <c r="U1562" s="715" t="str">
        <f>VLOOKUP(A1562,'[1]Raw data'!$B:$Z,9,FALSE)</f>
        <v>MVC+ATS15</v>
      </c>
      <c r="V1562" s="714" t="str">
        <f t="shared" si="367"/>
        <v>WRONG</v>
      </c>
      <c r="W1562" s="806" t="str">
        <f>VLOOKUP(A1562,'[1]Raw data'!$B:$AG,32,FALSE)</f>
        <v>DDP DG</v>
      </c>
      <c r="X1562" s="805">
        <f>VLOOKUP(A1562,'[1]Raw data'!$B:$BA,31,FALSE)</f>
        <v>45308</v>
      </c>
      <c r="Y1562" s="715" t="str">
        <f>VLOOKUP(A1562,'[1]Raw data'!$B:$AS,39,FALSE)</f>
        <v>No</v>
      </c>
      <c r="Z1562" s="664"/>
      <c r="AA1562" s="665"/>
      <c r="AB1562" s="666"/>
      <c r="AC1562" s="715"/>
      <c r="AD1562" s="750">
        <v>301</v>
      </c>
      <c r="AE1562" s="750">
        <v>10</v>
      </c>
      <c r="AF1562" s="750"/>
      <c r="AG1562" s="750"/>
      <c r="AH1562" s="667"/>
      <c r="AI1562" s="668"/>
      <c r="AN1562" s="547"/>
      <c r="AO1562" s="829" t="str">
        <f t="shared" si="357"/>
        <v>No</v>
      </c>
      <c r="AP1562" s="259" t="str">
        <f t="shared" si="358"/>
        <v>blank</v>
      </c>
      <c r="AQ1562" s="547" t="str">
        <f t="shared" si="359"/>
        <v>无定金+无預留客戶</v>
      </c>
      <c r="AR1562" s="259" t="str">
        <f t="shared" si="360"/>
        <v>Incoming_Stock_With_YAMAHA_Schedule</v>
      </c>
      <c r="AS1562" s="844">
        <f t="shared" si="361"/>
        <v>45355</v>
      </c>
      <c r="AT1562" s="259" t="str">
        <f t="shared" si="362"/>
        <v>飞霖</v>
      </c>
      <c r="AU1562" s="259" t="str">
        <f t="shared" si="363"/>
        <v>C49SZX20240007MZ</v>
      </c>
      <c r="AV1562" s="259" t="str">
        <f t="shared" si="364"/>
        <v>Mar-04</v>
      </c>
    </row>
    <row r="1563" spans="1:48">
      <c r="A1563" s="564">
        <v>2091</v>
      </c>
      <c r="B1563" s="802" t="s">
        <v>2980</v>
      </c>
      <c r="C1563" s="802" t="s">
        <v>281</v>
      </c>
      <c r="D1563" s="803" t="s">
        <v>4526</v>
      </c>
      <c r="E1563" s="810" t="s">
        <v>236</v>
      </c>
      <c r="F1563" s="715" t="s">
        <v>17</v>
      </c>
      <c r="G1563" s="715" t="s">
        <v>18</v>
      </c>
      <c r="H1563" s="715" t="s">
        <v>26</v>
      </c>
      <c r="I1563" s="667"/>
      <c r="J1563" s="667">
        <v>1</v>
      </c>
      <c r="K1563" s="715"/>
      <c r="L1563" s="805">
        <v>45355</v>
      </c>
      <c r="M1563" s="722"/>
      <c r="N1563" s="652"/>
      <c r="O1563" s="580"/>
      <c r="P1563" s="722" t="str">
        <f>VLOOKUP(A1563,'[1]Raw data'!$B:$BA,23,FALSE)</f>
        <v>RMB</v>
      </c>
      <c r="Q1563" s="715" t="str">
        <f>VLOOKUP(A1563,'[1]Raw data'!$B:$Z,2,FALSE)</f>
        <v>C49SZX20240023SQ</v>
      </c>
      <c r="R1563" s="715" t="str">
        <f>VLOOKUP(A1563,'[1]Raw data'!$B:$Z,3,FALSE)</f>
        <v>益友新鑫</v>
      </c>
      <c r="S1563" s="715" t="str">
        <f>VLOOKUP(A1563,'[1]Raw data'!$B:$Z,4,FALSE)</f>
        <v>YSM10</v>
      </c>
      <c r="T1563" s="715" t="str">
        <f>VLOOKUP(A1563,'[1]Raw data'!$B:$Z,8,FALSE)</f>
        <v>R-&gt;L</v>
      </c>
      <c r="U1563" s="715" t="str">
        <f>VLOOKUP(A1563,'[1]Raw data'!$B:$Z,9,FALSE)</f>
        <v>MVC</v>
      </c>
      <c r="V1563" s="714" t="str">
        <f t="shared" si="367"/>
        <v>WRONG</v>
      </c>
      <c r="W1563" s="806" t="str">
        <f>VLOOKUP(A1563,'[1]Raw data'!$B:$AG,32,FALSE)</f>
        <v>DDP DG</v>
      </c>
      <c r="X1563" s="805">
        <f>VLOOKUP(A1563,'[1]Raw data'!$B:$BA,31,FALSE)</f>
        <v>45321</v>
      </c>
      <c r="Y1563" s="715" t="str">
        <f>VLOOKUP(A1563,'[1]Raw data'!$B:$AS,39,FALSE)</f>
        <v>No</v>
      </c>
      <c r="Z1563" s="664"/>
      <c r="AA1563" s="665"/>
      <c r="AB1563" s="666"/>
      <c r="AC1563" s="715"/>
      <c r="AD1563" s="750">
        <v>301</v>
      </c>
      <c r="AE1563" s="750">
        <v>10</v>
      </c>
      <c r="AF1563" s="750"/>
      <c r="AG1563" s="750"/>
      <c r="AH1563" s="667"/>
      <c r="AI1563" s="668"/>
      <c r="AN1563" s="547"/>
      <c r="AO1563" s="829" t="str">
        <f t="shared" si="357"/>
        <v>No</v>
      </c>
      <c r="AP1563" s="259" t="str">
        <f t="shared" si="358"/>
        <v>blank</v>
      </c>
      <c r="AQ1563" s="547" t="str">
        <f t="shared" si="359"/>
        <v>无定金+无預留客戶</v>
      </c>
      <c r="AR1563" s="259" t="str">
        <f t="shared" si="360"/>
        <v>Incoming_Stock_With_YAMAHA_Schedule</v>
      </c>
      <c r="AS1563" s="844">
        <f t="shared" si="361"/>
        <v>45355</v>
      </c>
      <c r="AT1563" s="259" t="str">
        <f t="shared" si="362"/>
        <v>益友新鑫</v>
      </c>
      <c r="AU1563" s="259" t="str">
        <f t="shared" si="363"/>
        <v>C49SZX20240023SQ</v>
      </c>
      <c r="AV1563" s="259" t="str">
        <f t="shared" si="364"/>
        <v>Mar-04</v>
      </c>
    </row>
    <row r="1564" spans="1:48">
      <c r="A1564" s="564">
        <v>2068</v>
      </c>
      <c r="B1564" s="802" t="s">
        <v>2980</v>
      </c>
      <c r="C1564" s="802" t="s">
        <v>281</v>
      </c>
      <c r="D1564" s="803">
        <v>111522</v>
      </c>
      <c r="E1564" s="810" t="s">
        <v>236</v>
      </c>
      <c r="F1564" s="715" t="s">
        <v>58</v>
      </c>
      <c r="G1564" s="715" t="s">
        <v>18</v>
      </c>
      <c r="H1564" s="715"/>
      <c r="I1564" s="667"/>
      <c r="J1564" s="667">
        <v>1</v>
      </c>
      <c r="K1564" s="715"/>
      <c r="L1564" s="805">
        <v>45354</v>
      </c>
      <c r="M1564" s="722">
        <v>4.9299999999999997E-2</v>
      </c>
      <c r="N1564" s="652" t="s">
        <v>4528</v>
      </c>
      <c r="O1564" s="580"/>
      <c r="P1564" s="722" t="str">
        <f>VLOOKUP(A1564,'[1]Raw data'!$B:$BA,23,FALSE)</f>
        <v>JPY</v>
      </c>
      <c r="Q1564" s="715" t="str">
        <f>VLOOKUP(A1564,'[1]Raw data'!$B:$Z,2,FALSE)</f>
        <v>C49SZX20230009MZ</v>
      </c>
      <c r="R1564" s="715" t="str">
        <f>VLOOKUP(A1564,'[1]Raw data'!$B:$Z,3,FALSE)</f>
        <v>鸿楠</v>
      </c>
      <c r="S1564" s="715" t="str">
        <f>VLOOKUP(A1564,'[1]Raw data'!$B:$Z,4,FALSE)</f>
        <v>YSM20R-2</v>
      </c>
      <c r="T1564" s="715" t="str">
        <f>VLOOKUP(A1564,'[1]Raw data'!$B:$Z,8,FALSE)</f>
        <v>R-&gt;L</v>
      </c>
      <c r="U1564" s="715" t="str">
        <f>VLOOKUP(A1564,'[1]Raw data'!$B:$Z,9,FALSE)</f>
        <v>MVC</v>
      </c>
      <c r="V1564" s="714" t="str">
        <f t="shared" si="367"/>
        <v>WRONG</v>
      </c>
      <c r="W1564" s="806" t="str">
        <f>VLOOKUP(A1564,'[1]Raw data'!$B:$AG,32,FALSE)</f>
        <v>CIF HK</v>
      </c>
      <c r="X1564" s="805">
        <f>VLOOKUP(A1564,'[1]Raw data'!$B:$BA,31,FALSE)</f>
        <v>45313</v>
      </c>
      <c r="Y1564" s="715" t="str">
        <f>VLOOKUP(A1564,'[1]Raw data'!$B:$AS,39,FALSE)</f>
        <v>Yes</v>
      </c>
      <c r="Z1564" s="664"/>
      <c r="AA1564" s="665"/>
      <c r="AB1564" s="666"/>
      <c r="AC1564" s="715"/>
      <c r="AD1564" s="667">
        <v>301</v>
      </c>
      <c r="AE1564" s="667">
        <v>10</v>
      </c>
      <c r="AF1564" s="667">
        <v>301</v>
      </c>
      <c r="AG1564" s="667">
        <v>10</v>
      </c>
      <c r="AH1564" s="667"/>
      <c r="AI1564" s="668"/>
      <c r="AN1564" s="547"/>
      <c r="AO1564" s="829" t="str">
        <f t="shared" si="357"/>
        <v>Yes</v>
      </c>
      <c r="AP1564" s="259" t="str">
        <f t="shared" si="358"/>
        <v>MAR 24</v>
      </c>
      <c r="AQ1564" s="547" t="str">
        <f t="shared" si="359"/>
        <v>有定金+有預留客戶</v>
      </c>
      <c r="AR1564" s="259" t="str">
        <f t="shared" si="360"/>
        <v>Incoming_Stock_With_YAMAHA_Schedule</v>
      </c>
      <c r="AS1564" s="844">
        <f t="shared" si="361"/>
        <v>45354</v>
      </c>
      <c r="AT1564" s="259" t="str">
        <f t="shared" si="362"/>
        <v>鸿楠</v>
      </c>
      <c r="AU1564" s="259" t="str">
        <f t="shared" si="363"/>
        <v>C49SZX20230009MZ</v>
      </c>
      <c r="AV1564" s="259" t="str">
        <f t="shared" si="364"/>
        <v>Mar-03</v>
      </c>
    </row>
    <row r="1565" spans="1:48">
      <c r="A1565" s="564">
        <v>2069</v>
      </c>
      <c r="B1565" s="802" t="s">
        <v>2980</v>
      </c>
      <c r="C1565" s="802" t="s">
        <v>281</v>
      </c>
      <c r="D1565" s="803">
        <v>111522</v>
      </c>
      <c r="E1565" s="810" t="s">
        <v>236</v>
      </c>
      <c r="F1565" s="715" t="s">
        <v>58</v>
      </c>
      <c r="G1565" s="715" t="s">
        <v>18</v>
      </c>
      <c r="H1565" s="715"/>
      <c r="I1565" s="667"/>
      <c r="J1565" s="667">
        <v>1</v>
      </c>
      <c r="K1565" s="715"/>
      <c r="L1565" s="805">
        <v>45354</v>
      </c>
      <c r="M1565" s="722">
        <v>4.9299999999999997E-2</v>
      </c>
      <c r="N1565" s="652" t="s">
        <v>4528</v>
      </c>
      <c r="O1565" s="580"/>
      <c r="P1565" s="722" t="str">
        <f>VLOOKUP(A1565,'[1]Raw data'!$B:$BA,23,FALSE)</f>
        <v>JPY</v>
      </c>
      <c r="Q1565" s="715" t="str">
        <f>VLOOKUP(A1565,'[1]Raw data'!$B:$Z,2,FALSE)</f>
        <v>C49SZX20230009MZ</v>
      </c>
      <c r="R1565" s="715" t="str">
        <f>VLOOKUP(A1565,'[1]Raw data'!$B:$Z,3,FALSE)</f>
        <v>鸿楠</v>
      </c>
      <c r="S1565" s="715" t="str">
        <f>VLOOKUP(A1565,'[1]Raw data'!$B:$Z,4,FALSE)</f>
        <v>YSM20R-2</v>
      </c>
      <c r="T1565" s="715" t="str">
        <f>VLOOKUP(A1565,'[1]Raw data'!$B:$Z,8,FALSE)</f>
        <v>R-&gt;L</v>
      </c>
      <c r="U1565" s="715" t="str">
        <f>VLOOKUP(A1565,'[1]Raw data'!$B:$Z,9,FALSE)</f>
        <v>No</v>
      </c>
      <c r="V1565" s="714" t="str">
        <f t="shared" si="367"/>
        <v>WRONG</v>
      </c>
      <c r="W1565" s="806" t="str">
        <f>VLOOKUP(A1565,'[1]Raw data'!$B:$AG,32,FALSE)</f>
        <v>CIF HK</v>
      </c>
      <c r="X1565" s="805">
        <f>VLOOKUP(A1565,'[1]Raw data'!$B:$BA,31,FALSE)</f>
        <v>45313</v>
      </c>
      <c r="Y1565" s="715" t="str">
        <f>VLOOKUP(A1565,'[1]Raw data'!$B:$AS,39,FALSE)</f>
        <v>Yes</v>
      </c>
      <c r="Z1565" s="664"/>
      <c r="AA1565" s="665"/>
      <c r="AB1565" s="666"/>
      <c r="AC1565" s="715"/>
      <c r="AD1565" s="667">
        <v>301</v>
      </c>
      <c r="AE1565" s="667">
        <v>10</v>
      </c>
      <c r="AF1565" s="667">
        <v>303</v>
      </c>
      <c r="AG1565" s="667">
        <v>10</v>
      </c>
      <c r="AH1565" s="667"/>
      <c r="AI1565" s="668"/>
      <c r="AN1565" s="547"/>
      <c r="AO1565" s="829" t="str">
        <f t="shared" si="357"/>
        <v>Yes</v>
      </c>
      <c r="AP1565" s="259" t="str">
        <f t="shared" si="358"/>
        <v>MAR 24</v>
      </c>
      <c r="AQ1565" s="547" t="str">
        <f t="shared" si="359"/>
        <v>有定金+有預留客戶</v>
      </c>
      <c r="AR1565" s="259" t="str">
        <f t="shared" si="360"/>
        <v>Incoming_Stock_With_YAMAHA_Schedule</v>
      </c>
      <c r="AS1565" s="844">
        <f t="shared" si="361"/>
        <v>45354</v>
      </c>
      <c r="AT1565" s="259" t="str">
        <f t="shared" si="362"/>
        <v>鸿楠</v>
      </c>
      <c r="AU1565" s="259" t="str">
        <f t="shared" si="363"/>
        <v>C49SZX20230009MZ</v>
      </c>
      <c r="AV1565" s="259" t="str">
        <f t="shared" si="364"/>
        <v>Mar-03</v>
      </c>
    </row>
    <row r="1566" spans="1:48">
      <c r="A1566" s="564">
        <v>2092</v>
      </c>
      <c r="B1566" s="802" t="s">
        <v>2980</v>
      </c>
      <c r="C1566" s="802" t="s">
        <v>281</v>
      </c>
      <c r="D1566" s="803">
        <v>111522</v>
      </c>
      <c r="E1566" s="810" t="s">
        <v>236</v>
      </c>
      <c r="F1566" s="715" t="s">
        <v>58</v>
      </c>
      <c r="G1566" s="715" t="s">
        <v>18</v>
      </c>
      <c r="H1566" s="715"/>
      <c r="I1566" s="667"/>
      <c r="J1566" s="667">
        <v>1</v>
      </c>
      <c r="K1566" s="715"/>
      <c r="L1566" s="805">
        <v>45354</v>
      </c>
      <c r="M1566" s="722">
        <v>4.9299999999999997E-2</v>
      </c>
      <c r="N1566" s="652"/>
      <c r="O1566" s="580"/>
      <c r="P1566" s="722" t="str">
        <f>VLOOKUP(A1566,'[1]Raw data'!$B:$BA,23,FALSE)</f>
        <v>RMB</v>
      </c>
      <c r="Q1566" s="715" t="str">
        <f>VLOOKUP(A1566,'[1]Raw data'!$B:$Z,2,FALSE)</f>
        <v>C49SZX20240023SQ</v>
      </c>
      <c r="R1566" s="715" t="str">
        <f>VLOOKUP(A1566,'[1]Raw data'!$B:$Z,3,FALSE)</f>
        <v>益友新鑫</v>
      </c>
      <c r="S1566" s="715" t="str">
        <f>VLOOKUP(A1566,'[1]Raw data'!$B:$Z,4,FALSE)</f>
        <v>YSM20R-2</v>
      </c>
      <c r="T1566" s="715" t="str">
        <f>VLOOKUP(A1566,'[1]Raw data'!$B:$Z,8,FALSE)</f>
        <v>R-&gt;L</v>
      </c>
      <c r="U1566" s="715" t="str">
        <f>VLOOKUP(A1566,'[1]Raw data'!$B:$Z,9,FALSE)</f>
        <v>No</v>
      </c>
      <c r="V1566" s="714" t="str">
        <f t="shared" si="367"/>
        <v>WRONG</v>
      </c>
      <c r="W1566" s="806" t="str">
        <f>VLOOKUP(A1566,'[1]Raw data'!$B:$AG,32,FALSE)</f>
        <v>DDP DG</v>
      </c>
      <c r="X1566" s="805">
        <f>VLOOKUP(A1566,'[1]Raw data'!$B:$BA,31,FALSE)</f>
        <v>45321</v>
      </c>
      <c r="Y1566" s="715" t="str">
        <f>VLOOKUP(A1566,'[1]Raw data'!$B:$AS,39,FALSE)</f>
        <v>No</v>
      </c>
      <c r="Z1566" s="664"/>
      <c r="AA1566" s="665"/>
      <c r="AB1566" s="666"/>
      <c r="AC1566" s="715"/>
      <c r="AD1566" s="667">
        <v>301</v>
      </c>
      <c r="AE1566" s="667">
        <v>10</v>
      </c>
      <c r="AF1566" s="667">
        <v>303</v>
      </c>
      <c r="AG1566" s="667">
        <v>10</v>
      </c>
      <c r="AH1566" s="667"/>
      <c r="AI1566" s="668"/>
      <c r="AN1566" s="547"/>
      <c r="AO1566" s="829" t="str">
        <f t="shared" si="357"/>
        <v>No</v>
      </c>
      <c r="AP1566" s="259" t="str">
        <f t="shared" si="358"/>
        <v>blank</v>
      </c>
      <c r="AQ1566" s="547" t="str">
        <f t="shared" si="359"/>
        <v>无定金+无預留客戶</v>
      </c>
      <c r="AR1566" s="259" t="str">
        <f t="shared" si="360"/>
        <v>Incoming_Stock_With_YAMAHA_Schedule</v>
      </c>
      <c r="AS1566" s="844">
        <f t="shared" si="361"/>
        <v>45354</v>
      </c>
      <c r="AT1566" s="259" t="str">
        <f t="shared" si="362"/>
        <v>益友新鑫</v>
      </c>
      <c r="AU1566" s="259" t="str">
        <f t="shared" si="363"/>
        <v>C49SZX20240023SQ</v>
      </c>
      <c r="AV1566" s="259" t="str">
        <f t="shared" si="364"/>
        <v>Mar-03</v>
      </c>
    </row>
    <row r="1567" spans="1:48" ht="14.25" customHeight="1">
      <c r="B1567" s="802" t="s">
        <v>2980</v>
      </c>
      <c r="C1567" s="802" t="s">
        <v>281</v>
      </c>
      <c r="D1567" s="803" t="s">
        <v>4525</v>
      </c>
      <c r="E1567" s="810" t="s">
        <v>236</v>
      </c>
      <c r="F1567" s="715" t="s">
        <v>58</v>
      </c>
      <c r="G1567" s="715" t="s">
        <v>18</v>
      </c>
      <c r="H1567" s="715"/>
      <c r="I1567" s="667"/>
      <c r="J1567" s="667">
        <v>1</v>
      </c>
      <c r="K1567" s="715"/>
      <c r="L1567" s="805">
        <v>45354</v>
      </c>
      <c r="M1567" s="722" t="s">
        <v>4566</v>
      </c>
      <c r="N1567" s="652"/>
      <c r="O1567" s="580"/>
      <c r="P1567" s="722" t="e">
        <f>VLOOKUP(A1567,'[1]Raw data'!$B:$BA,23,FALSE)</f>
        <v>#N/A</v>
      </c>
      <c r="Q1567" s="715" t="e">
        <f>VLOOKUP(A1567,'[1]Raw data'!$B:$Z,2,FALSE)</f>
        <v>#N/A</v>
      </c>
      <c r="R1567" s="715" t="e">
        <f>VLOOKUP(A1567,'[1]Raw data'!$B:$Z,3,FALSE)</f>
        <v>#N/A</v>
      </c>
      <c r="S1567" s="715" t="e">
        <f>VLOOKUP(A1567,'[1]Raw data'!$B:$Z,4,FALSE)</f>
        <v>#N/A</v>
      </c>
      <c r="T1567" s="715" t="e">
        <f>VLOOKUP(A1567,'[1]Raw data'!$B:$Z,8,FALSE)</f>
        <v>#N/A</v>
      </c>
      <c r="U1567" s="715" t="e">
        <f>VLOOKUP(A1567,'[1]Raw data'!$B:$Z,9,FALSE)</f>
        <v>#N/A</v>
      </c>
      <c r="V1567" s="714" t="e">
        <f t="shared" si="367"/>
        <v>#N/A</v>
      </c>
      <c r="W1567" s="806" t="e">
        <f>VLOOKUP(A1567,'[1]Raw data'!$B:$AG,32,FALSE)</f>
        <v>#N/A</v>
      </c>
      <c r="X1567" s="805" t="e">
        <f>VLOOKUP(A1567,'[1]Raw data'!$B:$BA,31,FALSE)</f>
        <v>#N/A</v>
      </c>
      <c r="Y1567" s="715" t="e">
        <f>VLOOKUP(A1567,'[1]Raw data'!$B:$AS,39,FALSE)</f>
        <v>#N/A</v>
      </c>
      <c r="Z1567" s="664"/>
      <c r="AA1567" s="665"/>
      <c r="AB1567" s="666"/>
      <c r="AC1567" s="715"/>
      <c r="AD1567" s="667">
        <v>301</v>
      </c>
      <c r="AE1567" s="667">
        <v>10</v>
      </c>
      <c r="AF1567" s="667">
        <v>301</v>
      </c>
      <c r="AG1567" s="667">
        <v>10</v>
      </c>
      <c r="AH1567" s="667"/>
      <c r="AI1567" s="668"/>
      <c r="AN1567" s="547"/>
      <c r="AO1567" s="829" t="str">
        <f t="shared" si="357"/>
        <v>No</v>
      </c>
      <c r="AP1567" s="259" t="str">
        <f t="shared" si="358"/>
        <v>blank</v>
      </c>
      <c r="AQ1567" s="547" t="str">
        <f t="shared" si="359"/>
        <v>无定金+无預留客戶</v>
      </c>
      <c r="AR1567" s="259" t="str">
        <f t="shared" si="360"/>
        <v>Incoming_Stock_With_YAMAHA_Schedule</v>
      </c>
      <c r="AS1567" s="844">
        <f t="shared" si="361"/>
        <v>45354</v>
      </c>
      <c r="AT1567" s="259" t="str">
        <f t="shared" si="362"/>
        <v>-</v>
      </c>
      <c r="AU1567" s="259" t="str">
        <f t="shared" si="363"/>
        <v>-</v>
      </c>
      <c r="AV1567" s="259" t="str">
        <f t="shared" si="364"/>
        <v>Mar-03</v>
      </c>
    </row>
    <row r="1568" spans="1:48" hidden="1">
      <c r="A1568" s="564">
        <v>2079</v>
      </c>
      <c r="B1568" s="802" t="s">
        <v>1125</v>
      </c>
      <c r="C1568" s="802" t="s">
        <v>281</v>
      </c>
      <c r="D1568" s="803" t="s">
        <v>4541</v>
      </c>
      <c r="E1568" s="804" t="s">
        <v>4542</v>
      </c>
      <c r="F1568" s="715" t="s">
        <v>149</v>
      </c>
      <c r="G1568" s="715" t="s">
        <v>283</v>
      </c>
      <c r="H1568" s="715" t="s">
        <v>26</v>
      </c>
      <c r="I1568" s="667" t="s">
        <v>4609</v>
      </c>
      <c r="J1568" s="667">
        <v>1</v>
      </c>
      <c r="K1568" s="715" t="s">
        <v>1806</v>
      </c>
      <c r="L1568" s="805" t="s">
        <v>4543</v>
      </c>
      <c r="M1568" s="722" t="s">
        <v>4567</v>
      </c>
      <c r="N1568" s="652" t="s">
        <v>4417</v>
      </c>
      <c r="O1568" s="580"/>
      <c r="P1568" s="807" t="str">
        <f>VLOOKUP(A1568,'[1]Raw data'!$B:$BA,23,FALSE)</f>
        <v>RMB</v>
      </c>
      <c r="Q1568" s="808" t="str">
        <f>VLOOKUP(A1568,'[1]Raw data'!$B:$Z,2,FALSE)</f>
        <v>C49SZX20240015DX</v>
      </c>
      <c r="R1568" s="808" t="str">
        <f>VLOOKUP(A1568,'[1]Raw data'!$B:$Z,3,FALSE)</f>
        <v>盟思拓</v>
      </c>
      <c r="S1568" s="715" t="str">
        <f>VLOOKUP(A1568,'[1]Raw data'!$B:$Z,4,FALSE)</f>
        <v>YSM40R-4</v>
      </c>
      <c r="T1568" s="715" t="str">
        <f>VLOOKUP(A1568,'[1]Raw data'!$B:$Z,8,FALSE)</f>
        <v>L-&gt;R</v>
      </c>
      <c r="U1568" s="715" t="str">
        <f>VLOOKUP(A1568,'[1]Raw data'!$B:$Z,9,FALSE)</f>
        <v>No</v>
      </c>
      <c r="V1568" s="714" t="str">
        <f>IF(G1568&amp;H1568=T1568&amp;U1568,"OK","WRONG")</f>
        <v>WRONG</v>
      </c>
      <c r="W1568" s="806" t="str">
        <f>VLOOKUP(A1568,'[1]Raw data'!$B:$AG,32,FALSE)</f>
        <v>DDP SZ</v>
      </c>
      <c r="X1568" s="805">
        <f>VLOOKUP(A1568,'[1]Raw data'!$B:$BA,31,FALSE)</f>
        <v>45316</v>
      </c>
      <c r="Y1568" s="715" t="str">
        <f>VLOOKUP(A1568,'[1]Raw data'!$B:$AS,39,FALSE)</f>
        <v>Yes</v>
      </c>
      <c r="Z1568" s="664"/>
      <c r="AA1568" s="665"/>
      <c r="AB1568" s="666"/>
      <c r="AC1568" s="715"/>
      <c r="AD1568" s="667"/>
      <c r="AE1568" s="667"/>
      <c r="AF1568" s="667"/>
      <c r="AG1568" s="667"/>
      <c r="AH1568" s="667"/>
      <c r="AI1568" s="668"/>
      <c r="AN1568" s="547"/>
      <c r="AO1568" s="829" t="str">
        <f t="shared" si="357"/>
        <v>Yes</v>
      </c>
      <c r="AP1568" s="259" t="str">
        <f>IFERROR(IF(N1568&lt;&gt;"",N1568,"blank"),"NA")</f>
        <v>FEB 24</v>
      </c>
      <c r="AQ1568" s="547" t="str">
        <f t="shared" si="359"/>
        <v>有定金+有預留客戶</v>
      </c>
      <c r="AR1568" s="259" t="str">
        <f>IFERROR(IF(B1568="已经到货", "Instock", IF(B1568="有交期", "Incoming_Stock_With_YAMAHA_Schedule", IF(B1568="TBA.", "Incoming_Stock_No_YAMAHA_Schedule", IF(B1568="已发货", "Shipped_Stock", "")))), "")</f>
        <v>Shipped_Stock</v>
      </c>
      <c r="AS1568" s="259" t="str">
        <f>IF(AND(B1568="有交期", L1568&lt;&gt;""), L1568, "")</f>
        <v/>
      </c>
      <c r="AT1568" s="259" t="str">
        <f t="shared" si="362"/>
        <v>盟思拓</v>
      </c>
      <c r="AU1568" s="259" t="str">
        <f t="shared" si="363"/>
        <v>C49SZX20240015DX</v>
      </c>
      <c r="AV1568" s="259" t="str">
        <f t="shared" si="364"/>
        <v>Yamaha 深圳仓库</v>
      </c>
    </row>
    <row r="1569" spans="1:48" hidden="1">
      <c r="A1569" s="564">
        <v>2080</v>
      </c>
      <c r="B1569" s="802" t="s">
        <v>1125</v>
      </c>
      <c r="C1569" s="802" t="s">
        <v>281</v>
      </c>
      <c r="D1569" s="803" t="s">
        <v>4541</v>
      </c>
      <c r="E1569" s="804" t="s">
        <v>4542</v>
      </c>
      <c r="F1569" s="715" t="s">
        <v>149</v>
      </c>
      <c r="G1569" s="715" t="s">
        <v>283</v>
      </c>
      <c r="H1569" s="715" t="s">
        <v>26</v>
      </c>
      <c r="I1569" s="667" t="s">
        <v>4610</v>
      </c>
      <c r="J1569" s="667">
        <v>1</v>
      </c>
      <c r="K1569" s="715" t="s">
        <v>1806</v>
      </c>
      <c r="L1569" s="805" t="s">
        <v>4543</v>
      </c>
      <c r="M1569" s="722" t="s">
        <v>4567</v>
      </c>
      <c r="N1569" s="652" t="s">
        <v>4417</v>
      </c>
      <c r="O1569" s="580"/>
      <c r="P1569" s="807" t="str">
        <f>VLOOKUP(A1569,'[1]Raw data'!$B:$BA,23,FALSE)</f>
        <v>RMB</v>
      </c>
      <c r="Q1569" s="808" t="str">
        <f>VLOOKUP(A1569,'[1]Raw data'!$B:$Z,2,FALSE)</f>
        <v>C49SZX20240015DX</v>
      </c>
      <c r="R1569" s="808" t="str">
        <f>VLOOKUP(A1569,'[1]Raw data'!$B:$Z,3,FALSE)</f>
        <v>盟思拓</v>
      </c>
      <c r="S1569" s="715" t="str">
        <f>VLOOKUP(A1569,'[1]Raw data'!$B:$Z,4,FALSE)</f>
        <v>YSM40R-4</v>
      </c>
      <c r="T1569" s="715" t="str">
        <f>VLOOKUP(A1569,'[1]Raw data'!$B:$Z,8,FALSE)</f>
        <v>L-&gt;R</v>
      </c>
      <c r="U1569" s="715" t="str">
        <f>VLOOKUP(A1569,'[1]Raw data'!$B:$Z,9,FALSE)</f>
        <v>No</v>
      </c>
      <c r="V1569" s="714" t="str">
        <f>IF(G1569&amp;H1569=T1569&amp;U1569,"OK","WRONG")</f>
        <v>WRONG</v>
      </c>
      <c r="W1569" s="806" t="str">
        <f>VLOOKUP(A1569,'[1]Raw data'!$B:$AG,32,FALSE)</f>
        <v>DDP SZ</v>
      </c>
      <c r="X1569" s="805">
        <f>VLOOKUP(A1569,'[1]Raw data'!$B:$BA,31,FALSE)</f>
        <v>45316</v>
      </c>
      <c r="Y1569" s="715" t="str">
        <f>VLOOKUP(A1569,'[1]Raw data'!$B:$AS,39,FALSE)</f>
        <v>Yes</v>
      </c>
      <c r="Z1569" s="664"/>
      <c r="AA1569" s="665"/>
      <c r="AB1569" s="666"/>
      <c r="AC1569" s="715"/>
      <c r="AD1569" s="667"/>
      <c r="AE1569" s="667"/>
      <c r="AF1569" s="667"/>
      <c r="AG1569" s="667"/>
      <c r="AH1569" s="667"/>
      <c r="AI1569" s="668"/>
      <c r="AN1569" s="547"/>
      <c r="AO1569" s="829" t="str">
        <f t="shared" si="357"/>
        <v>Yes</v>
      </c>
      <c r="AP1569" s="259" t="str">
        <f>IFERROR(IF(N1569&lt;&gt;"",N1569,"blank"),"NA")</f>
        <v>FEB 24</v>
      </c>
      <c r="AQ1569" s="547" t="str">
        <f t="shared" si="359"/>
        <v>有定金+有預留客戶</v>
      </c>
      <c r="AR1569" s="259" t="str">
        <f>IFERROR(IF(B1569="已经到货", "Instock", IF(B1569="有交期", "Incoming_Stock_With_YAMAHA_Schedule", IF(B1569="TBA.", "Incoming_Stock_No_YAMAHA_Schedule", IF(B1569="已发货", "Shipped_Stock", "")))), "")</f>
        <v>Shipped_Stock</v>
      </c>
      <c r="AS1569" s="259" t="str">
        <f>IF(AND(B1569="有交期", L1569&lt;&gt;""), L1569, "")</f>
        <v/>
      </c>
      <c r="AT1569" s="259" t="str">
        <f t="shared" si="362"/>
        <v>盟思拓</v>
      </c>
      <c r="AU1569" s="259" t="str">
        <f t="shared" si="363"/>
        <v>C49SZX20240015DX</v>
      </c>
      <c r="AV1569" s="259" t="str">
        <f t="shared" si="364"/>
        <v>Yamaha 深圳仓库</v>
      </c>
    </row>
    <row r="1570" spans="1:48" ht="33.75">
      <c r="A1570" s="564">
        <v>2066</v>
      </c>
      <c r="B1570" s="802" t="s">
        <v>4349</v>
      </c>
      <c r="C1570" s="802" t="s">
        <v>281</v>
      </c>
      <c r="D1570" s="803">
        <v>111536</v>
      </c>
      <c r="E1570" s="810" t="s">
        <v>4538</v>
      </c>
      <c r="F1570" s="715" t="s">
        <v>17</v>
      </c>
      <c r="G1570" s="715" t="s">
        <v>24</v>
      </c>
      <c r="H1570" s="715" t="s">
        <v>4177</v>
      </c>
      <c r="I1570" s="667"/>
      <c r="J1570" s="667">
        <v>1</v>
      </c>
      <c r="K1570" s="715"/>
      <c r="L1570" s="805" t="s">
        <v>4422</v>
      </c>
      <c r="M1570" s="722" t="s">
        <v>4556</v>
      </c>
      <c r="N1570" s="652"/>
      <c r="O1570" s="580"/>
      <c r="P1570" s="722" t="str">
        <f>VLOOKUP(A1570,'[1]Raw data'!$B:$BA,23,FALSE)</f>
        <v>USD</v>
      </c>
      <c r="Q1570" s="715" t="str">
        <f>VLOOKUP(A1570,'[1]Raw data'!$B:$Z,2,FALSE)</f>
        <v>C49SZX20240008JL/4600004037</v>
      </c>
      <c r="R1570" s="715" t="str">
        <f>VLOOKUP(A1570,'[1]Raw data'!$B:$Z,3,FALSE)</f>
        <v>高伟</v>
      </c>
      <c r="S1570" s="715" t="str">
        <f>VLOOKUP(A1570,'[1]Raw data'!$B:$Z,4,FALSE)</f>
        <v>YSM10</v>
      </c>
      <c r="T1570" s="715" t="str">
        <f>VLOOKUP(A1570,'[1]Raw data'!$B:$Z,8,FALSE)</f>
        <v>L-&gt;R</v>
      </c>
      <c r="U1570" s="715" t="str">
        <f>VLOOKUP(A1570,'[1]Raw data'!$B:$Z,9,FALSE)</f>
        <v xml:space="preserve">MVC(with 5 heads) </v>
      </c>
      <c r="V1570" s="714" t="str">
        <f t="shared" si="367"/>
        <v>OK</v>
      </c>
      <c r="W1570" s="806" t="str">
        <f>VLOOKUP(A1570,'[1]Raw data'!$B:$AG,32,FALSE)</f>
        <v>CIF HK</v>
      </c>
      <c r="X1570" s="805">
        <f>VLOOKUP(A1570,'[1]Raw data'!$B:$BA,31,FALSE)</f>
        <v>45313</v>
      </c>
      <c r="Y1570" s="715" t="str">
        <f>VLOOKUP(A1570,'[1]Raw data'!$B:$AS,39,FALSE)</f>
        <v>Yes</v>
      </c>
      <c r="Z1570" s="664"/>
      <c r="AA1570" s="665"/>
      <c r="AB1570" s="666"/>
      <c r="AC1570" s="715"/>
      <c r="AD1570" s="667">
        <v>303</v>
      </c>
      <c r="AE1570" s="667">
        <v>5</v>
      </c>
      <c r="AF1570" s="667"/>
      <c r="AG1570" s="667"/>
      <c r="AH1570" s="667"/>
      <c r="AI1570" s="668"/>
      <c r="AN1570" s="547"/>
      <c r="AO1570" s="829" t="str">
        <f t="shared" si="357"/>
        <v>Yes</v>
      </c>
      <c r="AP1570" s="259" t="str">
        <f t="shared" si="358"/>
        <v>blank</v>
      </c>
      <c r="AQ1570" s="547" t="str">
        <f t="shared" si="359"/>
        <v>有定金+无客戶送貨期</v>
      </c>
      <c r="AR1570" s="259" t="str">
        <f t="shared" si="360"/>
        <v>Incoming_Stock_No_YAMAHA_Schedule</v>
      </c>
      <c r="AS1570" s="259" t="str">
        <f t="shared" si="361"/>
        <v/>
      </c>
      <c r="AT1570" s="259" t="str">
        <f t="shared" si="362"/>
        <v>高伟</v>
      </c>
      <c r="AU1570" s="259" t="str">
        <f t="shared" si="363"/>
        <v>C49SZX20240008JL/4600004037</v>
      </c>
      <c r="AV1570" s="259" t="str">
        <f t="shared" si="364"/>
        <v>ex-work 24年2月</v>
      </c>
    </row>
    <row r="1571" spans="1:48" ht="33.75">
      <c r="A1571" s="564">
        <v>2067</v>
      </c>
      <c r="B1571" s="802" t="s">
        <v>4349</v>
      </c>
      <c r="C1571" s="802" t="s">
        <v>281</v>
      </c>
      <c r="D1571" s="803">
        <v>111536</v>
      </c>
      <c r="E1571" s="810" t="s">
        <v>4538</v>
      </c>
      <c r="F1571" s="715" t="s">
        <v>17</v>
      </c>
      <c r="G1571" s="715" t="s">
        <v>24</v>
      </c>
      <c r="H1571" s="715" t="s">
        <v>4177</v>
      </c>
      <c r="I1571" s="667"/>
      <c r="J1571" s="667">
        <v>1</v>
      </c>
      <c r="K1571" s="715"/>
      <c r="L1571" s="805" t="s">
        <v>4422</v>
      </c>
      <c r="M1571" s="722" t="s">
        <v>4556</v>
      </c>
      <c r="N1571" s="652"/>
      <c r="O1571" s="580"/>
      <c r="P1571" s="722" t="str">
        <f>VLOOKUP(A1571,'[1]Raw data'!$B:$BA,23,FALSE)</f>
        <v>USD</v>
      </c>
      <c r="Q1571" s="715" t="str">
        <f>VLOOKUP(A1571,'[1]Raw data'!$B:$Z,2,FALSE)</f>
        <v>C49SZX20240008JL/4600004037</v>
      </c>
      <c r="R1571" s="715" t="str">
        <f>VLOOKUP(A1571,'[1]Raw data'!$B:$Z,3,FALSE)</f>
        <v>高伟</v>
      </c>
      <c r="S1571" s="715" t="str">
        <f>VLOOKUP(A1571,'[1]Raw data'!$B:$Z,4,FALSE)</f>
        <v>YSM10</v>
      </c>
      <c r="T1571" s="715" t="str">
        <f>VLOOKUP(A1571,'[1]Raw data'!$B:$Z,8,FALSE)</f>
        <v>L-&gt;R</v>
      </c>
      <c r="U1571" s="715" t="str">
        <f>VLOOKUP(A1571,'[1]Raw data'!$B:$Z,9,FALSE)</f>
        <v xml:space="preserve">MVC(with 5 heads) </v>
      </c>
      <c r="V1571" s="714" t="str">
        <f t="shared" si="367"/>
        <v>OK</v>
      </c>
      <c r="W1571" s="806" t="str">
        <f>VLOOKUP(A1571,'[1]Raw data'!$B:$AG,32,FALSE)</f>
        <v>CIF HK</v>
      </c>
      <c r="X1571" s="805">
        <f>VLOOKUP(A1571,'[1]Raw data'!$B:$BA,31,FALSE)</f>
        <v>45313</v>
      </c>
      <c r="Y1571" s="715" t="str">
        <f>VLOOKUP(A1571,'[1]Raw data'!$B:$AS,39,FALSE)</f>
        <v>Yes</v>
      </c>
      <c r="Z1571" s="664"/>
      <c r="AA1571" s="665"/>
      <c r="AB1571" s="666"/>
      <c r="AC1571" s="715"/>
      <c r="AD1571" s="667">
        <v>303</v>
      </c>
      <c r="AE1571" s="667">
        <v>5</v>
      </c>
      <c r="AF1571" s="667"/>
      <c r="AG1571" s="667"/>
      <c r="AH1571" s="667"/>
      <c r="AI1571" s="668"/>
      <c r="AN1571" s="547"/>
      <c r="AO1571" s="829" t="str">
        <f t="shared" si="357"/>
        <v>Yes</v>
      </c>
      <c r="AP1571" s="259" t="str">
        <f t="shared" si="358"/>
        <v>blank</v>
      </c>
      <c r="AQ1571" s="547" t="str">
        <f t="shared" si="359"/>
        <v>有定金+无客戶送貨期</v>
      </c>
      <c r="AR1571" s="259" t="str">
        <f t="shared" si="360"/>
        <v>Incoming_Stock_No_YAMAHA_Schedule</v>
      </c>
      <c r="AS1571" s="259" t="str">
        <f t="shared" si="361"/>
        <v/>
      </c>
      <c r="AT1571" s="259" t="str">
        <f t="shared" si="362"/>
        <v>高伟</v>
      </c>
      <c r="AU1571" s="259" t="str">
        <f t="shared" si="363"/>
        <v>C49SZX20240008JL/4600004037</v>
      </c>
      <c r="AV1571" s="259" t="str">
        <f t="shared" si="364"/>
        <v>ex-work 24年2月</v>
      </c>
    </row>
    <row r="1572" spans="1:48">
      <c r="A1572" s="564">
        <v>2072</v>
      </c>
      <c r="B1572" s="802" t="s">
        <v>4349</v>
      </c>
      <c r="C1572" s="802" t="s">
        <v>281</v>
      </c>
      <c r="D1572" s="803" t="s">
        <v>4555</v>
      </c>
      <c r="E1572" s="810" t="s">
        <v>4538</v>
      </c>
      <c r="F1572" s="715" t="s">
        <v>17</v>
      </c>
      <c r="G1572" s="715" t="s">
        <v>18</v>
      </c>
      <c r="H1572" s="715" t="s">
        <v>4539</v>
      </c>
      <c r="I1572" s="667"/>
      <c r="J1572" s="667">
        <v>1</v>
      </c>
      <c r="K1572" s="715"/>
      <c r="L1572" s="805" t="s">
        <v>4422</v>
      </c>
      <c r="M1572" s="722"/>
      <c r="N1572" s="652"/>
      <c r="O1572" s="580"/>
      <c r="P1572" s="722" t="str">
        <f>VLOOKUP(A1572,'[1]Raw data'!$B:$BA,23,FALSE)</f>
        <v>JPY</v>
      </c>
      <c r="Q1572" s="715" t="str">
        <f>VLOOKUP(A1572,'[1]Raw data'!$B:$Z,2,FALSE)</f>
        <v>C49SZX20230009MZ</v>
      </c>
      <c r="R1572" s="715" t="str">
        <f>VLOOKUP(A1572,'[1]Raw data'!$B:$Z,3,FALSE)</f>
        <v>鸿楠</v>
      </c>
      <c r="S1572" s="715" t="str">
        <f>VLOOKUP(A1572,'[1]Raw data'!$B:$Z,4,FALSE)</f>
        <v>YSM10</v>
      </c>
      <c r="T1572" s="715" t="str">
        <f>VLOOKUP(A1572,'[1]Raw data'!$B:$Z,8,FALSE)</f>
        <v>R-&gt;L</v>
      </c>
      <c r="U1572" s="715" t="str">
        <f>VLOOKUP(A1572,'[1]Raw data'!$B:$Z,9,FALSE)</f>
        <v>MVC</v>
      </c>
      <c r="V1572" s="714" t="str">
        <f t="shared" si="367"/>
        <v>WRONG</v>
      </c>
      <c r="W1572" s="806" t="str">
        <f>VLOOKUP(A1572,'[1]Raw data'!$B:$AG,32,FALSE)</f>
        <v>CIF HK</v>
      </c>
      <c r="X1572" s="805">
        <f>VLOOKUP(A1572,'[1]Raw data'!$B:$BA,31,FALSE)</f>
        <v>45313</v>
      </c>
      <c r="Y1572" s="715" t="str">
        <f>VLOOKUP(A1572,'[1]Raw data'!$B:$AS,39,FALSE)</f>
        <v>Yes</v>
      </c>
      <c r="Z1572" s="664"/>
      <c r="AA1572" s="665"/>
      <c r="AB1572" s="666"/>
      <c r="AC1572" s="715"/>
      <c r="AD1572" s="667">
        <v>303</v>
      </c>
      <c r="AE1572" s="667">
        <v>10</v>
      </c>
      <c r="AF1572" s="667"/>
      <c r="AG1572" s="667"/>
      <c r="AH1572" s="667"/>
      <c r="AI1572" s="668"/>
      <c r="AN1572" s="547"/>
      <c r="AO1572" s="829" t="str">
        <f t="shared" si="357"/>
        <v>Yes</v>
      </c>
      <c r="AP1572" s="259" t="str">
        <f t="shared" si="358"/>
        <v>blank</v>
      </c>
      <c r="AQ1572" s="547" t="str">
        <f t="shared" si="359"/>
        <v>有定金+无客戶送貨期</v>
      </c>
      <c r="AR1572" s="259" t="str">
        <f t="shared" si="360"/>
        <v>Incoming_Stock_No_YAMAHA_Schedule</v>
      </c>
      <c r="AS1572" s="259" t="str">
        <f t="shared" si="361"/>
        <v/>
      </c>
      <c r="AT1572" s="259" t="str">
        <f t="shared" si="362"/>
        <v>鸿楠</v>
      </c>
      <c r="AU1572" s="259" t="str">
        <f t="shared" si="363"/>
        <v>C49SZX20230009MZ</v>
      </c>
      <c r="AV1572" s="259" t="str">
        <f t="shared" si="364"/>
        <v>ex-work 24年2月</v>
      </c>
    </row>
    <row r="1573" spans="1:48">
      <c r="B1573" s="802" t="s">
        <v>4349</v>
      </c>
      <c r="C1573" s="802" t="s">
        <v>281</v>
      </c>
      <c r="D1573" s="803" t="s">
        <v>4555</v>
      </c>
      <c r="E1573" s="810" t="s">
        <v>4538</v>
      </c>
      <c r="F1573" s="715" t="s">
        <v>17</v>
      </c>
      <c r="G1573" s="715" t="s">
        <v>18</v>
      </c>
      <c r="H1573" s="715" t="s">
        <v>27</v>
      </c>
      <c r="I1573" s="667"/>
      <c r="J1573" s="667">
        <v>1</v>
      </c>
      <c r="K1573" s="715"/>
      <c r="L1573" s="805" t="s">
        <v>4422</v>
      </c>
      <c r="M1573" s="722"/>
      <c r="N1573" s="652"/>
      <c r="O1573" s="580"/>
      <c r="P1573" s="722" t="e">
        <f>VLOOKUP(A1573,'[1]Raw data'!$B:$BA,23,FALSE)</f>
        <v>#N/A</v>
      </c>
      <c r="Q1573" s="715" t="e">
        <f>VLOOKUP(A1573,'[1]Raw data'!$B:$Z,2,FALSE)</f>
        <v>#N/A</v>
      </c>
      <c r="R1573" s="715" t="e">
        <f>VLOOKUP(A1573,'[1]Raw data'!$B:$Z,3,FALSE)</f>
        <v>#N/A</v>
      </c>
      <c r="S1573" s="715" t="e">
        <f>VLOOKUP(A1573,'[1]Raw data'!$B:$Z,4,FALSE)</f>
        <v>#N/A</v>
      </c>
      <c r="T1573" s="715" t="e">
        <f>VLOOKUP(A1573,'[1]Raw data'!$B:$Z,8,FALSE)</f>
        <v>#N/A</v>
      </c>
      <c r="U1573" s="715" t="e">
        <f>VLOOKUP(A1573,'[1]Raw data'!$B:$Z,9,FALSE)</f>
        <v>#N/A</v>
      </c>
      <c r="V1573" s="714" t="e">
        <f t="shared" si="367"/>
        <v>#N/A</v>
      </c>
      <c r="W1573" s="806" t="e">
        <f>VLOOKUP(A1573,'[1]Raw data'!$B:$AG,32,FALSE)</f>
        <v>#N/A</v>
      </c>
      <c r="X1573" s="805" t="e">
        <f>VLOOKUP(A1573,'[1]Raw data'!$B:$BA,31,FALSE)</f>
        <v>#N/A</v>
      </c>
      <c r="Y1573" s="715" t="e">
        <f>VLOOKUP(A1573,'[1]Raw data'!$B:$AS,39,FALSE)</f>
        <v>#N/A</v>
      </c>
      <c r="Z1573" s="664"/>
      <c r="AA1573" s="665"/>
      <c r="AB1573" s="666"/>
      <c r="AC1573" s="715"/>
      <c r="AD1573" s="667">
        <v>303</v>
      </c>
      <c r="AE1573" s="667">
        <v>10</v>
      </c>
      <c r="AF1573" s="667"/>
      <c r="AG1573" s="667"/>
      <c r="AH1573" s="667"/>
      <c r="AI1573" s="668"/>
      <c r="AN1573" s="547"/>
      <c r="AO1573" s="829" t="str">
        <f t="shared" si="357"/>
        <v>No</v>
      </c>
      <c r="AP1573" s="259" t="str">
        <f t="shared" si="358"/>
        <v>blank</v>
      </c>
      <c r="AQ1573" s="547" t="str">
        <f t="shared" si="359"/>
        <v>无定金+无預留客戶</v>
      </c>
      <c r="AR1573" s="259" t="str">
        <f t="shared" si="360"/>
        <v>Incoming_Stock_No_YAMAHA_Schedule</v>
      </c>
      <c r="AS1573" s="259" t="str">
        <f t="shared" si="361"/>
        <v/>
      </c>
      <c r="AT1573" s="259" t="str">
        <f t="shared" si="362"/>
        <v>-</v>
      </c>
      <c r="AU1573" s="259" t="str">
        <f t="shared" si="363"/>
        <v>-</v>
      </c>
      <c r="AV1573" s="259" t="str">
        <f t="shared" si="364"/>
        <v>ex-work 24年2月</v>
      </c>
    </row>
    <row r="1574" spans="1:48">
      <c r="A1574" s="564">
        <v>2077</v>
      </c>
      <c r="B1574" s="802" t="s">
        <v>4349</v>
      </c>
      <c r="C1574" s="802" t="s">
        <v>4056</v>
      </c>
      <c r="D1574" s="803" t="s">
        <v>4550</v>
      </c>
      <c r="E1574" s="804" t="s">
        <v>2162</v>
      </c>
      <c r="F1574" s="715" t="s">
        <v>201</v>
      </c>
      <c r="G1574" s="715" t="s">
        <v>24</v>
      </c>
      <c r="H1574" s="715" t="s">
        <v>26</v>
      </c>
      <c r="I1574" s="667"/>
      <c r="J1574" s="667">
        <v>1</v>
      </c>
      <c r="K1574" s="715"/>
      <c r="L1574" s="805" t="s">
        <v>4422</v>
      </c>
      <c r="M1574" s="722"/>
      <c r="N1574" s="652"/>
      <c r="O1574" s="580"/>
      <c r="P1574" s="722" t="str">
        <f>VLOOKUP(A1574,'[1]Raw data'!$B:$BA,23,FALSE)</f>
        <v>JPY</v>
      </c>
      <c r="Q1574" s="715" t="str">
        <f>VLOOKUP(A1574,'[1]Raw data'!$B:$Z,2,FALSE)</f>
        <v>C28SZX20240011MZ</v>
      </c>
      <c r="R1574" s="715" t="str">
        <f>VLOOKUP(A1574,'[1]Raw data'!$B:$Z,3,FALSE)</f>
        <v>鸿楠</v>
      </c>
      <c r="S1574" s="715" t="str">
        <f>VLOOKUP(A1574,'[1]Raw data'!$B:$Z,4,FALSE)</f>
        <v>YSi-V</v>
      </c>
      <c r="T1574" s="715" t="str">
        <f>VLOOKUP(A1574,'[1]Raw data'!$B:$Z,8,FALSE)</f>
        <v>R-&gt;L</v>
      </c>
      <c r="U1574" s="715" t="str">
        <f>VLOOKUP(A1574,'[1]Raw data'!$B:$Z,9,FALSE)</f>
        <v>No</v>
      </c>
      <c r="V1574" s="714" t="str">
        <f t="shared" ref="V1574" si="368">IF(G1574&amp;H1574=T1574&amp;U1574,"OK","WRONG")</f>
        <v>WRONG</v>
      </c>
      <c r="W1574" s="806" t="str">
        <f>VLOOKUP(A1574,'[1]Raw data'!$B:$AG,32,FALSE)</f>
        <v>CIF HK</v>
      </c>
      <c r="X1574" s="805">
        <f>VLOOKUP(A1574,'[1]Raw data'!$B:$BA,31,FALSE)</f>
        <v>45313</v>
      </c>
      <c r="Y1574" s="715" t="str">
        <f>VLOOKUP(A1574,'[1]Raw data'!$B:$AS,39,FALSE)</f>
        <v>Yes</v>
      </c>
      <c r="Z1574" s="664"/>
      <c r="AA1574" s="665"/>
      <c r="AB1574" s="666"/>
      <c r="AC1574" s="715"/>
      <c r="AD1574" s="667"/>
      <c r="AE1574" s="667"/>
      <c r="AF1574" s="667"/>
      <c r="AG1574" s="667"/>
      <c r="AH1574" s="667"/>
      <c r="AI1574" s="668"/>
      <c r="AN1574" s="547"/>
      <c r="AO1574" s="829" t="str">
        <f t="shared" si="357"/>
        <v>Yes</v>
      </c>
      <c r="AP1574" s="259" t="str">
        <f t="shared" ref="AP1574" si="369">IFERROR(IF(N1574&lt;&gt;"",N1574,"blank"),"NA")</f>
        <v>blank</v>
      </c>
      <c r="AQ1574" s="547" t="str">
        <f t="shared" si="359"/>
        <v>有定金+无客戶送貨期</v>
      </c>
      <c r="AR1574" s="259" t="str">
        <f t="shared" si="360"/>
        <v>Incoming_Stock_No_YAMAHA_Schedule</v>
      </c>
      <c r="AS1574" s="259" t="str">
        <f t="shared" si="361"/>
        <v/>
      </c>
      <c r="AT1574" s="259" t="str">
        <f t="shared" si="362"/>
        <v>鸿楠</v>
      </c>
      <c r="AU1574" s="259" t="str">
        <f t="shared" si="363"/>
        <v>C28SZX20240011MZ</v>
      </c>
      <c r="AV1574" s="259" t="str">
        <f t="shared" si="364"/>
        <v>ex-work 24年2月</v>
      </c>
    </row>
    <row r="1575" spans="1:48">
      <c r="A1575" s="564">
        <v>2064</v>
      </c>
      <c r="B1575" s="802" t="s">
        <v>4349</v>
      </c>
      <c r="C1575" s="802" t="s">
        <v>281</v>
      </c>
      <c r="D1575" s="803" t="s">
        <v>4576</v>
      </c>
      <c r="E1575" s="810" t="s">
        <v>236</v>
      </c>
      <c r="F1575" s="715" t="s">
        <v>58</v>
      </c>
      <c r="G1575" s="715" t="s">
        <v>24</v>
      </c>
      <c r="H1575" s="715" t="s">
        <v>26</v>
      </c>
      <c r="I1575" s="667"/>
      <c r="J1575" s="667">
        <v>1</v>
      </c>
      <c r="K1575" s="715"/>
      <c r="L1575" s="805" t="s">
        <v>4571</v>
      </c>
      <c r="M1575" s="722">
        <v>4.8899999999999999E-2</v>
      </c>
      <c r="N1575" s="652" t="s">
        <v>4349</v>
      </c>
      <c r="O1575" s="580"/>
      <c r="P1575" s="722" t="str">
        <f>VLOOKUP(A1575,'[1]Raw data'!$B:$BA,23,FALSE)</f>
        <v>RMB</v>
      </c>
      <c r="Q1575" s="715" t="str">
        <f>VLOOKUP(A1575,'[1]Raw data'!$B:$Z,2,FALSE)</f>
        <v>C49SZX20240007MZ</v>
      </c>
      <c r="R1575" s="715" t="str">
        <f>VLOOKUP(A1575,'[1]Raw data'!$B:$Z,3,FALSE)</f>
        <v>飞霖</v>
      </c>
      <c r="S1575" s="715" t="str">
        <f>VLOOKUP(A1575,'[1]Raw data'!$B:$Z,4,FALSE)</f>
        <v>YSM20R-2</v>
      </c>
      <c r="T1575" s="715" t="str">
        <f>VLOOKUP(A1575,'[1]Raw data'!$B:$Z,8,FALSE)</f>
        <v>L-&gt;R</v>
      </c>
      <c r="U1575" s="715" t="str">
        <f>VLOOKUP(A1575,'[1]Raw data'!$B:$Z,9,FALSE)</f>
        <v>No</v>
      </c>
      <c r="V1575" s="714" t="str">
        <f t="shared" ref="V1575:V1581" si="370">IF(G1575&amp;H1575=T1575&amp;U1575,"OK","WRONG")</f>
        <v>OK</v>
      </c>
      <c r="W1575" s="806" t="str">
        <f>VLOOKUP(A1575,'[1]Raw data'!$B:$AG,32,FALSE)</f>
        <v>DDP DG</v>
      </c>
      <c r="X1575" s="805">
        <f>VLOOKUP(A1575,'[1]Raw data'!$B:$BA,31,FALSE)</f>
        <v>45308</v>
      </c>
      <c r="Y1575" s="715" t="str">
        <f>VLOOKUP(A1575,'[1]Raw data'!$B:$AS,39,FALSE)</f>
        <v>No</v>
      </c>
      <c r="Z1575" s="664"/>
      <c r="AA1575" s="665"/>
      <c r="AB1575" s="666"/>
      <c r="AC1575" s="715"/>
      <c r="AD1575" s="667">
        <v>301</v>
      </c>
      <c r="AE1575" s="667">
        <v>10</v>
      </c>
      <c r="AF1575" s="667">
        <v>311</v>
      </c>
      <c r="AG1575" s="667">
        <v>10</v>
      </c>
      <c r="AH1575" s="667"/>
      <c r="AI1575" s="668"/>
      <c r="AN1575" s="547"/>
      <c r="AO1575" s="829" t="str">
        <f t="shared" si="357"/>
        <v>No</v>
      </c>
      <c r="AP1575" s="259" t="str">
        <f t="shared" ref="AP1575:AP1581" si="371">IFERROR(IF(N1575&lt;&gt;"",N1575,"blank"),"NA")</f>
        <v>TBA.</v>
      </c>
      <c r="AQ1575" s="547" t="str">
        <f t="shared" si="359"/>
        <v>无定金+有預留客戶</v>
      </c>
      <c r="AR1575" s="259" t="str">
        <f t="shared" si="360"/>
        <v>Incoming_Stock_No_YAMAHA_Schedule</v>
      </c>
      <c r="AS1575" s="259" t="str">
        <f t="shared" si="361"/>
        <v/>
      </c>
      <c r="AT1575" s="259" t="str">
        <f t="shared" si="362"/>
        <v>飞霖</v>
      </c>
      <c r="AU1575" s="259" t="str">
        <f t="shared" si="363"/>
        <v>C49SZX20240007MZ</v>
      </c>
      <c r="AV1575" s="259" t="str">
        <f t="shared" si="364"/>
        <v>ex-work 24年3月</v>
      </c>
    </row>
    <row r="1576" spans="1:48">
      <c r="B1576" s="802" t="s">
        <v>4349</v>
      </c>
      <c r="C1576" s="802" t="s">
        <v>281</v>
      </c>
      <c r="D1576" s="803" t="s">
        <v>4576</v>
      </c>
      <c r="E1576" s="810" t="s">
        <v>236</v>
      </c>
      <c r="F1576" s="715" t="s">
        <v>58</v>
      </c>
      <c r="G1576" s="715" t="s">
        <v>24</v>
      </c>
      <c r="H1576" s="715" t="s">
        <v>26</v>
      </c>
      <c r="I1576" s="667"/>
      <c r="J1576" s="667">
        <v>1</v>
      </c>
      <c r="K1576" s="715"/>
      <c r="L1576" s="805" t="s">
        <v>4571</v>
      </c>
      <c r="M1576" s="722">
        <v>4.8899999999999999E-2</v>
      </c>
      <c r="N1576" s="652"/>
      <c r="O1576" s="580"/>
      <c r="P1576" s="722" t="e">
        <f>VLOOKUP(A1576,'[1]Raw data'!$B:$BA,23,FALSE)</f>
        <v>#N/A</v>
      </c>
      <c r="Q1576" s="715" t="e">
        <f>VLOOKUP(A1576,'[1]Raw data'!$B:$Z,2,FALSE)</f>
        <v>#N/A</v>
      </c>
      <c r="R1576" s="715" t="e">
        <f>VLOOKUP(A1576,'[1]Raw data'!$B:$Z,3,FALSE)</f>
        <v>#N/A</v>
      </c>
      <c r="S1576" s="715" t="e">
        <f>VLOOKUP(A1576,'[1]Raw data'!$B:$Z,4,FALSE)</f>
        <v>#N/A</v>
      </c>
      <c r="T1576" s="715" t="e">
        <f>VLOOKUP(A1576,'[1]Raw data'!$B:$Z,8,FALSE)</f>
        <v>#N/A</v>
      </c>
      <c r="U1576" s="715" t="e">
        <f>VLOOKUP(A1576,'[1]Raw data'!$B:$Z,9,FALSE)</f>
        <v>#N/A</v>
      </c>
      <c r="V1576" s="714" t="e">
        <f t="shared" si="370"/>
        <v>#N/A</v>
      </c>
      <c r="W1576" s="806" t="e">
        <f>VLOOKUP(A1576,'[1]Raw data'!$B:$AG,32,FALSE)</f>
        <v>#N/A</v>
      </c>
      <c r="X1576" s="805" t="e">
        <f>VLOOKUP(A1576,'[1]Raw data'!$B:$BA,31,FALSE)</f>
        <v>#N/A</v>
      </c>
      <c r="Y1576" s="715" t="e">
        <f>VLOOKUP(A1576,'[1]Raw data'!$B:$AS,39,FALSE)</f>
        <v>#N/A</v>
      </c>
      <c r="Z1576" s="664"/>
      <c r="AA1576" s="665"/>
      <c r="AB1576" s="666"/>
      <c r="AC1576" s="715"/>
      <c r="AD1576" s="667">
        <v>301</v>
      </c>
      <c r="AE1576" s="667">
        <v>10</v>
      </c>
      <c r="AF1576" s="667">
        <v>311</v>
      </c>
      <c r="AG1576" s="667">
        <v>10</v>
      </c>
      <c r="AH1576" s="667"/>
      <c r="AI1576" s="668"/>
      <c r="AN1576" s="547"/>
      <c r="AO1576" s="829" t="str">
        <f t="shared" si="357"/>
        <v>No</v>
      </c>
      <c r="AP1576" s="259" t="str">
        <f t="shared" si="371"/>
        <v>blank</v>
      </c>
      <c r="AQ1576" s="547" t="str">
        <f t="shared" si="359"/>
        <v>无定金+无預留客戶</v>
      </c>
      <c r="AR1576" s="259" t="str">
        <f t="shared" si="360"/>
        <v>Incoming_Stock_No_YAMAHA_Schedule</v>
      </c>
      <c r="AS1576" s="259" t="str">
        <f t="shared" si="361"/>
        <v/>
      </c>
      <c r="AT1576" s="259" t="str">
        <f t="shared" si="362"/>
        <v>-</v>
      </c>
      <c r="AU1576" s="259" t="str">
        <f t="shared" si="363"/>
        <v>-</v>
      </c>
      <c r="AV1576" s="259" t="str">
        <f t="shared" si="364"/>
        <v>ex-work 24年3月</v>
      </c>
    </row>
    <row r="1577" spans="1:48">
      <c r="B1577" s="802" t="s">
        <v>4349</v>
      </c>
      <c r="C1577" s="802" t="s">
        <v>281</v>
      </c>
      <c r="D1577" s="803" t="s">
        <v>4576</v>
      </c>
      <c r="E1577" s="810" t="s">
        <v>236</v>
      </c>
      <c r="F1577" s="715" t="s">
        <v>58</v>
      </c>
      <c r="G1577" s="715" t="s">
        <v>18</v>
      </c>
      <c r="H1577" s="715" t="s">
        <v>26</v>
      </c>
      <c r="I1577" s="667"/>
      <c r="J1577" s="667">
        <v>1</v>
      </c>
      <c r="K1577" s="715"/>
      <c r="L1577" s="805" t="s">
        <v>4571</v>
      </c>
      <c r="M1577" s="722">
        <v>4.8899999999999999E-2</v>
      </c>
      <c r="N1577" s="652"/>
      <c r="O1577" s="580"/>
      <c r="P1577" s="722" t="e">
        <f>VLOOKUP(A1577,'[1]Raw data'!$B:$BA,23,FALSE)</f>
        <v>#N/A</v>
      </c>
      <c r="Q1577" s="715" t="e">
        <f>VLOOKUP(A1577,'[1]Raw data'!$B:$Z,2,FALSE)</f>
        <v>#N/A</v>
      </c>
      <c r="R1577" s="715" t="e">
        <f>VLOOKUP(A1577,'[1]Raw data'!$B:$Z,3,FALSE)</f>
        <v>#N/A</v>
      </c>
      <c r="S1577" s="715" t="e">
        <f>VLOOKUP(A1577,'[1]Raw data'!$B:$Z,4,FALSE)</f>
        <v>#N/A</v>
      </c>
      <c r="T1577" s="715" t="e">
        <f>VLOOKUP(A1577,'[1]Raw data'!$B:$Z,8,FALSE)</f>
        <v>#N/A</v>
      </c>
      <c r="U1577" s="715" t="e">
        <f>VLOOKUP(A1577,'[1]Raw data'!$B:$Z,9,FALSE)</f>
        <v>#N/A</v>
      </c>
      <c r="V1577" s="714" t="e">
        <f>IF(G1577&amp;H1577=T1577&amp;U1577,"OK","WRONG")</f>
        <v>#N/A</v>
      </c>
      <c r="W1577" s="806" t="e">
        <f>VLOOKUP(A1577,'[1]Raw data'!$B:$AG,32,FALSE)</f>
        <v>#N/A</v>
      </c>
      <c r="X1577" s="805" t="e">
        <f>VLOOKUP(A1577,'[1]Raw data'!$B:$BA,31,FALSE)</f>
        <v>#N/A</v>
      </c>
      <c r="Y1577" s="715" t="e">
        <f>VLOOKUP(A1577,'[1]Raw data'!$B:$AS,39,FALSE)</f>
        <v>#N/A</v>
      </c>
      <c r="Z1577" s="664"/>
      <c r="AA1577" s="665"/>
      <c r="AB1577" s="666"/>
      <c r="AC1577" s="715"/>
      <c r="AD1577" s="667">
        <v>301</v>
      </c>
      <c r="AE1577" s="667">
        <v>10</v>
      </c>
      <c r="AF1577" s="667">
        <v>302</v>
      </c>
      <c r="AG1577" s="667">
        <v>10</v>
      </c>
      <c r="AH1577" s="667"/>
      <c r="AI1577" s="668"/>
      <c r="AN1577" s="547"/>
      <c r="AO1577" s="829" t="str">
        <f t="shared" si="357"/>
        <v>No</v>
      </c>
      <c r="AP1577" s="259" t="str">
        <f>IFERROR(IF(N1577&lt;&gt;"",N1577,"blank"),"NA")</f>
        <v>blank</v>
      </c>
      <c r="AQ1577" s="547" t="str">
        <f t="shared" si="359"/>
        <v>无定金+无預留客戶</v>
      </c>
      <c r="AR1577" s="259" t="str">
        <f t="shared" si="360"/>
        <v>Incoming_Stock_No_YAMAHA_Schedule</v>
      </c>
      <c r="AS1577" s="259" t="str">
        <f t="shared" si="361"/>
        <v/>
      </c>
      <c r="AT1577" s="259" t="str">
        <f t="shared" si="362"/>
        <v>-</v>
      </c>
      <c r="AU1577" s="259" t="str">
        <f t="shared" si="363"/>
        <v>-</v>
      </c>
      <c r="AV1577" s="259" t="str">
        <f t="shared" si="364"/>
        <v>ex-work 24年3月</v>
      </c>
    </row>
    <row r="1578" spans="1:48">
      <c r="B1578" s="802" t="s">
        <v>4349</v>
      </c>
      <c r="C1578" s="802" t="s">
        <v>281</v>
      </c>
      <c r="D1578" s="803">
        <v>111547</v>
      </c>
      <c r="E1578" s="810" t="s">
        <v>236</v>
      </c>
      <c r="F1578" s="715" t="s">
        <v>58</v>
      </c>
      <c r="G1578" s="715" t="s">
        <v>24</v>
      </c>
      <c r="H1578" s="715" t="s">
        <v>26</v>
      </c>
      <c r="I1578" s="667"/>
      <c r="J1578" s="667">
        <v>1</v>
      </c>
      <c r="K1578" s="715"/>
      <c r="L1578" s="805" t="s">
        <v>4571</v>
      </c>
      <c r="M1578" s="722"/>
      <c r="N1578" s="652"/>
      <c r="O1578" s="580"/>
      <c r="P1578" s="722" t="e">
        <f>VLOOKUP(A1578,'[1]Raw data'!$B:$BA,23,FALSE)</f>
        <v>#N/A</v>
      </c>
      <c r="Q1578" s="715" t="e">
        <f>VLOOKUP(A1578,'[1]Raw data'!$B:$Z,2,FALSE)</f>
        <v>#N/A</v>
      </c>
      <c r="R1578" s="715" t="e">
        <f>VLOOKUP(A1578,'[1]Raw data'!$B:$Z,3,FALSE)</f>
        <v>#N/A</v>
      </c>
      <c r="S1578" s="715" t="e">
        <f>VLOOKUP(A1578,'[1]Raw data'!$B:$Z,4,FALSE)</f>
        <v>#N/A</v>
      </c>
      <c r="T1578" s="715" t="e">
        <f>VLOOKUP(A1578,'[1]Raw data'!$B:$Z,8,FALSE)</f>
        <v>#N/A</v>
      </c>
      <c r="U1578" s="715" t="e">
        <f>VLOOKUP(A1578,'[1]Raw data'!$B:$Z,9,FALSE)</f>
        <v>#N/A</v>
      </c>
      <c r="V1578" s="714" t="e">
        <f t="shared" si="370"/>
        <v>#N/A</v>
      </c>
      <c r="W1578" s="806" t="e">
        <f>VLOOKUP(A1578,'[1]Raw data'!$B:$AG,32,FALSE)</f>
        <v>#N/A</v>
      </c>
      <c r="X1578" s="805" t="e">
        <f>VLOOKUP(A1578,'[1]Raw data'!$B:$BA,31,FALSE)</f>
        <v>#N/A</v>
      </c>
      <c r="Y1578" s="715" t="e">
        <f>VLOOKUP(A1578,'[1]Raw data'!$B:$AS,39,FALSE)</f>
        <v>#N/A</v>
      </c>
      <c r="Z1578" s="664"/>
      <c r="AA1578" s="665"/>
      <c r="AB1578" s="666"/>
      <c r="AC1578" s="715"/>
      <c r="AD1578" s="667">
        <v>301</v>
      </c>
      <c r="AE1578" s="667">
        <v>10</v>
      </c>
      <c r="AF1578" s="667">
        <v>303</v>
      </c>
      <c r="AG1578" s="667">
        <v>10</v>
      </c>
      <c r="AH1578" s="667"/>
      <c r="AI1578" s="668"/>
      <c r="AN1578" s="547"/>
      <c r="AO1578" s="829" t="str">
        <f t="shared" si="357"/>
        <v>No</v>
      </c>
      <c r="AP1578" s="259" t="str">
        <f t="shared" si="371"/>
        <v>blank</v>
      </c>
      <c r="AQ1578" s="547" t="str">
        <f t="shared" si="359"/>
        <v>无定金+无預留客戶</v>
      </c>
      <c r="AR1578" s="259" t="str">
        <f t="shared" si="360"/>
        <v>Incoming_Stock_No_YAMAHA_Schedule</v>
      </c>
      <c r="AS1578" s="259" t="str">
        <f t="shared" si="361"/>
        <v/>
      </c>
      <c r="AT1578" s="259" t="str">
        <f t="shared" si="362"/>
        <v>-</v>
      </c>
      <c r="AU1578" s="259" t="str">
        <f t="shared" si="363"/>
        <v>-</v>
      </c>
      <c r="AV1578" s="259" t="str">
        <f t="shared" si="364"/>
        <v>ex-work 24年3月</v>
      </c>
    </row>
    <row r="1579" spans="1:48">
      <c r="B1579" s="802" t="s">
        <v>4349</v>
      </c>
      <c r="C1579" s="802" t="s">
        <v>281</v>
      </c>
      <c r="D1579" s="803">
        <v>111547</v>
      </c>
      <c r="E1579" s="810" t="s">
        <v>236</v>
      </c>
      <c r="F1579" s="715" t="s">
        <v>58</v>
      </c>
      <c r="G1579" s="715" t="s">
        <v>24</v>
      </c>
      <c r="H1579" s="715" t="s">
        <v>26</v>
      </c>
      <c r="I1579" s="667"/>
      <c r="J1579" s="667">
        <v>1</v>
      </c>
      <c r="K1579" s="715"/>
      <c r="L1579" s="805" t="s">
        <v>4571</v>
      </c>
      <c r="M1579" s="722"/>
      <c r="N1579" s="652"/>
      <c r="O1579" s="580"/>
      <c r="P1579" s="722" t="e">
        <f>VLOOKUP(A1579,'[1]Raw data'!$B:$BA,23,FALSE)</f>
        <v>#N/A</v>
      </c>
      <c r="Q1579" s="715" t="e">
        <f>VLOOKUP(A1579,'[1]Raw data'!$B:$Z,2,FALSE)</f>
        <v>#N/A</v>
      </c>
      <c r="R1579" s="715" t="e">
        <f>VLOOKUP(A1579,'[1]Raw data'!$B:$Z,3,FALSE)</f>
        <v>#N/A</v>
      </c>
      <c r="S1579" s="715" t="e">
        <f>VLOOKUP(A1579,'[1]Raw data'!$B:$Z,4,FALSE)</f>
        <v>#N/A</v>
      </c>
      <c r="T1579" s="715" t="e">
        <f>VLOOKUP(A1579,'[1]Raw data'!$B:$Z,8,FALSE)</f>
        <v>#N/A</v>
      </c>
      <c r="U1579" s="715" t="e">
        <f>VLOOKUP(A1579,'[1]Raw data'!$B:$Z,9,FALSE)</f>
        <v>#N/A</v>
      </c>
      <c r="V1579" s="714" t="e">
        <f t="shared" si="370"/>
        <v>#N/A</v>
      </c>
      <c r="W1579" s="806" t="e">
        <f>VLOOKUP(A1579,'[1]Raw data'!$B:$AG,32,FALSE)</f>
        <v>#N/A</v>
      </c>
      <c r="X1579" s="805" t="e">
        <f>VLOOKUP(A1579,'[1]Raw data'!$B:$BA,31,FALSE)</f>
        <v>#N/A</v>
      </c>
      <c r="Y1579" s="715" t="e">
        <f>VLOOKUP(A1579,'[1]Raw data'!$B:$AS,39,FALSE)</f>
        <v>#N/A</v>
      </c>
      <c r="Z1579" s="664"/>
      <c r="AA1579" s="665"/>
      <c r="AB1579" s="666"/>
      <c r="AC1579" s="715"/>
      <c r="AD1579" s="667">
        <v>301</v>
      </c>
      <c r="AE1579" s="667">
        <v>10</v>
      </c>
      <c r="AF1579" s="667">
        <v>303</v>
      </c>
      <c r="AG1579" s="667">
        <v>10</v>
      </c>
      <c r="AH1579" s="667"/>
      <c r="AI1579" s="668"/>
      <c r="AN1579" s="547"/>
      <c r="AO1579" s="829" t="str">
        <f t="shared" si="357"/>
        <v>No</v>
      </c>
      <c r="AP1579" s="259" t="str">
        <f t="shared" si="371"/>
        <v>blank</v>
      </c>
      <c r="AQ1579" s="547" t="str">
        <f t="shared" si="359"/>
        <v>无定金+无預留客戶</v>
      </c>
      <c r="AR1579" s="259" t="str">
        <f t="shared" si="360"/>
        <v>Incoming_Stock_No_YAMAHA_Schedule</v>
      </c>
      <c r="AS1579" s="259" t="str">
        <f t="shared" si="361"/>
        <v/>
      </c>
      <c r="AT1579" s="259" t="str">
        <f t="shared" si="362"/>
        <v>-</v>
      </c>
      <c r="AU1579" s="259" t="str">
        <f t="shared" si="363"/>
        <v>-</v>
      </c>
      <c r="AV1579" s="259" t="str">
        <f t="shared" si="364"/>
        <v>ex-work 24年3月</v>
      </c>
    </row>
    <row r="1580" spans="1:48">
      <c r="B1580" s="802" t="s">
        <v>4349</v>
      </c>
      <c r="C1580" s="802" t="s">
        <v>281</v>
      </c>
      <c r="D1580" s="803">
        <v>111547</v>
      </c>
      <c r="E1580" s="810" t="s">
        <v>236</v>
      </c>
      <c r="F1580" s="715" t="s">
        <v>58</v>
      </c>
      <c r="G1580" s="715" t="s">
        <v>24</v>
      </c>
      <c r="H1580" s="715" t="s">
        <v>26</v>
      </c>
      <c r="I1580" s="667"/>
      <c r="J1580" s="667">
        <v>1</v>
      </c>
      <c r="K1580" s="715"/>
      <c r="L1580" s="805" t="s">
        <v>4571</v>
      </c>
      <c r="M1580" s="722"/>
      <c r="N1580" s="652"/>
      <c r="O1580" s="580"/>
      <c r="P1580" s="722" t="e">
        <f>VLOOKUP(A1580,'[1]Raw data'!$B:$BA,23,FALSE)</f>
        <v>#N/A</v>
      </c>
      <c r="Q1580" s="715" t="e">
        <f>VLOOKUP(A1580,'[1]Raw data'!$B:$Z,2,FALSE)</f>
        <v>#N/A</v>
      </c>
      <c r="R1580" s="715" t="e">
        <f>VLOOKUP(A1580,'[1]Raw data'!$B:$Z,3,FALSE)</f>
        <v>#N/A</v>
      </c>
      <c r="S1580" s="715" t="e">
        <f>VLOOKUP(A1580,'[1]Raw data'!$B:$Z,4,FALSE)</f>
        <v>#N/A</v>
      </c>
      <c r="T1580" s="715" t="e">
        <f>VLOOKUP(A1580,'[1]Raw data'!$B:$Z,8,FALSE)</f>
        <v>#N/A</v>
      </c>
      <c r="U1580" s="715" t="e">
        <f>VLOOKUP(A1580,'[1]Raw data'!$B:$Z,9,FALSE)</f>
        <v>#N/A</v>
      </c>
      <c r="V1580" s="714" t="e">
        <f t="shared" si="370"/>
        <v>#N/A</v>
      </c>
      <c r="W1580" s="806" t="e">
        <f>VLOOKUP(A1580,'[1]Raw data'!$B:$AG,32,FALSE)</f>
        <v>#N/A</v>
      </c>
      <c r="X1580" s="805" t="e">
        <f>VLOOKUP(A1580,'[1]Raw data'!$B:$BA,31,FALSE)</f>
        <v>#N/A</v>
      </c>
      <c r="Y1580" s="715" t="e">
        <f>VLOOKUP(A1580,'[1]Raw data'!$B:$AS,39,FALSE)</f>
        <v>#N/A</v>
      </c>
      <c r="Z1580" s="664"/>
      <c r="AA1580" s="665"/>
      <c r="AB1580" s="666"/>
      <c r="AC1580" s="715"/>
      <c r="AD1580" s="667">
        <v>301</v>
      </c>
      <c r="AE1580" s="667">
        <v>10</v>
      </c>
      <c r="AF1580" s="667">
        <v>303</v>
      </c>
      <c r="AG1580" s="667">
        <v>10</v>
      </c>
      <c r="AH1580" s="667"/>
      <c r="AI1580" s="668"/>
      <c r="AN1580" s="547"/>
      <c r="AO1580" s="829" t="str">
        <f t="shared" si="357"/>
        <v>No</v>
      </c>
      <c r="AP1580" s="259" t="str">
        <f t="shared" si="371"/>
        <v>blank</v>
      </c>
      <c r="AQ1580" s="547" t="str">
        <f t="shared" si="359"/>
        <v>无定金+无預留客戶</v>
      </c>
      <c r="AR1580" s="259" t="str">
        <f t="shared" si="360"/>
        <v>Incoming_Stock_No_YAMAHA_Schedule</v>
      </c>
      <c r="AS1580" s="259" t="str">
        <f t="shared" si="361"/>
        <v/>
      </c>
      <c r="AT1580" s="259" t="str">
        <f t="shared" si="362"/>
        <v>-</v>
      </c>
      <c r="AU1580" s="259" t="str">
        <f t="shared" si="363"/>
        <v>-</v>
      </c>
      <c r="AV1580" s="259" t="str">
        <f t="shared" si="364"/>
        <v>ex-work 24年3月</v>
      </c>
    </row>
    <row r="1581" spans="1:48">
      <c r="B1581" s="802" t="s">
        <v>4349</v>
      </c>
      <c r="C1581" s="802" t="s">
        <v>281</v>
      </c>
      <c r="D1581" s="803">
        <v>111547</v>
      </c>
      <c r="E1581" s="810" t="s">
        <v>236</v>
      </c>
      <c r="F1581" s="715" t="s">
        <v>58</v>
      </c>
      <c r="G1581" s="715" t="s">
        <v>24</v>
      </c>
      <c r="H1581" s="715" t="s">
        <v>26</v>
      </c>
      <c r="I1581" s="667"/>
      <c r="J1581" s="667">
        <v>1</v>
      </c>
      <c r="K1581" s="715"/>
      <c r="L1581" s="805" t="s">
        <v>4571</v>
      </c>
      <c r="M1581" s="722"/>
      <c r="N1581" s="652"/>
      <c r="O1581" s="580"/>
      <c r="P1581" s="722" t="e">
        <f>VLOOKUP(A1581,'[1]Raw data'!$B:$BA,23,FALSE)</f>
        <v>#N/A</v>
      </c>
      <c r="Q1581" s="715" t="e">
        <f>VLOOKUP(A1581,'[1]Raw data'!$B:$Z,2,FALSE)</f>
        <v>#N/A</v>
      </c>
      <c r="R1581" s="715" t="e">
        <f>VLOOKUP(A1581,'[1]Raw data'!$B:$Z,3,FALSE)</f>
        <v>#N/A</v>
      </c>
      <c r="S1581" s="715" t="e">
        <f>VLOOKUP(A1581,'[1]Raw data'!$B:$Z,4,FALSE)</f>
        <v>#N/A</v>
      </c>
      <c r="T1581" s="715" t="e">
        <f>VLOOKUP(A1581,'[1]Raw data'!$B:$Z,8,FALSE)</f>
        <v>#N/A</v>
      </c>
      <c r="U1581" s="715" t="e">
        <f>VLOOKUP(A1581,'[1]Raw data'!$B:$Z,9,FALSE)</f>
        <v>#N/A</v>
      </c>
      <c r="V1581" s="714" t="e">
        <f t="shared" si="370"/>
        <v>#N/A</v>
      </c>
      <c r="W1581" s="806" t="e">
        <f>VLOOKUP(A1581,'[1]Raw data'!$B:$AG,32,FALSE)</f>
        <v>#N/A</v>
      </c>
      <c r="X1581" s="805" t="e">
        <f>VLOOKUP(A1581,'[1]Raw data'!$B:$BA,31,FALSE)</f>
        <v>#N/A</v>
      </c>
      <c r="Y1581" s="715" t="e">
        <f>VLOOKUP(A1581,'[1]Raw data'!$B:$AS,39,FALSE)</f>
        <v>#N/A</v>
      </c>
      <c r="Z1581" s="664"/>
      <c r="AA1581" s="665"/>
      <c r="AB1581" s="666"/>
      <c r="AC1581" s="715"/>
      <c r="AD1581" s="667">
        <v>301</v>
      </c>
      <c r="AE1581" s="667">
        <v>10</v>
      </c>
      <c r="AF1581" s="667">
        <v>311</v>
      </c>
      <c r="AG1581" s="667">
        <v>10</v>
      </c>
      <c r="AH1581" s="667"/>
      <c r="AI1581" s="668"/>
      <c r="AN1581" s="547"/>
      <c r="AO1581" s="829" t="str">
        <f t="shared" si="357"/>
        <v>No</v>
      </c>
      <c r="AP1581" s="259" t="str">
        <f t="shared" si="371"/>
        <v>blank</v>
      </c>
      <c r="AQ1581" s="547" t="str">
        <f t="shared" si="359"/>
        <v>无定金+无預留客戶</v>
      </c>
      <c r="AR1581" s="259" t="str">
        <f t="shared" si="360"/>
        <v>Incoming_Stock_No_YAMAHA_Schedule</v>
      </c>
      <c r="AS1581" s="259" t="str">
        <f t="shared" si="361"/>
        <v/>
      </c>
      <c r="AT1581" s="259" t="str">
        <f t="shared" si="362"/>
        <v>-</v>
      </c>
      <c r="AU1581" s="259" t="str">
        <f t="shared" si="363"/>
        <v>-</v>
      </c>
      <c r="AV1581" s="259" t="str">
        <f t="shared" si="364"/>
        <v>ex-work 24年3月</v>
      </c>
    </row>
    <row r="1582" spans="1:48">
      <c r="B1582" s="802" t="s">
        <v>4349</v>
      </c>
      <c r="C1582" s="802" t="s">
        <v>281</v>
      </c>
      <c r="D1582" s="803">
        <v>111547</v>
      </c>
      <c r="E1582" s="810" t="s">
        <v>236</v>
      </c>
      <c r="F1582" s="715" t="s">
        <v>58</v>
      </c>
      <c r="G1582" s="715" t="s">
        <v>24</v>
      </c>
      <c r="H1582" s="715" t="s">
        <v>26</v>
      </c>
      <c r="I1582" s="667"/>
      <c r="J1582" s="667">
        <v>1</v>
      </c>
      <c r="K1582" s="715"/>
      <c r="L1582" s="805" t="s">
        <v>4571</v>
      </c>
      <c r="M1582" s="722"/>
      <c r="N1582" s="652"/>
      <c r="O1582" s="580"/>
      <c r="P1582" s="722" t="e">
        <f>VLOOKUP(A1582,'[1]Raw data'!$B:$BA,23,FALSE)</f>
        <v>#N/A</v>
      </c>
      <c r="Q1582" s="715" t="e">
        <f>VLOOKUP(A1582,'[1]Raw data'!$B:$Z,2,FALSE)</f>
        <v>#N/A</v>
      </c>
      <c r="R1582" s="715" t="e">
        <f>VLOOKUP(A1582,'[1]Raw data'!$B:$Z,3,FALSE)</f>
        <v>#N/A</v>
      </c>
      <c r="S1582" s="715" t="e">
        <f>VLOOKUP(A1582,'[1]Raw data'!$B:$Z,4,FALSE)</f>
        <v>#N/A</v>
      </c>
      <c r="T1582" s="715" t="e">
        <f>VLOOKUP(A1582,'[1]Raw data'!$B:$Z,8,FALSE)</f>
        <v>#N/A</v>
      </c>
      <c r="U1582" s="715" t="e">
        <f>VLOOKUP(A1582,'[1]Raw data'!$B:$Z,9,FALSE)</f>
        <v>#N/A</v>
      </c>
      <c r="V1582" s="714" t="e">
        <f t="shared" si="367"/>
        <v>#N/A</v>
      </c>
      <c r="W1582" s="806" t="e">
        <f>VLOOKUP(A1582,'[1]Raw data'!$B:$AG,32,FALSE)</f>
        <v>#N/A</v>
      </c>
      <c r="X1582" s="805" t="e">
        <f>VLOOKUP(A1582,'[1]Raw data'!$B:$BA,31,FALSE)</f>
        <v>#N/A</v>
      </c>
      <c r="Y1582" s="715" t="e">
        <f>VLOOKUP(A1582,'[1]Raw data'!$B:$AS,39,FALSE)</f>
        <v>#N/A</v>
      </c>
      <c r="Z1582" s="664"/>
      <c r="AA1582" s="665"/>
      <c r="AB1582" s="666"/>
      <c r="AC1582" s="715"/>
      <c r="AD1582" s="667">
        <v>301</v>
      </c>
      <c r="AE1582" s="667">
        <v>10</v>
      </c>
      <c r="AF1582" s="667">
        <v>302</v>
      </c>
      <c r="AG1582" s="667">
        <v>10</v>
      </c>
      <c r="AH1582" s="667"/>
      <c r="AI1582" s="668"/>
      <c r="AN1582" s="547"/>
      <c r="AO1582" s="829" t="str">
        <f t="shared" si="357"/>
        <v>No</v>
      </c>
      <c r="AP1582" s="259" t="str">
        <f t="shared" si="358"/>
        <v>blank</v>
      </c>
      <c r="AQ1582" s="547" t="str">
        <f t="shared" si="359"/>
        <v>无定金+无預留客戶</v>
      </c>
      <c r="AR1582" s="259" t="str">
        <f t="shared" si="360"/>
        <v>Incoming_Stock_No_YAMAHA_Schedule</v>
      </c>
      <c r="AS1582" s="259" t="str">
        <f t="shared" si="361"/>
        <v/>
      </c>
      <c r="AT1582" s="259" t="str">
        <f t="shared" si="362"/>
        <v>-</v>
      </c>
      <c r="AU1582" s="259" t="str">
        <f t="shared" si="363"/>
        <v>-</v>
      </c>
      <c r="AV1582" s="259" t="str">
        <f t="shared" si="364"/>
        <v>ex-work 24年3月</v>
      </c>
    </row>
    <row r="1583" spans="1:48">
      <c r="B1583" s="802" t="s">
        <v>4349</v>
      </c>
      <c r="C1583" s="802" t="s">
        <v>281</v>
      </c>
      <c r="D1583" s="803">
        <v>111547</v>
      </c>
      <c r="E1583" s="810" t="s">
        <v>236</v>
      </c>
      <c r="F1583" s="715" t="s">
        <v>58</v>
      </c>
      <c r="G1583" s="715" t="s">
        <v>18</v>
      </c>
      <c r="H1583" s="715" t="s">
        <v>26</v>
      </c>
      <c r="I1583" s="667"/>
      <c r="J1583" s="667">
        <v>1</v>
      </c>
      <c r="K1583" s="715"/>
      <c r="L1583" s="805" t="s">
        <v>4571</v>
      </c>
      <c r="M1583" s="722"/>
      <c r="N1583" s="652"/>
      <c r="O1583" s="580"/>
      <c r="P1583" s="722" t="e">
        <f>VLOOKUP(A1583,'[1]Raw data'!$B:$BA,23,FALSE)</f>
        <v>#N/A</v>
      </c>
      <c r="Q1583" s="715" t="e">
        <f>VLOOKUP(A1583,'[1]Raw data'!$B:$Z,2,FALSE)</f>
        <v>#N/A</v>
      </c>
      <c r="R1583" s="715" t="e">
        <f>VLOOKUP(A1583,'[1]Raw data'!$B:$Z,3,FALSE)</f>
        <v>#N/A</v>
      </c>
      <c r="S1583" s="715" t="e">
        <f>VLOOKUP(A1583,'[1]Raw data'!$B:$Z,4,FALSE)</f>
        <v>#N/A</v>
      </c>
      <c r="T1583" s="715" t="e">
        <f>VLOOKUP(A1583,'[1]Raw data'!$B:$Z,8,FALSE)</f>
        <v>#N/A</v>
      </c>
      <c r="U1583" s="715" t="e">
        <f>VLOOKUP(A1583,'[1]Raw data'!$B:$Z,9,FALSE)</f>
        <v>#N/A</v>
      </c>
      <c r="V1583" s="714" t="e">
        <f t="shared" ref="V1583:V1597" si="372">IF(G1583&amp;H1583=T1583&amp;U1583,"OK","WRONG")</f>
        <v>#N/A</v>
      </c>
      <c r="W1583" s="806" t="e">
        <f>VLOOKUP(A1583,'[1]Raw data'!$B:$AG,32,FALSE)</f>
        <v>#N/A</v>
      </c>
      <c r="X1583" s="805" t="e">
        <f>VLOOKUP(A1583,'[1]Raw data'!$B:$BA,31,FALSE)</f>
        <v>#N/A</v>
      </c>
      <c r="Y1583" s="715" t="e">
        <f>VLOOKUP(A1583,'[1]Raw data'!$B:$AS,39,FALSE)</f>
        <v>#N/A</v>
      </c>
      <c r="Z1583" s="664"/>
      <c r="AA1583" s="665"/>
      <c r="AB1583" s="666"/>
      <c r="AC1583" s="715"/>
      <c r="AD1583" s="667">
        <v>301</v>
      </c>
      <c r="AE1583" s="667">
        <v>10</v>
      </c>
      <c r="AF1583" s="667">
        <v>302</v>
      </c>
      <c r="AG1583" s="667">
        <v>10</v>
      </c>
      <c r="AH1583" s="667"/>
      <c r="AI1583" s="668"/>
      <c r="AN1583" s="547"/>
      <c r="AO1583" s="829" t="str">
        <f t="shared" si="357"/>
        <v>No</v>
      </c>
      <c r="AP1583" s="259" t="str">
        <f t="shared" si="358"/>
        <v>blank</v>
      </c>
      <c r="AQ1583" s="547" t="str">
        <f t="shared" si="359"/>
        <v>无定金+无預留客戶</v>
      </c>
      <c r="AR1583" s="259" t="str">
        <f t="shared" si="360"/>
        <v>Incoming_Stock_No_YAMAHA_Schedule</v>
      </c>
      <c r="AS1583" s="259" t="str">
        <f t="shared" si="361"/>
        <v/>
      </c>
      <c r="AT1583" s="259" t="str">
        <f t="shared" si="362"/>
        <v>-</v>
      </c>
      <c r="AU1583" s="259" t="str">
        <f t="shared" si="363"/>
        <v>-</v>
      </c>
      <c r="AV1583" s="259" t="str">
        <f t="shared" si="364"/>
        <v>ex-work 24年3月</v>
      </c>
    </row>
    <row r="1584" spans="1:48">
      <c r="B1584" s="802" t="s">
        <v>4349</v>
      </c>
      <c r="C1584" s="802" t="s">
        <v>281</v>
      </c>
      <c r="D1584" s="803">
        <v>111547</v>
      </c>
      <c r="E1584" s="810" t="s">
        <v>236</v>
      </c>
      <c r="F1584" s="715" t="s">
        <v>58</v>
      </c>
      <c r="G1584" s="715" t="s">
        <v>18</v>
      </c>
      <c r="H1584" s="715" t="s">
        <v>26</v>
      </c>
      <c r="I1584" s="667"/>
      <c r="J1584" s="667">
        <v>1</v>
      </c>
      <c r="K1584" s="715"/>
      <c r="L1584" s="805" t="s">
        <v>4571</v>
      </c>
      <c r="M1584" s="722"/>
      <c r="N1584" s="652"/>
      <c r="O1584" s="580"/>
      <c r="P1584" s="722" t="e">
        <f>VLOOKUP(A1584,'[1]Raw data'!$B:$BA,23,FALSE)</f>
        <v>#N/A</v>
      </c>
      <c r="Q1584" s="715" t="e">
        <f>VLOOKUP(A1584,'[1]Raw data'!$B:$Z,2,FALSE)</f>
        <v>#N/A</v>
      </c>
      <c r="R1584" s="715" t="e">
        <f>VLOOKUP(A1584,'[1]Raw data'!$B:$Z,3,FALSE)</f>
        <v>#N/A</v>
      </c>
      <c r="S1584" s="715" t="e">
        <f>VLOOKUP(A1584,'[1]Raw data'!$B:$Z,4,FALSE)</f>
        <v>#N/A</v>
      </c>
      <c r="T1584" s="715" t="e">
        <f>VLOOKUP(A1584,'[1]Raw data'!$B:$Z,8,FALSE)</f>
        <v>#N/A</v>
      </c>
      <c r="U1584" s="715" t="e">
        <f>VLOOKUP(A1584,'[1]Raw data'!$B:$Z,9,FALSE)</f>
        <v>#N/A</v>
      </c>
      <c r="V1584" s="714" t="e">
        <f t="shared" si="372"/>
        <v>#N/A</v>
      </c>
      <c r="W1584" s="806" t="e">
        <f>VLOOKUP(A1584,'[1]Raw data'!$B:$AG,32,FALSE)</f>
        <v>#N/A</v>
      </c>
      <c r="X1584" s="805" t="e">
        <f>VLOOKUP(A1584,'[1]Raw data'!$B:$BA,31,FALSE)</f>
        <v>#N/A</v>
      </c>
      <c r="Y1584" s="715" t="e">
        <f>VLOOKUP(A1584,'[1]Raw data'!$B:$AS,39,FALSE)</f>
        <v>#N/A</v>
      </c>
      <c r="Z1584" s="664"/>
      <c r="AA1584" s="665"/>
      <c r="AB1584" s="666"/>
      <c r="AC1584" s="715"/>
      <c r="AD1584" s="667">
        <v>301</v>
      </c>
      <c r="AE1584" s="667">
        <v>10</v>
      </c>
      <c r="AF1584" s="667">
        <v>302</v>
      </c>
      <c r="AG1584" s="667">
        <v>10</v>
      </c>
      <c r="AH1584" s="667"/>
      <c r="AI1584" s="668"/>
      <c r="AN1584" s="547"/>
      <c r="AO1584" s="829" t="str">
        <f t="shared" si="357"/>
        <v>No</v>
      </c>
      <c r="AP1584" s="259" t="str">
        <f t="shared" si="358"/>
        <v>blank</v>
      </c>
      <c r="AQ1584" s="547" t="str">
        <f t="shared" si="359"/>
        <v>无定金+无預留客戶</v>
      </c>
      <c r="AR1584" s="259" t="str">
        <f t="shared" si="360"/>
        <v>Incoming_Stock_No_YAMAHA_Schedule</v>
      </c>
      <c r="AS1584" s="259" t="str">
        <f t="shared" si="361"/>
        <v/>
      </c>
      <c r="AT1584" s="259" t="str">
        <f t="shared" si="362"/>
        <v>-</v>
      </c>
      <c r="AU1584" s="259" t="str">
        <f t="shared" si="363"/>
        <v>-</v>
      </c>
      <c r="AV1584" s="259" t="str">
        <f t="shared" si="364"/>
        <v>ex-work 24年3月</v>
      </c>
    </row>
    <row r="1585" spans="2:48">
      <c r="B1585" s="802" t="s">
        <v>4349</v>
      </c>
      <c r="C1585" s="802" t="s">
        <v>281</v>
      </c>
      <c r="D1585" s="803" t="s">
        <v>4575</v>
      </c>
      <c r="E1585" s="810" t="s">
        <v>236</v>
      </c>
      <c r="F1585" s="715" t="s">
        <v>17</v>
      </c>
      <c r="G1585" s="715" t="s">
        <v>24</v>
      </c>
      <c r="H1585" s="715" t="s">
        <v>19</v>
      </c>
      <c r="I1585" s="667"/>
      <c r="J1585" s="667">
        <v>1</v>
      </c>
      <c r="K1585" s="715"/>
      <c r="L1585" s="805" t="s">
        <v>4571</v>
      </c>
      <c r="M1585" s="722">
        <v>4.8899999999999999E-2</v>
      </c>
      <c r="N1585" s="652"/>
      <c r="O1585" s="580"/>
      <c r="P1585" s="722" t="e">
        <f>VLOOKUP(A1585,'[1]Raw data'!$B:$BA,23,FALSE)</f>
        <v>#N/A</v>
      </c>
      <c r="Q1585" s="715" t="e">
        <f>VLOOKUP(A1585,'[1]Raw data'!$B:$Z,2,FALSE)</f>
        <v>#N/A</v>
      </c>
      <c r="R1585" s="715" t="e">
        <f>VLOOKUP(A1585,'[1]Raw data'!$B:$Z,3,FALSE)</f>
        <v>#N/A</v>
      </c>
      <c r="S1585" s="715" t="e">
        <f>VLOOKUP(A1585,'[1]Raw data'!$B:$Z,4,FALSE)</f>
        <v>#N/A</v>
      </c>
      <c r="T1585" s="715" t="e">
        <f>VLOOKUP(A1585,'[1]Raw data'!$B:$Z,8,FALSE)</f>
        <v>#N/A</v>
      </c>
      <c r="U1585" s="715" t="e">
        <f>VLOOKUP(A1585,'[1]Raw data'!$B:$Z,9,FALSE)</f>
        <v>#N/A</v>
      </c>
      <c r="V1585" s="714" t="e">
        <f t="shared" si="372"/>
        <v>#N/A</v>
      </c>
      <c r="W1585" s="806" t="e">
        <f>VLOOKUP(A1585,'[1]Raw data'!$B:$AG,32,FALSE)</f>
        <v>#N/A</v>
      </c>
      <c r="X1585" s="805" t="e">
        <f>VLOOKUP(A1585,'[1]Raw data'!$B:$BA,31,FALSE)</f>
        <v>#N/A</v>
      </c>
      <c r="Y1585" s="715" t="e">
        <f>VLOOKUP(A1585,'[1]Raw data'!$B:$AS,39,FALSE)</f>
        <v>#N/A</v>
      </c>
      <c r="Z1585" s="664"/>
      <c r="AA1585" s="665"/>
      <c r="AB1585" s="666"/>
      <c r="AC1585" s="715"/>
      <c r="AD1585" s="667">
        <v>301</v>
      </c>
      <c r="AE1585" s="667">
        <v>5</v>
      </c>
      <c r="AF1585" s="667">
        <v>303</v>
      </c>
      <c r="AG1585" s="667">
        <v>5</v>
      </c>
      <c r="AH1585" s="667"/>
      <c r="AI1585" s="668"/>
      <c r="AN1585" s="547"/>
      <c r="AO1585" s="829" t="str">
        <f t="shared" si="357"/>
        <v>No</v>
      </c>
      <c r="AP1585" s="259" t="str">
        <f t="shared" ref="AP1585:AP1594" si="373">IFERROR(IF(N1585&lt;&gt;"",N1585,"blank"),"NA")</f>
        <v>blank</v>
      </c>
      <c r="AQ1585" s="547" t="str">
        <f t="shared" si="359"/>
        <v>无定金+无預留客戶</v>
      </c>
      <c r="AR1585" s="259" t="str">
        <f t="shared" si="360"/>
        <v>Incoming_Stock_No_YAMAHA_Schedule</v>
      </c>
      <c r="AS1585" s="259" t="str">
        <f t="shared" si="361"/>
        <v/>
      </c>
      <c r="AT1585" s="259" t="str">
        <f t="shared" si="362"/>
        <v>-</v>
      </c>
      <c r="AU1585" s="259" t="str">
        <f t="shared" si="363"/>
        <v>-</v>
      </c>
      <c r="AV1585" s="259" t="str">
        <f t="shared" si="364"/>
        <v>ex-work 24年3月</v>
      </c>
    </row>
    <row r="1586" spans="2:48">
      <c r="B1586" s="802" t="s">
        <v>4349</v>
      </c>
      <c r="C1586" s="802" t="s">
        <v>281</v>
      </c>
      <c r="D1586" s="803" t="s">
        <v>4575</v>
      </c>
      <c r="E1586" s="810" t="s">
        <v>236</v>
      </c>
      <c r="F1586" s="715" t="s">
        <v>17</v>
      </c>
      <c r="G1586" s="715" t="s">
        <v>24</v>
      </c>
      <c r="H1586" s="715"/>
      <c r="I1586" s="667"/>
      <c r="J1586" s="667">
        <v>1</v>
      </c>
      <c r="K1586" s="715"/>
      <c r="L1586" s="805" t="s">
        <v>4571</v>
      </c>
      <c r="M1586" s="722">
        <v>4.8899999999999999E-2</v>
      </c>
      <c r="N1586" s="652"/>
      <c r="O1586" s="580"/>
      <c r="P1586" s="722" t="e">
        <f>VLOOKUP(A1586,'[1]Raw data'!$B:$BA,23,FALSE)</f>
        <v>#N/A</v>
      </c>
      <c r="Q1586" s="715" t="e">
        <f>VLOOKUP(A1586,'[1]Raw data'!$B:$Z,2,FALSE)</f>
        <v>#N/A</v>
      </c>
      <c r="R1586" s="715" t="e">
        <f>VLOOKUP(A1586,'[1]Raw data'!$B:$Z,3,FALSE)</f>
        <v>#N/A</v>
      </c>
      <c r="S1586" s="715" t="e">
        <f>VLOOKUP(A1586,'[1]Raw data'!$B:$Z,4,FALSE)</f>
        <v>#N/A</v>
      </c>
      <c r="T1586" s="715" t="e">
        <f>VLOOKUP(A1586,'[1]Raw data'!$B:$Z,8,FALSE)</f>
        <v>#N/A</v>
      </c>
      <c r="U1586" s="715" t="e">
        <f>VLOOKUP(A1586,'[1]Raw data'!$B:$Z,9,FALSE)</f>
        <v>#N/A</v>
      </c>
      <c r="V1586" s="714" t="e">
        <f>IF(G1586&amp;H1586=T1586&amp;U1586,"OK","WRONG")</f>
        <v>#N/A</v>
      </c>
      <c r="W1586" s="806" t="e">
        <f>VLOOKUP(A1586,'[1]Raw data'!$B:$AG,32,FALSE)</f>
        <v>#N/A</v>
      </c>
      <c r="X1586" s="805" t="e">
        <f>VLOOKUP(A1586,'[1]Raw data'!$B:$BA,31,FALSE)</f>
        <v>#N/A</v>
      </c>
      <c r="Y1586" s="715" t="e">
        <f>VLOOKUP(A1586,'[1]Raw data'!$B:$AS,39,FALSE)</f>
        <v>#N/A</v>
      </c>
      <c r="Z1586" s="664"/>
      <c r="AA1586" s="665"/>
      <c r="AB1586" s="666"/>
      <c r="AC1586" s="715"/>
      <c r="AD1586" s="667">
        <v>301</v>
      </c>
      <c r="AE1586" s="667">
        <v>5</v>
      </c>
      <c r="AF1586" s="667">
        <v>302</v>
      </c>
      <c r="AG1586" s="667">
        <v>5</v>
      </c>
      <c r="AH1586" s="667"/>
      <c r="AI1586" s="668"/>
      <c r="AN1586" s="547"/>
      <c r="AO1586" s="829" t="str">
        <f t="shared" si="357"/>
        <v>No</v>
      </c>
      <c r="AP1586" s="259" t="str">
        <f>IFERROR(IF(N1586&lt;&gt;"",N1586,"blank"),"NA")</f>
        <v>blank</v>
      </c>
      <c r="AQ1586" s="547" t="str">
        <f t="shared" si="359"/>
        <v>无定金+无預留客戶</v>
      </c>
      <c r="AR1586" s="259" t="str">
        <f t="shared" si="360"/>
        <v>Incoming_Stock_No_YAMAHA_Schedule</v>
      </c>
      <c r="AS1586" s="259" t="str">
        <f t="shared" si="361"/>
        <v/>
      </c>
      <c r="AT1586" s="259" t="str">
        <f t="shared" si="362"/>
        <v>-</v>
      </c>
      <c r="AU1586" s="259" t="str">
        <f t="shared" si="363"/>
        <v>-</v>
      </c>
      <c r="AV1586" s="259" t="str">
        <f t="shared" si="364"/>
        <v>ex-work 24年3月</v>
      </c>
    </row>
    <row r="1587" spans="2:48">
      <c r="B1587" s="802" t="s">
        <v>4349</v>
      </c>
      <c r="C1587" s="802" t="s">
        <v>281</v>
      </c>
      <c r="D1587" s="803" t="s">
        <v>4575</v>
      </c>
      <c r="E1587" s="810" t="s">
        <v>236</v>
      </c>
      <c r="F1587" s="715" t="s">
        <v>17</v>
      </c>
      <c r="G1587" s="715" t="s">
        <v>24</v>
      </c>
      <c r="H1587" s="715"/>
      <c r="I1587" s="667"/>
      <c r="J1587" s="667">
        <v>1</v>
      </c>
      <c r="K1587" s="715"/>
      <c r="L1587" s="805" t="s">
        <v>4571</v>
      </c>
      <c r="M1587" s="722">
        <v>4.8899999999999999E-2</v>
      </c>
      <c r="N1587" s="652"/>
      <c r="O1587" s="580"/>
      <c r="P1587" s="722" t="e">
        <f>VLOOKUP(A1587,'[1]Raw data'!$B:$BA,23,FALSE)</f>
        <v>#N/A</v>
      </c>
      <c r="Q1587" s="715" t="e">
        <f>VLOOKUP(A1587,'[1]Raw data'!$B:$Z,2,FALSE)</f>
        <v>#N/A</v>
      </c>
      <c r="R1587" s="715" t="e">
        <f>VLOOKUP(A1587,'[1]Raw data'!$B:$Z,3,FALSE)</f>
        <v>#N/A</v>
      </c>
      <c r="S1587" s="715" t="e">
        <f>VLOOKUP(A1587,'[1]Raw data'!$B:$Z,4,FALSE)</f>
        <v>#N/A</v>
      </c>
      <c r="T1587" s="715" t="e">
        <f>VLOOKUP(A1587,'[1]Raw data'!$B:$Z,8,FALSE)</f>
        <v>#N/A</v>
      </c>
      <c r="U1587" s="715" t="e">
        <f>VLOOKUP(A1587,'[1]Raw data'!$B:$Z,9,FALSE)</f>
        <v>#N/A</v>
      </c>
      <c r="V1587" s="714" t="e">
        <f>IF(G1587&amp;H1587=T1587&amp;U1587,"OK","WRONG")</f>
        <v>#N/A</v>
      </c>
      <c r="W1587" s="806" t="e">
        <f>VLOOKUP(A1587,'[1]Raw data'!$B:$AG,32,FALSE)</f>
        <v>#N/A</v>
      </c>
      <c r="X1587" s="805" t="e">
        <f>VLOOKUP(A1587,'[1]Raw data'!$B:$BA,31,FALSE)</f>
        <v>#N/A</v>
      </c>
      <c r="Y1587" s="715" t="e">
        <f>VLOOKUP(A1587,'[1]Raw data'!$B:$AS,39,FALSE)</f>
        <v>#N/A</v>
      </c>
      <c r="Z1587" s="664"/>
      <c r="AA1587" s="665"/>
      <c r="AB1587" s="666"/>
      <c r="AC1587" s="715"/>
      <c r="AD1587" s="667">
        <v>301</v>
      </c>
      <c r="AE1587" s="667">
        <v>5</v>
      </c>
      <c r="AF1587" s="667">
        <v>302</v>
      </c>
      <c r="AG1587" s="667">
        <v>5</v>
      </c>
      <c r="AH1587" s="667"/>
      <c r="AI1587" s="668"/>
      <c r="AN1587" s="547"/>
      <c r="AO1587" s="829" t="str">
        <f t="shared" si="357"/>
        <v>No</v>
      </c>
      <c r="AP1587" s="259" t="str">
        <f>IFERROR(IF(N1587&lt;&gt;"",N1587,"blank"),"NA")</f>
        <v>blank</v>
      </c>
      <c r="AQ1587" s="547" t="str">
        <f t="shared" si="359"/>
        <v>无定金+无預留客戶</v>
      </c>
      <c r="AR1587" s="259" t="str">
        <f t="shared" si="360"/>
        <v>Incoming_Stock_No_YAMAHA_Schedule</v>
      </c>
      <c r="AS1587" s="259" t="str">
        <f t="shared" si="361"/>
        <v/>
      </c>
      <c r="AT1587" s="259" t="str">
        <f t="shared" si="362"/>
        <v>-</v>
      </c>
      <c r="AU1587" s="259" t="str">
        <f t="shared" si="363"/>
        <v>-</v>
      </c>
      <c r="AV1587" s="259" t="str">
        <f t="shared" si="364"/>
        <v>ex-work 24年3月</v>
      </c>
    </row>
    <row r="1588" spans="2:48">
      <c r="B1588" s="802" t="s">
        <v>4349</v>
      </c>
      <c r="C1588" s="802" t="s">
        <v>281</v>
      </c>
      <c r="D1588" s="803" t="s">
        <v>4575</v>
      </c>
      <c r="E1588" s="810" t="s">
        <v>236</v>
      </c>
      <c r="F1588" s="715" t="s">
        <v>17</v>
      </c>
      <c r="G1588" s="715" t="s">
        <v>24</v>
      </c>
      <c r="H1588" s="715"/>
      <c r="I1588" s="667"/>
      <c r="J1588" s="667">
        <v>1</v>
      </c>
      <c r="K1588" s="715"/>
      <c r="L1588" s="805" t="s">
        <v>4571</v>
      </c>
      <c r="M1588" s="722">
        <v>4.8899999999999999E-2</v>
      </c>
      <c r="N1588" s="652"/>
      <c r="O1588" s="580"/>
      <c r="P1588" s="722" t="e">
        <f>VLOOKUP(A1588,'[1]Raw data'!$B:$BA,23,FALSE)</f>
        <v>#N/A</v>
      </c>
      <c r="Q1588" s="715" t="e">
        <f>VLOOKUP(A1588,'[1]Raw data'!$B:$Z,2,FALSE)</f>
        <v>#N/A</v>
      </c>
      <c r="R1588" s="715" t="e">
        <f>VLOOKUP(A1588,'[1]Raw data'!$B:$Z,3,FALSE)</f>
        <v>#N/A</v>
      </c>
      <c r="S1588" s="715" t="e">
        <f>VLOOKUP(A1588,'[1]Raw data'!$B:$Z,4,FALSE)</f>
        <v>#N/A</v>
      </c>
      <c r="T1588" s="715" t="e">
        <f>VLOOKUP(A1588,'[1]Raw data'!$B:$Z,8,FALSE)</f>
        <v>#N/A</v>
      </c>
      <c r="U1588" s="715" t="e">
        <f>VLOOKUP(A1588,'[1]Raw data'!$B:$Z,9,FALSE)</f>
        <v>#N/A</v>
      </c>
      <c r="V1588" s="714" t="e">
        <f>IF(G1588&amp;H1588=T1588&amp;U1588,"OK","WRONG")</f>
        <v>#N/A</v>
      </c>
      <c r="W1588" s="806" t="e">
        <f>VLOOKUP(A1588,'[1]Raw data'!$B:$AG,32,FALSE)</f>
        <v>#N/A</v>
      </c>
      <c r="X1588" s="805" t="e">
        <f>VLOOKUP(A1588,'[1]Raw data'!$B:$BA,31,FALSE)</f>
        <v>#N/A</v>
      </c>
      <c r="Y1588" s="715" t="e">
        <f>VLOOKUP(A1588,'[1]Raw data'!$B:$AS,39,FALSE)</f>
        <v>#N/A</v>
      </c>
      <c r="Z1588" s="664"/>
      <c r="AA1588" s="665"/>
      <c r="AB1588" s="666"/>
      <c r="AC1588" s="715"/>
      <c r="AD1588" s="667">
        <v>301</v>
      </c>
      <c r="AE1588" s="667">
        <v>5</v>
      </c>
      <c r="AF1588" s="667">
        <v>302</v>
      </c>
      <c r="AG1588" s="667">
        <v>5</v>
      </c>
      <c r="AH1588" s="667"/>
      <c r="AI1588" s="668"/>
      <c r="AN1588" s="547"/>
      <c r="AO1588" s="829" t="str">
        <f t="shared" si="357"/>
        <v>No</v>
      </c>
      <c r="AP1588" s="259" t="str">
        <f>IFERROR(IF(N1588&lt;&gt;"",N1588,"blank"),"NA")</f>
        <v>blank</v>
      </c>
      <c r="AQ1588" s="547" t="str">
        <f t="shared" si="359"/>
        <v>无定金+无預留客戶</v>
      </c>
      <c r="AR1588" s="259" t="str">
        <f t="shared" si="360"/>
        <v>Incoming_Stock_No_YAMAHA_Schedule</v>
      </c>
      <c r="AS1588" s="259" t="str">
        <f t="shared" si="361"/>
        <v/>
      </c>
      <c r="AT1588" s="259" t="str">
        <f t="shared" si="362"/>
        <v>-</v>
      </c>
      <c r="AU1588" s="259" t="str">
        <f t="shared" si="363"/>
        <v>-</v>
      </c>
      <c r="AV1588" s="259" t="str">
        <f t="shared" si="364"/>
        <v>ex-work 24年3月</v>
      </c>
    </row>
    <row r="1589" spans="2:48">
      <c r="B1589" s="802" t="s">
        <v>4349</v>
      </c>
      <c r="C1589" s="802" t="s">
        <v>281</v>
      </c>
      <c r="D1589" s="803">
        <v>111546</v>
      </c>
      <c r="E1589" s="810" t="s">
        <v>236</v>
      </c>
      <c r="F1589" s="715" t="s">
        <v>17</v>
      </c>
      <c r="G1589" s="715" t="s">
        <v>24</v>
      </c>
      <c r="H1589" s="715" t="s">
        <v>19</v>
      </c>
      <c r="I1589" s="667"/>
      <c r="J1589" s="667">
        <v>1</v>
      </c>
      <c r="K1589" s="715"/>
      <c r="L1589" s="805" t="s">
        <v>4571</v>
      </c>
      <c r="M1589" s="722"/>
      <c r="N1589" s="652"/>
      <c r="O1589" s="580"/>
      <c r="P1589" s="722" t="e">
        <f>VLOOKUP(A1589,'[1]Raw data'!$B:$BA,23,FALSE)</f>
        <v>#N/A</v>
      </c>
      <c r="Q1589" s="715" t="e">
        <f>VLOOKUP(A1589,'[1]Raw data'!$B:$Z,2,FALSE)</f>
        <v>#N/A</v>
      </c>
      <c r="R1589" s="715" t="e">
        <f>VLOOKUP(A1589,'[1]Raw data'!$B:$Z,3,FALSE)</f>
        <v>#N/A</v>
      </c>
      <c r="S1589" s="715" t="e">
        <f>VLOOKUP(A1589,'[1]Raw data'!$B:$Z,4,FALSE)</f>
        <v>#N/A</v>
      </c>
      <c r="T1589" s="715" t="e">
        <f>VLOOKUP(A1589,'[1]Raw data'!$B:$Z,8,FALSE)</f>
        <v>#N/A</v>
      </c>
      <c r="U1589" s="715" t="e">
        <f>VLOOKUP(A1589,'[1]Raw data'!$B:$Z,9,FALSE)</f>
        <v>#N/A</v>
      </c>
      <c r="V1589" s="714" t="e">
        <f t="shared" si="372"/>
        <v>#N/A</v>
      </c>
      <c r="W1589" s="806" t="e">
        <f>VLOOKUP(A1589,'[1]Raw data'!$B:$AG,32,FALSE)</f>
        <v>#N/A</v>
      </c>
      <c r="X1589" s="805" t="e">
        <f>VLOOKUP(A1589,'[1]Raw data'!$B:$BA,31,FALSE)</f>
        <v>#N/A</v>
      </c>
      <c r="Y1589" s="715" t="e">
        <f>VLOOKUP(A1589,'[1]Raw data'!$B:$AS,39,FALSE)</f>
        <v>#N/A</v>
      </c>
      <c r="Z1589" s="664"/>
      <c r="AA1589" s="665"/>
      <c r="AB1589" s="666"/>
      <c r="AC1589" s="715"/>
      <c r="AD1589" s="667">
        <v>301</v>
      </c>
      <c r="AE1589" s="667">
        <v>5</v>
      </c>
      <c r="AF1589" s="667">
        <v>303</v>
      </c>
      <c r="AG1589" s="667">
        <v>5</v>
      </c>
      <c r="AH1589" s="667"/>
      <c r="AI1589" s="668"/>
      <c r="AN1589" s="547"/>
      <c r="AO1589" s="829" t="str">
        <f t="shared" si="357"/>
        <v>No</v>
      </c>
      <c r="AP1589" s="259" t="str">
        <f t="shared" si="373"/>
        <v>blank</v>
      </c>
      <c r="AQ1589" s="547" t="str">
        <f t="shared" si="359"/>
        <v>无定金+无預留客戶</v>
      </c>
      <c r="AR1589" s="259" t="str">
        <f t="shared" si="360"/>
        <v>Incoming_Stock_No_YAMAHA_Schedule</v>
      </c>
      <c r="AS1589" s="259" t="str">
        <f t="shared" si="361"/>
        <v/>
      </c>
      <c r="AT1589" s="259" t="str">
        <f t="shared" si="362"/>
        <v>-</v>
      </c>
      <c r="AU1589" s="259" t="str">
        <f t="shared" si="363"/>
        <v>-</v>
      </c>
      <c r="AV1589" s="259" t="str">
        <f t="shared" si="364"/>
        <v>ex-work 24年3月</v>
      </c>
    </row>
    <row r="1590" spans="2:48">
      <c r="B1590" s="802" t="s">
        <v>4349</v>
      </c>
      <c r="C1590" s="802" t="s">
        <v>281</v>
      </c>
      <c r="D1590" s="803">
        <v>111546</v>
      </c>
      <c r="E1590" s="810" t="s">
        <v>236</v>
      </c>
      <c r="F1590" s="715" t="s">
        <v>17</v>
      </c>
      <c r="G1590" s="715" t="s">
        <v>24</v>
      </c>
      <c r="H1590" s="715" t="s">
        <v>19</v>
      </c>
      <c r="I1590" s="667"/>
      <c r="J1590" s="667">
        <v>1</v>
      </c>
      <c r="K1590" s="715"/>
      <c r="L1590" s="805" t="s">
        <v>4571</v>
      </c>
      <c r="M1590" s="722"/>
      <c r="N1590" s="652"/>
      <c r="O1590" s="580"/>
      <c r="P1590" s="722" t="e">
        <f>VLOOKUP(A1590,'[1]Raw data'!$B:$BA,23,FALSE)</f>
        <v>#N/A</v>
      </c>
      <c r="Q1590" s="715" t="e">
        <f>VLOOKUP(A1590,'[1]Raw data'!$B:$Z,2,FALSE)</f>
        <v>#N/A</v>
      </c>
      <c r="R1590" s="715" t="e">
        <f>VLOOKUP(A1590,'[1]Raw data'!$B:$Z,3,FALSE)</f>
        <v>#N/A</v>
      </c>
      <c r="S1590" s="715" t="e">
        <f>VLOOKUP(A1590,'[1]Raw data'!$B:$Z,4,FALSE)</f>
        <v>#N/A</v>
      </c>
      <c r="T1590" s="715" t="e">
        <f>VLOOKUP(A1590,'[1]Raw data'!$B:$Z,8,FALSE)</f>
        <v>#N/A</v>
      </c>
      <c r="U1590" s="715" t="e">
        <f>VLOOKUP(A1590,'[1]Raw data'!$B:$Z,9,FALSE)</f>
        <v>#N/A</v>
      </c>
      <c r="V1590" s="714" t="e">
        <f t="shared" si="372"/>
        <v>#N/A</v>
      </c>
      <c r="W1590" s="806" t="e">
        <f>VLOOKUP(A1590,'[1]Raw data'!$B:$AG,32,FALSE)</f>
        <v>#N/A</v>
      </c>
      <c r="X1590" s="805" t="e">
        <f>VLOOKUP(A1590,'[1]Raw data'!$B:$BA,31,FALSE)</f>
        <v>#N/A</v>
      </c>
      <c r="Y1590" s="715" t="e">
        <f>VLOOKUP(A1590,'[1]Raw data'!$B:$AS,39,FALSE)</f>
        <v>#N/A</v>
      </c>
      <c r="Z1590" s="664"/>
      <c r="AA1590" s="665"/>
      <c r="AB1590" s="666"/>
      <c r="AC1590" s="715"/>
      <c r="AD1590" s="667">
        <v>301</v>
      </c>
      <c r="AE1590" s="667">
        <v>5</v>
      </c>
      <c r="AF1590" s="667">
        <v>303</v>
      </c>
      <c r="AG1590" s="667">
        <v>5</v>
      </c>
      <c r="AH1590" s="667"/>
      <c r="AI1590" s="668"/>
      <c r="AN1590" s="547"/>
      <c r="AO1590" s="829" t="str">
        <f t="shared" si="357"/>
        <v>No</v>
      </c>
      <c r="AP1590" s="259" t="str">
        <f t="shared" si="373"/>
        <v>blank</v>
      </c>
      <c r="AQ1590" s="547" t="str">
        <f t="shared" si="359"/>
        <v>无定金+无預留客戶</v>
      </c>
      <c r="AR1590" s="259" t="str">
        <f t="shared" si="360"/>
        <v>Incoming_Stock_No_YAMAHA_Schedule</v>
      </c>
      <c r="AS1590" s="259" t="str">
        <f t="shared" si="361"/>
        <v/>
      </c>
      <c r="AT1590" s="259" t="str">
        <f t="shared" si="362"/>
        <v>-</v>
      </c>
      <c r="AU1590" s="259" t="str">
        <f t="shared" si="363"/>
        <v>-</v>
      </c>
      <c r="AV1590" s="259" t="str">
        <f t="shared" si="364"/>
        <v>ex-work 24年3月</v>
      </c>
    </row>
    <row r="1591" spans="2:48">
      <c r="B1591" s="802" t="s">
        <v>4349</v>
      </c>
      <c r="C1591" s="802" t="s">
        <v>281</v>
      </c>
      <c r="D1591" s="803">
        <v>111546</v>
      </c>
      <c r="E1591" s="810" t="s">
        <v>236</v>
      </c>
      <c r="F1591" s="715" t="s">
        <v>17</v>
      </c>
      <c r="G1591" s="715" t="s">
        <v>24</v>
      </c>
      <c r="H1591" s="715"/>
      <c r="I1591" s="667"/>
      <c r="J1591" s="667">
        <v>1</v>
      </c>
      <c r="K1591" s="715"/>
      <c r="L1591" s="805" t="s">
        <v>4571</v>
      </c>
      <c r="M1591" s="722"/>
      <c r="N1591" s="652"/>
      <c r="O1591" s="580"/>
      <c r="P1591" s="722" t="e">
        <f>VLOOKUP(A1591,'[1]Raw data'!$B:$BA,23,FALSE)</f>
        <v>#N/A</v>
      </c>
      <c r="Q1591" s="715" t="e">
        <f>VLOOKUP(A1591,'[1]Raw data'!$B:$Z,2,FALSE)</f>
        <v>#N/A</v>
      </c>
      <c r="R1591" s="715" t="e">
        <f>VLOOKUP(A1591,'[1]Raw data'!$B:$Z,3,FALSE)</f>
        <v>#N/A</v>
      </c>
      <c r="S1591" s="715" t="e">
        <f>VLOOKUP(A1591,'[1]Raw data'!$B:$Z,4,FALSE)</f>
        <v>#N/A</v>
      </c>
      <c r="T1591" s="715" t="e">
        <f>VLOOKUP(A1591,'[1]Raw data'!$B:$Z,8,FALSE)</f>
        <v>#N/A</v>
      </c>
      <c r="U1591" s="715" t="e">
        <f>VLOOKUP(A1591,'[1]Raw data'!$B:$Z,9,FALSE)</f>
        <v>#N/A</v>
      </c>
      <c r="V1591" s="714" t="e">
        <f t="shared" ref="V1591:V1594" si="374">IF(G1591&amp;H1591=T1591&amp;U1591,"OK","WRONG")</f>
        <v>#N/A</v>
      </c>
      <c r="W1591" s="806" t="e">
        <f>VLOOKUP(A1591,'[1]Raw data'!$B:$AG,32,FALSE)</f>
        <v>#N/A</v>
      </c>
      <c r="X1591" s="805" t="e">
        <f>VLOOKUP(A1591,'[1]Raw data'!$B:$BA,31,FALSE)</f>
        <v>#N/A</v>
      </c>
      <c r="Y1591" s="715" t="e">
        <f>VLOOKUP(A1591,'[1]Raw data'!$B:$AS,39,FALSE)</f>
        <v>#N/A</v>
      </c>
      <c r="Z1591" s="664"/>
      <c r="AA1591" s="665"/>
      <c r="AB1591" s="666"/>
      <c r="AC1591" s="715"/>
      <c r="AD1591" s="667">
        <v>301</v>
      </c>
      <c r="AE1591" s="667">
        <v>5</v>
      </c>
      <c r="AF1591" s="667">
        <v>302</v>
      </c>
      <c r="AG1591" s="667">
        <v>5</v>
      </c>
      <c r="AH1591" s="667"/>
      <c r="AI1591" s="668"/>
      <c r="AN1591" s="547"/>
      <c r="AO1591" s="829" t="str">
        <f t="shared" si="357"/>
        <v>No</v>
      </c>
      <c r="AP1591" s="259" t="str">
        <f t="shared" si="373"/>
        <v>blank</v>
      </c>
      <c r="AQ1591" s="547" t="str">
        <f t="shared" si="359"/>
        <v>无定金+无預留客戶</v>
      </c>
      <c r="AR1591" s="259" t="str">
        <f t="shared" si="360"/>
        <v>Incoming_Stock_No_YAMAHA_Schedule</v>
      </c>
      <c r="AS1591" s="259" t="str">
        <f t="shared" si="361"/>
        <v/>
      </c>
      <c r="AT1591" s="259" t="str">
        <f t="shared" si="362"/>
        <v>-</v>
      </c>
      <c r="AU1591" s="259" t="str">
        <f t="shared" si="363"/>
        <v>-</v>
      </c>
      <c r="AV1591" s="259" t="str">
        <f t="shared" si="364"/>
        <v>ex-work 24年3月</v>
      </c>
    </row>
    <row r="1592" spans="2:48">
      <c r="B1592" s="802" t="s">
        <v>4349</v>
      </c>
      <c r="C1592" s="802" t="s">
        <v>281</v>
      </c>
      <c r="D1592" s="803">
        <v>111546</v>
      </c>
      <c r="E1592" s="810" t="s">
        <v>236</v>
      </c>
      <c r="F1592" s="715" t="s">
        <v>17</v>
      </c>
      <c r="G1592" s="715" t="s">
        <v>24</v>
      </c>
      <c r="H1592" s="715"/>
      <c r="I1592" s="667"/>
      <c r="J1592" s="667">
        <v>1</v>
      </c>
      <c r="K1592" s="715"/>
      <c r="L1592" s="805" t="s">
        <v>4571</v>
      </c>
      <c r="M1592" s="722"/>
      <c r="N1592" s="652"/>
      <c r="O1592" s="580"/>
      <c r="P1592" s="722" t="e">
        <f>VLOOKUP(A1592,'[1]Raw data'!$B:$BA,23,FALSE)</f>
        <v>#N/A</v>
      </c>
      <c r="Q1592" s="715" t="e">
        <f>VLOOKUP(A1592,'[1]Raw data'!$B:$Z,2,FALSE)</f>
        <v>#N/A</v>
      </c>
      <c r="R1592" s="715" t="e">
        <f>VLOOKUP(A1592,'[1]Raw data'!$B:$Z,3,FALSE)</f>
        <v>#N/A</v>
      </c>
      <c r="S1592" s="715" t="e">
        <f>VLOOKUP(A1592,'[1]Raw data'!$B:$Z,4,FALSE)</f>
        <v>#N/A</v>
      </c>
      <c r="T1592" s="715" t="e">
        <f>VLOOKUP(A1592,'[1]Raw data'!$B:$Z,8,FALSE)</f>
        <v>#N/A</v>
      </c>
      <c r="U1592" s="715" t="e">
        <f>VLOOKUP(A1592,'[1]Raw data'!$B:$Z,9,FALSE)</f>
        <v>#N/A</v>
      </c>
      <c r="V1592" s="714" t="e">
        <f t="shared" si="374"/>
        <v>#N/A</v>
      </c>
      <c r="W1592" s="806" t="e">
        <f>VLOOKUP(A1592,'[1]Raw data'!$B:$AG,32,FALSE)</f>
        <v>#N/A</v>
      </c>
      <c r="X1592" s="805" t="e">
        <f>VLOOKUP(A1592,'[1]Raw data'!$B:$BA,31,FALSE)</f>
        <v>#N/A</v>
      </c>
      <c r="Y1592" s="715" t="e">
        <f>VLOOKUP(A1592,'[1]Raw data'!$B:$AS,39,FALSE)</f>
        <v>#N/A</v>
      </c>
      <c r="Z1592" s="664"/>
      <c r="AA1592" s="665"/>
      <c r="AB1592" s="666"/>
      <c r="AC1592" s="715"/>
      <c r="AD1592" s="667">
        <v>301</v>
      </c>
      <c r="AE1592" s="667">
        <v>5</v>
      </c>
      <c r="AF1592" s="667">
        <v>302</v>
      </c>
      <c r="AG1592" s="667">
        <v>5</v>
      </c>
      <c r="AH1592" s="667"/>
      <c r="AI1592" s="668"/>
      <c r="AN1592" s="547"/>
      <c r="AO1592" s="829" t="str">
        <f t="shared" si="357"/>
        <v>No</v>
      </c>
      <c r="AP1592" s="259" t="str">
        <f t="shared" si="373"/>
        <v>blank</v>
      </c>
      <c r="AQ1592" s="547" t="str">
        <f t="shared" si="359"/>
        <v>无定金+无預留客戶</v>
      </c>
      <c r="AR1592" s="259" t="str">
        <f t="shared" si="360"/>
        <v>Incoming_Stock_No_YAMAHA_Schedule</v>
      </c>
      <c r="AS1592" s="259" t="str">
        <f t="shared" si="361"/>
        <v/>
      </c>
      <c r="AT1592" s="259" t="str">
        <f t="shared" si="362"/>
        <v>-</v>
      </c>
      <c r="AU1592" s="259" t="str">
        <f t="shared" si="363"/>
        <v>-</v>
      </c>
      <c r="AV1592" s="259" t="str">
        <f t="shared" si="364"/>
        <v>ex-work 24年3月</v>
      </c>
    </row>
    <row r="1593" spans="2:48">
      <c r="B1593" s="802" t="s">
        <v>4349</v>
      </c>
      <c r="C1593" s="802" t="s">
        <v>281</v>
      </c>
      <c r="D1593" s="803">
        <v>111546</v>
      </c>
      <c r="E1593" s="810" t="s">
        <v>236</v>
      </c>
      <c r="F1593" s="715" t="s">
        <v>17</v>
      </c>
      <c r="G1593" s="715" t="s">
        <v>24</v>
      </c>
      <c r="H1593" s="715"/>
      <c r="I1593" s="667"/>
      <c r="J1593" s="667">
        <v>1</v>
      </c>
      <c r="K1593" s="715"/>
      <c r="L1593" s="805" t="s">
        <v>4571</v>
      </c>
      <c r="M1593" s="722"/>
      <c r="N1593" s="652"/>
      <c r="O1593" s="580"/>
      <c r="P1593" s="722" t="e">
        <f>VLOOKUP(A1593,'[1]Raw data'!$B:$BA,23,FALSE)</f>
        <v>#N/A</v>
      </c>
      <c r="Q1593" s="715" t="e">
        <f>VLOOKUP(A1593,'[1]Raw data'!$B:$Z,2,FALSE)</f>
        <v>#N/A</v>
      </c>
      <c r="R1593" s="715" t="e">
        <f>VLOOKUP(A1593,'[1]Raw data'!$B:$Z,3,FALSE)</f>
        <v>#N/A</v>
      </c>
      <c r="S1593" s="715" t="e">
        <f>VLOOKUP(A1593,'[1]Raw data'!$B:$Z,4,FALSE)</f>
        <v>#N/A</v>
      </c>
      <c r="T1593" s="715" t="e">
        <f>VLOOKUP(A1593,'[1]Raw data'!$B:$Z,8,FALSE)</f>
        <v>#N/A</v>
      </c>
      <c r="U1593" s="715" t="e">
        <f>VLOOKUP(A1593,'[1]Raw data'!$B:$Z,9,FALSE)</f>
        <v>#N/A</v>
      </c>
      <c r="V1593" s="714" t="e">
        <f t="shared" si="374"/>
        <v>#N/A</v>
      </c>
      <c r="W1593" s="806" t="e">
        <f>VLOOKUP(A1593,'[1]Raw data'!$B:$AG,32,FALSE)</f>
        <v>#N/A</v>
      </c>
      <c r="X1593" s="805" t="e">
        <f>VLOOKUP(A1593,'[1]Raw data'!$B:$BA,31,FALSE)</f>
        <v>#N/A</v>
      </c>
      <c r="Y1593" s="715" t="e">
        <f>VLOOKUP(A1593,'[1]Raw data'!$B:$AS,39,FALSE)</f>
        <v>#N/A</v>
      </c>
      <c r="Z1593" s="664"/>
      <c r="AA1593" s="665"/>
      <c r="AB1593" s="666"/>
      <c r="AC1593" s="715"/>
      <c r="AD1593" s="667">
        <v>301</v>
      </c>
      <c r="AE1593" s="667">
        <v>5</v>
      </c>
      <c r="AF1593" s="667">
        <v>303</v>
      </c>
      <c r="AG1593" s="667">
        <v>5</v>
      </c>
      <c r="AH1593" s="667"/>
      <c r="AI1593" s="668"/>
      <c r="AN1593" s="547"/>
      <c r="AO1593" s="829" t="str">
        <f t="shared" si="357"/>
        <v>No</v>
      </c>
      <c r="AP1593" s="259" t="str">
        <f t="shared" si="373"/>
        <v>blank</v>
      </c>
      <c r="AQ1593" s="547" t="str">
        <f t="shared" si="359"/>
        <v>无定金+无預留客戶</v>
      </c>
      <c r="AR1593" s="259" t="str">
        <f t="shared" si="360"/>
        <v>Incoming_Stock_No_YAMAHA_Schedule</v>
      </c>
      <c r="AS1593" s="259" t="str">
        <f t="shared" si="361"/>
        <v/>
      </c>
      <c r="AT1593" s="259" t="str">
        <f t="shared" si="362"/>
        <v>-</v>
      </c>
      <c r="AU1593" s="259" t="str">
        <f t="shared" si="363"/>
        <v>-</v>
      </c>
      <c r="AV1593" s="259" t="str">
        <f t="shared" si="364"/>
        <v>ex-work 24年3月</v>
      </c>
    </row>
    <row r="1594" spans="2:48">
      <c r="B1594" s="802" t="s">
        <v>4349</v>
      </c>
      <c r="C1594" s="802" t="s">
        <v>281</v>
      </c>
      <c r="D1594" s="803">
        <v>111546</v>
      </c>
      <c r="E1594" s="810" t="s">
        <v>236</v>
      </c>
      <c r="F1594" s="715" t="s">
        <v>17</v>
      </c>
      <c r="G1594" s="715" t="s">
        <v>24</v>
      </c>
      <c r="H1594" s="715"/>
      <c r="I1594" s="667"/>
      <c r="J1594" s="667">
        <v>1</v>
      </c>
      <c r="K1594" s="715"/>
      <c r="L1594" s="805" t="s">
        <v>4571</v>
      </c>
      <c r="M1594" s="722"/>
      <c r="N1594" s="652"/>
      <c r="O1594" s="580"/>
      <c r="P1594" s="722" t="e">
        <f>VLOOKUP(A1594,'[1]Raw data'!$B:$BA,23,FALSE)</f>
        <v>#N/A</v>
      </c>
      <c r="Q1594" s="715" t="e">
        <f>VLOOKUP(A1594,'[1]Raw data'!$B:$Z,2,FALSE)</f>
        <v>#N/A</v>
      </c>
      <c r="R1594" s="715" t="e">
        <f>VLOOKUP(A1594,'[1]Raw data'!$B:$Z,3,FALSE)</f>
        <v>#N/A</v>
      </c>
      <c r="S1594" s="715" t="e">
        <f>VLOOKUP(A1594,'[1]Raw data'!$B:$Z,4,FALSE)</f>
        <v>#N/A</v>
      </c>
      <c r="T1594" s="715" t="e">
        <f>VLOOKUP(A1594,'[1]Raw data'!$B:$Z,8,FALSE)</f>
        <v>#N/A</v>
      </c>
      <c r="U1594" s="715" t="e">
        <f>VLOOKUP(A1594,'[1]Raw data'!$B:$Z,9,FALSE)</f>
        <v>#N/A</v>
      </c>
      <c r="V1594" s="714" t="e">
        <f t="shared" si="374"/>
        <v>#N/A</v>
      </c>
      <c r="W1594" s="806" t="e">
        <f>VLOOKUP(A1594,'[1]Raw data'!$B:$AG,32,FALSE)</f>
        <v>#N/A</v>
      </c>
      <c r="X1594" s="805" t="e">
        <f>VLOOKUP(A1594,'[1]Raw data'!$B:$BA,31,FALSE)</f>
        <v>#N/A</v>
      </c>
      <c r="Y1594" s="715" t="e">
        <f>VLOOKUP(A1594,'[1]Raw data'!$B:$AS,39,FALSE)</f>
        <v>#N/A</v>
      </c>
      <c r="Z1594" s="664"/>
      <c r="AA1594" s="665"/>
      <c r="AB1594" s="666"/>
      <c r="AC1594" s="715"/>
      <c r="AD1594" s="667">
        <v>301</v>
      </c>
      <c r="AE1594" s="667">
        <v>5</v>
      </c>
      <c r="AF1594" s="667">
        <v>303</v>
      </c>
      <c r="AG1594" s="667">
        <v>5</v>
      </c>
      <c r="AH1594" s="667"/>
      <c r="AI1594" s="668"/>
      <c r="AN1594" s="547"/>
      <c r="AO1594" s="829" t="str">
        <f t="shared" si="357"/>
        <v>No</v>
      </c>
      <c r="AP1594" s="259" t="str">
        <f t="shared" si="373"/>
        <v>blank</v>
      </c>
      <c r="AQ1594" s="547" t="str">
        <f t="shared" si="359"/>
        <v>无定金+无預留客戶</v>
      </c>
      <c r="AR1594" s="259" t="str">
        <f t="shared" si="360"/>
        <v>Incoming_Stock_No_YAMAHA_Schedule</v>
      </c>
      <c r="AS1594" s="259" t="str">
        <f t="shared" si="361"/>
        <v/>
      </c>
      <c r="AT1594" s="259" t="str">
        <f t="shared" si="362"/>
        <v>-</v>
      </c>
      <c r="AU1594" s="259" t="str">
        <f t="shared" si="363"/>
        <v>-</v>
      </c>
      <c r="AV1594" s="259" t="str">
        <f t="shared" si="364"/>
        <v>ex-work 24年3月</v>
      </c>
    </row>
    <row r="1595" spans="2:48">
      <c r="B1595" s="802"/>
      <c r="C1595" s="802"/>
      <c r="D1595" s="803"/>
      <c r="E1595" s="810"/>
      <c r="F1595" s="715"/>
      <c r="G1595" s="715"/>
      <c r="H1595" s="715"/>
      <c r="I1595" s="667"/>
      <c r="J1595" s="667"/>
      <c r="K1595" s="715"/>
      <c r="L1595" s="805"/>
      <c r="M1595" s="722"/>
      <c r="N1595" s="652"/>
      <c r="O1595" s="580"/>
      <c r="P1595" s="722" t="e">
        <f>VLOOKUP(A1595,'[1]Raw data'!$B:$BA,23,FALSE)</f>
        <v>#N/A</v>
      </c>
      <c r="Q1595" s="715" t="e">
        <f>VLOOKUP(A1595,'[1]Raw data'!$B:$Z,2,FALSE)</f>
        <v>#N/A</v>
      </c>
      <c r="R1595" s="715" t="e">
        <f>VLOOKUP(A1595,'[1]Raw data'!$B:$Z,3,FALSE)</f>
        <v>#N/A</v>
      </c>
      <c r="S1595" s="715" t="e">
        <f>VLOOKUP(A1595,'[1]Raw data'!$B:$Z,4,FALSE)</f>
        <v>#N/A</v>
      </c>
      <c r="T1595" s="715" t="e">
        <f>VLOOKUP(A1595,'[1]Raw data'!$B:$Z,8,FALSE)</f>
        <v>#N/A</v>
      </c>
      <c r="U1595" s="715" t="e">
        <f>VLOOKUP(A1595,'[1]Raw data'!$B:$Z,9,FALSE)</f>
        <v>#N/A</v>
      </c>
      <c r="V1595" s="714" t="e">
        <f t="shared" ref="V1595" si="375">IF(G1595&amp;H1595=T1595&amp;U1595,"OK","WRONG")</f>
        <v>#N/A</v>
      </c>
      <c r="W1595" s="806" t="e">
        <f>VLOOKUP(A1595,'[1]Raw data'!$B:$AG,32,FALSE)</f>
        <v>#N/A</v>
      </c>
      <c r="X1595" s="805" t="e">
        <f>VLOOKUP(A1595,'[1]Raw data'!$B:$BA,31,FALSE)</f>
        <v>#N/A</v>
      </c>
      <c r="Y1595" s="715" t="e">
        <f>VLOOKUP(A1595,'[1]Raw data'!$B:$AS,39,FALSE)</f>
        <v>#N/A</v>
      </c>
      <c r="Z1595" s="664"/>
      <c r="AA1595" s="665"/>
      <c r="AB1595" s="666"/>
      <c r="AC1595" s="715"/>
      <c r="AD1595" s="667"/>
      <c r="AE1595" s="667"/>
      <c r="AF1595" s="667"/>
      <c r="AG1595" s="667"/>
      <c r="AH1595" s="667"/>
      <c r="AI1595" s="668"/>
      <c r="AN1595" s="547"/>
      <c r="AO1595" s="829" t="str">
        <f t="shared" si="357"/>
        <v>No</v>
      </c>
      <c r="AP1595" s="259" t="str">
        <f t="shared" ref="AP1595" si="376">IFERROR(IF(N1595&lt;&gt;"",N1595,"blank"),"NA")</f>
        <v>blank</v>
      </c>
      <c r="AQ1595" s="547" t="str">
        <f t="shared" si="359"/>
        <v>无定金+无預留客戶</v>
      </c>
      <c r="AR1595" s="259" t="str">
        <f t="shared" si="360"/>
        <v/>
      </c>
      <c r="AS1595" s="259" t="str">
        <f t="shared" si="361"/>
        <v/>
      </c>
      <c r="AT1595" s="259" t="str">
        <f t="shared" si="362"/>
        <v>-</v>
      </c>
      <c r="AU1595" s="259" t="str">
        <f t="shared" si="363"/>
        <v>-</v>
      </c>
      <c r="AV1595" s="259" t="str">
        <f t="shared" si="364"/>
        <v>-</v>
      </c>
    </row>
    <row r="1596" spans="2:48">
      <c r="B1596" s="802"/>
      <c r="C1596" s="802"/>
      <c r="D1596" s="803"/>
      <c r="E1596" s="810"/>
      <c r="F1596" s="715"/>
      <c r="G1596" s="715"/>
      <c r="H1596" s="715"/>
      <c r="I1596" s="667"/>
      <c r="J1596" s="667"/>
      <c r="K1596" s="715"/>
      <c r="L1596" s="805"/>
      <c r="M1596" s="722"/>
      <c r="N1596" s="652"/>
      <c r="O1596" s="580"/>
      <c r="P1596" s="722" t="e">
        <f>VLOOKUP(A1596,'[1]Raw data'!$B:$BA,23,FALSE)</f>
        <v>#N/A</v>
      </c>
      <c r="Q1596" s="715" t="e">
        <f>VLOOKUP(A1596,'[1]Raw data'!$B:$Z,2,FALSE)</f>
        <v>#N/A</v>
      </c>
      <c r="R1596" s="715" t="e">
        <f>VLOOKUP(A1596,'[1]Raw data'!$B:$Z,3,FALSE)</f>
        <v>#N/A</v>
      </c>
      <c r="S1596" s="715" t="e">
        <f>VLOOKUP(A1596,'[1]Raw data'!$B:$Z,4,FALSE)</f>
        <v>#N/A</v>
      </c>
      <c r="T1596" s="715" t="e">
        <f>VLOOKUP(A1596,'[1]Raw data'!$B:$Z,8,FALSE)</f>
        <v>#N/A</v>
      </c>
      <c r="U1596" s="715" t="e">
        <f>VLOOKUP(A1596,'[1]Raw data'!$B:$Z,9,FALSE)</f>
        <v>#N/A</v>
      </c>
      <c r="V1596" s="714" t="e">
        <f t="shared" si="372"/>
        <v>#N/A</v>
      </c>
      <c r="W1596" s="806" t="e">
        <f>VLOOKUP(A1596,'[1]Raw data'!$B:$AG,32,FALSE)</f>
        <v>#N/A</v>
      </c>
      <c r="X1596" s="805" t="e">
        <f>VLOOKUP(A1596,'[1]Raw data'!$B:$BA,31,FALSE)</f>
        <v>#N/A</v>
      </c>
      <c r="Y1596" s="715" t="e">
        <f>VLOOKUP(A1596,'[1]Raw data'!$B:$AS,39,FALSE)</f>
        <v>#N/A</v>
      </c>
      <c r="Z1596" s="664"/>
      <c r="AA1596" s="665"/>
      <c r="AB1596" s="666"/>
      <c r="AC1596" s="715"/>
      <c r="AD1596" s="667"/>
      <c r="AE1596" s="667"/>
      <c r="AF1596" s="667"/>
      <c r="AG1596" s="667"/>
      <c r="AH1596" s="667"/>
      <c r="AI1596" s="668"/>
      <c r="AN1596" s="547"/>
      <c r="AO1596" s="829" t="str">
        <f t="shared" si="357"/>
        <v>No</v>
      </c>
      <c r="AP1596" s="259" t="str">
        <f t="shared" ref="AP1596:AP1597" si="377">IFERROR(IF(N1596&lt;&gt;"",N1596,"blank"),"NA")</f>
        <v>blank</v>
      </c>
      <c r="AQ1596" s="547" t="str">
        <f t="shared" si="359"/>
        <v>无定金+无預留客戶</v>
      </c>
      <c r="AR1596" s="259" t="str">
        <f t="shared" si="360"/>
        <v/>
      </c>
      <c r="AS1596" s="259" t="str">
        <f t="shared" si="361"/>
        <v/>
      </c>
      <c r="AT1596" s="259" t="str">
        <f t="shared" si="362"/>
        <v>-</v>
      </c>
      <c r="AU1596" s="259" t="str">
        <f t="shared" si="363"/>
        <v>-</v>
      </c>
      <c r="AV1596" s="259" t="str">
        <f t="shared" si="364"/>
        <v>-</v>
      </c>
    </row>
    <row r="1597" spans="2:48">
      <c r="B1597" s="802"/>
      <c r="C1597" s="802"/>
      <c r="D1597" s="803"/>
      <c r="E1597" s="810"/>
      <c r="F1597" s="715"/>
      <c r="G1597" s="715"/>
      <c r="H1597" s="715"/>
      <c r="I1597" s="667"/>
      <c r="J1597" s="667"/>
      <c r="K1597" s="715"/>
      <c r="L1597" s="805"/>
      <c r="M1597" s="722"/>
      <c r="N1597" s="652"/>
      <c r="O1597" s="580"/>
      <c r="P1597" s="722" t="e">
        <f>VLOOKUP(A1597,'[1]Raw data'!$B:$BA,23,FALSE)</f>
        <v>#N/A</v>
      </c>
      <c r="Q1597" s="715" t="e">
        <f>VLOOKUP(A1597,'[1]Raw data'!$B:$Z,2,FALSE)</f>
        <v>#N/A</v>
      </c>
      <c r="R1597" s="715" t="e">
        <f>VLOOKUP(A1597,'[1]Raw data'!$B:$Z,3,FALSE)</f>
        <v>#N/A</v>
      </c>
      <c r="S1597" s="715" t="e">
        <f>VLOOKUP(A1597,'[1]Raw data'!$B:$Z,4,FALSE)</f>
        <v>#N/A</v>
      </c>
      <c r="T1597" s="715" t="e">
        <f>VLOOKUP(A1597,'[1]Raw data'!$B:$Z,8,FALSE)</f>
        <v>#N/A</v>
      </c>
      <c r="U1597" s="715" t="e">
        <f>VLOOKUP(A1597,'[1]Raw data'!$B:$Z,9,FALSE)</f>
        <v>#N/A</v>
      </c>
      <c r="V1597" s="714" t="e">
        <f t="shared" si="372"/>
        <v>#N/A</v>
      </c>
      <c r="W1597" s="806" t="e">
        <f>VLOOKUP(A1597,'[1]Raw data'!$B:$AG,32,FALSE)</f>
        <v>#N/A</v>
      </c>
      <c r="X1597" s="805" t="e">
        <f>VLOOKUP(A1597,'[1]Raw data'!$B:$BA,31,FALSE)</f>
        <v>#N/A</v>
      </c>
      <c r="Y1597" s="715" t="e">
        <f>VLOOKUP(A1597,'[1]Raw data'!$B:$AS,39,FALSE)</f>
        <v>#N/A</v>
      </c>
      <c r="Z1597" s="664"/>
      <c r="AA1597" s="665"/>
      <c r="AB1597" s="666"/>
      <c r="AC1597" s="715"/>
      <c r="AD1597" s="667"/>
      <c r="AE1597" s="667"/>
      <c r="AF1597" s="667"/>
      <c r="AG1597" s="667"/>
      <c r="AH1597" s="667"/>
      <c r="AI1597" s="668"/>
      <c r="AN1597" s="547"/>
      <c r="AO1597" s="829" t="str">
        <f t="shared" si="357"/>
        <v>No</v>
      </c>
      <c r="AP1597" s="259" t="str">
        <f t="shared" si="377"/>
        <v>blank</v>
      </c>
      <c r="AQ1597" s="547" t="str">
        <f t="shared" si="359"/>
        <v>无定金+无預留客戶</v>
      </c>
      <c r="AR1597" s="259" t="str">
        <f t="shared" si="360"/>
        <v/>
      </c>
      <c r="AS1597" s="259" t="str">
        <f t="shared" si="361"/>
        <v/>
      </c>
      <c r="AT1597" s="259" t="str">
        <f t="shared" si="362"/>
        <v>-</v>
      </c>
      <c r="AU1597" s="259" t="str">
        <f t="shared" si="363"/>
        <v>-</v>
      </c>
      <c r="AV1597" s="259" t="str">
        <f t="shared" si="364"/>
        <v>-</v>
      </c>
    </row>
    <row r="1598" spans="2:48">
      <c r="B1598" s="802"/>
      <c r="C1598" s="802"/>
      <c r="D1598" s="803"/>
      <c r="E1598" s="810"/>
      <c r="F1598" s="715"/>
      <c r="G1598" s="715"/>
      <c r="H1598" s="715"/>
      <c r="I1598" s="667"/>
      <c r="J1598" s="667"/>
      <c r="K1598" s="715"/>
      <c r="L1598" s="805"/>
      <c r="M1598" s="722"/>
      <c r="N1598" s="652"/>
      <c r="O1598" s="580"/>
      <c r="P1598" s="722" t="e">
        <f>VLOOKUP(A1598,'[1]Raw data'!$B:$BA,23,FALSE)</f>
        <v>#N/A</v>
      </c>
      <c r="Q1598" s="715" t="e">
        <f>VLOOKUP(A1598,'[1]Raw data'!$B:$Z,2,FALSE)</f>
        <v>#N/A</v>
      </c>
      <c r="R1598" s="715" t="e">
        <f>VLOOKUP(A1598,'[1]Raw data'!$B:$Z,3,FALSE)</f>
        <v>#N/A</v>
      </c>
      <c r="S1598" s="715" t="e">
        <f>VLOOKUP(A1598,'[1]Raw data'!$B:$Z,4,FALSE)</f>
        <v>#N/A</v>
      </c>
      <c r="T1598" s="715" t="e">
        <f>VLOOKUP(A1598,'[1]Raw data'!$B:$Z,8,FALSE)</f>
        <v>#N/A</v>
      </c>
      <c r="U1598" s="715" t="e">
        <f>VLOOKUP(A1598,'[1]Raw data'!$B:$Z,9,FALSE)</f>
        <v>#N/A</v>
      </c>
      <c r="V1598" s="714" t="e">
        <f t="shared" ref="V1598" si="378">IF(G1598&amp;H1598=T1598&amp;U1598,"OK","WRONG")</f>
        <v>#N/A</v>
      </c>
      <c r="W1598" s="806" t="e">
        <f>VLOOKUP(A1598,'[1]Raw data'!$B:$AG,32,FALSE)</f>
        <v>#N/A</v>
      </c>
      <c r="X1598" s="805" t="e">
        <f>VLOOKUP(A1598,'[1]Raw data'!$B:$BA,31,FALSE)</f>
        <v>#N/A</v>
      </c>
      <c r="Y1598" s="715" t="e">
        <f>VLOOKUP(A1598,'[1]Raw data'!$B:$AS,39,FALSE)</f>
        <v>#N/A</v>
      </c>
      <c r="Z1598" s="664"/>
      <c r="AA1598" s="665"/>
      <c r="AB1598" s="666"/>
      <c r="AC1598" s="715"/>
      <c r="AD1598" s="667"/>
      <c r="AE1598" s="667"/>
      <c r="AF1598" s="667"/>
      <c r="AG1598" s="667"/>
      <c r="AH1598" s="667"/>
      <c r="AI1598" s="668"/>
      <c r="AN1598" s="547"/>
      <c r="AO1598" s="829" t="str">
        <f t="shared" si="357"/>
        <v>No</v>
      </c>
      <c r="AP1598" s="259" t="str">
        <f t="shared" si="358"/>
        <v>blank</v>
      </c>
      <c r="AQ1598" s="547" t="str">
        <f t="shared" si="359"/>
        <v>无定金+无預留客戶</v>
      </c>
      <c r="AR1598" s="259" t="str">
        <f t="shared" si="360"/>
        <v/>
      </c>
      <c r="AS1598" s="259" t="str">
        <f t="shared" si="361"/>
        <v/>
      </c>
      <c r="AT1598" s="259" t="str">
        <f t="shared" si="362"/>
        <v>-</v>
      </c>
      <c r="AU1598" s="259" t="str">
        <f t="shared" si="363"/>
        <v>-</v>
      </c>
      <c r="AV1598" s="259" t="str">
        <f t="shared" si="364"/>
        <v>-</v>
      </c>
    </row>
    <row r="1599" spans="2:48">
      <c r="B1599" s="802"/>
      <c r="C1599" s="802"/>
      <c r="D1599" s="803"/>
      <c r="E1599" s="810"/>
      <c r="F1599" s="715"/>
      <c r="G1599" s="715"/>
      <c r="H1599" s="715"/>
      <c r="I1599" s="667"/>
      <c r="J1599" s="667"/>
      <c r="K1599" s="715"/>
      <c r="L1599" s="805"/>
      <c r="M1599" s="722"/>
      <c r="N1599" s="652"/>
      <c r="O1599" s="580"/>
      <c r="P1599" s="722" t="e">
        <f>VLOOKUP(A1599,'[1]Raw data'!$B:$BA,23,FALSE)</f>
        <v>#N/A</v>
      </c>
      <c r="Q1599" s="715" t="e">
        <f>VLOOKUP(A1599,'[1]Raw data'!$B:$Z,2,FALSE)</f>
        <v>#N/A</v>
      </c>
      <c r="R1599" s="715" t="e">
        <f>VLOOKUP(A1599,'[1]Raw data'!$B:$Z,3,FALSE)</f>
        <v>#N/A</v>
      </c>
      <c r="S1599" s="715" t="e">
        <f>VLOOKUP(A1599,'[1]Raw data'!$B:$Z,4,FALSE)</f>
        <v>#N/A</v>
      </c>
      <c r="T1599" s="715" t="e">
        <f>VLOOKUP(A1599,'[1]Raw data'!$B:$Z,8,FALSE)</f>
        <v>#N/A</v>
      </c>
      <c r="U1599" s="715" t="e">
        <f>VLOOKUP(A1599,'[1]Raw data'!$B:$Z,9,FALSE)</f>
        <v>#N/A</v>
      </c>
      <c r="V1599" s="714" t="e">
        <f t="shared" ref="V1599" si="379">IF(G1599&amp;H1599=T1599&amp;U1599,"OK","WRONG")</f>
        <v>#N/A</v>
      </c>
      <c r="W1599" s="806" t="e">
        <f>VLOOKUP(A1599,'[1]Raw data'!$B:$AG,32,FALSE)</f>
        <v>#N/A</v>
      </c>
      <c r="X1599" s="805" t="e">
        <f>VLOOKUP(A1599,'[1]Raw data'!$B:$BA,31,FALSE)</f>
        <v>#N/A</v>
      </c>
      <c r="Y1599" s="715" t="e">
        <f>VLOOKUP(A1599,'[1]Raw data'!$B:$AS,39,FALSE)</f>
        <v>#N/A</v>
      </c>
      <c r="Z1599" s="664"/>
      <c r="AA1599" s="665"/>
      <c r="AB1599" s="666"/>
      <c r="AC1599" s="715"/>
      <c r="AD1599" s="667"/>
      <c r="AE1599" s="667"/>
      <c r="AF1599" s="667"/>
      <c r="AG1599" s="667"/>
      <c r="AH1599" s="667"/>
      <c r="AI1599" s="668"/>
      <c r="AN1599" s="547"/>
      <c r="AO1599" s="829" t="str">
        <f t="shared" si="357"/>
        <v>No</v>
      </c>
      <c r="AP1599" s="259" t="str">
        <f t="shared" si="358"/>
        <v>blank</v>
      </c>
      <c r="AQ1599" s="547" t="str">
        <f t="shared" si="359"/>
        <v>无定金+无預留客戶</v>
      </c>
      <c r="AR1599" s="259" t="str">
        <f t="shared" ref="AR1599:AR1661" si="380">IFERROR(IF(B1599="已经到货", "Instock", IF(B1599="有交期", "Incoming_Stock_With_YAMAHA_Schedule", IF(B1599="TBA.", "Incoming_Stock_No_YAMAHA_Schedule", IF(B1599="已发货", "Shipped_Stock", "")))), "")</f>
        <v/>
      </c>
      <c r="AS1599" s="259" t="str">
        <f t="shared" ref="AS1599:AS1661" si="381">IF(AND(B1599="有交期", L1599&lt;&gt;""), L1599, "")</f>
        <v/>
      </c>
      <c r="AT1599" s="259" t="str">
        <f t="shared" si="362"/>
        <v>-</v>
      </c>
      <c r="AU1599" s="259" t="str">
        <f t="shared" si="363"/>
        <v>-</v>
      </c>
      <c r="AV1599" s="259" t="str">
        <f t="shared" si="364"/>
        <v>-</v>
      </c>
    </row>
    <row r="1600" spans="2:48">
      <c r="B1600" s="802"/>
      <c r="C1600" s="802"/>
      <c r="D1600" s="803"/>
      <c r="E1600" s="810"/>
      <c r="F1600" s="715"/>
      <c r="G1600" s="715"/>
      <c r="H1600" s="715"/>
      <c r="I1600" s="667"/>
      <c r="J1600" s="667"/>
      <c r="K1600" s="715"/>
      <c r="L1600" s="805"/>
      <c r="M1600" s="722"/>
      <c r="N1600" s="652"/>
      <c r="O1600" s="580"/>
      <c r="P1600" s="722" t="e">
        <f>VLOOKUP(A1600,'[1]Raw data'!$B:$BA,23,FALSE)</f>
        <v>#N/A</v>
      </c>
      <c r="Q1600" s="715" t="e">
        <f>VLOOKUP(A1600,'[1]Raw data'!$B:$Z,2,FALSE)</f>
        <v>#N/A</v>
      </c>
      <c r="R1600" s="715" t="e">
        <f>VLOOKUP(A1600,'[1]Raw data'!$B:$Z,3,FALSE)</f>
        <v>#N/A</v>
      </c>
      <c r="S1600" s="715" t="e">
        <f>VLOOKUP(A1600,'[1]Raw data'!$B:$Z,4,FALSE)</f>
        <v>#N/A</v>
      </c>
      <c r="T1600" s="715" t="e">
        <f>VLOOKUP(A1600,'[1]Raw data'!$B:$Z,8,FALSE)</f>
        <v>#N/A</v>
      </c>
      <c r="U1600" s="715" t="e">
        <f>VLOOKUP(A1600,'[1]Raw data'!$B:$Z,9,FALSE)</f>
        <v>#N/A</v>
      </c>
      <c r="V1600" s="714" t="e">
        <f t="shared" ref="V1600" si="382">IF(G1600&amp;H1600=T1600&amp;U1600,"OK","WRONG")</f>
        <v>#N/A</v>
      </c>
      <c r="W1600" s="806" t="e">
        <f>VLOOKUP(A1600,'[1]Raw data'!$B:$AG,32,FALSE)</f>
        <v>#N/A</v>
      </c>
      <c r="X1600" s="805" t="e">
        <f>VLOOKUP(A1600,'[1]Raw data'!$B:$BA,31,FALSE)</f>
        <v>#N/A</v>
      </c>
      <c r="Y1600" s="715" t="e">
        <f>VLOOKUP(A1600,'[1]Raw data'!$B:$AS,39,FALSE)</f>
        <v>#N/A</v>
      </c>
      <c r="Z1600" s="664"/>
      <c r="AA1600" s="665"/>
      <c r="AB1600" s="666"/>
      <c r="AC1600" s="715"/>
      <c r="AD1600" s="667"/>
      <c r="AE1600" s="667"/>
      <c r="AF1600" s="667"/>
      <c r="AG1600" s="667"/>
      <c r="AH1600" s="667"/>
      <c r="AI1600" s="668"/>
      <c r="AN1600" s="547"/>
      <c r="AO1600" s="829" t="str">
        <f t="shared" si="357"/>
        <v>No</v>
      </c>
      <c r="AP1600" s="259" t="str">
        <f t="shared" si="358"/>
        <v>blank</v>
      </c>
      <c r="AQ1600" s="547" t="str">
        <f t="shared" si="359"/>
        <v>无定金+无預留客戶</v>
      </c>
      <c r="AR1600" s="259" t="str">
        <f t="shared" si="380"/>
        <v/>
      </c>
      <c r="AS1600" s="259" t="str">
        <f t="shared" si="381"/>
        <v/>
      </c>
      <c r="AT1600" s="259" t="str">
        <f t="shared" si="362"/>
        <v>-</v>
      </c>
      <c r="AU1600" s="259" t="str">
        <f t="shared" si="363"/>
        <v>-</v>
      </c>
      <c r="AV1600" s="259" t="str">
        <f t="shared" si="364"/>
        <v>-</v>
      </c>
    </row>
    <row r="1601" spans="1:48" ht="13.5" thickBot="1">
      <c r="B1601" s="811"/>
      <c r="C1601" s="811"/>
      <c r="D1601" s="812"/>
      <c r="E1601" s="813"/>
      <c r="F1601" s="814"/>
      <c r="G1601" s="814"/>
      <c r="H1601" s="814"/>
      <c r="I1601" s="815"/>
      <c r="J1601" s="815"/>
      <c r="K1601" s="814"/>
      <c r="L1601" s="816"/>
      <c r="M1601" s="817"/>
      <c r="N1601" s="693"/>
      <c r="O1601" s="818"/>
      <c r="P1601" s="819" t="e">
        <f>VLOOKUP(A1601,'[1]Raw data'!$B:$BA,23,FALSE)</f>
        <v>#N/A</v>
      </c>
      <c r="Q1601" s="814" t="e">
        <f>VLOOKUP(A1601,'[1]Raw data'!$B:$Z,2,FALSE)</f>
        <v>#N/A</v>
      </c>
      <c r="R1601" s="814" t="e">
        <f>VLOOKUP(A1601,'[1]Raw data'!$B:$Z,3,FALSE)</f>
        <v>#N/A</v>
      </c>
      <c r="S1601" s="814" t="e">
        <f>VLOOKUP(A1601,'[1]Raw data'!$B:$Z,4,FALSE)</f>
        <v>#N/A</v>
      </c>
      <c r="T1601" s="814" t="e">
        <f>VLOOKUP(A1601,'[1]Raw data'!$B:$Z,8,FALSE)</f>
        <v>#N/A</v>
      </c>
      <c r="U1601" s="814" t="e">
        <f>VLOOKUP(A1601,'[1]Raw data'!$B:$Z,9,FALSE)</f>
        <v>#N/A</v>
      </c>
      <c r="V1601" s="820" t="e">
        <f t="shared" ref="V1601" si="383">IF(G1601&amp;H1601=T1601&amp;U1601,"OK","WRONG")</f>
        <v>#N/A</v>
      </c>
      <c r="W1601" s="806" t="e">
        <f>VLOOKUP(A1601,'[1]Raw data'!$B:$AG,32,FALSE)</f>
        <v>#N/A</v>
      </c>
      <c r="X1601" s="816" t="e">
        <f>VLOOKUP(A1601,'[1]Raw data'!$B:$BA,31,FALSE)</f>
        <v>#N/A</v>
      </c>
      <c r="Y1601" s="814" t="e">
        <f>VLOOKUP(A1601,'[1]Raw data'!$B:$AS,39,FALSE)</f>
        <v>#N/A</v>
      </c>
      <c r="Z1601" s="821"/>
      <c r="AA1601" s="822"/>
      <c r="AB1601" s="823"/>
      <c r="AC1601" s="814"/>
      <c r="AD1601" s="815"/>
      <c r="AE1601" s="815"/>
      <c r="AF1601" s="815"/>
      <c r="AG1601" s="815"/>
      <c r="AH1601" s="815"/>
      <c r="AI1601" s="824"/>
      <c r="AJ1601" s="815"/>
      <c r="AK1601" s="815"/>
      <c r="AL1601" s="815"/>
      <c r="AM1601" s="815"/>
      <c r="AN1601" s="825"/>
      <c r="AO1601" s="829" t="str">
        <f t="shared" si="357"/>
        <v>No</v>
      </c>
      <c r="AP1601" s="259" t="str">
        <f t="shared" si="358"/>
        <v>blank</v>
      </c>
      <c r="AQ1601" s="547" t="str">
        <f t="shared" si="359"/>
        <v>无定金+无預留客戶</v>
      </c>
      <c r="AR1601" s="259" t="str">
        <f t="shared" si="380"/>
        <v/>
      </c>
      <c r="AS1601" s="259" t="str">
        <f t="shared" si="381"/>
        <v/>
      </c>
      <c r="AT1601" s="259" t="str">
        <f t="shared" si="362"/>
        <v>-</v>
      </c>
      <c r="AU1601" s="259" t="str">
        <f t="shared" si="363"/>
        <v>-</v>
      </c>
      <c r="AV1601" s="259" t="str">
        <f t="shared" si="364"/>
        <v>-</v>
      </c>
    </row>
    <row r="1602" spans="1:48">
      <c r="A1602" s="564">
        <v>1294</v>
      </c>
      <c r="P1602" s="722" t="str">
        <f>VLOOKUP(A1602,'[1]Raw data'!$B:$BA,23,FALSE)</f>
        <v>JPY</v>
      </c>
      <c r="Q1602" s="715" t="str">
        <f>VLOOKUP(A1602,'[1]Raw data'!$B:$Z,2,FALSE)</f>
        <v>C49SZX20210101JD</v>
      </c>
      <c r="R1602" s="715" t="str">
        <f>VLOOKUP(A1602,'[1]Raw data'!$B:$Z,3,FALSE)</f>
        <v>聚亮兴业</v>
      </c>
      <c r="S1602" s="715" t="str">
        <f>VLOOKUP(A1602,'[1]Raw data'!$B:$Z,4,FALSE)</f>
        <v>YSM20R-2</v>
      </c>
      <c r="T1602" s="715" t="str">
        <f>VLOOKUP(A1602,'[1]Raw data'!$B:$Z,8,FALSE)</f>
        <v>L-&gt;R</v>
      </c>
      <c r="U1602" s="715" t="str">
        <f>VLOOKUP(A1602,'[1]Raw data'!$B:$Z,9,FALSE)</f>
        <v>No</v>
      </c>
      <c r="V1602" s="714" t="str">
        <f t="shared" ref="V1602" si="384">IF(G1602&amp;H1602=T1602&amp;U1602,"OK","WRONG")</f>
        <v>WRONG</v>
      </c>
      <c r="X1602" s="805">
        <f>VLOOKUP(A1602,'[1]Raw data'!$B:$BA,31,FALSE)</f>
        <v>44286</v>
      </c>
      <c r="Y1602" s="715" t="str">
        <f>VLOOKUP(A1602,'[1]Raw data'!$B:$AS,39,FALSE)</f>
        <v>Yes</v>
      </c>
      <c r="Z1602" s="547"/>
      <c r="AA1602" s="547"/>
      <c r="AB1602" s="547"/>
      <c r="AC1602" s="547"/>
      <c r="AD1602" s="547"/>
      <c r="AE1602" s="547"/>
      <c r="AF1602" s="547"/>
      <c r="AG1602" s="547"/>
      <c r="AH1602" s="547"/>
      <c r="AI1602" s="547"/>
      <c r="AJ1602" s="547"/>
      <c r="AK1602" s="547"/>
      <c r="AL1602" s="547"/>
      <c r="AM1602" s="547"/>
      <c r="AN1602" s="547"/>
      <c r="AO1602" s="829" t="str">
        <f t="shared" si="357"/>
        <v>Yes</v>
      </c>
      <c r="AP1602" s="259" t="str">
        <f t="shared" si="358"/>
        <v>blank</v>
      </c>
      <c r="AQ1602" s="547" t="str">
        <f t="shared" si="359"/>
        <v>有定金+无客戶送貨期</v>
      </c>
      <c r="AR1602" s="259" t="str">
        <f t="shared" si="380"/>
        <v/>
      </c>
      <c r="AS1602" s="259" t="str">
        <f t="shared" si="381"/>
        <v/>
      </c>
      <c r="AT1602" s="259" t="str">
        <f t="shared" si="362"/>
        <v>聚亮兴业</v>
      </c>
      <c r="AU1602" s="259" t="str">
        <f t="shared" si="363"/>
        <v>C49SZX20210101JD</v>
      </c>
      <c r="AV1602" s="259" t="str">
        <f t="shared" si="364"/>
        <v>-</v>
      </c>
    </row>
    <row r="1603" spans="1:48">
      <c r="A1603" s="564">
        <v>1129</v>
      </c>
      <c r="P1603" s="722" t="str">
        <f>VLOOKUP(A1603,'[1]Raw data'!$B:$BA,23,FALSE)</f>
        <v>JPY</v>
      </c>
      <c r="Q1603" s="715" t="str">
        <f>VLOOKUP(A1603,'[1]Raw data'!$B:$Z,2,FALSE)</f>
        <v>C49SZX20210043AY</v>
      </c>
      <c r="R1603" s="715" t="str">
        <f>VLOOKUP(A1603,'[1]Raw data'!$B:$Z,3,FALSE)</f>
        <v>正宏兴</v>
      </c>
      <c r="S1603" s="715" t="str">
        <f>VLOOKUP(A1603,'[1]Raw data'!$B:$Z,4,FALSE)</f>
        <v>YSM10</v>
      </c>
      <c r="T1603" s="715" t="str">
        <f>VLOOKUP(A1603,'[1]Raw data'!$B:$Z,8,FALSE)</f>
        <v>L-&gt;R</v>
      </c>
      <c r="U1603" s="715" t="str">
        <f>VLOOKUP(A1603,'[1]Raw data'!$B:$Z,9,FALSE)</f>
        <v>MVC</v>
      </c>
      <c r="V1603" s="714" t="str">
        <f t="shared" ref="V1603" si="385">IF(G1603&amp;H1603=T1603&amp;U1603,"OK","WRONG")</f>
        <v>WRONG</v>
      </c>
      <c r="X1603" s="805">
        <f>VLOOKUP(A1603,'[1]Raw data'!$B:$BA,31,FALSE)</f>
        <v>44230</v>
      </c>
      <c r="Y1603" s="715" t="str">
        <f>VLOOKUP(A1603,'[1]Raw data'!$B:$AS,39,FALSE)</f>
        <v>Yes</v>
      </c>
      <c r="Z1603" s="547"/>
      <c r="AA1603" s="547"/>
      <c r="AB1603" s="547"/>
      <c r="AO1603" s="829" t="str">
        <f t="shared" ref="AO1603:AO1665" si="386">IFERROR(IF(Y1603&lt;&gt;"",Y1603,"No"),"No")</f>
        <v>Yes</v>
      </c>
      <c r="AP1603" s="259" t="str">
        <f t="shared" si="358"/>
        <v>blank</v>
      </c>
      <c r="AQ1603" s="547" t="str">
        <f t="shared" ref="AQ1603:AQ1666" si="387">IFERROR(IF(AND(AO1603="Yes", AP1603&lt;&gt;"blank"), "有定金+有預留客戶", IF(AND(AO1603="Yes", AP1603="blank"), "有定金+无客戶送貨期", IF(AND(OR(AO1603="No", ISBLANK(AO1603), AO1603="NA"), AP1603&lt;&gt;"blank"), "无定金+有預留客戶", IF(AND(OR(AO1603="No", ISBLANK(AO1603), AO1603="NA"), AP1603="blank"), "无定金+无預留客戶", "")))), "")</f>
        <v>有定金+无客戶送貨期</v>
      </c>
      <c r="AR1603" s="259" t="str">
        <f t="shared" si="380"/>
        <v/>
      </c>
      <c r="AS1603" s="259" t="str">
        <f t="shared" si="381"/>
        <v/>
      </c>
      <c r="AT1603" s="259" t="str">
        <f t="shared" ref="AT1603:AT1665" si="388">IFERROR(IF(R1603&lt;&gt;"",R1603),"-")</f>
        <v>正宏兴</v>
      </c>
      <c r="AU1603" s="259" t="str">
        <f t="shared" ref="AU1603:AU1665" si="389">IFERROR(IF(Q1603&lt;&gt;"",Q1603),"-")</f>
        <v>C49SZX20210043AY</v>
      </c>
      <c r="AV1603" s="259" t="str">
        <f t="shared" ref="AV1603:AV1665" si="390">IF(L1603="","-",TEXT(L1603,"mmm-dd"))</f>
        <v>-</v>
      </c>
    </row>
    <row r="1604" spans="1:48">
      <c r="A1604" s="564">
        <v>1427</v>
      </c>
      <c r="P1604" s="722" t="str">
        <f>VLOOKUP(A1604,'[1]Raw data'!$B:$BA,23,FALSE)</f>
        <v>JPY</v>
      </c>
      <c r="Q1604" s="715" t="str">
        <f>VLOOKUP(A1604,'[1]Raw data'!$B:$Z,2,FALSE)</f>
        <v>C49SZX20210169VG</v>
      </c>
      <c r="R1604" s="715" t="str">
        <f>VLOOKUP(A1604,'[1]Raw data'!$B:$Z,3,FALSE)</f>
        <v>狂热者</v>
      </c>
      <c r="S1604" s="715" t="str">
        <f>VLOOKUP(A1604,'[1]Raw data'!$B:$Z,4,FALSE)</f>
        <v>YSM20R-2</v>
      </c>
      <c r="T1604" s="715" t="str">
        <f>VLOOKUP(A1604,'[1]Raw data'!$B:$Z,8,FALSE)</f>
        <v>L-&gt;R</v>
      </c>
      <c r="U1604" s="715" t="str">
        <f>VLOOKUP(A1604,'[1]Raw data'!$B:$Z,9,FALSE)</f>
        <v>No</v>
      </c>
      <c r="V1604" s="714" t="str">
        <f t="shared" ref="V1604:V1605" si="391">IF(G1604&amp;H1604=T1604&amp;U1604,"OK","WRONG")</f>
        <v>WRONG</v>
      </c>
      <c r="X1604" s="805">
        <f>VLOOKUP(A1604,'[1]Raw data'!$B:$BA,31,FALSE)</f>
        <v>44358</v>
      </c>
      <c r="Y1604" s="715" t="str">
        <f>VLOOKUP(A1604,'[1]Raw data'!$B:$AS,39,FALSE)</f>
        <v>Yes</v>
      </c>
      <c r="AO1604" s="829" t="str">
        <f t="shared" si="386"/>
        <v>Yes</v>
      </c>
      <c r="AP1604" s="259" t="str">
        <f t="shared" si="358"/>
        <v>blank</v>
      </c>
      <c r="AQ1604" s="547" t="str">
        <f t="shared" si="387"/>
        <v>有定金+无客戶送貨期</v>
      </c>
      <c r="AR1604" s="259" t="str">
        <f t="shared" si="380"/>
        <v/>
      </c>
      <c r="AS1604" s="259" t="str">
        <f t="shared" si="381"/>
        <v/>
      </c>
      <c r="AT1604" s="259" t="str">
        <f t="shared" si="388"/>
        <v>狂热者</v>
      </c>
      <c r="AU1604" s="259" t="str">
        <f t="shared" si="389"/>
        <v>C49SZX20210169VG</v>
      </c>
      <c r="AV1604" s="259" t="str">
        <f t="shared" si="390"/>
        <v>-</v>
      </c>
    </row>
    <row r="1605" spans="1:48">
      <c r="A1605" s="564">
        <v>1428</v>
      </c>
      <c r="P1605" s="722" t="str">
        <f>VLOOKUP(A1605,'[1]Raw data'!$B:$BA,23,FALSE)</f>
        <v>JPY</v>
      </c>
      <c r="Q1605" s="715" t="str">
        <f>VLOOKUP(A1605,'[1]Raw data'!$B:$Z,2,FALSE)</f>
        <v>C49SZX20210169VG</v>
      </c>
      <c r="R1605" s="715" t="str">
        <f>VLOOKUP(A1605,'[1]Raw data'!$B:$Z,3,FALSE)</f>
        <v>狂热者</v>
      </c>
      <c r="S1605" s="715" t="str">
        <f>VLOOKUP(A1605,'[1]Raw data'!$B:$Z,4,FALSE)</f>
        <v>YSM20R-2</v>
      </c>
      <c r="T1605" s="715" t="str">
        <f>VLOOKUP(A1605,'[1]Raw data'!$B:$Z,8,FALSE)</f>
        <v>L-&gt;R</v>
      </c>
      <c r="U1605" s="715" t="str">
        <f>VLOOKUP(A1605,'[1]Raw data'!$B:$Z,9,FALSE)</f>
        <v>No</v>
      </c>
      <c r="V1605" s="714" t="str">
        <f t="shared" si="391"/>
        <v>WRONG</v>
      </c>
      <c r="X1605" s="805">
        <f>VLOOKUP(A1605,'[1]Raw data'!$B:$BA,31,FALSE)</f>
        <v>44358</v>
      </c>
      <c r="Y1605" s="715" t="str">
        <f>VLOOKUP(A1605,'[1]Raw data'!$B:$AS,39,FALSE)</f>
        <v>Yes</v>
      </c>
      <c r="AO1605" s="829" t="str">
        <f t="shared" si="386"/>
        <v>Yes</v>
      </c>
      <c r="AP1605" s="259" t="str">
        <f t="shared" si="358"/>
        <v>blank</v>
      </c>
      <c r="AQ1605" s="547" t="str">
        <f t="shared" si="387"/>
        <v>有定金+无客戶送貨期</v>
      </c>
      <c r="AR1605" s="259" t="str">
        <f t="shared" si="380"/>
        <v/>
      </c>
      <c r="AS1605" s="259" t="str">
        <f t="shared" si="381"/>
        <v/>
      </c>
      <c r="AT1605" s="259" t="str">
        <f t="shared" si="388"/>
        <v>狂热者</v>
      </c>
      <c r="AU1605" s="259" t="str">
        <f t="shared" si="389"/>
        <v>C49SZX20210169VG</v>
      </c>
      <c r="AV1605" s="259" t="str">
        <f t="shared" si="390"/>
        <v>-</v>
      </c>
    </row>
    <row r="1606" spans="1:48">
      <c r="A1606" s="564">
        <v>1429</v>
      </c>
      <c r="P1606" s="722" t="str">
        <f>VLOOKUP(A1606,'[1]Raw data'!$B:$BA,23,FALSE)</f>
        <v>JPY</v>
      </c>
      <c r="Q1606" s="715" t="str">
        <f>VLOOKUP(A1606,'[1]Raw data'!$B:$Z,2,FALSE)</f>
        <v>C49SZX20210169VG</v>
      </c>
      <c r="R1606" s="715" t="str">
        <f>VLOOKUP(A1606,'[1]Raw data'!$B:$Z,3,FALSE)</f>
        <v>狂热者</v>
      </c>
      <c r="S1606" s="715" t="str">
        <f>VLOOKUP(A1606,'[1]Raw data'!$B:$Z,4,FALSE)</f>
        <v>YSM10</v>
      </c>
      <c r="T1606" s="715" t="str">
        <f>VLOOKUP(A1606,'[1]Raw data'!$B:$Z,8,FALSE)</f>
        <v>L-&gt;R</v>
      </c>
      <c r="U1606" s="715" t="str">
        <f>VLOOKUP(A1606,'[1]Raw data'!$B:$Z,9,FALSE)</f>
        <v>MVC F&amp;R+ATS15</v>
      </c>
      <c r="V1606" s="714" t="str">
        <f t="shared" ref="V1606:V1608" si="392">IF(G1606&amp;H1606=T1606&amp;U1606,"OK","WRONG")</f>
        <v>WRONG</v>
      </c>
      <c r="X1606" s="805">
        <f>VLOOKUP(A1606,'[1]Raw data'!$B:$BA,31,FALSE)</f>
        <v>44358</v>
      </c>
      <c r="Y1606" s="715" t="str">
        <f>VLOOKUP(A1606,'[1]Raw data'!$B:$AS,39,FALSE)</f>
        <v>Yes</v>
      </c>
      <c r="AO1606" s="829" t="str">
        <f t="shared" si="386"/>
        <v>Yes</v>
      </c>
      <c r="AP1606" s="259" t="str">
        <f t="shared" si="358"/>
        <v>blank</v>
      </c>
      <c r="AQ1606" s="547" t="str">
        <f t="shared" si="387"/>
        <v>有定金+无客戶送貨期</v>
      </c>
      <c r="AR1606" s="259" t="str">
        <f t="shared" si="380"/>
        <v/>
      </c>
      <c r="AS1606" s="259" t="str">
        <f t="shared" si="381"/>
        <v/>
      </c>
      <c r="AT1606" s="259" t="str">
        <f t="shared" si="388"/>
        <v>狂热者</v>
      </c>
      <c r="AU1606" s="259" t="str">
        <f t="shared" si="389"/>
        <v>C49SZX20210169VG</v>
      </c>
      <c r="AV1606" s="259" t="str">
        <f t="shared" si="390"/>
        <v>-</v>
      </c>
    </row>
    <row r="1607" spans="1:48">
      <c r="A1607" s="564">
        <v>1430</v>
      </c>
      <c r="P1607" s="722" t="str">
        <f>VLOOKUP(A1607,'[1]Raw data'!$B:$BA,23,FALSE)</f>
        <v>JPY</v>
      </c>
      <c r="Q1607" s="715" t="str">
        <f>VLOOKUP(A1607,'[1]Raw data'!$B:$Z,2,FALSE)</f>
        <v>C49SZX20210169VG（已发相机）</v>
      </c>
      <c r="R1607" s="715" t="str">
        <f>VLOOKUP(A1607,'[1]Raw data'!$B:$Z,3,FALSE)</f>
        <v>狂热者</v>
      </c>
      <c r="S1607" s="715" t="str">
        <f>VLOOKUP(A1607,'[1]Raw data'!$B:$Z,4,FALSE)</f>
        <v>YSM10</v>
      </c>
      <c r="T1607" s="715" t="str">
        <f>VLOOKUP(A1607,'[1]Raw data'!$B:$Z,8,FALSE)</f>
        <v>L-&gt;R</v>
      </c>
      <c r="U1607" s="715" t="str">
        <f>VLOOKUP(A1607,'[1]Raw data'!$B:$Z,9,FALSE)</f>
        <v>MVC+ATS15</v>
      </c>
      <c r="V1607" s="714" t="str">
        <f t="shared" si="392"/>
        <v>WRONG</v>
      </c>
      <c r="X1607" s="805">
        <f>VLOOKUP(A1607,'[1]Raw data'!$B:$BA,31,FALSE)</f>
        <v>44358</v>
      </c>
      <c r="Y1607" s="715" t="str">
        <f>VLOOKUP(A1607,'[1]Raw data'!$B:$AS,39,FALSE)</f>
        <v>Yes</v>
      </c>
      <c r="AO1607" s="829" t="str">
        <f t="shared" si="386"/>
        <v>Yes</v>
      </c>
      <c r="AP1607" s="259" t="str">
        <f t="shared" si="358"/>
        <v>blank</v>
      </c>
      <c r="AQ1607" s="547" t="str">
        <f t="shared" si="387"/>
        <v>有定金+无客戶送貨期</v>
      </c>
      <c r="AR1607" s="259" t="str">
        <f t="shared" si="380"/>
        <v/>
      </c>
      <c r="AS1607" s="259" t="str">
        <f t="shared" si="381"/>
        <v/>
      </c>
      <c r="AT1607" s="259" t="str">
        <f t="shared" si="388"/>
        <v>狂热者</v>
      </c>
      <c r="AU1607" s="259" t="str">
        <f t="shared" si="389"/>
        <v>C49SZX20210169VG（已发相机）</v>
      </c>
      <c r="AV1607" s="259" t="str">
        <f t="shared" si="390"/>
        <v>-</v>
      </c>
    </row>
    <row r="1608" spans="1:48">
      <c r="A1608" s="564">
        <v>1130</v>
      </c>
      <c r="P1608" s="722" t="str">
        <f>VLOOKUP(A1608,'[1]Raw data'!$B:$BA,23,FALSE)</f>
        <v>JPY</v>
      </c>
      <c r="Q1608" s="715" t="str">
        <f>VLOOKUP(A1608,'[1]Raw data'!$B:$Z,2,FALSE)</f>
        <v>C49SZX20210043AY</v>
      </c>
      <c r="R1608" s="715" t="str">
        <f>VLOOKUP(A1608,'[1]Raw data'!$B:$Z,3,FALSE)</f>
        <v>正宏兴</v>
      </c>
      <c r="S1608" s="715" t="str">
        <f>VLOOKUP(A1608,'[1]Raw data'!$B:$Z,4,FALSE)</f>
        <v>YSM20R-2</v>
      </c>
      <c r="T1608" s="715" t="str">
        <f>VLOOKUP(A1608,'[1]Raw data'!$B:$Z,8,FALSE)</f>
        <v>L-&gt;R</v>
      </c>
      <c r="U1608" s="715" t="str">
        <f>VLOOKUP(A1608,'[1]Raw data'!$B:$Z,9,FALSE)</f>
        <v>No</v>
      </c>
      <c r="V1608" s="714" t="str">
        <f t="shared" si="392"/>
        <v>WRONG</v>
      </c>
      <c r="X1608" s="805">
        <f>VLOOKUP(A1608,'[1]Raw data'!$B:$BA,31,FALSE)</f>
        <v>44230</v>
      </c>
      <c r="Y1608" s="715" t="str">
        <f>VLOOKUP(A1608,'[1]Raw data'!$B:$AS,39,FALSE)</f>
        <v>Yes</v>
      </c>
      <c r="AO1608" s="829" t="str">
        <f t="shared" si="386"/>
        <v>Yes</v>
      </c>
      <c r="AP1608" s="259" t="str">
        <f t="shared" si="358"/>
        <v>blank</v>
      </c>
      <c r="AQ1608" s="547" t="str">
        <f t="shared" si="387"/>
        <v>有定金+无客戶送貨期</v>
      </c>
      <c r="AR1608" s="259" t="str">
        <f t="shared" si="380"/>
        <v/>
      </c>
      <c r="AS1608" s="259" t="str">
        <f t="shared" si="381"/>
        <v/>
      </c>
      <c r="AT1608" s="259" t="str">
        <f t="shared" si="388"/>
        <v>正宏兴</v>
      </c>
      <c r="AU1608" s="259" t="str">
        <f t="shared" si="389"/>
        <v>C49SZX20210043AY</v>
      </c>
      <c r="AV1608" s="259" t="str">
        <f t="shared" si="390"/>
        <v>-</v>
      </c>
    </row>
    <row r="1609" spans="1:48">
      <c r="A1609" s="564">
        <v>1652</v>
      </c>
      <c r="P1609" s="722" t="str">
        <f>VLOOKUP(A1609,'[1]Raw data'!$B:$BA,23,FALSE)</f>
        <v>JPY</v>
      </c>
      <c r="Q1609" s="715" t="str">
        <f>VLOOKUP(A1609,'[1]Raw data'!$B:$Z,2,FALSE)</f>
        <v>C49SZX20220049JY</v>
      </c>
      <c r="R1609" s="715" t="str">
        <f>VLOOKUP(A1609,'[1]Raw data'!$B:$Z,3,FALSE)</f>
        <v>辉拓</v>
      </c>
      <c r="S1609" s="715" t="str">
        <f>VLOOKUP(A1609,'[1]Raw data'!$B:$Z,4,FALSE)</f>
        <v>YSM20R-2</v>
      </c>
      <c r="T1609" s="715" t="str">
        <f>VLOOKUP(A1609,'[1]Raw data'!$B:$Z,8,FALSE)</f>
        <v>L-&gt;R</v>
      </c>
      <c r="U1609" s="715" t="str">
        <f>VLOOKUP(A1609,'[1]Raw data'!$B:$Z,9,FALSE)</f>
        <v>MVC</v>
      </c>
      <c r="V1609" s="714" t="str">
        <f t="shared" ref="V1609:V1610" si="393">IF(G1609&amp;H1609=T1609&amp;U1609,"OK","WRONG")</f>
        <v>WRONG</v>
      </c>
      <c r="X1609" s="805">
        <f>VLOOKUP(A1609,'[1]Raw data'!$B:$BA,31,FALSE)</f>
        <v>44672</v>
      </c>
      <c r="Y1609" s="715" t="str">
        <f>VLOOKUP(A1609,'[1]Raw data'!$B:$AS,39,FALSE)</f>
        <v>Yes</v>
      </c>
      <c r="AO1609" s="829" t="str">
        <f t="shared" si="386"/>
        <v>Yes</v>
      </c>
      <c r="AP1609" s="259" t="str">
        <f t="shared" si="358"/>
        <v>blank</v>
      </c>
      <c r="AQ1609" s="547" t="str">
        <f t="shared" si="387"/>
        <v>有定金+无客戶送貨期</v>
      </c>
      <c r="AR1609" s="259" t="str">
        <f t="shared" si="380"/>
        <v/>
      </c>
      <c r="AS1609" s="259" t="str">
        <f t="shared" si="381"/>
        <v/>
      </c>
      <c r="AT1609" s="259" t="str">
        <f t="shared" si="388"/>
        <v>辉拓</v>
      </c>
      <c r="AU1609" s="259" t="str">
        <f t="shared" si="389"/>
        <v>C49SZX20220049JY</v>
      </c>
      <c r="AV1609" s="259" t="str">
        <f t="shared" si="390"/>
        <v>-</v>
      </c>
    </row>
    <row r="1610" spans="1:48">
      <c r="A1610" s="564">
        <v>1654</v>
      </c>
      <c r="P1610" s="722" t="str">
        <f>VLOOKUP(A1610,'[1]Raw data'!$B:$BA,23,FALSE)</f>
        <v>JPY</v>
      </c>
      <c r="Q1610" s="715" t="str">
        <f>VLOOKUP(A1610,'[1]Raw data'!$B:$Z,2,FALSE)</f>
        <v>C49SZX20220049JY</v>
      </c>
      <c r="R1610" s="715" t="str">
        <f>VLOOKUP(A1610,'[1]Raw data'!$B:$Z,3,FALSE)</f>
        <v>辉拓</v>
      </c>
      <c r="S1610" s="715" t="str">
        <f>VLOOKUP(A1610,'[1]Raw data'!$B:$Z,4,FALSE)</f>
        <v>YSM20R-2</v>
      </c>
      <c r="T1610" s="715" t="str">
        <f>VLOOKUP(A1610,'[1]Raw data'!$B:$Z,8,FALSE)</f>
        <v>L-&gt;R</v>
      </c>
      <c r="U1610" s="715" t="str">
        <f>VLOOKUP(A1610,'[1]Raw data'!$B:$Z,9,FALSE)</f>
        <v>No</v>
      </c>
      <c r="V1610" s="714" t="str">
        <f t="shared" si="393"/>
        <v>WRONG</v>
      </c>
      <c r="X1610" s="805">
        <f>VLOOKUP(A1610,'[1]Raw data'!$B:$BA,31,FALSE)</f>
        <v>44672</v>
      </c>
      <c r="Y1610" s="715" t="str">
        <f>VLOOKUP(A1610,'[1]Raw data'!$B:$AS,39,FALSE)</f>
        <v>Yes</v>
      </c>
      <c r="AO1610" s="829" t="str">
        <f t="shared" si="386"/>
        <v>Yes</v>
      </c>
      <c r="AP1610" s="259" t="str">
        <f t="shared" si="358"/>
        <v>blank</v>
      </c>
      <c r="AQ1610" s="547" t="str">
        <f t="shared" si="387"/>
        <v>有定金+无客戶送貨期</v>
      </c>
      <c r="AR1610" s="259" t="str">
        <f t="shared" si="380"/>
        <v/>
      </c>
      <c r="AS1610" s="259" t="str">
        <f t="shared" si="381"/>
        <v/>
      </c>
      <c r="AT1610" s="259" t="str">
        <f t="shared" si="388"/>
        <v>辉拓</v>
      </c>
      <c r="AU1610" s="259" t="str">
        <f t="shared" si="389"/>
        <v>C49SZX20220049JY</v>
      </c>
      <c r="AV1610" s="259" t="str">
        <f t="shared" si="390"/>
        <v>-</v>
      </c>
    </row>
    <row r="1611" spans="1:48">
      <c r="A1611" s="564">
        <v>2073</v>
      </c>
      <c r="P1611" s="722" t="str">
        <f>VLOOKUP(A1611,'[1]Raw data'!$B:$BA,23,FALSE)</f>
        <v>JPY</v>
      </c>
      <c r="Q1611" s="715" t="str">
        <f>VLOOKUP(A1611,'[1]Raw data'!$B:$Z,2,FALSE)</f>
        <v>C49SZX20230010MZ</v>
      </c>
      <c r="R1611" s="715" t="str">
        <f>VLOOKUP(A1611,'[1]Raw data'!$B:$Z,3,FALSE)</f>
        <v>鸿楠</v>
      </c>
      <c r="S1611" s="715" t="str">
        <f>VLOOKUP(A1611,'[1]Raw data'!$B:$Z,4,FALSE)</f>
        <v>YSM20R-2</v>
      </c>
      <c r="T1611" s="715" t="str">
        <f>VLOOKUP(A1611,'[1]Raw data'!$B:$Z,8,FALSE)</f>
        <v>R-&gt;L</v>
      </c>
      <c r="U1611" s="715" t="str">
        <f>VLOOKUP(A1611,'[1]Raw data'!$B:$Z,9,FALSE)</f>
        <v>No</v>
      </c>
      <c r="V1611" s="714" t="str">
        <f t="shared" ref="V1611:V1621" si="394">IF(G1611&amp;H1611=T1611&amp;U1611,"OK","WRONG")</f>
        <v>WRONG</v>
      </c>
      <c r="X1611" s="805">
        <f>VLOOKUP(A1611,'[1]Raw data'!$B:$BA,31,FALSE)</f>
        <v>45313</v>
      </c>
      <c r="Y1611" s="715" t="str">
        <f>VLOOKUP(A1611,'[1]Raw data'!$B:$AS,39,FALSE)</f>
        <v>No</v>
      </c>
      <c r="AO1611" s="829" t="str">
        <f t="shared" si="386"/>
        <v>No</v>
      </c>
      <c r="AP1611" s="259" t="str">
        <f t="shared" si="358"/>
        <v>blank</v>
      </c>
      <c r="AQ1611" s="547" t="str">
        <f t="shared" si="387"/>
        <v>无定金+无預留客戶</v>
      </c>
      <c r="AR1611" s="259" t="str">
        <f t="shared" si="380"/>
        <v/>
      </c>
      <c r="AS1611" s="259" t="str">
        <f t="shared" si="381"/>
        <v/>
      </c>
      <c r="AT1611" s="259" t="str">
        <f t="shared" si="388"/>
        <v>鸿楠</v>
      </c>
      <c r="AU1611" s="259" t="str">
        <f t="shared" si="389"/>
        <v>C49SZX20230010MZ</v>
      </c>
      <c r="AV1611" s="259" t="str">
        <f t="shared" si="390"/>
        <v>-</v>
      </c>
    </row>
    <row r="1612" spans="1:48">
      <c r="A1612" s="564">
        <v>2074</v>
      </c>
      <c r="P1612" s="722" t="str">
        <f>VLOOKUP(A1612,'[1]Raw data'!$B:$BA,23,FALSE)</f>
        <v>JPY</v>
      </c>
      <c r="Q1612" s="715" t="str">
        <f>VLOOKUP(A1612,'[1]Raw data'!$B:$Z,2,FALSE)</f>
        <v>C49SZX20230010MZ</v>
      </c>
      <c r="R1612" s="715" t="str">
        <f>VLOOKUP(A1612,'[1]Raw data'!$B:$Z,3,FALSE)</f>
        <v>鸿楠</v>
      </c>
      <c r="S1612" s="715" t="str">
        <f>VLOOKUP(A1612,'[1]Raw data'!$B:$Z,4,FALSE)</f>
        <v>YSM20R-2</v>
      </c>
      <c r="T1612" s="715" t="str">
        <f>VLOOKUP(A1612,'[1]Raw data'!$B:$Z,8,FALSE)</f>
        <v>R-&gt;L</v>
      </c>
      <c r="U1612" s="715" t="str">
        <f>VLOOKUP(A1612,'[1]Raw data'!$B:$Z,9,FALSE)</f>
        <v>No</v>
      </c>
      <c r="V1612" s="714" t="str">
        <f t="shared" si="394"/>
        <v>WRONG</v>
      </c>
      <c r="X1612" s="805">
        <f>VLOOKUP(A1612,'[1]Raw data'!$B:$BA,31,FALSE)</f>
        <v>45313</v>
      </c>
      <c r="Y1612" s="715" t="str">
        <f>VLOOKUP(A1612,'[1]Raw data'!$B:$AS,39,FALSE)</f>
        <v>No</v>
      </c>
      <c r="AO1612" s="829" t="str">
        <f t="shared" si="386"/>
        <v>No</v>
      </c>
      <c r="AP1612" s="259" t="str">
        <f t="shared" si="358"/>
        <v>blank</v>
      </c>
      <c r="AQ1612" s="547" t="str">
        <f t="shared" si="387"/>
        <v>无定金+无預留客戶</v>
      </c>
      <c r="AR1612" s="259" t="str">
        <f t="shared" si="380"/>
        <v/>
      </c>
      <c r="AS1612" s="259" t="str">
        <f t="shared" si="381"/>
        <v/>
      </c>
      <c r="AT1612" s="259" t="str">
        <f t="shared" si="388"/>
        <v>鸿楠</v>
      </c>
      <c r="AU1612" s="259" t="str">
        <f t="shared" si="389"/>
        <v>C49SZX20230010MZ</v>
      </c>
      <c r="AV1612" s="259" t="str">
        <f t="shared" si="390"/>
        <v>-</v>
      </c>
    </row>
    <row r="1613" spans="1:48">
      <c r="A1613" s="564">
        <v>2075</v>
      </c>
      <c r="P1613" s="722" t="str">
        <f>VLOOKUP(A1613,'[1]Raw data'!$B:$BA,23,FALSE)</f>
        <v>JPY</v>
      </c>
      <c r="Q1613" s="715" t="str">
        <f>VLOOKUP(A1613,'[1]Raw data'!$B:$Z,2,FALSE)</f>
        <v>C49SZX20230010MZ</v>
      </c>
      <c r="R1613" s="715" t="str">
        <f>VLOOKUP(A1613,'[1]Raw data'!$B:$Z,3,FALSE)</f>
        <v>鸿楠</v>
      </c>
      <c r="S1613" s="715" t="str">
        <f>VLOOKUP(A1613,'[1]Raw data'!$B:$Z,4,FALSE)</f>
        <v>YSM10</v>
      </c>
      <c r="T1613" s="715" t="str">
        <f>VLOOKUP(A1613,'[1]Raw data'!$B:$Z,8,FALSE)</f>
        <v>R-&gt;L</v>
      </c>
      <c r="U1613" s="715" t="str">
        <f>VLOOKUP(A1613,'[1]Raw data'!$B:$Z,9,FALSE)</f>
        <v>MVC</v>
      </c>
      <c r="V1613" s="714" t="str">
        <f t="shared" si="394"/>
        <v>WRONG</v>
      </c>
      <c r="X1613" s="805">
        <f>VLOOKUP(A1613,'[1]Raw data'!$B:$BA,31,FALSE)</f>
        <v>45313</v>
      </c>
      <c r="Y1613" s="715" t="str">
        <f>VLOOKUP(A1613,'[1]Raw data'!$B:$AS,39,FALSE)</f>
        <v>No</v>
      </c>
      <c r="AO1613" s="829" t="str">
        <f t="shared" si="386"/>
        <v>No</v>
      </c>
      <c r="AP1613" s="259" t="str">
        <f t="shared" si="358"/>
        <v>blank</v>
      </c>
      <c r="AQ1613" s="547" t="str">
        <f t="shared" si="387"/>
        <v>无定金+无預留客戶</v>
      </c>
      <c r="AR1613" s="259" t="str">
        <f t="shared" si="380"/>
        <v/>
      </c>
      <c r="AS1613" s="259" t="str">
        <f t="shared" si="381"/>
        <v/>
      </c>
      <c r="AT1613" s="259" t="str">
        <f t="shared" si="388"/>
        <v>鸿楠</v>
      </c>
      <c r="AU1613" s="259" t="str">
        <f t="shared" si="389"/>
        <v>C49SZX20230010MZ</v>
      </c>
      <c r="AV1613" s="259" t="str">
        <f t="shared" si="390"/>
        <v>-</v>
      </c>
    </row>
    <row r="1614" spans="1:48">
      <c r="A1614" s="564">
        <v>2076</v>
      </c>
      <c r="P1614" s="722" t="str">
        <f>VLOOKUP(A1614,'[1]Raw data'!$B:$BA,23,FALSE)</f>
        <v>JPY</v>
      </c>
      <c r="Q1614" s="715" t="str">
        <f>VLOOKUP(A1614,'[1]Raw data'!$B:$Z,2,FALSE)</f>
        <v>C49SZX20230010MZ</v>
      </c>
      <c r="R1614" s="715" t="str">
        <f>VLOOKUP(A1614,'[1]Raw data'!$B:$Z,3,FALSE)</f>
        <v>鸿楠</v>
      </c>
      <c r="S1614" s="715" t="str">
        <f>VLOOKUP(A1614,'[1]Raw data'!$B:$Z,4,FALSE)</f>
        <v>YSM10</v>
      </c>
      <c r="T1614" s="715" t="str">
        <f>VLOOKUP(A1614,'[1]Raw data'!$B:$Z,8,FALSE)</f>
        <v>R-&gt;L</v>
      </c>
      <c r="U1614" s="715" t="str">
        <f>VLOOKUP(A1614,'[1]Raw data'!$B:$Z,9,FALSE)</f>
        <v>MVC</v>
      </c>
      <c r="V1614" s="714" t="str">
        <f t="shared" si="394"/>
        <v>WRONG</v>
      </c>
      <c r="X1614" s="805">
        <f>VLOOKUP(A1614,'[1]Raw data'!$B:$BA,31,FALSE)</f>
        <v>45313</v>
      </c>
      <c r="Y1614" s="715" t="str">
        <f>VLOOKUP(A1614,'[1]Raw data'!$B:$AS,39,FALSE)</f>
        <v>No</v>
      </c>
      <c r="AO1614" s="829" t="str">
        <f t="shared" si="386"/>
        <v>No</v>
      </c>
      <c r="AP1614" s="259" t="str">
        <f t="shared" si="358"/>
        <v>blank</v>
      </c>
      <c r="AQ1614" s="547" t="str">
        <f t="shared" si="387"/>
        <v>无定金+无預留客戶</v>
      </c>
      <c r="AR1614" s="259" t="str">
        <f t="shared" si="380"/>
        <v/>
      </c>
      <c r="AS1614" s="259" t="str">
        <f t="shared" si="381"/>
        <v/>
      </c>
      <c r="AT1614" s="259" t="str">
        <f t="shared" si="388"/>
        <v>鸿楠</v>
      </c>
      <c r="AU1614" s="259" t="str">
        <f t="shared" si="389"/>
        <v>C49SZX20230010MZ</v>
      </c>
      <c r="AV1614" s="259" t="str">
        <f t="shared" si="390"/>
        <v>-</v>
      </c>
    </row>
    <row r="1615" spans="1:48">
      <c r="A1615" s="564">
        <v>2078</v>
      </c>
      <c r="P1615" s="722" t="str">
        <f>VLOOKUP(A1615,'[1]Raw data'!$B:$BA,23,FALSE)</f>
        <v>JPY</v>
      </c>
      <c r="Q1615" s="715" t="str">
        <f>VLOOKUP(A1615,'[1]Raw data'!$B:$Z,2,FALSE)</f>
        <v>C28SZX20240012MZ</v>
      </c>
      <c r="R1615" s="715" t="str">
        <f>VLOOKUP(A1615,'[1]Raw data'!$B:$Z,3,FALSE)</f>
        <v>鸿楠</v>
      </c>
      <c r="S1615" s="715" t="str">
        <f>VLOOKUP(A1615,'[1]Raw data'!$B:$Z,4,FALSE)</f>
        <v>YSi-V</v>
      </c>
      <c r="T1615" s="715" t="str">
        <f>VLOOKUP(A1615,'[1]Raw data'!$B:$Z,8,FALSE)</f>
        <v>R-&gt;L</v>
      </c>
      <c r="U1615" s="715" t="str">
        <f>VLOOKUP(A1615,'[1]Raw data'!$B:$Z,9,FALSE)</f>
        <v>No</v>
      </c>
      <c r="V1615" s="714" t="str">
        <f t="shared" si="394"/>
        <v>WRONG</v>
      </c>
      <c r="X1615" s="805">
        <f>VLOOKUP(A1615,'[1]Raw data'!$B:$BA,31,FALSE)</f>
        <v>45313</v>
      </c>
      <c r="Y1615" s="715" t="str">
        <f>VLOOKUP(A1615,'[1]Raw data'!$B:$AS,39,FALSE)</f>
        <v>No</v>
      </c>
      <c r="AO1615" s="829" t="str">
        <f t="shared" si="386"/>
        <v>No</v>
      </c>
      <c r="AP1615" s="259" t="str">
        <f t="shared" si="358"/>
        <v>blank</v>
      </c>
      <c r="AQ1615" s="547" t="str">
        <f t="shared" si="387"/>
        <v>无定金+无預留客戶</v>
      </c>
      <c r="AR1615" s="259" t="str">
        <f t="shared" si="380"/>
        <v/>
      </c>
      <c r="AS1615" s="259" t="str">
        <f t="shared" si="381"/>
        <v/>
      </c>
      <c r="AT1615" s="259" t="str">
        <f t="shared" si="388"/>
        <v>鸿楠</v>
      </c>
      <c r="AU1615" s="259" t="str">
        <f t="shared" si="389"/>
        <v>C28SZX20240012MZ</v>
      </c>
      <c r="AV1615" s="259" t="str">
        <f t="shared" si="390"/>
        <v>-</v>
      </c>
    </row>
    <row r="1616" spans="1:48">
      <c r="P1616" s="722" t="e">
        <f>VLOOKUP(A1616,'[1]Raw data'!$B:$BA,23,FALSE)</f>
        <v>#N/A</v>
      </c>
      <c r="Q1616" s="715" t="e">
        <f>VLOOKUP(A1616,'[1]Raw data'!$B:$Z,2,FALSE)</f>
        <v>#N/A</v>
      </c>
      <c r="R1616" s="715" t="e">
        <f>VLOOKUP(A1616,'[1]Raw data'!$B:$Z,3,FALSE)</f>
        <v>#N/A</v>
      </c>
      <c r="S1616" s="715" t="e">
        <f>VLOOKUP(A1616,'[1]Raw data'!$B:$Z,4,FALSE)</f>
        <v>#N/A</v>
      </c>
      <c r="T1616" s="715" t="e">
        <f>VLOOKUP(A1616,'[1]Raw data'!$B:$Z,8,FALSE)</f>
        <v>#N/A</v>
      </c>
      <c r="U1616" s="715" t="e">
        <f>VLOOKUP(A1616,'[1]Raw data'!$B:$Z,9,FALSE)</f>
        <v>#N/A</v>
      </c>
      <c r="V1616" s="714" t="e">
        <f t="shared" si="394"/>
        <v>#N/A</v>
      </c>
      <c r="X1616" s="805" t="e">
        <f>VLOOKUP(A1616,'[1]Raw data'!$B:$BA,31,FALSE)</f>
        <v>#N/A</v>
      </c>
      <c r="Y1616" s="715" t="e">
        <f>VLOOKUP(A1616,'[1]Raw data'!$B:$AS,39,FALSE)</f>
        <v>#N/A</v>
      </c>
      <c r="AO1616" s="829" t="str">
        <f t="shared" si="386"/>
        <v>No</v>
      </c>
      <c r="AP1616" s="259" t="str">
        <f t="shared" ref="AP1616:AP1669" si="395">IFERROR(IF(N1616&lt;&gt;"",N1616,"blank"),"NA")</f>
        <v>blank</v>
      </c>
      <c r="AQ1616" s="547" t="str">
        <f t="shared" si="387"/>
        <v>无定金+无預留客戶</v>
      </c>
      <c r="AR1616" s="259" t="str">
        <f t="shared" si="380"/>
        <v/>
      </c>
      <c r="AS1616" s="259" t="str">
        <f t="shared" si="381"/>
        <v/>
      </c>
      <c r="AT1616" s="259" t="str">
        <f t="shared" si="388"/>
        <v>-</v>
      </c>
      <c r="AU1616" s="259" t="str">
        <f t="shared" si="389"/>
        <v>-</v>
      </c>
      <c r="AV1616" s="259" t="str">
        <f t="shared" si="390"/>
        <v>-</v>
      </c>
    </row>
    <row r="1617" spans="16:48">
      <c r="P1617" s="722" t="e">
        <f>VLOOKUP(A1617,'[1]Raw data'!$B:$BA,23,FALSE)</f>
        <v>#N/A</v>
      </c>
      <c r="Q1617" s="715" t="e">
        <f>VLOOKUP(A1617,'[1]Raw data'!$B:$Z,2,FALSE)</f>
        <v>#N/A</v>
      </c>
      <c r="R1617" s="715" t="e">
        <f>VLOOKUP(A1617,'[1]Raw data'!$B:$Z,3,FALSE)</f>
        <v>#N/A</v>
      </c>
      <c r="S1617" s="715" t="e">
        <f>VLOOKUP(A1617,'[1]Raw data'!$B:$Z,4,FALSE)</f>
        <v>#N/A</v>
      </c>
      <c r="T1617" s="715" t="e">
        <f>VLOOKUP(A1617,'[1]Raw data'!$B:$Z,8,FALSE)</f>
        <v>#N/A</v>
      </c>
      <c r="U1617" s="715" t="e">
        <f>VLOOKUP(A1617,'[1]Raw data'!$B:$Z,9,FALSE)</f>
        <v>#N/A</v>
      </c>
      <c r="V1617" s="714" t="e">
        <f t="shared" si="394"/>
        <v>#N/A</v>
      </c>
      <c r="X1617" s="805" t="e">
        <f>VLOOKUP(A1617,'[1]Raw data'!$B:$BA,31,FALSE)</f>
        <v>#N/A</v>
      </c>
      <c r="Y1617" s="715" t="e">
        <f>VLOOKUP(A1617,'[1]Raw data'!$B:$AS,39,FALSE)</f>
        <v>#N/A</v>
      </c>
      <c r="AO1617" s="829" t="str">
        <f t="shared" si="386"/>
        <v>No</v>
      </c>
      <c r="AP1617" s="259" t="str">
        <f t="shared" si="395"/>
        <v>blank</v>
      </c>
      <c r="AQ1617" s="547" t="str">
        <f t="shared" si="387"/>
        <v>无定金+无預留客戶</v>
      </c>
      <c r="AR1617" s="259" t="str">
        <f t="shared" si="380"/>
        <v/>
      </c>
      <c r="AS1617" s="259" t="str">
        <f t="shared" si="381"/>
        <v/>
      </c>
      <c r="AT1617" s="259" t="str">
        <f t="shared" si="388"/>
        <v>-</v>
      </c>
      <c r="AU1617" s="259" t="str">
        <f t="shared" si="389"/>
        <v>-</v>
      </c>
      <c r="AV1617" s="259" t="str">
        <f t="shared" si="390"/>
        <v>-</v>
      </c>
    </row>
    <row r="1618" spans="16:48">
      <c r="P1618" s="722" t="e">
        <f>VLOOKUP(A1618,'[1]Raw data'!$B:$BA,23,FALSE)</f>
        <v>#N/A</v>
      </c>
      <c r="Q1618" s="715" t="e">
        <f>VLOOKUP(A1618,'[1]Raw data'!$B:$Z,2,FALSE)</f>
        <v>#N/A</v>
      </c>
      <c r="R1618" s="715" t="e">
        <f>VLOOKUP(A1618,'[1]Raw data'!$B:$Z,3,FALSE)</f>
        <v>#N/A</v>
      </c>
      <c r="S1618" s="715" t="e">
        <f>VLOOKUP(A1618,'[1]Raw data'!$B:$Z,4,FALSE)</f>
        <v>#N/A</v>
      </c>
      <c r="T1618" s="715" t="e">
        <f>VLOOKUP(A1618,'[1]Raw data'!$B:$Z,8,FALSE)</f>
        <v>#N/A</v>
      </c>
      <c r="U1618" s="715" t="e">
        <f>VLOOKUP(A1618,'[1]Raw data'!$B:$Z,9,FALSE)</f>
        <v>#N/A</v>
      </c>
      <c r="V1618" s="714" t="e">
        <f t="shared" si="394"/>
        <v>#N/A</v>
      </c>
      <c r="X1618" s="805" t="e">
        <f>VLOOKUP(A1618,'[1]Raw data'!$B:$BA,31,FALSE)</f>
        <v>#N/A</v>
      </c>
      <c r="Y1618" s="715" t="e">
        <f>VLOOKUP(A1618,'[1]Raw data'!$B:$AS,39,FALSE)</f>
        <v>#N/A</v>
      </c>
      <c r="AO1618" s="829" t="str">
        <f t="shared" si="386"/>
        <v>No</v>
      </c>
      <c r="AP1618" s="259" t="str">
        <f t="shared" si="395"/>
        <v>blank</v>
      </c>
      <c r="AQ1618" s="547" t="str">
        <f t="shared" si="387"/>
        <v>无定金+无預留客戶</v>
      </c>
      <c r="AR1618" s="259" t="str">
        <f t="shared" si="380"/>
        <v/>
      </c>
      <c r="AS1618" s="259" t="str">
        <f t="shared" si="381"/>
        <v/>
      </c>
      <c r="AT1618" s="259" t="str">
        <f t="shared" si="388"/>
        <v>-</v>
      </c>
      <c r="AU1618" s="259" t="str">
        <f t="shared" si="389"/>
        <v>-</v>
      </c>
      <c r="AV1618" s="259" t="str">
        <f t="shared" si="390"/>
        <v>-</v>
      </c>
    </row>
    <row r="1619" spans="16:48">
      <c r="P1619" s="722" t="e">
        <f>VLOOKUP(A1619,'[1]Raw data'!$B:$BA,23,FALSE)</f>
        <v>#N/A</v>
      </c>
      <c r="Q1619" s="715" t="e">
        <f>VLOOKUP(A1619,'[1]Raw data'!$B:$Z,2,FALSE)</f>
        <v>#N/A</v>
      </c>
      <c r="R1619" s="715" t="e">
        <f>VLOOKUP(A1619,'[1]Raw data'!$B:$Z,3,FALSE)</f>
        <v>#N/A</v>
      </c>
      <c r="S1619" s="715" t="e">
        <f>VLOOKUP(A1619,'[1]Raw data'!$B:$Z,4,FALSE)</f>
        <v>#N/A</v>
      </c>
      <c r="T1619" s="715" t="e">
        <f>VLOOKUP(A1619,'[1]Raw data'!$B:$Z,8,FALSE)</f>
        <v>#N/A</v>
      </c>
      <c r="U1619" s="715" t="e">
        <f>VLOOKUP(A1619,'[1]Raw data'!$B:$Z,9,FALSE)</f>
        <v>#N/A</v>
      </c>
      <c r="V1619" s="714" t="e">
        <f t="shared" si="394"/>
        <v>#N/A</v>
      </c>
      <c r="X1619" s="805" t="e">
        <f>VLOOKUP(A1619,'[1]Raw data'!$B:$BA,31,FALSE)</f>
        <v>#N/A</v>
      </c>
      <c r="Y1619" s="715" t="e">
        <f>VLOOKUP(A1619,'[1]Raw data'!$B:$AS,39,FALSE)</f>
        <v>#N/A</v>
      </c>
      <c r="AO1619" s="829" t="str">
        <f t="shared" si="386"/>
        <v>No</v>
      </c>
      <c r="AP1619" s="259" t="str">
        <f t="shared" si="395"/>
        <v>blank</v>
      </c>
      <c r="AQ1619" s="547" t="str">
        <f t="shared" si="387"/>
        <v>无定金+无預留客戶</v>
      </c>
      <c r="AR1619" s="259" t="str">
        <f t="shared" si="380"/>
        <v/>
      </c>
      <c r="AS1619" s="259" t="str">
        <f t="shared" si="381"/>
        <v/>
      </c>
      <c r="AT1619" s="259" t="str">
        <f t="shared" si="388"/>
        <v>-</v>
      </c>
      <c r="AU1619" s="259" t="str">
        <f t="shared" si="389"/>
        <v>-</v>
      </c>
      <c r="AV1619" s="259" t="str">
        <f t="shared" si="390"/>
        <v>-</v>
      </c>
    </row>
    <row r="1620" spans="16:48">
      <c r="P1620" s="722" t="e">
        <f>VLOOKUP(A1620,'[1]Raw data'!$B:$BA,23,FALSE)</f>
        <v>#N/A</v>
      </c>
      <c r="Q1620" s="715" t="e">
        <f>VLOOKUP(A1620,'[1]Raw data'!$B:$Z,2,FALSE)</f>
        <v>#N/A</v>
      </c>
      <c r="R1620" s="715" t="e">
        <f>VLOOKUP(A1620,'[1]Raw data'!$B:$Z,3,FALSE)</f>
        <v>#N/A</v>
      </c>
      <c r="S1620" s="715" t="e">
        <f>VLOOKUP(A1620,'[1]Raw data'!$B:$Z,4,FALSE)</f>
        <v>#N/A</v>
      </c>
      <c r="T1620" s="715" t="e">
        <f>VLOOKUP(A1620,'[1]Raw data'!$B:$Z,8,FALSE)</f>
        <v>#N/A</v>
      </c>
      <c r="U1620" s="715" t="e">
        <f>VLOOKUP(A1620,'[1]Raw data'!$B:$Z,9,FALSE)</f>
        <v>#N/A</v>
      </c>
      <c r="V1620" s="714" t="e">
        <f t="shared" si="394"/>
        <v>#N/A</v>
      </c>
      <c r="X1620" s="805" t="e">
        <f>VLOOKUP(A1620,'[1]Raw data'!$B:$BA,31,FALSE)</f>
        <v>#N/A</v>
      </c>
      <c r="Y1620" s="715" t="e">
        <f>VLOOKUP(A1620,'[1]Raw data'!$B:$AS,39,FALSE)</f>
        <v>#N/A</v>
      </c>
      <c r="AO1620" s="829" t="str">
        <f t="shared" si="386"/>
        <v>No</v>
      </c>
      <c r="AP1620" s="259" t="str">
        <f t="shared" si="395"/>
        <v>blank</v>
      </c>
      <c r="AQ1620" s="547" t="str">
        <f t="shared" si="387"/>
        <v>无定金+无預留客戶</v>
      </c>
      <c r="AR1620" s="259" t="str">
        <f t="shared" si="380"/>
        <v/>
      </c>
      <c r="AS1620" s="259" t="str">
        <f t="shared" si="381"/>
        <v/>
      </c>
      <c r="AT1620" s="259" t="str">
        <f t="shared" si="388"/>
        <v>-</v>
      </c>
      <c r="AU1620" s="259" t="str">
        <f t="shared" si="389"/>
        <v>-</v>
      </c>
      <c r="AV1620" s="259" t="str">
        <f t="shared" si="390"/>
        <v>-</v>
      </c>
    </row>
    <row r="1621" spans="16:48">
      <c r="P1621" s="722" t="e">
        <f>VLOOKUP(A1621,'[1]Raw data'!$B:$BA,23,FALSE)</f>
        <v>#N/A</v>
      </c>
      <c r="Q1621" s="715" t="e">
        <f>VLOOKUP(A1621,'[1]Raw data'!$B:$Z,2,FALSE)</f>
        <v>#N/A</v>
      </c>
      <c r="R1621" s="715" t="e">
        <f>VLOOKUP(A1621,'[1]Raw data'!$B:$Z,3,FALSE)</f>
        <v>#N/A</v>
      </c>
      <c r="S1621" s="715" t="e">
        <f>VLOOKUP(A1621,'[1]Raw data'!$B:$Z,4,FALSE)</f>
        <v>#N/A</v>
      </c>
      <c r="T1621" s="715" t="e">
        <f>VLOOKUP(A1621,'[1]Raw data'!$B:$Z,8,FALSE)</f>
        <v>#N/A</v>
      </c>
      <c r="U1621" s="715" t="e">
        <f>VLOOKUP(A1621,'[1]Raw data'!$B:$Z,9,FALSE)</f>
        <v>#N/A</v>
      </c>
      <c r="V1621" s="714" t="e">
        <f t="shared" si="394"/>
        <v>#N/A</v>
      </c>
      <c r="X1621" s="805" t="e">
        <f>VLOOKUP(A1621,'[1]Raw data'!$B:$BA,31,FALSE)</f>
        <v>#N/A</v>
      </c>
      <c r="Y1621" s="715" t="e">
        <f>VLOOKUP(A1621,'[1]Raw data'!$B:$AS,39,FALSE)</f>
        <v>#N/A</v>
      </c>
      <c r="AO1621" s="829" t="str">
        <f t="shared" si="386"/>
        <v>No</v>
      </c>
      <c r="AP1621" s="259" t="str">
        <f t="shared" si="395"/>
        <v>blank</v>
      </c>
      <c r="AQ1621" s="547" t="str">
        <f t="shared" si="387"/>
        <v>无定金+无預留客戶</v>
      </c>
      <c r="AR1621" s="259" t="str">
        <f t="shared" si="380"/>
        <v/>
      </c>
      <c r="AS1621" s="259" t="str">
        <f t="shared" si="381"/>
        <v/>
      </c>
      <c r="AT1621" s="259" t="str">
        <f t="shared" si="388"/>
        <v>-</v>
      </c>
      <c r="AU1621" s="259" t="str">
        <f t="shared" si="389"/>
        <v>-</v>
      </c>
      <c r="AV1621" s="259" t="str">
        <f t="shared" si="390"/>
        <v>-</v>
      </c>
    </row>
    <row r="1622" spans="16:48">
      <c r="AO1622" s="829" t="str">
        <f t="shared" si="386"/>
        <v>No</v>
      </c>
      <c r="AP1622" s="259" t="str">
        <f t="shared" si="395"/>
        <v>blank</v>
      </c>
      <c r="AQ1622" s="547" t="str">
        <f t="shared" si="387"/>
        <v>无定金+无預留客戶</v>
      </c>
      <c r="AR1622" s="259" t="str">
        <f t="shared" si="380"/>
        <v/>
      </c>
      <c r="AS1622" s="259" t="str">
        <f t="shared" si="381"/>
        <v/>
      </c>
      <c r="AT1622" s="259" t="b">
        <f t="shared" si="388"/>
        <v>0</v>
      </c>
      <c r="AU1622" s="259" t="b">
        <f t="shared" si="389"/>
        <v>0</v>
      </c>
      <c r="AV1622" s="259" t="str">
        <f t="shared" si="390"/>
        <v>-</v>
      </c>
    </row>
    <row r="1623" spans="16:48">
      <c r="AO1623" s="829" t="str">
        <f t="shared" si="386"/>
        <v>No</v>
      </c>
      <c r="AP1623" s="259" t="str">
        <f t="shared" si="395"/>
        <v>blank</v>
      </c>
      <c r="AQ1623" s="547" t="str">
        <f t="shared" si="387"/>
        <v>无定金+无預留客戶</v>
      </c>
      <c r="AR1623" s="259" t="str">
        <f t="shared" si="380"/>
        <v/>
      </c>
      <c r="AS1623" s="259" t="str">
        <f t="shared" si="381"/>
        <v/>
      </c>
      <c r="AT1623" s="259" t="b">
        <f t="shared" si="388"/>
        <v>0</v>
      </c>
      <c r="AU1623" s="259" t="b">
        <f t="shared" si="389"/>
        <v>0</v>
      </c>
      <c r="AV1623" s="259" t="str">
        <f t="shared" si="390"/>
        <v>-</v>
      </c>
    </row>
    <row r="1624" spans="16:48">
      <c r="AO1624" s="829" t="str">
        <f t="shared" si="386"/>
        <v>No</v>
      </c>
      <c r="AP1624" s="259" t="str">
        <f t="shared" si="395"/>
        <v>blank</v>
      </c>
      <c r="AQ1624" s="547" t="str">
        <f t="shared" si="387"/>
        <v>无定金+无預留客戶</v>
      </c>
      <c r="AR1624" s="259" t="str">
        <f t="shared" si="380"/>
        <v/>
      </c>
      <c r="AS1624" s="259" t="str">
        <f t="shared" si="381"/>
        <v/>
      </c>
      <c r="AT1624" s="259" t="b">
        <f t="shared" si="388"/>
        <v>0</v>
      </c>
      <c r="AU1624" s="259" t="b">
        <f t="shared" si="389"/>
        <v>0</v>
      </c>
      <c r="AV1624" s="259" t="str">
        <f t="shared" si="390"/>
        <v>-</v>
      </c>
    </row>
    <row r="1625" spans="16:48">
      <c r="AO1625" s="829" t="str">
        <f t="shared" si="386"/>
        <v>No</v>
      </c>
      <c r="AP1625" s="259" t="str">
        <f t="shared" si="395"/>
        <v>blank</v>
      </c>
      <c r="AQ1625" s="547" t="str">
        <f t="shared" si="387"/>
        <v>无定金+无預留客戶</v>
      </c>
      <c r="AR1625" s="259" t="str">
        <f t="shared" si="380"/>
        <v/>
      </c>
      <c r="AS1625" s="259" t="str">
        <f t="shared" si="381"/>
        <v/>
      </c>
      <c r="AT1625" s="259" t="b">
        <f t="shared" si="388"/>
        <v>0</v>
      </c>
      <c r="AU1625" s="259" t="b">
        <f t="shared" si="389"/>
        <v>0</v>
      </c>
      <c r="AV1625" s="259" t="str">
        <f t="shared" si="390"/>
        <v>-</v>
      </c>
    </row>
    <row r="1626" spans="16:48">
      <c r="AO1626" s="829" t="str">
        <f t="shared" si="386"/>
        <v>No</v>
      </c>
      <c r="AP1626" s="259" t="str">
        <f t="shared" si="395"/>
        <v>blank</v>
      </c>
      <c r="AQ1626" s="547" t="str">
        <f t="shared" si="387"/>
        <v>无定金+无預留客戶</v>
      </c>
      <c r="AR1626" s="259" t="str">
        <f t="shared" si="380"/>
        <v/>
      </c>
      <c r="AS1626" s="259" t="str">
        <f t="shared" si="381"/>
        <v/>
      </c>
      <c r="AT1626" s="259" t="b">
        <f t="shared" si="388"/>
        <v>0</v>
      </c>
      <c r="AU1626" s="259" t="b">
        <f t="shared" si="389"/>
        <v>0</v>
      </c>
      <c r="AV1626" s="259" t="str">
        <f t="shared" si="390"/>
        <v>-</v>
      </c>
    </row>
    <row r="1627" spans="16:48">
      <c r="AO1627" s="829" t="str">
        <f t="shared" si="386"/>
        <v>No</v>
      </c>
      <c r="AP1627" s="259" t="str">
        <f t="shared" si="395"/>
        <v>blank</v>
      </c>
      <c r="AQ1627" s="547" t="str">
        <f t="shared" si="387"/>
        <v>无定金+无預留客戶</v>
      </c>
      <c r="AR1627" s="259" t="str">
        <f t="shared" si="380"/>
        <v/>
      </c>
      <c r="AS1627" s="259" t="str">
        <f t="shared" si="381"/>
        <v/>
      </c>
      <c r="AT1627" s="259" t="b">
        <f t="shared" si="388"/>
        <v>0</v>
      </c>
      <c r="AU1627" s="259" t="b">
        <f t="shared" si="389"/>
        <v>0</v>
      </c>
      <c r="AV1627" s="259" t="str">
        <f t="shared" si="390"/>
        <v>-</v>
      </c>
    </row>
    <row r="1628" spans="16:48">
      <c r="AO1628" s="829" t="str">
        <f t="shared" si="386"/>
        <v>No</v>
      </c>
      <c r="AP1628" s="259" t="str">
        <f t="shared" si="395"/>
        <v>blank</v>
      </c>
      <c r="AQ1628" s="547" t="str">
        <f t="shared" si="387"/>
        <v>无定金+无預留客戶</v>
      </c>
      <c r="AR1628" s="259" t="str">
        <f t="shared" si="380"/>
        <v/>
      </c>
      <c r="AS1628" s="259" t="str">
        <f t="shared" si="381"/>
        <v/>
      </c>
      <c r="AT1628" s="259" t="b">
        <f t="shared" si="388"/>
        <v>0</v>
      </c>
      <c r="AU1628" s="259" t="b">
        <f t="shared" si="389"/>
        <v>0</v>
      </c>
      <c r="AV1628" s="259" t="str">
        <f t="shared" si="390"/>
        <v>-</v>
      </c>
    </row>
    <row r="1629" spans="16:48">
      <c r="AO1629" s="829" t="str">
        <f t="shared" si="386"/>
        <v>No</v>
      </c>
      <c r="AP1629" s="259" t="str">
        <f t="shared" si="395"/>
        <v>blank</v>
      </c>
      <c r="AQ1629" s="547" t="str">
        <f t="shared" si="387"/>
        <v>无定金+无預留客戶</v>
      </c>
      <c r="AR1629" s="259" t="str">
        <f t="shared" si="380"/>
        <v/>
      </c>
      <c r="AS1629" s="259" t="str">
        <f t="shared" si="381"/>
        <v/>
      </c>
      <c r="AT1629" s="259" t="b">
        <f t="shared" si="388"/>
        <v>0</v>
      </c>
      <c r="AU1629" s="259" t="b">
        <f t="shared" si="389"/>
        <v>0</v>
      </c>
      <c r="AV1629" s="259" t="str">
        <f t="shared" si="390"/>
        <v>-</v>
      </c>
    </row>
    <row r="1630" spans="16:48">
      <c r="AO1630" s="829" t="str">
        <f t="shared" si="386"/>
        <v>No</v>
      </c>
      <c r="AP1630" s="259" t="str">
        <f t="shared" si="395"/>
        <v>blank</v>
      </c>
      <c r="AQ1630" s="547" t="str">
        <f t="shared" si="387"/>
        <v>无定金+无預留客戶</v>
      </c>
      <c r="AR1630" s="259" t="str">
        <f t="shared" si="380"/>
        <v/>
      </c>
      <c r="AS1630" s="259" t="str">
        <f t="shared" si="381"/>
        <v/>
      </c>
      <c r="AT1630" s="259" t="b">
        <f t="shared" si="388"/>
        <v>0</v>
      </c>
      <c r="AU1630" s="259" t="b">
        <f t="shared" si="389"/>
        <v>0</v>
      </c>
      <c r="AV1630" s="259" t="str">
        <f t="shared" si="390"/>
        <v>-</v>
      </c>
    </row>
    <row r="1631" spans="16:48">
      <c r="AO1631" s="829" t="str">
        <f t="shared" si="386"/>
        <v>No</v>
      </c>
      <c r="AP1631" s="259" t="str">
        <f t="shared" si="395"/>
        <v>blank</v>
      </c>
      <c r="AQ1631" s="547" t="str">
        <f t="shared" si="387"/>
        <v>无定金+无預留客戶</v>
      </c>
      <c r="AR1631" s="259" t="str">
        <f t="shared" si="380"/>
        <v/>
      </c>
      <c r="AS1631" s="259" t="str">
        <f t="shared" si="381"/>
        <v/>
      </c>
      <c r="AT1631" s="259" t="b">
        <f t="shared" si="388"/>
        <v>0</v>
      </c>
      <c r="AU1631" s="259" t="b">
        <f t="shared" si="389"/>
        <v>0</v>
      </c>
      <c r="AV1631" s="259" t="str">
        <f t="shared" si="390"/>
        <v>-</v>
      </c>
    </row>
    <row r="1632" spans="16:48">
      <c r="AO1632" s="829" t="str">
        <f t="shared" si="386"/>
        <v>No</v>
      </c>
      <c r="AP1632" s="259" t="str">
        <f t="shared" si="395"/>
        <v>blank</v>
      </c>
      <c r="AQ1632" s="547" t="str">
        <f t="shared" si="387"/>
        <v>无定金+无預留客戶</v>
      </c>
      <c r="AR1632" s="259" t="str">
        <f t="shared" si="380"/>
        <v/>
      </c>
      <c r="AS1632" s="259" t="str">
        <f t="shared" si="381"/>
        <v/>
      </c>
      <c r="AT1632" s="259" t="b">
        <f t="shared" si="388"/>
        <v>0</v>
      </c>
      <c r="AU1632" s="259" t="b">
        <f t="shared" si="389"/>
        <v>0</v>
      </c>
      <c r="AV1632" s="259" t="str">
        <f t="shared" si="390"/>
        <v>-</v>
      </c>
    </row>
    <row r="1633" spans="41:48">
      <c r="AO1633" s="829" t="str">
        <f t="shared" si="386"/>
        <v>No</v>
      </c>
      <c r="AP1633" s="259" t="str">
        <f t="shared" si="395"/>
        <v>blank</v>
      </c>
      <c r="AQ1633" s="547" t="str">
        <f t="shared" si="387"/>
        <v>无定金+无預留客戶</v>
      </c>
      <c r="AR1633" s="259" t="str">
        <f t="shared" si="380"/>
        <v/>
      </c>
      <c r="AS1633" s="259" t="str">
        <f t="shared" si="381"/>
        <v/>
      </c>
      <c r="AT1633" s="259" t="b">
        <f t="shared" si="388"/>
        <v>0</v>
      </c>
      <c r="AU1633" s="259" t="b">
        <f t="shared" si="389"/>
        <v>0</v>
      </c>
      <c r="AV1633" s="259" t="str">
        <f t="shared" si="390"/>
        <v>-</v>
      </c>
    </row>
    <row r="1634" spans="41:48">
      <c r="AO1634" s="829" t="str">
        <f t="shared" si="386"/>
        <v>No</v>
      </c>
      <c r="AP1634" s="259" t="str">
        <f t="shared" si="395"/>
        <v>blank</v>
      </c>
      <c r="AQ1634" s="547" t="str">
        <f t="shared" si="387"/>
        <v>无定金+无預留客戶</v>
      </c>
      <c r="AR1634" s="259" t="str">
        <f t="shared" si="380"/>
        <v/>
      </c>
      <c r="AS1634" s="259" t="str">
        <f t="shared" si="381"/>
        <v/>
      </c>
      <c r="AT1634" s="259" t="b">
        <f t="shared" si="388"/>
        <v>0</v>
      </c>
      <c r="AU1634" s="259" t="b">
        <f t="shared" si="389"/>
        <v>0</v>
      </c>
      <c r="AV1634" s="259" t="str">
        <f t="shared" si="390"/>
        <v>-</v>
      </c>
    </row>
    <row r="1635" spans="41:48">
      <c r="AO1635" s="829" t="str">
        <f t="shared" si="386"/>
        <v>No</v>
      </c>
      <c r="AP1635" s="259" t="str">
        <f t="shared" si="395"/>
        <v>blank</v>
      </c>
      <c r="AQ1635" s="547" t="str">
        <f t="shared" si="387"/>
        <v>无定金+无預留客戶</v>
      </c>
      <c r="AR1635" s="259" t="str">
        <f t="shared" si="380"/>
        <v/>
      </c>
      <c r="AS1635" s="259" t="str">
        <f t="shared" si="381"/>
        <v/>
      </c>
      <c r="AT1635" s="259" t="b">
        <f t="shared" si="388"/>
        <v>0</v>
      </c>
      <c r="AU1635" s="259" t="b">
        <f t="shared" si="389"/>
        <v>0</v>
      </c>
      <c r="AV1635" s="259" t="str">
        <f t="shared" si="390"/>
        <v>-</v>
      </c>
    </row>
    <row r="1636" spans="41:48">
      <c r="AO1636" s="829" t="str">
        <f t="shared" si="386"/>
        <v>No</v>
      </c>
      <c r="AP1636" s="259" t="str">
        <f t="shared" si="395"/>
        <v>blank</v>
      </c>
      <c r="AQ1636" s="547" t="str">
        <f t="shared" si="387"/>
        <v>无定金+无預留客戶</v>
      </c>
      <c r="AR1636" s="259" t="str">
        <f t="shared" si="380"/>
        <v/>
      </c>
      <c r="AS1636" s="259" t="str">
        <f t="shared" si="381"/>
        <v/>
      </c>
      <c r="AT1636" s="259" t="b">
        <f t="shared" si="388"/>
        <v>0</v>
      </c>
      <c r="AU1636" s="259" t="b">
        <f t="shared" si="389"/>
        <v>0</v>
      </c>
      <c r="AV1636" s="259" t="str">
        <f t="shared" si="390"/>
        <v>-</v>
      </c>
    </row>
    <row r="1637" spans="41:48">
      <c r="AO1637" s="829" t="str">
        <f t="shared" si="386"/>
        <v>No</v>
      </c>
      <c r="AP1637" s="259" t="str">
        <f t="shared" si="395"/>
        <v>blank</v>
      </c>
      <c r="AQ1637" s="547" t="str">
        <f t="shared" si="387"/>
        <v>无定金+无預留客戶</v>
      </c>
      <c r="AR1637" s="259" t="str">
        <f t="shared" si="380"/>
        <v/>
      </c>
      <c r="AS1637" s="259" t="str">
        <f t="shared" si="381"/>
        <v/>
      </c>
      <c r="AT1637" s="259" t="b">
        <f t="shared" si="388"/>
        <v>0</v>
      </c>
      <c r="AU1637" s="259" t="b">
        <f t="shared" si="389"/>
        <v>0</v>
      </c>
      <c r="AV1637" s="259" t="str">
        <f t="shared" si="390"/>
        <v>-</v>
      </c>
    </row>
    <row r="1638" spans="41:48">
      <c r="AO1638" s="829" t="str">
        <f t="shared" si="386"/>
        <v>No</v>
      </c>
      <c r="AP1638" s="259" t="str">
        <f t="shared" si="395"/>
        <v>blank</v>
      </c>
      <c r="AQ1638" s="547" t="str">
        <f t="shared" si="387"/>
        <v>无定金+无預留客戶</v>
      </c>
      <c r="AR1638" s="259" t="str">
        <f t="shared" si="380"/>
        <v/>
      </c>
      <c r="AS1638" s="259" t="str">
        <f t="shared" si="381"/>
        <v/>
      </c>
      <c r="AT1638" s="259" t="b">
        <f t="shared" si="388"/>
        <v>0</v>
      </c>
      <c r="AU1638" s="259" t="b">
        <f t="shared" si="389"/>
        <v>0</v>
      </c>
      <c r="AV1638" s="259" t="str">
        <f t="shared" si="390"/>
        <v>-</v>
      </c>
    </row>
    <row r="1639" spans="41:48">
      <c r="AO1639" s="829" t="str">
        <f t="shared" si="386"/>
        <v>No</v>
      </c>
      <c r="AP1639" s="259" t="str">
        <f t="shared" si="395"/>
        <v>blank</v>
      </c>
      <c r="AQ1639" s="547" t="str">
        <f t="shared" si="387"/>
        <v>无定金+无預留客戶</v>
      </c>
      <c r="AR1639" s="259" t="str">
        <f t="shared" si="380"/>
        <v/>
      </c>
      <c r="AS1639" s="259" t="str">
        <f t="shared" si="381"/>
        <v/>
      </c>
      <c r="AT1639" s="259" t="b">
        <f t="shared" si="388"/>
        <v>0</v>
      </c>
      <c r="AU1639" s="259" t="b">
        <f t="shared" si="389"/>
        <v>0</v>
      </c>
      <c r="AV1639" s="259" t="str">
        <f t="shared" si="390"/>
        <v>-</v>
      </c>
    </row>
    <row r="1640" spans="41:48">
      <c r="AO1640" s="829" t="str">
        <f t="shared" si="386"/>
        <v>No</v>
      </c>
      <c r="AP1640" s="259" t="str">
        <f t="shared" si="395"/>
        <v>blank</v>
      </c>
      <c r="AQ1640" s="547" t="str">
        <f t="shared" si="387"/>
        <v>无定金+无預留客戶</v>
      </c>
      <c r="AR1640" s="259" t="str">
        <f t="shared" si="380"/>
        <v/>
      </c>
      <c r="AS1640" s="259" t="str">
        <f t="shared" si="381"/>
        <v/>
      </c>
      <c r="AT1640" s="259" t="b">
        <f t="shared" si="388"/>
        <v>0</v>
      </c>
      <c r="AU1640" s="259" t="b">
        <f t="shared" si="389"/>
        <v>0</v>
      </c>
      <c r="AV1640" s="259" t="str">
        <f t="shared" si="390"/>
        <v>-</v>
      </c>
    </row>
    <row r="1641" spans="41:48">
      <c r="AO1641" s="829" t="str">
        <f t="shared" si="386"/>
        <v>No</v>
      </c>
      <c r="AP1641" s="259" t="str">
        <f t="shared" si="395"/>
        <v>blank</v>
      </c>
      <c r="AQ1641" s="547" t="str">
        <f t="shared" si="387"/>
        <v>无定金+无預留客戶</v>
      </c>
      <c r="AR1641" s="259" t="str">
        <f t="shared" si="380"/>
        <v/>
      </c>
      <c r="AS1641" s="259" t="str">
        <f t="shared" si="381"/>
        <v/>
      </c>
      <c r="AT1641" s="259" t="b">
        <f t="shared" si="388"/>
        <v>0</v>
      </c>
      <c r="AU1641" s="259" t="b">
        <f t="shared" si="389"/>
        <v>0</v>
      </c>
      <c r="AV1641" s="259" t="str">
        <f t="shared" si="390"/>
        <v>-</v>
      </c>
    </row>
    <row r="1642" spans="41:48">
      <c r="AO1642" s="829" t="str">
        <f t="shared" si="386"/>
        <v>No</v>
      </c>
      <c r="AP1642" s="259" t="str">
        <f t="shared" si="395"/>
        <v>blank</v>
      </c>
      <c r="AQ1642" s="547" t="str">
        <f t="shared" si="387"/>
        <v>无定金+无預留客戶</v>
      </c>
      <c r="AR1642" s="259" t="str">
        <f t="shared" si="380"/>
        <v/>
      </c>
      <c r="AS1642" s="259" t="str">
        <f t="shared" si="381"/>
        <v/>
      </c>
      <c r="AT1642" s="259" t="b">
        <f t="shared" si="388"/>
        <v>0</v>
      </c>
      <c r="AU1642" s="259" t="b">
        <f t="shared" si="389"/>
        <v>0</v>
      </c>
      <c r="AV1642" s="259" t="str">
        <f t="shared" si="390"/>
        <v>-</v>
      </c>
    </row>
    <row r="1643" spans="41:48">
      <c r="AO1643" s="829" t="str">
        <f t="shared" si="386"/>
        <v>No</v>
      </c>
      <c r="AP1643" s="259" t="str">
        <f t="shared" si="395"/>
        <v>blank</v>
      </c>
      <c r="AQ1643" s="547" t="str">
        <f t="shared" si="387"/>
        <v>无定金+无預留客戶</v>
      </c>
      <c r="AR1643" s="259" t="str">
        <f t="shared" si="380"/>
        <v/>
      </c>
      <c r="AS1643" s="259" t="str">
        <f t="shared" si="381"/>
        <v/>
      </c>
      <c r="AT1643" s="259" t="b">
        <f t="shared" si="388"/>
        <v>0</v>
      </c>
      <c r="AU1643" s="259" t="b">
        <f t="shared" si="389"/>
        <v>0</v>
      </c>
      <c r="AV1643" s="259" t="str">
        <f t="shared" si="390"/>
        <v>-</v>
      </c>
    </row>
    <row r="1644" spans="41:48">
      <c r="AO1644" s="829" t="str">
        <f t="shared" si="386"/>
        <v>No</v>
      </c>
      <c r="AP1644" s="259" t="str">
        <f t="shared" si="395"/>
        <v>blank</v>
      </c>
      <c r="AQ1644" s="547" t="str">
        <f t="shared" si="387"/>
        <v>无定金+无預留客戶</v>
      </c>
      <c r="AR1644" s="259" t="str">
        <f t="shared" si="380"/>
        <v/>
      </c>
      <c r="AS1644" s="259" t="str">
        <f t="shared" si="381"/>
        <v/>
      </c>
      <c r="AT1644" s="259" t="b">
        <f t="shared" si="388"/>
        <v>0</v>
      </c>
      <c r="AU1644" s="259" t="b">
        <f t="shared" si="389"/>
        <v>0</v>
      </c>
      <c r="AV1644" s="259" t="str">
        <f t="shared" si="390"/>
        <v>-</v>
      </c>
    </row>
    <row r="1645" spans="41:48">
      <c r="AO1645" s="829" t="str">
        <f t="shared" si="386"/>
        <v>No</v>
      </c>
      <c r="AP1645" s="259" t="str">
        <f t="shared" si="395"/>
        <v>blank</v>
      </c>
      <c r="AQ1645" s="547" t="str">
        <f t="shared" si="387"/>
        <v>无定金+无預留客戶</v>
      </c>
      <c r="AR1645" s="259" t="str">
        <f t="shared" si="380"/>
        <v/>
      </c>
      <c r="AS1645" s="259" t="str">
        <f t="shared" si="381"/>
        <v/>
      </c>
      <c r="AT1645" s="259" t="b">
        <f t="shared" si="388"/>
        <v>0</v>
      </c>
      <c r="AU1645" s="259" t="b">
        <f t="shared" si="389"/>
        <v>0</v>
      </c>
      <c r="AV1645" s="259" t="str">
        <f t="shared" si="390"/>
        <v>-</v>
      </c>
    </row>
    <row r="1646" spans="41:48">
      <c r="AO1646" s="829" t="str">
        <f t="shared" si="386"/>
        <v>No</v>
      </c>
      <c r="AP1646" s="259" t="str">
        <f t="shared" si="395"/>
        <v>blank</v>
      </c>
      <c r="AQ1646" s="547" t="str">
        <f t="shared" si="387"/>
        <v>无定金+无預留客戶</v>
      </c>
      <c r="AR1646" s="259" t="str">
        <f t="shared" si="380"/>
        <v/>
      </c>
      <c r="AS1646" s="259" t="str">
        <f t="shared" si="381"/>
        <v/>
      </c>
      <c r="AT1646" s="259" t="b">
        <f t="shared" si="388"/>
        <v>0</v>
      </c>
      <c r="AU1646" s="259" t="b">
        <f t="shared" si="389"/>
        <v>0</v>
      </c>
      <c r="AV1646" s="259" t="str">
        <f t="shared" si="390"/>
        <v>-</v>
      </c>
    </row>
    <row r="1647" spans="41:48">
      <c r="AO1647" s="829" t="str">
        <f t="shared" si="386"/>
        <v>No</v>
      </c>
      <c r="AP1647" s="259" t="str">
        <f t="shared" si="395"/>
        <v>blank</v>
      </c>
      <c r="AQ1647" s="547" t="str">
        <f t="shared" si="387"/>
        <v>无定金+无預留客戶</v>
      </c>
      <c r="AR1647" s="259" t="str">
        <f t="shared" si="380"/>
        <v/>
      </c>
      <c r="AS1647" s="259" t="str">
        <f t="shared" si="381"/>
        <v/>
      </c>
      <c r="AT1647" s="259" t="b">
        <f t="shared" si="388"/>
        <v>0</v>
      </c>
      <c r="AU1647" s="259" t="b">
        <f t="shared" si="389"/>
        <v>0</v>
      </c>
      <c r="AV1647" s="259" t="str">
        <f t="shared" si="390"/>
        <v>-</v>
      </c>
    </row>
    <row r="1648" spans="41:48">
      <c r="AO1648" s="829" t="str">
        <f t="shared" si="386"/>
        <v>No</v>
      </c>
      <c r="AP1648" s="259" t="str">
        <f t="shared" si="395"/>
        <v>blank</v>
      </c>
      <c r="AQ1648" s="547" t="str">
        <f t="shared" si="387"/>
        <v>无定金+无預留客戶</v>
      </c>
      <c r="AR1648" s="259" t="str">
        <f t="shared" si="380"/>
        <v/>
      </c>
      <c r="AS1648" s="259" t="str">
        <f t="shared" si="381"/>
        <v/>
      </c>
      <c r="AT1648" s="259" t="b">
        <f t="shared" si="388"/>
        <v>0</v>
      </c>
      <c r="AU1648" s="259" t="b">
        <f t="shared" si="389"/>
        <v>0</v>
      </c>
      <c r="AV1648" s="259" t="str">
        <f t="shared" si="390"/>
        <v>-</v>
      </c>
    </row>
    <row r="1649" spans="41:48">
      <c r="AO1649" s="829" t="str">
        <f t="shared" si="386"/>
        <v>No</v>
      </c>
      <c r="AP1649" s="259" t="str">
        <f t="shared" si="395"/>
        <v>blank</v>
      </c>
      <c r="AQ1649" s="547" t="str">
        <f t="shared" si="387"/>
        <v>无定金+无預留客戶</v>
      </c>
      <c r="AR1649" s="259" t="str">
        <f t="shared" si="380"/>
        <v/>
      </c>
      <c r="AS1649" s="259" t="str">
        <f t="shared" si="381"/>
        <v/>
      </c>
      <c r="AT1649" s="259" t="b">
        <f t="shared" si="388"/>
        <v>0</v>
      </c>
      <c r="AU1649" s="259" t="b">
        <f t="shared" si="389"/>
        <v>0</v>
      </c>
      <c r="AV1649" s="259" t="str">
        <f t="shared" si="390"/>
        <v>-</v>
      </c>
    </row>
    <row r="1650" spans="41:48">
      <c r="AO1650" s="829" t="str">
        <f t="shared" si="386"/>
        <v>No</v>
      </c>
      <c r="AP1650" s="259" t="str">
        <f t="shared" si="395"/>
        <v>blank</v>
      </c>
      <c r="AQ1650" s="547" t="str">
        <f t="shared" si="387"/>
        <v>无定金+无預留客戶</v>
      </c>
      <c r="AR1650" s="259" t="str">
        <f t="shared" si="380"/>
        <v/>
      </c>
      <c r="AS1650" s="259" t="str">
        <f t="shared" si="381"/>
        <v/>
      </c>
      <c r="AT1650" s="259" t="b">
        <f t="shared" si="388"/>
        <v>0</v>
      </c>
      <c r="AU1650" s="259" t="b">
        <f t="shared" si="389"/>
        <v>0</v>
      </c>
      <c r="AV1650" s="259" t="str">
        <f t="shared" si="390"/>
        <v>-</v>
      </c>
    </row>
    <row r="1651" spans="41:48">
      <c r="AO1651" s="829" t="str">
        <f t="shared" si="386"/>
        <v>No</v>
      </c>
      <c r="AP1651" s="259" t="str">
        <f t="shared" si="395"/>
        <v>blank</v>
      </c>
      <c r="AQ1651" s="547" t="str">
        <f t="shared" si="387"/>
        <v>无定金+无預留客戶</v>
      </c>
      <c r="AR1651" s="259" t="str">
        <f t="shared" si="380"/>
        <v/>
      </c>
      <c r="AS1651" s="259" t="str">
        <f t="shared" si="381"/>
        <v/>
      </c>
      <c r="AT1651" s="259" t="b">
        <f t="shared" si="388"/>
        <v>0</v>
      </c>
      <c r="AU1651" s="259" t="b">
        <f t="shared" si="389"/>
        <v>0</v>
      </c>
      <c r="AV1651" s="259" t="str">
        <f t="shared" si="390"/>
        <v>-</v>
      </c>
    </row>
    <row r="1652" spans="41:48">
      <c r="AO1652" s="829" t="str">
        <f t="shared" si="386"/>
        <v>No</v>
      </c>
      <c r="AP1652" s="259" t="str">
        <f t="shared" si="395"/>
        <v>blank</v>
      </c>
      <c r="AQ1652" s="547" t="str">
        <f t="shared" si="387"/>
        <v>无定金+无預留客戶</v>
      </c>
      <c r="AR1652" s="259" t="str">
        <f t="shared" si="380"/>
        <v/>
      </c>
      <c r="AS1652" s="259" t="str">
        <f t="shared" si="381"/>
        <v/>
      </c>
      <c r="AT1652" s="259" t="b">
        <f t="shared" si="388"/>
        <v>0</v>
      </c>
      <c r="AU1652" s="259" t="b">
        <f t="shared" si="389"/>
        <v>0</v>
      </c>
      <c r="AV1652" s="259" t="str">
        <f t="shared" si="390"/>
        <v>-</v>
      </c>
    </row>
    <row r="1653" spans="41:48">
      <c r="AO1653" s="829" t="str">
        <f t="shared" si="386"/>
        <v>No</v>
      </c>
      <c r="AP1653" s="259" t="str">
        <f t="shared" si="395"/>
        <v>blank</v>
      </c>
      <c r="AQ1653" s="547" t="str">
        <f t="shared" si="387"/>
        <v>无定金+无預留客戶</v>
      </c>
      <c r="AR1653" s="259" t="str">
        <f t="shared" si="380"/>
        <v/>
      </c>
      <c r="AS1653" s="259" t="str">
        <f t="shared" si="381"/>
        <v/>
      </c>
      <c r="AT1653" s="259" t="b">
        <f t="shared" si="388"/>
        <v>0</v>
      </c>
      <c r="AU1653" s="259" t="b">
        <f t="shared" si="389"/>
        <v>0</v>
      </c>
      <c r="AV1653" s="259" t="str">
        <f t="shared" si="390"/>
        <v>-</v>
      </c>
    </row>
    <row r="1654" spans="41:48">
      <c r="AO1654" s="829" t="str">
        <f t="shared" si="386"/>
        <v>No</v>
      </c>
      <c r="AP1654" s="259" t="str">
        <f t="shared" si="395"/>
        <v>blank</v>
      </c>
      <c r="AQ1654" s="547" t="str">
        <f t="shared" si="387"/>
        <v>无定金+无預留客戶</v>
      </c>
      <c r="AR1654" s="259" t="str">
        <f t="shared" si="380"/>
        <v/>
      </c>
      <c r="AS1654" s="259" t="str">
        <f t="shared" si="381"/>
        <v/>
      </c>
      <c r="AT1654" s="259" t="b">
        <f t="shared" si="388"/>
        <v>0</v>
      </c>
      <c r="AU1654" s="259" t="b">
        <f t="shared" si="389"/>
        <v>0</v>
      </c>
      <c r="AV1654" s="259" t="str">
        <f t="shared" si="390"/>
        <v>-</v>
      </c>
    </row>
    <row r="1655" spans="41:48">
      <c r="AO1655" s="829" t="str">
        <f t="shared" si="386"/>
        <v>No</v>
      </c>
      <c r="AP1655" s="259" t="str">
        <f t="shared" si="395"/>
        <v>blank</v>
      </c>
      <c r="AQ1655" s="547" t="str">
        <f t="shared" si="387"/>
        <v>无定金+无預留客戶</v>
      </c>
      <c r="AR1655" s="259" t="str">
        <f t="shared" si="380"/>
        <v/>
      </c>
      <c r="AS1655" s="259" t="str">
        <f t="shared" si="381"/>
        <v/>
      </c>
      <c r="AT1655" s="259" t="b">
        <f t="shared" si="388"/>
        <v>0</v>
      </c>
      <c r="AU1655" s="259" t="b">
        <f t="shared" si="389"/>
        <v>0</v>
      </c>
      <c r="AV1655" s="259" t="str">
        <f t="shared" si="390"/>
        <v>-</v>
      </c>
    </row>
    <row r="1656" spans="41:48">
      <c r="AO1656" s="829" t="str">
        <f t="shared" si="386"/>
        <v>No</v>
      </c>
      <c r="AP1656" s="259" t="str">
        <f t="shared" si="395"/>
        <v>blank</v>
      </c>
      <c r="AQ1656" s="547" t="str">
        <f t="shared" si="387"/>
        <v>无定金+无預留客戶</v>
      </c>
      <c r="AR1656" s="259" t="str">
        <f t="shared" si="380"/>
        <v/>
      </c>
      <c r="AS1656" s="259" t="str">
        <f t="shared" si="381"/>
        <v/>
      </c>
      <c r="AT1656" s="259" t="b">
        <f t="shared" si="388"/>
        <v>0</v>
      </c>
      <c r="AU1656" s="259" t="b">
        <f t="shared" si="389"/>
        <v>0</v>
      </c>
      <c r="AV1656" s="259" t="str">
        <f t="shared" si="390"/>
        <v>-</v>
      </c>
    </row>
    <row r="1657" spans="41:48">
      <c r="AO1657" s="829" t="str">
        <f t="shared" si="386"/>
        <v>No</v>
      </c>
      <c r="AP1657" s="259" t="str">
        <f t="shared" si="395"/>
        <v>blank</v>
      </c>
      <c r="AQ1657" s="547" t="str">
        <f t="shared" si="387"/>
        <v>无定金+无預留客戶</v>
      </c>
      <c r="AR1657" s="259" t="str">
        <f t="shared" si="380"/>
        <v/>
      </c>
      <c r="AS1657" s="259" t="str">
        <f t="shared" si="381"/>
        <v/>
      </c>
      <c r="AT1657" s="259" t="b">
        <f t="shared" si="388"/>
        <v>0</v>
      </c>
      <c r="AU1657" s="259" t="b">
        <f t="shared" si="389"/>
        <v>0</v>
      </c>
      <c r="AV1657" s="259" t="str">
        <f t="shared" si="390"/>
        <v>-</v>
      </c>
    </row>
    <row r="1658" spans="41:48">
      <c r="AO1658" s="829" t="str">
        <f t="shared" si="386"/>
        <v>No</v>
      </c>
      <c r="AP1658" s="259" t="str">
        <f t="shared" si="395"/>
        <v>blank</v>
      </c>
      <c r="AQ1658" s="547" t="str">
        <f t="shared" si="387"/>
        <v>无定金+无預留客戶</v>
      </c>
      <c r="AR1658" s="259" t="str">
        <f t="shared" si="380"/>
        <v/>
      </c>
      <c r="AS1658" s="259" t="str">
        <f t="shared" si="381"/>
        <v/>
      </c>
      <c r="AT1658" s="259" t="b">
        <f t="shared" si="388"/>
        <v>0</v>
      </c>
      <c r="AU1658" s="259" t="b">
        <f t="shared" si="389"/>
        <v>0</v>
      </c>
      <c r="AV1658" s="259" t="str">
        <f t="shared" si="390"/>
        <v>-</v>
      </c>
    </row>
    <row r="1659" spans="41:48">
      <c r="AO1659" s="829" t="str">
        <f t="shared" si="386"/>
        <v>No</v>
      </c>
      <c r="AP1659" s="259" t="str">
        <f t="shared" si="395"/>
        <v>blank</v>
      </c>
      <c r="AQ1659" s="547" t="str">
        <f t="shared" si="387"/>
        <v>无定金+无預留客戶</v>
      </c>
      <c r="AR1659" s="259" t="str">
        <f t="shared" si="380"/>
        <v/>
      </c>
      <c r="AS1659" s="259" t="str">
        <f t="shared" si="381"/>
        <v/>
      </c>
      <c r="AT1659" s="259" t="b">
        <f t="shared" si="388"/>
        <v>0</v>
      </c>
      <c r="AU1659" s="259" t="b">
        <f t="shared" si="389"/>
        <v>0</v>
      </c>
      <c r="AV1659" s="259" t="str">
        <f t="shared" si="390"/>
        <v>-</v>
      </c>
    </row>
    <row r="1660" spans="41:48">
      <c r="AO1660" s="829" t="str">
        <f t="shared" si="386"/>
        <v>No</v>
      </c>
      <c r="AP1660" s="259" t="str">
        <f t="shared" si="395"/>
        <v>blank</v>
      </c>
      <c r="AQ1660" s="547" t="str">
        <f t="shared" si="387"/>
        <v>无定金+无預留客戶</v>
      </c>
      <c r="AR1660" s="259" t="str">
        <f t="shared" si="380"/>
        <v/>
      </c>
      <c r="AS1660" s="259" t="str">
        <f t="shared" si="381"/>
        <v/>
      </c>
      <c r="AT1660" s="259" t="b">
        <f t="shared" si="388"/>
        <v>0</v>
      </c>
      <c r="AU1660" s="259" t="b">
        <f t="shared" si="389"/>
        <v>0</v>
      </c>
      <c r="AV1660" s="259" t="str">
        <f t="shared" si="390"/>
        <v>-</v>
      </c>
    </row>
    <row r="1661" spans="41:48">
      <c r="AO1661" s="829" t="str">
        <f t="shared" si="386"/>
        <v>No</v>
      </c>
      <c r="AP1661" s="259" t="str">
        <f t="shared" si="395"/>
        <v>blank</v>
      </c>
      <c r="AQ1661" s="547" t="str">
        <f t="shared" si="387"/>
        <v>无定金+无預留客戶</v>
      </c>
      <c r="AR1661" s="259" t="str">
        <f t="shared" si="380"/>
        <v/>
      </c>
      <c r="AS1661" s="259" t="str">
        <f t="shared" si="381"/>
        <v/>
      </c>
      <c r="AT1661" s="259" t="b">
        <f t="shared" si="388"/>
        <v>0</v>
      </c>
      <c r="AU1661" s="259" t="b">
        <f t="shared" si="389"/>
        <v>0</v>
      </c>
      <c r="AV1661" s="259" t="str">
        <f t="shared" si="390"/>
        <v>-</v>
      </c>
    </row>
    <row r="1662" spans="41:48">
      <c r="AO1662" s="829" t="str">
        <f t="shared" si="386"/>
        <v>No</v>
      </c>
      <c r="AP1662" s="259" t="str">
        <f t="shared" si="395"/>
        <v>blank</v>
      </c>
      <c r="AQ1662" s="547" t="str">
        <f t="shared" si="387"/>
        <v>无定金+无預留客戶</v>
      </c>
      <c r="AR1662" s="259" t="str">
        <f t="shared" ref="AR1662:AR1725" si="396">IFERROR(IF(B1662="已经到货", "Instock", IF(B1662="有交期", "Incoming_Stock_With_YAMAHA_Schedule", IF(B1662="TBA.", "Incoming_Stock_No_YAMAHA_Schedule", IF(B1662="已发货", "Shipped_Stock", "")))), "")</f>
        <v/>
      </c>
      <c r="AS1662" s="259" t="str">
        <f t="shared" ref="AS1662:AS1725" si="397">IF(AND(B1662="有交期", L1662&lt;&gt;""), L1662, "")</f>
        <v/>
      </c>
      <c r="AT1662" s="259" t="b">
        <f t="shared" si="388"/>
        <v>0</v>
      </c>
      <c r="AU1662" s="259" t="b">
        <f t="shared" si="389"/>
        <v>0</v>
      </c>
      <c r="AV1662" s="259" t="str">
        <f t="shared" si="390"/>
        <v>-</v>
      </c>
    </row>
    <row r="1663" spans="41:48">
      <c r="AO1663" s="829" t="str">
        <f t="shared" si="386"/>
        <v>No</v>
      </c>
      <c r="AP1663" s="259" t="str">
        <f t="shared" si="395"/>
        <v>blank</v>
      </c>
      <c r="AQ1663" s="547" t="str">
        <f t="shared" si="387"/>
        <v>无定金+无預留客戶</v>
      </c>
      <c r="AR1663" s="259" t="str">
        <f t="shared" si="396"/>
        <v/>
      </c>
      <c r="AS1663" s="259" t="str">
        <f t="shared" si="397"/>
        <v/>
      </c>
      <c r="AT1663" s="259" t="b">
        <f t="shared" si="388"/>
        <v>0</v>
      </c>
      <c r="AU1663" s="259" t="b">
        <f t="shared" si="389"/>
        <v>0</v>
      </c>
      <c r="AV1663" s="259" t="str">
        <f t="shared" si="390"/>
        <v>-</v>
      </c>
    </row>
    <row r="1664" spans="41:48">
      <c r="AO1664" s="829" t="str">
        <f t="shared" si="386"/>
        <v>No</v>
      </c>
      <c r="AP1664" s="259" t="str">
        <f t="shared" si="395"/>
        <v>blank</v>
      </c>
      <c r="AQ1664" s="547" t="str">
        <f t="shared" si="387"/>
        <v>无定金+无預留客戶</v>
      </c>
      <c r="AR1664" s="259" t="str">
        <f t="shared" si="396"/>
        <v/>
      </c>
      <c r="AS1664" s="259" t="str">
        <f t="shared" si="397"/>
        <v/>
      </c>
      <c r="AT1664" s="259" t="b">
        <f t="shared" si="388"/>
        <v>0</v>
      </c>
      <c r="AU1664" s="259" t="b">
        <f t="shared" si="389"/>
        <v>0</v>
      </c>
      <c r="AV1664" s="259" t="str">
        <f t="shared" si="390"/>
        <v>-</v>
      </c>
    </row>
    <row r="1665" spans="41:48">
      <c r="AO1665" s="829" t="str">
        <f t="shared" si="386"/>
        <v>No</v>
      </c>
      <c r="AP1665" s="259" t="str">
        <f t="shared" si="395"/>
        <v>blank</v>
      </c>
      <c r="AQ1665" s="547" t="str">
        <f t="shared" si="387"/>
        <v>无定金+无預留客戶</v>
      </c>
      <c r="AR1665" s="259" t="str">
        <f t="shared" si="396"/>
        <v/>
      </c>
      <c r="AS1665" s="259" t="str">
        <f t="shared" si="397"/>
        <v/>
      </c>
      <c r="AT1665" s="259" t="b">
        <f t="shared" si="388"/>
        <v>0</v>
      </c>
      <c r="AU1665" s="259" t="b">
        <f t="shared" si="389"/>
        <v>0</v>
      </c>
      <c r="AV1665" s="259" t="str">
        <f t="shared" si="390"/>
        <v>-</v>
      </c>
    </row>
    <row r="1666" spans="41:48">
      <c r="AO1666" s="829" t="str">
        <f t="shared" ref="AO1666:AO1729" si="398">IFERROR(IF(Y1666&lt;&gt;"",Y1666,"No"),"No")</f>
        <v>No</v>
      </c>
      <c r="AP1666" s="259" t="str">
        <f t="shared" si="395"/>
        <v>blank</v>
      </c>
      <c r="AQ1666" s="547" t="str">
        <f t="shared" si="387"/>
        <v>无定金+无預留客戶</v>
      </c>
      <c r="AR1666" s="259" t="str">
        <f t="shared" si="396"/>
        <v/>
      </c>
      <c r="AS1666" s="259" t="str">
        <f t="shared" si="397"/>
        <v/>
      </c>
      <c r="AT1666" s="259" t="b">
        <f t="shared" ref="AT1666:AT1729" si="399">IFERROR(IF(R1666&lt;&gt;"",R1666),"-")</f>
        <v>0</v>
      </c>
      <c r="AU1666" s="259" t="b">
        <f t="shared" ref="AU1666:AU1729" si="400">IFERROR(IF(Q1666&lt;&gt;"",Q1666),"-")</f>
        <v>0</v>
      </c>
      <c r="AV1666" s="259" t="str">
        <f t="shared" ref="AV1666:AV1729" si="401">IF(L1666="","-",TEXT(L1666,"mmm-dd"))</f>
        <v>-</v>
      </c>
    </row>
    <row r="1667" spans="41:48">
      <c r="AO1667" s="829" t="str">
        <f t="shared" si="398"/>
        <v>No</v>
      </c>
      <c r="AP1667" s="259" t="str">
        <f t="shared" si="395"/>
        <v>blank</v>
      </c>
      <c r="AQ1667" s="547" t="str">
        <f t="shared" ref="AQ1667:AQ1730" si="402">IFERROR(IF(AND(AO1667="Yes", AP1667&lt;&gt;"blank"), "有定金+有預留客戶", IF(AND(AO1667="Yes", AP1667="blank"), "有定金+无客戶送貨期", IF(AND(OR(AO1667="No", ISBLANK(AO1667), AO1667="NA"), AP1667&lt;&gt;"blank"), "无定金+有預留客戶", IF(AND(OR(AO1667="No", ISBLANK(AO1667), AO1667="NA"), AP1667="blank"), "无定金+无預留客戶", "")))), "")</f>
        <v>无定金+无預留客戶</v>
      </c>
      <c r="AR1667" s="259" t="str">
        <f t="shared" si="396"/>
        <v/>
      </c>
      <c r="AS1667" s="259" t="str">
        <f t="shared" si="397"/>
        <v/>
      </c>
      <c r="AT1667" s="259" t="b">
        <f t="shared" si="399"/>
        <v>0</v>
      </c>
      <c r="AU1667" s="259" t="b">
        <f t="shared" si="400"/>
        <v>0</v>
      </c>
      <c r="AV1667" s="259" t="str">
        <f t="shared" si="401"/>
        <v>-</v>
      </c>
    </row>
    <row r="1668" spans="41:48">
      <c r="AO1668" s="829" t="str">
        <f t="shared" si="398"/>
        <v>No</v>
      </c>
      <c r="AP1668" s="259" t="str">
        <f t="shared" si="395"/>
        <v>blank</v>
      </c>
      <c r="AQ1668" s="547" t="str">
        <f t="shared" si="402"/>
        <v>无定金+无預留客戶</v>
      </c>
      <c r="AR1668" s="259" t="str">
        <f t="shared" si="396"/>
        <v/>
      </c>
      <c r="AS1668" s="259" t="str">
        <f t="shared" si="397"/>
        <v/>
      </c>
      <c r="AT1668" s="259" t="b">
        <f t="shared" si="399"/>
        <v>0</v>
      </c>
      <c r="AU1668" s="259" t="b">
        <f t="shared" si="400"/>
        <v>0</v>
      </c>
      <c r="AV1668" s="259" t="str">
        <f t="shared" si="401"/>
        <v>-</v>
      </c>
    </row>
    <row r="1669" spans="41:48">
      <c r="AO1669" s="829" t="str">
        <f t="shared" si="398"/>
        <v>No</v>
      </c>
      <c r="AP1669" s="259" t="str">
        <f t="shared" si="395"/>
        <v>blank</v>
      </c>
      <c r="AQ1669" s="547" t="str">
        <f t="shared" si="402"/>
        <v>无定金+无預留客戶</v>
      </c>
      <c r="AR1669" s="259" t="str">
        <f t="shared" si="396"/>
        <v/>
      </c>
      <c r="AS1669" s="259" t="str">
        <f t="shared" si="397"/>
        <v/>
      </c>
      <c r="AT1669" s="259" t="b">
        <f t="shared" si="399"/>
        <v>0</v>
      </c>
      <c r="AU1669" s="259" t="b">
        <f t="shared" si="400"/>
        <v>0</v>
      </c>
      <c r="AV1669" s="259" t="str">
        <f t="shared" si="401"/>
        <v>-</v>
      </c>
    </row>
    <row r="1670" spans="41:48">
      <c r="AO1670" s="829" t="str">
        <f t="shared" si="398"/>
        <v>No</v>
      </c>
      <c r="AP1670" s="259" t="str">
        <f t="shared" ref="AP1670:AP1733" si="403">IFERROR(IF(N1670&lt;&gt;"",N1670,"blank"),"NA")</f>
        <v>blank</v>
      </c>
      <c r="AQ1670" s="547" t="str">
        <f t="shared" si="402"/>
        <v>无定金+无預留客戶</v>
      </c>
      <c r="AR1670" s="259" t="str">
        <f t="shared" si="396"/>
        <v/>
      </c>
      <c r="AS1670" s="259" t="str">
        <f t="shared" si="397"/>
        <v/>
      </c>
      <c r="AT1670" s="259" t="b">
        <f t="shared" si="399"/>
        <v>0</v>
      </c>
      <c r="AU1670" s="259" t="b">
        <f t="shared" si="400"/>
        <v>0</v>
      </c>
      <c r="AV1670" s="259" t="str">
        <f t="shared" si="401"/>
        <v>-</v>
      </c>
    </row>
    <row r="1671" spans="41:48">
      <c r="AO1671" s="829" t="str">
        <f t="shared" si="398"/>
        <v>No</v>
      </c>
      <c r="AP1671" s="259" t="str">
        <f t="shared" si="403"/>
        <v>blank</v>
      </c>
      <c r="AQ1671" s="547" t="str">
        <f t="shared" si="402"/>
        <v>无定金+无預留客戶</v>
      </c>
      <c r="AR1671" s="259" t="str">
        <f t="shared" si="396"/>
        <v/>
      </c>
      <c r="AS1671" s="259" t="str">
        <f t="shared" si="397"/>
        <v/>
      </c>
      <c r="AT1671" s="259" t="b">
        <f t="shared" si="399"/>
        <v>0</v>
      </c>
      <c r="AU1671" s="259" t="b">
        <f t="shared" si="400"/>
        <v>0</v>
      </c>
      <c r="AV1671" s="259" t="str">
        <f t="shared" si="401"/>
        <v>-</v>
      </c>
    </row>
    <row r="1672" spans="41:48">
      <c r="AO1672" s="829" t="str">
        <f t="shared" si="398"/>
        <v>No</v>
      </c>
      <c r="AP1672" s="259" t="str">
        <f t="shared" si="403"/>
        <v>blank</v>
      </c>
      <c r="AQ1672" s="547" t="str">
        <f t="shared" si="402"/>
        <v>无定金+无預留客戶</v>
      </c>
      <c r="AR1672" s="259" t="str">
        <f t="shared" si="396"/>
        <v/>
      </c>
      <c r="AS1672" s="259" t="str">
        <f t="shared" si="397"/>
        <v/>
      </c>
      <c r="AT1672" s="259" t="b">
        <f t="shared" si="399"/>
        <v>0</v>
      </c>
      <c r="AU1672" s="259" t="b">
        <f t="shared" si="400"/>
        <v>0</v>
      </c>
      <c r="AV1672" s="259" t="str">
        <f t="shared" si="401"/>
        <v>-</v>
      </c>
    </row>
    <row r="1673" spans="41:48">
      <c r="AO1673" s="829" t="str">
        <f t="shared" si="398"/>
        <v>No</v>
      </c>
      <c r="AP1673" s="259" t="str">
        <f t="shared" si="403"/>
        <v>blank</v>
      </c>
      <c r="AQ1673" s="547" t="str">
        <f t="shared" si="402"/>
        <v>无定金+无預留客戶</v>
      </c>
      <c r="AR1673" s="259" t="str">
        <f t="shared" si="396"/>
        <v/>
      </c>
      <c r="AS1673" s="259" t="str">
        <f t="shared" si="397"/>
        <v/>
      </c>
      <c r="AT1673" s="259" t="b">
        <f t="shared" si="399"/>
        <v>0</v>
      </c>
      <c r="AU1673" s="259" t="b">
        <f t="shared" si="400"/>
        <v>0</v>
      </c>
      <c r="AV1673" s="259" t="str">
        <f t="shared" si="401"/>
        <v>-</v>
      </c>
    </row>
    <row r="1674" spans="41:48">
      <c r="AO1674" s="829" t="str">
        <f t="shared" si="398"/>
        <v>No</v>
      </c>
      <c r="AP1674" s="259" t="str">
        <f t="shared" si="403"/>
        <v>blank</v>
      </c>
      <c r="AQ1674" s="547" t="str">
        <f t="shared" si="402"/>
        <v>无定金+无預留客戶</v>
      </c>
      <c r="AR1674" s="259" t="str">
        <f t="shared" si="396"/>
        <v/>
      </c>
      <c r="AS1674" s="259" t="str">
        <f t="shared" si="397"/>
        <v/>
      </c>
      <c r="AT1674" s="259" t="b">
        <f t="shared" si="399"/>
        <v>0</v>
      </c>
      <c r="AU1674" s="259" t="b">
        <f t="shared" si="400"/>
        <v>0</v>
      </c>
      <c r="AV1674" s="259" t="str">
        <f t="shared" si="401"/>
        <v>-</v>
      </c>
    </row>
    <row r="1675" spans="41:48">
      <c r="AO1675" s="829" t="str">
        <f t="shared" si="398"/>
        <v>No</v>
      </c>
      <c r="AP1675" s="259" t="str">
        <f t="shared" si="403"/>
        <v>blank</v>
      </c>
      <c r="AQ1675" s="547" t="str">
        <f t="shared" si="402"/>
        <v>无定金+无預留客戶</v>
      </c>
      <c r="AR1675" s="259" t="str">
        <f t="shared" si="396"/>
        <v/>
      </c>
      <c r="AS1675" s="259" t="str">
        <f t="shared" si="397"/>
        <v/>
      </c>
      <c r="AT1675" s="259" t="b">
        <f t="shared" si="399"/>
        <v>0</v>
      </c>
      <c r="AU1675" s="259" t="b">
        <f t="shared" si="400"/>
        <v>0</v>
      </c>
      <c r="AV1675" s="259" t="str">
        <f t="shared" si="401"/>
        <v>-</v>
      </c>
    </row>
    <row r="1676" spans="41:48">
      <c r="AO1676" s="829" t="str">
        <f t="shared" si="398"/>
        <v>No</v>
      </c>
      <c r="AP1676" s="259" t="str">
        <f t="shared" si="403"/>
        <v>blank</v>
      </c>
      <c r="AQ1676" s="547" t="str">
        <f t="shared" si="402"/>
        <v>无定金+无預留客戶</v>
      </c>
      <c r="AR1676" s="259" t="str">
        <f t="shared" si="396"/>
        <v/>
      </c>
      <c r="AS1676" s="259" t="str">
        <f t="shared" si="397"/>
        <v/>
      </c>
      <c r="AT1676" s="259" t="b">
        <f t="shared" si="399"/>
        <v>0</v>
      </c>
      <c r="AU1676" s="259" t="b">
        <f t="shared" si="400"/>
        <v>0</v>
      </c>
      <c r="AV1676" s="259" t="str">
        <f t="shared" si="401"/>
        <v>-</v>
      </c>
    </row>
    <row r="1677" spans="41:48">
      <c r="AO1677" s="829" t="str">
        <f t="shared" si="398"/>
        <v>No</v>
      </c>
      <c r="AP1677" s="259" t="str">
        <f t="shared" si="403"/>
        <v>blank</v>
      </c>
      <c r="AQ1677" s="547" t="str">
        <f t="shared" si="402"/>
        <v>无定金+无預留客戶</v>
      </c>
      <c r="AR1677" s="259" t="str">
        <f t="shared" si="396"/>
        <v/>
      </c>
      <c r="AS1677" s="259" t="str">
        <f t="shared" si="397"/>
        <v/>
      </c>
      <c r="AT1677" s="259" t="b">
        <f t="shared" si="399"/>
        <v>0</v>
      </c>
      <c r="AU1677" s="259" t="b">
        <f t="shared" si="400"/>
        <v>0</v>
      </c>
      <c r="AV1677" s="259" t="str">
        <f t="shared" si="401"/>
        <v>-</v>
      </c>
    </row>
    <row r="1678" spans="41:48">
      <c r="AO1678" s="829" t="str">
        <f t="shared" si="398"/>
        <v>No</v>
      </c>
      <c r="AP1678" s="259" t="str">
        <f t="shared" si="403"/>
        <v>blank</v>
      </c>
      <c r="AQ1678" s="547" t="str">
        <f t="shared" si="402"/>
        <v>无定金+无預留客戶</v>
      </c>
      <c r="AR1678" s="259" t="str">
        <f t="shared" si="396"/>
        <v/>
      </c>
      <c r="AS1678" s="259" t="str">
        <f t="shared" si="397"/>
        <v/>
      </c>
      <c r="AT1678" s="259" t="b">
        <f t="shared" si="399"/>
        <v>0</v>
      </c>
      <c r="AU1678" s="259" t="b">
        <f t="shared" si="400"/>
        <v>0</v>
      </c>
      <c r="AV1678" s="259" t="str">
        <f t="shared" si="401"/>
        <v>-</v>
      </c>
    </row>
    <row r="1679" spans="41:48">
      <c r="AO1679" s="829" t="str">
        <f t="shared" si="398"/>
        <v>No</v>
      </c>
      <c r="AP1679" s="259" t="str">
        <f t="shared" si="403"/>
        <v>blank</v>
      </c>
      <c r="AQ1679" s="547" t="str">
        <f t="shared" si="402"/>
        <v>无定金+无預留客戶</v>
      </c>
      <c r="AR1679" s="259" t="str">
        <f t="shared" si="396"/>
        <v/>
      </c>
      <c r="AS1679" s="259" t="str">
        <f t="shared" si="397"/>
        <v/>
      </c>
      <c r="AT1679" s="259" t="b">
        <f t="shared" si="399"/>
        <v>0</v>
      </c>
      <c r="AU1679" s="259" t="b">
        <f t="shared" si="400"/>
        <v>0</v>
      </c>
      <c r="AV1679" s="259" t="str">
        <f t="shared" si="401"/>
        <v>-</v>
      </c>
    </row>
    <row r="1680" spans="41:48">
      <c r="AO1680" s="829" t="str">
        <f t="shared" si="398"/>
        <v>No</v>
      </c>
      <c r="AP1680" s="259" t="str">
        <f t="shared" si="403"/>
        <v>blank</v>
      </c>
      <c r="AQ1680" s="547" t="str">
        <f t="shared" si="402"/>
        <v>无定金+无預留客戶</v>
      </c>
      <c r="AR1680" s="259" t="str">
        <f t="shared" si="396"/>
        <v/>
      </c>
      <c r="AS1680" s="259" t="str">
        <f t="shared" si="397"/>
        <v/>
      </c>
      <c r="AT1680" s="259" t="b">
        <f t="shared" si="399"/>
        <v>0</v>
      </c>
      <c r="AU1680" s="259" t="b">
        <f t="shared" si="400"/>
        <v>0</v>
      </c>
      <c r="AV1680" s="259" t="str">
        <f t="shared" si="401"/>
        <v>-</v>
      </c>
    </row>
    <row r="1681" spans="41:48">
      <c r="AO1681" s="829" t="str">
        <f t="shared" si="398"/>
        <v>No</v>
      </c>
      <c r="AP1681" s="259" t="str">
        <f t="shared" si="403"/>
        <v>blank</v>
      </c>
      <c r="AQ1681" s="547" t="str">
        <f t="shared" si="402"/>
        <v>无定金+无預留客戶</v>
      </c>
      <c r="AR1681" s="259" t="str">
        <f t="shared" si="396"/>
        <v/>
      </c>
      <c r="AS1681" s="259" t="str">
        <f t="shared" si="397"/>
        <v/>
      </c>
      <c r="AT1681" s="259" t="b">
        <f t="shared" si="399"/>
        <v>0</v>
      </c>
      <c r="AU1681" s="259" t="b">
        <f t="shared" si="400"/>
        <v>0</v>
      </c>
      <c r="AV1681" s="259" t="str">
        <f t="shared" si="401"/>
        <v>-</v>
      </c>
    </row>
    <row r="1682" spans="41:48">
      <c r="AO1682" s="829" t="str">
        <f t="shared" si="398"/>
        <v>No</v>
      </c>
      <c r="AP1682" s="259" t="str">
        <f t="shared" si="403"/>
        <v>blank</v>
      </c>
      <c r="AQ1682" s="547" t="str">
        <f t="shared" si="402"/>
        <v>无定金+无預留客戶</v>
      </c>
      <c r="AR1682" s="259" t="str">
        <f t="shared" si="396"/>
        <v/>
      </c>
      <c r="AS1682" s="259" t="str">
        <f t="shared" si="397"/>
        <v/>
      </c>
      <c r="AT1682" s="259" t="b">
        <f t="shared" si="399"/>
        <v>0</v>
      </c>
      <c r="AU1682" s="259" t="b">
        <f t="shared" si="400"/>
        <v>0</v>
      </c>
      <c r="AV1682" s="259" t="str">
        <f t="shared" si="401"/>
        <v>-</v>
      </c>
    </row>
    <row r="1683" spans="41:48">
      <c r="AO1683" s="829" t="str">
        <f t="shared" si="398"/>
        <v>No</v>
      </c>
      <c r="AP1683" s="259" t="str">
        <f t="shared" si="403"/>
        <v>blank</v>
      </c>
      <c r="AQ1683" s="547" t="str">
        <f t="shared" si="402"/>
        <v>无定金+无預留客戶</v>
      </c>
      <c r="AR1683" s="259" t="str">
        <f t="shared" si="396"/>
        <v/>
      </c>
      <c r="AS1683" s="259" t="str">
        <f t="shared" si="397"/>
        <v/>
      </c>
      <c r="AT1683" s="259" t="b">
        <f t="shared" si="399"/>
        <v>0</v>
      </c>
      <c r="AU1683" s="259" t="b">
        <f t="shared" si="400"/>
        <v>0</v>
      </c>
      <c r="AV1683" s="259" t="str">
        <f t="shared" si="401"/>
        <v>-</v>
      </c>
    </row>
    <row r="1684" spans="41:48">
      <c r="AO1684" s="829" t="str">
        <f t="shared" si="398"/>
        <v>No</v>
      </c>
      <c r="AP1684" s="259" t="str">
        <f t="shared" si="403"/>
        <v>blank</v>
      </c>
      <c r="AQ1684" s="547" t="str">
        <f t="shared" si="402"/>
        <v>无定金+无預留客戶</v>
      </c>
      <c r="AR1684" s="259" t="str">
        <f t="shared" si="396"/>
        <v/>
      </c>
      <c r="AS1684" s="259" t="str">
        <f t="shared" si="397"/>
        <v/>
      </c>
      <c r="AT1684" s="259" t="b">
        <f t="shared" si="399"/>
        <v>0</v>
      </c>
      <c r="AU1684" s="259" t="b">
        <f t="shared" si="400"/>
        <v>0</v>
      </c>
      <c r="AV1684" s="259" t="str">
        <f t="shared" si="401"/>
        <v>-</v>
      </c>
    </row>
    <row r="1685" spans="41:48">
      <c r="AO1685" s="829" t="str">
        <f t="shared" si="398"/>
        <v>No</v>
      </c>
      <c r="AP1685" s="259" t="str">
        <f t="shared" si="403"/>
        <v>blank</v>
      </c>
      <c r="AQ1685" s="547" t="str">
        <f t="shared" si="402"/>
        <v>无定金+无預留客戶</v>
      </c>
      <c r="AR1685" s="259" t="str">
        <f t="shared" si="396"/>
        <v/>
      </c>
      <c r="AS1685" s="259" t="str">
        <f t="shared" si="397"/>
        <v/>
      </c>
      <c r="AT1685" s="259" t="b">
        <f t="shared" si="399"/>
        <v>0</v>
      </c>
      <c r="AU1685" s="259" t="b">
        <f t="shared" si="400"/>
        <v>0</v>
      </c>
      <c r="AV1685" s="259" t="str">
        <f t="shared" si="401"/>
        <v>-</v>
      </c>
    </row>
    <row r="1686" spans="41:48">
      <c r="AO1686" s="829" t="str">
        <f t="shared" si="398"/>
        <v>No</v>
      </c>
      <c r="AP1686" s="259" t="str">
        <f t="shared" si="403"/>
        <v>blank</v>
      </c>
      <c r="AQ1686" s="547" t="str">
        <f t="shared" si="402"/>
        <v>无定金+无預留客戶</v>
      </c>
      <c r="AR1686" s="259" t="str">
        <f t="shared" si="396"/>
        <v/>
      </c>
      <c r="AS1686" s="259" t="str">
        <f t="shared" si="397"/>
        <v/>
      </c>
      <c r="AT1686" s="259" t="b">
        <f t="shared" si="399"/>
        <v>0</v>
      </c>
      <c r="AU1686" s="259" t="b">
        <f t="shared" si="400"/>
        <v>0</v>
      </c>
      <c r="AV1686" s="259" t="str">
        <f t="shared" si="401"/>
        <v>-</v>
      </c>
    </row>
    <row r="1687" spans="41:48">
      <c r="AO1687" s="829" t="str">
        <f t="shared" si="398"/>
        <v>No</v>
      </c>
      <c r="AP1687" s="259" t="str">
        <f t="shared" si="403"/>
        <v>blank</v>
      </c>
      <c r="AQ1687" s="547" t="str">
        <f t="shared" si="402"/>
        <v>无定金+无預留客戶</v>
      </c>
      <c r="AR1687" s="259" t="str">
        <f t="shared" si="396"/>
        <v/>
      </c>
      <c r="AS1687" s="259" t="str">
        <f t="shared" si="397"/>
        <v/>
      </c>
      <c r="AT1687" s="259" t="b">
        <f t="shared" si="399"/>
        <v>0</v>
      </c>
      <c r="AU1687" s="259" t="b">
        <f t="shared" si="400"/>
        <v>0</v>
      </c>
      <c r="AV1687" s="259" t="str">
        <f t="shared" si="401"/>
        <v>-</v>
      </c>
    </row>
    <row r="1688" spans="41:48">
      <c r="AO1688" s="829" t="str">
        <f t="shared" si="398"/>
        <v>No</v>
      </c>
      <c r="AP1688" s="259" t="str">
        <f t="shared" si="403"/>
        <v>blank</v>
      </c>
      <c r="AQ1688" s="547" t="str">
        <f t="shared" si="402"/>
        <v>无定金+无預留客戶</v>
      </c>
      <c r="AR1688" s="259" t="str">
        <f t="shared" si="396"/>
        <v/>
      </c>
      <c r="AS1688" s="259" t="str">
        <f t="shared" si="397"/>
        <v/>
      </c>
      <c r="AT1688" s="259" t="b">
        <f t="shared" si="399"/>
        <v>0</v>
      </c>
      <c r="AU1688" s="259" t="b">
        <f t="shared" si="400"/>
        <v>0</v>
      </c>
      <c r="AV1688" s="259" t="str">
        <f t="shared" si="401"/>
        <v>-</v>
      </c>
    </row>
    <row r="1689" spans="41:48">
      <c r="AO1689" s="829" t="str">
        <f t="shared" si="398"/>
        <v>No</v>
      </c>
      <c r="AP1689" s="259" t="str">
        <f t="shared" si="403"/>
        <v>blank</v>
      </c>
      <c r="AQ1689" s="547" t="str">
        <f t="shared" si="402"/>
        <v>无定金+无預留客戶</v>
      </c>
      <c r="AR1689" s="259" t="str">
        <f t="shared" si="396"/>
        <v/>
      </c>
      <c r="AS1689" s="259" t="str">
        <f t="shared" si="397"/>
        <v/>
      </c>
      <c r="AT1689" s="259" t="b">
        <f t="shared" si="399"/>
        <v>0</v>
      </c>
      <c r="AU1689" s="259" t="b">
        <f t="shared" si="400"/>
        <v>0</v>
      </c>
      <c r="AV1689" s="259" t="str">
        <f t="shared" si="401"/>
        <v>-</v>
      </c>
    </row>
    <row r="1690" spans="41:48">
      <c r="AO1690" s="829" t="str">
        <f t="shared" si="398"/>
        <v>No</v>
      </c>
      <c r="AP1690" s="259" t="str">
        <f t="shared" si="403"/>
        <v>blank</v>
      </c>
      <c r="AQ1690" s="547" t="str">
        <f t="shared" si="402"/>
        <v>无定金+无預留客戶</v>
      </c>
      <c r="AR1690" s="259" t="str">
        <f t="shared" si="396"/>
        <v/>
      </c>
      <c r="AS1690" s="259" t="str">
        <f t="shared" si="397"/>
        <v/>
      </c>
      <c r="AT1690" s="259" t="b">
        <f t="shared" si="399"/>
        <v>0</v>
      </c>
      <c r="AU1690" s="259" t="b">
        <f t="shared" si="400"/>
        <v>0</v>
      </c>
      <c r="AV1690" s="259" t="str">
        <f t="shared" si="401"/>
        <v>-</v>
      </c>
    </row>
    <row r="1691" spans="41:48">
      <c r="AO1691" s="829" t="str">
        <f t="shared" si="398"/>
        <v>No</v>
      </c>
      <c r="AP1691" s="259" t="str">
        <f t="shared" si="403"/>
        <v>blank</v>
      </c>
      <c r="AQ1691" s="547" t="str">
        <f t="shared" si="402"/>
        <v>无定金+无預留客戶</v>
      </c>
      <c r="AR1691" s="259" t="str">
        <f t="shared" si="396"/>
        <v/>
      </c>
      <c r="AS1691" s="259" t="str">
        <f t="shared" si="397"/>
        <v/>
      </c>
      <c r="AT1691" s="259" t="b">
        <f t="shared" si="399"/>
        <v>0</v>
      </c>
      <c r="AU1691" s="259" t="b">
        <f t="shared" si="400"/>
        <v>0</v>
      </c>
      <c r="AV1691" s="259" t="str">
        <f t="shared" si="401"/>
        <v>-</v>
      </c>
    </row>
    <row r="1692" spans="41:48">
      <c r="AO1692" s="829" t="str">
        <f t="shared" si="398"/>
        <v>No</v>
      </c>
      <c r="AP1692" s="259" t="str">
        <f t="shared" si="403"/>
        <v>blank</v>
      </c>
      <c r="AQ1692" s="547" t="str">
        <f t="shared" si="402"/>
        <v>无定金+无預留客戶</v>
      </c>
      <c r="AR1692" s="259" t="str">
        <f t="shared" si="396"/>
        <v/>
      </c>
      <c r="AS1692" s="259" t="str">
        <f t="shared" si="397"/>
        <v/>
      </c>
      <c r="AT1692" s="259" t="b">
        <f t="shared" si="399"/>
        <v>0</v>
      </c>
      <c r="AU1692" s="259" t="b">
        <f t="shared" si="400"/>
        <v>0</v>
      </c>
      <c r="AV1692" s="259" t="str">
        <f t="shared" si="401"/>
        <v>-</v>
      </c>
    </row>
    <row r="1693" spans="41:48">
      <c r="AO1693" s="829" t="str">
        <f t="shared" si="398"/>
        <v>No</v>
      </c>
      <c r="AP1693" s="259" t="str">
        <f t="shared" si="403"/>
        <v>blank</v>
      </c>
      <c r="AQ1693" s="547" t="str">
        <f t="shared" si="402"/>
        <v>无定金+无預留客戶</v>
      </c>
      <c r="AR1693" s="259" t="str">
        <f t="shared" si="396"/>
        <v/>
      </c>
      <c r="AS1693" s="259" t="str">
        <f t="shared" si="397"/>
        <v/>
      </c>
      <c r="AT1693" s="259" t="b">
        <f t="shared" si="399"/>
        <v>0</v>
      </c>
      <c r="AU1693" s="259" t="b">
        <f t="shared" si="400"/>
        <v>0</v>
      </c>
      <c r="AV1693" s="259" t="str">
        <f t="shared" si="401"/>
        <v>-</v>
      </c>
    </row>
    <row r="1694" spans="41:48">
      <c r="AO1694" s="829" t="str">
        <f t="shared" si="398"/>
        <v>No</v>
      </c>
      <c r="AP1694" s="259" t="str">
        <f t="shared" si="403"/>
        <v>blank</v>
      </c>
      <c r="AQ1694" s="547" t="str">
        <f t="shared" si="402"/>
        <v>无定金+无預留客戶</v>
      </c>
      <c r="AR1694" s="259" t="str">
        <f t="shared" si="396"/>
        <v/>
      </c>
      <c r="AS1694" s="259" t="str">
        <f t="shared" si="397"/>
        <v/>
      </c>
      <c r="AT1694" s="259" t="b">
        <f t="shared" si="399"/>
        <v>0</v>
      </c>
      <c r="AU1694" s="259" t="b">
        <f t="shared" si="400"/>
        <v>0</v>
      </c>
      <c r="AV1694" s="259" t="str">
        <f t="shared" si="401"/>
        <v>-</v>
      </c>
    </row>
    <row r="1695" spans="41:48">
      <c r="AO1695" s="829" t="str">
        <f t="shared" si="398"/>
        <v>No</v>
      </c>
      <c r="AP1695" s="259" t="str">
        <f t="shared" si="403"/>
        <v>blank</v>
      </c>
      <c r="AQ1695" s="547" t="str">
        <f t="shared" si="402"/>
        <v>无定金+无預留客戶</v>
      </c>
      <c r="AR1695" s="259" t="str">
        <f t="shared" si="396"/>
        <v/>
      </c>
      <c r="AS1695" s="259" t="str">
        <f t="shared" si="397"/>
        <v/>
      </c>
      <c r="AT1695" s="259" t="b">
        <f t="shared" si="399"/>
        <v>0</v>
      </c>
      <c r="AU1695" s="259" t="b">
        <f t="shared" si="400"/>
        <v>0</v>
      </c>
      <c r="AV1695" s="259" t="str">
        <f t="shared" si="401"/>
        <v>-</v>
      </c>
    </row>
    <row r="1696" spans="41:48">
      <c r="AO1696" s="829" t="str">
        <f t="shared" si="398"/>
        <v>No</v>
      </c>
      <c r="AP1696" s="259" t="str">
        <f t="shared" si="403"/>
        <v>blank</v>
      </c>
      <c r="AQ1696" s="547" t="str">
        <f t="shared" si="402"/>
        <v>无定金+无預留客戶</v>
      </c>
      <c r="AR1696" s="259" t="str">
        <f t="shared" si="396"/>
        <v/>
      </c>
      <c r="AS1696" s="259" t="str">
        <f t="shared" si="397"/>
        <v/>
      </c>
      <c r="AT1696" s="259" t="b">
        <f t="shared" si="399"/>
        <v>0</v>
      </c>
      <c r="AU1696" s="259" t="b">
        <f t="shared" si="400"/>
        <v>0</v>
      </c>
      <c r="AV1696" s="259" t="str">
        <f t="shared" si="401"/>
        <v>-</v>
      </c>
    </row>
    <row r="1697" spans="41:48">
      <c r="AO1697" s="829" t="str">
        <f t="shared" si="398"/>
        <v>No</v>
      </c>
      <c r="AP1697" s="259" t="str">
        <f t="shared" si="403"/>
        <v>blank</v>
      </c>
      <c r="AQ1697" s="547" t="str">
        <f t="shared" si="402"/>
        <v>无定金+无預留客戶</v>
      </c>
      <c r="AR1697" s="259" t="str">
        <f t="shared" si="396"/>
        <v/>
      </c>
      <c r="AS1697" s="259" t="str">
        <f t="shared" si="397"/>
        <v/>
      </c>
      <c r="AT1697" s="259" t="b">
        <f t="shared" si="399"/>
        <v>0</v>
      </c>
      <c r="AU1697" s="259" t="b">
        <f t="shared" si="400"/>
        <v>0</v>
      </c>
      <c r="AV1697" s="259" t="str">
        <f t="shared" si="401"/>
        <v>-</v>
      </c>
    </row>
    <row r="1698" spans="41:48">
      <c r="AO1698" s="829" t="str">
        <f t="shared" si="398"/>
        <v>No</v>
      </c>
      <c r="AP1698" s="259" t="str">
        <f t="shared" si="403"/>
        <v>blank</v>
      </c>
      <c r="AQ1698" s="547" t="str">
        <f t="shared" si="402"/>
        <v>无定金+无預留客戶</v>
      </c>
      <c r="AR1698" s="259" t="str">
        <f t="shared" si="396"/>
        <v/>
      </c>
      <c r="AS1698" s="259" t="str">
        <f t="shared" si="397"/>
        <v/>
      </c>
      <c r="AT1698" s="259" t="b">
        <f t="shared" si="399"/>
        <v>0</v>
      </c>
      <c r="AU1698" s="259" t="b">
        <f t="shared" si="400"/>
        <v>0</v>
      </c>
      <c r="AV1698" s="259" t="str">
        <f t="shared" si="401"/>
        <v>-</v>
      </c>
    </row>
    <row r="1699" spans="41:48">
      <c r="AO1699" s="829" t="str">
        <f t="shared" si="398"/>
        <v>No</v>
      </c>
      <c r="AP1699" s="259" t="str">
        <f t="shared" si="403"/>
        <v>blank</v>
      </c>
      <c r="AQ1699" s="547" t="str">
        <f t="shared" si="402"/>
        <v>无定金+无預留客戶</v>
      </c>
      <c r="AR1699" s="259" t="str">
        <f t="shared" si="396"/>
        <v/>
      </c>
      <c r="AS1699" s="259" t="str">
        <f t="shared" si="397"/>
        <v/>
      </c>
      <c r="AT1699" s="259" t="b">
        <f t="shared" si="399"/>
        <v>0</v>
      </c>
      <c r="AU1699" s="259" t="b">
        <f t="shared" si="400"/>
        <v>0</v>
      </c>
      <c r="AV1699" s="259" t="str">
        <f t="shared" si="401"/>
        <v>-</v>
      </c>
    </row>
    <row r="1700" spans="41:48">
      <c r="AO1700" s="829" t="str">
        <f t="shared" si="398"/>
        <v>No</v>
      </c>
      <c r="AP1700" s="259" t="str">
        <f t="shared" si="403"/>
        <v>blank</v>
      </c>
      <c r="AQ1700" s="547" t="str">
        <f t="shared" si="402"/>
        <v>无定金+无預留客戶</v>
      </c>
      <c r="AR1700" s="259" t="str">
        <f t="shared" si="396"/>
        <v/>
      </c>
      <c r="AS1700" s="259" t="str">
        <f t="shared" si="397"/>
        <v/>
      </c>
      <c r="AT1700" s="259" t="b">
        <f t="shared" si="399"/>
        <v>0</v>
      </c>
      <c r="AU1700" s="259" t="b">
        <f t="shared" si="400"/>
        <v>0</v>
      </c>
      <c r="AV1700" s="259" t="str">
        <f t="shared" si="401"/>
        <v>-</v>
      </c>
    </row>
    <row r="1701" spans="41:48">
      <c r="AO1701" s="829" t="str">
        <f t="shared" si="398"/>
        <v>No</v>
      </c>
      <c r="AP1701" s="259" t="str">
        <f t="shared" si="403"/>
        <v>blank</v>
      </c>
      <c r="AQ1701" s="547" t="str">
        <f t="shared" si="402"/>
        <v>无定金+无預留客戶</v>
      </c>
      <c r="AR1701" s="259" t="str">
        <f t="shared" si="396"/>
        <v/>
      </c>
      <c r="AS1701" s="259" t="str">
        <f t="shared" si="397"/>
        <v/>
      </c>
      <c r="AT1701" s="259" t="b">
        <f t="shared" si="399"/>
        <v>0</v>
      </c>
      <c r="AU1701" s="259" t="b">
        <f t="shared" si="400"/>
        <v>0</v>
      </c>
      <c r="AV1701" s="259" t="str">
        <f t="shared" si="401"/>
        <v>-</v>
      </c>
    </row>
    <row r="1702" spans="41:48">
      <c r="AO1702" s="829" t="str">
        <f t="shared" si="398"/>
        <v>No</v>
      </c>
      <c r="AP1702" s="259" t="str">
        <f t="shared" si="403"/>
        <v>blank</v>
      </c>
      <c r="AQ1702" s="547" t="str">
        <f t="shared" si="402"/>
        <v>无定金+无預留客戶</v>
      </c>
      <c r="AR1702" s="259" t="str">
        <f t="shared" si="396"/>
        <v/>
      </c>
      <c r="AS1702" s="259" t="str">
        <f t="shared" si="397"/>
        <v/>
      </c>
      <c r="AT1702" s="259" t="b">
        <f t="shared" si="399"/>
        <v>0</v>
      </c>
      <c r="AU1702" s="259" t="b">
        <f t="shared" si="400"/>
        <v>0</v>
      </c>
      <c r="AV1702" s="259" t="str">
        <f t="shared" si="401"/>
        <v>-</v>
      </c>
    </row>
    <row r="1703" spans="41:48">
      <c r="AO1703" s="829" t="str">
        <f t="shared" si="398"/>
        <v>No</v>
      </c>
      <c r="AP1703" s="259" t="str">
        <f t="shared" si="403"/>
        <v>blank</v>
      </c>
      <c r="AQ1703" s="547" t="str">
        <f t="shared" si="402"/>
        <v>无定金+无預留客戶</v>
      </c>
      <c r="AR1703" s="259" t="str">
        <f t="shared" si="396"/>
        <v/>
      </c>
      <c r="AS1703" s="259" t="str">
        <f t="shared" si="397"/>
        <v/>
      </c>
      <c r="AT1703" s="259" t="b">
        <f t="shared" si="399"/>
        <v>0</v>
      </c>
      <c r="AU1703" s="259" t="b">
        <f t="shared" si="400"/>
        <v>0</v>
      </c>
      <c r="AV1703" s="259" t="str">
        <f t="shared" si="401"/>
        <v>-</v>
      </c>
    </row>
    <row r="1704" spans="41:48">
      <c r="AO1704" s="829" t="str">
        <f t="shared" si="398"/>
        <v>No</v>
      </c>
      <c r="AP1704" s="259" t="str">
        <f t="shared" si="403"/>
        <v>blank</v>
      </c>
      <c r="AQ1704" s="547" t="str">
        <f t="shared" si="402"/>
        <v>无定金+无預留客戶</v>
      </c>
      <c r="AR1704" s="259" t="str">
        <f t="shared" si="396"/>
        <v/>
      </c>
      <c r="AS1704" s="259" t="str">
        <f t="shared" si="397"/>
        <v/>
      </c>
      <c r="AT1704" s="259" t="b">
        <f t="shared" si="399"/>
        <v>0</v>
      </c>
      <c r="AU1704" s="259" t="b">
        <f t="shared" si="400"/>
        <v>0</v>
      </c>
      <c r="AV1704" s="259" t="str">
        <f t="shared" si="401"/>
        <v>-</v>
      </c>
    </row>
    <row r="1705" spans="41:48">
      <c r="AO1705" s="829" t="str">
        <f t="shared" si="398"/>
        <v>No</v>
      </c>
      <c r="AP1705" s="259" t="str">
        <f t="shared" si="403"/>
        <v>blank</v>
      </c>
      <c r="AQ1705" s="547" t="str">
        <f t="shared" si="402"/>
        <v>无定金+无預留客戶</v>
      </c>
      <c r="AR1705" s="259" t="str">
        <f t="shared" si="396"/>
        <v/>
      </c>
      <c r="AS1705" s="259" t="str">
        <f t="shared" si="397"/>
        <v/>
      </c>
      <c r="AT1705" s="259" t="b">
        <f t="shared" si="399"/>
        <v>0</v>
      </c>
      <c r="AU1705" s="259" t="b">
        <f t="shared" si="400"/>
        <v>0</v>
      </c>
      <c r="AV1705" s="259" t="str">
        <f t="shared" si="401"/>
        <v>-</v>
      </c>
    </row>
    <row r="1706" spans="41:48">
      <c r="AO1706" s="829" t="str">
        <f t="shared" si="398"/>
        <v>No</v>
      </c>
      <c r="AP1706" s="259" t="str">
        <f t="shared" si="403"/>
        <v>blank</v>
      </c>
      <c r="AQ1706" s="547" t="str">
        <f t="shared" si="402"/>
        <v>无定金+无預留客戶</v>
      </c>
      <c r="AR1706" s="259" t="str">
        <f t="shared" si="396"/>
        <v/>
      </c>
      <c r="AS1706" s="259" t="str">
        <f t="shared" si="397"/>
        <v/>
      </c>
      <c r="AT1706" s="259" t="b">
        <f t="shared" si="399"/>
        <v>0</v>
      </c>
      <c r="AU1706" s="259" t="b">
        <f t="shared" si="400"/>
        <v>0</v>
      </c>
      <c r="AV1706" s="259" t="str">
        <f t="shared" si="401"/>
        <v>-</v>
      </c>
    </row>
    <row r="1707" spans="41:48">
      <c r="AO1707" s="829" t="str">
        <f t="shared" si="398"/>
        <v>No</v>
      </c>
      <c r="AP1707" s="259" t="str">
        <f t="shared" si="403"/>
        <v>blank</v>
      </c>
      <c r="AQ1707" s="547" t="str">
        <f t="shared" si="402"/>
        <v>无定金+无預留客戶</v>
      </c>
      <c r="AR1707" s="259" t="str">
        <f t="shared" si="396"/>
        <v/>
      </c>
      <c r="AS1707" s="259" t="str">
        <f t="shared" si="397"/>
        <v/>
      </c>
      <c r="AT1707" s="259" t="b">
        <f t="shared" si="399"/>
        <v>0</v>
      </c>
      <c r="AU1707" s="259" t="b">
        <f t="shared" si="400"/>
        <v>0</v>
      </c>
      <c r="AV1707" s="259" t="str">
        <f t="shared" si="401"/>
        <v>-</v>
      </c>
    </row>
    <row r="1708" spans="41:48">
      <c r="AO1708" s="829" t="str">
        <f t="shared" si="398"/>
        <v>No</v>
      </c>
      <c r="AP1708" s="259" t="str">
        <f t="shared" si="403"/>
        <v>blank</v>
      </c>
      <c r="AQ1708" s="547" t="str">
        <f t="shared" si="402"/>
        <v>无定金+无預留客戶</v>
      </c>
      <c r="AR1708" s="259" t="str">
        <f t="shared" si="396"/>
        <v/>
      </c>
      <c r="AS1708" s="259" t="str">
        <f t="shared" si="397"/>
        <v/>
      </c>
      <c r="AT1708" s="259" t="b">
        <f t="shared" si="399"/>
        <v>0</v>
      </c>
      <c r="AU1708" s="259" t="b">
        <f t="shared" si="400"/>
        <v>0</v>
      </c>
      <c r="AV1708" s="259" t="str">
        <f t="shared" si="401"/>
        <v>-</v>
      </c>
    </row>
    <row r="1709" spans="41:48">
      <c r="AO1709" s="829" t="str">
        <f t="shared" si="398"/>
        <v>No</v>
      </c>
      <c r="AP1709" s="259" t="str">
        <f t="shared" si="403"/>
        <v>blank</v>
      </c>
      <c r="AQ1709" s="547" t="str">
        <f t="shared" si="402"/>
        <v>无定金+无預留客戶</v>
      </c>
      <c r="AR1709" s="259" t="str">
        <f t="shared" si="396"/>
        <v/>
      </c>
      <c r="AS1709" s="259" t="str">
        <f t="shared" si="397"/>
        <v/>
      </c>
      <c r="AT1709" s="259" t="b">
        <f t="shared" si="399"/>
        <v>0</v>
      </c>
      <c r="AU1709" s="259" t="b">
        <f t="shared" si="400"/>
        <v>0</v>
      </c>
      <c r="AV1709" s="259" t="str">
        <f t="shared" si="401"/>
        <v>-</v>
      </c>
    </row>
    <row r="1710" spans="41:48">
      <c r="AO1710" s="829" t="str">
        <f t="shared" si="398"/>
        <v>No</v>
      </c>
      <c r="AP1710" s="259" t="str">
        <f t="shared" si="403"/>
        <v>blank</v>
      </c>
      <c r="AQ1710" s="547" t="str">
        <f t="shared" si="402"/>
        <v>无定金+无預留客戶</v>
      </c>
      <c r="AR1710" s="259" t="str">
        <f t="shared" si="396"/>
        <v/>
      </c>
      <c r="AS1710" s="259" t="str">
        <f t="shared" si="397"/>
        <v/>
      </c>
      <c r="AT1710" s="259" t="b">
        <f t="shared" si="399"/>
        <v>0</v>
      </c>
      <c r="AU1710" s="259" t="b">
        <f t="shared" si="400"/>
        <v>0</v>
      </c>
      <c r="AV1710" s="259" t="str">
        <f t="shared" si="401"/>
        <v>-</v>
      </c>
    </row>
    <row r="1711" spans="41:48">
      <c r="AO1711" s="829" t="str">
        <f t="shared" si="398"/>
        <v>No</v>
      </c>
      <c r="AP1711" s="259" t="str">
        <f t="shared" si="403"/>
        <v>blank</v>
      </c>
      <c r="AQ1711" s="547" t="str">
        <f t="shared" si="402"/>
        <v>无定金+无預留客戶</v>
      </c>
      <c r="AR1711" s="259" t="str">
        <f t="shared" si="396"/>
        <v/>
      </c>
      <c r="AS1711" s="259" t="str">
        <f t="shared" si="397"/>
        <v/>
      </c>
      <c r="AT1711" s="259" t="b">
        <f t="shared" si="399"/>
        <v>0</v>
      </c>
      <c r="AU1711" s="259" t="b">
        <f t="shared" si="400"/>
        <v>0</v>
      </c>
      <c r="AV1711" s="259" t="str">
        <f t="shared" si="401"/>
        <v>-</v>
      </c>
    </row>
    <row r="1712" spans="41:48">
      <c r="AO1712" s="829" t="str">
        <f t="shared" si="398"/>
        <v>No</v>
      </c>
      <c r="AP1712" s="259" t="str">
        <f t="shared" si="403"/>
        <v>blank</v>
      </c>
      <c r="AQ1712" s="547" t="str">
        <f t="shared" si="402"/>
        <v>无定金+无預留客戶</v>
      </c>
      <c r="AR1712" s="259" t="str">
        <f t="shared" si="396"/>
        <v/>
      </c>
      <c r="AS1712" s="259" t="str">
        <f t="shared" si="397"/>
        <v/>
      </c>
      <c r="AT1712" s="259" t="b">
        <f t="shared" si="399"/>
        <v>0</v>
      </c>
      <c r="AU1712" s="259" t="b">
        <f t="shared" si="400"/>
        <v>0</v>
      </c>
      <c r="AV1712" s="259" t="str">
        <f t="shared" si="401"/>
        <v>-</v>
      </c>
    </row>
    <row r="1713" spans="41:48">
      <c r="AO1713" s="829" t="str">
        <f t="shared" si="398"/>
        <v>No</v>
      </c>
      <c r="AP1713" s="259" t="str">
        <f t="shared" si="403"/>
        <v>blank</v>
      </c>
      <c r="AQ1713" s="547" t="str">
        <f t="shared" si="402"/>
        <v>无定金+无預留客戶</v>
      </c>
      <c r="AR1713" s="259" t="str">
        <f t="shared" si="396"/>
        <v/>
      </c>
      <c r="AS1713" s="259" t="str">
        <f t="shared" si="397"/>
        <v/>
      </c>
      <c r="AT1713" s="259" t="b">
        <f t="shared" si="399"/>
        <v>0</v>
      </c>
      <c r="AU1713" s="259" t="b">
        <f t="shared" si="400"/>
        <v>0</v>
      </c>
      <c r="AV1713" s="259" t="str">
        <f t="shared" si="401"/>
        <v>-</v>
      </c>
    </row>
    <row r="1714" spans="41:48">
      <c r="AO1714" s="829" t="str">
        <f t="shared" si="398"/>
        <v>No</v>
      </c>
      <c r="AP1714" s="259" t="str">
        <f t="shared" si="403"/>
        <v>blank</v>
      </c>
      <c r="AQ1714" s="547" t="str">
        <f t="shared" si="402"/>
        <v>无定金+无預留客戶</v>
      </c>
      <c r="AR1714" s="259" t="str">
        <f t="shared" si="396"/>
        <v/>
      </c>
      <c r="AS1714" s="259" t="str">
        <f t="shared" si="397"/>
        <v/>
      </c>
      <c r="AT1714" s="259" t="b">
        <f t="shared" si="399"/>
        <v>0</v>
      </c>
      <c r="AU1714" s="259" t="b">
        <f t="shared" si="400"/>
        <v>0</v>
      </c>
      <c r="AV1714" s="259" t="str">
        <f t="shared" si="401"/>
        <v>-</v>
      </c>
    </row>
    <row r="1715" spans="41:48">
      <c r="AO1715" s="829" t="str">
        <f t="shared" si="398"/>
        <v>No</v>
      </c>
      <c r="AP1715" s="259" t="str">
        <f t="shared" si="403"/>
        <v>blank</v>
      </c>
      <c r="AQ1715" s="547" t="str">
        <f t="shared" si="402"/>
        <v>无定金+无預留客戶</v>
      </c>
      <c r="AR1715" s="259" t="str">
        <f t="shared" si="396"/>
        <v/>
      </c>
      <c r="AS1715" s="259" t="str">
        <f t="shared" si="397"/>
        <v/>
      </c>
      <c r="AT1715" s="259" t="b">
        <f t="shared" si="399"/>
        <v>0</v>
      </c>
      <c r="AU1715" s="259" t="b">
        <f t="shared" si="400"/>
        <v>0</v>
      </c>
      <c r="AV1715" s="259" t="str">
        <f t="shared" si="401"/>
        <v>-</v>
      </c>
    </row>
    <row r="1716" spans="41:48">
      <c r="AO1716" s="829" t="str">
        <f t="shared" si="398"/>
        <v>No</v>
      </c>
      <c r="AP1716" s="259" t="str">
        <f t="shared" si="403"/>
        <v>blank</v>
      </c>
      <c r="AQ1716" s="547" t="str">
        <f t="shared" si="402"/>
        <v>无定金+无預留客戶</v>
      </c>
      <c r="AR1716" s="259" t="str">
        <f t="shared" si="396"/>
        <v/>
      </c>
      <c r="AS1716" s="259" t="str">
        <f t="shared" si="397"/>
        <v/>
      </c>
      <c r="AT1716" s="259" t="b">
        <f t="shared" si="399"/>
        <v>0</v>
      </c>
      <c r="AU1716" s="259" t="b">
        <f t="shared" si="400"/>
        <v>0</v>
      </c>
      <c r="AV1716" s="259" t="str">
        <f t="shared" si="401"/>
        <v>-</v>
      </c>
    </row>
    <row r="1717" spans="41:48">
      <c r="AO1717" s="829" t="str">
        <f t="shared" si="398"/>
        <v>No</v>
      </c>
      <c r="AP1717" s="259" t="str">
        <f t="shared" si="403"/>
        <v>blank</v>
      </c>
      <c r="AQ1717" s="547" t="str">
        <f t="shared" si="402"/>
        <v>无定金+无預留客戶</v>
      </c>
      <c r="AR1717" s="259" t="str">
        <f t="shared" si="396"/>
        <v/>
      </c>
      <c r="AS1717" s="259" t="str">
        <f t="shared" si="397"/>
        <v/>
      </c>
      <c r="AT1717" s="259" t="b">
        <f t="shared" si="399"/>
        <v>0</v>
      </c>
      <c r="AU1717" s="259" t="b">
        <f t="shared" si="400"/>
        <v>0</v>
      </c>
      <c r="AV1717" s="259" t="str">
        <f t="shared" si="401"/>
        <v>-</v>
      </c>
    </row>
    <row r="1718" spans="41:48">
      <c r="AO1718" s="829" t="str">
        <f t="shared" si="398"/>
        <v>No</v>
      </c>
      <c r="AP1718" s="259" t="str">
        <f t="shared" si="403"/>
        <v>blank</v>
      </c>
      <c r="AQ1718" s="547" t="str">
        <f t="shared" si="402"/>
        <v>无定金+无預留客戶</v>
      </c>
      <c r="AR1718" s="259" t="str">
        <f t="shared" si="396"/>
        <v/>
      </c>
      <c r="AS1718" s="259" t="str">
        <f t="shared" si="397"/>
        <v/>
      </c>
      <c r="AT1718" s="259" t="b">
        <f t="shared" si="399"/>
        <v>0</v>
      </c>
      <c r="AU1718" s="259" t="b">
        <f t="shared" si="400"/>
        <v>0</v>
      </c>
      <c r="AV1718" s="259" t="str">
        <f t="shared" si="401"/>
        <v>-</v>
      </c>
    </row>
    <row r="1719" spans="41:48">
      <c r="AO1719" s="829" t="str">
        <f t="shared" si="398"/>
        <v>No</v>
      </c>
      <c r="AP1719" s="259" t="str">
        <f t="shared" si="403"/>
        <v>blank</v>
      </c>
      <c r="AQ1719" s="547" t="str">
        <f t="shared" si="402"/>
        <v>无定金+无預留客戶</v>
      </c>
      <c r="AR1719" s="259" t="str">
        <f t="shared" si="396"/>
        <v/>
      </c>
      <c r="AS1719" s="259" t="str">
        <f t="shared" si="397"/>
        <v/>
      </c>
      <c r="AT1719" s="259" t="b">
        <f t="shared" si="399"/>
        <v>0</v>
      </c>
      <c r="AU1719" s="259" t="b">
        <f t="shared" si="400"/>
        <v>0</v>
      </c>
      <c r="AV1719" s="259" t="str">
        <f t="shared" si="401"/>
        <v>-</v>
      </c>
    </row>
    <row r="1720" spans="41:48">
      <c r="AO1720" s="829" t="str">
        <f t="shared" si="398"/>
        <v>No</v>
      </c>
      <c r="AP1720" s="259" t="str">
        <f t="shared" si="403"/>
        <v>blank</v>
      </c>
      <c r="AQ1720" s="547" t="str">
        <f t="shared" si="402"/>
        <v>无定金+无預留客戶</v>
      </c>
      <c r="AR1720" s="259" t="str">
        <f t="shared" si="396"/>
        <v/>
      </c>
      <c r="AS1720" s="259" t="str">
        <f t="shared" si="397"/>
        <v/>
      </c>
      <c r="AT1720" s="259" t="b">
        <f t="shared" si="399"/>
        <v>0</v>
      </c>
      <c r="AU1720" s="259" t="b">
        <f t="shared" si="400"/>
        <v>0</v>
      </c>
      <c r="AV1720" s="259" t="str">
        <f t="shared" si="401"/>
        <v>-</v>
      </c>
    </row>
    <row r="1721" spans="41:48">
      <c r="AO1721" s="829" t="str">
        <f t="shared" si="398"/>
        <v>No</v>
      </c>
      <c r="AP1721" s="259" t="str">
        <f t="shared" si="403"/>
        <v>blank</v>
      </c>
      <c r="AQ1721" s="547" t="str">
        <f t="shared" si="402"/>
        <v>无定金+无預留客戶</v>
      </c>
      <c r="AR1721" s="259" t="str">
        <f t="shared" si="396"/>
        <v/>
      </c>
      <c r="AS1721" s="259" t="str">
        <f t="shared" si="397"/>
        <v/>
      </c>
      <c r="AT1721" s="259" t="b">
        <f t="shared" si="399"/>
        <v>0</v>
      </c>
      <c r="AU1721" s="259" t="b">
        <f t="shared" si="400"/>
        <v>0</v>
      </c>
      <c r="AV1721" s="259" t="str">
        <f t="shared" si="401"/>
        <v>-</v>
      </c>
    </row>
    <row r="1722" spans="41:48">
      <c r="AO1722" s="829" t="str">
        <f t="shared" si="398"/>
        <v>No</v>
      </c>
      <c r="AP1722" s="259" t="str">
        <f t="shared" si="403"/>
        <v>blank</v>
      </c>
      <c r="AQ1722" s="547" t="str">
        <f t="shared" si="402"/>
        <v>无定金+无預留客戶</v>
      </c>
      <c r="AR1722" s="259" t="str">
        <f t="shared" si="396"/>
        <v/>
      </c>
      <c r="AS1722" s="259" t="str">
        <f t="shared" si="397"/>
        <v/>
      </c>
      <c r="AT1722" s="259" t="b">
        <f t="shared" si="399"/>
        <v>0</v>
      </c>
      <c r="AU1722" s="259" t="b">
        <f t="shared" si="400"/>
        <v>0</v>
      </c>
      <c r="AV1722" s="259" t="str">
        <f t="shared" si="401"/>
        <v>-</v>
      </c>
    </row>
    <row r="1723" spans="41:48">
      <c r="AO1723" s="829" t="str">
        <f t="shared" si="398"/>
        <v>No</v>
      </c>
      <c r="AP1723" s="259" t="str">
        <f t="shared" si="403"/>
        <v>blank</v>
      </c>
      <c r="AQ1723" s="547" t="str">
        <f t="shared" si="402"/>
        <v>无定金+无預留客戶</v>
      </c>
      <c r="AR1723" s="259" t="str">
        <f t="shared" si="396"/>
        <v/>
      </c>
      <c r="AS1723" s="259" t="str">
        <f t="shared" si="397"/>
        <v/>
      </c>
      <c r="AT1723" s="259" t="b">
        <f t="shared" si="399"/>
        <v>0</v>
      </c>
      <c r="AU1723" s="259" t="b">
        <f t="shared" si="400"/>
        <v>0</v>
      </c>
      <c r="AV1723" s="259" t="str">
        <f t="shared" si="401"/>
        <v>-</v>
      </c>
    </row>
    <row r="1724" spans="41:48">
      <c r="AO1724" s="829" t="str">
        <f t="shared" si="398"/>
        <v>No</v>
      </c>
      <c r="AP1724" s="259" t="str">
        <f t="shared" si="403"/>
        <v>blank</v>
      </c>
      <c r="AQ1724" s="547" t="str">
        <f t="shared" si="402"/>
        <v>无定金+无預留客戶</v>
      </c>
      <c r="AR1724" s="259" t="str">
        <f t="shared" si="396"/>
        <v/>
      </c>
      <c r="AS1724" s="259" t="str">
        <f t="shared" si="397"/>
        <v/>
      </c>
      <c r="AT1724" s="259" t="b">
        <f t="shared" si="399"/>
        <v>0</v>
      </c>
      <c r="AU1724" s="259" t="b">
        <f t="shared" si="400"/>
        <v>0</v>
      </c>
      <c r="AV1724" s="259" t="str">
        <f t="shared" si="401"/>
        <v>-</v>
      </c>
    </row>
    <row r="1725" spans="41:48">
      <c r="AO1725" s="829" t="str">
        <f t="shared" si="398"/>
        <v>No</v>
      </c>
      <c r="AP1725" s="259" t="str">
        <f t="shared" si="403"/>
        <v>blank</v>
      </c>
      <c r="AQ1725" s="547" t="str">
        <f t="shared" si="402"/>
        <v>无定金+无預留客戶</v>
      </c>
      <c r="AR1725" s="259" t="str">
        <f t="shared" si="396"/>
        <v/>
      </c>
      <c r="AS1725" s="259" t="str">
        <f t="shared" si="397"/>
        <v/>
      </c>
      <c r="AT1725" s="259" t="b">
        <f t="shared" si="399"/>
        <v>0</v>
      </c>
      <c r="AU1725" s="259" t="b">
        <f t="shared" si="400"/>
        <v>0</v>
      </c>
      <c r="AV1725" s="259" t="str">
        <f t="shared" si="401"/>
        <v>-</v>
      </c>
    </row>
    <row r="1726" spans="41:48">
      <c r="AO1726" s="829" t="str">
        <f t="shared" si="398"/>
        <v>No</v>
      </c>
      <c r="AP1726" s="259" t="str">
        <f t="shared" si="403"/>
        <v>blank</v>
      </c>
      <c r="AQ1726" s="547" t="str">
        <f t="shared" si="402"/>
        <v>无定金+无預留客戶</v>
      </c>
      <c r="AR1726" s="259" t="str">
        <f t="shared" ref="AR1726:AR1789" si="404">IFERROR(IF(B1726="已经到货", "Instock", IF(B1726="有交期", "Incoming_Stock_With_YAMAHA_Schedule", IF(B1726="TBA.", "Incoming_Stock_No_YAMAHA_Schedule", IF(B1726="已发货", "Shipped_Stock", "")))), "")</f>
        <v/>
      </c>
      <c r="AS1726" s="259" t="str">
        <f t="shared" ref="AS1726:AS1789" si="405">IF(AND(B1726="有交期", L1726&lt;&gt;""), L1726, "")</f>
        <v/>
      </c>
      <c r="AT1726" s="259" t="b">
        <f t="shared" si="399"/>
        <v>0</v>
      </c>
      <c r="AU1726" s="259" t="b">
        <f t="shared" si="400"/>
        <v>0</v>
      </c>
      <c r="AV1726" s="259" t="str">
        <f t="shared" si="401"/>
        <v>-</v>
      </c>
    </row>
    <row r="1727" spans="41:48">
      <c r="AO1727" s="829" t="str">
        <f t="shared" si="398"/>
        <v>No</v>
      </c>
      <c r="AP1727" s="259" t="str">
        <f t="shared" si="403"/>
        <v>blank</v>
      </c>
      <c r="AQ1727" s="547" t="str">
        <f t="shared" si="402"/>
        <v>无定金+无預留客戶</v>
      </c>
      <c r="AR1727" s="259" t="str">
        <f t="shared" si="404"/>
        <v/>
      </c>
      <c r="AS1727" s="259" t="str">
        <f t="shared" si="405"/>
        <v/>
      </c>
      <c r="AT1727" s="259" t="b">
        <f t="shared" si="399"/>
        <v>0</v>
      </c>
      <c r="AU1727" s="259" t="b">
        <f t="shared" si="400"/>
        <v>0</v>
      </c>
      <c r="AV1727" s="259" t="str">
        <f t="shared" si="401"/>
        <v>-</v>
      </c>
    </row>
    <row r="1728" spans="41:48">
      <c r="AO1728" s="829" t="str">
        <f t="shared" si="398"/>
        <v>No</v>
      </c>
      <c r="AP1728" s="259" t="str">
        <f t="shared" si="403"/>
        <v>blank</v>
      </c>
      <c r="AQ1728" s="547" t="str">
        <f t="shared" si="402"/>
        <v>无定金+无預留客戶</v>
      </c>
      <c r="AR1728" s="259" t="str">
        <f t="shared" si="404"/>
        <v/>
      </c>
      <c r="AS1728" s="259" t="str">
        <f t="shared" si="405"/>
        <v/>
      </c>
      <c r="AT1728" s="259" t="b">
        <f t="shared" si="399"/>
        <v>0</v>
      </c>
      <c r="AU1728" s="259" t="b">
        <f t="shared" si="400"/>
        <v>0</v>
      </c>
      <c r="AV1728" s="259" t="str">
        <f t="shared" si="401"/>
        <v>-</v>
      </c>
    </row>
    <row r="1729" spans="41:48">
      <c r="AO1729" s="829" t="str">
        <f t="shared" si="398"/>
        <v>No</v>
      </c>
      <c r="AP1729" s="259" t="str">
        <f t="shared" si="403"/>
        <v>blank</v>
      </c>
      <c r="AQ1729" s="547" t="str">
        <f t="shared" si="402"/>
        <v>无定金+无預留客戶</v>
      </c>
      <c r="AR1729" s="259" t="str">
        <f t="shared" si="404"/>
        <v/>
      </c>
      <c r="AS1729" s="259" t="str">
        <f t="shared" si="405"/>
        <v/>
      </c>
      <c r="AT1729" s="259" t="b">
        <f t="shared" si="399"/>
        <v>0</v>
      </c>
      <c r="AU1729" s="259" t="b">
        <f t="shared" si="400"/>
        <v>0</v>
      </c>
      <c r="AV1729" s="259" t="str">
        <f t="shared" si="401"/>
        <v>-</v>
      </c>
    </row>
    <row r="1730" spans="41:48">
      <c r="AO1730" s="829" t="str">
        <f t="shared" ref="AO1730:AO1793" si="406">IFERROR(IF(Y1730&lt;&gt;"",Y1730,"No"),"No")</f>
        <v>No</v>
      </c>
      <c r="AP1730" s="259" t="str">
        <f t="shared" si="403"/>
        <v>blank</v>
      </c>
      <c r="AQ1730" s="547" t="str">
        <f t="shared" si="402"/>
        <v>无定金+无預留客戶</v>
      </c>
      <c r="AR1730" s="259" t="str">
        <f t="shared" si="404"/>
        <v/>
      </c>
      <c r="AS1730" s="259" t="str">
        <f t="shared" si="405"/>
        <v/>
      </c>
      <c r="AT1730" s="259" t="b">
        <f t="shared" ref="AT1730:AT1793" si="407">IFERROR(IF(R1730&lt;&gt;"",R1730),"-")</f>
        <v>0</v>
      </c>
      <c r="AU1730" s="259" t="b">
        <f t="shared" ref="AU1730:AU1793" si="408">IFERROR(IF(Q1730&lt;&gt;"",Q1730),"-")</f>
        <v>0</v>
      </c>
      <c r="AV1730" s="259" t="str">
        <f t="shared" ref="AV1730:AV1793" si="409">IF(L1730="","-",TEXT(L1730,"mmm-dd"))</f>
        <v>-</v>
      </c>
    </row>
    <row r="1731" spans="41:48">
      <c r="AO1731" s="829" t="str">
        <f t="shared" si="406"/>
        <v>No</v>
      </c>
      <c r="AP1731" s="259" t="str">
        <f t="shared" si="403"/>
        <v>blank</v>
      </c>
      <c r="AQ1731" s="547" t="str">
        <f t="shared" ref="AQ1731:AQ1794" si="410">IFERROR(IF(AND(AO1731="Yes", AP1731&lt;&gt;"blank"), "有定金+有預留客戶", IF(AND(AO1731="Yes", AP1731="blank"), "有定金+无客戶送貨期", IF(AND(OR(AO1731="No", ISBLANK(AO1731), AO1731="NA"), AP1731&lt;&gt;"blank"), "无定金+有預留客戶", IF(AND(OR(AO1731="No", ISBLANK(AO1731), AO1731="NA"), AP1731="blank"), "无定金+无預留客戶", "")))), "")</f>
        <v>无定金+无預留客戶</v>
      </c>
      <c r="AR1731" s="259" t="str">
        <f t="shared" si="404"/>
        <v/>
      </c>
      <c r="AS1731" s="259" t="str">
        <f t="shared" si="405"/>
        <v/>
      </c>
      <c r="AT1731" s="259" t="b">
        <f t="shared" si="407"/>
        <v>0</v>
      </c>
      <c r="AU1731" s="259" t="b">
        <f t="shared" si="408"/>
        <v>0</v>
      </c>
      <c r="AV1731" s="259" t="str">
        <f t="shared" si="409"/>
        <v>-</v>
      </c>
    </row>
    <row r="1732" spans="41:48">
      <c r="AO1732" s="829" t="str">
        <f t="shared" si="406"/>
        <v>No</v>
      </c>
      <c r="AP1732" s="259" t="str">
        <f t="shared" si="403"/>
        <v>blank</v>
      </c>
      <c r="AQ1732" s="547" t="str">
        <f t="shared" si="410"/>
        <v>无定金+无預留客戶</v>
      </c>
      <c r="AR1732" s="259" t="str">
        <f t="shared" si="404"/>
        <v/>
      </c>
      <c r="AS1732" s="259" t="str">
        <f t="shared" si="405"/>
        <v/>
      </c>
      <c r="AT1732" s="259" t="b">
        <f t="shared" si="407"/>
        <v>0</v>
      </c>
      <c r="AU1732" s="259" t="b">
        <f t="shared" si="408"/>
        <v>0</v>
      </c>
      <c r="AV1732" s="259" t="str">
        <f t="shared" si="409"/>
        <v>-</v>
      </c>
    </row>
    <row r="1733" spans="41:48">
      <c r="AO1733" s="829" t="str">
        <f t="shared" si="406"/>
        <v>No</v>
      </c>
      <c r="AP1733" s="259" t="str">
        <f t="shared" si="403"/>
        <v>blank</v>
      </c>
      <c r="AQ1733" s="547" t="str">
        <f t="shared" si="410"/>
        <v>无定金+无預留客戶</v>
      </c>
      <c r="AR1733" s="259" t="str">
        <f t="shared" si="404"/>
        <v/>
      </c>
      <c r="AS1733" s="259" t="str">
        <f t="shared" si="405"/>
        <v/>
      </c>
      <c r="AT1733" s="259" t="b">
        <f t="shared" si="407"/>
        <v>0</v>
      </c>
      <c r="AU1733" s="259" t="b">
        <f t="shared" si="408"/>
        <v>0</v>
      </c>
      <c r="AV1733" s="259" t="str">
        <f t="shared" si="409"/>
        <v>-</v>
      </c>
    </row>
    <row r="1734" spans="41:48">
      <c r="AO1734" s="829" t="str">
        <f t="shared" si="406"/>
        <v>No</v>
      </c>
      <c r="AP1734" s="259" t="str">
        <f t="shared" ref="AP1734:AP1797" si="411">IFERROR(IF(N1734&lt;&gt;"",N1734,"blank"),"NA")</f>
        <v>blank</v>
      </c>
      <c r="AQ1734" s="547" t="str">
        <f t="shared" si="410"/>
        <v>无定金+无預留客戶</v>
      </c>
      <c r="AR1734" s="259" t="str">
        <f t="shared" si="404"/>
        <v/>
      </c>
      <c r="AS1734" s="259" t="str">
        <f t="shared" si="405"/>
        <v/>
      </c>
      <c r="AT1734" s="259" t="b">
        <f t="shared" si="407"/>
        <v>0</v>
      </c>
      <c r="AU1734" s="259" t="b">
        <f t="shared" si="408"/>
        <v>0</v>
      </c>
      <c r="AV1734" s="259" t="str">
        <f t="shared" si="409"/>
        <v>-</v>
      </c>
    </row>
    <row r="1735" spans="41:48">
      <c r="AO1735" s="829" t="str">
        <f t="shared" si="406"/>
        <v>No</v>
      </c>
      <c r="AP1735" s="259" t="str">
        <f t="shared" si="411"/>
        <v>blank</v>
      </c>
      <c r="AQ1735" s="547" t="str">
        <f t="shared" si="410"/>
        <v>无定金+无預留客戶</v>
      </c>
      <c r="AR1735" s="259" t="str">
        <f t="shared" si="404"/>
        <v/>
      </c>
      <c r="AS1735" s="259" t="str">
        <f t="shared" si="405"/>
        <v/>
      </c>
      <c r="AT1735" s="259" t="b">
        <f t="shared" si="407"/>
        <v>0</v>
      </c>
      <c r="AU1735" s="259" t="b">
        <f t="shared" si="408"/>
        <v>0</v>
      </c>
      <c r="AV1735" s="259" t="str">
        <f t="shared" si="409"/>
        <v>-</v>
      </c>
    </row>
    <row r="1736" spans="41:48">
      <c r="AO1736" s="829" t="str">
        <f t="shared" si="406"/>
        <v>No</v>
      </c>
      <c r="AP1736" s="259" t="str">
        <f t="shared" si="411"/>
        <v>blank</v>
      </c>
      <c r="AQ1736" s="547" t="str">
        <f t="shared" si="410"/>
        <v>无定金+无預留客戶</v>
      </c>
      <c r="AR1736" s="259" t="str">
        <f t="shared" si="404"/>
        <v/>
      </c>
      <c r="AS1736" s="259" t="str">
        <f t="shared" si="405"/>
        <v/>
      </c>
      <c r="AT1736" s="259" t="b">
        <f t="shared" si="407"/>
        <v>0</v>
      </c>
      <c r="AU1736" s="259" t="b">
        <f t="shared" si="408"/>
        <v>0</v>
      </c>
      <c r="AV1736" s="259" t="str">
        <f t="shared" si="409"/>
        <v>-</v>
      </c>
    </row>
    <row r="1737" spans="41:48">
      <c r="AO1737" s="829" t="str">
        <f t="shared" si="406"/>
        <v>No</v>
      </c>
      <c r="AP1737" s="259" t="str">
        <f t="shared" si="411"/>
        <v>blank</v>
      </c>
      <c r="AQ1737" s="547" t="str">
        <f t="shared" si="410"/>
        <v>无定金+无預留客戶</v>
      </c>
      <c r="AR1737" s="259" t="str">
        <f t="shared" si="404"/>
        <v/>
      </c>
      <c r="AS1737" s="259" t="str">
        <f t="shared" si="405"/>
        <v/>
      </c>
      <c r="AT1737" s="259" t="b">
        <f t="shared" si="407"/>
        <v>0</v>
      </c>
      <c r="AU1737" s="259" t="b">
        <f t="shared" si="408"/>
        <v>0</v>
      </c>
      <c r="AV1737" s="259" t="str">
        <f t="shared" si="409"/>
        <v>-</v>
      </c>
    </row>
    <row r="1738" spans="41:48">
      <c r="AO1738" s="829" t="str">
        <f t="shared" si="406"/>
        <v>No</v>
      </c>
      <c r="AP1738" s="259" t="str">
        <f t="shared" si="411"/>
        <v>blank</v>
      </c>
      <c r="AQ1738" s="547" t="str">
        <f t="shared" si="410"/>
        <v>无定金+无預留客戶</v>
      </c>
      <c r="AR1738" s="259" t="str">
        <f t="shared" si="404"/>
        <v/>
      </c>
      <c r="AS1738" s="259" t="str">
        <f t="shared" si="405"/>
        <v/>
      </c>
      <c r="AT1738" s="259" t="b">
        <f t="shared" si="407"/>
        <v>0</v>
      </c>
      <c r="AU1738" s="259" t="b">
        <f t="shared" si="408"/>
        <v>0</v>
      </c>
      <c r="AV1738" s="259" t="str">
        <f t="shared" si="409"/>
        <v>-</v>
      </c>
    </row>
    <row r="1739" spans="41:48">
      <c r="AO1739" s="829" t="str">
        <f t="shared" si="406"/>
        <v>No</v>
      </c>
      <c r="AP1739" s="259" t="str">
        <f t="shared" si="411"/>
        <v>blank</v>
      </c>
      <c r="AQ1739" s="547" t="str">
        <f t="shared" si="410"/>
        <v>无定金+无預留客戶</v>
      </c>
      <c r="AR1739" s="259" t="str">
        <f t="shared" si="404"/>
        <v/>
      </c>
      <c r="AS1739" s="259" t="str">
        <f t="shared" si="405"/>
        <v/>
      </c>
      <c r="AT1739" s="259" t="b">
        <f t="shared" si="407"/>
        <v>0</v>
      </c>
      <c r="AU1739" s="259" t="b">
        <f t="shared" si="408"/>
        <v>0</v>
      </c>
      <c r="AV1739" s="259" t="str">
        <f t="shared" si="409"/>
        <v>-</v>
      </c>
    </row>
    <row r="1740" spans="41:48">
      <c r="AO1740" s="829" t="str">
        <f t="shared" si="406"/>
        <v>No</v>
      </c>
      <c r="AP1740" s="259" t="str">
        <f t="shared" si="411"/>
        <v>blank</v>
      </c>
      <c r="AQ1740" s="547" t="str">
        <f t="shared" si="410"/>
        <v>无定金+无預留客戶</v>
      </c>
      <c r="AR1740" s="259" t="str">
        <f t="shared" si="404"/>
        <v/>
      </c>
      <c r="AS1740" s="259" t="str">
        <f t="shared" si="405"/>
        <v/>
      </c>
      <c r="AT1740" s="259" t="b">
        <f t="shared" si="407"/>
        <v>0</v>
      </c>
      <c r="AU1740" s="259" t="b">
        <f t="shared" si="408"/>
        <v>0</v>
      </c>
      <c r="AV1740" s="259" t="str">
        <f t="shared" si="409"/>
        <v>-</v>
      </c>
    </row>
    <row r="1741" spans="41:48">
      <c r="AO1741" s="829" t="str">
        <f t="shared" si="406"/>
        <v>No</v>
      </c>
      <c r="AP1741" s="259" t="str">
        <f t="shared" si="411"/>
        <v>blank</v>
      </c>
      <c r="AQ1741" s="547" t="str">
        <f t="shared" si="410"/>
        <v>无定金+无預留客戶</v>
      </c>
      <c r="AR1741" s="259" t="str">
        <f t="shared" si="404"/>
        <v/>
      </c>
      <c r="AS1741" s="259" t="str">
        <f t="shared" si="405"/>
        <v/>
      </c>
      <c r="AT1741" s="259" t="b">
        <f t="shared" si="407"/>
        <v>0</v>
      </c>
      <c r="AU1741" s="259" t="b">
        <f t="shared" si="408"/>
        <v>0</v>
      </c>
      <c r="AV1741" s="259" t="str">
        <f t="shared" si="409"/>
        <v>-</v>
      </c>
    </row>
    <row r="1742" spans="41:48">
      <c r="AO1742" s="829" t="str">
        <f t="shared" si="406"/>
        <v>No</v>
      </c>
      <c r="AP1742" s="259" t="str">
        <f t="shared" si="411"/>
        <v>blank</v>
      </c>
      <c r="AQ1742" s="547" t="str">
        <f t="shared" si="410"/>
        <v>无定金+无預留客戶</v>
      </c>
      <c r="AR1742" s="259" t="str">
        <f t="shared" si="404"/>
        <v/>
      </c>
      <c r="AS1742" s="259" t="str">
        <f t="shared" si="405"/>
        <v/>
      </c>
      <c r="AT1742" s="259" t="b">
        <f t="shared" si="407"/>
        <v>0</v>
      </c>
      <c r="AU1742" s="259" t="b">
        <f t="shared" si="408"/>
        <v>0</v>
      </c>
      <c r="AV1742" s="259" t="str">
        <f t="shared" si="409"/>
        <v>-</v>
      </c>
    </row>
    <row r="1743" spans="41:48">
      <c r="AO1743" s="829" t="str">
        <f t="shared" si="406"/>
        <v>No</v>
      </c>
      <c r="AP1743" s="259" t="str">
        <f t="shared" si="411"/>
        <v>blank</v>
      </c>
      <c r="AQ1743" s="547" t="str">
        <f t="shared" si="410"/>
        <v>无定金+无預留客戶</v>
      </c>
      <c r="AR1743" s="259" t="str">
        <f t="shared" si="404"/>
        <v/>
      </c>
      <c r="AS1743" s="259" t="str">
        <f t="shared" si="405"/>
        <v/>
      </c>
      <c r="AT1743" s="259" t="b">
        <f t="shared" si="407"/>
        <v>0</v>
      </c>
      <c r="AU1743" s="259" t="b">
        <f t="shared" si="408"/>
        <v>0</v>
      </c>
      <c r="AV1743" s="259" t="str">
        <f t="shared" si="409"/>
        <v>-</v>
      </c>
    </row>
    <row r="1744" spans="41:48">
      <c r="AO1744" s="829" t="str">
        <f t="shared" si="406"/>
        <v>No</v>
      </c>
      <c r="AP1744" s="259" t="str">
        <f t="shared" si="411"/>
        <v>blank</v>
      </c>
      <c r="AQ1744" s="547" t="str">
        <f t="shared" si="410"/>
        <v>无定金+无預留客戶</v>
      </c>
      <c r="AR1744" s="259" t="str">
        <f t="shared" si="404"/>
        <v/>
      </c>
      <c r="AS1744" s="259" t="str">
        <f t="shared" si="405"/>
        <v/>
      </c>
      <c r="AT1744" s="259" t="b">
        <f t="shared" si="407"/>
        <v>0</v>
      </c>
      <c r="AU1744" s="259" t="b">
        <f t="shared" si="408"/>
        <v>0</v>
      </c>
      <c r="AV1744" s="259" t="str">
        <f t="shared" si="409"/>
        <v>-</v>
      </c>
    </row>
    <row r="1745" spans="41:48">
      <c r="AO1745" s="829" t="str">
        <f t="shared" si="406"/>
        <v>No</v>
      </c>
      <c r="AP1745" s="259" t="str">
        <f t="shared" si="411"/>
        <v>blank</v>
      </c>
      <c r="AQ1745" s="547" t="str">
        <f t="shared" si="410"/>
        <v>无定金+无預留客戶</v>
      </c>
      <c r="AR1745" s="259" t="str">
        <f t="shared" si="404"/>
        <v/>
      </c>
      <c r="AS1745" s="259" t="str">
        <f t="shared" si="405"/>
        <v/>
      </c>
      <c r="AT1745" s="259" t="b">
        <f t="shared" si="407"/>
        <v>0</v>
      </c>
      <c r="AU1745" s="259" t="b">
        <f t="shared" si="408"/>
        <v>0</v>
      </c>
      <c r="AV1745" s="259" t="str">
        <f t="shared" si="409"/>
        <v>-</v>
      </c>
    </row>
    <row r="1746" spans="41:48">
      <c r="AO1746" s="829" t="str">
        <f t="shared" si="406"/>
        <v>No</v>
      </c>
      <c r="AP1746" s="259" t="str">
        <f t="shared" si="411"/>
        <v>blank</v>
      </c>
      <c r="AQ1746" s="547" t="str">
        <f t="shared" si="410"/>
        <v>无定金+无預留客戶</v>
      </c>
      <c r="AR1746" s="259" t="str">
        <f t="shared" si="404"/>
        <v/>
      </c>
      <c r="AS1746" s="259" t="str">
        <f t="shared" si="405"/>
        <v/>
      </c>
      <c r="AT1746" s="259" t="b">
        <f t="shared" si="407"/>
        <v>0</v>
      </c>
      <c r="AU1746" s="259" t="b">
        <f t="shared" si="408"/>
        <v>0</v>
      </c>
      <c r="AV1746" s="259" t="str">
        <f t="shared" si="409"/>
        <v>-</v>
      </c>
    </row>
    <row r="1747" spans="41:48">
      <c r="AO1747" s="829" t="str">
        <f t="shared" si="406"/>
        <v>No</v>
      </c>
      <c r="AP1747" s="259" t="str">
        <f t="shared" si="411"/>
        <v>blank</v>
      </c>
      <c r="AQ1747" s="547" t="str">
        <f t="shared" si="410"/>
        <v>无定金+无預留客戶</v>
      </c>
      <c r="AR1747" s="259" t="str">
        <f t="shared" si="404"/>
        <v/>
      </c>
      <c r="AS1747" s="259" t="str">
        <f t="shared" si="405"/>
        <v/>
      </c>
      <c r="AT1747" s="259" t="b">
        <f t="shared" si="407"/>
        <v>0</v>
      </c>
      <c r="AU1747" s="259" t="b">
        <f t="shared" si="408"/>
        <v>0</v>
      </c>
      <c r="AV1747" s="259" t="str">
        <f t="shared" si="409"/>
        <v>-</v>
      </c>
    </row>
    <row r="1748" spans="41:48">
      <c r="AO1748" s="829" t="str">
        <f t="shared" si="406"/>
        <v>No</v>
      </c>
      <c r="AP1748" s="259" t="str">
        <f t="shared" si="411"/>
        <v>blank</v>
      </c>
      <c r="AQ1748" s="547" t="str">
        <f t="shared" si="410"/>
        <v>无定金+无預留客戶</v>
      </c>
      <c r="AR1748" s="259" t="str">
        <f t="shared" si="404"/>
        <v/>
      </c>
      <c r="AS1748" s="259" t="str">
        <f t="shared" si="405"/>
        <v/>
      </c>
      <c r="AT1748" s="259" t="b">
        <f t="shared" si="407"/>
        <v>0</v>
      </c>
      <c r="AU1748" s="259" t="b">
        <f t="shared" si="408"/>
        <v>0</v>
      </c>
      <c r="AV1748" s="259" t="str">
        <f t="shared" si="409"/>
        <v>-</v>
      </c>
    </row>
    <row r="1749" spans="41:48">
      <c r="AO1749" s="829" t="str">
        <f t="shared" si="406"/>
        <v>No</v>
      </c>
      <c r="AP1749" s="259" t="str">
        <f t="shared" si="411"/>
        <v>blank</v>
      </c>
      <c r="AQ1749" s="547" t="str">
        <f t="shared" si="410"/>
        <v>无定金+无預留客戶</v>
      </c>
      <c r="AR1749" s="259" t="str">
        <f t="shared" si="404"/>
        <v/>
      </c>
      <c r="AS1749" s="259" t="str">
        <f t="shared" si="405"/>
        <v/>
      </c>
      <c r="AT1749" s="259" t="b">
        <f t="shared" si="407"/>
        <v>0</v>
      </c>
      <c r="AU1749" s="259" t="b">
        <f t="shared" si="408"/>
        <v>0</v>
      </c>
      <c r="AV1749" s="259" t="str">
        <f t="shared" si="409"/>
        <v>-</v>
      </c>
    </row>
    <row r="1750" spans="41:48">
      <c r="AO1750" s="829" t="str">
        <f t="shared" si="406"/>
        <v>No</v>
      </c>
      <c r="AP1750" s="259" t="str">
        <f t="shared" si="411"/>
        <v>blank</v>
      </c>
      <c r="AQ1750" s="547" t="str">
        <f t="shared" si="410"/>
        <v>无定金+无預留客戶</v>
      </c>
      <c r="AR1750" s="259" t="str">
        <f t="shared" si="404"/>
        <v/>
      </c>
      <c r="AS1750" s="259" t="str">
        <f t="shared" si="405"/>
        <v/>
      </c>
      <c r="AT1750" s="259" t="b">
        <f t="shared" si="407"/>
        <v>0</v>
      </c>
      <c r="AU1750" s="259" t="b">
        <f t="shared" si="408"/>
        <v>0</v>
      </c>
      <c r="AV1750" s="259" t="str">
        <f t="shared" si="409"/>
        <v>-</v>
      </c>
    </row>
    <row r="1751" spans="41:48">
      <c r="AO1751" s="829" t="str">
        <f t="shared" si="406"/>
        <v>No</v>
      </c>
      <c r="AP1751" s="259" t="str">
        <f t="shared" si="411"/>
        <v>blank</v>
      </c>
      <c r="AQ1751" s="547" t="str">
        <f t="shared" si="410"/>
        <v>无定金+无預留客戶</v>
      </c>
      <c r="AR1751" s="259" t="str">
        <f t="shared" si="404"/>
        <v/>
      </c>
      <c r="AS1751" s="259" t="str">
        <f t="shared" si="405"/>
        <v/>
      </c>
      <c r="AT1751" s="259" t="b">
        <f t="shared" si="407"/>
        <v>0</v>
      </c>
      <c r="AU1751" s="259" t="b">
        <f t="shared" si="408"/>
        <v>0</v>
      </c>
      <c r="AV1751" s="259" t="str">
        <f t="shared" si="409"/>
        <v>-</v>
      </c>
    </row>
    <row r="1752" spans="41:48">
      <c r="AO1752" s="829" t="str">
        <f t="shared" si="406"/>
        <v>No</v>
      </c>
      <c r="AP1752" s="259" t="str">
        <f t="shared" si="411"/>
        <v>blank</v>
      </c>
      <c r="AQ1752" s="547" t="str">
        <f t="shared" si="410"/>
        <v>无定金+无預留客戶</v>
      </c>
      <c r="AR1752" s="259" t="str">
        <f t="shared" si="404"/>
        <v/>
      </c>
      <c r="AS1752" s="259" t="str">
        <f t="shared" si="405"/>
        <v/>
      </c>
      <c r="AT1752" s="259" t="b">
        <f t="shared" si="407"/>
        <v>0</v>
      </c>
      <c r="AU1752" s="259" t="b">
        <f t="shared" si="408"/>
        <v>0</v>
      </c>
      <c r="AV1752" s="259" t="str">
        <f t="shared" si="409"/>
        <v>-</v>
      </c>
    </row>
    <row r="1753" spans="41:48">
      <c r="AO1753" s="829" t="str">
        <f t="shared" si="406"/>
        <v>No</v>
      </c>
      <c r="AP1753" s="259" t="str">
        <f t="shared" si="411"/>
        <v>blank</v>
      </c>
      <c r="AQ1753" s="547" t="str">
        <f t="shared" si="410"/>
        <v>无定金+无預留客戶</v>
      </c>
      <c r="AR1753" s="259" t="str">
        <f t="shared" si="404"/>
        <v/>
      </c>
      <c r="AS1753" s="259" t="str">
        <f t="shared" si="405"/>
        <v/>
      </c>
      <c r="AT1753" s="259" t="b">
        <f t="shared" si="407"/>
        <v>0</v>
      </c>
      <c r="AU1753" s="259" t="b">
        <f t="shared" si="408"/>
        <v>0</v>
      </c>
      <c r="AV1753" s="259" t="str">
        <f t="shared" si="409"/>
        <v>-</v>
      </c>
    </row>
    <row r="1754" spans="41:48">
      <c r="AO1754" s="829" t="str">
        <f t="shared" si="406"/>
        <v>No</v>
      </c>
      <c r="AP1754" s="259" t="str">
        <f t="shared" si="411"/>
        <v>blank</v>
      </c>
      <c r="AQ1754" s="547" t="str">
        <f t="shared" si="410"/>
        <v>无定金+无預留客戶</v>
      </c>
      <c r="AR1754" s="259" t="str">
        <f t="shared" si="404"/>
        <v/>
      </c>
      <c r="AS1754" s="259" t="str">
        <f t="shared" si="405"/>
        <v/>
      </c>
      <c r="AT1754" s="259" t="b">
        <f t="shared" si="407"/>
        <v>0</v>
      </c>
      <c r="AU1754" s="259" t="b">
        <f t="shared" si="408"/>
        <v>0</v>
      </c>
      <c r="AV1754" s="259" t="str">
        <f t="shared" si="409"/>
        <v>-</v>
      </c>
    </row>
    <row r="1755" spans="41:48">
      <c r="AO1755" s="829" t="str">
        <f t="shared" si="406"/>
        <v>No</v>
      </c>
      <c r="AP1755" s="259" t="str">
        <f t="shared" si="411"/>
        <v>blank</v>
      </c>
      <c r="AQ1755" s="547" t="str">
        <f t="shared" si="410"/>
        <v>无定金+无預留客戶</v>
      </c>
      <c r="AR1755" s="259" t="str">
        <f t="shared" si="404"/>
        <v/>
      </c>
      <c r="AS1755" s="259" t="str">
        <f t="shared" si="405"/>
        <v/>
      </c>
      <c r="AT1755" s="259" t="b">
        <f t="shared" si="407"/>
        <v>0</v>
      </c>
      <c r="AU1755" s="259" t="b">
        <f t="shared" si="408"/>
        <v>0</v>
      </c>
      <c r="AV1755" s="259" t="str">
        <f t="shared" si="409"/>
        <v>-</v>
      </c>
    </row>
    <row r="1756" spans="41:48">
      <c r="AO1756" s="829" t="str">
        <f t="shared" si="406"/>
        <v>No</v>
      </c>
      <c r="AP1756" s="259" t="str">
        <f t="shared" si="411"/>
        <v>blank</v>
      </c>
      <c r="AQ1756" s="547" t="str">
        <f t="shared" si="410"/>
        <v>无定金+无預留客戶</v>
      </c>
      <c r="AR1756" s="259" t="str">
        <f t="shared" si="404"/>
        <v/>
      </c>
      <c r="AS1756" s="259" t="str">
        <f t="shared" si="405"/>
        <v/>
      </c>
      <c r="AT1756" s="259" t="b">
        <f t="shared" si="407"/>
        <v>0</v>
      </c>
      <c r="AU1756" s="259" t="b">
        <f t="shared" si="408"/>
        <v>0</v>
      </c>
      <c r="AV1756" s="259" t="str">
        <f t="shared" si="409"/>
        <v>-</v>
      </c>
    </row>
    <row r="1757" spans="41:48">
      <c r="AO1757" s="829" t="str">
        <f t="shared" si="406"/>
        <v>No</v>
      </c>
      <c r="AP1757" s="259" t="str">
        <f t="shared" si="411"/>
        <v>blank</v>
      </c>
      <c r="AQ1757" s="547" t="str">
        <f t="shared" si="410"/>
        <v>无定金+无預留客戶</v>
      </c>
      <c r="AR1757" s="259" t="str">
        <f t="shared" si="404"/>
        <v/>
      </c>
      <c r="AS1757" s="259" t="str">
        <f t="shared" si="405"/>
        <v/>
      </c>
      <c r="AT1757" s="259" t="b">
        <f t="shared" si="407"/>
        <v>0</v>
      </c>
      <c r="AU1757" s="259" t="b">
        <f t="shared" si="408"/>
        <v>0</v>
      </c>
      <c r="AV1757" s="259" t="str">
        <f t="shared" si="409"/>
        <v>-</v>
      </c>
    </row>
    <row r="1758" spans="41:48">
      <c r="AO1758" s="829" t="str">
        <f t="shared" si="406"/>
        <v>No</v>
      </c>
      <c r="AP1758" s="259" t="str">
        <f t="shared" si="411"/>
        <v>blank</v>
      </c>
      <c r="AQ1758" s="547" t="str">
        <f t="shared" si="410"/>
        <v>无定金+无預留客戶</v>
      </c>
      <c r="AR1758" s="259" t="str">
        <f t="shared" si="404"/>
        <v/>
      </c>
      <c r="AS1758" s="259" t="str">
        <f t="shared" si="405"/>
        <v/>
      </c>
      <c r="AT1758" s="259" t="b">
        <f t="shared" si="407"/>
        <v>0</v>
      </c>
      <c r="AU1758" s="259" t="b">
        <f t="shared" si="408"/>
        <v>0</v>
      </c>
      <c r="AV1758" s="259" t="str">
        <f t="shared" si="409"/>
        <v>-</v>
      </c>
    </row>
    <row r="1759" spans="41:48">
      <c r="AO1759" s="829" t="str">
        <f t="shared" si="406"/>
        <v>No</v>
      </c>
      <c r="AP1759" s="259" t="str">
        <f t="shared" si="411"/>
        <v>blank</v>
      </c>
      <c r="AQ1759" s="547" t="str">
        <f t="shared" si="410"/>
        <v>无定金+无預留客戶</v>
      </c>
      <c r="AR1759" s="259" t="str">
        <f t="shared" si="404"/>
        <v/>
      </c>
      <c r="AS1759" s="259" t="str">
        <f t="shared" si="405"/>
        <v/>
      </c>
      <c r="AT1759" s="259" t="b">
        <f t="shared" si="407"/>
        <v>0</v>
      </c>
      <c r="AU1759" s="259" t="b">
        <f t="shared" si="408"/>
        <v>0</v>
      </c>
      <c r="AV1759" s="259" t="str">
        <f t="shared" si="409"/>
        <v>-</v>
      </c>
    </row>
    <row r="1760" spans="41:48">
      <c r="AO1760" s="829" t="str">
        <f t="shared" si="406"/>
        <v>No</v>
      </c>
      <c r="AP1760" s="259" t="str">
        <f t="shared" si="411"/>
        <v>blank</v>
      </c>
      <c r="AQ1760" s="547" t="str">
        <f t="shared" si="410"/>
        <v>无定金+无預留客戶</v>
      </c>
      <c r="AR1760" s="259" t="str">
        <f t="shared" si="404"/>
        <v/>
      </c>
      <c r="AS1760" s="259" t="str">
        <f t="shared" si="405"/>
        <v/>
      </c>
      <c r="AT1760" s="259" t="b">
        <f t="shared" si="407"/>
        <v>0</v>
      </c>
      <c r="AU1760" s="259" t="b">
        <f t="shared" si="408"/>
        <v>0</v>
      </c>
      <c r="AV1760" s="259" t="str">
        <f t="shared" si="409"/>
        <v>-</v>
      </c>
    </row>
    <row r="1761" spans="41:48">
      <c r="AO1761" s="829" t="str">
        <f t="shared" si="406"/>
        <v>No</v>
      </c>
      <c r="AP1761" s="259" t="str">
        <f t="shared" si="411"/>
        <v>blank</v>
      </c>
      <c r="AQ1761" s="547" t="str">
        <f t="shared" si="410"/>
        <v>无定金+无預留客戶</v>
      </c>
      <c r="AR1761" s="259" t="str">
        <f t="shared" si="404"/>
        <v/>
      </c>
      <c r="AS1761" s="259" t="str">
        <f t="shared" si="405"/>
        <v/>
      </c>
      <c r="AT1761" s="259" t="b">
        <f t="shared" si="407"/>
        <v>0</v>
      </c>
      <c r="AU1761" s="259" t="b">
        <f t="shared" si="408"/>
        <v>0</v>
      </c>
      <c r="AV1761" s="259" t="str">
        <f t="shared" si="409"/>
        <v>-</v>
      </c>
    </row>
    <row r="1762" spans="41:48">
      <c r="AO1762" s="829" t="str">
        <f t="shared" si="406"/>
        <v>No</v>
      </c>
      <c r="AP1762" s="259" t="str">
        <f t="shared" si="411"/>
        <v>blank</v>
      </c>
      <c r="AQ1762" s="547" t="str">
        <f t="shared" si="410"/>
        <v>无定金+无預留客戶</v>
      </c>
      <c r="AR1762" s="259" t="str">
        <f t="shared" si="404"/>
        <v/>
      </c>
      <c r="AS1762" s="259" t="str">
        <f t="shared" si="405"/>
        <v/>
      </c>
      <c r="AT1762" s="259" t="b">
        <f t="shared" si="407"/>
        <v>0</v>
      </c>
      <c r="AU1762" s="259" t="b">
        <f t="shared" si="408"/>
        <v>0</v>
      </c>
      <c r="AV1762" s="259" t="str">
        <f t="shared" si="409"/>
        <v>-</v>
      </c>
    </row>
    <row r="1763" spans="41:48">
      <c r="AO1763" s="829" t="str">
        <f t="shared" si="406"/>
        <v>No</v>
      </c>
      <c r="AP1763" s="259" t="str">
        <f t="shared" si="411"/>
        <v>blank</v>
      </c>
      <c r="AQ1763" s="547" t="str">
        <f t="shared" si="410"/>
        <v>无定金+无預留客戶</v>
      </c>
      <c r="AR1763" s="259" t="str">
        <f t="shared" si="404"/>
        <v/>
      </c>
      <c r="AS1763" s="259" t="str">
        <f t="shared" si="405"/>
        <v/>
      </c>
      <c r="AT1763" s="259" t="b">
        <f t="shared" si="407"/>
        <v>0</v>
      </c>
      <c r="AU1763" s="259" t="b">
        <f t="shared" si="408"/>
        <v>0</v>
      </c>
      <c r="AV1763" s="259" t="str">
        <f t="shared" si="409"/>
        <v>-</v>
      </c>
    </row>
    <row r="1764" spans="41:48">
      <c r="AO1764" s="829" t="str">
        <f t="shared" si="406"/>
        <v>No</v>
      </c>
      <c r="AP1764" s="259" t="str">
        <f t="shared" si="411"/>
        <v>blank</v>
      </c>
      <c r="AQ1764" s="547" t="str">
        <f t="shared" si="410"/>
        <v>无定金+无預留客戶</v>
      </c>
      <c r="AR1764" s="259" t="str">
        <f t="shared" si="404"/>
        <v/>
      </c>
      <c r="AS1764" s="259" t="str">
        <f t="shared" si="405"/>
        <v/>
      </c>
      <c r="AT1764" s="259" t="b">
        <f t="shared" si="407"/>
        <v>0</v>
      </c>
      <c r="AU1764" s="259" t="b">
        <f t="shared" si="408"/>
        <v>0</v>
      </c>
      <c r="AV1764" s="259" t="str">
        <f t="shared" si="409"/>
        <v>-</v>
      </c>
    </row>
    <row r="1765" spans="41:48">
      <c r="AO1765" s="829" t="str">
        <f t="shared" si="406"/>
        <v>No</v>
      </c>
      <c r="AP1765" s="259" t="str">
        <f t="shared" si="411"/>
        <v>blank</v>
      </c>
      <c r="AQ1765" s="547" t="str">
        <f t="shared" si="410"/>
        <v>无定金+无預留客戶</v>
      </c>
      <c r="AR1765" s="259" t="str">
        <f t="shared" si="404"/>
        <v/>
      </c>
      <c r="AS1765" s="259" t="str">
        <f t="shared" si="405"/>
        <v/>
      </c>
      <c r="AT1765" s="259" t="b">
        <f t="shared" si="407"/>
        <v>0</v>
      </c>
      <c r="AU1765" s="259" t="b">
        <f t="shared" si="408"/>
        <v>0</v>
      </c>
      <c r="AV1765" s="259" t="str">
        <f t="shared" si="409"/>
        <v>-</v>
      </c>
    </row>
    <row r="1766" spans="41:48">
      <c r="AO1766" s="829" t="str">
        <f t="shared" si="406"/>
        <v>No</v>
      </c>
      <c r="AP1766" s="259" t="str">
        <f t="shared" si="411"/>
        <v>blank</v>
      </c>
      <c r="AQ1766" s="547" t="str">
        <f t="shared" si="410"/>
        <v>无定金+无預留客戶</v>
      </c>
      <c r="AR1766" s="259" t="str">
        <f t="shared" si="404"/>
        <v/>
      </c>
      <c r="AS1766" s="259" t="str">
        <f t="shared" si="405"/>
        <v/>
      </c>
      <c r="AT1766" s="259" t="b">
        <f t="shared" si="407"/>
        <v>0</v>
      </c>
      <c r="AU1766" s="259" t="b">
        <f t="shared" si="408"/>
        <v>0</v>
      </c>
      <c r="AV1766" s="259" t="str">
        <f t="shared" si="409"/>
        <v>-</v>
      </c>
    </row>
    <row r="1767" spans="41:48">
      <c r="AO1767" s="829" t="str">
        <f t="shared" si="406"/>
        <v>No</v>
      </c>
      <c r="AP1767" s="259" t="str">
        <f t="shared" si="411"/>
        <v>blank</v>
      </c>
      <c r="AQ1767" s="547" t="str">
        <f t="shared" si="410"/>
        <v>无定金+无預留客戶</v>
      </c>
      <c r="AR1767" s="259" t="str">
        <f t="shared" si="404"/>
        <v/>
      </c>
      <c r="AS1767" s="259" t="str">
        <f t="shared" si="405"/>
        <v/>
      </c>
      <c r="AT1767" s="259" t="b">
        <f t="shared" si="407"/>
        <v>0</v>
      </c>
      <c r="AU1767" s="259" t="b">
        <f t="shared" si="408"/>
        <v>0</v>
      </c>
      <c r="AV1767" s="259" t="str">
        <f t="shared" si="409"/>
        <v>-</v>
      </c>
    </row>
    <row r="1768" spans="41:48">
      <c r="AO1768" s="829" t="str">
        <f t="shared" si="406"/>
        <v>No</v>
      </c>
      <c r="AP1768" s="259" t="str">
        <f t="shared" si="411"/>
        <v>blank</v>
      </c>
      <c r="AQ1768" s="547" t="str">
        <f t="shared" si="410"/>
        <v>无定金+无預留客戶</v>
      </c>
      <c r="AR1768" s="259" t="str">
        <f t="shared" si="404"/>
        <v/>
      </c>
      <c r="AS1768" s="259" t="str">
        <f t="shared" si="405"/>
        <v/>
      </c>
      <c r="AT1768" s="259" t="b">
        <f t="shared" si="407"/>
        <v>0</v>
      </c>
      <c r="AU1768" s="259" t="b">
        <f t="shared" si="408"/>
        <v>0</v>
      </c>
      <c r="AV1768" s="259" t="str">
        <f t="shared" si="409"/>
        <v>-</v>
      </c>
    </row>
    <row r="1769" spans="41:48">
      <c r="AO1769" s="829" t="str">
        <f t="shared" si="406"/>
        <v>No</v>
      </c>
      <c r="AP1769" s="259" t="str">
        <f t="shared" si="411"/>
        <v>blank</v>
      </c>
      <c r="AQ1769" s="547" t="str">
        <f t="shared" si="410"/>
        <v>无定金+无預留客戶</v>
      </c>
      <c r="AR1769" s="259" t="str">
        <f t="shared" si="404"/>
        <v/>
      </c>
      <c r="AS1769" s="259" t="str">
        <f t="shared" si="405"/>
        <v/>
      </c>
      <c r="AT1769" s="259" t="b">
        <f t="shared" si="407"/>
        <v>0</v>
      </c>
      <c r="AU1769" s="259" t="b">
        <f t="shared" si="408"/>
        <v>0</v>
      </c>
      <c r="AV1769" s="259" t="str">
        <f t="shared" si="409"/>
        <v>-</v>
      </c>
    </row>
    <row r="1770" spans="41:48">
      <c r="AO1770" s="829" t="str">
        <f t="shared" si="406"/>
        <v>No</v>
      </c>
      <c r="AP1770" s="259" t="str">
        <f t="shared" si="411"/>
        <v>blank</v>
      </c>
      <c r="AQ1770" s="547" t="str">
        <f t="shared" si="410"/>
        <v>无定金+无預留客戶</v>
      </c>
      <c r="AR1770" s="259" t="str">
        <f t="shared" si="404"/>
        <v/>
      </c>
      <c r="AS1770" s="259" t="str">
        <f t="shared" si="405"/>
        <v/>
      </c>
      <c r="AT1770" s="259" t="b">
        <f t="shared" si="407"/>
        <v>0</v>
      </c>
      <c r="AU1770" s="259" t="b">
        <f t="shared" si="408"/>
        <v>0</v>
      </c>
      <c r="AV1770" s="259" t="str">
        <f t="shared" si="409"/>
        <v>-</v>
      </c>
    </row>
    <row r="1771" spans="41:48">
      <c r="AO1771" s="829" t="str">
        <f t="shared" si="406"/>
        <v>No</v>
      </c>
      <c r="AP1771" s="259" t="str">
        <f t="shared" si="411"/>
        <v>blank</v>
      </c>
      <c r="AQ1771" s="547" t="str">
        <f t="shared" si="410"/>
        <v>无定金+无預留客戶</v>
      </c>
      <c r="AR1771" s="259" t="str">
        <f t="shared" si="404"/>
        <v/>
      </c>
      <c r="AS1771" s="259" t="str">
        <f t="shared" si="405"/>
        <v/>
      </c>
      <c r="AT1771" s="259" t="b">
        <f t="shared" si="407"/>
        <v>0</v>
      </c>
      <c r="AU1771" s="259" t="b">
        <f t="shared" si="408"/>
        <v>0</v>
      </c>
      <c r="AV1771" s="259" t="str">
        <f t="shared" si="409"/>
        <v>-</v>
      </c>
    </row>
    <row r="1772" spans="41:48">
      <c r="AO1772" s="829" t="str">
        <f t="shared" si="406"/>
        <v>No</v>
      </c>
      <c r="AP1772" s="259" t="str">
        <f t="shared" si="411"/>
        <v>blank</v>
      </c>
      <c r="AQ1772" s="547" t="str">
        <f t="shared" si="410"/>
        <v>无定金+无預留客戶</v>
      </c>
      <c r="AR1772" s="259" t="str">
        <f t="shared" si="404"/>
        <v/>
      </c>
      <c r="AS1772" s="259" t="str">
        <f t="shared" si="405"/>
        <v/>
      </c>
      <c r="AT1772" s="259" t="b">
        <f t="shared" si="407"/>
        <v>0</v>
      </c>
      <c r="AU1772" s="259" t="b">
        <f t="shared" si="408"/>
        <v>0</v>
      </c>
      <c r="AV1772" s="259" t="str">
        <f t="shared" si="409"/>
        <v>-</v>
      </c>
    </row>
    <row r="1773" spans="41:48">
      <c r="AO1773" s="829" t="str">
        <f t="shared" si="406"/>
        <v>No</v>
      </c>
      <c r="AP1773" s="259" t="str">
        <f t="shared" si="411"/>
        <v>blank</v>
      </c>
      <c r="AQ1773" s="547" t="str">
        <f t="shared" si="410"/>
        <v>无定金+无預留客戶</v>
      </c>
      <c r="AR1773" s="259" t="str">
        <f t="shared" si="404"/>
        <v/>
      </c>
      <c r="AS1773" s="259" t="str">
        <f t="shared" si="405"/>
        <v/>
      </c>
      <c r="AT1773" s="259" t="b">
        <f t="shared" si="407"/>
        <v>0</v>
      </c>
      <c r="AU1773" s="259" t="b">
        <f t="shared" si="408"/>
        <v>0</v>
      </c>
      <c r="AV1773" s="259" t="str">
        <f t="shared" si="409"/>
        <v>-</v>
      </c>
    </row>
    <row r="1774" spans="41:48">
      <c r="AO1774" s="829" t="str">
        <f t="shared" si="406"/>
        <v>No</v>
      </c>
      <c r="AP1774" s="259" t="str">
        <f t="shared" si="411"/>
        <v>blank</v>
      </c>
      <c r="AQ1774" s="547" t="str">
        <f t="shared" si="410"/>
        <v>无定金+无預留客戶</v>
      </c>
      <c r="AR1774" s="259" t="str">
        <f t="shared" si="404"/>
        <v/>
      </c>
      <c r="AS1774" s="259" t="str">
        <f t="shared" si="405"/>
        <v/>
      </c>
      <c r="AT1774" s="259" t="b">
        <f t="shared" si="407"/>
        <v>0</v>
      </c>
      <c r="AU1774" s="259" t="b">
        <f t="shared" si="408"/>
        <v>0</v>
      </c>
      <c r="AV1774" s="259" t="str">
        <f t="shared" si="409"/>
        <v>-</v>
      </c>
    </row>
    <row r="1775" spans="41:48">
      <c r="AO1775" s="829" t="str">
        <f t="shared" si="406"/>
        <v>No</v>
      </c>
      <c r="AP1775" s="259" t="str">
        <f t="shared" si="411"/>
        <v>blank</v>
      </c>
      <c r="AQ1775" s="547" t="str">
        <f t="shared" si="410"/>
        <v>无定金+无預留客戶</v>
      </c>
      <c r="AR1775" s="259" t="str">
        <f t="shared" si="404"/>
        <v/>
      </c>
      <c r="AS1775" s="259" t="str">
        <f t="shared" si="405"/>
        <v/>
      </c>
      <c r="AT1775" s="259" t="b">
        <f t="shared" si="407"/>
        <v>0</v>
      </c>
      <c r="AU1775" s="259" t="b">
        <f t="shared" si="408"/>
        <v>0</v>
      </c>
      <c r="AV1775" s="259" t="str">
        <f t="shared" si="409"/>
        <v>-</v>
      </c>
    </row>
    <row r="1776" spans="41:48">
      <c r="AO1776" s="829" t="str">
        <f t="shared" si="406"/>
        <v>No</v>
      </c>
      <c r="AP1776" s="259" t="str">
        <f t="shared" si="411"/>
        <v>blank</v>
      </c>
      <c r="AQ1776" s="547" t="str">
        <f t="shared" si="410"/>
        <v>无定金+无預留客戶</v>
      </c>
      <c r="AR1776" s="259" t="str">
        <f t="shared" si="404"/>
        <v/>
      </c>
      <c r="AS1776" s="259" t="str">
        <f t="shared" si="405"/>
        <v/>
      </c>
      <c r="AT1776" s="259" t="b">
        <f t="shared" si="407"/>
        <v>0</v>
      </c>
      <c r="AU1776" s="259" t="b">
        <f t="shared" si="408"/>
        <v>0</v>
      </c>
      <c r="AV1776" s="259" t="str">
        <f t="shared" si="409"/>
        <v>-</v>
      </c>
    </row>
    <row r="1777" spans="41:48">
      <c r="AO1777" s="829" t="str">
        <f t="shared" si="406"/>
        <v>No</v>
      </c>
      <c r="AP1777" s="259" t="str">
        <f t="shared" si="411"/>
        <v>blank</v>
      </c>
      <c r="AQ1777" s="547" t="str">
        <f t="shared" si="410"/>
        <v>无定金+无預留客戶</v>
      </c>
      <c r="AR1777" s="259" t="str">
        <f t="shared" si="404"/>
        <v/>
      </c>
      <c r="AS1777" s="259" t="str">
        <f t="shared" si="405"/>
        <v/>
      </c>
      <c r="AT1777" s="259" t="b">
        <f t="shared" si="407"/>
        <v>0</v>
      </c>
      <c r="AU1777" s="259" t="b">
        <f t="shared" si="408"/>
        <v>0</v>
      </c>
      <c r="AV1777" s="259" t="str">
        <f t="shared" si="409"/>
        <v>-</v>
      </c>
    </row>
    <row r="1778" spans="41:48">
      <c r="AO1778" s="829" t="str">
        <f t="shared" si="406"/>
        <v>No</v>
      </c>
      <c r="AP1778" s="259" t="str">
        <f t="shared" si="411"/>
        <v>blank</v>
      </c>
      <c r="AQ1778" s="547" t="str">
        <f t="shared" si="410"/>
        <v>无定金+无預留客戶</v>
      </c>
      <c r="AR1778" s="259" t="str">
        <f t="shared" si="404"/>
        <v/>
      </c>
      <c r="AS1778" s="259" t="str">
        <f t="shared" si="405"/>
        <v/>
      </c>
      <c r="AT1778" s="259" t="b">
        <f t="shared" si="407"/>
        <v>0</v>
      </c>
      <c r="AU1778" s="259" t="b">
        <f t="shared" si="408"/>
        <v>0</v>
      </c>
      <c r="AV1778" s="259" t="str">
        <f t="shared" si="409"/>
        <v>-</v>
      </c>
    </row>
    <row r="1779" spans="41:48">
      <c r="AO1779" s="829" t="str">
        <f t="shared" si="406"/>
        <v>No</v>
      </c>
      <c r="AP1779" s="259" t="str">
        <f t="shared" si="411"/>
        <v>blank</v>
      </c>
      <c r="AQ1779" s="547" t="str">
        <f t="shared" si="410"/>
        <v>无定金+无預留客戶</v>
      </c>
      <c r="AR1779" s="259" t="str">
        <f t="shared" si="404"/>
        <v/>
      </c>
      <c r="AS1779" s="259" t="str">
        <f t="shared" si="405"/>
        <v/>
      </c>
      <c r="AT1779" s="259" t="b">
        <f t="shared" si="407"/>
        <v>0</v>
      </c>
      <c r="AU1779" s="259" t="b">
        <f t="shared" si="408"/>
        <v>0</v>
      </c>
      <c r="AV1779" s="259" t="str">
        <f t="shared" si="409"/>
        <v>-</v>
      </c>
    </row>
    <row r="1780" spans="41:48">
      <c r="AO1780" s="829" t="str">
        <f t="shared" si="406"/>
        <v>No</v>
      </c>
      <c r="AP1780" s="259" t="str">
        <f t="shared" si="411"/>
        <v>blank</v>
      </c>
      <c r="AQ1780" s="547" t="str">
        <f t="shared" si="410"/>
        <v>无定金+无預留客戶</v>
      </c>
      <c r="AR1780" s="259" t="str">
        <f t="shared" si="404"/>
        <v/>
      </c>
      <c r="AS1780" s="259" t="str">
        <f t="shared" si="405"/>
        <v/>
      </c>
      <c r="AT1780" s="259" t="b">
        <f t="shared" si="407"/>
        <v>0</v>
      </c>
      <c r="AU1780" s="259" t="b">
        <f t="shared" si="408"/>
        <v>0</v>
      </c>
      <c r="AV1780" s="259" t="str">
        <f t="shared" si="409"/>
        <v>-</v>
      </c>
    </row>
    <row r="1781" spans="41:48">
      <c r="AO1781" s="829" t="str">
        <f t="shared" si="406"/>
        <v>No</v>
      </c>
      <c r="AP1781" s="259" t="str">
        <f t="shared" si="411"/>
        <v>blank</v>
      </c>
      <c r="AQ1781" s="547" t="str">
        <f t="shared" si="410"/>
        <v>无定金+无預留客戶</v>
      </c>
      <c r="AR1781" s="259" t="str">
        <f t="shared" si="404"/>
        <v/>
      </c>
      <c r="AS1781" s="259" t="str">
        <f t="shared" si="405"/>
        <v/>
      </c>
      <c r="AT1781" s="259" t="b">
        <f t="shared" si="407"/>
        <v>0</v>
      </c>
      <c r="AU1781" s="259" t="b">
        <f t="shared" si="408"/>
        <v>0</v>
      </c>
      <c r="AV1781" s="259" t="str">
        <f t="shared" si="409"/>
        <v>-</v>
      </c>
    </row>
    <row r="1782" spans="41:48">
      <c r="AO1782" s="829" t="str">
        <f t="shared" si="406"/>
        <v>No</v>
      </c>
      <c r="AP1782" s="259" t="str">
        <f t="shared" si="411"/>
        <v>blank</v>
      </c>
      <c r="AQ1782" s="547" t="str">
        <f t="shared" si="410"/>
        <v>无定金+无預留客戶</v>
      </c>
      <c r="AR1782" s="259" t="str">
        <f t="shared" si="404"/>
        <v/>
      </c>
      <c r="AS1782" s="259" t="str">
        <f t="shared" si="405"/>
        <v/>
      </c>
      <c r="AT1782" s="259" t="b">
        <f t="shared" si="407"/>
        <v>0</v>
      </c>
      <c r="AU1782" s="259" t="b">
        <f t="shared" si="408"/>
        <v>0</v>
      </c>
      <c r="AV1782" s="259" t="str">
        <f t="shared" si="409"/>
        <v>-</v>
      </c>
    </row>
    <row r="1783" spans="41:48">
      <c r="AO1783" s="829" t="str">
        <f t="shared" si="406"/>
        <v>No</v>
      </c>
      <c r="AP1783" s="259" t="str">
        <f t="shared" si="411"/>
        <v>blank</v>
      </c>
      <c r="AQ1783" s="547" t="str">
        <f t="shared" si="410"/>
        <v>无定金+无預留客戶</v>
      </c>
      <c r="AR1783" s="259" t="str">
        <f t="shared" si="404"/>
        <v/>
      </c>
      <c r="AS1783" s="259" t="str">
        <f t="shared" si="405"/>
        <v/>
      </c>
      <c r="AT1783" s="259" t="b">
        <f t="shared" si="407"/>
        <v>0</v>
      </c>
      <c r="AU1783" s="259" t="b">
        <f t="shared" si="408"/>
        <v>0</v>
      </c>
      <c r="AV1783" s="259" t="str">
        <f t="shared" si="409"/>
        <v>-</v>
      </c>
    </row>
    <row r="1784" spans="41:48">
      <c r="AO1784" s="829" t="str">
        <f t="shared" si="406"/>
        <v>No</v>
      </c>
      <c r="AP1784" s="259" t="str">
        <f t="shared" si="411"/>
        <v>blank</v>
      </c>
      <c r="AQ1784" s="547" t="str">
        <f t="shared" si="410"/>
        <v>无定金+无預留客戶</v>
      </c>
      <c r="AR1784" s="259" t="str">
        <f t="shared" si="404"/>
        <v/>
      </c>
      <c r="AS1784" s="259" t="str">
        <f t="shared" si="405"/>
        <v/>
      </c>
      <c r="AT1784" s="259" t="b">
        <f t="shared" si="407"/>
        <v>0</v>
      </c>
      <c r="AU1784" s="259" t="b">
        <f t="shared" si="408"/>
        <v>0</v>
      </c>
      <c r="AV1784" s="259" t="str">
        <f t="shared" si="409"/>
        <v>-</v>
      </c>
    </row>
    <row r="1785" spans="41:48">
      <c r="AO1785" s="829" t="str">
        <f t="shared" si="406"/>
        <v>No</v>
      </c>
      <c r="AP1785" s="259" t="str">
        <f t="shared" si="411"/>
        <v>blank</v>
      </c>
      <c r="AQ1785" s="547" t="str">
        <f t="shared" si="410"/>
        <v>无定金+无預留客戶</v>
      </c>
      <c r="AR1785" s="259" t="str">
        <f t="shared" si="404"/>
        <v/>
      </c>
      <c r="AS1785" s="259" t="str">
        <f t="shared" si="405"/>
        <v/>
      </c>
      <c r="AT1785" s="259" t="b">
        <f t="shared" si="407"/>
        <v>0</v>
      </c>
      <c r="AU1785" s="259" t="b">
        <f t="shared" si="408"/>
        <v>0</v>
      </c>
      <c r="AV1785" s="259" t="str">
        <f t="shared" si="409"/>
        <v>-</v>
      </c>
    </row>
    <row r="1786" spans="41:48">
      <c r="AO1786" s="829" t="str">
        <f t="shared" si="406"/>
        <v>No</v>
      </c>
      <c r="AP1786" s="259" t="str">
        <f t="shared" si="411"/>
        <v>blank</v>
      </c>
      <c r="AQ1786" s="547" t="str">
        <f t="shared" si="410"/>
        <v>无定金+无預留客戶</v>
      </c>
      <c r="AR1786" s="259" t="str">
        <f t="shared" si="404"/>
        <v/>
      </c>
      <c r="AS1786" s="259" t="str">
        <f t="shared" si="405"/>
        <v/>
      </c>
      <c r="AT1786" s="259" t="b">
        <f t="shared" si="407"/>
        <v>0</v>
      </c>
      <c r="AU1786" s="259" t="b">
        <f t="shared" si="408"/>
        <v>0</v>
      </c>
      <c r="AV1786" s="259" t="str">
        <f t="shared" si="409"/>
        <v>-</v>
      </c>
    </row>
    <row r="1787" spans="41:48">
      <c r="AO1787" s="829" t="str">
        <f t="shared" si="406"/>
        <v>No</v>
      </c>
      <c r="AP1787" s="259" t="str">
        <f t="shared" si="411"/>
        <v>blank</v>
      </c>
      <c r="AQ1787" s="547" t="str">
        <f t="shared" si="410"/>
        <v>无定金+无預留客戶</v>
      </c>
      <c r="AR1787" s="259" t="str">
        <f t="shared" si="404"/>
        <v/>
      </c>
      <c r="AS1787" s="259" t="str">
        <f t="shared" si="405"/>
        <v/>
      </c>
      <c r="AT1787" s="259" t="b">
        <f t="shared" si="407"/>
        <v>0</v>
      </c>
      <c r="AU1787" s="259" t="b">
        <f t="shared" si="408"/>
        <v>0</v>
      </c>
      <c r="AV1787" s="259" t="str">
        <f t="shared" si="409"/>
        <v>-</v>
      </c>
    </row>
    <row r="1788" spans="41:48">
      <c r="AO1788" s="829" t="str">
        <f t="shared" si="406"/>
        <v>No</v>
      </c>
      <c r="AP1788" s="259" t="str">
        <f t="shared" si="411"/>
        <v>blank</v>
      </c>
      <c r="AQ1788" s="547" t="str">
        <f t="shared" si="410"/>
        <v>无定金+无預留客戶</v>
      </c>
      <c r="AR1788" s="259" t="str">
        <f t="shared" si="404"/>
        <v/>
      </c>
      <c r="AS1788" s="259" t="str">
        <f t="shared" si="405"/>
        <v/>
      </c>
      <c r="AT1788" s="259" t="b">
        <f t="shared" si="407"/>
        <v>0</v>
      </c>
      <c r="AU1788" s="259" t="b">
        <f t="shared" si="408"/>
        <v>0</v>
      </c>
      <c r="AV1788" s="259" t="str">
        <f t="shared" si="409"/>
        <v>-</v>
      </c>
    </row>
    <row r="1789" spans="41:48">
      <c r="AO1789" s="829" t="str">
        <f t="shared" si="406"/>
        <v>No</v>
      </c>
      <c r="AP1789" s="259" t="str">
        <f t="shared" si="411"/>
        <v>blank</v>
      </c>
      <c r="AQ1789" s="547" t="str">
        <f t="shared" si="410"/>
        <v>无定金+无預留客戶</v>
      </c>
      <c r="AR1789" s="259" t="str">
        <f t="shared" si="404"/>
        <v/>
      </c>
      <c r="AS1789" s="259" t="str">
        <f t="shared" si="405"/>
        <v/>
      </c>
      <c r="AT1789" s="259" t="b">
        <f t="shared" si="407"/>
        <v>0</v>
      </c>
      <c r="AU1789" s="259" t="b">
        <f t="shared" si="408"/>
        <v>0</v>
      </c>
      <c r="AV1789" s="259" t="str">
        <f t="shared" si="409"/>
        <v>-</v>
      </c>
    </row>
    <row r="1790" spans="41:48">
      <c r="AO1790" s="829" t="str">
        <f t="shared" si="406"/>
        <v>No</v>
      </c>
      <c r="AP1790" s="259" t="str">
        <f t="shared" si="411"/>
        <v>blank</v>
      </c>
      <c r="AQ1790" s="547" t="str">
        <f t="shared" si="410"/>
        <v>无定金+无預留客戶</v>
      </c>
      <c r="AR1790" s="259" t="str">
        <f t="shared" ref="AR1790:AR1853" si="412">IFERROR(IF(B1790="已经到货", "Instock", IF(B1790="有交期", "Incoming_Stock_With_YAMAHA_Schedule", IF(B1790="TBA.", "Incoming_Stock_No_YAMAHA_Schedule", IF(B1790="已发货", "Shipped_Stock", "")))), "")</f>
        <v/>
      </c>
      <c r="AS1790" s="259" t="str">
        <f t="shared" ref="AS1790:AS1853" si="413">IF(AND(B1790="有交期", L1790&lt;&gt;""), L1790, "")</f>
        <v/>
      </c>
      <c r="AT1790" s="259" t="b">
        <f t="shared" si="407"/>
        <v>0</v>
      </c>
      <c r="AU1790" s="259" t="b">
        <f t="shared" si="408"/>
        <v>0</v>
      </c>
      <c r="AV1790" s="259" t="str">
        <f t="shared" si="409"/>
        <v>-</v>
      </c>
    </row>
    <row r="1791" spans="41:48">
      <c r="AO1791" s="829" t="str">
        <f t="shared" si="406"/>
        <v>No</v>
      </c>
      <c r="AP1791" s="259" t="str">
        <f t="shared" si="411"/>
        <v>blank</v>
      </c>
      <c r="AQ1791" s="547" t="str">
        <f t="shared" si="410"/>
        <v>无定金+无預留客戶</v>
      </c>
      <c r="AR1791" s="259" t="str">
        <f t="shared" si="412"/>
        <v/>
      </c>
      <c r="AS1791" s="259" t="str">
        <f t="shared" si="413"/>
        <v/>
      </c>
      <c r="AT1791" s="259" t="b">
        <f t="shared" si="407"/>
        <v>0</v>
      </c>
      <c r="AU1791" s="259" t="b">
        <f t="shared" si="408"/>
        <v>0</v>
      </c>
      <c r="AV1791" s="259" t="str">
        <f t="shared" si="409"/>
        <v>-</v>
      </c>
    </row>
    <row r="1792" spans="41:48">
      <c r="AO1792" s="829" t="str">
        <f t="shared" si="406"/>
        <v>No</v>
      </c>
      <c r="AP1792" s="259" t="str">
        <f t="shared" si="411"/>
        <v>blank</v>
      </c>
      <c r="AQ1792" s="547" t="str">
        <f t="shared" si="410"/>
        <v>无定金+无預留客戶</v>
      </c>
      <c r="AR1792" s="259" t="str">
        <f t="shared" si="412"/>
        <v/>
      </c>
      <c r="AS1792" s="259" t="str">
        <f t="shared" si="413"/>
        <v/>
      </c>
      <c r="AT1792" s="259" t="b">
        <f t="shared" si="407"/>
        <v>0</v>
      </c>
      <c r="AU1792" s="259" t="b">
        <f t="shared" si="408"/>
        <v>0</v>
      </c>
      <c r="AV1792" s="259" t="str">
        <f t="shared" si="409"/>
        <v>-</v>
      </c>
    </row>
    <row r="1793" spans="41:48">
      <c r="AO1793" s="829" t="str">
        <f t="shared" si="406"/>
        <v>No</v>
      </c>
      <c r="AP1793" s="259" t="str">
        <f t="shared" si="411"/>
        <v>blank</v>
      </c>
      <c r="AQ1793" s="547" t="str">
        <f t="shared" si="410"/>
        <v>无定金+无預留客戶</v>
      </c>
      <c r="AR1793" s="259" t="str">
        <f t="shared" si="412"/>
        <v/>
      </c>
      <c r="AS1793" s="259" t="str">
        <f t="shared" si="413"/>
        <v/>
      </c>
      <c r="AT1793" s="259" t="b">
        <f t="shared" si="407"/>
        <v>0</v>
      </c>
      <c r="AU1793" s="259" t="b">
        <f t="shared" si="408"/>
        <v>0</v>
      </c>
      <c r="AV1793" s="259" t="str">
        <f t="shared" si="409"/>
        <v>-</v>
      </c>
    </row>
    <row r="1794" spans="41:48">
      <c r="AO1794" s="829" t="str">
        <f t="shared" ref="AO1794:AO1857" si="414">IFERROR(IF(Y1794&lt;&gt;"",Y1794,"No"),"No")</f>
        <v>No</v>
      </c>
      <c r="AP1794" s="259" t="str">
        <f t="shared" si="411"/>
        <v>blank</v>
      </c>
      <c r="AQ1794" s="547" t="str">
        <f t="shared" si="410"/>
        <v>无定金+无預留客戶</v>
      </c>
      <c r="AR1794" s="259" t="str">
        <f t="shared" si="412"/>
        <v/>
      </c>
      <c r="AS1794" s="259" t="str">
        <f t="shared" si="413"/>
        <v/>
      </c>
      <c r="AT1794" s="259" t="b">
        <f t="shared" ref="AT1794:AT1857" si="415">IFERROR(IF(R1794&lt;&gt;"",R1794),"-")</f>
        <v>0</v>
      </c>
      <c r="AU1794" s="259" t="b">
        <f t="shared" ref="AU1794:AU1857" si="416">IFERROR(IF(Q1794&lt;&gt;"",Q1794),"-")</f>
        <v>0</v>
      </c>
      <c r="AV1794" s="259" t="str">
        <f t="shared" ref="AV1794:AV1857" si="417">IF(L1794="","-",TEXT(L1794,"mmm-dd"))</f>
        <v>-</v>
      </c>
    </row>
    <row r="1795" spans="41:48">
      <c r="AO1795" s="829" t="str">
        <f t="shared" si="414"/>
        <v>No</v>
      </c>
      <c r="AP1795" s="259" t="str">
        <f t="shared" si="411"/>
        <v>blank</v>
      </c>
      <c r="AQ1795" s="547" t="str">
        <f t="shared" ref="AQ1795:AQ1858" si="418">IFERROR(IF(AND(AO1795="Yes", AP1795&lt;&gt;"blank"), "有定金+有預留客戶", IF(AND(AO1795="Yes", AP1795="blank"), "有定金+无客戶送貨期", IF(AND(OR(AO1795="No", ISBLANK(AO1795), AO1795="NA"), AP1795&lt;&gt;"blank"), "无定金+有預留客戶", IF(AND(OR(AO1795="No", ISBLANK(AO1795), AO1795="NA"), AP1795="blank"), "无定金+无預留客戶", "")))), "")</f>
        <v>无定金+无預留客戶</v>
      </c>
      <c r="AR1795" s="259" t="str">
        <f t="shared" si="412"/>
        <v/>
      </c>
      <c r="AS1795" s="259" t="str">
        <f t="shared" si="413"/>
        <v/>
      </c>
      <c r="AT1795" s="259" t="b">
        <f t="shared" si="415"/>
        <v>0</v>
      </c>
      <c r="AU1795" s="259" t="b">
        <f t="shared" si="416"/>
        <v>0</v>
      </c>
      <c r="AV1795" s="259" t="str">
        <f t="shared" si="417"/>
        <v>-</v>
      </c>
    </row>
    <row r="1796" spans="41:48">
      <c r="AO1796" s="829" t="str">
        <f t="shared" si="414"/>
        <v>No</v>
      </c>
      <c r="AP1796" s="259" t="str">
        <f t="shared" si="411"/>
        <v>blank</v>
      </c>
      <c r="AQ1796" s="547" t="str">
        <f t="shared" si="418"/>
        <v>无定金+无預留客戶</v>
      </c>
      <c r="AR1796" s="259" t="str">
        <f t="shared" si="412"/>
        <v/>
      </c>
      <c r="AS1796" s="259" t="str">
        <f t="shared" si="413"/>
        <v/>
      </c>
      <c r="AT1796" s="259" t="b">
        <f t="shared" si="415"/>
        <v>0</v>
      </c>
      <c r="AU1796" s="259" t="b">
        <f t="shared" si="416"/>
        <v>0</v>
      </c>
      <c r="AV1796" s="259" t="str">
        <f t="shared" si="417"/>
        <v>-</v>
      </c>
    </row>
    <row r="1797" spans="41:48">
      <c r="AO1797" s="829" t="str">
        <f t="shared" si="414"/>
        <v>No</v>
      </c>
      <c r="AP1797" s="259" t="str">
        <f t="shared" si="411"/>
        <v>blank</v>
      </c>
      <c r="AQ1797" s="547" t="str">
        <f t="shared" si="418"/>
        <v>无定金+无預留客戶</v>
      </c>
      <c r="AR1797" s="259" t="str">
        <f t="shared" si="412"/>
        <v/>
      </c>
      <c r="AS1797" s="259" t="str">
        <f t="shared" si="413"/>
        <v/>
      </c>
      <c r="AT1797" s="259" t="b">
        <f t="shared" si="415"/>
        <v>0</v>
      </c>
      <c r="AU1797" s="259" t="b">
        <f t="shared" si="416"/>
        <v>0</v>
      </c>
      <c r="AV1797" s="259" t="str">
        <f t="shared" si="417"/>
        <v>-</v>
      </c>
    </row>
    <row r="1798" spans="41:48">
      <c r="AO1798" s="829" t="str">
        <f t="shared" si="414"/>
        <v>No</v>
      </c>
      <c r="AP1798" s="259" t="str">
        <f t="shared" ref="AP1798:AP1861" si="419">IFERROR(IF(N1798&lt;&gt;"",N1798,"blank"),"NA")</f>
        <v>blank</v>
      </c>
      <c r="AQ1798" s="547" t="str">
        <f t="shared" si="418"/>
        <v>无定金+无預留客戶</v>
      </c>
      <c r="AR1798" s="259" t="str">
        <f t="shared" si="412"/>
        <v/>
      </c>
      <c r="AS1798" s="259" t="str">
        <f t="shared" si="413"/>
        <v/>
      </c>
      <c r="AT1798" s="259" t="b">
        <f t="shared" si="415"/>
        <v>0</v>
      </c>
      <c r="AU1798" s="259" t="b">
        <f t="shared" si="416"/>
        <v>0</v>
      </c>
      <c r="AV1798" s="259" t="str">
        <f t="shared" si="417"/>
        <v>-</v>
      </c>
    </row>
    <row r="1799" spans="41:48">
      <c r="AO1799" s="829" t="str">
        <f t="shared" si="414"/>
        <v>No</v>
      </c>
      <c r="AP1799" s="259" t="str">
        <f t="shared" si="419"/>
        <v>blank</v>
      </c>
      <c r="AQ1799" s="547" t="str">
        <f t="shared" si="418"/>
        <v>无定金+无預留客戶</v>
      </c>
      <c r="AR1799" s="259" t="str">
        <f t="shared" si="412"/>
        <v/>
      </c>
      <c r="AS1799" s="259" t="str">
        <f t="shared" si="413"/>
        <v/>
      </c>
      <c r="AT1799" s="259" t="b">
        <f t="shared" si="415"/>
        <v>0</v>
      </c>
      <c r="AU1799" s="259" t="b">
        <f t="shared" si="416"/>
        <v>0</v>
      </c>
      <c r="AV1799" s="259" t="str">
        <f t="shared" si="417"/>
        <v>-</v>
      </c>
    </row>
    <row r="1800" spans="41:48">
      <c r="AO1800" s="829" t="str">
        <f t="shared" si="414"/>
        <v>No</v>
      </c>
      <c r="AP1800" s="259" t="str">
        <f t="shared" si="419"/>
        <v>blank</v>
      </c>
      <c r="AQ1800" s="547" t="str">
        <f t="shared" si="418"/>
        <v>无定金+无預留客戶</v>
      </c>
      <c r="AR1800" s="259" t="str">
        <f t="shared" si="412"/>
        <v/>
      </c>
      <c r="AS1800" s="259" t="str">
        <f t="shared" si="413"/>
        <v/>
      </c>
      <c r="AT1800" s="259" t="b">
        <f t="shared" si="415"/>
        <v>0</v>
      </c>
      <c r="AU1800" s="259" t="b">
        <f t="shared" si="416"/>
        <v>0</v>
      </c>
      <c r="AV1800" s="259" t="str">
        <f t="shared" si="417"/>
        <v>-</v>
      </c>
    </row>
    <row r="1801" spans="41:48">
      <c r="AO1801" s="829" t="str">
        <f t="shared" si="414"/>
        <v>No</v>
      </c>
      <c r="AP1801" s="259" t="str">
        <f t="shared" si="419"/>
        <v>blank</v>
      </c>
      <c r="AQ1801" s="547" t="str">
        <f t="shared" si="418"/>
        <v>无定金+无預留客戶</v>
      </c>
      <c r="AR1801" s="259" t="str">
        <f t="shared" si="412"/>
        <v/>
      </c>
      <c r="AS1801" s="259" t="str">
        <f t="shared" si="413"/>
        <v/>
      </c>
      <c r="AT1801" s="259" t="b">
        <f t="shared" si="415"/>
        <v>0</v>
      </c>
      <c r="AU1801" s="259" t="b">
        <f t="shared" si="416"/>
        <v>0</v>
      </c>
      <c r="AV1801" s="259" t="str">
        <f t="shared" si="417"/>
        <v>-</v>
      </c>
    </row>
    <row r="1802" spans="41:48">
      <c r="AO1802" s="829" t="str">
        <f t="shared" si="414"/>
        <v>No</v>
      </c>
      <c r="AP1802" s="259" t="str">
        <f t="shared" si="419"/>
        <v>blank</v>
      </c>
      <c r="AQ1802" s="547" t="str">
        <f t="shared" si="418"/>
        <v>无定金+无預留客戶</v>
      </c>
      <c r="AR1802" s="259" t="str">
        <f t="shared" si="412"/>
        <v/>
      </c>
      <c r="AS1802" s="259" t="str">
        <f t="shared" si="413"/>
        <v/>
      </c>
      <c r="AT1802" s="259" t="b">
        <f t="shared" si="415"/>
        <v>0</v>
      </c>
      <c r="AU1802" s="259" t="b">
        <f t="shared" si="416"/>
        <v>0</v>
      </c>
      <c r="AV1802" s="259" t="str">
        <f t="shared" si="417"/>
        <v>-</v>
      </c>
    </row>
    <row r="1803" spans="41:48">
      <c r="AO1803" s="829" t="str">
        <f t="shared" si="414"/>
        <v>No</v>
      </c>
      <c r="AP1803" s="259" t="str">
        <f t="shared" si="419"/>
        <v>blank</v>
      </c>
      <c r="AQ1803" s="547" t="str">
        <f t="shared" si="418"/>
        <v>无定金+无預留客戶</v>
      </c>
      <c r="AR1803" s="259" t="str">
        <f t="shared" si="412"/>
        <v/>
      </c>
      <c r="AS1803" s="259" t="str">
        <f t="shared" si="413"/>
        <v/>
      </c>
      <c r="AT1803" s="259" t="b">
        <f t="shared" si="415"/>
        <v>0</v>
      </c>
      <c r="AU1803" s="259" t="b">
        <f t="shared" si="416"/>
        <v>0</v>
      </c>
      <c r="AV1803" s="259" t="str">
        <f t="shared" si="417"/>
        <v>-</v>
      </c>
    </row>
    <row r="1804" spans="41:48">
      <c r="AO1804" s="829" t="str">
        <f t="shared" si="414"/>
        <v>No</v>
      </c>
      <c r="AP1804" s="259" t="str">
        <f t="shared" si="419"/>
        <v>blank</v>
      </c>
      <c r="AQ1804" s="547" t="str">
        <f t="shared" si="418"/>
        <v>无定金+无預留客戶</v>
      </c>
      <c r="AR1804" s="259" t="str">
        <f t="shared" si="412"/>
        <v/>
      </c>
      <c r="AS1804" s="259" t="str">
        <f t="shared" si="413"/>
        <v/>
      </c>
      <c r="AT1804" s="259" t="b">
        <f t="shared" si="415"/>
        <v>0</v>
      </c>
      <c r="AU1804" s="259" t="b">
        <f t="shared" si="416"/>
        <v>0</v>
      </c>
      <c r="AV1804" s="259" t="str">
        <f t="shared" si="417"/>
        <v>-</v>
      </c>
    </row>
    <row r="1805" spans="41:48">
      <c r="AO1805" s="829" t="str">
        <f t="shared" si="414"/>
        <v>No</v>
      </c>
      <c r="AP1805" s="259" t="str">
        <f t="shared" si="419"/>
        <v>blank</v>
      </c>
      <c r="AQ1805" s="547" t="str">
        <f t="shared" si="418"/>
        <v>无定金+无預留客戶</v>
      </c>
      <c r="AR1805" s="259" t="str">
        <f t="shared" si="412"/>
        <v/>
      </c>
      <c r="AS1805" s="259" t="str">
        <f t="shared" si="413"/>
        <v/>
      </c>
      <c r="AT1805" s="259" t="b">
        <f t="shared" si="415"/>
        <v>0</v>
      </c>
      <c r="AU1805" s="259" t="b">
        <f t="shared" si="416"/>
        <v>0</v>
      </c>
      <c r="AV1805" s="259" t="str">
        <f t="shared" si="417"/>
        <v>-</v>
      </c>
    </row>
    <row r="1806" spans="41:48">
      <c r="AO1806" s="829" t="str">
        <f t="shared" si="414"/>
        <v>No</v>
      </c>
      <c r="AP1806" s="259" t="str">
        <f t="shared" si="419"/>
        <v>blank</v>
      </c>
      <c r="AQ1806" s="547" t="str">
        <f t="shared" si="418"/>
        <v>无定金+无預留客戶</v>
      </c>
      <c r="AR1806" s="259" t="str">
        <f t="shared" si="412"/>
        <v/>
      </c>
      <c r="AS1806" s="259" t="str">
        <f t="shared" si="413"/>
        <v/>
      </c>
      <c r="AT1806" s="259" t="b">
        <f t="shared" si="415"/>
        <v>0</v>
      </c>
      <c r="AU1806" s="259" t="b">
        <f t="shared" si="416"/>
        <v>0</v>
      </c>
      <c r="AV1806" s="259" t="str">
        <f t="shared" si="417"/>
        <v>-</v>
      </c>
    </row>
    <row r="1807" spans="41:48">
      <c r="AO1807" s="829" t="str">
        <f t="shared" si="414"/>
        <v>No</v>
      </c>
      <c r="AP1807" s="259" t="str">
        <f t="shared" si="419"/>
        <v>blank</v>
      </c>
      <c r="AQ1807" s="547" t="str">
        <f t="shared" si="418"/>
        <v>无定金+无預留客戶</v>
      </c>
      <c r="AR1807" s="259" t="str">
        <f t="shared" si="412"/>
        <v/>
      </c>
      <c r="AS1807" s="259" t="str">
        <f t="shared" si="413"/>
        <v/>
      </c>
      <c r="AT1807" s="259" t="b">
        <f t="shared" si="415"/>
        <v>0</v>
      </c>
      <c r="AU1807" s="259" t="b">
        <f t="shared" si="416"/>
        <v>0</v>
      </c>
      <c r="AV1807" s="259" t="str">
        <f t="shared" si="417"/>
        <v>-</v>
      </c>
    </row>
    <row r="1808" spans="41:48">
      <c r="AO1808" s="829" t="str">
        <f t="shared" si="414"/>
        <v>No</v>
      </c>
      <c r="AP1808" s="259" t="str">
        <f t="shared" si="419"/>
        <v>blank</v>
      </c>
      <c r="AQ1808" s="547" t="str">
        <f t="shared" si="418"/>
        <v>无定金+无預留客戶</v>
      </c>
      <c r="AR1808" s="259" t="str">
        <f t="shared" si="412"/>
        <v/>
      </c>
      <c r="AS1808" s="259" t="str">
        <f t="shared" si="413"/>
        <v/>
      </c>
      <c r="AT1808" s="259" t="b">
        <f t="shared" si="415"/>
        <v>0</v>
      </c>
      <c r="AU1808" s="259" t="b">
        <f t="shared" si="416"/>
        <v>0</v>
      </c>
      <c r="AV1808" s="259" t="str">
        <f t="shared" si="417"/>
        <v>-</v>
      </c>
    </row>
    <row r="1809" spans="41:48">
      <c r="AO1809" s="829" t="str">
        <f t="shared" si="414"/>
        <v>No</v>
      </c>
      <c r="AP1809" s="259" t="str">
        <f t="shared" si="419"/>
        <v>blank</v>
      </c>
      <c r="AQ1809" s="547" t="str">
        <f t="shared" si="418"/>
        <v>无定金+无預留客戶</v>
      </c>
      <c r="AR1809" s="259" t="str">
        <f t="shared" si="412"/>
        <v/>
      </c>
      <c r="AS1809" s="259" t="str">
        <f t="shared" si="413"/>
        <v/>
      </c>
      <c r="AT1809" s="259" t="b">
        <f t="shared" si="415"/>
        <v>0</v>
      </c>
      <c r="AU1809" s="259" t="b">
        <f t="shared" si="416"/>
        <v>0</v>
      </c>
      <c r="AV1809" s="259" t="str">
        <f t="shared" si="417"/>
        <v>-</v>
      </c>
    </row>
    <row r="1810" spans="41:48">
      <c r="AO1810" s="829" t="str">
        <f t="shared" si="414"/>
        <v>No</v>
      </c>
      <c r="AP1810" s="259" t="str">
        <f t="shared" si="419"/>
        <v>blank</v>
      </c>
      <c r="AQ1810" s="547" t="str">
        <f t="shared" si="418"/>
        <v>无定金+无預留客戶</v>
      </c>
      <c r="AR1810" s="259" t="str">
        <f t="shared" si="412"/>
        <v/>
      </c>
      <c r="AS1810" s="259" t="str">
        <f t="shared" si="413"/>
        <v/>
      </c>
      <c r="AT1810" s="259" t="b">
        <f t="shared" si="415"/>
        <v>0</v>
      </c>
      <c r="AU1810" s="259" t="b">
        <f t="shared" si="416"/>
        <v>0</v>
      </c>
      <c r="AV1810" s="259" t="str">
        <f t="shared" si="417"/>
        <v>-</v>
      </c>
    </row>
    <row r="1811" spans="41:48">
      <c r="AO1811" s="829" t="str">
        <f t="shared" si="414"/>
        <v>No</v>
      </c>
      <c r="AP1811" s="259" t="str">
        <f t="shared" si="419"/>
        <v>blank</v>
      </c>
      <c r="AQ1811" s="547" t="str">
        <f t="shared" si="418"/>
        <v>无定金+无預留客戶</v>
      </c>
      <c r="AR1811" s="259" t="str">
        <f t="shared" si="412"/>
        <v/>
      </c>
      <c r="AS1811" s="259" t="str">
        <f t="shared" si="413"/>
        <v/>
      </c>
      <c r="AT1811" s="259" t="b">
        <f t="shared" si="415"/>
        <v>0</v>
      </c>
      <c r="AU1811" s="259" t="b">
        <f t="shared" si="416"/>
        <v>0</v>
      </c>
      <c r="AV1811" s="259" t="str">
        <f t="shared" si="417"/>
        <v>-</v>
      </c>
    </row>
    <row r="1812" spans="41:48">
      <c r="AO1812" s="829" t="str">
        <f t="shared" si="414"/>
        <v>No</v>
      </c>
      <c r="AP1812" s="259" t="str">
        <f t="shared" si="419"/>
        <v>blank</v>
      </c>
      <c r="AQ1812" s="547" t="str">
        <f t="shared" si="418"/>
        <v>无定金+无預留客戶</v>
      </c>
      <c r="AR1812" s="259" t="str">
        <f t="shared" si="412"/>
        <v/>
      </c>
      <c r="AS1812" s="259" t="str">
        <f t="shared" si="413"/>
        <v/>
      </c>
      <c r="AT1812" s="259" t="b">
        <f t="shared" si="415"/>
        <v>0</v>
      </c>
      <c r="AU1812" s="259" t="b">
        <f t="shared" si="416"/>
        <v>0</v>
      </c>
      <c r="AV1812" s="259" t="str">
        <f t="shared" si="417"/>
        <v>-</v>
      </c>
    </row>
    <row r="1813" spans="41:48">
      <c r="AO1813" s="829" t="str">
        <f t="shared" si="414"/>
        <v>No</v>
      </c>
      <c r="AP1813" s="259" t="str">
        <f t="shared" si="419"/>
        <v>blank</v>
      </c>
      <c r="AQ1813" s="547" t="str">
        <f t="shared" si="418"/>
        <v>无定金+无預留客戶</v>
      </c>
      <c r="AR1813" s="259" t="str">
        <f t="shared" si="412"/>
        <v/>
      </c>
      <c r="AS1813" s="259" t="str">
        <f t="shared" si="413"/>
        <v/>
      </c>
      <c r="AT1813" s="259" t="b">
        <f t="shared" si="415"/>
        <v>0</v>
      </c>
      <c r="AU1813" s="259" t="b">
        <f t="shared" si="416"/>
        <v>0</v>
      </c>
      <c r="AV1813" s="259" t="str">
        <f t="shared" si="417"/>
        <v>-</v>
      </c>
    </row>
    <row r="1814" spans="41:48">
      <c r="AO1814" s="829" t="str">
        <f t="shared" si="414"/>
        <v>No</v>
      </c>
      <c r="AP1814" s="259" t="str">
        <f t="shared" si="419"/>
        <v>blank</v>
      </c>
      <c r="AQ1814" s="547" t="str">
        <f t="shared" si="418"/>
        <v>无定金+无預留客戶</v>
      </c>
      <c r="AR1814" s="259" t="str">
        <f t="shared" si="412"/>
        <v/>
      </c>
      <c r="AS1814" s="259" t="str">
        <f t="shared" si="413"/>
        <v/>
      </c>
      <c r="AT1814" s="259" t="b">
        <f t="shared" si="415"/>
        <v>0</v>
      </c>
      <c r="AU1814" s="259" t="b">
        <f t="shared" si="416"/>
        <v>0</v>
      </c>
      <c r="AV1814" s="259" t="str">
        <f t="shared" si="417"/>
        <v>-</v>
      </c>
    </row>
    <row r="1815" spans="41:48">
      <c r="AO1815" s="829" t="str">
        <f t="shared" si="414"/>
        <v>No</v>
      </c>
      <c r="AP1815" s="259" t="str">
        <f t="shared" si="419"/>
        <v>blank</v>
      </c>
      <c r="AQ1815" s="547" t="str">
        <f t="shared" si="418"/>
        <v>无定金+无預留客戶</v>
      </c>
      <c r="AR1815" s="259" t="str">
        <f t="shared" si="412"/>
        <v/>
      </c>
      <c r="AS1815" s="259" t="str">
        <f t="shared" si="413"/>
        <v/>
      </c>
      <c r="AT1815" s="259" t="b">
        <f t="shared" si="415"/>
        <v>0</v>
      </c>
      <c r="AU1815" s="259" t="b">
        <f t="shared" si="416"/>
        <v>0</v>
      </c>
      <c r="AV1815" s="259" t="str">
        <f t="shared" si="417"/>
        <v>-</v>
      </c>
    </row>
    <row r="1816" spans="41:48">
      <c r="AO1816" s="829" t="str">
        <f t="shared" si="414"/>
        <v>No</v>
      </c>
      <c r="AP1816" s="259" t="str">
        <f t="shared" si="419"/>
        <v>blank</v>
      </c>
      <c r="AQ1816" s="547" t="str">
        <f t="shared" si="418"/>
        <v>无定金+无預留客戶</v>
      </c>
      <c r="AR1816" s="259" t="str">
        <f t="shared" si="412"/>
        <v/>
      </c>
      <c r="AS1816" s="259" t="str">
        <f t="shared" si="413"/>
        <v/>
      </c>
      <c r="AT1816" s="259" t="b">
        <f t="shared" si="415"/>
        <v>0</v>
      </c>
      <c r="AU1816" s="259" t="b">
        <f t="shared" si="416"/>
        <v>0</v>
      </c>
      <c r="AV1816" s="259" t="str">
        <f t="shared" si="417"/>
        <v>-</v>
      </c>
    </row>
    <row r="1817" spans="41:48">
      <c r="AO1817" s="829" t="str">
        <f t="shared" si="414"/>
        <v>No</v>
      </c>
      <c r="AP1817" s="259" t="str">
        <f t="shared" si="419"/>
        <v>blank</v>
      </c>
      <c r="AQ1817" s="547" t="str">
        <f t="shared" si="418"/>
        <v>无定金+无預留客戶</v>
      </c>
      <c r="AR1817" s="259" t="str">
        <f t="shared" si="412"/>
        <v/>
      </c>
      <c r="AS1817" s="259" t="str">
        <f t="shared" si="413"/>
        <v/>
      </c>
      <c r="AT1817" s="259" t="b">
        <f t="shared" si="415"/>
        <v>0</v>
      </c>
      <c r="AU1817" s="259" t="b">
        <f t="shared" si="416"/>
        <v>0</v>
      </c>
      <c r="AV1817" s="259" t="str">
        <f t="shared" si="417"/>
        <v>-</v>
      </c>
    </row>
    <row r="1818" spans="41:48">
      <c r="AO1818" s="829" t="str">
        <f t="shared" si="414"/>
        <v>No</v>
      </c>
      <c r="AP1818" s="259" t="str">
        <f t="shared" si="419"/>
        <v>blank</v>
      </c>
      <c r="AQ1818" s="547" t="str">
        <f t="shared" si="418"/>
        <v>无定金+无預留客戶</v>
      </c>
      <c r="AR1818" s="259" t="str">
        <f t="shared" si="412"/>
        <v/>
      </c>
      <c r="AS1818" s="259" t="str">
        <f t="shared" si="413"/>
        <v/>
      </c>
      <c r="AT1818" s="259" t="b">
        <f t="shared" si="415"/>
        <v>0</v>
      </c>
      <c r="AU1818" s="259" t="b">
        <f t="shared" si="416"/>
        <v>0</v>
      </c>
      <c r="AV1818" s="259" t="str">
        <f t="shared" si="417"/>
        <v>-</v>
      </c>
    </row>
    <row r="1819" spans="41:48">
      <c r="AO1819" s="829" t="str">
        <f t="shared" si="414"/>
        <v>No</v>
      </c>
      <c r="AP1819" s="259" t="str">
        <f t="shared" si="419"/>
        <v>blank</v>
      </c>
      <c r="AQ1819" s="547" t="str">
        <f t="shared" si="418"/>
        <v>无定金+无預留客戶</v>
      </c>
      <c r="AR1819" s="259" t="str">
        <f t="shared" si="412"/>
        <v/>
      </c>
      <c r="AS1819" s="259" t="str">
        <f t="shared" si="413"/>
        <v/>
      </c>
      <c r="AT1819" s="259" t="b">
        <f t="shared" si="415"/>
        <v>0</v>
      </c>
      <c r="AU1819" s="259" t="b">
        <f t="shared" si="416"/>
        <v>0</v>
      </c>
      <c r="AV1819" s="259" t="str">
        <f t="shared" si="417"/>
        <v>-</v>
      </c>
    </row>
    <row r="1820" spans="41:48">
      <c r="AO1820" s="829" t="str">
        <f t="shared" si="414"/>
        <v>No</v>
      </c>
      <c r="AP1820" s="259" t="str">
        <f t="shared" si="419"/>
        <v>blank</v>
      </c>
      <c r="AQ1820" s="547" t="str">
        <f t="shared" si="418"/>
        <v>无定金+无預留客戶</v>
      </c>
      <c r="AR1820" s="259" t="str">
        <f t="shared" si="412"/>
        <v/>
      </c>
      <c r="AS1820" s="259" t="str">
        <f t="shared" si="413"/>
        <v/>
      </c>
      <c r="AT1820" s="259" t="b">
        <f t="shared" si="415"/>
        <v>0</v>
      </c>
      <c r="AU1820" s="259" t="b">
        <f t="shared" si="416"/>
        <v>0</v>
      </c>
      <c r="AV1820" s="259" t="str">
        <f t="shared" si="417"/>
        <v>-</v>
      </c>
    </row>
    <row r="1821" spans="41:48">
      <c r="AO1821" s="829" t="str">
        <f t="shared" si="414"/>
        <v>No</v>
      </c>
      <c r="AP1821" s="259" t="str">
        <f t="shared" si="419"/>
        <v>blank</v>
      </c>
      <c r="AQ1821" s="547" t="str">
        <f t="shared" si="418"/>
        <v>无定金+无預留客戶</v>
      </c>
      <c r="AR1821" s="259" t="str">
        <f t="shared" si="412"/>
        <v/>
      </c>
      <c r="AS1821" s="259" t="str">
        <f t="shared" si="413"/>
        <v/>
      </c>
      <c r="AT1821" s="259" t="b">
        <f t="shared" si="415"/>
        <v>0</v>
      </c>
      <c r="AU1821" s="259" t="b">
        <f t="shared" si="416"/>
        <v>0</v>
      </c>
      <c r="AV1821" s="259" t="str">
        <f t="shared" si="417"/>
        <v>-</v>
      </c>
    </row>
    <row r="1822" spans="41:48">
      <c r="AO1822" s="829" t="str">
        <f t="shared" si="414"/>
        <v>No</v>
      </c>
      <c r="AP1822" s="259" t="str">
        <f t="shared" si="419"/>
        <v>blank</v>
      </c>
      <c r="AQ1822" s="547" t="str">
        <f t="shared" si="418"/>
        <v>无定金+无預留客戶</v>
      </c>
      <c r="AR1822" s="259" t="str">
        <f t="shared" si="412"/>
        <v/>
      </c>
      <c r="AS1822" s="259" t="str">
        <f t="shared" si="413"/>
        <v/>
      </c>
      <c r="AT1822" s="259" t="b">
        <f t="shared" si="415"/>
        <v>0</v>
      </c>
      <c r="AU1822" s="259" t="b">
        <f t="shared" si="416"/>
        <v>0</v>
      </c>
      <c r="AV1822" s="259" t="str">
        <f t="shared" si="417"/>
        <v>-</v>
      </c>
    </row>
    <row r="1823" spans="41:48">
      <c r="AO1823" s="829" t="str">
        <f t="shared" si="414"/>
        <v>No</v>
      </c>
      <c r="AP1823" s="259" t="str">
        <f t="shared" si="419"/>
        <v>blank</v>
      </c>
      <c r="AQ1823" s="547" t="str">
        <f t="shared" si="418"/>
        <v>无定金+无預留客戶</v>
      </c>
      <c r="AR1823" s="259" t="str">
        <f t="shared" si="412"/>
        <v/>
      </c>
      <c r="AS1823" s="259" t="str">
        <f t="shared" si="413"/>
        <v/>
      </c>
      <c r="AT1823" s="259" t="b">
        <f t="shared" si="415"/>
        <v>0</v>
      </c>
      <c r="AU1823" s="259" t="b">
        <f t="shared" si="416"/>
        <v>0</v>
      </c>
      <c r="AV1823" s="259" t="str">
        <f t="shared" si="417"/>
        <v>-</v>
      </c>
    </row>
    <row r="1824" spans="41:48">
      <c r="AO1824" s="829" t="str">
        <f t="shared" si="414"/>
        <v>No</v>
      </c>
      <c r="AP1824" s="259" t="str">
        <f t="shared" si="419"/>
        <v>blank</v>
      </c>
      <c r="AQ1824" s="547" t="str">
        <f t="shared" si="418"/>
        <v>无定金+无預留客戶</v>
      </c>
      <c r="AR1824" s="259" t="str">
        <f t="shared" si="412"/>
        <v/>
      </c>
      <c r="AS1824" s="259" t="str">
        <f t="shared" si="413"/>
        <v/>
      </c>
      <c r="AT1824" s="259" t="b">
        <f t="shared" si="415"/>
        <v>0</v>
      </c>
      <c r="AU1824" s="259" t="b">
        <f t="shared" si="416"/>
        <v>0</v>
      </c>
      <c r="AV1824" s="259" t="str">
        <f t="shared" si="417"/>
        <v>-</v>
      </c>
    </row>
    <row r="1825" spans="41:48">
      <c r="AO1825" s="829" t="str">
        <f t="shared" si="414"/>
        <v>No</v>
      </c>
      <c r="AP1825" s="259" t="str">
        <f t="shared" si="419"/>
        <v>blank</v>
      </c>
      <c r="AQ1825" s="547" t="str">
        <f t="shared" si="418"/>
        <v>无定金+无預留客戶</v>
      </c>
      <c r="AR1825" s="259" t="str">
        <f t="shared" si="412"/>
        <v/>
      </c>
      <c r="AS1825" s="259" t="str">
        <f t="shared" si="413"/>
        <v/>
      </c>
      <c r="AT1825" s="259" t="b">
        <f t="shared" si="415"/>
        <v>0</v>
      </c>
      <c r="AU1825" s="259" t="b">
        <f t="shared" si="416"/>
        <v>0</v>
      </c>
      <c r="AV1825" s="259" t="str">
        <f t="shared" si="417"/>
        <v>-</v>
      </c>
    </row>
    <row r="1826" spans="41:48">
      <c r="AO1826" s="829" t="str">
        <f t="shared" si="414"/>
        <v>No</v>
      </c>
      <c r="AP1826" s="259" t="str">
        <f t="shared" si="419"/>
        <v>blank</v>
      </c>
      <c r="AQ1826" s="547" t="str">
        <f t="shared" si="418"/>
        <v>无定金+无預留客戶</v>
      </c>
      <c r="AR1826" s="259" t="str">
        <f t="shared" si="412"/>
        <v/>
      </c>
      <c r="AS1826" s="259" t="str">
        <f t="shared" si="413"/>
        <v/>
      </c>
      <c r="AT1826" s="259" t="b">
        <f t="shared" si="415"/>
        <v>0</v>
      </c>
      <c r="AU1826" s="259" t="b">
        <f t="shared" si="416"/>
        <v>0</v>
      </c>
      <c r="AV1826" s="259" t="str">
        <f t="shared" si="417"/>
        <v>-</v>
      </c>
    </row>
    <row r="1827" spans="41:48">
      <c r="AO1827" s="829" t="str">
        <f t="shared" si="414"/>
        <v>No</v>
      </c>
      <c r="AP1827" s="259" t="str">
        <f t="shared" si="419"/>
        <v>blank</v>
      </c>
      <c r="AQ1827" s="547" t="str">
        <f t="shared" si="418"/>
        <v>无定金+无預留客戶</v>
      </c>
      <c r="AR1827" s="259" t="str">
        <f t="shared" si="412"/>
        <v/>
      </c>
      <c r="AS1827" s="259" t="str">
        <f t="shared" si="413"/>
        <v/>
      </c>
      <c r="AT1827" s="259" t="b">
        <f t="shared" si="415"/>
        <v>0</v>
      </c>
      <c r="AU1827" s="259" t="b">
        <f t="shared" si="416"/>
        <v>0</v>
      </c>
      <c r="AV1827" s="259" t="str">
        <f t="shared" si="417"/>
        <v>-</v>
      </c>
    </row>
    <row r="1828" spans="41:48">
      <c r="AO1828" s="829" t="str">
        <f t="shared" si="414"/>
        <v>No</v>
      </c>
      <c r="AP1828" s="259" t="str">
        <f t="shared" si="419"/>
        <v>blank</v>
      </c>
      <c r="AQ1828" s="547" t="str">
        <f t="shared" si="418"/>
        <v>无定金+无預留客戶</v>
      </c>
      <c r="AR1828" s="259" t="str">
        <f t="shared" si="412"/>
        <v/>
      </c>
      <c r="AS1828" s="259" t="str">
        <f t="shared" si="413"/>
        <v/>
      </c>
      <c r="AT1828" s="259" t="b">
        <f t="shared" si="415"/>
        <v>0</v>
      </c>
      <c r="AU1828" s="259" t="b">
        <f t="shared" si="416"/>
        <v>0</v>
      </c>
      <c r="AV1828" s="259" t="str">
        <f t="shared" si="417"/>
        <v>-</v>
      </c>
    </row>
    <row r="1829" spans="41:48">
      <c r="AO1829" s="829" t="str">
        <f t="shared" si="414"/>
        <v>No</v>
      </c>
      <c r="AP1829" s="259" t="str">
        <f t="shared" si="419"/>
        <v>blank</v>
      </c>
      <c r="AQ1829" s="547" t="str">
        <f t="shared" si="418"/>
        <v>无定金+无預留客戶</v>
      </c>
      <c r="AR1829" s="259" t="str">
        <f t="shared" si="412"/>
        <v/>
      </c>
      <c r="AS1829" s="259" t="str">
        <f t="shared" si="413"/>
        <v/>
      </c>
      <c r="AT1829" s="259" t="b">
        <f t="shared" si="415"/>
        <v>0</v>
      </c>
      <c r="AU1829" s="259" t="b">
        <f t="shared" si="416"/>
        <v>0</v>
      </c>
      <c r="AV1829" s="259" t="str">
        <f t="shared" si="417"/>
        <v>-</v>
      </c>
    </row>
    <row r="1830" spans="41:48">
      <c r="AO1830" s="829" t="str">
        <f t="shared" si="414"/>
        <v>No</v>
      </c>
      <c r="AP1830" s="259" t="str">
        <f t="shared" si="419"/>
        <v>blank</v>
      </c>
      <c r="AQ1830" s="547" t="str">
        <f t="shared" si="418"/>
        <v>无定金+无預留客戶</v>
      </c>
      <c r="AR1830" s="259" t="str">
        <f t="shared" si="412"/>
        <v/>
      </c>
      <c r="AS1830" s="259" t="str">
        <f t="shared" si="413"/>
        <v/>
      </c>
      <c r="AT1830" s="259" t="b">
        <f t="shared" si="415"/>
        <v>0</v>
      </c>
      <c r="AU1830" s="259" t="b">
        <f t="shared" si="416"/>
        <v>0</v>
      </c>
      <c r="AV1830" s="259" t="str">
        <f t="shared" si="417"/>
        <v>-</v>
      </c>
    </row>
    <row r="1831" spans="41:48">
      <c r="AO1831" s="829" t="str">
        <f t="shared" si="414"/>
        <v>No</v>
      </c>
      <c r="AP1831" s="259" t="str">
        <f t="shared" si="419"/>
        <v>blank</v>
      </c>
      <c r="AQ1831" s="547" t="str">
        <f t="shared" si="418"/>
        <v>无定金+无預留客戶</v>
      </c>
      <c r="AR1831" s="259" t="str">
        <f t="shared" si="412"/>
        <v/>
      </c>
      <c r="AS1831" s="259" t="str">
        <f t="shared" si="413"/>
        <v/>
      </c>
      <c r="AT1831" s="259" t="b">
        <f t="shared" si="415"/>
        <v>0</v>
      </c>
      <c r="AU1831" s="259" t="b">
        <f t="shared" si="416"/>
        <v>0</v>
      </c>
      <c r="AV1831" s="259" t="str">
        <f t="shared" si="417"/>
        <v>-</v>
      </c>
    </row>
    <row r="1832" spans="41:48">
      <c r="AO1832" s="829" t="str">
        <f t="shared" si="414"/>
        <v>No</v>
      </c>
      <c r="AP1832" s="259" t="str">
        <f t="shared" si="419"/>
        <v>blank</v>
      </c>
      <c r="AQ1832" s="547" t="str">
        <f t="shared" si="418"/>
        <v>无定金+无預留客戶</v>
      </c>
      <c r="AR1832" s="259" t="str">
        <f t="shared" si="412"/>
        <v/>
      </c>
      <c r="AS1832" s="259" t="str">
        <f t="shared" si="413"/>
        <v/>
      </c>
      <c r="AT1832" s="259" t="b">
        <f t="shared" si="415"/>
        <v>0</v>
      </c>
      <c r="AU1832" s="259" t="b">
        <f t="shared" si="416"/>
        <v>0</v>
      </c>
      <c r="AV1832" s="259" t="str">
        <f t="shared" si="417"/>
        <v>-</v>
      </c>
    </row>
    <row r="1833" spans="41:48">
      <c r="AO1833" s="829" t="str">
        <f t="shared" si="414"/>
        <v>No</v>
      </c>
      <c r="AP1833" s="259" t="str">
        <f t="shared" si="419"/>
        <v>blank</v>
      </c>
      <c r="AQ1833" s="547" t="str">
        <f t="shared" si="418"/>
        <v>无定金+无預留客戶</v>
      </c>
      <c r="AR1833" s="259" t="str">
        <f t="shared" si="412"/>
        <v/>
      </c>
      <c r="AS1833" s="259" t="str">
        <f t="shared" si="413"/>
        <v/>
      </c>
      <c r="AT1833" s="259" t="b">
        <f t="shared" si="415"/>
        <v>0</v>
      </c>
      <c r="AU1833" s="259" t="b">
        <f t="shared" si="416"/>
        <v>0</v>
      </c>
      <c r="AV1833" s="259" t="str">
        <f t="shared" si="417"/>
        <v>-</v>
      </c>
    </row>
    <row r="1834" spans="41:48">
      <c r="AO1834" s="829" t="str">
        <f t="shared" si="414"/>
        <v>No</v>
      </c>
      <c r="AP1834" s="259" t="str">
        <f t="shared" si="419"/>
        <v>blank</v>
      </c>
      <c r="AQ1834" s="547" t="str">
        <f t="shared" si="418"/>
        <v>无定金+无預留客戶</v>
      </c>
      <c r="AR1834" s="259" t="str">
        <f t="shared" si="412"/>
        <v/>
      </c>
      <c r="AS1834" s="259" t="str">
        <f t="shared" si="413"/>
        <v/>
      </c>
      <c r="AT1834" s="259" t="b">
        <f t="shared" si="415"/>
        <v>0</v>
      </c>
      <c r="AU1834" s="259" t="b">
        <f t="shared" si="416"/>
        <v>0</v>
      </c>
      <c r="AV1834" s="259" t="str">
        <f t="shared" si="417"/>
        <v>-</v>
      </c>
    </row>
    <row r="1835" spans="41:48">
      <c r="AO1835" s="829" t="str">
        <f t="shared" si="414"/>
        <v>No</v>
      </c>
      <c r="AP1835" s="259" t="str">
        <f t="shared" si="419"/>
        <v>blank</v>
      </c>
      <c r="AQ1835" s="547" t="str">
        <f t="shared" si="418"/>
        <v>无定金+无預留客戶</v>
      </c>
      <c r="AR1835" s="259" t="str">
        <f t="shared" si="412"/>
        <v/>
      </c>
      <c r="AS1835" s="259" t="str">
        <f t="shared" si="413"/>
        <v/>
      </c>
      <c r="AT1835" s="259" t="b">
        <f t="shared" si="415"/>
        <v>0</v>
      </c>
      <c r="AU1835" s="259" t="b">
        <f t="shared" si="416"/>
        <v>0</v>
      </c>
      <c r="AV1835" s="259" t="str">
        <f t="shared" si="417"/>
        <v>-</v>
      </c>
    </row>
    <row r="1836" spans="41:48">
      <c r="AO1836" s="829" t="str">
        <f t="shared" si="414"/>
        <v>No</v>
      </c>
      <c r="AP1836" s="259" t="str">
        <f t="shared" si="419"/>
        <v>blank</v>
      </c>
      <c r="AQ1836" s="547" t="str">
        <f t="shared" si="418"/>
        <v>无定金+无預留客戶</v>
      </c>
      <c r="AR1836" s="259" t="str">
        <f t="shared" si="412"/>
        <v/>
      </c>
      <c r="AS1836" s="259" t="str">
        <f t="shared" si="413"/>
        <v/>
      </c>
      <c r="AT1836" s="259" t="b">
        <f t="shared" si="415"/>
        <v>0</v>
      </c>
      <c r="AU1836" s="259" t="b">
        <f t="shared" si="416"/>
        <v>0</v>
      </c>
      <c r="AV1836" s="259" t="str">
        <f t="shared" si="417"/>
        <v>-</v>
      </c>
    </row>
    <row r="1837" spans="41:48">
      <c r="AO1837" s="829" t="str">
        <f t="shared" si="414"/>
        <v>No</v>
      </c>
      <c r="AP1837" s="259" t="str">
        <f t="shared" si="419"/>
        <v>blank</v>
      </c>
      <c r="AQ1837" s="547" t="str">
        <f t="shared" si="418"/>
        <v>无定金+无預留客戶</v>
      </c>
      <c r="AR1837" s="259" t="str">
        <f t="shared" si="412"/>
        <v/>
      </c>
      <c r="AS1837" s="259" t="str">
        <f t="shared" si="413"/>
        <v/>
      </c>
      <c r="AT1837" s="259" t="b">
        <f t="shared" si="415"/>
        <v>0</v>
      </c>
      <c r="AU1837" s="259" t="b">
        <f t="shared" si="416"/>
        <v>0</v>
      </c>
      <c r="AV1837" s="259" t="str">
        <f t="shared" si="417"/>
        <v>-</v>
      </c>
    </row>
    <row r="1838" spans="41:48">
      <c r="AO1838" s="829" t="str">
        <f t="shared" si="414"/>
        <v>No</v>
      </c>
      <c r="AP1838" s="259" t="str">
        <f t="shared" si="419"/>
        <v>blank</v>
      </c>
      <c r="AQ1838" s="547" t="str">
        <f t="shared" si="418"/>
        <v>无定金+无預留客戶</v>
      </c>
      <c r="AR1838" s="259" t="str">
        <f t="shared" si="412"/>
        <v/>
      </c>
      <c r="AS1838" s="259" t="str">
        <f t="shared" si="413"/>
        <v/>
      </c>
      <c r="AT1838" s="259" t="b">
        <f t="shared" si="415"/>
        <v>0</v>
      </c>
      <c r="AU1838" s="259" t="b">
        <f t="shared" si="416"/>
        <v>0</v>
      </c>
      <c r="AV1838" s="259" t="str">
        <f t="shared" si="417"/>
        <v>-</v>
      </c>
    </row>
    <row r="1839" spans="41:48">
      <c r="AO1839" s="829" t="str">
        <f t="shared" si="414"/>
        <v>No</v>
      </c>
      <c r="AP1839" s="259" t="str">
        <f t="shared" si="419"/>
        <v>blank</v>
      </c>
      <c r="AQ1839" s="547" t="str">
        <f t="shared" si="418"/>
        <v>无定金+无預留客戶</v>
      </c>
      <c r="AR1839" s="259" t="str">
        <f t="shared" si="412"/>
        <v/>
      </c>
      <c r="AS1839" s="259" t="str">
        <f t="shared" si="413"/>
        <v/>
      </c>
      <c r="AT1839" s="259" t="b">
        <f t="shared" si="415"/>
        <v>0</v>
      </c>
      <c r="AU1839" s="259" t="b">
        <f t="shared" si="416"/>
        <v>0</v>
      </c>
      <c r="AV1839" s="259" t="str">
        <f t="shared" si="417"/>
        <v>-</v>
      </c>
    </row>
    <row r="1840" spans="41:48">
      <c r="AO1840" s="829" t="str">
        <f t="shared" si="414"/>
        <v>No</v>
      </c>
      <c r="AP1840" s="259" t="str">
        <f t="shared" si="419"/>
        <v>blank</v>
      </c>
      <c r="AQ1840" s="547" t="str">
        <f t="shared" si="418"/>
        <v>无定金+无預留客戶</v>
      </c>
      <c r="AR1840" s="259" t="str">
        <f t="shared" si="412"/>
        <v/>
      </c>
      <c r="AS1840" s="259" t="str">
        <f t="shared" si="413"/>
        <v/>
      </c>
      <c r="AT1840" s="259" t="b">
        <f t="shared" si="415"/>
        <v>0</v>
      </c>
      <c r="AU1840" s="259" t="b">
        <f t="shared" si="416"/>
        <v>0</v>
      </c>
      <c r="AV1840" s="259" t="str">
        <f t="shared" si="417"/>
        <v>-</v>
      </c>
    </row>
    <row r="1841" spans="41:48">
      <c r="AO1841" s="829" t="str">
        <f t="shared" si="414"/>
        <v>No</v>
      </c>
      <c r="AP1841" s="259" t="str">
        <f t="shared" si="419"/>
        <v>blank</v>
      </c>
      <c r="AQ1841" s="547" t="str">
        <f t="shared" si="418"/>
        <v>无定金+无預留客戶</v>
      </c>
      <c r="AR1841" s="259" t="str">
        <f t="shared" si="412"/>
        <v/>
      </c>
      <c r="AS1841" s="259" t="str">
        <f t="shared" si="413"/>
        <v/>
      </c>
      <c r="AT1841" s="259" t="b">
        <f t="shared" si="415"/>
        <v>0</v>
      </c>
      <c r="AU1841" s="259" t="b">
        <f t="shared" si="416"/>
        <v>0</v>
      </c>
      <c r="AV1841" s="259" t="str">
        <f t="shared" si="417"/>
        <v>-</v>
      </c>
    </row>
    <row r="1842" spans="41:48">
      <c r="AO1842" s="829" t="str">
        <f t="shared" si="414"/>
        <v>No</v>
      </c>
      <c r="AP1842" s="259" t="str">
        <f t="shared" si="419"/>
        <v>blank</v>
      </c>
      <c r="AQ1842" s="547" t="str">
        <f t="shared" si="418"/>
        <v>无定金+无預留客戶</v>
      </c>
      <c r="AR1842" s="259" t="str">
        <f t="shared" si="412"/>
        <v/>
      </c>
      <c r="AS1842" s="259" t="str">
        <f t="shared" si="413"/>
        <v/>
      </c>
      <c r="AT1842" s="259" t="b">
        <f t="shared" si="415"/>
        <v>0</v>
      </c>
      <c r="AU1842" s="259" t="b">
        <f t="shared" si="416"/>
        <v>0</v>
      </c>
      <c r="AV1842" s="259" t="str">
        <f t="shared" si="417"/>
        <v>-</v>
      </c>
    </row>
    <row r="1843" spans="41:48">
      <c r="AO1843" s="829" t="str">
        <f t="shared" si="414"/>
        <v>No</v>
      </c>
      <c r="AP1843" s="259" t="str">
        <f t="shared" si="419"/>
        <v>blank</v>
      </c>
      <c r="AQ1843" s="547" t="str">
        <f t="shared" si="418"/>
        <v>无定金+无預留客戶</v>
      </c>
      <c r="AR1843" s="259" t="str">
        <f t="shared" si="412"/>
        <v/>
      </c>
      <c r="AS1843" s="259" t="str">
        <f t="shared" si="413"/>
        <v/>
      </c>
      <c r="AT1843" s="259" t="b">
        <f t="shared" si="415"/>
        <v>0</v>
      </c>
      <c r="AU1843" s="259" t="b">
        <f t="shared" si="416"/>
        <v>0</v>
      </c>
      <c r="AV1843" s="259" t="str">
        <f t="shared" si="417"/>
        <v>-</v>
      </c>
    </row>
    <row r="1844" spans="41:48">
      <c r="AO1844" s="829" t="str">
        <f t="shared" si="414"/>
        <v>No</v>
      </c>
      <c r="AP1844" s="259" t="str">
        <f t="shared" si="419"/>
        <v>blank</v>
      </c>
      <c r="AQ1844" s="547" t="str">
        <f t="shared" si="418"/>
        <v>无定金+无預留客戶</v>
      </c>
      <c r="AR1844" s="259" t="str">
        <f t="shared" si="412"/>
        <v/>
      </c>
      <c r="AS1844" s="259" t="str">
        <f t="shared" si="413"/>
        <v/>
      </c>
      <c r="AT1844" s="259" t="b">
        <f t="shared" si="415"/>
        <v>0</v>
      </c>
      <c r="AU1844" s="259" t="b">
        <f t="shared" si="416"/>
        <v>0</v>
      </c>
      <c r="AV1844" s="259" t="str">
        <f t="shared" si="417"/>
        <v>-</v>
      </c>
    </row>
    <row r="1845" spans="41:48">
      <c r="AO1845" s="829" t="str">
        <f t="shared" si="414"/>
        <v>No</v>
      </c>
      <c r="AP1845" s="259" t="str">
        <f t="shared" si="419"/>
        <v>blank</v>
      </c>
      <c r="AQ1845" s="547" t="str">
        <f t="shared" si="418"/>
        <v>无定金+无預留客戶</v>
      </c>
      <c r="AR1845" s="259" t="str">
        <f t="shared" si="412"/>
        <v/>
      </c>
      <c r="AS1845" s="259" t="str">
        <f t="shared" si="413"/>
        <v/>
      </c>
      <c r="AT1845" s="259" t="b">
        <f t="shared" si="415"/>
        <v>0</v>
      </c>
      <c r="AU1845" s="259" t="b">
        <f t="shared" si="416"/>
        <v>0</v>
      </c>
      <c r="AV1845" s="259" t="str">
        <f t="shared" si="417"/>
        <v>-</v>
      </c>
    </row>
    <row r="1846" spans="41:48">
      <c r="AO1846" s="829" t="str">
        <f t="shared" si="414"/>
        <v>No</v>
      </c>
      <c r="AP1846" s="259" t="str">
        <f t="shared" si="419"/>
        <v>blank</v>
      </c>
      <c r="AQ1846" s="547" t="str">
        <f t="shared" si="418"/>
        <v>无定金+无預留客戶</v>
      </c>
      <c r="AR1846" s="259" t="str">
        <f t="shared" si="412"/>
        <v/>
      </c>
      <c r="AS1846" s="259" t="str">
        <f t="shared" si="413"/>
        <v/>
      </c>
      <c r="AT1846" s="259" t="b">
        <f t="shared" si="415"/>
        <v>0</v>
      </c>
      <c r="AU1846" s="259" t="b">
        <f t="shared" si="416"/>
        <v>0</v>
      </c>
      <c r="AV1846" s="259" t="str">
        <f t="shared" si="417"/>
        <v>-</v>
      </c>
    </row>
    <row r="1847" spans="41:48">
      <c r="AO1847" s="829" t="str">
        <f t="shared" si="414"/>
        <v>No</v>
      </c>
      <c r="AP1847" s="259" t="str">
        <f t="shared" si="419"/>
        <v>blank</v>
      </c>
      <c r="AQ1847" s="547" t="str">
        <f t="shared" si="418"/>
        <v>无定金+无預留客戶</v>
      </c>
      <c r="AR1847" s="259" t="str">
        <f t="shared" si="412"/>
        <v/>
      </c>
      <c r="AS1847" s="259" t="str">
        <f t="shared" si="413"/>
        <v/>
      </c>
      <c r="AT1847" s="259" t="b">
        <f t="shared" si="415"/>
        <v>0</v>
      </c>
      <c r="AU1847" s="259" t="b">
        <f t="shared" si="416"/>
        <v>0</v>
      </c>
      <c r="AV1847" s="259" t="str">
        <f t="shared" si="417"/>
        <v>-</v>
      </c>
    </row>
    <row r="1848" spans="41:48">
      <c r="AO1848" s="829" t="str">
        <f t="shared" si="414"/>
        <v>No</v>
      </c>
      <c r="AP1848" s="259" t="str">
        <f t="shared" si="419"/>
        <v>blank</v>
      </c>
      <c r="AQ1848" s="547" t="str">
        <f t="shared" si="418"/>
        <v>无定金+无預留客戶</v>
      </c>
      <c r="AR1848" s="259" t="str">
        <f t="shared" si="412"/>
        <v/>
      </c>
      <c r="AS1848" s="259" t="str">
        <f t="shared" si="413"/>
        <v/>
      </c>
      <c r="AT1848" s="259" t="b">
        <f t="shared" si="415"/>
        <v>0</v>
      </c>
      <c r="AU1848" s="259" t="b">
        <f t="shared" si="416"/>
        <v>0</v>
      </c>
      <c r="AV1848" s="259" t="str">
        <f t="shared" si="417"/>
        <v>-</v>
      </c>
    </row>
    <row r="1849" spans="41:48">
      <c r="AO1849" s="829" t="str">
        <f t="shared" si="414"/>
        <v>No</v>
      </c>
      <c r="AP1849" s="259" t="str">
        <f t="shared" si="419"/>
        <v>blank</v>
      </c>
      <c r="AQ1849" s="547" t="str">
        <f t="shared" si="418"/>
        <v>无定金+无預留客戶</v>
      </c>
      <c r="AR1849" s="259" t="str">
        <f t="shared" si="412"/>
        <v/>
      </c>
      <c r="AS1849" s="259" t="str">
        <f t="shared" si="413"/>
        <v/>
      </c>
      <c r="AT1849" s="259" t="b">
        <f t="shared" si="415"/>
        <v>0</v>
      </c>
      <c r="AU1849" s="259" t="b">
        <f t="shared" si="416"/>
        <v>0</v>
      </c>
      <c r="AV1849" s="259" t="str">
        <f t="shared" si="417"/>
        <v>-</v>
      </c>
    </row>
    <row r="1850" spans="41:48">
      <c r="AO1850" s="829" t="str">
        <f t="shared" si="414"/>
        <v>No</v>
      </c>
      <c r="AP1850" s="259" t="str">
        <f t="shared" si="419"/>
        <v>blank</v>
      </c>
      <c r="AQ1850" s="547" t="str">
        <f t="shared" si="418"/>
        <v>无定金+无預留客戶</v>
      </c>
      <c r="AR1850" s="259" t="str">
        <f t="shared" si="412"/>
        <v/>
      </c>
      <c r="AS1850" s="259" t="str">
        <f t="shared" si="413"/>
        <v/>
      </c>
      <c r="AT1850" s="259" t="b">
        <f t="shared" si="415"/>
        <v>0</v>
      </c>
      <c r="AU1850" s="259" t="b">
        <f t="shared" si="416"/>
        <v>0</v>
      </c>
      <c r="AV1850" s="259" t="str">
        <f t="shared" si="417"/>
        <v>-</v>
      </c>
    </row>
    <row r="1851" spans="41:48">
      <c r="AO1851" s="829" t="str">
        <f t="shared" si="414"/>
        <v>No</v>
      </c>
      <c r="AP1851" s="259" t="str">
        <f t="shared" si="419"/>
        <v>blank</v>
      </c>
      <c r="AQ1851" s="547" t="str">
        <f t="shared" si="418"/>
        <v>无定金+无預留客戶</v>
      </c>
      <c r="AR1851" s="259" t="str">
        <f t="shared" si="412"/>
        <v/>
      </c>
      <c r="AS1851" s="259" t="str">
        <f t="shared" si="413"/>
        <v/>
      </c>
      <c r="AT1851" s="259" t="b">
        <f t="shared" si="415"/>
        <v>0</v>
      </c>
      <c r="AU1851" s="259" t="b">
        <f t="shared" si="416"/>
        <v>0</v>
      </c>
      <c r="AV1851" s="259" t="str">
        <f t="shared" si="417"/>
        <v>-</v>
      </c>
    </row>
    <row r="1852" spans="41:48">
      <c r="AO1852" s="829" t="str">
        <f t="shared" si="414"/>
        <v>No</v>
      </c>
      <c r="AP1852" s="259" t="str">
        <f t="shared" si="419"/>
        <v>blank</v>
      </c>
      <c r="AQ1852" s="547" t="str">
        <f t="shared" si="418"/>
        <v>无定金+无預留客戶</v>
      </c>
      <c r="AR1852" s="259" t="str">
        <f t="shared" si="412"/>
        <v/>
      </c>
      <c r="AS1852" s="259" t="str">
        <f t="shared" si="413"/>
        <v/>
      </c>
      <c r="AT1852" s="259" t="b">
        <f t="shared" si="415"/>
        <v>0</v>
      </c>
      <c r="AU1852" s="259" t="b">
        <f t="shared" si="416"/>
        <v>0</v>
      </c>
      <c r="AV1852" s="259" t="str">
        <f t="shared" si="417"/>
        <v>-</v>
      </c>
    </row>
    <row r="1853" spans="41:48">
      <c r="AO1853" s="829" t="str">
        <f t="shared" si="414"/>
        <v>No</v>
      </c>
      <c r="AP1853" s="259" t="str">
        <f t="shared" si="419"/>
        <v>blank</v>
      </c>
      <c r="AQ1853" s="547" t="str">
        <f t="shared" si="418"/>
        <v>无定金+无預留客戶</v>
      </c>
      <c r="AR1853" s="259" t="str">
        <f t="shared" si="412"/>
        <v/>
      </c>
      <c r="AS1853" s="259" t="str">
        <f t="shared" si="413"/>
        <v/>
      </c>
      <c r="AT1853" s="259" t="b">
        <f t="shared" si="415"/>
        <v>0</v>
      </c>
      <c r="AU1853" s="259" t="b">
        <f t="shared" si="416"/>
        <v>0</v>
      </c>
      <c r="AV1853" s="259" t="str">
        <f t="shared" si="417"/>
        <v>-</v>
      </c>
    </row>
    <row r="1854" spans="41:48">
      <c r="AO1854" s="829" t="str">
        <f t="shared" si="414"/>
        <v>No</v>
      </c>
      <c r="AP1854" s="259" t="str">
        <f t="shared" si="419"/>
        <v>blank</v>
      </c>
      <c r="AQ1854" s="547" t="str">
        <f t="shared" si="418"/>
        <v>无定金+无預留客戶</v>
      </c>
      <c r="AR1854" s="259" t="str">
        <f t="shared" ref="AR1854:AR1917" si="420">IFERROR(IF(B1854="已经到货", "Instock", IF(B1854="有交期", "Incoming_Stock_With_YAMAHA_Schedule", IF(B1854="TBA.", "Incoming_Stock_No_YAMAHA_Schedule", IF(B1854="已发货", "Shipped_Stock", "")))), "")</f>
        <v/>
      </c>
      <c r="AS1854" s="259" t="str">
        <f t="shared" ref="AS1854:AS1917" si="421">IF(AND(B1854="有交期", L1854&lt;&gt;""), L1854, "")</f>
        <v/>
      </c>
      <c r="AT1854" s="259" t="b">
        <f t="shared" si="415"/>
        <v>0</v>
      </c>
      <c r="AU1854" s="259" t="b">
        <f t="shared" si="416"/>
        <v>0</v>
      </c>
      <c r="AV1854" s="259" t="str">
        <f t="shared" si="417"/>
        <v>-</v>
      </c>
    </row>
    <row r="1855" spans="41:48">
      <c r="AO1855" s="829" t="str">
        <f t="shared" si="414"/>
        <v>No</v>
      </c>
      <c r="AP1855" s="259" t="str">
        <f t="shared" si="419"/>
        <v>blank</v>
      </c>
      <c r="AQ1855" s="547" t="str">
        <f t="shared" si="418"/>
        <v>无定金+无預留客戶</v>
      </c>
      <c r="AR1855" s="259" t="str">
        <f t="shared" si="420"/>
        <v/>
      </c>
      <c r="AS1855" s="259" t="str">
        <f t="shared" si="421"/>
        <v/>
      </c>
      <c r="AT1855" s="259" t="b">
        <f t="shared" si="415"/>
        <v>0</v>
      </c>
      <c r="AU1855" s="259" t="b">
        <f t="shared" si="416"/>
        <v>0</v>
      </c>
      <c r="AV1855" s="259" t="str">
        <f t="shared" si="417"/>
        <v>-</v>
      </c>
    </row>
    <row r="1856" spans="41:48">
      <c r="AO1856" s="829" t="str">
        <f t="shared" si="414"/>
        <v>No</v>
      </c>
      <c r="AP1856" s="259" t="str">
        <f t="shared" si="419"/>
        <v>blank</v>
      </c>
      <c r="AQ1856" s="547" t="str">
        <f t="shared" si="418"/>
        <v>无定金+无預留客戶</v>
      </c>
      <c r="AR1856" s="259" t="str">
        <f t="shared" si="420"/>
        <v/>
      </c>
      <c r="AS1856" s="259" t="str">
        <f t="shared" si="421"/>
        <v/>
      </c>
      <c r="AT1856" s="259" t="b">
        <f t="shared" si="415"/>
        <v>0</v>
      </c>
      <c r="AU1856" s="259" t="b">
        <f t="shared" si="416"/>
        <v>0</v>
      </c>
      <c r="AV1856" s="259" t="str">
        <f t="shared" si="417"/>
        <v>-</v>
      </c>
    </row>
    <row r="1857" spans="41:48">
      <c r="AO1857" s="829" t="str">
        <f t="shared" si="414"/>
        <v>No</v>
      </c>
      <c r="AP1857" s="259" t="str">
        <f t="shared" si="419"/>
        <v>blank</v>
      </c>
      <c r="AQ1857" s="547" t="str">
        <f t="shared" si="418"/>
        <v>无定金+无預留客戶</v>
      </c>
      <c r="AR1857" s="259" t="str">
        <f t="shared" si="420"/>
        <v/>
      </c>
      <c r="AS1857" s="259" t="str">
        <f t="shared" si="421"/>
        <v/>
      </c>
      <c r="AT1857" s="259" t="b">
        <f t="shared" si="415"/>
        <v>0</v>
      </c>
      <c r="AU1857" s="259" t="b">
        <f t="shared" si="416"/>
        <v>0</v>
      </c>
      <c r="AV1857" s="259" t="str">
        <f t="shared" si="417"/>
        <v>-</v>
      </c>
    </row>
    <row r="1858" spans="41:48">
      <c r="AO1858" s="829" t="str">
        <f t="shared" ref="AO1858:AO1921" si="422">IFERROR(IF(Y1858&lt;&gt;"",Y1858,"No"),"No")</f>
        <v>No</v>
      </c>
      <c r="AP1858" s="259" t="str">
        <f t="shared" si="419"/>
        <v>blank</v>
      </c>
      <c r="AQ1858" s="547" t="str">
        <f t="shared" si="418"/>
        <v>无定金+无預留客戶</v>
      </c>
      <c r="AR1858" s="259" t="str">
        <f t="shared" si="420"/>
        <v/>
      </c>
      <c r="AS1858" s="259" t="str">
        <f t="shared" si="421"/>
        <v/>
      </c>
      <c r="AT1858" s="259" t="b">
        <f t="shared" ref="AT1858:AT1921" si="423">IFERROR(IF(R1858&lt;&gt;"",R1858),"-")</f>
        <v>0</v>
      </c>
      <c r="AU1858" s="259" t="b">
        <f t="shared" ref="AU1858:AU1921" si="424">IFERROR(IF(Q1858&lt;&gt;"",Q1858),"-")</f>
        <v>0</v>
      </c>
      <c r="AV1858" s="259" t="str">
        <f t="shared" ref="AV1858:AV1921" si="425">IF(L1858="","-",TEXT(L1858,"mmm-dd"))</f>
        <v>-</v>
      </c>
    </row>
    <row r="1859" spans="41:48">
      <c r="AO1859" s="829" t="str">
        <f t="shared" si="422"/>
        <v>No</v>
      </c>
      <c r="AP1859" s="259" t="str">
        <f t="shared" si="419"/>
        <v>blank</v>
      </c>
      <c r="AQ1859" s="547" t="str">
        <f t="shared" ref="AQ1859:AQ1922" si="426">IFERROR(IF(AND(AO1859="Yes", AP1859&lt;&gt;"blank"), "有定金+有預留客戶", IF(AND(AO1859="Yes", AP1859="blank"), "有定金+无客戶送貨期", IF(AND(OR(AO1859="No", ISBLANK(AO1859), AO1859="NA"), AP1859&lt;&gt;"blank"), "无定金+有預留客戶", IF(AND(OR(AO1859="No", ISBLANK(AO1859), AO1859="NA"), AP1859="blank"), "无定金+无預留客戶", "")))), "")</f>
        <v>无定金+无預留客戶</v>
      </c>
      <c r="AR1859" s="259" t="str">
        <f t="shared" si="420"/>
        <v/>
      </c>
      <c r="AS1859" s="259" t="str">
        <f t="shared" si="421"/>
        <v/>
      </c>
      <c r="AT1859" s="259" t="b">
        <f t="shared" si="423"/>
        <v>0</v>
      </c>
      <c r="AU1859" s="259" t="b">
        <f t="shared" si="424"/>
        <v>0</v>
      </c>
      <c r="AV1859" s="259" t="str">
        <f t="shared" si="425"/>
        <v>-</v>
      </c>
    </row>
    <row r="1860" spans="41:48">
      <c r="AO1860" s="829" t="str">
        <f t="shared" si="422"/>
        <v>No</v>
      </c>
      <c r="AP1860" s="259" t="str">
        <f t="shared" si="419"/>
        <v>blank</v>
      </c>
      <c r="AQ1860" s="547" t="str">
        <f t="shared" si="426"/>
        <v>无定金+无預留客戶</v>
      </c>
      <c r="AR1860" s="259" t="str">
        <f t="shared" si="420"/>
        <v/>
      </c>
      <c r="AS1860" s="259" t="str">
        <f t="shared" si="421"/>
        <v/>
      </c>
      <c r="AT1860" s="259" t="b">
        <f t="shared" si="423"/>
        <v>0</v>
      </c>
      <c r="AU1860" s="259" t="b">
        <f t="shared" si="424"/>
        <v>0</v>
      </c>
      <c r="AV1860" s="259" t="str">
        <f t="shared" si="425"/>
        <v>-</v>
      </c>
    </row>
    <row r="1861" spans="41:48">
      <c r="AO1861" s="829" t="str">
        <f t="shared" si="422"/>
        <v>No</v>
      </c>
      <c r="AP1861" s="259" t="str">
        <f t="shared" si="419"/>
        <v>blank</v>
      </c>
      <c r="AQ1861" s="547" t="str">
        <f t="shared" si="426"/>
        <v>无定金+无預留客戶</v>
      </c>
      <c r="AR1861" s="259" t="str">
        <f t="shared" si="420"/>
        <v/>
      </c>
      <c r="AS1861" s="259" t="str">
        <f t="shared" si="421"/>
        <v/>
      </c>
      <c r="AT1861" s="259" t="b">
        <f t="shared" si="423"/>
        <v>0</v>
      </c>
      <c r="AU1861" s="259" t="b">
        <f t="shared" si="424"/>
        <v>0</v>
      </c>
      <c r="AV1861" s="259" t="str">
        <f t="shared" si="425"/>
        <v>-</v>
      </c>
    </row>
    <row r="1862" spans="41:48">
      <c r="AO1862" s="829" t="str">
        <f t="shared" si="422"/>
        <v>No</v>
      </c>
      <c r="AP1862" s="259" t="str">
        <f t="shared" ref="AP1862:AP1925" si="427">IFERROR(IF(N1862&lt;&gt;"",N1862,"blank"),"NA")</f>
        <v>blank</v>
      </c>
      <c r="AQ1862" s="547" t="str">
        <f t="shared" si="426"/>
        <v>无定金+无預留客戶</v>
      </c>
      <c r="AR1862" s="259" t="str">
        <f t="shared" si="420"/>
        <v/>
      </c>
      <c r="AS1862" s="259" t="str">
        <f t="shared" si="421"/>
        <v/>
      </c>
      <c r="AT1862" s="259" t="b">
        <f t="shared" si="423"/>
        <v>0</v>
      </c>
      <c r="AU1862" s="259" t="b">
        <f t="shared" si="424"/>
        <v>0</v>
      </c>
      <c r="AV1862" s="259" t="str">
        <f t="shared" si="425"/>
        <v>-</v>
      </c>
    </row>
    <row r="1863" spans="41:48">
      <c r="AO1863" s="829" t="str">
        <f t="shared" si="422"/>
        <v>No</v>
      </c>
      <c r="AP1863" s="259" t="str">
        <f t="shared" si="427"/>
        <v>blank</v>
      </c>
      <c r="AQ1863" s="547" t="str">
        <f t="shared" si="426"/>
        <v>无定金+无預留客戶</v>
      </c>
      <c r="AR1863" s="259" t="str">
        <f t="shared" si="420"/>
        <v/>
      </c>
      <c r="AS1863" s="259" t="str">
        <f t="shared" si="421"/>
        <v/>
      </c>
      <c r="AT1863" s="259" t="b">
        <f t="shared" si="423"/>
        <v>0</v>
      </c>
      <c r="AU1863" s="259" t="b">
        <f t="shared" si="424"/>
        <v>0</v>
      </c>
      <c r="AV1863" s="259" t="str">
        <f t="shared" si="425"/>
        <v>-</v>
      </c>
    </row>
    <row r="1864" spans="41:48">
      <c r="AO1864" s="829" t="str">
        <f t="shared" si="422"/>
        <v>No</v>
      </c>
      <c r="AP1864" s="259" t="str">
        <f t="shared" si="427"/>
        <v>blank</v>
      </c>
      <c r="AQ1864" s="547" t="str">
        <f t="shared" si="426"/>
        <v>无定金+无預留客戶</v>
      </c>
      <c r="AR1864" s="259" t="str">
        <f t="shared" si="420"/>
        <v/>
      </c>
      <c r="AS1864" s="259" t="str">
        <f t="shared" si="421"/>
        <v/>
      </c>
      <c r="AT1864" s="259" t="b">
        <f t="shared" si="423"/>
        <v>0</v>
      </c>
      <c r="AU1864" s="259" t="b">
        <f t="shared" si="424"/>
        <v>0</v>
      </c>
      <c r="AV1864" s="259" t="str">
        <f t="shared" si="425"/>
        <v>-</v>
      </c>
    </row>
    <row r="1865" spans="41:48">
      <c r="AO1865" s="829" t="str">
        <f t="shared" si="422"/>
        <v>No</v>
      </c>
      <c r="AP1865" s="259" t="str">
        <f t="shared" si="427"/>
        <v>blank</v>
      </c>
      <c r="AQ1865" s="547" t="str">
        <f t="shared" si="426"/>
        <v>无定金+无預留客戶</v>
      </c>
      <c r="AR1865" s="259" t="str">
        <f t="shared" si="420"/>
        <v/>
      </c>
      <c r="AS1865" s="259" t="str">
        <f t="shared" si="421"/>
        <v/>
      </c>
      <c r="AT1865" s="259" t="b">
        <f t="shared" si="423"/>
        <v>0</v>
      </c>
      <c r="AU1865" s="259" t="b">
        <f t="shared" si="424"/>
        <v>0</v>
      </c>
      <c r="AV1865" s="259" t="str">
        <f t="shared" si="425"/>
        <v>-</v>
      </c>
    </row>
    <row r="1866" spans="41:48">
      <c r="AO1866" s="829" t="str">
        <f t="shared" si="422"/>
        <v>No</v>
      </c>
      <c r="AP1866" s="259" t="str">
        <f t="shared" si="427"/>
        <v>blank</v>
      </c>
      <c r="AQ1866" s="547" t="str">
        <f t="shared" si="426"/>
        <v>无定金+无預留客戶</v>
      </c>
      <c r="AR1866" s="259" t="str">
        <f t="shared" si="420"/>
        <v/>
      </c>
      <c r="AS1866" s="259" t="str">
        <f t="shared" si="421"/>
        <v/>
      </c>
      <c r="AT1866" s="259" t="b">
        <f t="shared" si="423"/>
        <v>0</v>
      </c>
      <c r="AU1866" s="259" t="b">
        <f t="shared" si="424"/>
        <v>0</v>
      </c>
      <c r="AV1866" s="259" t="str">
        <f t="shared" si="425"/>
        <v>-</v>
      </c>
    </row>
    <row r="1867" spans="41:48">
      <c r="AO1867" s="829" t="str">
        <f t="shared" si="422"/>
        <v>No</v>
      </c>
      <c r="AP1867" s="259" t="str">
        <f t="shared" si="427"/>
        <v>blank</v>
      </c>
      <c r="AQ1867" s="547" t="str">
        <f t="shared" si="426"/>
        <v>无定金+无預留客戶</v>
      </c>
      <c r="AR1867" s="259" t="str">
        <f t="shared" si="420"/>
        <v/>
      </c>
      <c r="AS1867" s="259" t="str">
        <f t="shared" si="421"/>
        <v/>
      </c>
      <c r="AT1867" s="259" t="b">
        <f t="shared" si="423"/>
        <v>0</v>
      </c>
      <c r="AU1867" s="259" t="b">
        <f t="shared" si="424"/>
        <v>0</v>
      </c>
      <c r="AV1867" s="259" t="str">
        <f t="shared" si="425"/>
        <v>-</v>
      </c>
    </row>
    <row r="1868" spans="41:48">
      <c r="AO1868" s="829" t="str">
        <f t="shared" si="422"/>
        <v>No</v>
      </c>
      <c r="AP1868" s="259" t="str">
        <f t="shared" si="427"/>
        <v>blank</v>
      </c>
      <c r="AQ1868" s="547" t="str">
        <f t="shared" si="426"/>
        <v>无定金+无預留客戶</v>
      </c>
      <c r="AR1868" s="259" t="str">
        <f t="shared" si="420"/>
        <v/>
      </c>
      <c r="AS1868" s="259" t="str">
        <f t="shared" si="421"/>
        <v/>
      </c>
      <c r="AT1868" s="259" t="b">
        <f t="shared" si="423"/>
        <v>0</v>
      </c>
      <c r="AU1868" s="259" t="b">
        <f t="shared" si="424"/>
        <v>0</v>
      </c>
      <c r="AV1868" s="259" t="str">
        <f t="shared" si="425"/>
        <v>-</v>
      </c>
    </row>
    <row r="1869" spans="41:48">
      <c r="AO1869" s="829" t="str">
        <f t="shared" si="422"/>
        <v>No</v>
      </c>
      <c r="AP1869" s="259" t="str">
        <f t="shared" si="427"/>
        <v>blank</v>
      </c>
      <c r="AQ1869" s="547" t="str">
        <f t="shared" si="426"/>
        <v>无定金+无預留客戶</v>
      </c>
      <c r="AR1869" s="259" t="str">
        <f t="shared" si="420"/>
        <v/>
      </c>
      <c r="AS1869" s="259" t="str">
        <f t="shared" si="421"/>
        <v/>
      </c>
      <c r="AT1869" s="259" t="b">
        <f t="shared" si="423"/>
        <v>0</v>
      </c>
      <c r="AU1869" s="259" t="b">
        <f t="shared" si="424"/>
        <v>0</v>
      </c>
      <c r="AV1869" s="259" t="str">
        <f t="shared" si="425"/>
        <v>-</v>
      </c>
    </row>
    <row r="1870" spans="41:48">
      <c r="AO1870" s="829" t="str">
        <f t="shared" si="422"/>
        <v>No</v>
      </c>
      <c r="AP1870" s="259" t="str">
        <f t="shared" si="427"/>
        <v>blank</v>
      </c>
      <c r="AQ1870" s="547" t="str">
        <f t="shared" si="426"/>
        <v>无定金+无預留客戶</v>
      </c>
      <c r="AR1870" s="259" t="str">
        <f t="shared" si="420"/>
        <v/>
      </c>
      <c r="AS1870" s="259" t="str">
        <f t="shared" si="421"/>
        <v/>
      </c>
      <c r="AT1870" s="259" t="b">
        <f t="shared" si="423"/>
        <v>0</v>
      </c>
      <c r="AU1870" s="259" t="b">
        <f t="shared" si="424"/>
        <v>0</v>
      </c>
      <c r="AV1870" s="259" t="str">
        <f t="shared" si="425"/>
        <v>-</v>
      </c>
    </row>
    <row r="1871" spans="41:48">
      <c r="AO1871" s="829" t="str">
        <f t="shared" si="422"/>
        <v>No</v>
      </c>
      <c r="AP1871" s="259" t="str">
        <f t="shared" si="427"/>
        <v>blank</v>
      </c>
      <c r="AQ1871" s="547" t="str">
        <f t="shared" si="426"/>
        <v>无定金+无預留客戶</v>
      </c>
      <c r="AR1871" s="259" t="str">
        <f t="shared" si="420"/>
        <v/>
      </c>
      <c r="AS1871" s="259" t="str">
        <f t="shared" si="421"/>
        <v/>
      </c>
      <c r="AT1871" s="259" t="b">
        <f t="shared" si="423"/>
        <v>0</v>
      </c>
      <c r="AU1871" s="259" t="b">
        <f t="shared" si="424"/>
        <v>0</v>
      </c>
      <c r="AV1871" s="259" t="str">
        <f t="shared" si="425"/>
        <v>-</v>
      </c>
    </row>
    <row r="1872" spans="41:48">
      <c r="AO1872" s="829" t="str">
        <f t="shared" si="422"/>
        <v>No</v>
      </c>
      <c r="AP1872" s="259" t="str">
        <f t="shared" si="427"/>
        <v>blank</v>
      </c>
      <c r="AQ1872" s="547" t="str">
        <f t="shared" si="426"/>
        <v>无定金+无預留客戶</v>
      </c>
      <c r="AR1872" s="259" t="str">
        <f t="shared" si="420"/>
        <v/>
      </c>
      <c r="AS1872" s="259" t="str">
        <f t="shared" si="421"/>
        <v/>
      </c>
      <c r="AT1872" s="259" t="b">
        <f t="shared" si="423"/>
        <v>0</v>
      </c>
      <c r="AU1872" s="259" t="b">
        <f t="shared" si="424"/>
        <v>0</v>
      </c>
      <c r="AV1872" s="259" t="str">
        <f t="shared" si="425"/>
        <v>-</v>
      </c>
    </row>
    <row r="1873" spans="41:48">
      <c r="AO1873" s="829" t="str">
        <f t="shared" si="422"/>
        <v>No</v>
      </c>
      <c r="AP1873" s="259" t="str">
        <f t="shared" si="427"/>
        <v>blank</v>
      </c>
      <c r="AQ1873" s="547" t="str">
        <f t="shared" si="426"/>
        <v>无定金+无預留客戶</v>
      </c>
      <c r="AR1873" s="259" t="str">
        <f t="shared" si="420"/>
        <v/>
      </c>
      <c r="AS1873" s="259" t="str">
        <f t="shared" si="421"/>
        <v/>
      </c>
      <c r="AT1873" s="259" t="b">
        <f t="shared" si="423"/>
        <v>0</v>
      </c>
      <c r="AU1873" s="259" t="b">
        <f t="shared" si="424"/>
        <v>0</v>
      </c>
      <c r="AV1873" s="259" t="str">
        <f t="shared" si="425"/>
        <v>-</v>
      </c>
    </row>
    <row r="1874" spans="41:48">
      <c r="AO1874" s="829" t="str">
        <f t="shared" si="422"/>
        <v>No</v>
      </c>
      <c r="AP1874" s="259" t="str">
        <f t="shared" si="427"/>
        <v>blank</v>
      </c>
      <c r="AQ1874" s="547" t="str">
        <f t="shared" si="426"/>
        <v>无定金+无預留客戶</v>
      </c>
      <c r="AR1874" s="259" t="str">
        <f t="shared" si="420"/>
        <v/>
      </c>
      <c r="AS1874" s="259" t="str">
        <f t="shared" si="421"/>
        <v/>
      </c>
      <c r="AT1874" s="259" t="b">
        <f t="shared" si="423"/>
        <v>0</v>
      </c>
      <c r="AU1874" s="259" t="b">
        <f t="shared" si="424"/>
        <v>0</v>
      </c>
      <c r="AV1874" s="259" t="str">
        <f t="shared" si="425"/>
        <v>-</v>
      </c>
    </row>
    <row r="1875" spans="41:48">
      <c r="AO1875" s="829" t="str">
        <f t="shared" si="422"/>
        <v>No</v>
      </c>
      <c r="AP1875" s="259" t="str">
        <f t="shared" si="427"/>
        <v>blank</v>
      </c>
      <c r="AQ1875" s="547" t="str">
        <f t="shared" si="426"/>
        <v>无定金+无預留客戶</v>
      </c>
      <c r="AR1875" s="259" t="str">
        <f t="shared" si="420"/>
        <v/>
      </c>
      <c r="AS1875" s="259" t="str">
        <f t="shared" si="421"/>
        <v/>
      </c>
      <c r="AT1875" s="259" t="b">
        <f t="shared" si="423"/>
        <v>0</v>
      </c>
      <c r="AU1875" s="259" t="b">
        <f t="shared" si="424"/>
        <v>0</v>
      </c>
      <c r="AV1875" s="259" t="str">
        <f t="shared" si="425"/>
        <v>-</v>
      </c>
    </row>
    <row r="1876" spans="41:48">
      <c r="AO1876" s="829" t="str">
        <f t="shared" si="422"/>
        <v>No</v>
      </c>
      <c r="AP1876" s="259" t="str">
        <f t="shared" si="427"/>
        <v>blank</v>
      </c>
      <c r="AQ1876" s="547" t="str">
        <f t="shared" si="426"/>
        <v>无定金+无預留客戶</v>
      </c>
      <c r="AR1876" s="259" t="str">
        <f t="shared" si="420"/>
        <v/>
      </c>
      <c r="AS1876" s="259" t="str">
        <f t="shared" si="421"/>
        <v/>
      </c>
      <c r="AT1876" s="259" t="b">
        <f t="shared" si="423"/>
        <v>0</v>
      </c>
      <c r="AU1876" s="259" t="b">
        <f t="shared" si="424"/>
        <v>0</v>
      </c>
      <c r="AV1876" s="259" t="str">
        <f t="shared" si="425"/>
        <v>-</v>
      </c>
    </row>
    <row r="1877" spans="41:48">
      <c r="AO1877" s="829" t="str">
        <f t="shared" si="422"/>
        <v>No</v>
      </c>
      <c r="AP1877" s="259" t="str">
        <f t="shared" si="427"/>
        <v>blank</v>
      </c>
      <c r="AQ1877" s="547" t="str">
        <f t="shared" si="426"/>
        <v>无定金+无預留客戶</v>
      </c>
      <c r="AR1877" s="259" t="str">
        <f t="shared" si="420"/>
        <v/>
      </c>
      <c r="AS1877" s="259" t="str">
        <f t="shared" si="421"/>
        <v/>
      </c>
      <c r="AT1877" s="259" t="b">
        <f t="shared" si="423"/>
        <v>0</v>
      </c>
      <c r="AU1877" s="259" t="b">
        <f t="shared" si="424"/>
        <v>0</v>
      </c>
      <c r="AV1877" s="259" t="str">
        <f t="shared" si="425"/>
        <v>-</v>
      </c>
    </row>
    <row r="1878" spans="41:48">
      <c r="AO1878" s="829" t="str">
        <f t="shared" si="422"/>
        <v>No</v>
      </c>
      <c r="AP1878" s="259" t="str">
        <f t="shared" si="427"/>
        <v>blank</v>
      </c>
      <c r="AQ1878" s="547" t="str">
        <f t="shared" si="426"/>
        <v>无定金+无預留客戶</v>
      </c>
      <c r="AR1878" s="259" t="str">
        <f t="shared" si="420"/>
        <v/>
      </c>
      <c r="AS1878" s="259" t="str">
        <f t="shared" si="421"/>
        <v/>
      </c>
      <c r="AT1878" s="259" t="b">
        <f t="shared" si="423"/>
        <v>0</v>
      </c>
      <c r="AU1878" s="259" t="b">
        <f t="shared" si="424"/>
        <v>0</v>
      </c>
      <c r="AV1878" s="259" t="str">
        <f t="shared" si="425"/>
        <v>-</v>
      </c>
    </row>
    <row r="1879" spans="41:48">
      <c r="AO1879" s="829" t="str">
        <f t="shared" si="422"/>
        <v>No</v>
      </c>
      <c r="AP1879" s="259" t="str">
        <f t="shared" si="427"/>
        <v>blank</v>
      </c>
      <c r="AQ1879" s="547" t="str">
        <f t="shared" si="426"/>
        <v>无定金+无預留客戶</v>
      </c>
      <c r="AR1879" s="259" t="str">
        <f t="shared" si="420"/>
        <v/>
      </c>
      <c r="AS1879" s="259" t="str">
        <f t="shared" si="421"/>
        <v/>
      </c>
      <c r="AT1879" s="259" t="b">
        <f t="shared" si="423"/>
        <v>0</v>
      </c>
      <c r="AU1879" s="259" t="b">
        <f t="shared" si="424"/>
        <v>0</v>
      </c>
      <c r="AV1879" s="259" t="str">
        <f t="shared" si="425"/>
        <v>-</v>
      </c>
    </row>
    <row r="1880" spans="41:48">
      <c r="AO1880" s="829" t="str">
        <f t="shared" si="422"/>
        <v>No</v>
      </c>
      <c r="AP1880" s="259" t="str">
        <f t="shared" si="427"/>
        <v>blank</v>
      </c>
      <c r="AQ1880" s="547" t="str">
        <f t="shared" si="426"/>
        <v>无定金+无預留客戶</v>
      </c>
      <c r="AR1880" s="259" t="str">
        <f t="shared" si="420"/>
        <v/>
      </c>
      <c r="AS1880" s="259" t="str">
        <f t="shared" si="421"/>
        <v/>
      </c>
      <c r="AT1880" s="259" t="b">
        <f t="shared" si="423"/>
        <v>0</v>
      </c>
      <c r="AU1880" s="259" t="b">
        <f t="shared" si="424"/>
        <v>0</v>
      </c>
      <c r="AV1880" s="259" t="str">
        <f t="shared" si="425"/>
        <v>-</v>
      </c>
    </row>
    <row r="1881" spans="41:48">
      <c r="AO1881" s="829" t="str">
        <f t="shared" si="422"/>
        <v>No</v>
      </c>
      <c r="AP1881" s="259" t="str">
        <f t="shared" si="427"/>
        <v>blank</v>
      </c>
      <c r="AQ1881" s="547" t="str">
        <f t="shared" si="426"/>
        <v>无定金+无預留客戶</v>
      </c>
      <c r="AR1881" s="259" t="str">
        <f t="shared" si="420"/>
        <v/>
      </c>
      <c r="AS1881" s="259" t="str">
        <f t="shared" si="421"/>
        <v/>
      </c>
      <c r="AT1881" s="259" t="b">
        <f t="shared" si="423"/>
        <v>0</v>
      </c>
      <c r="AU1881" s="259" t="b">
        <f t="shared" si="424"/>
        <v>0</v>
      </c>
      <c r="AV1881" s="259" t="str">
        <f t="shared" si="425"/>
        <v>-</v>
      </c>
    </row>
    <row r="1882" spans="41:48">
      <c r="AO1882" s="829" t="str">
        <f t="shared" si="422"/>
        <v>No</v>
      </c>
      <c r="AP1882" s="259" t="str">
        <f t="shared" si="427"/>
        <v>blank</v>
      </c>
      <c r="AQ1882" s="547" t="str">
        <f t="shared" si="426"/>
        <v>无定金+无預留客戶</v>
      </c>
      <c r="AR1882" s="259" t="str">
        <f t="shared" si="420"/>
        <v/>
      </c>
      <c r="AS1882" s="259" t="str">
        <f t="shared" si="421"/>
        <v/>
      </c>
      <c r="AT1882" s="259" t="b">
        <f t="shared" si="423"/>
        <v>0</v>
      </c>
      <c r="AU1882" s="259" t="b">
        <f t="shared" si="424"/>
        <v>0</v>
      </c>
      <c r="AV1882" s="259" t="str">
        <f t="shared" si="425"/>
        <v>-</v>
      </c>
    </row>
    <row r="1883" spans="41:48">
      <c r="AO1883" s="829" t="str">
        <f t="shared" si="422"/>
        <v>No</v>
      </c>
      <c r="AP1883" s="259" t="str">
        <f t="shared" si="427"/>
        <v>blank</v>
      </c>
      <c r="AQ1883" s="547" t="str">
        <f t="shared" si="426"/>
        <v>无定金+无預留客戶</v>
      </c>
      <c r="AR1883" s="259" t="str">
        <f t="shared" si="420"/>
        <v/>
      </c>
      <c r="AS1883" s="259" t="str">
        <f t="shared" si="421"/>
        <v/>
      </c>
      <c r="AT1883" s="259" t="b">
        <f t="shared" si="423"/>
        <v>0</v>
      </c>
      <c r="AU1883" s="259" t="b">
        <f t="shared" si="424"/>
        <v>0</v>
      </c>
      <c r="AV1883" s="259" t="str">
        <f t="shared" si="425"/>
        <v>-</v>
      </c>
    </row>
    <row r="1884" spans="41:48">
      <c r="AO1884" s="829" t="str">
        <f t="shared" si="422"/>
        <v>No</v>
      </c>
      <c r="AP1884" s="259" t="str">
        <f t="shared" si="427"/>
        <v>blank</v>
      </c>
      <c r="AQ1884" s="547" t="str">
        <f t="shared" si="426"/>
        <v>无定金+无預留客戶</v>
      </c>
      <c r="AR1884" s="259" t="str">
        <f t="shared" si="420"/>
        <v/>
      </c>
      <c r="AS1884" s="259" t="str">
        <f t="shared" si="421"/>
        <v/>
      </c>
      <c r="AT1884" s="259" t="b">
        <f t="shared" si="423"/>
        <v>0</v>
      </c>
      <c r="AU1884" s="259" t="b">
        <f t="shared" si="424"/>
        <v>0</v>
      </c>
      <c r="AV1884" s="259" t="str">
        <f t="shared" si="425"/>
        <v>-</v>
      </c>
    </row>
    <row r="1885" spans="41:48">
      <c r="AO1885" s="829" t="str">
        <f t="shared" si="422"/>
        <v>No</v>
      </c>
      <c r="AP1885" s="259" t="str">
        <f t="shared" si="427"/>
        <v>blank</v>
      </c>
      <c r="AQ1885" s="547" t="str">
        <f t="shared" si="426"/>
        <v>无定金+无預留客戶</v>
      </c>
      <c r="AR1885" s="259" t="str">
        <f t="shared" si="420"/>
        <v/>
      </c>
      <c r="AS1885" s="259" t="str">
        <f t="shared" si="421"/>
        <v/>
      </c>
      <c r="AT1885" s="259" t="b">
        <f t="shared" si="423"/>
        <v>0</v>
      </c>
      <c r="AU1885" s="259" t="b">
        <f t="shared" si="424"/>
        <v>0</v>
      </c>
      <c r="AV1885" s="259" t="str">
        <f t="shared" si="425"/>
        <v>-</v>
      </c>
    </row>
    <row r="1886" spans="41:48">
      <c r="AO1886" s="829" t="str">
        <f t="shared" si="422"/>
        <v>No</v>
      </c>
      <c r="AP1886" s="259" t="str">
        <f t="shared" si="427"/>
        <v>blank</v>
      </c>
      <c r="AQ1886" s="547" t="str">
        <f t="shared" si="426"/>
        <v>无定金+无預留客戶</v>
      </c>
      <c r="AR1886" s="259" t="str">
        <f t="shared" si="420"/>
        <v/>
      </c>
      <c r="AS1886" s="259" t="str">
        <f t="shared" si="421"/>
        <v/>
      </c>
      <c r="AT1886" s="259" t="b">
        <f t="shared" si="423"/>
        <v>0</v>
      </c>
      <c r="AU1886" s="259" t="b">
        <f t="shared" si="424"/>
        <v>0</v>
      </c>
      <c r="AV1886" s="259" t="str">
        <f t="shared" si="425"/>
        <v>-</v>
      </c>
    </row>
    <row r="1887" spans="41:48">
      <c r="AO1887" s="829" t="str">
        <f t="shared" si="422"/>
        <v>No</v>
      </c>
      <c r="AP1887" s="259" t="str">
        <f t="shared" si="427"/>
        <v>blank</v>
      </c>
      <c r="AQ1887" s="547" t="str">
        <f t="shared" si="426"/>
        <v>无定金+无預留客戶</v>
      </c>
      <c r="AR1887" s="259" t="str">
        <f t="shared" si="420"/>
        <v/>
      </c>
      <c r="AS1887" s="259" t="str">
        <f t="shared" si="421"/>
        <v/>
      </c>
      <c r="AT1887" s="259" t="b">
        <f t="shared" si="423"/>
        <v>0</v>
      </c>
      <c r="AU1887" s="259" t="b">
        <f t="shared" si="424"/>
        <v>0</v>
      </c>
      <c r="AV1887" s="259" t="str">
        <f t="shared" si="425"/>
        <v>-</v>
      </c>
    </row>
    <row r="1888" spans="41:48">
      <c r="AO1888" s="829" t="str">
        <f t="shared" si="422"/>
        <v>No</v>
      </c>
      <c r="AP1888" s="259" t="str">
        <f t="shared" si="427"/>
        <v>blank</v>
      </c>
      <c r="AQ1888" s="547" t="str">
        <f t="shared" si="426"/>
        <v>无定金+无預留客戶</v>
      </c>
      <c r="AR1888" s="259" t="str">
        <f t="shared" si="420"/>
        <v/>
      </c>
      <c r="AS1888" s="259" t="str">
        <f t="shared" si="421"/>
        <v/>
      </c>
      <c r="AT1888" s="259" t="b">
        <f t="shared" si="423"/>
        <v>0</v>
      </c>
      <c r="AU1888" s="259" t="b">
        <f t="shared" si="424"/>
        <v>0</v>
      </c>
      <c r="AV1888" s="259" t="str">
        <f t="shared" si="425"/>
        <v>-</v>
      </c>
    </row>
    <row r="1889" spans="41:48">
      <c r="AO1889" s="829" t="str">
        <f t="shared" si="422"/>
        <v>No</v>
      </c>
      <c r="AP1889" s="259" t="str">
        <f t="shared" si="427"/>
        <v>blank</v>
      </c>
      <c r="AQ1889" s="547" t="str">
        <f t="shared" si="426"/>
        <v>无定金+无預留客戶</v>
      </c>
      <c r="AR1889" s="259" t="str">
        <f t="shared" si="420"/>
        <v/>
      </c>
      <c r="AS1889" s="259" t="str">
        <f t="shared" si="421"/>
        <v/>
      </c>
      <c r="AT1889" s="259" t="b">
        <f t="shared" si="423"/>
        <v>0</v>
      </c>
      <c r="AU1889" s="259" t="b">
        <f t="shared" si="424"/>
        <v>0</v>
      </c>
      <c r="AV1889" s="259" t="str">
        <f t="shared" si="425"/>
        <v>-</v>
      </c>
    </row>
    <row r="1890" spans="41:48">
      <c r="AO1890" s="829" t="str">
        <f t="shared" si="422"/>
        <v>No</v>
      </c>
      <c r="AP1890" s="259" t="str">
        <f t="shared" si="427"/>
        <v>blank</v>
      </c>
      <c r="AQ1890" s="547" t="str">
        <f t="shared" si="426"/>
        <v>无定金+无預留客戶</v>
      </c>
      <c r="AR1890" s="259" t="str">
        <f t="shared" si="420"/>
        <v/>
      </c>
      <c r="AS1890" s="259" t="str">
        <f t="shared" si="421"/>
        <v/>
      </c>
      <c r="AT1890" s="259" t="b">
        <f t="shared" si="423"/>
        <v>0</v>
      </c>
      <c r="AU1890" s="259" t="b">
        <f t="shared" si="424"/>
        <v>0</v>
      </c>
      <c r="AV1890" s="259" t="str">
        <f t="shared" si="425"/>
        <v>-</v>
      </c>
    </row>
    <row r="1891" spans="41:48">
      <c r="AO1891" s="829" t="str">
        <f t="shared" si="422"/>
        <v>No</v>
      </c>
      <c r="AP1891" s="259" t="str">
        <f t="shared" si="427"/>
        <v>blank</v>
      </c>
      <c r="AQ1891" s="547" t="str">
        <f t="shared" si="426"/>
        <v>无定金+无預留客戶</v>
      </c>
      <c r="AR1891" s="259" t="str">
        <f t="shared" si="420"/>
        <v/>
      </c>
      <c r="AS1891" s="259" t="str">
        <f t="shared" si="421"/>
        <v/>
      </c>
      <c r="AT1891" s="259" t="b">
        <f t="shared" si="423"/>
        <v>0</v>
      </c>
      <c r="AU1891" s="259" t="b">
        <f t="shared" si="424"/>
        <v>0</v>
      </c>
      <c r="AV1891" s="259" t="str">
        <f t="shared" si="425"/>
        <v>-</v>
      </c>
    </row>
    <row r="1892" spans="41:48">
      <c r="AO1892" s="829" t="str">
        <f t="shared" si="422"/>
        <v>No</v>
      </c>
      <c r="AP1892" s="259" t="str">
        <f t="shared" si="427"/>
        <v>blank</v>
      </c>
      <c r="AQ1892" s="547" t="str">
        <f t="shared" si="426"/>
        <v>无定金+无預留客戶</v>
      </c>
      <c r="AR1892" s="259" t="str">
        <f t="shared" si="420"/>
        <v/>
      </c>
      <c r="AS1892" s="259" t="str">
        <f t="shared" si="421"/>
        <v/>
      </c>
      <c r="AT1892" s="259" t="b">
        <f t="shared" si="423"/>
        <v>0</v>
      </c>
      <c r="AU1892" s="259" t="b">
        <f t="shared" si="424"/>
        <v>0</v>
      </c>
      <c r="AV1892" s="259" t="str">
        <f t="shared" si="425"/>
        <v>-</v>
      </c>
    </row>
    <row r="1893" spans="41:48">
      <c r="AO1893" s="829" t="str">
        <f t="shared" si="422"/>
        <v>No</v>
      </c>
      <c r="AP1893" s="259" t="str">
        <f t="shared" si="427"/>
        <v>blank</v>
      </c>
      <c r="AQ1893" s="547" t="str">
        <f t="shared" si="426"/>
        <v>无定金+无預留客戶</v>
      </c>
      <c r="AR1893" s="259" t="str">
        <f t="shared" si="420"/>
        <v/>
      </c>
      <c r="AS1893" s="259" t="str">
        <f t="shared" si="421"/>
        <v/>
      </c>
      <c r="AT1893" s="259" t="b">
        <f t="shared" si="423"/>
        <v>0</v>
      </c>
      <c r="AU1893" s="259" t="b">
        <f t="shared" si="424"/>
        <v>0</v>
      </c>
      <c r="AV1893" s="259" t="str">
        <f t="shared" si="425"/>
        <v>-</v>
      </c>
    </row>
    <row r="1894" spans="41:48">
      <c r="AO1894" s="829" t="str">
        <f t="shared" si="422"/>
        <v>No</v>
      </c>
      <c r="AP1894" s="259" t="str">
        <f t="shared" si="427"/>
        <v>blank</v>
      </c>
      <c r="AQ1894" s="547" t="str">
        <f t="shared" si="426"/>
        <v>无定金+无預留客戶</v>
      </c>
      <c r="AR1894" s="259" t="str">
        <f t="shared" si="420"/>
        <v/>
      </c>
      <c r="AS1894" s="259" t="str">
        <f t="shared" si="421"/>
        <v/>
      </c>
      <c r="AT1894" s="259" t="b">
        <f t="shared" si="423"/>
        <v>0</v>
      </c>
      <c r="AU1894" s="259" t="b">
        <f t="shared" si="424"/>
        <v>0</v>
      </c>
      <c r="AV1894" s="259" t="str">
        <f t="shared" si="425"/>
        <v>-</v>
      </c>
    </row>
    <row r="1895" spans="41:48">
      <c r="AO1895" s="829" t="str">
        <f t="shared" si="422"/>
        <v>No</v>
      </c>
      <c r="AP1895" s="259" t="str">
        <f t="shared" si="427"/>
        <v>blank</v>
      </c>
      <c r="AQ1895" s="547" t="str">
        <f t="shared" si="426"/>
        <v>无定金+无預留客戶</v>
      </c>
      <c r="AR1895" s="259" t="str">
        <f t="shared" si="420"/>
        <v/>
      </c>
      <c r="AS1895" s="259" t="str">
        <f t="shared" si="421"/>
        <v/>
      </c>
      <c r="AT1895" s="259" t="b">
        <f t="shared" si="423"/>
        <v>0</v>
      </c>
      <c r="AU1895" s="259" t="b">
        <f t="shared" si="424"/>
        <v>0</v>
      </c>
      <c r="AV1895" s="259" t="str">
        <f t="shared" si="425"/>
        <v>-</v>
      </c>
    </row>
    <row r="1896" spans="41:48">
      <c r="AO1896" s="829" t="str">
        <f t="shared" si="422"/>
        <v>No</v>
      </c>
      <c r="AP1896" s="259" t="str">
        <f t="shared" si="427"/>
        <v>blank</v>
      </c>
      <c r="AQ1896" s="547" t="str">
        <f t="shared" si="426"/>
        <v>无定金+无預留客戶</v>
      </c>
      <c r="AR1896" s="259" t="str">
        <f t="shared" si="420"/>
        <v/>
      </c>
      <c r="AS1896" s="259" t="str">
        <f t="shared" si="421"/>
        <v/>
      </c>
      <c r="AT1896" s="259" t="b">
        <f t="shared" si="423"/>
        <v>0</v>
      </c>
      <c r="AU1896" s="259" t="b">
        <f t="shared" si="424"/>
        <v>0</v>
      </c>
      <c r="AV1896" s="259" t="str">
        <f t="shared" si="425"/>
        <v>-</v>
      </c>
    </row>
    <row r="1897" spans="41:48">
      <c r="AO1897" s="829" t="str">
        <f t="shared" si="422"/>
        <v>No</v>
      </c>
      <c r="AP1897" s="259" t="str">
        <f t="shared" si="427"/>
        <v>blank</v>
      </c>
      <c r="AQ1897" s="547" t="str">
        <f t="shared" si="426"/>
        <v>无定金+无預留客戶</v>
      </c>
      <c r="AR1897" s="259" t="str">
        <f t="shared" si="420"/>
        <v/>
      </c>
      <c r="AS1897" s="259" t="str">
        <f t="shared" si="421"/>
        <v/>
      </c>
      <c r="AT1897" s="259" t="b">
        <f t="shared" si="423"/>
        <v>0</v>
      </c>
      <c r="AU1897" s="259" t="b">
        <f t="shared" si="424"/>
        <v>0</v>
      </c>
      <c r="AV1897" s="259" t="str">
        <f t="shared" si="425"/>
        <v>-</v>
      </c>
    </row>
    <row r="1898" spans="41:48">
      <c r="AO1898" s="829" t="str">
        <f t="shared" si="422"/>
        <v>No</v>
      </c>
      <c r="AP1898" s="259" t="str">
        <f t="shared" si="427"/>
        <v>blank</v>
      </c>
      <c r="AQ1898" s="547" t="str">
        <f t="shared" si="426"/>
        <v>无定金+无預留客戶</v>
      </c>
      <c r="AR1898" s="259" t="str">
        <f t="shared" si="420"/>
        <v/>
      </c>
      <c r="AS1898" s="259" t="str">
        <f t="shared" si="421"/>
        <v/>
      </c>
      <c r="AT1898" s="259" t="b">
        <f t="shared" si="423"/>
        <v>0</v>
      </c>
      <c r="AU1898" s="259" t="b">
        <f t="shared" si="424"/>
        <v>0</v>
      </c>
      <c r="AV1898" s="259" t="str">
        <f t="shared" si="425"/>
        <v>-</v>
      </c>
    </row>
    <row r="1899" spans="41:48">
      <c r="AO1899" s="829" t="str">
        <f t="shared" si="422"/>
        <v>No</v>
      </c>
      <c r="AP1899" s="259" t="str">
        <f t="shared" si="427"/>
        <v>blank</v>
      </c>
      <c r="AQ1899" s="547" t="str">
        <f t="shared" si="426"/>
        <v>无定金+无預留客戶</v>
      </c>
      <c r="AR1899" s="259" t="str">
        <f t="shared" si="420"/>
        <v/>
      </c>
      <c r="AS1899" s="259" t="str">
        <f t="shared" si="421"/>
        <v/>
      </c>
      <c r="AT1899" s="259" t="b">
        <f t="shared" si="423"/>
        <v>0</v>
      </c>
      <c r="AU1899" s="259" t="b">
        <f t="shared" si="424"/>
        <v>0</v>
      </c>
      <c r="AV1899" s="259" t="str">
        <f t="shared" si="425"/>
        <v>-</v>
      </c>
    </row>
    <row r="1900" spans="41:48">
      <c r="AO1900" s="829" t="str">
        <f t="shared" si="422"/>
        <v>No</v>
      </c>
      <c r="AP1900" s="259" t="str">
        <f t="shared" si="427"/>
        <v>blank</v>
      </c>
      <c r="AQ1900" s="547" t="str">
        <f t="shared" si="426"/>
        <v>无定金+无預留客戶</v>
      </c>
      <c r="AR1900" s="259" t="str">
        <f t="shared" si="420"/>
        <v/>
      </c>
      <c r="AS1900" s="259" t="str">
        <f t="shared" si="421"/>
        <v/>
      </c>
      <c r="AT1900" s="259" t="b">
        <f t="shared" si="423"/>
        <v>0</v>
      </c>
      <c r="AU1900" s="259" t="b">
        <f t="shared" si="424"/>
        <v>0</v>
      </c>
      <c r="AV1900" s="259" t="str">
        <f t="shared" si="425"/>
        <v>-</v>
      </c>
    </row>
    <row r="1901" spans="41:48">
      <c r="AO1901" s="829" t="str">
        <f t="shared" si="422"/>
        <v>No</v>
      </c>
      <c r="AP1901" s="259" t="str">
        <f t="shared" si="427"/>
        <v>blank</v>
      </c>
      <c r="AQ1901" s="547" t="str">
        <f t="shared" si="426"/>
        <v>无定金+无預留客戶</v>
      </c>
      <c r="AR1901" s="259" t="str">
        <f t="shared" si="420"/>
        <v/>
      </c>
      <c r="AS1901" s="259" t="str">
        <f t="shared" si="421"/>
        <v/>
      </c>
      <c r="AT1901" s="259" t="b">
        <f t="shared" si="423"/>
        <v>0</v>
      </c>
      <c r="AU1901" s="259" t="b">
        <f t="shared" si="424"/>
        <v>0</v>
      </c>
      <c r="AV1901" s="259" t="str">
        <f t="shared" si="425"/>
        <v>-</v>
      </c>
    </row>
    <row r="1902" spans="41:48">
      <c r="AO1902" s="829" t="str">
        <f t="shared" si="422"/>
        <v>No</v>
      </c>
      <c r="AP1902" s="259" t="str">
        <f t="shared" si="427"/>
        <v>blank</v>
      </c>
      <c r="AQ1902" s="547" t="str">
        <f t="shared" si="426"/>
        <v>无定金+无預留客戶</v>
      </c>
      <c r="AR1902" s="259" t="str">
        <f t="shared" si="420"/>
        <v/>
      </c>
      <c r="AS1902" s="259" t="str">
        <f t="shared" si="421"/>
        <v/>
      </c>
      <c r="AT1902" s="259" t="b">
        <f t="shared" si="423"/>
        <v>0</v>
      </c>
      <c r="AU1902" s="259" t="b">
        <f t="shared" si="424"/>
        <v>0</v>
      </c>
      <c r="AV1902" s="259" t="str">
        <f t="shared" si="425"/>
        <v>-</v>
      </c>
    </row>
    <row r="1903" spans="41:48">
      <c r="AO1903" s="829" t="str">
        <f t="shared" si="422"/>
        <v>No</v>
      </c>
      <c r="AP1903" s="259" t="str">
        <f t="shared" si="427"/>
        <v>blank</v>
      </c>
      <c r="AQ1903" s="547" t="str">
        <f t="shared" si="426"/>
        <v>无定金+无預留客戶</v>
      </c>
      <c r="AR1903" s="259" t="str">
        <f t="shared" si="420"/>
        <v/>
      </c>
      <c r="AS1903" s="259" t="str">
        <f t="shared" si="421"/>
        <v/>
      </c>
      <c r="AT1903" s="259" t="b">
        <f t="shared" si="423"/>
        <v>0</v>
      </c>
      <c r="AU1903" s="259" t="b">
        <f t="shared" si="424"/>
        <v>0</v>
      </c>
      <c r="AV1903" s="259" t="str">
        <f t="shared" si="425"/>
        <v>-</v>
      </c>
    </row>
    <row r="1904" spans="41:48">
      <c r="AO1904" s="829" t="str">
        <f t="shared" si="422"/>
        <v>No</v>
      </c>
      <c r="AP1904" s="259" t="str">
        <f t="shared" si="427"/>
        <v>blank</v>
      </c>
      <c r="AQ1904" s="547" t="str">
        <f t="shared" si="426"/>
        <v>无定金+无預留客戶</v>
      </c>
      <c r="AR1904" s="259" t="str">
        <f t="shared" si="420"/>
        <v/>
      </c>
      <c r="AS1904" s="259" t="str">
        <f t="shared" si="421"/>
        <v/>
      </c>
      <c r="AT1904" s="259" t="b">
        <f t="shared" si="423"/>
        <v>0</v>
      </c>
      <c r="AU1904" s="259" t="b">
        <f t="shared" si="424"/>
        <v>0</v>
      </c>
      <c r="AV1904" s="259" t="str">
        <f t="shared" si="425"/>
        <v>-</v>
      </c>
    </row>
    <row r="1905" spans="41:48">
      <c r="AO1905" s="829" t="str">
        <f t="shared" si="422"/>
        <v>No</v>
      </c>
      <c r="AP1905" s="259" t="str">
        <f t="shared" si="427"/>
        <v>blank</v>
      </c>
      <c r="AQ1905" s="547" t="str">
        <f t="shared" si="426"/>
        <v>无定金+无預留客戶</v>
      </c>
      <c r="AR1905" s="259" t="str">
        <f t="shared" si="420"/>
        <v/>
      </c>
      <c r="AS1905" s="259" t="str">
        <f t="shared" si="421"/>
        <v/>
      </c>
      <c r="AT1905" s="259" t="b">
        <f t="shared" si="423"/>
        <v>0</v>
      </c>
      <c r="AU1905" s="259" t="b">
        <f t="shared" si="424"/>
        <v>0</v>
      </c>
      <c r="AV1905" s="259" t="str">
        <f t="shared" si="425"/>
        <v>-</v>
      </c>
    </row>
    <row r="1906" spans="41:48">
      <c r="AO1906" s="829" t="str">
        <f t="shared" si="422"/>
        <v>No</v>
      </c>
      <c r="AP1906" s="259" t="str">
        <f t="shared" si="427"/>
        <v>blank</v>
      </c>
      <c r="AQ1906" s="547" t="str">
        <f t="shared" si="426"/>
        <v>无定金+无預留客戶</v>
      </c>
      <c r="AR1906" s="259" t="str">
        <f t="shared" si="420"/>
        <v/>
      </c>
      <c r="AS1906" s="259" t="str">
        <f t="shared" si="421"/>
        <v/>
      </c>
      <c r="AT1906" s="259" t="b">
        <f t="shared" si="423"/>
        <v>0</v>
      </c>
      <c r="AU1906" s="259" t="b">
        <f t="shared" si="424"/>
        <v>0</v>
      </c>
      <c r="AV1906" s="259" t="str">
        <f t="shared" si="425"/>
        <v>-</v>
      </c>
    </row>
    <row r="1907" spans="41:48">
      <c r="AO1907" s="829" t="str">
        <f t="shared" si="422"/>
        <v>No</v>
      </c>
      <c r="AP1907" s="259" t="str">
        <f t="shared" si="427"/>
        <v>blank</v>
      </c>
      <c r="AQ1907" s="547" t="str">
        <f t="shared" si="426"/>
        <v>无定金+无預留客戶</v>
      </c>
      <c r="AR1907" s="259" t="str">
        <f t="shared" si="420"/>
        <v/>
      </c>
      <c r="AS1907" s="259" t="str">
        <f t="shared" si="421"/>
        <v/>
      </c>
      <c r="AT1907" s="259" t="b">
        <f t="shared" si="423"/>
        <v>0</v>
      </c>
      <c r="AU1907" s="259" t="b">
        <f t="shared" si="424"/>
        <v>0</v>
      </c>
      <c r="AV1907" s="259" t="str">
        <f t="shared" si="425"/>
        <v>-</v>
      </c>
    </row>
    <row r="1908" spans="41:48">
      <c r="AO1908" s="829" t="str">
        <f t="shared" si="422"/>
        <v>No</v>
      </c>
      <c r="AP1908" s="259" t="str">
        <f t="shared" si="427"/>
        <v>blank</v>
      </c>
      <c r="AQ1908" s="547" t="str">
        <f t="shared" si="426"/>
        <v>无定金+无預留客戶</v>
      </c>
      <c r="AR1908" s="259" t="str">
        <f t="shared" si="420"/>
        <v/>
      </c>
      <c r="AS1908" s="259" t="str">
        <f t="shared" si="421"/>
        <v/>
      </c>
      <c r="AT1908" s="259" t="b">
        <f t="shared" si="423"/>
        <v>0</v>
      </c>
      <c r="AU1908" s="259" t="b">
        <f t="shared" si="424"/>
        <v>0</v>
      </c>
      <c r="AV1908" s="259" t="str">
        <f t="shared" si="425"/>
        <v>-</v>
      </c>
    </row>
    <row r="1909" spans="41:48">
      <c r="AO1909" s="829" t="str">
        <f t="shared" si="422"/>
        <v>No</v>
      </c>
      <c r="AP1909" s="259" t="str">
        <f t="shared" si="427"/>
        <v>blank</v>
      </c>
      <c r="AQ1909" s="547" t="str">
        <f t="shared" si="426"/>
        <v>无定金+无預留客戶</v>
      </c>
      <c r="AR1909" s="259" t="str">
        <f t="shared" si="420"/>
        <v/>
      </c>
      <c r="AS1909" s="259" t="str">
        <f t="shared" si="421"/>
        <v/>
      </c>
      <c r="AT1909" s="259" t="b">
        <f t="shared" si="423"/>
        <v>0</v>
      </c>
      <c r="AU1909" s="259" t="b">
        <f t="shared" si="424"/>
        <v>0</v>
      </c>
      <c r="AV1909" s="259" t="str">
        <f t="shared" si="425"/>
        <v>-</v>
      </c>
    </row>
    <row r="1910" spans="41:48">
      <c r="AO1910" s="829" t="str">
        <f t="shared" si="422"/>
        <v>No</v>
      </c>
      <c r="AP1910" s="259" t="str">
        <f t="shared" si="427"/>
        <v>blank</v>
      </c>
      <c r="AQ1910" s="547" t="str">
        <f t="shared" si="426"/>
        <v>无定金+无預留客戶</v>
      </c>
      <c r="AR1910" s="259" t="str">
        <f t="shared" si="420"/>
        <v/>
      </c>
      <c r="AS1910" s="259" t="str">
        <f t="shared" si="421"/>
        <v/>
      </c>
      <c r="AT1910" s="259" t="b">
        <f t="shared" si="423"/>
        <v>0</v>
      </c>
      <c r="AU1910" s="259" t="b">
        <f t="shared" si="424"/>
        <v>0</v>
      </c>
      <c r="AV1910" s="259" t="str">
        <f t="shared" si="425"/>
        <v>-</v>
      </c>
    </row>
    <row r="1911" spans="41:48">
      <c r="AO1911" s="829" t="str">
        <f t="shared" si="422"/>
        <v>No</v>
      </c>
      <c r="AP1911" s="259" t="str">
        <f t="shared" si="427"/>
        <v>blank</v>
      </c>
      <c r="AQ1911" s="547" t="str">
        <f t="shared" si="426"/>
        <v>无定金+无預留客戶</v>
      </c>
      <c r="AR1911" s="259" t="str">
        <f t="shared" si="420"/>
        <v/>
      </c>
      <c r="AS1911" s="259" t="str">
        <f t="shared" si="421"/>
        <v/>
      </c>
      <c r="AT1911" s="259" t="b">
        <f t="shared" si="423"/>
        <v>0</v>
      </c>
      <c r="AU1911" s="259" t="b">
        <f t="shared" si="424"/>
        <v>0</v>
      </c>
      <c r="AV1911" s="259" t="str">
        <f t="shared" si="425"/>
        <v>-</v>
      </c>
    </row>
    <row r="1912" spans="41:48">
      <c r="AO1912" s="829" t="str">
        <f t="shared" si="422"/>
        <v>No</v>
      </c>
      <c r="AP1912" s="259" t="str">
        <f t="shared" si="427"/>
        <v>blank</v>
      </c>
      <c r="AQ1912" s="547" t="str">
        <f t="shared" si="426"/>
        <v>无定金+无預留客戶</v>
      </c>
      <c r="AR1912" s="259" t="str">
        <f t="shared" si="420"/>
        <v/>
      </c>
      <c r="AS1912" s="259" t="str">
        <f t="shared" si="421"/>
        <v/>
      </c>
      <c r="AT1912" s="259" t="b">
        <f t="shared" si="423"/>
        <v>0</v>
      </c>
      <c r="AU1912" s="259" t="b">
        <f t="shared" si="424"/>
        <v>0</v>
      </c>
      <c r="AV1912" s="259" t="str">
        <f t="shared" si="425"/>
        <v>-</v>
      </c>
    </row>
    <row r="1913" spans="41:48">
      <c r="AO1913" s="829" t="str">
        <f t="shared" si="422"/>
        <v>No</v>
      </c>
      <c r="AP1913" s="259" t="str">
        <f t="shared" si="427"/>
        <v>blank</v>
      </c>
      <c r="AQ1913" s="547" t="str">
        <f t="shared" si="426"/>
        <v>无定金+无預留客戶</v>
      </c>
      <c r="AR1913" s="259" t="str">
        <f t="shared" si="420"/>
        <v/>
      </c>
      <c r="AS1913" s="259" t="str">
        <f t="shared" si="421"/>
        <v/>
      </c>
      <c r="AT1913" s="259" t="b">
        <f t="shared" si="423"/>
        <v>0</v>
      </c>
      <c r="AU1913" s="259" t="b">
        <f t="shared" si="424"/>
        <v>0</v>
      </c>
      <c r="AV1913" s="259" t="str">
        <f t="shared" si="425"/>
        <v>-</v>
      </c>
    </row>
    <row r="1914" spans="41:48">
      <c r="AO1914" s="829" t="str">
        <f t="shared" si="422"/>
        <v>No</v>
      </c>
      <c r="AP1914" s="259" t="str">
        <f t="shared" si="427"/>
        <v>blank</v>
      </c>
      <c r="AQ1914" s="547" t="str">
        <f t="shared" si="426"/>
        <v>无定金+无預留客戶</v>
      </c>
      <c r="AR1914" s="259" t="str">
        <f t="shared" si="420"/>
        <v/>
      </c>
      <c r="AS1914" s="259" t="str">
        <f t="shared" si="421"/>
        <v/>
      </c>
      <c r="AT1914" s="259" t="b">
        <f t="shared" si="423"/>
        <v>0</v>
      </c>
      <c r="AU1914" s="259" t="b">
        <f t="shared" si="424"/>
        <v>0</v>
      </c>
      <c r="AV1914" s="259" t="str">
        <f t="shared" si="425"/>
        <v>-</v>
      </c>
    </row>
    <row r="1915" spans="41:48">
      <c r="AO1915" s="829" t="str">
        <f t="shared" si="422"/>
        <v>No</v>
      </c>
      <c r="AP1915" s="259" t="str">
        <f t="shared" si="427"/>
        <v>blank</v>
      </c>
      <c r="AQ1915" s="547" t="str">
        <f t="shared" si="426"/>
        <v>无定金+无預留客戶</v>
      </c>
      <c r="AR1915" s="259" t="str">
        <f t="shared" si="420"/>
        <v/>
      </c>
      <c r="AS1915" s="259" t="str">
        <f t="shared" si="421"/>
        <v/>
      </c>
      <c r="AT1915" s="259" t="b">
        <f t="shared" si="423"/>
        <v>0</v>
      </c>
      <c r="AU1915" s="259" t="b">
        <f t="shared" si="424"/>
        <v>0</v>
      </c>
      <c r="AV1915" s="259" t="str">
        <f t="shared" si="425"/>
        <v>-</v>
      </c>
    </row>
    <row r="1916" spans="41:48">
      <c r="AO1916" s="829" t="str">
        <f t="shared" si="422"/>
        <v>No</v>
      </c>
      <c r="AP1916" s="259" t="str">
        <f t="shared" si="427"/>
        <v>blank</v>
      </c>
      <c r="AQ1916" s="547" t="str">
        <f t="shared" si="426"/>
        <v>无定金+无預留客戶</v>
      </c>
      <c r="AR1916" s="259" t="str">
        <f t="shared" si="420"/>
        <v/>
      </c>
      <c r="AS1916" s="259" t="str">
        <f t="shared" si="421"/>
        <v/>
      </c>
      <c r="AT1916" s="259" t="b">
        <f t="shared" si="423"/>
        <v>0</v>
      </c>
      <c r="AU1916" s="259" t="b">
        <f t="shared" si="424"/>
        <v>0</v>
      </c>
      <c r="AV1916" s="259" t="str">
        <f t="shared" si="425"/>
        <v>-</v>
      </c>
    </row>
    <row r="1917" spans="41:48">
      <c r="AO1917" s="829" t="str">
        <f t="shared" si="422"/>
        <v>No</v>
      </c>
      <c r="AP1917" s="259" t="str">
        <f t="shared" si="427"/>
        <v>blank</v>
      </c>
      <c r="AQ1917" s="547" t="str">
        <f t="shared" si="426"/>
        <v>无定金+无預留客戶</v>
      </c>
      <c r="AR1917" s="259" t="str">
        <f t="shared" si="420"/>
        <v/>
      </c>
      <c r="AS1917" s="259" t="str">
        <f t="shared" si="421"/>
        <v/>
      </c>
      <c r="AT1917" s="259" t="b">
        <f t="shared" si="423"/>
        <v>0</v>
      </c>
      <c r="AU1917" s="259" t="b">
        <f t="shared" si="424"/>
        <v>0</v>
      </c>
      <c r="AV1917" s="259" t="str">
        <f t="shared" si="425"/>
        <v>-</v>
      </c>
    </row>
    <row r="1918" spans="41:48">
      <c r="AO1918" s="829" t="str">
        <f t="shared" si="422"/>
        <v>No</v>
      </c>
      <c r="AP1918" s="259" t="str">
        <f t="shared" si="427"/>
        <v>blank</v>
      </c>
      <c r="AQ1918" s="547" t="str">
        <f t="shared" si="426"/>
        <v>无定金+无預留客戶</v>
      </c>
      <c r="AR1918" s="259" t="str">
        <f t="shared" ref="AR1918:AR1981" si="428">IFERROR(IF(B1918="已经到货", "Instock", IF(B1918="有交期", "Incoming_Stock_With_YAMAHA_Schedule", IF(B1918="TBA.", "Incoming_Stock_No_YAMAHA_Schedule", IF(B1918="已发货", "Shipped_Stock", "")))), "")</f>
        <v/>
      </c>
      <c r="AS1918" s="259" t="str">
        <f t="shared" ref="AS1918:AS1981" si="429">IF(AND(B1918="有交期", L1918&lt;&gt;""), L1918, "")</f>
        <v/>
      </c>
      <c r="AT1918" s="259" t="b">
        <f t="shared" si="423"/>
        <v>0</v>
      </c>
      <c r="AU1918" s="259" t="b">
        <f t="shared" si="424"/>
        <v>0</v>
      </c>
      <c r="AV1918" s="259" t="str">
        <f t="shared" si="425"/>
        <v>-</v>
      </c>
    </row>
    <row r="1919" spans="41:48">
      <c r="AO1919" s="829" t="str">
        <f t="shared" si="422"/>
        <v>No</v>
      </c>
      <c r="AP1919" s="259" t="str">
        <f t="shared" si="427"/>
        <v>blank</v>
      </c>
      <c r="AQ1919" s="547" t="str">
        <f t="shared" si="426"/>
        <v>无定金+无預留客戶</v>
      </c>
      <c r="AR1919" s="259" t="str">
        <f t="shared" si="428"/>
        <v/>
      </c>
      <c r="AS1919" s="259" t="str">
        <f t="shared" si="429"/>
        <v/>
      </c>
      <c r="AT1919" s="259" t="b">
        <f t="shared" si="423"/>
        <v>0</v>
      </c>
      <c r="AU1919" s="259" t="b">
        <f t="shared" si="424"/>
        <v>0</v>
      </c>
      <c r="AV1919" s="259" t="str">
        <f t="shared" si="425"/>
        <v>-</v>
      </c>
    </row>
    <row r="1920" spans="41:48">
      <c r="AO1920" s="829" t="str">
        <f t="shared" si="422"/>
        <v>No</v>
      </c>
      <c r="AP1920" s="259" t="str">
        <f t="shared" si="427"/>
        <v>blank</v>
      </c>
      <c r="AQ1920" s="547" t="str">
        <f t="shared" si="426"/>
        <v>无定金+无預留客戶</v>
      </c>
      <c r="AR1920" s="259" t="str">
        <f t="shared" si="428"/>
        <v/>
      </c>
      <c r="AS1920" s="259" t="str">
        <f t="shared" si="429"/>
        <v/>
      </c>
      <c r="AT1920" s="259" t="b">
        <f t="shared" si="423"/>
        <v>0</v>
      </c>
      <c r="AU1920" s="259" t="b">
        <f t="shared" si="424"/>
        <v>0</v>
      </c>
      <c r="AV1920" s="259" t="str">
        <f t="shared" si="425"/>
        <v>-</v>
      </c>
    </row>
    <row r="1921" spans="41:48">
      <c r="AO1921" s="829" t="str">
        <f t="shared" si="422"/>
        <v>No</v>
      </c>
      <c r="AP1921" s="259" t="str">
        <f t="shared" si="427"/>
        <v>blank</v>
      </c>
      <c r="AQ1921" s="547" t="str">
        <f t="shared" si="426"/>
        <v>无定金+无預留客戶</v>
      </c>
      <c r="AR1921" s="259" t="str">
        <f t="shared" si="428"/>
        <v/>
      </c>
      <c r="AS1921" s="259" t="str">
        <f t="shared" si="429"/>
        <v/>
      </c>
      <c r="AT1921" s="259" t="b">
        <f t="shared" si="423"/>
        <v>0</v>
      </c>
      <c r="AU1921" s="259" t="b">
        <f t="shared" si="424"/>
        <v>0</v>
      </c>
      <c r="AV1921" s="259" t="str">
        <f t="shared" si="425"/>
        <v>-</v>
      </c>
    </row>
    <row r="1922" spans="41:48">
      <c r="AO1922" s="829" t="str">
        <f t="shared" ref="AO1922:AO1985" si="430">IFERROR(IF(Y1922&lt;&gt;"",Y1922,"No"),"No")</f>
        <v>No</v>
      </c>
      <c r="AP1922" s="259" t="str">
        <f t="shared" si="427"/>
        <v>blank</v>
      </c>
      <c r="AQ1922" s="547" t="str">
        <f t="shared" si="426"/>
        <v>无定金+无預留客戶</v>
      </c>
      <c r="AR1922" s="259" t="str">
        <f t="shared" si="428"/>
        <v/>
      </c>
      <c r="AS1922" s="259" t="str">
        <f t="shared" si="429"/>
        <v/>
      </c>
      <c r="AT1922" s="259" t="b">
        <f t="shared" ref="AT1922:AT1985" si="431">IFERROR(IF(R1922&lt;&gt;"",R1922),"-")</f>
        <v>0</v>
      </c>
      <c r="AU1922" s="259" t="b">
        <f t="shared" ref="AU1922:AU1985" si="432">IFERROR(IF(Q1922&lt;&gt;"",Q1922),"-")</f>
        <v>0</v>
      </c>
      <c r="AV1922" s="259" t="str">
        <f t="shared" ref="AV1922:AV1985" si="433">IF(L1922="","-",TEXT(L1922,"mmm-dd"))</f>
        <v>-</v>
      </c>
    </row>
    <row r="1923" spans="41:48">
      <c r="AO1923" s="829" t="str">
        <f t="shared" si="430"/>
        <v>No</v>
      </c>
      <c r="AP1923" s="259" t="str">
        <f t="shared" si="427"/>
        <v>blank</v>
      </c>
      <c r="AQ1923" s="547" t="str">
        <f t="shared" ref="AQ1923:AQ1986" si="434">IFERROR(IF(AND(AO1923="Yes", AP1923&lt;&gt;"blank"), "有定金+有預留客戶", IF(AND(AO1923="Yes", AP1923="blank"), "有定金+无客戶送貨期", IF(AND(OR(AO1923="No", ISBLANK(AO1923), AO1923="NA"), AP1923&lt;&gt;"blank"), "无定金+有預留客戶", IF(AND(OR(AO1923="No", ISBLANK(AO1923), AO1923="NA"), AP1923="blank"), "无定金+无預留客戶", "")))), "")</f>
        <v>无定金+无預留客戶</v>
      </c>
      <c r="AR1923" s="259" t="str">
        <f t="shared" si="428"/>
        <v/>
      </c>
      <c r="AS1923" s="259" t="str">
        <f t="shared" si="429"/>
        <v/>
      </c>
      <c r="AT1923" s="259" t="b">
        <f t="shared" si="431"/>
        <v>0</v>
      </c>
      <c r="AU1923" s="259" t="b">
        <f t="shared" si="432"/>
        <v>0</v>
      </c>
      <c r="AV1923" s="259" t="str">
        <f t="shared" si="433"/>
        <v>-</v>
      </c>
    </row>
    <row r="1924" spans="41:48">
      <c r="AO1924" s="829" t="str">
        <f t="shared" si="430"/>
        <v>No</v>
      </c>
      <c r="AP1924" s="259" t="str">
        <f t="shared" si="427"/>
        <v>blank</v>
      </c>
      <c r="AQ1924" s="547" t="str">
        <f t="shared" si="434"/>
        <v>无定金+无預留客戶</v>
      </c>
      <c r="AR1924" s="259" t="str">
        <f t="shared" si="428"/>
        <v/>
      </c>
      <c r="AS1924" s="259" t="str">
        <f t="shared" si="429"/>
        <v/>
      </c>
      <c r="AT1924" s="259" t="b">
        <f t="shared" si="431"/>
        <v>0</v>
      </c>
      <c r="AU1924" s="259" t="b">
        <f t="shared" si="432"/>
        <v>0</v>
      </c>
      <c r="AV1924" s="259" t="str">
        <f t="shared" si="433"/>
        <v>-</v>
      </c>
    </row>
    <row r="1925" spans="41:48">
      <c r="AO1925" s="829" t="str">
        <f t="shared" si="430"/>
        <v>No</v>
      </c>
      <c r="AP1925" s="259" t="str">
        <f t="shared" si="427"/>
        <v>blank</v>
      </c>
      <c r="AQ1925" s="547" t="str">
        <f t="shared" si="434"/>
        <v>无定金+无預留客戶</v>
      </c>
      <c r="AR1925" s="259" t="str">
        <f t="shared" si="428"/>
        <v/>
      </c>
      <c r="AS1925" s="259" t="str">
        <f t="shared" si="429"/>
        <v/>
      </c>
      <c r="AT1925" s="259" t="b">
        <f t="shared" si="431"/>
        <v>0</v>
      </c>
      <c r="AU1925" s="259" t="b">
        <f t="shared" si="432"/>
        <v>0</v>
      </c>
      <c r="AV1925" s="259" t="str">
        <f t="shared" si="433"/>
        <v>-</v>
      </c>
    </row>
    <row r="1926" spans="41:48">
      <c r="AO1926" s="829" t="str">
        <f t="shared" si="430"/>
        <v>No</v>
      </c>
      <c r="AP1926" s="259" t="str">
        <f t="shared" ref="AP1926:AP1989" si="435">IFERROR(IF(N1926&lt;&gt;"",N1926,"blank"),"NA")</f>
        <v>blank</v>
      </c>
      <c r="AQ1926" s="547" t="str">
        <f t="shared" si="434"/>
        <v>无定金+无預留客戶</v>
      </c>
      <c r="AR1926" s="259" t="str">
        <f t="shared" si="428"/>
        <v/>
      </c>
      <c r="AS1926" s="259" t="str">
        <f t="shared" si="429"/>
        <v/>
      </c>
      <c r="AT1926" s="259" t="b">
        <f t="shared" si="431"/>
        <v>0</v>
      </c>
      <c r="AU1926" s="259" t="b">
        <f t="shared" si="432"/>
        <v>0</v>
      </c>
      <c r="AV1926" s="259" t="str">
        <f t="shared" si="433"/>
        <v>-</v>
      </c>
    </row>
    <row r="1927" spans="41:48">
      <c r="AO1927" s="829" t="str">
        <f t="shared" si="430"/>
        <v>No</v>
      </c>
      <c r="AP1927" s="259" t="str">
        <f t="shared" si="435"/>
        <v>blank</v>
      </c>
      <c r="AQ1927" s="547" t="str">
        <f t="shared" si="434"/>
        <v>无定金+无預留客戶</v>
      </c>
      <c r="AR1927" s="259" t="str">
        <f t="shared" si="428"/>
        <v/>
      </c>
      <c r="AS1927" s="259" t="str">
        <f t="shared" si="429"/>
        <v/>
      </c>
      <c r="AT1927" s="259" t="b">
        <f t="shared" si="431"/>
        <v>0</v>
      </c>
      <c r="AU1927" s="259" t="b">
        <f t="shared" si="432"/>
        <v>0</v>
      </c>
      <c r="AV1927" s="259" t="str">
        <f t="shared" si="433"/>
        <v>-</v>
      </c>
    </row>
    <row r="1928" spans="41:48">
      <c r="AO1928" s="829" t="str">
        <f t="shared" si="430"/>
        <v>No</v>
      </c>
      <c r="AP1928" s="259" t="str">
        <f t="shared" si="435"/>
        <v>blank</v>
      </c>
      <c r="AQ1928" s="547" t="str">
        <f t="shared" si="434"/>
        <v>无定金+无預留客戶</v>
      </c>
      <c r="AR1928" s="259" t="str">
        <f t="shared" si="428"/>
        <v/>
      </c>
      <c r="AS1928" s="259" t="str">
        <f t="shared" si="429"/>
        <v/>
      </c>
      <c r="AT1928" s="259" t="b">
        <f t="shared" si="431"/>
        <v>0</v>
      </c>
      <c r="AU1928" s="259" t="b">
        <f t="shared" si="432"/>
        <v>0</v>
      </c>
      <c r="AV1928" s="259" t="str">
        <f t="shared" si="433"/>
        <v>-</v>
      </c>
    </row>
    <row r="1929" spans="41:48">
      <c r="AO1929" s="829" t="str">
        <f t="shared" si="430"/>
        <v>No</v>
      </c>
      <c r="AP1929" s="259" t="str">
        <f t="shared" si="435"/>
        <v>blank</v>
      </c>
      <c r="AQ1929" s="547" t="str">
        <f t="shared" si="434"/>
        <v>无定金+无預留客戶</v>
      </c>
      <c r="AR1929" s="259" t="str">
        <f t="shared" si="428"/>
        <v/>
      </c>
      <c r="AS1929" s="259" t="str">
        <f t="shared" si="429"/>
        <v/>
      </c>
      <c r="AT1929" s="259" t="b">
        <f t="shared" si="431"/>
        <v>0</v>
      </c>
      <c r="AU1929" s="259" t="b">
        <f t="shared" si="432"/>
        <v>0</v>
      </c>
      <c r="AV1929" s="259" t="str">
        <f t="shared" si="433"/>
        <v>-</v>
      </c>
    </row>
    <row r="1930" spans="41:48">
      <c r="AO1930" s="829" t="str">
        <f t="shared" si="430"/>
        <v>No</v>
      </c>
      <c r="AP1930" s="259" t="str">
        <f t="shared" si="435"/>
        <v>blank</v>
      </c>
      <c r="AQ1930" s="547" t="str">
        <f t="shared" si="434"/>
        <v>无定金+无預留客戶</v>
      </c>
      <c r="AR1930" s="259" t="str">
        <f t="shared" si="428"/>
        <v/>
      </c>
      <c r="AS1930" s="259" t="str">
        <f t="shared" si="429"/>
        <v/>
      </c>
      <c r="AT1930" s="259" t="b">
        <f t="shared" si="431"/>
        <v>0</v>
      </c>
      <c r="AU1930" s="259" t="b">
        <f t="shared" si="432"/>
        <v>0</v>
      </c>
      <c r="AV1930" s="259" t="str">
        <f t="shared" si="433"/>
        <v>-</v>
      </c>
    </row>
    <row r="1931" spans="41:48">
      <c r="AO1931" s="829" t="str">
        <f t="shared" si="430"/>
        <v>No</v>
      </c>
      <c r="AP1931" s="259" t="str">
        <f t="shared" si="435"/>
        <v>blank</v>
      </c>
      <c r="AQ1931" s="547" t="str">
        <f t="shared" si="434"/>
        <v>无定金+无預留客戶</v>
      </c>
      <c r="AR1931" s="259" t="str">
        <f t="shared" si="428"/>
        <v/>
      </c>
      <c r="AS1931" s="259" t="str">
        <f t="shared" si="429"/>
        <v/>
      </c>
      <c r="AT1931" s="259" t="b">
        <f t="shared" si="431"/>
        <v>0</v>
      </c>
      <c r="AU1931" s="259" t="b">
        <f t="shared" si="432"/>
        <v>0</v>
      </c>
      <c r="AV1931" s="259" t="str">
        <f t="shared" si="433"/>
        <v>-</v>
      </c>
    </row>
    <row r="1932" spans="41:48">
      <c r="AO1932" s="829" t="str">
        <f t="shared" si="430"/>
        <v>No</v>
      </c>
      <c r="AP1932" s="259" t="str">
        <f t="shared" si="435"/>
        <v>blank</v>
      </c>
      <c r="AQ1932" s="547" t="str">
        <f t="shared" si="434"/>
        <v>无定金+无預留客戶</v>
      </c>
      <c r="AR1932" s="259" t="str">
        <f t="shared" si="428"/>
        <v/>
      </c>
      <c r="AS1932" s="259" t="str">
        <f t="shared" si="429"/>
        <v/>
      </c>
      <c r="AT1932" s="259" t="b">
        <f t="shared" si="431"/>
        <v>0</v>
      </c>
      <c r="AU1932" s="259" t="b">
        <f t="shared" si="432"/>
        <v>0</v>
      </c>
      <c r="AV1932" s="259" t="str">
        <f t="shared" si="433"/>
        <v>-</v>
      </c>
    </row>
    <row r="1933" spans="41:48">
      <c r="AO1933" s="829" t="str">
        <f t="shared" si="430"/>
        <v>No</v>
      </c>
      <c r="AP1933" s="259" t="str">
        <f t="shared" si="435"/>
        <v>blank</v>
      </c>
      <c r="AQ1933" s="547" t="str">
        <f t="shared" si="434"/>
        <v>无定金+无預留客戶</v>
      </c>
      <c r="AR1933" s="259" t="str">
        <f t="shared" si="428"/>
        <v/>
      </c>
      <c r="AS1933" s="259" t="str">
        <f t="shared" si="429"/>
        <v/>
      </c>
      <c r="AT1933" s="259" t="b">
        <f t="shared" si="431"/>
        <v>0</v>
      </c>
      <c r="AU1933" s="259" t="b">
        <f t="shared" si="432"/>
        <v>0</v>
      </c>
      <c r="AV1933" s="259" t="str">
        <f t="shared" si="433"/>
        <v>-</v>
      </c>
    </row>
    <row r="1934" spans="41:48">
      <c r="AO1934" s="829" t="str">
        <f t="shared" si="430"/>
        <v>No</v>
      </c>
      <c r="AP1934" s="259" t="str">
        <f t="shared" si="435"/>
        <v>blank</v>
      </c>
      <c r="AQ1934" s="547" t="str">
        <f t="shared" si="434"/>
        <v>无定金+无預留客戶</v>
      </c>
      <c r="AR1934" s="259" t="str">
        <f t="shared" si="428"/>
        <v/>
      </c>
      <c r="AS1934" s="259" t="str">
        <f t="shared" si="429"/>
        <v/>
      </c>
      <c r="AT1934" s="259" t="b">
        <f t="shared" si="431"/>
        <v>0</v>
      </c>
      <c r="AU1934" s="259" t="b">
        <f t="shared" si="432"/>
        <v>0</v>
      </c>
      <c r="AV1934" s="259" t="str">
        <f t="shared" si="433"/>
        <v>-</v>
      </c>
    </row>
    <row r="1935" spans="41:48">
      <c r="AO1935" s="829" t="str">
        <f t="shared" si="430"/>
        <v>No</v>
      </c>
      <c r="AP1935" s="259" t="str">
        <f t="shared" si="435"/>
        <v>blank</v>
      </c>
      <c r="AQ1935" s="547" t="str">
        <f t="shared" si="434"/>
        <v>无定金+无預留客戶</v>
      </c>
      <c r="AR1935" s="259" t="str">
        <f t="shared" si="428"/>
        <v/>
      </c>
      <c r="AS1935" s="259" t="str">
        <f t="shared" si="429"/>
        <v/>
      </c>
      <c r="AT1935" s="259" t="b">
        <f t="shared" si="431"/>
        <v>0</v>
      </c>
      <c r="AU1935" s="259" t="b">
        <f t="shared" si="432"/>
        <v>0</v>
      </c>
      <c r="AV1935" s="259" t="str">
        <f t="shared" si="433"/>
        <v>-</v>
      </c>
    </row>
    <row r="1936" spans="41:48">
      <c r="AO1936" s="829" t="str">
        <f t="shared" si="430"/>
        <v>No</v>
      </c>
      <c r="AP1936" s="259" t="str">
        <f t="shared" si="435"/>
        <v>blank</v>
      </c>
      <c r="AQ1936" s="547" t="str">
        <f t="shared" si="434"/>
        <v>无定金+无預留客戶</v>
      </c>
      <c r="AR1936" s="259" t="str">
        <f t="shared" si="428"/>
        <v/>
      </c>
      <c r="AS1936" s="259" t="str">
        <f t="shared" si="429"/>
        <v/>
      </c>
      <c r="AT1936" s="259" t="b">
        <f t="shared" si="431"/>
        <v>0</v>
      </c>
      <c r="AU1936" s="259" t="b">
        <f t="shared" si="432"/>
        <v>0</v>
      </c>
      <c r="AV1936" s="259" t="str">
        <f t="shared" si="433"/>
        <v>-</v>
      </c>
    </row>
    <row r="1937" spans="41:48">
      <c r="AO1937" s="829" t="str">
        <f t="shared" si="430"/>
        <v>No</v>
      </c>
      <c r="AP1937" s="259" t="str">
        <f t="shared" si="435"/>
        <v>blank</v>
      </c>
      <c r="AQ1937" s="547" t="str">
        <f t="shared" si="434"/>
        <v>无定金+无預留客戶</v>
      </c>
      <c r="AR1937" s="259" t="str">
        <f t="shared" si="428"/>
        <v/>
      </c>
      <c r="AS1937" s="259" t="str">
        <f t="shared" si="429"/>
        <v/>
      </c>
      <c r="AT1937" s="259" t="b">
        <f t="shared" si="431"/>
        <v>0</v>
      </c>
      <c r="AU1937" s="259" t="b">
        <f t="shared" si="432"/>
        <v>0</v>
      </c>
      <c r="AV1937" s="259" t="str">
        <f t="shared" si="433"/>
        <v>-</v>
      </c>
    </row>
    <row r="1938" spans="41:48">
      <c r="AO1938" s="829" t="str">
        <f t="shared" si="430"/>
        <v>No</v>
      </c>
      <c r="AP1938" s="259" t="str">
        <f t="shared" si="435"/>
        <v>blank</v>
      </c>
      <c r="AQ1938" s="547" t="str">
        <f t="shared" si="434"/>
        <v>无定金+无預留客戶</v>
      </c>
      <c r="AR1938" s="259" t="str">
        <f t="shared" si="428"/>
        <v/>
      </c>
      <c r="AS1938" s="259" t="str">
        <f t="shared" si="429"/>
        <v/>
      </c>
      <c r="AT1938" s="259" t="b">
        <f t="shared" si="431"/>
        <v>0</v>
      </c>
      <c r="AU1938" s="259" t="b">
        <f t="shared" si="432"/>
        <v>0</v>
      </c>
      <c r="AV1938" s="259" t="str">
        <f t="shared" si="433"/>
        <v>-</v>
      </c>
    </row>
    <row r="1939" spans="41:48">
      <c r="AO1939" s="829" t="str">
        <f t="shared" si="430"/>
        <v>No</v>
      </c>
      <c r="AP1939" s="259" t="str">
        <f t="shared" si="435"/>
        <v>blank</v>
      </c>
      <c r="AQ1939" s="547" t="str">
        <f t="shared" si="434"/>
        <v>无定金+无預留客戶</v>
      </c>
      <c r="AR1939" s="259" t="str">
        <f t="shared" si="428"/>
        <v/>
      </c>
      <c r="AS1939" s="259" t="str">
        <f t="shared" si="429"/>
        <v/>
      </c>
      <c r="AT1939" s="259" t="b">
        <f t="shared" si="431"/>
        <v>0</v>
      </c>
      <c r="AU1939" s="259" t="b">
        <f t="shared" si="432"/>
        <v>0</v>
      </c>
      <c r="AV1939" s="259" t="str">
        <f t="shared" si="433"/>
        <v>-</v>
      </c>
    </row>
    <row r="1940" spans="41:48">
      <c r="AO1940" s="829" t="str">
        <f t="shared" si="430"/>
        <v>No</v>
      </c>
      <c r="AP1940" s="259" t="str">
        <f t="shared" si="435"/>
        <v>blank</v>
      </c>
      <c r="AQ1940" s="547" t="str">
        <f t="shared" si="434"/>
        <v>无定金+无預留客戶</v>
      </c>
      <c r="AR1940" s="259" t="str">
        <f t="shared" si="428"/>
        <v/>
      </c>
      <c r="AS1940" s="259" t="str">
        <f t="shared" si="429"/>
        <v/>
      </c>
      <c r="AT1940" s="259" t="b">
        <f t="shared" si="431"/>
        <v>0</v>
      </c>
      <c r="AU1940" s="259" t="b">
        <f t="shared" si="432"/>
        <v>0</v>
      </c>
      <c r="AV1940" s="259" t="str">
        <f t="shared" si="433"/>
        <v>-</v>
      </c>
    </row>
    <row r="1941" spans="41:48">
      <c r="AO1941" s="829" t="str">
        <f t="shared" si="430"/>
        <v>No</v>
      </c>
      <c r="AP1941" s="259" t="str">
        <f t="shared" si="435"/>
        <v>blank</v>
      </c>
      <c r="AQ1941" s="547" t="str">
        <f t="shared" si="434"/>
        <v>无定金+无預留客戶</v>
      </c>
      <c r="AR1941" s="259" t="str">
        <f t="shared" si="428"/>
        <v/>
      </c>
      <c r="AS1941" s="259" t="str">
        <f t="shared" si="429"/>
        <v/>
      </c>
      <c r="AT1941" s="259" t="b">
        <f t="shared" si="431"/>
        <v>0</v>
      </c>
      <c r="AU1941" s="259" t="b">
        <f t="shared" si="432"/>
        <v>0</v>
      </c>
      <c r="AV1941" s="259" t="str">
        <f t="shared" si="433"/>
        <v>-</v>
      </c>
    </row>
    <row r="1942" spans="41:48">
      <c r="AO1942" s="829" t="str">
        <f t="shared" si="430"/>
        <v>No</v>
      </c>
      <c r="AP1942" s="259" t="str">
        <f t="shared" si="435"/>
        <v>blank</v>
      </c>
      <c r="AQ1942" s="547" t="str">
        <f t="shared" si="434"/>
        <v>无定金+无預留客戶</v>
      </c>
      <c r="AR1942" s="259" t="str">
        <f t="shared" si="428"/>
        <v/>
      </c>
      <c r="AS1942" s="259" t="str">
        <f t="shared" si="429"/>
        <v/>
      </c>
      <c r="AT1942" s="259" t="b">
        <f t="shared" si="431"/>
        <v>0</v>
      </c>
      <c r="AU1942" s="259" t="b">
        <f t="shared" si="432"/>
        <v>0</v>
      </c>
      <c r="AV1942" s="259" t="str">
        <f t="shared" si="433"/>
        <v>-</v>
      </c>
    </row>
    <row r="1943" spans="41:48">
      <c r="AO1943" s="829" t="str">
        <f t="shared" si="430"/>
        <v>No</v>
      </c>
      <c r="AP1943" s="259" t="str">
        <f t="shared" si="435"/>
        <v>blank</v>
      </c>
      <c r="AQ1943" s="547" t="str">
        <f t="shared" si="434"/>
        <v>无定金+无預留客戶</v>
      </c>
      <c r="AR1943" s="259" t="str">
        <f t="shared" si="428"/>
        <v/>
      </c>
      <c r="AS1943" s="259" t="str">
        <f t="shared" si="429"/>
        <v/>
      </c>
      <c r="AT1943" s="259" t="b">
        <f t="shared" si="431"/>
        <v>0</v>
      </c>
      <c r="AU1943" s="259" t="b">
        <f t="shared" si="432"/>
        <v>0</v>
      </c>
      <c r="AV1943" s="259" t="str">
        <f t="shared" si="433"/>
        <v>-</v>
      </c>
    </row>
    <row r="1944" spans="41:48">
      <c r="AO1944" s="829" t="str">
        <f t="shared" si="430"/>
        <v>No</v>
      </c>
      <c r="AP1944" s="259" t="str">
        <f t="shared" si="435"/>
        <v>blank</v>
      </c>
      <c r="AQ1944" s="547" t="str">
        <f t="shared" si="434"/>
        <v>无定金+无預留客戶</v>
      </c>
      <c r="AR1944" s="259" t="str">
        <f t="shared" si="428"/>
        <v/>
      </c>
      <c r="AS1944" s="259" t="str">
        <f t="shared" si="429"/>
        <v/>
      </c>
      <c r="AT1944" s="259" t="b">
        <f t="shared" si="431"/>
        <v>0</v>
      </c>
      <c r="AU1944" s="259" t="b">
        <f t="shared" si="432"/>
        <v>0</v>
      </c>
      <c r="AV1944" s="259" t="str">
        <f t="shared" si="433"/>
        <v>-</v>
      </c>
    </row>
    <row r="1945" spans="41:48">
      <c r="AO1945" s="829" t="str">
        <f t="shared" si="430"/>
        <v>No</v>
      </c>
      <c r="AP1945" s="259" t="str">
        <f t="shared" si="435"/>
        <v>blank</v>
      </c>
      <c r="AQ1945" s="547" t="str">
        <f t="shared" si="434"/>
        <v>无定金+无預留客戶</v>
      </c>
      <c r="AR1945" s="259" t="str">
        <f t="shared" si="428"/>
        <v/>
      </c>
      <c r="AS1945" s="259" t="str">
        <f t="shared" si="429"/>
        <v/>
      </c>
      <c r="AT1945" s="259" t="b">
        <f t="shared" si="431"/>
        <v>0</v>
      </c>
      <c r="AU1945" s="259" t="b">
        <f t="shared" si="432"/>
        <v>0</v>
      </c>
      <c r="AV1945" s="259" t="str">
        <f t="shared" si="433"/>
        <v>-</v>
      </c>
    </row>
    <row r="1946" spans="41:48">
      <c r="AO1946" s="829" t="str">
        <f t="shared" si="430"/>
        <v>No</v>
      </c>
      <c r="AP1946" s="259" t="str">
        <f t="shared" si="435"/>
        <v>blank</v>
      </c>
      <c r="AQ1946" s="547" t="str">
        <f t="shared" si="434"/>
        <v>无定金+无預留客戶</v>
      </c>
      <c r="AR1946" s="259" t="str">
        <f t="shared" si="428"/>
        <v/>
      </c>
      <c r="AS1946" s="259" t="str">
        <f t="shared" si="429"/>
        <v/>
      </c>
      <c r="AT1946" s="259" t="b">
        <f t="shared" si="431"/>
        <v>0</v>
      </c>
      <c r="AU1946" s="259" t="b">
        <f t="shared" si="432"/>
        <v>0</v>
      </c>
      <c r="AV1946" s="259" t="str">
        <f t="shared" si="433"/>
        <v>-</v>
      </c>
    </row>
    <row r="1947" spans="41:48">
      <c r="AO1947" s="829" t="str">
        <f t="shared" si="430"/>
        <v>No</v>
      </c>
      <c r="AP1947" s="259" t="str">
        <f t="shared" si="435"/>
        <v>blank</v>
      </c>
      <c r="AQ1947" s="547" t="str">
        <f t="shared" si="434"/>
        <v>无定金+无預留客戶</v>
      </c>
      <c r="AR1947" s="259" t="str">
        <f t="shared" si="428"/>
        <v/>
      </c>
      <c r="AS1947" s="259" t="str">
        <f t="shared" si="429"/>
        <v/>
      </c>
      <c r="AT1947" s="259" t="b">
        <f t="shared" si="431"/>
        <v>0</v>
      </c>
      <c r="AU1947" s="259" t="b">
        <f t="shared" si="432"/>
        <v>0</v>
      </c>
      <c r="AV1947" s="259" t="str">
        <f t="shared" si="433"/>
        <v>-</v>
      </c>
    </row>
    <row r="1948" spans="41:48">
      <c r="AO1948" s="829" t="str">
        <f t="shared" si="430"/>
        <v>No</v>
      </c>
      <c r="AP1948" s="259" t="str">
        <f t="shared" si="435"/>
        <v>blank</v>
      </c>
      <c r="AQ1948" s="547" t="str">
        <f t="shared" si="434"/>
        <v>无定金+无預留客戶</v>
      </c>
      <c r="AR1948" s="259" t="str">
        <f t="shared" si="428"/>
        <v/>
      </c>
      <c r="AS1948" s="259" t="str">
        <f t="shared" si="429"/>
        <v/>
      </c>
      <c r="AT1948" s="259" t="b">
        <f t="shared" si="431"/>
        <v>0</v>
      </c>
      <c r="AU1948" s="259" t="b">
        <f t="shared" si="432"/>
        <v>0</v>
      </c>
      <c r="AV1948" s="259" t="str">
        <f t="shared" si="433"/>
        <v>-</v>
      </c>
    </row>
    <row r="1949" spans="41:48">
      <c r="AO1949" s="829" t="str">
        <f t="shared" si="430"/>
        <v>No</v>
      </c>
      <c r="AP1949" s="259" t="str">
        <f t="shared" si="435"/>
        <v>blank</v>
      </c>
      <c r="AQ1949" s="547" t="str">
        <f t="shared" si="434"/>
        <v>无定金+无預留客戶</v>
      </c>
      <c r="AR1949" s="259" t="str">
        <f t="shared" si="428"/>
        <v/>
      </c>
      <c r="AS1949" s="259" t="str">
        <f t="shared" si="429"/>
        <v/>
      </c>
      <c r="AT1949" s="259" t="b">
        <f t="shared" si="431"/>
        <v>0</v>
      </c>
      <c r="AU1949" s="259" t="b">
        <f t="shared" si="432"/>
        <v>0</v>
      </c>
      <c r="AV1949" s="259" t="str">
        <f t="shared" si="433"/>
        <v>-</v>
      </c>
    </row>
    <row r="1950" spans="41:48">
      <c r="AO1950" s="829" t="str">
        <f t="shared" si="430"/>
        <v>No</v>
      </c>
      <c r="AP1950" s="259" t="str">
        <f t="shared" si="435"/>
        <v>blank</v>
      </c>
      <c r="AQ1950" s="547" t="str">
        <f t="shared" si="434"/>
        <v>无定金+无預留客戶</v>
      </c>
      <c r="AR1950" s="259" t="str">
        <f t="shared" si="428"/>
        <v/>
      </c>
      <c r="AS1950" s="259" t="str">
        <f t="shared" si="429"/>
        <v/>
      </c>
      <c r="AT1950" s="259" t="b">
        <f t="shared" si="431"/>
        <v>0</v>
      </c>
      <c r="AU1950" s="259" t="b">
        <f t="shared" si="432"/>
        <v>0</v>
      </c>
      <c r="AV1950" s="259" t="str">
        <f t="shared" si="433"/>
        <v>-</v>
      </c>
    </row>
    <row r="1951" spans="41:48">
      <c r="AO1951" s="829" t="str">
        <f t="shared" si="430"/>
        <v>No</v>
      </c>
      <c r="AP1951" s="259" t="str">
        <f t="shared" si="435"/>
        <v>blank</v>
      </c>
      <c r="AQ1951" s="547" t="str">
        <f t="shared" si="434"/>
        <v>无定金+无預留客戶</v>
      </c>
      <c r="AR1951" s="259" t="str">
        <f t="shared" si="428"/>
        <v/>
      </c>
      <c r="AS1951" s="259" t="str">
        <f t="shared" si="429"/>
        <v/>
      </c>
      <c r="AT1951" s="259" t="b">
        <f t="shared" si="431"/>
        <v>0</v>
      </c>
      <c r="AU1951" s="259" t="b">
        <f t="shared" si="432"/>
        <v>0</v>
      </c>
      <c r="AV1951" s="259" t="str">
        <f t="shared" si="433"/>
        <v>-</v>
      </c>
    </row>
    <row r="1952" spans="41:48">
      <c r="AO1952" s="829" t="str">
        <f t="shared" si="430"/>
        <v>No</v>
      </c>
      <c r="AP1952" s="259" t="str">
        <f t="shared" si="435"/>
        <v>blank</v>
      </c>
      <c r="AQ1952" s="547" t="str">
        <f t="shared" si="434"/>
        <v>无定金+无預留客戶</v>
      </c>
      <c r="AR1952" s="259" t="str">
        <f t="shared" si="428"/>
        <v/>
      </c>
      <c r="AS1952" s="259" t="str">
        <f t="shared" si="429"/>
        <v/>
      </c>
      <c r="AT1952" s="259" t="b">
        <f t="shared" si="431"/>
        <v>0</v>
      </c>
      <c r="AU1952" s="259" t="b">
        <f t="shared" si="432"/>
        <v>0</v>
      </c>
      <c r="AV1952" s="259" t="str">
        <f t="shared" si="433"/>
        <v>-</v>
      </c>
    </row>
    <row r="1953" spans="41:48">
      <c r="AO1953" s="829" t="str">
        <f t="shared" si="430"/>
        <v>No</v>
      </c>
      <c r="AP1953" s="259" t="str">
        <f t="shared" si="435"/>
        <v>blank</v>
      </c>
      <c r="AQ1953" s="547" t="str">
        <f t="shared" si="434"/>
        <v>无定金+无預留客戶</v>
      </c>
      <c r="AR1953" s="259" t="str">
        <f t="shared" si="428"/>
        <v/>
      </c>
      <c r="AS1953" s="259" t="str">
        <f t="shared" si="429"/>
        <v/>
      </c>
      <c r="AT1953" s="259" t="b">
        <f t="shared" si="431"/>
        <v>0</v>
      </c>
      <c r="AU1953" s="259" t="b">
        <f t="shared" si="432"/>
        <v>0</v>
      </c>
      <c r="AV1953" s="259" t="str">
        <f t="shared" si="433"/>
        <v>-</v>
      </c>
    </row>
    <row r="1954" spans="41:48">
      <c r="AO1954" s="829" t="str">
        <f t="shared" si="430"/>
        <v>No</v>
      </c>
      <c r="AP1954" s="259" t="str">
        <f t="shared" si="435"/>
        <v>blank</v>
      </c>
      <c r="AQ1954" s="547" t="str">
        <f t="shared" si="434"/>
        <v>无定金+无預留客戶</v>
      </c>
      <c r="AR1954" s="259" t="str">
        <f t="shared" si="428"/>
        <v/>
      </c>
      <c r="AS1954" s="259" t="str">
        <f t="shared" si="429"/>
        <v/>
      </c>
      <c r="AT1954" s="259" t="b">
        <f t="shared" si="431"/>
        <v>0</v>
      </c>
      <c r="AU1954" s="259" t="b">
        <f t="shared" si="432"/>
        <v>0</v>
      </c>
      <c r="AV1954" s="259" t="str">
        <f t="shared" si="433"/>
        <v>-</v>
      </c>
    </row>
    <row r="1955" spans="41:48">
      <c r="AO1955" s="829" t="str">
        <f t="shared" si="430"/>
        <v>No</v>
      </c>
      <c r="AP1955" s="259" t="str">
        <f t="shared" si="435"/>
        <v>blank</v>
      </c>
      <c r="AQ1955" s="547" t="str">
        <f t="shared" si="434"/>
        <v>无定金+无預留客戶</v>
      </c>
      <c r="AR1955" s="259" t="str">
        <f t="shared" si="428"/>
        <v/>
      </c>
      <c r="AS1955" s="259" t="str">
        <f t="shared" si="429"/>
        <v/>
      </c>
      <c r="AT1955" s="259" t="b">
        <f t="shared" si="431"/>
        <v>0</v>
      </c>
      <c r="AU1955" s="259" t="b">
        <f t="shared" si="432"/>
        <v>0</v>
      </c>
      <c r="AV1955" s="259" t="str">
        <f t="shared" si="433"/>
        <v>-</v>
      </c>
    </row>
    <row r="1956" spans="41:48">
      <c r="AO1956" s="829" t="str">
        <f t="shared" si="430"/>
        <v>No</v>
      </c>
      <c r="AP1956" s="259" t="str">
        <f t="shared" si="435"/>
        <v>blank</v>
      </c>
      <c r="AQ1956" s="547" t="str">
        <f t="shared" si="434"/>
        <v>无定金+无預留客戶</v>
      </c>
      <c r="AR1956" s="259" t="str">
        <f t="shared" si="428"/>
        <v/>
      </c>
      <c r="AS1956" s="259" t="str">
        <f t="shared" si="429"/>
        <v/>
      </c>
      <c r="AT1956" s="259" t="b">
        <f t="shared" si="431"/>
        <v>0</v>
      </c>
      <c r="AU1956" s="259" t="b">
        <f t="shared" si="432"/>
        <v>0</v>
      </c>
      <c r="AV1956" s="259" t="str">
        <f t="shared" si="433"/>
        <v>-</v>
      </c>
    </row>
    <row r="1957" spans="41:48">
      <c r="AO1957" s="829" t="str">
        <f t="shared" si="430"/>
        <v>No</v>
      </c>
      <c r="AP1957" s="259" t="str">
        <f t="shared" si="435"/>
        <v>blank</v>
      </c>
      <c r="AQ1957" s="547" t="str">
        <f t="shared" si="434"/>
        <v>无定金+无預留客戶</v>
      </c>
      <c r="AR1957" s="259" t="str">
        <f t="shared" si="428"/>
        <v/>
      </c>
      <c r="AS1957" s="259" t="str">
        <f t="shared" si="429"/>
        <v/>
      </c>
      <c r="AT1957" s="259" t="b">
        <f t="shared" si="431"/>
        <v>0</v>
      </c>
      <c r="AU1957" s="259" t="b">
        <f t="shared" si="432"/>
        <v>0</v>
      </c>
      <c r="AV1957" s="259" t="str">
        <f t="shared" si="433"/>
        <v>-</v>
      </c>
    </row>
    <row r="1958" spans="41:48">
      <c r="AO1958" s="829" t="str">
        <f t="shared" si="430"/>
        <v>No</v>
      </c>
      <c r="AP1958" s="259" t="str">
        <f t="shared" si="435"/>
        <v>blank</v>
      </c>
      <c r="AQ1958" s="547" t="str">
        <f t="shared" si="434"/>
        <v>无定金+无預留客戶</v>
      </c>
      <c r="AR1958" s="259" t="str">
        <f t="shared" si="428"/>
        <v/>
      </c>
      <c r="AS1958" s="259" t="str">
        <f t="shared" si="429"/>
        <v/>
      </c>
      <c r="AT1958" s="259" t="b">
        <f t="shared" si="431"/>
        <v>0</v>
      </c>
      <c r="AU1958" s="259" t="b">
        <f t="shared" si="432"/>
        <v>0</v>
      </c>
      <c r="AV1958" s="259" t="str">
        <f t="shared" si="433"/>
        <v>-</v>
      </c>
    </row>
    <row r="1959" spans="41:48">
      <c r="AO1959" s="829" t="str">
        <f t="shared" si="430"/>
        <v>No</v>
      </c>
      <c r="AP1959" s="259" t="str">
        <f t="shared" si="435"/>
        <v>blank</v>
      </c>
      <c r="AQ1959" s="547" t="str">
        <f t="shared" si="434"/>
        <v>无定金+无預留客戶</v>
      </c>
      <c r="AR1959" s="259" t="str">
        <f t="shared" si="428"/>
        <v/>
      </c>
      <c r="AS1959" s="259" t="str">
        <f t="shared" si="429"/>
        <v/>
      </c>
      <c r="AT1959" s="259" t="b">
        <f t="shared" si="431"/>
        <v>0</v>
      </c>
      <c r="AU1959" s="259" t="b">
        <f t="shared" si="432"/>
        <v>0</v>
      </c>
      <c r="AV1959" s="259" t="str">
        <f t="shared" si="433"/>
        <v>-</v>
      </c>
    </row>
    <row r="1960" spans="41:48">
      <c r="AO1960" s="829" t="str">
        <f t="shared" si="430"/>
        <v>No</v>
      </c>
      <c r="AP1960" s="259" t="str">
        <f t="shared" si="435"/>
        <v>blank</v>
      </c>
      <c r="AQ1960" s="547" t="str">
        <f t="shared" si="434"/>
        <v>无定金+无預留客戶</v>
      </c>
      <c r="AR1960" s="259" t="str">
        <f t="shared" si="428"/>
        <v/>
      </c>
      <c r="AS1960" s="259" t="str">
        <f t="shared" si="429"/>
        <v/>
      </c>
      <c r="AT1960" s="259" t="b">
        <f t="shared" si="431"/>
        <v>0</v>
      </c>
      <c r="AU1960" s="259" t="b">
        <f t="shared" si="432"/>
        <v>0</v>
      </c>
      <c r="AV1960" s="259" t="str">
        <f t="shared" si="433"/>
        <v>-</v>
      </c>
    </row>
    <row r="1961" spans="41:48">
      <c r="AO1961" s="829" t="str">
        <f t="shared" si="430"/>
        <v>No</v>
      </c>
      <c r="AP1961" s="259" t="str">
        <f t="shared" si="435"/>
        <v>blank</v>
      </c>
      <c r="AQ1961" s="547" t="str">
        <f t="shared" si="434"/>
        <v>无定金+无預留客戶</v>
      </c>
      <c r="AR1961" s="259" t="str">
        <f t="shared" si="428"/>
        <v/>
      </c>
      <c r="AS1961" s="259" t="str">
        <f t="shared" si="429"/>
        <v/>
      </c>
      <c r="AT1961" s="259" t="b">
        <f t="shared" si="431"/>
        <v>0</v>
      </c>
      <c r="AU1961" s="259" t="b">
        <f t="shared" si="432"/>
        <v>0</v>
      </c>
      <c r="AV1961" s="259" t="str">
        <f t="shared" si="433"/>
        <v>-</v>
      </c>
    </row>
    <row r="1962" spans="41:48">
      <c r="AO1962" s="829" t="str">
        <f t="shared" si="430"/>
        <v>No</v>
      </c>
      <c r="AP1962" s="259" t="str">
        <f t="shared" si="435"/>
        <v>blank</v>
      </c>
      <c r="AQ1962" s="547" t="str">
        <f t="shared" si="434"/>
        <v>无定金+无預留客戶</v>
      </c>
      <c r="AR1962" s="259" t="str">
        <f t="shared" si="428"/>
        <v/>
      </c>
      <c r="AS1962" s="259" t="str">
        <f t="shared" si="429"/>
        <v/>
      </c>
      <c r="AT1962" s="259" t="b">
        <f t="shared" si="431"/>
        <v>0</v>
      </c>
      <c r="AU1962" s="259" t="b">
        <f t="shared" si="432"/>
        <v>0</v>
      </c>
      <c r="AV1962" s="259" t="str">
        <f t="shared" si="433"/>
        <v>-</v>
      </c>
    </row>
    <row r="1963" spans="41:48">
      <c r="AO1963" s="829" t="str">
        <f t="shared" si="430"/>
        <v>No</v>
      </c>
      <c r="AP1963" s="259" t="str">
        <f t="shared" si="435"/>
        <v>blank</v>
      </c>
      <c r="AQ1963" s="547" t="str">
        <f t="shared" si="434"/>
        <v>无定金+无預留客戶</v>
      </c>
      <c r="AR1963" s="259" t="str">
        <f t="shared" si="428"/>
        <v/>
      </c>
      <c r="AS1963" s="259" t="str">
        <f t="shared" si="429"/>
        <v/>
      </c>
      <c r="AT1963" s="259" t="b">
        <f t="shared" si="431"/>
        <v>0</v>
      </c>
      <c r="AU1963" s="259" t="b">
        <f t="shared" si="432"/>
        <v>0</v>
      </c>
      <c r="AV1963" s="259" t="str">
        <f t="shared" si="433"/>
        <v>-</v>
      </c>
    </row>
    <row r="1964" spans="41:48">
      <c r="AO1964" s="829" t="str">
        <f t="shared" si="430"/>
        <v>No</v>
      </c>
      <c r="AP1964" s="259" t="str">
        <f t="shared" si="435"/>
        <v>blank</v>
      </c>
      <c r="AQ1964" s="547" t="str">
        <f t="shared" si="434"/>
        <v>无定金+无預留客戶</v>
      </c>
      <c r="AR1964" s="259" t="str">
        <f t="shared" si="428"/>
        <v/>
      </c>
      <c r="AS1964" s="259" t="str">
        <f t="shared" si="429"/>
        <v/>
      </c>
      <c r="AT1964" s="259" t="b">
        <f t="shared" si="431"/>
        <v>0</v>
      </c>
      <c r="AU1964" s="259" t="b">
        <f t="shared" si="432"/>
        <v>0</v>
      </c>
      <c r="AV1964" s="259" t="str">
        <f t="shared" si="433"/>
        <v>-</v>
      </c>
    </row>
    <row r="1965" spans="41:48">
      <c r="AO1965" s="829" t="str">
        <f t="shared" si="430"/>
        <v>No</v>
      </c>
      <c r="AP1965" s="259" t="str">
        <f t="shared" si="435"/>
        <v>blank</v>
      </c>
      <c r="AQ1965" s="547" t="str">
        <f t="shared" si="434"/>
        <v>无定金+无預留客戶</v>
      </c>
      <c r="AR1965" s="259" t="str">
        <f t="shared" si="428"/>
        <v/>
      </c>
      <c r="AS1965" s="259" t="str">
        <f t="shared" si="429"/>
        <v/>
      </c>
      <c r="AT1965" s="259" t="b">
        <f t="shared" si="431"/>
        <v>0</v>
      </c>
      <c r="AU1965" s="259" t="b">
        <f t="shared" si="432"/>
        <v>0</v>
      </c>
      <c r="AV1965" s="259" t="str">
        <f t="shared" si="433"/>
        <v>-</v>
      </c>
    </row>
    <row r="1966" spans="41:48">
      <c r="AO1966" s="829" t="str">
        <f t="shared" si="430"/>
        <v>No</v>
      </c>
      <c r="AP1966" s="259" t="str">
        <f t="shared" si="435"/>
        <v>blank</v>
      </c>
      <c r="AQ1966" s="547" t="str">
        <f t="shared" si="434"/>
        <v>无定金+无預留客戶</v>
      </c>
      <c r="AR1966" s="259" t="str">
        <f t="shared" si="428"/>
        <v/>
      </c>
      <c r="AS1966" s="259" t="str">
        <f t="shared" si="429"/>
        <v/>
      </c>
      <c r="AT1966" s="259" t="b">
        <f t="shared" si="431"/>
        <v>0</v>
      </c>
      <c r="AU1966" s="259" t="b">
        <f t="shared" si="432"/>
        <v>0</v>
      </c>
      <c r="AV1966" s="259" t="str">
        <f t="shared" si="433"/>
        <v>-</v>
      </c>
    </row>
    <row r="1967" spans="41:48">
      <c r="AO1967" s="829" t="str">
        <f t="shared" si="430"/>
        <v>No</v>
      </c>
      <c r="AP1967" s="259" t="str">
        <f t="shared" si="435"/>
        <v>blank</v>
      </c>
      <c r="AQ1967" s="547" t="str">
        <f t="shared" si="434"/>
        <v>无定金+无預留客戶</v>
      </c>
      <c r="AR1967" s="259" t="str">
        <f t="shared" si="428"/>
        <v/>
      </c>
      <c r="AS1967" s="259" t="str">
        <f t="shared" si="429"/>
        <v/>
      </c>
      <c r="AT1967" s="259" t="b">
        <f t="shared" si="431"/>
        <v>0</v>
      </c>
      <c r="AU1967" s="259" t="b">
        <f t="shared" si="432"/>
        <v>0</v>
      </c>
      <c r="AV1967" s="259" t="str">
        <f t="shared" si="433"/>
        <v>-</v>
      </c>
    </row>
    <row r="1968" spans="41:48">
      <c r="AO1968" s="829" t="str">
        <f t="shared" si="430"/>
        <v>No</v>
      </c>
      <c r="AP1968" s="259" t="str">
        <f t="shared" si="435"/>
        <v>blank</v>
      </c>
      <c r="AQ1968" s="547" t="str">
        <f t="shared" si="434"/>
        <v>无定金+无預留客戶</v>
      </c>
      <c r="AR1968" s="259" t="str">
        <f t="shared" si="428"/>
        <v/>
      </c>
      <c r="AS1968" s="259" t="str">
        <f t="shared" si="429"/>
        <v/>
      </c>
      <c r="AT1968" s="259" t="b">
        <f t="shared" si="431"/>
        <v>0</v>
      </c>
      <c r="AU1968" s="259" t="b">
        <f t="shared" si="432"/>
        <v>0</v>
      </c>
      <c r="AV1968" s="259" t="str">
        <f t="shared" si="433"/>
        <v>-</v>
      </c>
    </row>
    <row r="1969" spans="41:48">
      <c r="AO1969" s="829" t="str">
        <f t="shared" si="430"/>
        <v>No</v>
      </c>
      <c r="AP1969" s="259" t="str">
        <f t="shared" si="435"/>
        <v>blank</v>
      </c>
      <c r="AQ1969" s="547" t="str">
        <f t="shared" si="434"/>
        <v>无定金+无預留客戶</v>
      </c>
      <c r="AR1969" s="259" t="str">
        <f t="shared" si="428"/>
        <v/>
      </c>
      <c r="AS1969" s="259" t="str">
        <f t="shared" si="429"/>
        <v/>
      </c>
      <c r="AT1969" s="259" t="b">
        <f t="shared" si="431"/>
        <v>0</v>
      </c>
      <c r="AU1969" s="259" t="b">
        <f t="shared" si="432"/>
        <v>0</v>
      </c>
      <c r="AV1969" s="259" t="str">
        <f t="shared" si="433"/>
        <v>-</v>
      </c>
    </row>
    <row r="1970" spans="41:48">
      <c r="AO1970" s="829" t="str">
        <f t="shared" si="430"/>
        <v>No</v>
      </c>
      <c r="AP1970" s="259" t="str">
        <f t="shared" si="435"/>
        <v>blank</v>
      </c>
      <c r="AQ1970" s="547" t="str">
        <f t="shared" si="434"/>
        <v>无定金+无預留客戶</v>
      </c>
      <c r="AR1970" s="259" t="str">
        <f t="shared" si="428"/>
        <v/>
      </c>
      <c r="AS1970" s="259" t="str">
        <f t="shared" si="429"/>
        <v/>
      </c>
      <c r="AT1970" s="259" t="b">
        <f t="shared" si="431"/>
        <v>0</v>
      </c>
      <c r="AU1970" s="259" t="b">
        <f t="shared" si="432"/>
        <v>0</v>
      </c>
      <c r="AV1970" s="259" t="str">
        <f t="shared" si="433"/>
        <v>-</v>
      </c>
    </row>
    <row r="1971" spans="41:48">
      <c r="AO1971" s="829" t="str">
        <f t="shared" si="430"/>
        <v>No</v>
      </c>
      <c r="AP1971" s="259" t="str">
        <f t="shared" si="435"/>
        <v>blank</v>
      </c>
      <c r="AQ1971" s="547" t="str">
        <f t="shared" si="434"/>
        <v>无定金+无預留客戶</v>
      </c>
      <c r="AR1971" s="259" t="str">
        <f t="shared" si="428"/>
        <v/>
      </c>
      <c r="AS1971" s="259" t="str">
        <f t="shared" si="429"/>
        <v/>
      </c>
      <c r="AT1971" s="259" t="b">
        <f t="shared" si="431"/>
        <v>0</v>
      </c>
      <c r="AU1971" s="259" t="b">
        <f t="shared" si="432"/>
        <v>0</v>
      </c>
      <c r="AV1971" s="259" t="str">
        <f t="shared" si="433"/>
        <v>-</v>
      </c>
    </row>
    <row r="1972" spans="41:48">
      <c r="AO1972" s="829" t="str">
        <f t="shared" si="430"/>
        <v>No</v>
      </c>
      <c r="AP1972" s="259" t="str">
        <f t="shared" si="435"/>
        <v>blank</v>
      </c>
      <c r="AQ1972" s="547" t="str">
        <f t="shared" si="434"/>
        <v>无定金+无預留客戶</v>
      </c>
      <c r="AR1972" s="259" t="str">
        <f t="shared" si="428"/>
        <v/>
      </c>
      <c r="AS1972" s="259" t="str">
        <f t="shared" si="429"/>
        <v/>
      </c>
      <c r="AT1972" s="259" t="b">
        <f t="shared" si="431"/>
        <v>0</v>
      </c>
      <c r="AU1972" s="259" t="b">
        <f t="shared" si="432"/>
        <v>0</v>
      </c>
      <c r="AV1972" s="259" t="str">
        <f t="shared" si="433"/>
        <v>-</v>
      </c>
    </row>
    <row r="1973" spans="41:48">
      <c r="AO1973" s="829" t="str">
        <f t="shared" si="430"/>
        <v>No</v>
      </c>
      <c r="AP1973" s="259" t="str">
        <f t="shared" si="435"/>
        <v>blank</v>
      </c>
      <c r="AQ1973" s="547" t="str">
        <f t="shared" si="434"/>
        <v>无定金+无預留客戶</v>
      </c>
      <c r="AR1973" s="259" t="str">
        <f t="shared" si="428"/>
        <v/>
      </c>
      <c r="AS1973" s="259" t="str">
        <f t="shared" si="429"/>
        <v/>
      </c>
      <c r="AT1973" s="259" t="b">
        <f t="shared" si="431"/>
        <v>0</v>
      </c>
      <c r="AU1973" s="259" t="b">
        <f t="shared" si="432"/>
        <v>0</v>
      </c>
      <c r="AV1973" s="259" t="str">
        <f t="shared" si="433"/>
        <v>-</v>
      </c>
    </row>
    <row r="1974" spans="41:48">
      <c r="AO1974" s="829" t="str">
        <f t="shared" si="430"/>
        <v>No</v>
      </c>
      <c r="AP1974" s="259" t="str">
        <f t="shared" si="435"/>
        <v>blank</v>
      </c>
      <c r="AQ1974" s="547" t="str">
        <f t="shared" si="434"/>
        <v>无定金+无預留客戶</v>
      </c>
      <c r="AR1974" s="259" t="str">
        <f t="shared" si="428"/>
        <v/>
      </c>
      <c r="AS1974" s="259" t="str">
        <f t="shared" si="429"/>
        <v/>
      </c>
      <c r="AT1974" s="259" t="b">
        <f t="shared" si="431"/>
        <v>0</v>
      </c>
      <c r="AU1974" s="259" t="b">
        <f t="shared" si="432"/>
        <v>0</v>
      </c>
      <c r="AV1974" s="259" t="str">
        <f t="shared" si="433"/>
        <v>-</v>
      </c>
    </row>
    <row r="1975" spans="41:48">
      <c r="AO1975" s="829" t="str">
        <f t="shared" si="430"/>
        <v>No</v>
      </c>
      <c r="AP1975" s="259" t="str">
        <f t="shared" si="435"/>
        <v>blank</v>
      </c>
      <c r="AQ1975" s="547" t="str">
        <f t="shared" si="434"/>
        <v>无定金+无預留客戶</v>
      </c>
      <c r="AR1975" s="259" t="str">
        <f t="shared" si="428"/>
        <v/>
      </c>
      <c r="AS1975" s="259" t="str">
        <f t="shared" si="429"/>
        <v/>
      </c>
      <c r="AT1975" s="259" t="b">
        <f t="shared" si="431"/>
        <v>0</v>
      </c>
      <c r="AU1975" s="259" t="b">
        <f t="shared" si="432"/>
        <v>0</v>
      </c>
      <c r="AV1975" s="259" t="str">
        <f t="shared" si="433"/>
        <v>-</v>
      </c>
    </row>
    <row r="1976" spans="41:48">
      <c r="AO1976" s="829" t="str">
        <f t="shared" si="430"/>
        <v>No</v>
      </c>
      <c r="AP1976" s="259" t="str">
        <f t="shared" si="435"/>
        <v>blank</v>
      </c>
      <c r="AQ1976" s="547" t="str">
        <f t="shared" si="434"/>
        <v>无定金+无預留客戶</v>
      </c>
      <c r="AR1976" s="259" t="str">
        <f t="shared" si="428"/>
        <v/>
      </c>
      <c r="AS1976" s="259" t="str">
        <f t="shared" si="429"/>
        <v/>
      </c>
      <c r="AT1976" s="259" t="b">
        <f t="shared" si="431"/>
        <v>0</v>
      </c>
      <c r="AU1976" s="259" t="b">
        <f t="shared" si="432"/>
        <v>0</v>
      </c>
      <c r="AV1976" s="259" t="str">
        <f t="shared" si="433"/>
        <v>-</v>
      </c>
    </row>
    <row r="1977" spans="41:48">
      <c r="AO1977" s="829" t="str">
        <f t="shared" si="430"/>
        <v>No</v>
      </c>
      <c r="AP1977" s="259" t="str">
        <f t="shared" si="435"/>
        <v>blank</v>
      </c>
      <c r="AQ1977" s="547" t="str">
        <f t="shared" si="434"/>
        <v>无定金+无預留客戶</v>
      </c>
      <c r="AR1977" s="259" t="str">
        <f t="shared" si="428"/>
        <v/>
      </c>
      <c r="AS1977" s="259" t="str">
        <f t="shared" si="429"/>
        <v/>
      </c>
      <c r="AT1977" s="259" t="b">
        <f t="shared" si="431"/>
        <v>0</v>
      </c>
      <c r="AU1977" s="259" t="b">
        <f t="shared" si="432"/>
        <v>0</v>
      </c>
      <c r="AV1977" s="259" t="str">
        <f t="shared" si="433"/>
        <v>-</v>
      </c>
    </row>
    <row r="1978" spans="41:48">
      <c r="AO1978" s="829" t="str">
        <f t="shared" si="430"/>
        <v>No</v>
      </c>
      <c r="AP1978" s="259" t="str">
        <f t="shared" si="435"/>
        <v>blank</v>
      </c>
      <c r="AQ1978" s="547" t="str">
        <f t="shared" si="434"/>
        <v>无定金+无預留客戶</v>
      </c>
      <c r="AR1978" s="259" t="str">
        <f t="shared" si="428"/>
        <v/>
      </c>
      <c r="AS1978" s="259" t="str">
        <f t="shared" si="429"/>
        <v/>
      </c>
      <c r="AT1978" s="259" t="b">
        <f t="shared" si="431"/>
        <v>0</v>
      </c>
      <c r="AU1978" s="259" t="b">
        <f t="shared" si="432"/>
        <v>0</v>
      </c>
      <c r="AV1978" s="259" t="str">
        <f t="shared" si="433"/>
        <v>-</v>
      </c>
    </row>
    <row r="1979" spans="41:48">
      <c r="AO1979" s="829" t="str">
        <f t="shared" si="430"/>
        <v>No</v>
      </c>
      <c r="AP1979" s="259" t="str">
        <f t="shared" si="435"/>
        <v>blank</v>
      </c>
      <c r="AQ1979" s="547" t="str">
        <f t="shared" si="434"/>
        <v>无定金+无預留客戶</v>
      </c>
      <c r="AR1979" s="259" t="str">
        <f t="shared" si="428"/>
        <v/>
      </c>
      <c r="AS1979" s="259" t="str">
        <f t="shared" si="429"/>
        <v/>
      </c>
      <c r="AT1979" s="259" t="b">
        <f t="shared" si="431"/>
        <v>0</v>
      </c>
      <c r="AU1979" s="259" t="b">
        <f t="shared" si="432"/>
        <v>0</v>
      </c>
      <c r="AV1979" s="259" t="str">
        <f t="shared" si="433"/>
        <v>-</v>
      </c>
    </row>
    <row r="1980" spans="41:48">
      <c r="AO1980" s="829" t="str">
        <f t="shared" si="430"/>
        <v>No</v>
      </c>
      <c r="AP1980" s="259" t="str">
        <f t="shared" si="435"/>
        <v>blank</v>
      </c>
      <c r="AQ1980" s="547" t="str">
        <f t="shared" si="434"/>
        <v>无定金+无預留客戶</v>
      </c>
      <c r="AR1980" s="259" t="str">
        <f t="shared" si="428"/>
        <v/>
      </c>
      <c r="AS1980" s="259" t="str">
        <f t="shared" si="429"/>
        <v/>
      </c>
      <c r="AT1980" s="259" t="b">
        <f t="shared" si="431"/>
        <v>0</v>
      </c>
      <c r="AU1980" s="259" t="b">
        <f t="shared" si="432"/>
        <v>0</v>
      </c>
      <c r="AV1980" s="259" t="str">
        <f t="shared" si="433"/>
        <v>-</v>
      </c>
    </row>
    <row r="1981" spans="41:48">
      <c r="AO1981" s="829" t="str">
        <f t="shared" si="430"/>
        <v>No</v>
      </c>
      <c r="AP1981" s="259" t="str">
        <f t="shared" si="435"/>
        <v>blank</v>
      </c>
      <c r="AQ1981" s="547" t="str">
        <f t="shared" si="434"/>
        <v>无定金+无預留客戶</v>
      </c>
      <c r="AR1981" s="259" t="str">
        <f t="shared" si="428"/>
        <v/>
      </c>
      <c r="AS1981" s="259" t="str">
        <f t="shared" si="429"/>
        <v/>
      </c>
      <c r="AT1981" s="259" t="b">
        <f t="shared" si="431"/>
        <v>0</v>
      </c>
      <c r="AU1981" s="259" t="b">
        <f t="shared" si="432"/>
        <v>0</v>
      </c>
      <c r="AV1981" s="259" t="str">
        <f t="shared" si="433"/>
        <v>-</v>
      </c>
    </row>
    <row r="1982" spans="41:48">
      <c r="AO1982" s="829" t="str">
        <f t="shared" si="430"/>
        <v>No</v>
      </c>
      <c r="AP1982" s="259" t="str">
        <f t="shared" si="435"/>
        <v>blank</v>
      </c>
      <c r="AQ1982" s="547" t="str">
        <f t="shared" si="434"/>
        <v>无定金+无預留客戶</v>
      </c>
      <c r="AR1982" s="259" t="str">
        <f t="shared" ref="AR1982:AR2045" si="436">IFERROR(IF(B1982="已经到货", "Instock", IF(B1982="有交期", "Incoming_Stock_With_YAMAHA_Schedule", IF(B1982="TBA.", "Incoming_Stock_No_YAMAHA_Schedule", IF(B1982="已发货", "Shipped_Stock", "")))), "")</f>
        <v/>
      </c>
      <c r="AS1982" s="259" t="str">
        <f t="shared" ref="AS1982:AS2045" si="437">IF(AND(B1982="有交期", L1982&lt;&gt;""), L1982, "")</f>
        <v/>
      </c>
      <c r="AT1982" s="259" t="b">
        <f t="shared" si="431"/>
        <v>0</v>
      </c>
      <c r="AU1982" s="259" t="b">
        <f t="shared" si="432"/>
        <v>0</v>
      </c>
      <c r="AV1982" s="259" t="str">
        <f t="shared" si="433"/>
        <v>-</v>
      </c>
    </row>
    <row r="1983" spans="41:48">
      <c r="AO1983" s="829" t="str">
        <f t="shared" si="430"/>
        <v>No</v>
      </c>
      <c r="AP1983" s="259" t="str">
        <f t="shared" si="435"/>
        <v>blank</v>
      </c>
      <c r="AQ1983" s="547" t="str">
        <f t="shared" si="434"/>
        <v>无定金+无預留客戶</v>
      </c>
      <c r="AR1983" s="259" t="str">
        <f t="shared" si="436"/>
        <v/>
      </c>
      <c r="AS1983" s="259" t="str">
        <f t="shared" si="437"/>
        <v/>
      </c>
      <c r="AT1983" s="259" t="b">
        <f t="shared" si="431"/>
        <v>0</v>
      </c>
      <c r="AU1983" s="259" t="b">
        <f t="shared" si="432"/>
        <v>0</v>
      </c>
      <c r="AV1983" s="259" t="str">
        <f t="shared" si="433"/>
        <v>-</v>
      </c>
    </row>
    <row r="1984" spans="41:48">
      <c r="AO1984" s="829" t="str">
        <f t="shared" si="430"/>
        <v>No</v>
      </c>
      <c r="AP1984" s="259" t="str">
        <f t="shared" si="435"/>
        <v>blank</v>
      </c>
      <c r="AQ1984" s="547" t="str">
        <f t="shared" si="434"/>
        <v>无定金+无預留客戶</v>
      </c>
      <c r="AR1984" s="259" t="str">
        <f t="shared" si="436"/>
        <v/>
      </c>
      <c r="AS1984" s="259" t="str">
        <f t="shared" si="437"/>
        <v/>
      </c>
      <c r="AT1984" s="259" t="b">
        <f t="shared" si="431"/>
        <v>0</v>
      </c>
      <c r="AU1984" s="259" t="b">
        <f t="shared" si="432"/>
        <v>0</v>
      </c>
      <c r="AV1984" s="259" t="str">
        <f t="shared" si="433"/>
        <v>-</v>
      </c>
    </row>
    <row r="1985" spans="41:48">
      <c r="AO1985" s="829" t="str">
        <f t="shared" si="430"/>
        <v>No</v>
      </c>
      <c r="AP1985" s="259" t="str">
        <f t="shared" si="435"/>
        <v>blank</v>
      </c>
      <c r="AQ1985" s="547" t="str">
        <f t="shared" si="434"/>
        <v>无定金+无預留客戶</v>
      </c>
      <c r="AR1985" s="259" t="str">
        <f t="shared" si="436"/>
        <v/>
      </c>
      <c r="AS1985" s="259" t="str">
        <f t="shared" si="437"/>
        <v/>
      </c>
      <c r="AT1985" s="259" t="b">
        <f t="shared" si="431"/>
        <v>0</v>
      </c>
      <c r="AU1985" s="259" t="b">
        <f t="shared" si="432"/>
        <v>0</v>
      </c>
      <c r="AV1985" s="259" t="str">
        <f t="shared" si="433"/>
        <v>-</v>
      </c>
    </row>
    <row r="1986" spans="41:48">
      <c r="AO1986" s="829" t="str">
        <f t="shared" ref="AO1986:AO2049" si="438">IFERROR(IF(Y1986&lt;&gt;"",Y1986,"No"),"No")</f>
        <v>No</v>
      </c>
      <c r="AP1986" s="259" t="str">
        <f t="shared" si="435"/>
        <v>blank</v>
      </c>
      <c r="AQ1986" s="547" t="str">
        <f t="shared" si="434"/>
        <v>无定金+无預留客戶</v>
      </c>
      <c r="AR1986" s="259" t="str">
        <f t="shared" si="436"/>
        <v/>
      </c>
      <c r="AS1986" s="259" t="str">
        <f t="shared" si="437"/>
        <v/>
      </c>
      <c r="AT1986" s="259" t="b">
        <f t="shared" ref="AT1986:AT2049" si="439">IFERROR(IF(R1986&lt;&gt;"",R1986),"-")</f>
        <v>0</v>
      </c>
      <c r="AU1986" s="259" t="b">
        <f t="shared" ref="AU1986:AU2049" si="440">IFERROR(IF(Q1986&lt;&gt;"",Q1986),"-")</f>
        <v>0</v>
      </c>
      <c r="AV1986" s="259" t="str">
        <f t="shared" ref="AV1986:AV2049" si="441">IF(L1986="","-",TEXT(L1986,"mmm-dd"))</f>
        <v>-</v>
      </c>
    </row>
    <row r="1987" spans="41:48">
      <c r="AO1987" s="829" t="str">
        <f t="shared" si="438"/>
        <v>No</v>
      </c>
      <c r="AP1987" s="259" t="str">
        <f t="shared" si="435"/>
        <v>blank</v>
      </c>
      <c r="AQ1987" s="547" t="str">
        <f t="shared" ref="AQ1987:AQ2050" si="442">IFERROR(IF(AND(AO1987="Yes", AP1987&lt;&gt;"blank"), "有定金+有預留客戶", IF(AND(AO1987="Yes", AP1987="blank"), "有定金+无客戶送貨期", IF(AND(OR(AO1987="No", ISBLANK(AO1987), AO1987="NA"), AP1987&lt;&gt;"blank"), "无定金+有預留客戶", IF(AND(OR(AO1987="No", ISBLANK(AO1987), AO1987="NA"), AP1987="blank"), "无定金+无預留客戶", "")))), "")</f>
        <v>无定金+无預留客戶</v>
      </c>
      <c r="AR1987" s="259" t="str">
        <f t="shared" si="436"/>
        <v/>
      </c>
      <c r="AS1987" s="259" t="str">
        <f t="shared" si="437"/>
        <v/>
      </c>
      <c r="AT1987" s="259" t="b">
        <f t="shared" si="439"/>
        <v>0</v>
      </c>
      <c r="AU1987" s="259" t="b">
        <f t="shared" si="440"/>
        <v>0</v>
      </c>
      <c r="AV1987" s="259" t="str">
        <f t="shared" si="441"/>
        <v>-</v>
      </c>
    </row>
    <row r="1988" spans="41:48">
      <c r="AO1988" s="829" t="str">
        <f t="shared" si="438"/>
        <v>No</v>
      </c>
      <c r="AP1988" s="259" t="str">
        <f t="shared" si="435"/>
        <v>blank</v>
      </c>
      <c r="AQ1988" s="547" t="str">
        <f t="shared" si="442"/>
        <v>无定金+无預留客戶</v>
      </c>
      <c r="AR1988" s="259" t="str">
        <f t="shared" si="436"/>
        <v/>
      </c>
      <c r="AS1988" s="259" t="str">
        <f t="shared" si="437"/>
        <v/>
      </c>
      <c r="AT1988" s="259" t="b">
        <f t="shared" si="439"/>
        <v>0</v>
      </c>
      <c r="AU1988" s="259" t="b">
        <f t="shared" si="440"/>
        <v>0</v>
      </c>
      <c r="AV1988" s="259" t="str">
        <f t="shared" si="441"/>
        <v>-</v>
      </c>
    </row>
    <row r="1989" spans="41:48">
      <c r="AO1989" s="829" t="str">
        <f t="shared" si="438"/>
        <v>No</v>
      </c>
      <c r="AP1989" s="259" t="str">
        <f t="shared" si="435"/>
        <v>blank</v>
      </c>
      <c r="AQ1989" s="547" t="str">
        <f t="shared" si="442"/>
        <v>无定金+无預留客戶</v>
      </c>
      <c r="AR1989" s="259" t="str">
        <f t="shared" si="436"/>
        <v/>
      </c>
      <c r="AS1989" s="259" t="str">
        <f t="shared" si="437"/>
        <v/>
      </c>
      <c r="AT1989" s="259" t="b">
        <f t="shared" si="439"/>
        <v>0</v>
      </c>
      <c r="AU1989" s="259" t="b">
        <f t="shared" si="440"/>
        <v>0</v>
      </c>
      <c r="AV1989" s="259" t="str">
        <f t="shared" si="441"/>
        <v>-</v>
      </c>
    </row>
    <row r="1990" spans="41:48">
      <c r="AO1990" s="829" t="str">
        <f t="shared" si="438"/>
        <v>No</v>
      </c>
      <c r="AP1990" s="259" t="str">
        <f t="shared" ref="AP1990:AP2053" si="443">IFERROR(IF(N1990&lt;&gt;"",N1990,"blank"),"NA")</f>
        <v>blank</v>
      </c>
      <c r="AQ1990" s="547" t="str">
        <f t="shared" si="442"/>
        <v>无定金+无預留客戶</v>
      </c>
      <c r="AR1990" s="259" t="str">
        <f t="shared" si="436"/>
        <v/>
      </c>
      <c r="AS1990" s="259" t="str">
        <f t="shared" si="437"/>
        <v/>
      </c>
      <c r="AT1990" s="259" t="b">
        <f t="shared" si="439"/>
        <v>0</v>
      </c>
      <c r="AU1990" s="259" t="b">
        <f t="shared" si="440"/>
        <v>0</v>
      </c>
      <c r="AV1990" s="259" t="str">
        <f t="shared" si="441"/>
        <v>-</v>
      </c>
    </row>
    <row r="1991" spans="41:48">
      <c r="AO1991" s="829" t="str">
        <f t="shared" si="438"/>
        <v>No</v>
      </c>
      <c r="AP1991" s="259" t="str">
        <f t="shared" si="443"/>
        <v>blank</v>
      </c>
      <c r="AQ1991" s="547" t="str">
        <f t="shared" si="442"/>
        <v>无定金+无預留客戶</v>
      </c>
      <c r="AR1991" s="259" t="str">
        <f t="shared" si="436"/>
        <v/>
      </c>
      <c r="AS1991" s="259" t="str">
        <f t="shared" si="437"/>
        <v/>
      </c>
      <c r="AT1991" s="259" t="b">
        <f t="shared" si="439"/>
        <v>0</v>
      </c>
      <c r="AU1991" s="259" t="b">
        <f t="shared" si="440"/>
        <v>0</v>
      </c>
      <c r="AV1991" s="259" t="str">
        <f t="shared" si="441"/>
        <v>-</v>
      </c>
    </row>
    <row r="1992" spans="41:48">
      <c r="AO1992" s="829" t="str">
        <f t="shared" si="438"/>
        <v>No</v>
      </c>
      <c r="AP1992" s="259" t="str">
        <f t="shared" si="443"/>
        <v>blank</v>
      </c>
      <c r="AQ1992" s="547" t="str">
        <f t="shared" si="442"/>
        <v>无定金+无預留客戶</v>
      </c>
      <c r="AR1992" s="259" t="str">
        <f t="shared" si="436"/>
        <v/>
      </c>
      <c r="AS1992" s="259" t="str">
        <f t="shared" si="437"/>
        <v/>
      </c>
      <c r="AT1992" s="259" t="b">
        <f t="shared" si="439"/>
        <v>0</v>
      </c>
      <c r="AU1992" s="259" t="b">
        <f t="shared" si="440"/>
        <v>0</v>
      </c>
      <c r="AV1992" s="259" t="str">
        <f t="shared" si="441"/>
        <v>-</v>
      </c>
    </row>
    <row r="1993" spans="41:48">
      <c r="AO1993" s="829" t="str">
        <f t="shared" si="438"/>
        <v>No</v>
      </c>
      <c r="AP1993" s="259" t="str">
        <f t="shared" si="443"/>
        <v>blank</v>
      </c>
      <c r="AQ1993" s="547" t="str">
        <f t="shared" si="442"/>
        <v>无定金+无預留客戶</v>
      </c>
      <c r="AR1993" s="259" t="str">
        <f t="shared" si="436"/>
        <v/>
      </c>
      <c r="AS1993" s="259" t="str">
        <f t="shared" si="437"/>
        <v/>
      </c>
      <c r="AT1993" s="259" t="b">
        <f t="shared" si="439"/>
        <v>0</v>
      </c>
      <c r="AU1993" s="259" t="b">
        <f t="shared" si="440"/>
        <v>0</v>
      </c>
      <c r="AV1993" s="259" t="str">
        <f t="shared" si="441"/>
        <v>-</v>
      </c>
    </row>
    <row r="1994" spans="41:48">
      <c r="AO1994" s="829" t="str">
        <f t="shared" si="438"/>
        <v>No</v>
      </c>
      <c r="AP1994" s="259" t="str">
        <f t="shared" si="443"/>
        <v>blank</v>
      </c>
      <c r="AQ1994" s="547" t="str">
        <f t="shared" si="442"/>
        <v>无定金+无預留客戶</v>
      </c>
      <c r="AR1994" s="259" t="str">
        <f t="shared" si="436"/>
        <v/>
      </c>
      <c r="AS1994" s="259" t="str">
        <f t="shared" si="437"/>
        <v/>
      </c>
      <c r="AT1994" s="259" t="b">
        <f t="shared" si="439"/>
        <v>0</v>
      </c>
      <c r="AU1994" s="259" t="b">
        <f t="shared" si="440"/>
        <v>0</v>
      </c>
      <c r="AV1994" s="259" t="str">
        <f t="shared" si="441"/>
        <v>-</v>
      </c>
    </row>
    <row r="1995" spans="41:48">
      <c r="AO1995" s="829" t="str">
        <f t="shared" si="438"/>
        <v>No</v>
      </c>
      <c r="AP1995" s="259" t="str">
        <f t="shared" si="443"/>
        <v>blank</v>
      </c>
      <c r="AQ1995" s="547" t="str">
        <f t="shared" si="442"/>
        <v>无定金+无預留客戶</v>
      </c>
      <c r="AR1995" s="259" t="str">
        <f t="shared" si="436"/>
        <v/>
      </c>
      <c r="AS1995" s="259" t="str">
        <f t="shared" si="437"/>
        <v/>
      </c>
      <c r="AT1995" s="259" t="b">
        <f t="shared" si="439"/>
        <v>0</v>
      </c>
      <c r="AU1995" s="259" t="b">
        <f t="shared" si="440"/>
        <v>0</v>
      </c>
      <c r="AV1995" s="259" t="str">
        <f t="shared" si="441"/>
        <v>-</v>
      </c>
    </row>
    <row r="1996" spans="41:48">
      <c r="AO1996" s="829" t="str">
        <f t="shared" si="438"/>
        <v>No</v>
      </c>
      <c r="AP1996" s="259" t="str">
        <f t="shared" si="443"/>
        <v>blank</v>
      </c>
      <c r="AQ1996" s="547" t="str">
        <f t="shared" si="442"/>
        <v>无定金+无預留客戶</v>
      </c>
      <c r="AR1996" s="259" t="str">
        <f t="shared" si="436"/>
        <v/>
      </c>
      <c r="AS1996" s="259" t="str">
        <f t="shared" si="437"/>
        <v/>
      </c>
      <c r="AT1996" s="259" t="b">
        <f t="shared" si="439"/>
        <v>0</v>
      </c>
      <c r="AU1996" s="259" t="b">
        <f t="shared" si="440"/>
        <v>0</v>
      </c>
      <c r="AV1996" s="259" t="str">
        <f t="shared" si="441"/>
        <v>-</v>
      </c>
    </row>
    <row r="1997" spans="41:48">
      <c r="AO1997" s="829" t="str">
        <f t="shared" si="438"/>
        <v>No</v>
      </c>
      <c r="AP1997" s="259" t="str">
        <f t="shared" si="443"/>
        <v>blank</v>
      </c>
      <c r="AQ1997" s="547" t="str">
        <f t="shared" si="442"/>
        <v>无定金+无預留客戶</v>
      </c>
      <c r="AR1997" s="259" t="str">
        <f t="shared" si="436"/>
        <v/>
      </c>
      <c r="AS1997" s="259" t="str">
        <f t="shared" si="437"/>
        <v/>
      </c>
      <c r="AT1997" s="259" t="b">
        <f t="shared" si="439"/>
        <v>0</v>
      </c>
      <c r="AU1997" s="259" t="b">
        <f t="shared" si="440"/>
        <v>0</v>
      </c>
      <c r="AV1997" s="259" t="str">
        <f t="shared" si="441"/>
        <v>-</v>
      </c>
    </row>
    <row r="1998" spans="41:48">
      <c r="AO1998" s="829" t="str">
        <f t="shared" si="438"/>
        <v>No</v>
      </c>
      <c r="AP1998" s="259" t="str">
        <f t="shared" si="443"/>
        <v>blank</v>
      </c>
      <c r="AQ1998" s="547" t="str">
        <f t="shared" si="442"/>
        <v>无定金+无預留客戶</v>
      </c>
      <c r="AR1998" s="259" t="str">
        <f t="shared" si="436"/>
        <v/>
      </c>
      <c r="AS1998" s="259" t="str">
        <f t="shared" si="437"/>
        <v/>
      </c>
      <c r="AT1998" s="259" t="b">
        <f t="shared" si="439"/>
        <v>0</v>
      </c>
      <c r="AU1998" s="259" t="b">
        <f t="shared" si="440"/>
        <v>0</v>
      </c>
      <c r="AV1998" s="259" t="str">
        <f t="shared" si="441"/>
        <v>-</v>
      </c>
    </row>
    <row r="1999" spans="41:48">
      <c r="AO1999" s="829" t="str">
        <f t="shared" si="438"/>
        <v>No</v>
      </c>
      <c r="AP1999" s="259" t="str">
        <f t="shared" si="443"/>
        <v>blank</v>
      </c>
      <c r="AQ1999" s="547" t="str">
        <f t="shared" si="442"/>
        <v>无定金+无預留客戶</v>
      </c>
      <c r="AR1999" s="259" t="str">
        <f t="shared" si="436"/>
        <v/>
      </c>
      <c r="AS1999" s="259" t="str">
        <f t="shared" si="437"/>
        <v/>
      </c>
      <c r="AT1999" s="259" t="b">
        <f t="shared" si="439"/>
        <v>0</v>
      </c>
      <c r="AU1999" s="259" t="b">
        <f t="shared" si="440"/>
        <v>0</v>
      </c>
      <c r="AV1999" s="259" t="str">
        <f t="shared" si="441"/>
        <v>-</v>
      </c>
    </row>
    <row r="2000" spans="41:48">
      <c r="AO2000" s="829" t="str">
        <f t="shared" si="438"/>
        <v>No</v>
      </c>
      <c r="AP2000" s="259" t="str">
        <f t="shared" si="443"/>
        <v>blank</v>
      </c>
      <c r="AQ2000" s="547" t="str">
        <f t="shared" si="442"/>
        <v>无定金+无預留客戶</v>
      </c>
      <c r="AR2000" s="259" t="str">
        <f t="shared" si="436"/>
        <v/>
      </c>
      <c r="AS2000" s="259" t="str">
        <f t="shared" si="437"/>
        <v/>
      </c>
      <c r="AT2000" s="259" t="b">
        <f t="shared" si="439"/>
        <v>0</v>
      </c>
      <c r="AU2000" s="259" t="b">
        <f t="shared" si="440"/>
        <v>0</v>
      </c>
      <c r="AV2000" s="259" t="str">
        <f t="shared" si="441"/>
        <v>-</v>
      </c>
    </row>
    <row r="2001" spans="41:48">
      <c r="AO2001" s="829" t="str">
        <f t="shared" si="438"/>
        <v>No</v>
      </c>
      <c r="AP2001" s="259" t="str">
        <f t="shared" si="443"/>
        <v>blank</v>
      </c>
      <c r="AQ2001" s="547" t="str">
        <f t="shared" si="442"/>
        <v>无定金+无預留客戶</v>
      </c>
      <c r="AR2001" s="259" t="str">
        <f t="shared" si="436"/>
        <v/>
      </c>
      <c r="AS2001" s="259" t="str">
        <f t="shared" si="437"/>
        <v/>
      </c>
      <c r="AT2001" s="259" t="b">
        <f t="shared" si="439"/>
        <v>0</v>
      </c>
      <c r="AU2001" s="259" t="b">
        <f t="shared" si="440"/>
        <v>0</v>
      </c>
      <c r="AV2001" s="259" t="str">
        <f t="shared" si="441"/>
        <v>-</v>
      </c>
    </row>
    <row r="2002" spans="41:48">
      <c r="AO2002" s="829" t="str">
        <f t="shared" si="438"/>
        <v>No</v>
      </c>
      <c r="AP2002" s="259" t="str">
        <f t="shared" si="443"/>
        <v>blank</v>
      </c>
      <c r="AQ2002" s="547" t="str">
        <f t="shared" si="442"/>
        <v>无定金+无預留客戶</v>
      </c>
      <c r="AR2002" s="259" t="str">
        <f t="shared" si="436"/>
        <v/>
      </c>
      <c r="AS2002" s="259" t="str">
        <f t="shared" si="437"/>
        <v/>
      </c>
      <c r="AT2002" s="259" t="b">
        <f t="shared" si="439"/>
        <v>0</v>
      </c>
      <c r="AU2002" s="259" t="b">
        <f t="shared" si="440"/>
        <v>0</v>
      </c>
      <c r="AV2002" s="259" t="str">
        <f t="shared" si="441"/>
        <v>-</v>
      </c>
    </row>
    <row r="2003" spans="41:48">
      <c r="AO2003" s="829" t="str">
        <f t="shared" si="438"/>
        <v>No</v>
      </c>
      <c r="AP2003" s="259" t="str">
        <f t="shared" si="443"/>
        <v>blank</v>
      </c>
      <c r="AQ2003" s="547" t="str">
        <f t="shared" si="442"/>
        <v>无定金+无預留客戶</v>
      </c>
      <c r="AR2003" s="259" t="str">
        <f t="shared" si="436"/>
        <v/>
      </c>
      <c r="AS2003" s="259" t="str">
        <f t="shared" si="437"/>
        <v/>
      </c>
      <c r="AT2003" s="259" t="b">
        <f t="shared" si="439"/>
        <v>0</v>
      </c>
      <c r="AU2003" s="259" t="b">
        <f t="shared" si="440"/>
        <v>0</v>
      </c>
      <c r="AV2003" s="259" t="str">
        <f t="shared" si="441"/>
        <v>-</v>
      </c>
    </row>
    <row r="2004" spans="41:48">
      <c r="AO2004" s="829" t="str">
        <f t="shared" si="438"/>
        <v>No</v>
      </c>
      <c r="AP2004" s="259" t="str">
        <f t="shared" si="443"/>
        <v>blank</v>
      </c>
      <c r="AQ2004" s="547" t="str">
        <f t="shared" si="442"/>
        <v>无定金+无預留客戶</v>
      </c>
      <c r="AR2004" s="259" t="str">
        <f t="shared" si="436"/>
        <v/>
      </c>
      <c r="AS2004" s="259" t="str">
        <f t="shared" si="437"/>
        <v/>
      </c>
      <c r="AT2004" s="259" t="b">
        <f t="shared" si="439"/>
        <v>0</v>
      </c>
      <c r="AU2004" s="259" t="b">
        <f t="shared" si="440"/>
        <v>0</v>
      </c>
      <c r="AV2004" s="259" t="str">
        <f t="shared" si="441"/>
        <v>-</v>
      </c>
    </row>
    <row r="2005" spans="41:48">
      <c r="AO2005" s="829" t="str">
        <f t="shared" si="438"/>
        <v>No</v>
      </c>
      <c r="AP2005" s="259" t="str">
        <f t="shared" si="443"/>
        <v>blank</v>
      </c>
      <c r="AQ2005" s="547" t="str">
        <f t="shared" si="442"/>
        <v>无定金+无預留客戶</v>
      </c>
      <c r="AR2005" s="259" t="str">
        <f t="shared" si="436"/>
        <v/>
      </c>
      <c r="AS2005" s="259" t="str">
        <f t="shared" si="437"/>
        <v/>
      </c>
      <c r="AT2005" s="259" t="b">
        <f t="shared" si="439"/>
        <v>0</v>
      </c>
      <c r="AU2005" s="259" t="b">
        <f t="shared" si="440"/>
        <v>0</v>
      </c>
      <c r="AV2005" s="259" t="str">
        <f t="shared" si="441"/>
        <v>-</v>
      </c>
    </row>
    <row r="2006" spans="41:48">
      <c r="AO2006" s="829" t="str">
        <f t="shared" si="438"/>
        <v>No</v>
      </c>
      <c r="AP2006" s="259" t="str">
        <f t="shared" si="443"/>
        <v>blank</v>
      </c>
      <c r="AQ2006" s="547" t="str">
        <f t="shared" si="442"/>
        <v>无定金+无預留客戶</v>
      </c>
      <c r="AR2006" s="259" t="str">
        <f t="shared" si="436"/>
        <v/>
      </c>
      <c r="AS2006" s="259" t="str">
        <f t="shared" si="437"/>
        <v/>
      </c>
      <c r="AT2006" s="259" t="b">
        <f t="shared" si="439"/>
        <v>0</v>
      </c>
      <c r="AU2006" s="259" t="b">
        <f t="shared" si="440"/>
        <v>0</v>
      </c>
      <c r="AV2006" s="259" t="str">
        <f t="shared" si="441"/>
        <v>-</v>
      </c>
    </row>
    <row r="2007" spans="41:48">
      <c r="AO2007" s="829" t="str">
        <f t="shared" si="438"/>
        <v>No</v>
      </c>
      <c r="AP2007" s="259" t="str">
        <f t="shared" si="443"/>
        <v>blank</v>
      </c>
      <c r="AQ2007" s="547" t="str">
        <f t="shared" si="442"/>
        <v>无定金+无預留客戶</v>
      </c>
      <c r="AR2007" s="259" t="str">
        <f t="shared" si="436"/>
        <v/>
      </c>
      <c r="AS2007" s="259" t="str">
        <f t="shared" si="437"/>
        <v/>
      </c>
      <c r="AT2007" s="259" t="b">
        <f t="shared" si="439"/>
        <v>0</v>
      </c>
      <c r="AU2007" s="259" t="b">
        <f t="shared" si="440"/>
        <v>0</v>
      </c>
      <c r="AV2007" s="259" t="str">
        <f t="shared" si="441"/>
        <v>-</v>
      </c>
    </row>
    <row r="2008" spans="41:48">
      <c r="AO2008" s="829" t="str">
        <f t="shared" si="438"/>
        <v>No</v>
      </c>
      <c r="AP2008" s="259" t="str">
        <f t="shared" si="443"/>
        <v>blank</v>
      </c>
      <c r="AQ2008" s="547" t="str">
        <f t="shared" si="442"/>
        <v>无定金+无預留客戶</v>
      </c>
      <c r="AR2008" s="259" t="str">
        <f t="shared" si="436"/>
        <v/>
      </c>
      <c r="AS2008" s="259" t="str">
        <f t="shared" si="437"/>
        <v/>
      </c>
      <c r="AT2008" s="259" t="b">
        <f t="shared" si="439"/>
        <v>0</v>
      </c>
      <c r="AU2008" s="259" t="b">
        <f t="shared" si="440"/>
        <v>0</v>
      </c>
      <c r="AV2008" s="259" t="str">
        <f t="shared" si="441"/>
        <v>-</v>
      </c>
    </row>
    <row r="2009" spans="41:48">
      <c r="AO2009" s="829" t="str">
        <f t="shared" si="438"/>
        <v>No</v>
      </c>
      <c r="AP2009" s="259" t="str">
        <f t="shared" si="443"/>
        <v>blank</v>
      </c>
      <c r="AQ2009" s="547" t="str">
        <f t="shared" si="442"/>
        <v>无定金+无預留客戶</v>
      </c>
      <c r="AR2009" s="259" t="str">
        <f t="shared" si="436"/>
        <v/>
      </c>
      <c r="AS2009" s="259" t="str">
        <f t="shared" si="437"/>
        <v/>
      </c>
      <c r="AT2009" s="259" t="b">
        <f t="shared" si="439"/>
        <v>0</v>
      </c>
      <c r="AU2009" s="259" t="b">
        <f t="shared" si="440"/>
        <v>0</v>
      </c>
      <c r="AV2009" s="259" t="str">
        <f t="shared" si="441"/>
        <v>-</v>
      </c>
    </row>
    <row r="2010" spans="41:48">
      <c r="AO2010" s="829" t="str">
        <f t="shared" si="438"/>
        <v>No</v>
      </c>
      <c r="AP2010" s="259" t="str">
        <f t="shared" si="443"/>
        <v>blank</v>
      </c>
      <c r="AQ2010" s="547" t="str">
        <f t="shared" si="442"/>
        <v>无定金+无預留客戶</v>
      </c>
      <c r="AR2010" s="259" t="str">
        <f t="shared" si="436"/>
        <v/>
      </c>
      <c r="AS2010" s="259" t="str">
        <f t="shared" si="437"/>
        <v/>
      </c>
      <c r="AT2010" s="259" t="b">
        <f t="shared" si="439"/>
        <v>0</v>
      </c>
      <c r="AU2010" s="259" t="b">
        <f t="shared" si="440"/>
        <v>0</v>
      </c>
      <c r="AV2010" s="259" t="str">
        <f t="shared" si="441"/>
        <v>-</v>
      </c>
    </row>
    <row r="2011" spans="41:48">
      <c r="AO2011" s="829" t="str">
        <f t="shared" si="438"/>
        <v>No</v>
      </c>
      <c r="AP2011" s="259" t="str">
        <f t="shared" si="443"/>
        <v>blank</v>
      </c>
      <c r="AQ2011" s="547" t="str">
        <f t="shared" si="442"/>
        <v>无定金+无預留客戶</v>
      </c>
      <c r="AR2011" s="259" t="str">
        <f t="shared" si="436"/>
        <v/>
      </c>
      <c r="AS2011" s="259" t="str">
        <f t="shared" si="437"/>
        <v/>
      </c>
      <c r="AT2011" s="259" t="b">
        <f t="shared" si="439"/>
        <v>0</v>
      </c>
      <c r="AU2011" s="259" t="b">
        <f t="shared" si="440"/>
        <v>0</v>
      </c>
      <c r="AV2011" s="259" t="str">
        <f t="shared" si="441"/>
        <v>-</v>
      </c>
    </row>
    <row r="2012" spans="41:48">
      <c r="AO2012" s="829" t="str">
        <f t="shared" si="438"/>
        <v>No</v>
      </c>
      <c r="AP2012" s="259" t="str">
        <f t="shared" si="443"/>
        <v>blank</v>
      </c>
      <c r="AQ2012" s="547" t="str">
        <f t="shared" si="442"/>
        <v>无定金+无預留客戶</v>
      </c>
      <c r="AR2012" s="259" t="str">
        <f t="shared" si="436"/>
        <v/>
      </c>
      <c r="AS2012" s="259" t="str">
        <f t="shared" si="437"/>
        <v/>
      </c>
      <c r="AT2012" s="259" t="b">
        <f t="shared" si="439"/>
        <v>0</v>
      </c>
      <c r="AU2012" s="259" t="b">
        <f t="shared" si="440"/>
        <v>0</v>
      </c>
      <c r="AV2012" s="259" t="str">
        <f t="shared" si="441"/>
        <v>-</v>
      </c>
    </row>
    <row r="2013" spans="41:48">
      <c r="AO2013" s="829" t="str">
        <f t="shared" si="438"/>
        <v>No</v>
      </c>
      <c r="AP2013" s="259" t="str">
        <f t="shared" si="443"/>
        <v>blank</v>
      </c>
      <c r="AQ2013" s="547" t="str">
        <f t="shared" si="442"/>
        <v>无定金+无預留客戶</v>
      </c>
      <c r="AR2013" s="259" t="str">
        <f t="shared" si="436"/>
        <v/>
      </c>
      <c r="AS2013" s="259" t="str">
        <f t="shared" si="437"/>
        <v/>
      </c>
      <c r="AT2013" s="259" t="b">
        <f t="shared" si="439"/>
        <v>0</v>
      </c>
      <c r="AU2013" s="259" t="b">
        <f t="shared" si="440"/>
        <v>0</v>
      </c>
      <c r="AV2013" s="259" t="str">
        <f t="shared" si="441"/>
        <v>-</v>
      </c>
    </row>
    <row r="2014" spans="41:48">
      <c r="AO2014" s="829" t="str">
        <f t="shared" si="438"/>
        <v>No</v>
      </c>
      <c r="AP2014" s="259" t="str">
        <f t="shared" si="443"/>
        <v>blank</v>
      </c>
      <c r="AQ2014" s="547" t="str">
        <f t="shared" si="442"/>
        <v>无定金+无預留客戶</v>
      </c>
      <c r="AR2014" s="259" t="str">
        <f t="shared" si="436"/>
        <v/>
      </c>
      <c r="AS2014" s="259" t="str">
        <f t="shared" si="437"/>
        <v/>
      </c>
      <c r="AT2014" s="259" t="b">
        <f t="shared" si="439"/>
        <v>0</v>
      </c>
      <c r="AU2014" s="259" t="b">
        <f t="shared" si="440"/>
        <v>0</v>
      </c>
      <c r="AV2014" s="259" t="str">
        <f t="shared" si="441"/>
        <v>-</v>
      </c>
    </row>
    <row r="2015" spans="41:48">
      <c r="AO2015" s="829" t="str">
        <f t="shared" si="438"/>
        <v>No</v>
      </c>
      <c r="AP2015" s="259" t="str">
        <f t="shared" si="443"/>
        <v>blank</v>
      </c>
      <c r="AQ2015" s="547" t="str">
        <f t="shared" si="442"/>
        <v>无定金+无預留客戶</v>
      </c>
      <c r="AR2015" s="259" t="str">
        <f t="shared" si="436"/>
        <v/>
      </c>
      <c r="AS2015" s="259" t="str">
        <f t="shared" si="437"/>
        <v/>
      </c>
      <c r="AT2015" s="259" t="b">
        <f t="shared" si="439"/>
        <v>0</v>
      </c>
      <c r="AU2015" s="259" t="b">
        <f t="shared" si="440"/>
        <v>0</v>
      </c>
      <c r="AV2015" s="259" t="str">
        <f t="shared" si="441"/>
        <v>-</v>
      </c>
    </row>
    <row r="2016" spans="41:48">
      <c r="AO2016" s="829" t="str">
        <f t="shared" si="438"/>
        <v>No</v>
      </c>
      <c r="AP2016" s="259" t="str">
        <f t="shared" si="443"/>
        <v>blank</v>
      </c>
      <c r="AQ2016" s="547" t="str">
        <f t="shared" si="442"/>
        <v>无定金+无預留客戶</v>
      </c>
      <c r="AR2016" s="259" t="str">
        <f t="shared" si="436"/>
        <v/>
      </c>
      <c r="AS2016" s="259" t="str">
        <f t="shared" si="437"/>
        <v/>
      </c>
      <c r="AT2016" s="259" t="b">
        <f t="shared" si="439"/>
        <v>0</v>
      </c>
      <c r="AU2016" s="259" t="b">
        <f t="shared" si="440"/>
        <v>0</v>
      </c>
      <c r="AV2016" s="259" t="str">
        <f t="shared" si="441"/>
        <v>-</v>
      </c>
    </row>
    <row r="2017" spans="41:48">
      <c r="AO2017" s="829" t="str">
        <f t="shared" si="438"/>
        <v>No</v>
      </c>
      <c r="AP2017" s="259" t="str">
        <f t="shared" si="443"/>
        <v>blank</v>
      </c>
      <c r="AQ2017" s="547" t="str">
        <f t="shared" si="442"/>
        <v>无定金+无預留客戶</v>
      </c>
      <c r="AR2017" s="259" t="str">
        <f t="shared" si="436"/>
        <v/>
      </c>
      <c r="AS2017" s="259" t="str">
        <f t="shared" si="437"/>
        <v/>
      </c>
      <c r="AT2017" s="259" t="b">
        <f t="shared" si="439"/>
        <v>0</v>
      </c>
      <c r="AU2017" s="259" t="b">
        <f t="shared" si="440"/>
        <v>0</v>
      </c>
      <c r="AV2017" s="259" t="str">
        <f t="shared" si="441"/>
        <v>-</v>
      </c>
    </row>
    <row r="2018" spans="41:48">
      <c r="AO2018" s="829" t="str">
        <f t="shared" si="438"/>
        <v>No</v>
      </c>
      <c r="AP2018" s="259" t="str">
        <f t="shared" si="443"/>
        <v>blank</v>
      </c>
      <c r="AQ2018" s="547" t="str">
        <f t="shared" si="442"/>
        <v>无定金+无預留客戶</v>
      </c>
      <c r="AR2018" s="259" t="str">
        <f t="shared" si="436"/>
        <v/>
      </c>
      <c r="AS2018" s="259" t="str">
        <f t="shared" si="437"/>
        <v/>
      </c>
      <c r="AT2018" s="259" t="b">
        <f t="shared" si="439"/>
        <v>0</v>
      </c>
      <c r="AU2018" s="259" t="b">
        <f t="shared" si="440"/>
        <v>0</v>
      </c>
      <c r="AV2018" s="259" t="str">
        <f t="shared" si="441"/>
        <v>-</v>
      </c>
    </row>
    <row r="2019" spans="41:48">
      <c r="AO2019" s="829" t="str">
        <f t="shared" si="438"/>
        <v>No</v>
      </c>
      <c r="AP2019" s="259" t="str">
        <f t="shared" si="443"/>
        <v>blank</v>
      </c>
      <c r="AQ2019" s="547" t="str">
        <f t="shared" si="442"/>
        <v>无定金+无預留客戶</v>
      </c>
      <c r="AR2019" s="259" t="str">
        <f t="shared" si="436"/>
        <v/>
      </c>
      <c r="AS2019" s="259" t="str">
        <f t="shared" si="437"/>
        <v/>
      </c>
      <c r="AT2019" s="259" t="b">
        <f t="shared" si="439"/>
        <v>0</v>
      </c>
      <c r="AU2019" s="259" t="b">
        <f t="shared" si="440"/>
        <v>0</v>
      </c>
      <c r="AV2019" s="259" t="str">
        <f t="shared" si="441"/>
        <v>-</v>
      </c>
    </row>
    <row r="2020" spans="41:48">
      <c r="AO2020" s="829" t="str">
        <f t="shared" si="438"/>
        <v>No</v>
      </c>
      <c r="AP2020" s="259" t="str">
        <f t="shared" si="443"/>
        <v>blank</v>
      </c>
      <c r="AQ2020" s="547" t="str">
        <f t="shared" si="442"/>
        <v>无定金+无預留客戶</v>
      </c>
      <c r="AR2020" s="259" t="str">
        <f t="shared" si="436"/>
        <v/>
      </c>
      <c r="AS2020" s="259" t="str">
        <f t="shared" si="437"/>
        <v/>
      </c>
      <c r="AT2020" s="259" t="b">
        <f t="shared" si="439"/>
        <v>0</v>
      </c>
      <c r="AU2020" s="259" t="b">
        <f t="shared" si="440"/>
        <v>0</v>
      </c>
      <c r="AV2020" s="259" t="str">
        <f t="shared" si="441"/>
        <v>-</v>
      </c>
    </row>
    <row r="2021" spans="41:48">
      <c r="AO2021" s="829" t="str">
        <f t="shared" si="438"/>
        <v>No</v>
      </c>
      <c r="AP2021" s="259" t="str">
        <f t="shared" si="443"/>
        <v>blank</v>
      </c>
      <c r="AQ2021" s="547" t="str">
        <f t="shared" si="442"/>
        <v>无定金+无預留客戶</v>
      </c>
      <c r="AR2021" s="259" t="str">
        <f t="shared" si="436"/>
        <v/>
      </c>
      <c r="AS2021" s="259" t="str">
        <f t="shared" si="437"/>
        <v/>
      </c>
      <c r="AT2021" s="259" t="b">
        <f t="shared" si="439"/>
        <v>0</v>
      </c>
      <c r="AU2021" s="259" t="b">
        <f t="shared" si="440"/>
        <v>0</v>
      </c>
      <c r="AV2021" s="259" t="str">
        <f t="shared" si="441"/>
        <v>-</v>
      </c>
    </row>
    <row r="2022" spans="41:48">
      <c r="AO2022" s="829" t="str">
        <f t="shared" si="438"/>
        <v>No</v>
      </c>
      <c r="AP2022" s="259" t="str">
        <f t="shared" si="443"/>
        <v>blank</v>
      </c>
      <c r="AQ2022" s="547" t="str">
        <f t="shared" si="442"/>
        <v>无定金+无預留客戶</v>
      </c>
      <c r="AR2022" s="259" t="str">
        <f t="shared" si="436"/>
        <v/>
      </c>
      <c r="AS2022" s="259" t="str">
        <f t="shared" si="437"/>
        <v/>
      </c>
      <c r="AT2022" s="259" t="b">
        <f t="shared" si="439"/>
        <v>0</v>
      </c>
      <c r="AU2022" s="259" t="b">
        <f t="shared" si="440"/>
        <v>0</v>
      </c>
      <c r="AV2022" s="259" t="str">
        <f t="shared" si="441"/>
        <v>-</v>
      </c>
    </row>
    <row r="2023" spans="41:48">
      <c r="AO2023" s="829" t="str">
        <f t="shared" si="438"/>
        <v>No</v>
      </c>
      <c r="AP2023" s="259" t="str">
        <f t="shared" si="443"/>
        <v>blank</v>
      </c>
      <c r="AQ2023" s="547" t="str">
        <f t="shared" si="442"/>
        <v>无定金+无預留客戶</v>
      </c>
      <c r="AR2023" s="259" t="str">
        <f t="shared" si="436"/>
        <v/>
      </c>
      <c r="AS2023" s="259" t="str">
        <f t="shared" si="437"/>
        <v/>
      </c>
      <c r="AT2023" s="259" t="b">
        <f t="shared" si="439"/>
        <v>0</v>
      </c>
      <c r="AU2023" s="259" t="b">
        <f t="shared" si="440"/>
        <v>0</v>
      </c>
      <c r="AV2023" s="259" t="str">
        <f t="shared" si="441"/>
        <v>-</v>
      </c>
    </row>
    <row r="2024" spans="41:48">
      <c r="AO2024" s="829" t="str">
        <f t="shared" si="438"/>
        <v>No</v>
      </c>
      <c r="AP2024" s="259" t="str">
        <f t="shared" si="443"/>
        <v>blank</v>
      </c>
      <c r="AQ2024" s="547" t="str">
        <f t="shared" si="442"/>
        <v>无定金+无預留客戶</v>
      </c>
      <c r="AR2024" s="259" t="str">
        <f t="shared" si="436"/>
        <v/>
      </c>
      <c r="AS2024" s="259" t="str">
        <f t="shared" si="437"/>
        <v/>
      </c>
      <c r="AT2024" s="259" t="b">
        <f t="shared" si="439"/>
        <v>0</v>
      </c>
      <c r="AU2024" s="259" t="b">
        <f t="shared" si="440"/>
        <v>0</v>
      </c>
      <c r="AV2024" s="259" t="str">
        <f t="shared" si="441"/>
        <v>-</v>
      </c>
    </row>
    <row r="2025" spans="41:48">
      <c r="AO2025" s="829" t="str">
        <f t="shared" si="438"/>
        <v>No</v>
      </c>
      <c r="AP2025" s="259" t="str">
        <f t="shared" si="443"/>
        <v>blank</v>
      </c>
      <c r="AQ2025" s="547" t="str">
        <f t="shared" si="442"/>
        <v>无定金+无預留客戶</v>
      </c>
      <c r="AR2025" s="259" t="str">
        <f t="shared" si="436"/>
        <v/>
      </c>
      <c r="AS2025" s="259" t="str">
        <f t="shared" si="437"/>
        <v/>
      </c>
      <c r="AT2025" s="259" t="b">
        <f t="shared" si="439"/>
        <v>0</v>
      </c>
      <c r="AU2025" s="259" t="b">
        <f t="shared" si="440"/>
        <v>0</v>
      </c>
      <c r="AV2025" s="259" t="str">
        <f t="shared" si="441"/>
        <v>-</v>
      </c>
    </row>
    <row r="2026" spans="41:48">
      <c r="AO2026" s="829" t="str">
        <f t="shared" si="438"/>
        <v>No</v>
      </c>
      <c r="AP2026" s="259" t="str">
        <f t="shared" si="443"/>
        <v>blank</v>
      </c>
      <c r="AQ2026" s="547" t="str">
        <f t="shared" si="442"/>
        <v>无定金+无預留客戶</v>
      </c>
      <c r="AR2026" s="259" t="str">
        <f t="shared" si="436"/>
        <v/>
      </c>
      <c r="AS2026" s="259" t="str">
        <f t="shared" si="437"/>
        <v/>
      </c>
      <c r="AT2026" s="259" t="b">
        <f t="shared" si="439"/>
        <v>0</v>
      </c>
      <c r="AU2026" s="259" t="b">
        <f t="shared" si="440"/>
        <v>0</v>
      </c>
      <c r="AV2026" s="259" t="str">
        <f t="shared" si="441"/>
        <v>-</v>
      </c>
    </row>
    <row r="2027" spans="41:48">
      <c r="AO2027" s="829" t="str">
        <f t="shared" si="438"/>
        <v>No</v>
      </c>
      <c r="AP2027" s="259" t="str">
        <f t="shared" si="443"/>
        <v>blank</v>
      </c>
      <c r="AQ2027" s="547" t="str">
        <f t="shared" si="442"/>
        <v>无定金+无預留客戶</v>
      </c>
      <c r="AR2027" s="259" t="str">
        <f t="shared" si="436"/>
        <v/>
      </c>
      <c r="AS2027" s="259" t="str">
        <f t="shared" si="437"/>
        <v/>
      </c>
      <c r="AT2027" s="259" t="b">
        <f t="shared" si="439"/>
        <v>0</v>
      </c>
      <c r="AU2027" s="259" t="b">
        <f t="shared" si="440"/>
        <v>0</v>
      </c>
      <c r="AV2027" s="259" t="str">
        <f t="shared" si="441"/>
        <v>-</v>
      </c>
    </row>
    <row r="2028" spans="41:48">
      <c r="AO2028" s="829" t="str">
        <f t="shared" si="438"/>
        <v>No</v>
      </c>
      <c r="AP2028" s="259" t="str">
        <f t="shared" si="443"/>
        <v>blank</v>
      </c>
      <c r="AQ2028" s="547" t="str">
        <f t="shared" si="442"/>
        <v>无定金+无預留客戶</v>
      </c>
      <c r="AR2028" s="259" t="str">
        <f t="shared" si="436"/>
        <v/>
      </c>
      <c r="AS2028" s="259" t="str">
        <f t="shared" si="437"/>
        <v/>
      </c>
      <c r="AT2028" s="259" t="b">
        <f t="shared" si="439"/>
        <v>0</v>
      </c>
      <c r="AU2028" s="259" t="b">
        <f t="shared" si="440"/>
        <v>0</v>
      </c>
      <c r="AV2028" s="259" t="str">
        <f t="shared" si="441"/>
        <v>-</v>
      </c>
    </row>
    <row r="2029" spans="41:48">
      <c r="AO2029" s="829" t="str">
        <f t="shared" si="438"/>
        <v>No</v>
      </c>
      <c r="AP2029" s="259" t="str">
        <f t="shared" si="443"/>
        <v>blank</v>
      </c>
      <c r="AQ2029" s="547" t="str">
        <f t="shared" si="442"/>
        <v>无定金+无預留客戶</v>
      </c>
      <c r="AR2029" s="259" t="str">
        <f t="shared" si="436"/>
        <v/>
      </c>
      <c r="AS2029" s="259" t="str">
        <f t="shared" si="437"/>
        <v/>
      </c>
      <c r="AT2029" s="259" t="b">
        <f t="shared" si="439"/>
        <v>0</v>
      </c>
      <c r="AU2029" s="259" t="b">
        <f t="shared" si="440"/>
        <v>0</v>
      </c>
      <c r="AV2029" s="259" t="str">
        <f t="shared" si="441"/>
        <v>-</v>
      </c>
    </row>
    <row r="2030" spans="41:48">
      <c r="AO2030" s="829" t="str">
        <f t="shared" si="438"/>
        <v>No</v>
      </c>
      <c r="AP2030" s="259" t="str">
        <f t="shared" si="443"/>
        <v>blank</v>
      </c>
      <c r="AQ2030" s="547" t="str">
        <f t="shared" si="442"/>
        <v>无定金+无預留客戶</v>
      </c>
      <c r="AR2030" s="259" t="str">
        <f t="shared" si="436"/>
        <v/>
      </c>
      <c r="AS2030" s="259" t="str">
        <f t="shared" si="437"/>
        <v/>
      </c>
      <c r="AT2030" s="259" t="b">
        <f t="shared" si="439"/>
        <v>0</v>
      </c>
      <c r="AU2030" s="259" t="b">
        <f t="shared" si="440"/>
        <v>0</v>
      </c>
      <c r="AV2030" s="259" t="str">
        <f t="shared" si="441"/>
        <v>-</v>
      </c>
    </row>
    <row r="2031" spans="41:48">
      <c r="AO2031" s="829" t="str">
        <f t="shared" si="438"/>
        <v>No</v>
      </c>
      <c r="AP2031" s="259" t="str">
        <f t="shared" si="443"/>
        <v>blank</v>
      </c>
      <c r="AQ2031" s="547" t="str">
        <f t="shared" si="442"/>
        <v>无定金+无預留客戶</v>
      </c>
      <c r="AR2031" s="259" t="str">
        <f t="shared" si="436"/>
        <v/>
      </c>
      <c r="AS2031" s="259" t="str">
        <f t="shared" si="437"/>
        <v/>
      </c>
      <c r="AT2031" s="259" t="b">
        <f t="shared" si="439"/>
        <v>0</v>
      </c>
      <c r="AU2031" s="259" t="b">
        <f t="shared" si="440"/>
        <v>0</v>
      </c>
      <c r="AV2031" s="259" t="str">
        <f t="shared" si="441"/>
        <v>-</v>
      </c>
    </row>
    <row r="2032" spans="41:48">
      <c r="AO2032" s="829" t="str">
        <f t="shared" si="438"/>
        <v>No</v>
      </c>
      <c r="AP2032" s="259" t="str">
        <f t="shared" si="443"/>
        <v>blank</v>
      </c>
      <c r="AQ2032" s="547" t="str">
        <f t="shared" si="442"/>
        <v>无定金+无預留客戶</v>
      </c>
      <c r="AR2032" s="259" t="str">
        <f t="shared" si="436"/>
        <v/>
      </c>
      <c r="AS2032" s="259" t="str">
        <f t="shared" si="437"/>
        <v/>
      </c>
      <c r="AT2032" s="259" t="b">
        <f t="shared" si="439"/>
        <v>0</v>
      </c>
      <c r="AU2032" s="259" t="b">
        <f t="shared" si="440"/>
        <v>0</v>
      </c>
      <c r="AV2032" s="259" t="str">
        <f t="shared" si="441"/>
        <v>-</v>
      </c>
    </row>
    <row r="2033" spans="41:48">
      <c r="AO2033" s="829" t="str">
        <f t="shared" si="438"/>
        <v>No</v>
      </c>
      <c r="AP2033" s="259" t="str">
        <f t="shared" si="443"/>
        <v>blank</v>
      </c>
      <c r="AQ2033" s="547" t="str">
        <f t="shared" si="442"/>
        <v>无定金+无預留客戶</v>
      </c>
      <c r="AR2033" s="259" t="str">
        <f t="shared" si="436"/>
        <v/>
      </c>
      <c r="AS2033" s="259" t="str">
        <f t="shared" si="437"/>
        <v/>
      </c>
      <c r="AT2033" s="259" t="b">
        <f t="shared" si="439"/>
        <v>0</v>
      </c>
      <c r="AU2033" s="259" t="b">
        <f t="shared" si="440"/>
        <v>0</v>
      </c>
      <c r="AV2033" s="259" t="str">
        <f t="shared" si="441"/>
        <v>-</v>
      </c>
    </row>
    <row r="2034" spans="41:48">
      <c r="AO2034" s="829" t="str">
        <f t="shared" si="438"/>
        <v>No</v>
      </c>
      <c r="AP2034" s="259" t="str">
        <f t="shared" si="443"/>
        <v>blank</v>
      </c>
      <c r="AQ2034" s="547" t="str">
        <f t="shared" si="442"/>
        <v>无定金+无預留客戶</v>
      </c>
      <c r="AR2034" s="259" t="str">
        <f t="shared" si="436"/>
        <v/>
      </c>
      <c r="AS2034" s="259" t="str">
        <f t="shared" si="437"/>
        <v/>
      </c>
      <c r="AT2034" s="259" t="b">
        <f t="shared" si="439"/>
        <v>0</v>
      </c>
      <c r="AU2034" s="259" t="b">
        <f t="shared" si="440"/>
        <v>0</v>
      </c>
      <c r="AV2034" s="259" t="str">
        <f t="shared" si="441"/>
        <v>-</v>
      </c>
    </row>
    <row r="2035" spans="41:48">
      <c r="AO2035" s="829" t="str">
        <f t="shared" si="438"/>
        <v>No</v>
      </c>
      <c r="AP2035" s="259" t="str">
        <f t="shared" si="443"/>
        <v>blank</v>
      </c>
      <c r="AQ2035" s="547" t="str">
        <f t="shared" si="442"/>
        <v>无定金+无預留客戶</v>
      </c>
      <c r="AR2035" s="259" t="str">
        <f t="shared" si="436"/>
        <v/>
      </c>
      <c r="AS2035" s="259" t="str">
        <f t="shared" si="437"/>
        <v/>
      </c>
      <c r="AT2035" s="259" t="b">
        <f t="shared" si="439"/>
        <v>0</v>
      </c>
      <c r="AU2035" s="259" t="b">
        <f t="shared" si="440"/>
        <v>0</v>
      </c>
      <c r="AV2035" s="259" t="str">
        <f t="shared" si="441"/>
        <v>-</v>
      </c>
    </row>
    <row r="2036" spans="41:48">
      <c r="AO2036" s="829" t="str">
        <f t="shared" si="438"/>
        <v>No</v>
      </c>
      <c r="AP2036" s="259" t="str">
        <f t="shared" si="443"/>
        <v>blank</v>
      </c>
      <c r="AQ2036" s="547" t="str">
        <f t="shared" si="442"/>
        <v>无定金+无預留客戶</v>
      </c>
      <c r="AR2036" s="259" t="str">
        <f t="shared" si="436"/>
        <v/>
      </c>
      <c r="AS2036" s="259" t="str">
        <f t="shared" si="437"/>
        <v/>
      </c>
      <c r="AT2036" s="259" t="b">
        <f t="shared" si="439"/>
        <v>0</v>
      </c>
      <c r="AU2036" s="259" t="b">
        <f t="shared" si="440"/>
        <v>0</v>
      </c>
      <c r="AV2036" s="259" t="str">
        <f t="shared" si="441"/>
        <v>-</v>
      </c>
    </row>
    <row r="2037" spans="41:48">
      <c r="AO2037" s="829" t="str">
        <f t="shared" si="438"/>
        <v>No</v>
      </c>
      <c r="AP2037" s="259" t="str">
        <f t="shared" si="443"/>
        <v>blank</v>
      </c>
      <c r="AQ2037" s="547" t="str">
        <f t="shared" si="442"/>
        <v>无定金+无預留客戶</v>
      </c>
      <c r="AR2037" s="259" t="str">
        <f t="shared" si="436"/>
        <v/>
      </c>
      <c r="AS2037" s="259" t="str">
        <f t="shared" si="437"/>
        <v/>
      </c>
      <c r="AT2037" s="259" t="b">
        <f t="shared" si="439"/>
        <v>0</v>
      </c>
      <c r="AU2037" s="259" t="b">
        <f t="shared" si="440"/>
        <v>0</v>
      </c>
      <c r="AV2037" s="259" t="str">
        <f t="shared" si="441"/>
        <v>-</v>
      </c>
    </row>
    <row r="2038" spans="41:48">
      <c r="AO2038" s="829" t="str">
        <f t="shared" si="438"/>
        <v>No</v>
      </c>
      <c r="AP2038" s="259" t="str">
        <f t="shared" si="443"/>
        <v>blank</v>
      </c>
      <c r="AQ2038" s="547" t="str">
        <f t="shared" si="442"/>
        <v>无定金+无預留客戶</v>
      </c>
      <c r="AR2038" s="259" t="str">
        <f t="shared" si="436"/>
        <v/>
      </c>
      <c r="AS2038" s="259" t="str">
        <f t="shared" si="437"/>
        <v/>
      </c>
      <c r="AT2038" s="259" t="b">
        <f t="shared" si="439"/>
        <v>0</v>
      </c>
      <c r="AU2038" s="259" t="b">
        <f t="shared" si="440"/>
        <v>0</v>
      </c>
      <c r="AV2038" s="259" t="str">
        <f t="shared" si="441"/>
        <v>-</v>
      </c>
    </row>
    <row r="2039" spans="41:48">
      <c r="AO2039" s="829" t="str">
        <f t="shared" si="438"/>
        <v>No</v>
      </c>
      <c r="AP2039" s="259" t="str">
        <f t="shared" si="443"/>
        <v>blank</v>
      </c>
      <c r="AQ2039" s="547" t="str">
        <f t="shared" si="442"/>
        <v>无定金+无預留客戶</v>
      </c>
      <c r="AR2039" s="259" t="str">
        <f t="shared" si="436"/>
        <v/>
      </c>
      <c r="AS2039" s="259" t="str">
        <f t="shared" si="437"/>
        <v/>
      </c>
      <c r="AT2039" s="259" t="b">
        <f t="shared" si="439"/>
        <v>0</v>
      </c>
      <c r="AU2039" s="259" t="b">
        <f t="shared" si="440"/>
        <v>0</v>
      </c>
      <c r="AV2039" s="259" t="str">
        <f t="shared" si="441"/>
        <v>-</v>
      </c>
    </row>
    <row r="2040" spans="41:48">
      <c r="AO2040" s="829" t="str">
        <f t="shared" si="438"/>
        <v>No</v>
      </c>
      <c r="AP2040" s="259" t="str">
        <f t="shared" si="443"/>
        <v>blank</v>
      </c>
      <c r="AQ2040" s="547" t="str">
        <f t="shared" si="442"/>
        <v>无定金+无預留客戶</v>
      </c>
      <c r="AR2040" s="259" t="str">
        <f t="shared" si="436"/>
        <v/>
      </c>
      <c r="AS2040" s="259" t="str">
        <f t="shared" si="437"/>
        <v/>
      </c>
      <c r="AT2040" s="259" t="b">
        <f t="shared" si="439"/>
        <v>0</v>
      </c>
      <c r="AU2040" s="259" t="b">
        <f t="shared" si="440"/>
        <v>0</v>
      </c>
      <c r="AV2040" s="259" t="str">
        <f t="shared" si="441"/>
        <v>-</v>
      </c>
    </row>
    <row r="2041" spans="41:48">
      <c r="AO2041" s="829" t="str">
        <f t="shared" si="438"/>
        <v>No</v>
      </c>
      <c r="AP2041" s="259" t="str">
        <f t="shared" si="443"/>
        <v>blank</v>
      </c>
      <c r="AQ2041" s="547" t="str">
        <f t="shared" si="442"/>
        <v>无定金+无預留客戶</v>
      </c>
      <c r="AR2041" s="259" t="str">
        <f t="shared" si="436"/>
        <v/>
      </c>
      <c r="AS2041" s="259" t="str">
        <f t="shared" si="437"/>
        <v/>
      </c>
      <c r="AT2041" s="259" t="b">
        <f t="shared" si="439"/>
        <v>0</v>
      </c>
      <c r="AU2041" s="259" t="b">
        <f t="shared" si="440"/>
        <v>0</v>
      </c>
      <c r="AV2041" s="259" t="str">
        <f t="shared" si="441"/>
        <v>-</v>
      </c>
    </row>
    <row r="2042" spans="41:48">
      <c r="AO2042" s="829" t="str">
        <f t="shared" si="438"/>
        <v>No</v>
      </c>
      <c r="AP2042" s="259" t="str">
        <f t="shared" si="443"/>
        <v>blank</v>
      </c>
      <c r="AQ2042" s="547" t="str">
        <f t="shared" si="442"/>
        <v>无定金+无預留客戶</v>
      </c>
      <c r="AR2042" s="259" t="str">
        <f t="shared" si="436"/>
        <v/>
      </c>
      <c r="AS2042" s="259" t="str">
        <f t="shared" si="437"/>
        <v/>
      </c>
      <c r="AT2042" s="259" t="b">
        <f t="shared" si="439"/>
        <v>0</v>
      </c>
      <c r="AU2042" s="259" t="b">
        <f t="shared" si="440"/>
        <v>0</v>
      </c>
      <c r="AV2042" s="259" t="str">
        <f t="shared" si="441"/>
        <v>-</v>
      </c>
    </row>
    <row r="2043" spans="41:48">
      <c r="AO2043" s="829" t="str">
        <f t="shared" si="438"/>
        <v>No</v>
      </c>
      <c r="AP2043" s="259" t="str">
        <f t="shared" si="443"/>
        <v>blank</v>
      </c>
      <c r="AQ2043" s="547" t="str">
        <f t="shared" si="442"/>
        <v>无定金+无預留客戶</v>
      </c>
      <c r="AR2043" s="259" t="str">
        <f t="shared" si="436"/>
        <v/>
      </c>
      <c r="AS2043" s="259" t="str">
        <f t="shared" si="437"/>
        <v/>
      </c>
      <c r="AT2043" s="259" t="b">
        <f t="shared" si="439"/>
        <v>0</v>
      </c>
      <c r="AU2043" s="259" t="b">
        <f t="shared" si="440"/>
        <v>0</v>
      </c>
      <c r="AV2043" s="259" t="str">
        <f t="shared" si="441"/>
        <v>-</v>
      </c>
    </row>
    <row r="2044" spans="41:48">
      <c r="AO2044" s="829" t="str">
        <f t="shared" si="438"/>
        <v>No</v>
      </c>
      <c r="AP2044" s="259" t="str">
        <f t="shared" si="443"/>
        <v>blank</v>
      </c>
      <c r="AQ2044" s="547" t="str">
        <f t="shared" si="442"/>
        <v>无定金+无預留客戶</v>
      </c>
      <c r="AR2044" s="259" t="str">
        <f t="shared" si="436"/>
        <v/>
      </c>
      <c r="AS2044" s="259" t="str">
        <f t="shared" si="437"/>
        <v/>
      </c>
      <c r="AT2044" s="259" t="b">
        <f t="shared" si="439"/>
        <v>0</v>
      </c>
      <c r="AU2044" s="259" t="b">
        <f t="shared" si="440"/>
        <v>0</v>
      </c>
      <c r="AV2044" s="259" t="str">
        <f t="shared" si="441"/>
        <v>-</v>
      </c>
    </row>
    <row r="2045" spans="41:48">
      <c r="AO2045" s="829" t="str">
        <f t="shared" si="438"/>
        <v>No</v>
      </c>
      <c r="AP2045" s="259" t="str">
        <f t="shared" si="443"/>
        <v>blank</v>
      </c>
      <c r="AQ2045" s="547" t="str">
        <f t="shared" si="442"/>
        <v>无定金+无預留客戶</v>
      </c>
      <c r="AR2045" s="259" t="str">
        <f t="shared" si="436"/>
        <v/>
      </c>
      <c r="AS2045" s="259" t="str">
        <f t="shared" si="437"/>
        <v/>
      </c>
      <c r="AT2045" s="259" t="b">
        <f t="shared" si="439"/>
        <v>0</v>
      </c>
      <c r="AU2045" s="259" t="b">
        <f t="shared" si="440"/>
        <v>0</v>
      </c>
      <c r="AV2045" s="259" t="str">
        <f t="shared" si="441"/>
        <v>-</v>
      </c>
    </row>
    <row r="2046" spans="41:48">
      <c r="AO2046" s="829" t="str">
        <f t="shared" si="438"/>
        <v>No</v>
      </c>
      <c r="AP2046" s="259" t="str">
        <f t="shared" si="443"/>
        <v>blank</v>
      </c>
      <c r="AQ2046" s="547" t="str">
        <f t="shared" si="442"/>
        <v>无定金+无預留客戶</v>
      </c>
      <c r="AR2046" s="259" t="str">
        <f t="shared" ref="AR2046:AR2109" si="444">IFERROR(IF(B2046="已经到货", "Instock", IF(B2046="有交期", "Incoming_Stock_With_YAMAHA_Schedule", IF(B2046="TBA.", "Incoming_Stock_No_YAMAHA_Schedule", IF(B2046="已发货", "Shipped_Stock", "")))), "")</f>
        <v/>
      </c>
      <c r="AS2046" s="259" t="str">
        <f t="shared" ref="AS2046:AS2109" si="445">IF(AND(B2046="有交期", L2046&lt;&gt;""), L2046, "")</f>
        <v/>
      </c>
      <c r="AT2046" s="259" t="b">
        <f t="shared" si="439"/>
        <v>0</v>
      </c>
      <c r="AU2046" s="259" t="b">
        <f t="shared" si="440"/>
        <v>0</v>
      </c>
      <c r="AV2046" s="259" t="str">
        <f t="shared" si="441"/>
        <v>-</v>
      </c>
    </row>
    <row r="2047" spans="41:48">
      <c r="AO2047" s="829" t="str">
        <f t="shared" si="438"/>
        <v>No</v>
      </c>
      <c r="AP2047" s="259" t="str">
        <f t="shared" si="443"/>
        <v>blank</v>
      </c>
      <c r="AQ2047" s="547" t="str">
        <f t="shared" si="442"/>
        <v>无定金+无預留客戶</v>
      </c>
      <c r="AR2047" s="259" t="str">
        <f t="shared" si="444"/>
        <v/>
      </c>
      <c r="AS2047" s="259" t="str">
        <f t="shared" si="445"/>
        <v/>
      </c>
      <c r="AT2047" s="259" t="b">
        <f t="shared" si="439"/>
        <v>0</v>
      </c>
      <c r="AU2047" s="259" t="b">
        <f t="shared" si="440"/>
        <v>0</v>
      </c>
      <c r="AV2047" s="259" t="str">
        <f t="shared" si="441"/>
        <v>-</v>
      </c>
    </row>
    <row r="2048" spans="41:48">
      <c r="AO2048" s="829" t="str">
        <f t="shared" si="438"/>
        <v>No</v>
      </c>
      <c r="AP2048" s="259" t="str">
        <f t="shared" si="443"/>
        <v>blank</v>
      </c>
      <c r="AQ2048" s="547" t="str">
        <f t="shared" si="442"/>
        <v>无定金+无預留客戶</v>
      </c>
      <c r="AR2048" s="259" t="str">
        <f t="shared" si="444"/>
        <v/>
      </c>
      <c r="AS2048" s="259" t="str">
        <f t="shared" si="445"/>
        <v/>
      </c>
      <c r="AT2048" s="259" t="b">
        <f t="shared" si="439"/>
        <v>0</v>
      </c>
      <c r="AU2048" s="259" t="b">
        <f t="shared" si="440"/>
        <v>0</v>
      </c>
      <c r="AV2048" s="259" t="str">
        <f t="shared" si="441"/>
        <v>-</v>
      </c>
    </row>
    <row r="2049" spans="41:48">
      <c r="AO2049" s="829" t="str">
        <f t="shared" si="438"/>
        <v>No</v>
      </c>
      <c r="AP2049" s="259" t="str">
        <f t="shared" si="443"/>
        <v>blank</v>
      </c>
      <c r="AQ2049" s="547" t="str">
        <f t="shared" si="442"/>
        <v>无定金+无預留客戶</v>
      </c>
      <c r="AR2049" s="259" t="str">
        <f t="shared" si="444"/>
        <v/>
      </c>
      <c r="AS2049" s="259" t="str">
        <f t="shared" si="445"/>
        <v/>
      </c>
      <c r="AT2049" s="259" t="b">
        <f t="shared" si="439"/>
        <v>0</v>
      </c>
      <c r="AU2049" s="259" t="b">
        <f t="shared" si="440"/>
        <v>0</v>
      </c>
      <c r="AV2049" s="259" t="str">
        <f t="shared" si="441"/>
        <v>-</v>
      </c>
    </row>
    <row r="2050" spans="41:48">
      <c r="AO2050" s="829" t="str">
        <f t="shared" ref="AO2050:AO2113" si="446">IFERROR(IF(Y2050&lt;&gt;"",Y2050,"No"),"No")</f>
        <v>No</v>
      </c>
      <c r="AP2050" s="259" t="str">
        <f t="shared" si="443"/>
        <v>blank</v>
      </c>
      <c r="AQ2050" s="547" t="str">
        <f t="shared" si="442"/>
        <v>无定金+无預留客戶</v>
      </c>
      <c r="AR2050" s="259" t="str">
        <f t="shared" si="444"/>
        <v/>
      </c>
      <c r="AS2050" s="259" t="str">
        <f t="shared" si="445"/>
        <v/>
      </c>
      <c r="AT2050" s="259" t="b">
        <f t="shared" ref="AT2050:AT2113" si="447">IFERROR(IF(R2050&lt;&gt;"",R2050),"-")</f>
        <v>0</v>
      </c>
      <c r="AU2050" s="259" t="b">
        <f t="shared" ref="AU2050:AU2113" si="448">IFERROR(IF(Q2050&lt;&gt;"",Q2050),"-")</f>
        <v>0</v>
      </c>
      <c r="AV2050" s="259" t="str">
        <f t="shared" ref="AV2050:AV2113" si="449">IF(L2050="","-",TEXT(L2050,"mmm-dd"))</f>
        <v>-</v>
      </c>
    </row>
    <row r="2051" spans="41:48">
      <c r="AO2051" s="829" t="str">
        <f t="shared" si="446"/>
        <v>No</v>
      </c>
      <c r="AP2051" s="259" t="str">
        <f t="shared" si="443"/>
        <v>blank</v>
      </c>
      <c r="AQ2051" s="547" t="str">
        <f t="shared" ref="AQ2051:AQ2114" si="450">IFERROR(IF(AND(AO2051="Yes", AP2051&lt;&gt;"blank"), "有定金+有預留客戶", IF(AND(AO2051="Yes", AP2051="blank"), "有定金+无客戶送貨期", IF(AND(OR(AO2051="No", ISBLANK(AO2051), AO2051="NA"), AP2051&lt;&gt;"blank"), "无定金+有預留客戶", IF(AND(OR(AO2051="No", ISBLANK(AO2051), AO2051="NA"), AP2051="blank"), "无定金+无預留客戶", "")))), "")</f>
        <v>无定金+无預留客戶</v>
      </c>
      <c r="AR2051" s="259" t="str">
        <f t="shared" si="444"/>
        <v/>
      </c>
      <c r="AS2051" s="259" t="str">
        <f t="shared" si="445"/>
        <v/>
      </c>
      <c r="AT2051" s="259" t="b">
        <f t="shared" si="447"/>
        <v>0</v>
      </c>
      <c r="AU2051" s="259" t="b">
        <f t="shared" si="448"/>
        <v>0</v>
      </c>
      <c r="AV2051" s="259" t="str">
        <f t="shared" si="449"/>
        <v>-</v>
      </c>
    </row>
    <row r="2052" spans="41:48">
      <c r="AO2052" s="829" t="str">
        <f t="shared" si="446"/>
        <v>No</v>
      </c>
      <c r="AP2052" s="259" t="str">
        <f t="shared" si="443"/>
        <v>blank</v>
      </c>
      <c r="AQ2052" s="547" t="str">
        <f t="shared" si="450"/>
        <v>无定金+无預留客戶</v>
      </c>
      <c r="AR2052" s="259" t="str">
        <f t="shared" si="444"/>
        <v/>
      </c>
      <c r="AS2052" s="259" t="str">
        <f t="shared" si="445"/>
        <v/>
      </c>
      <c r="AT2052" s="259" t="b">
        <f t="shared" si="447"/>
        <v>0</v>
      </c>
      <c r="AU2052" s="259" t="b">
        <f t="shared" si="448"/>
        <v>0</v>
      </c>
      <c r="AV2052" s="259" t="str">
        <f t="shared" si="449"/>
        <v>-</v>
      </c>
    </row>
    <row r="2053" spans="41:48">
      <c r="AO2053" s="829" t="str">
        <f t="shared" si="446"/>
        <v>No</v>
      </c>
      <c r="AP2053" s="259" t="str">
        <f t="shared" si="443"/>
        <v>blank</v>
      </c>
      <c r="AQ2053" s="547" t="str">
        <f t="shared" si="450"/>
        <v>无定金+无預留客戶</v>
      </c>
      <c r="AR2053" s="259" t="str">
        <f t="shared" si="444"/>
        <v/>
      </c>
      <c r="AS2053" s="259" t="str">
        <f t="shared" si="445"/>
        <v/>
      </c>
      <c r="AT2053" s="259" t="b">
        <f t="shared" si="447"/>
        <v>0</v>
      </c>
      <c r="AU2053" s="259" t="b">
        <f t="shared" si="448"/>
        <v>0</v>
      </c>
      <c r="AV2053" s="259" t="str">
        <f t="shared" si="449"/>
        <v>-</v>
      </c>
    </row>
    <row r="2054" spans="41:48">
      <c r="AO2054" s="829" t="str">
        <f t="shared" si="446"/>
        <v>No</v>
      </c>
      <c r="AP2054" s="259" t="str">
        <f t="shared" ref="AP2054:AP2117" si="451">IFERROR(IF(N2054&lt;&gt;"",N2054,"blank"),"NA")</f>
        <v>blank</v>
      </c>
      <c r="AQ2054" s="547" t="str">
        <f t="shared" si="450"/>
        <v>无定金+无預留客戶</v>
      </c>
      <c r="AR2054" s="259" t="str">
        <f t="shared" si="444"/>
        <v/>
      </c>
      <c r="AS2054" s="259" t="str">
        <f t="shared" si="445"/>
        <v/>
      </c>
      <c r="AT2054" s="259" t="b">
        <f t="shared" si="447"/>
        <v>0</v>
      </c>
      <c r="AU2054" s="259" t="b">
        <f t="shared" si="448"/>
        <v>0</v>
      </c>
      <c r="AV2054" s="259" t="str">
        <f t="shared" si="449"/>
        <v>-</v>
      </c>
    </row>
    <row r="2055" spans="41:48">
      <c r="AO2055" s="829" t="str">
        <f t="shared" si="446"/>
        <v>No</v>
      </c>
      <c r="AP2055" s="259" t="str">
        <f t="shared" si="451"/>
        <v>blank</v>
      </c>
      <c r="AQ2055" s="547" t="str">
        <f t="shared" si="450"/>
        <v>无定金+无預留客戶</v>
      </c>
      <c r="AR2055" s="259" t="str">
        <f t="shared" si="444"/>
        <v/>
      </c>
      <c r="AS2055" s="259" t="str">
        <f t="shared" si="445"/>
        <v/>
      </c>
      <c r="AT2055" s="259" t="b">
        <f t="shared" si="447"/>
        <v>0</v>
      </c>
      <c r="AU2055" s="259" t="b">
        <f t="shared" si="448"/>
        <v>0</v>
      </c>
      <c r="AV2055" s="259" t="str">
        <f t="shared" si="449"/>
        <v>-</v>
      </c>
    </row>
    <row r="2056" spans="41:48">
      <c r="AO2056" s="829" t="str">
        <f t="shared" si="446"/>
        <v>No</v>
      </c>
      <c r="AP2056" s="259" t="str">
        <f t="shared" si="451"/>
        <v>blank</v>
      </c>
      <c r="AQ2056" s="547" t="str">
        <f t="shared" si="450"/>
        <v>无定金+无預留客戶</v>
      </c>
      <c r="AR2056" s="259" t="str">
        <f t="shared" si="444"/>
        <v/>
      </c>
      <c r="AS2056" s="259" t="str">
        <f t="shared" si="445"/>
        <v/>
      </c>
      <c r="AT2056" s="259" t="b">
        <f t="shared" si="447"/>
        <v>0</v>
      </c>
      <c r="AU2056" s="259" t="b">
        <f t="shared" si="448"/>
        <v>0</v>
      </c>
      <c r="AV2056" s="259" t="str">
        <f t="shared" si="449"/>
        <v>-</v>
      </c>
    </row>
    <row r="2057" spans="41:48">
      <c r="AO2057" s="829" t="str">
        <f t="shared" si="446"/>
        <v>No</v>
      </c>
      <c r="AP2057" s="259" t="str">
        <f t="shared" si="451"/>
        <v>blank</v>
      </c>
      <c r="AQ2057" s="547" t="str">
        <f t="shared" si="450"/>
        <v>无定金+无預留客戶</v>
      </c>
      <c r="AR2057" s="259" t="str">
        <f t="shared" si="444"/>
        <v/>
      </c>
      <c r="AS2057" s="259" t="str">
        <f t="shared" si="445"/>
        <v/>
      </c>
      <c r="AT2057" s="259" t="b">
        <f t="shared" si="447"/>
        <v>0</v>
      </c>
      <c r="AU2057" s="259" t="b">
        <f t="shared" si="448"/>
        <v>0</v>
      </c>
      <c r="AV2057" s="259" t="str">
        <f t="shared" si="449"/>
        <v>-</v>
      </c>
    </row>
    <row r="2058" spans="41:48">
      <c r="AO2058" s="829" t="str">
        <f t="shared" si="446"/>
        <v>No</v>
      </c>
      <c r="AP2058" s="259" t="str">
        <f t="shared" si="451"/>
        <v>blank</v>
      </c>
      <c r="AQ2058" s="547" t="str">
        <f t="shared" si="450"/>
        <v>无定金+无預留客戶</v>
      </c>
      <c r="AR2058" s="259" t="str">
        <f t="shared" si="444"/>
        <v/>
      </c>
      <c r="AS2058" s="259" t="str">
        <f t="shared" si="445"/>
        <v/>
      </c>
      <c r="AT2058" s="259" t="b">
        <f t="shared" si="447"/>
        <v>0</v>
      </c>
      <c r="AU2058" s="259" t="b">
        <f t="shared" si="448"/>
        <v>0</v>
      </c>
      <c r="AV2058" s="259" t="str">
        <f t="shared" si="449"/>
        <v>-</v>
      </c>
    </row>
    <row r="2059" spans="41:48">
      <c r="AO2059" s="829" t="str">
        <f t="shared" si="446"/>
        <v>No</v>
      </c>
      <c r="AP2059" s="259" t="str">
        <f t="shared" si="451"/>
        <v>blank</v>
      </c>
      <c r="AQ2059" s="547" t="str">
        <f t="shared" si="450"/>
        <v>无定金+无預留客戶</v>
      </c>
      <c r="AR2059" s="259" t="str">
        <f t="shared" si="444"/>
        <v/>
      </c>
      <c r="AS2059" s="259" t="str">
        <f t="shared" si="445"/>
        <v/>
      </c>
      <c r="AT2059" s="259" t="b">
        <f t="shared" si="447"/>
        <v>0</v>
      </c>
      <c r="AU2059" s="259" t="b">
        <f t="shared" si="448"/>
        <v>0</v>
      </c>
      <c r="AV2059" s="259" t="str">
        <f t="shared" si="449"/>
        <v>-</v>
      </c>
    </row>
    <row r="2060" spans="41:48">
      <c r="AO2060" s="829" t="str">
        <f t="shared" si="446"/>
        <v>No</v>
      </c>
      <c r="AP2060" s="259" t="str">
        <f t="shared" si="451"/>
        <v>blank</v>
      </c>
      <c r="AQ2060" s="547" t="str">
        <f t="shared" si="450"/>
        <v>无定金+无預留客戶</v>
      </c>
      <c r="AR2060" s="259" t="str">
        <f t="shared" si="444"/>
        <v/>
      </c>
      <c r="AS2060" s="259" t="str">
        <f t="shared" si="445"/>
        <v/>
      </c>
      <c r="AT2060" s="259" t="b">
        <f t="shared" si="447"/>
        <v>0</v>
      </c>
      <c r="AU2060" s="259" t="b">
        <f t="shared" si="448"/>
        <v>0</v>
      </c>
      <c r="AV2060" s="259" t="str">
        <f t="shared" si="449"/>
        <v>-</v>
      </c>
    </row>
    <row r="2061" spans="41:48">
      <c r="AO2061" s="829" t="str">
        <f t="shared" si="446"/>
        <v>No</v>
      </c>
      <c r="AP2061" s="259" t="str">
        <f t="shared" si="451"/>
        <v>blank</v>
      </c>
      <c r="AQ2061" s="547" t="str">
        <f t="shared" si="450"/>
        <v>无定金+无預留客戶</v>
      </c>
      <c r="AR2061" s="259" t="str">
        <f t="shared" si="444"/>
        <v/>
      </c>
      <c r="AS2061" s="259" t="str">
        <f t="shared" si="445"/>
        <v/>
      </c>
      <c r="AT2061" s="259" t="b">
        <f t="shared" si="447"/>
        <v>0</v>
      </c>
      <c r="AU2061" s="259" t="b">
        <f t="shared" si="448"/>
        <v>0</v>
      </c>
      <c r="AV2061" s="259" t="str">
        <f t="shared" si="449"/>
        <v>-</v>
      </c>
    </row>
    <row r="2062" spans="41:48">
      <c r="AO2062" s="829" t="str">
        <f t="shared" si="446"/>
        <v>No</v>
      </c>
      <c r="AP2062" s="259" t="str">
        <f t="shared" si="451"/>
        <v>blank</v>
      </c>
      <c r="AQ2062" s="547" t="str">
        <f t="shared" si="450"/>
        <v>无定金+无預留客戶</v>
      </c>
      <c r="AR2062" s="259" t="str">
        <f t="shared" si="444"/>
        <v/>
      </c>
      <c r="AS2062" s="259" t="str">
        <f t="shared" si="445"/>
        <v/>
      </c>
      <c r="AT2062" s="259" t="b">
        <f t="shared" si="447"/>
        <v>0</v>
      </c>
      <c r="AU2062" s="259" t="b">
        <f t="shared" si="448"/>
        <v>0</v>
      </c>
      <c r="AV2062" s="259" t="str">
        <f t="shared" si="449"/>
        <v>-</v>
      </c>
    </row>
    <row r="2063" spans="41:48">
      <c r="AO2063" s="829" t="str">
        <f t="shared" si="446"/>
        <v>No</v>
      </c>
      <c r="AP2063" s="259" t="str">
        <f t="shared" si="451"/>
        <v>blank</v>
      </c>
      <c r="AQ2063" s="547" t="str">
        <f t="shared" si="450"/>
        <v>无定金+无預留客戶</v>
      </c>
      <c r="AR2063" s="259" t="str">
        <f t="shared" si="444"/>
        <v/>
      </c>
      <c r="AS2063" s="259" t="str">
        <f t="shared" si="445"/>
        <v/>
      </c>
      <c r="AT2063" s="259" t="b">
        <f t="shared" si="447"/>
        <v>0</v>
      </c>
      <c r="AU2063" s="259" t="b">
        <f t="shared" si="448"/>
        <v>0</v>
      </c>
      <c r="AV2063" s="259" t="str">
        <f t="shared" si="449"/>
        <v>-</v>
      </c>
    </row>
    <row r="2064" spans="41:48">
      <c r="AO2064" s="829" t="str">
        <f t="shared" si="446"/>
        <v>No</v>
      </c>
      <c r="AP2064" s="259" t="str">
        <f t="shared" si="451"/>
        <v>blank</v>
      </c>
      <c r="AQ2064" s="547" t="str">
        <f t="shared" si="450"/>
        <v>无定金+无預留客戶</v>
      </c>
      <c r="AR2064" s="259" t="str">
        <f t="shared" si="444"/>
        <v/>
      </c>
      <c r="AS2064" s="259" t="str">
        <f t="shared" si="445"/>
        <v/>
      </c>
      <c r="AT2064" s="259" t="b">
        <f t="shared" si="447"/>
        <v>0</v>
      </c>
      <c r="AU2064" s="259" t="b">
        <f t="shared" si="448"/>
        <v>0</v>
      </c>
      <c r="AV2064" s="259" t="str">
        <f t="shared" si="449"/>
        <v>-</v>
      </c>
    </row>
    <row r="2065" spans="41:48">
      <c r="AO2065" s="829" t="str">
        <f t="shared" si="446"/>
        <v>No</v>
      </c>
      <c r="AP2065" s="259" t="str">
        <f t="shared" si="451"/>
        <v>blank</v>
      </c>
      <c r="AQ2065" s="547" t="str">
        <f t="shared" si="450"/>
        <v>无定金+无預留客戶</v>
      </c>
      <c r="AR2065" s="259" t="str">
        <f t="shared" si="444"/>
        <v/>
      </c>
      <c r="AS2065" s="259" t="str">
        <f t="shared" si="445"/>
        <v/>
      </c>
      <c r="AT2065" s="259" t="b">
        <f t="shared" si="447"/>
        <v>0</v>
      </c>
      <c r="AU2065" s="259" t="b">
        <f t="shared" si="448"/>
        <v>0</v>
      </c>
      <c r="AV2065" s="259" t="str">
        <f t="shared" si="449"/>
        <v>-</v>
      </c>
    </row>
    <row r="2066" spans="41:48">
      <c r="AO2066" s="829" t="str">
        <f t="shared" si="446"/>
        <v>No</v>
      </c>
      <c r="AP2066" s="259" t="str">
        <f t="shared" si="451"/>
        <v>blank</v>
      </c>
      <c r="AQ2066" s="547" t="str">
        <f t="shared" si="450"/>
        <v>无定金+无預留客戶</v>
      </c>
      <c r="AR2066" s="259" t="str">
        <f t="shared" si="444"/>
        <v/>
      </c>
      <c r="AS2066" s="259" t="str">
        <f t="shared" si="445"/>
        <v/>
      </c>
      <c r="AT2066" s="259" t="b">
        <f t="shared" si="447"/>
        <v>0</v>
      </c>
      <c r="AU2066" s="259" t="b">
        <f t="shared" si="448"/>
        <v>0</v>
      </c>
      <c r="AV2066" s="259" t="str">
        <f t="shared" si="449"/>
        <v>-</v>
      </c>
    </row>
    <row r="2067" spans="41:48">
      <c r="AO2067" s="829" t="str">
        <f t="shared" si="446"/>
        <v>No</v>
      </c>
      <c r="AP2067" s="259" t="str">
        <f t="shared" si="451"/>
        <v>blank</v>
      </c>
      <c r="AQ2067" s="547" t="str">
        <f t="shared" si="450"/>
        <v>无定金+无預留客戶</v>
      </c>
      <c r="AR2067" s="259" t="str">
        <f t="shared" si="444"/>
        <v/>
      </c>
      <c r="AS2067" s="259" t="str">
        <f t="shared" si="445"/>
        <v/>
      </c>
      <c r="AT2067" s="259" t="b">
        <f t="shared" si="447"/>
        <v>0</v>
      </c>
      <c r="AU2067" s="259" t="b">
        <f t="shared" si="448"/>
        <v>0</v>
      </c>
      <c r="AV2067" s="259" t="str">
        <f t="shared" si="449"/>
        <v>-</v>
      </c>
    </row>
    <row r="2068" spans="41:48">
      <c r="AO2068" s="829" t="str">
        <f t="shared" si="446"/>
        <v>No</v>
      </c>
      <c r="AP2068" s="259" t="str">
        <f t="shared" si="451"/>
        <v>blank</v>
      </c>
      <c r="AQ2068" s="547" t="str">
        <f t="shared" si="450"/>
        <v>无定金+无預留客戶</v>
      </c>
      <c r="AR2068" s="259" t="str">
        <f t="shared" si="444"/>
        <v/>
      </c>
      <c r="AS2068" s="259" t="str">
        <f t="shared" si="445"/>
        <v/>
      </c>
      <c r="AT2068" s="259" t="b">
        <f t="shared" si="447"/>
        <v>0</v>
      </c>
      <c r="AU2068" s="259" t="b">
        <f t="shared" si="448"/>
        <v>0</v>
      </c>
      <c r="AV2068" s="259" t="str">
        <f t="shared" si="449"/>
        <v>-</v>
      </c>
    </row>
    <row r="2069" spans="41:48">
      <c r="AO2069" s="829" t="str">
        <f t="shared" si="446"/>
        <v>No</v>
      </c>
      <c r="AP2069" s="259" t="str">
        <f t="shared" si="451"/>
        <v>blank</v>
      </c>
      <c r="AQ2069" s="547" t="str">
        <f t="shared" si="450"/>
        <v>无定金+无預留客戶</v>
      </c>
      <c r="AR2069" s="259" t="str">
        <f t="shared" si="444"/>
        <v/>
      </c>
      <c r="AS2069" s="259" t="str">
        <f t="shared" si="445"/>
        <v/>
      </c>
      <c r="AT2069" s="259" t="b">
        <f t="shared" si="447"/>
        <v>0</v>
      </c>
      <c r="AU2069" s="259" t="b">
        <f t="shared" si="448"/>
        <v>0</v>
      </c>
      <c r="AV2069" s="259" t="str">
        <f t="shared" si="449"/>
        <v>-</v>
      </c>
    </row>
    <row r="2070" spans="41:48">
      <c r="AO2070" s="829" t="str">
        <f t="shared" si="446"/>
        <v>No</v>
      </c>
      <c r="AP2070" s="259" t="str">
        <f t="shared" si="451"/>
        <v>blank</v>
      </c>
      <c r="AQ2070" s="547" t="str">
        <f t="shared" si="450"/>
        <v>无定金+无預留客戶</v>
      </c>
      <c r="AR2070" s="259" t="str">
        <f t="shared" si="444"/>
        <v/>
      </c>
      <c r="AS2070" s="259" t="str">
        <f t="shared" si="445"/>
        <v/>
      </c>
      <c r="AT2070" s="259" t="b">
        <f t="shared" si="447"/>
        <v>0</v>
      </c>
      <c r="AU2070" s="259" t="b">
        <f t="shared" si="448"/>
        <v>0</v>
      </c>
      <c r="AV2070" s="259" t="str">
        <f t="shared" si="449"/>
        <v>-</v>
      </c>
    </row>
    <row r="2071" spans="41:48">
      <c r="AO2071" s="829" t="str">
        <f t="shared" si="446"/>
        <v>No</v>
      </c>
      <c r="AP2071" s="259" t="str">
        <f t="shared" si="451"/>
        <v>blank</v>
      </c>
      <c r="AQ2071" s="547" t="str">
        <f t="shared" si="450"/>
        <v>无定金+无預留客戶</v>
      </c>
      <c r="AR2071" s="259" t="str">
        <f t="shared" si="444"/>
        <v/>
      </c>
      <c r="AS2071" s="259" t="str">
        <f t="shared" si="445"/>
        <v/>
      </c>
      <c r="AT2071" s="259" t="b">
        <f t="shared" si="447"/>
        <v>0</v>
      </c>
      <c r="AU2071" s="259" t="b">
        <f t="shared" si="448"/>
        <v>0</v>
      </c>
      <c r="AV2071" s="259" t="str">
        <f t="shared" si="449"/>
        <v>-</v>
      </c>
    </row>
    <row r="2072" spans="41:48">
      <c r="AO2072" s="829" t="str">
        <f t="shared" si="446"/>
        <v>No</v>
      </c>
      <c r="AP2072" s="259" t="str">
        <f t="shared" si="451"/>
        <v>blank</v>
      </c>
      <c r="AQ2072" s="547" t="str">
        <f t="shared" si="450"/>
        <v>无定金+无預留客戶</v>
      </c>
      <c r="AR2072" s="259" t="str">
        <f t="shared" si="444"/>
        <v/>
      </c>
      <c r="AS2072" s="259" t="str">
        <f t="shared" si="445"/>
        <v/>
      </c>
      <c r="AT2072" s="259" t="b">
        <f t="shared" si="447"/>
        <v>0</v>
      </c>
      <c r="AU2072" s="259" t="b">
        <f t="shared" si="448"/>
        <v>0</v>
      </c>
      <c r="AV2072" s="259" t="str">
        <f t="shared" si="449"/>
        <v>-</v>
      </c>
    </row>
    <row r="2073" spans="41:48">
      <c r="AO2073" s="829" t="str">
        <f t="shared" si="446"/>
        <v>No</v>
      </c>
      <c r="AP2073" s="259" t="str">
        <f t="shared" si="451"/>
        <v>blank</v>
      </c>
      <c r="AQ2073" s="547" t="str">
        <f t="shared" si="450"/>
        <v>无定金+无預留客戶</v>
      </c>
      <c r="AR2073" s="259" t="str">
        <f t="shared" si="444"/>
        <v/>
      </c>
      <c r="AS2073" s="259" t="str">
        <f t="shared" si="445"/>
        <v/>
      </c>
      <c r="AT2073" s="259" t="b">
        <f t="shared" si="447"/>
        <v>0</v>
      </c>
      <c r="AU2073" s="259" t="b">
        <f t="shared" si="448"/>
        <v>0</v>
      </c>
      <c r="AV2073" s="259" t="str">
        <f t="shared" si="449"/>
        <v>-</v>
      </c>
    </row>
    <row r="2074" spans="41:48">
      <c r="AO2074" s="829" t="str">
        <f t="shared" si="446"/>
        <v>No</v>
      </c>
      <c r="AP2074" s="259" t="str">
        <f t="shared" si="451"/>
        <v>blank</v>
      </c>
      <c r="AQ2074" s="547" t="str">
        <f t="shared" si="450"/>
        <v>无定金+无預留客戶</v>
      </c>
      <c r="AR2074" s="259" t="str">
        <f t="shared" si="444"/>
        <v/>
      </c>
      <c r="AS2074" s="259" t="str">
        <f t="shared" si="445"/>
        <v/>
      </c>
      <c r="AT2074" s="259" t="b">
        <f t="shared" si="447"/>
        <v>0</v>
      </c>
      <c r="AU2074" s="259" t="b">
        <f t="shared" si="448"/>
        <v>0</v>
      </c>
      <c r="AV2074" s="259" t="str">
        <f t="shared" si="449"/>
        <v>-</v>
      </c>
    </row>
    <row r="2075" spans="41:48">
      <c r="AO2075" s="829" t="str">
        <f t="shared" si="446"/>
        <v>No</v>
      </c>
      <c r="AP2075" s="259" t="str">
        <f t="shared" si="451"/>
        <v>blank</v>
      </c>
      <c r="AQ2075" s="547" t="str">
        <f t="shared" si="450"/>
        <v>无定金+无預留客戶</v>
      </c>
      <c r="AR2075" s="259" t="str">
        <f t="shared" si="444"/>
        <v/>
      </c>
      <c r="AS2075" s="259" t="str">
        <f t="shared" si="445"/>
        <v/>
      </c>
      <c r="AT2075" s="259" t="b">
        <f t="shared" si="447"/>
        <v>0</v>
      </c>
      <c r="AU2075" s="259" t="b">
        <f t="shared" si="448"/>
        <v>0</v>
      </c>
      <c r="AV2075" s="259" t="str">
        <f t="shared" si="449"/>
        <v>-</v>
      </c>
    </row>
    <row r="2076" spans="41:48">
      <c r="AO2076" s="829" t="str">
        <f t="shared" si="446"/>
        <v>No</v>
      </c>
      <c r="AP2076" s="259" t="str">
        <f t="shared" si="451"/>
        <v>blank</v>
      </c>
      <c r="AQ2076" s="547" t="str">
        <f t="shared" si="450"/>
        <v>无定金+无預留客戶</v>
      </c>
      <c r="AR2076" s="259" t="str">
        <f t="shared" si="444"/>
        <v/>
      </c>
      <c r="AS2076" s="259" t="str">
        <f t="shared" si="445"/>
        <v/>
      </c>
      <c r="AT2076" s="259" t="b">
        <f t="shared" si="447"/>
        <v>0</v>
      </c>
      <c r="AU2076" s="259" t="b">
        <f t="shared" si="448"/>
        <v>0</v>
      </c>
      <c r="AV2076" s="259" t="str">
        <f t="shared" si="449"/>
        <v>-</v>
      </c>
    </row>
    <row r="2077" spans="41:48">
      <c r="AO2077" s="829" t="str">
        <f t="shared" si="446"/>
        <v>No</v>
      </c>
      <c r="AP2077" s="259" t="str">
        <f t="shared" si="451"/>
        <v>blank</v>
      </c>
      <c r="AQ2077" s="547" t="str">
        <f t="shared" si="450"/>
        <v>无定金+无預留客戶</v>
      </c>
      <c r="AR2077" s="259" t="str">
        <f t="shared" si="444"/>
        <v/>
      </c>
      <c r="AS2077" s="259" t="str">
        <f t="shared" si="445"/>
        <v/>
      </c>
      <c r="AT2077" s="259" t="b">
        <f t="shared" si="447"/>
        <v>0</v>
      </c>
      <c r="AU2077" s="259" t="b">
        <f t="shared" si="448"/>
        <v>0</v>
      </c>
      <c r="AV2077" s="259" t="str">
        <f t="shared" si="449"/>
        <v>-</v>
      </c>
    </row>
    <row r="2078" spans="41:48">
      <c r="AO2078" s="829" t="str">
        <f t="shared" si="446"/>
        <v>No</v>
      </c>
      <c r="AP2078" s="259" t="str">
        <f t="shared" si="451"/>
        <v>blank</v>
      </c>
      <c r="AQ2078" s="547" t="str">
        <f t="shared" si="450"/>
        <v>无定金+无預留客戶</v>
      </c>
      <c r="AR2078" s="259" t="str">
        <f t="shared" si="444"/>
        <v/>
      </c>
      <c r="AS2078" s="259" t="str">
        <f t="shared" si="445"/>
        <v/>
      </c>
      <c r="AT2078" s="259" t="b">
        <f t="shared" si="447"/>
        <v>0</v>
      </c>
      <c r="AU2078" s="259" t="b">
        <f t="shared" si="448"/>
        <v>0</v>
      </c>
      <c r="AV2078" s="259" t="str">
        <f t="shared" si="449"/>
        <v>-</v>
      </c>
    </row>
    <row r="2079" spans="41:48">
      <c r="AO2079" s="829" t="str">
        <f t="shared" si="446"/>
        <v>No</v>
      </c>
      <c r="AP2079" s="259" t="str">
        <f t="shared" si="451"/>
        <v>blank</v>
      </c>
      <c r="AQ2079" s="547" t="str">
        <f t="shared" si="450"/>
        <v>无定金+无預留客戶</v>
      </c>
      <c r="AR2079" s="259" t="str">
        <f t="shared" si="444"/>
        <v/>
      </c>
      <c r="AS2079" s="259" t="str">
        <f t="shared" si="445"/>
        <v/>
      </c>
      <c r="AT2079" s="259" t="b">
        <f t="shared" si="447"/>
        <v>0</v>
      </c>
      <c r="AU2079" s="259" t="b">
        <f t="shared" si="448"/>
        <v>0</v>
      </c>
      <c r="AV2079" s="259" t="str">
        <f t="shared" si="449"/>
        <v>-</v>
      </c>
    </row>
    <row r="2080" spans="41:48">
      <c r="AO2080" s="829" t="str">
        <f t="shared" si="446"/>
        <v>No</v>
      </c>
      <c r="AP2080" s="259" t="str">
        <f t="shared" si="451"/>
        <v>blank</v>
      </c>
      <c r="AQ2080" s="547" t="str">
        <f t="shared" si="450"/>
        <v>无定金+无預留客戶</v>
      </c>
      <c r="AR2080" s="259" t="str">
        <f t="shared" si="444"/>
        <v/>
      </c>
      <c r="AS2080" s="259" t="str">
        <f t="shared" si="445"/>
        <v/>
      </c>
      <c r="AT2080" s="259" t="b">
        <f t="shared" si="447"/>
        <v>0</v>
      </c>
      <c r="AU2080" s="259" t="b">
        <f t="shared" si="448"/>
        <v>0</v>
      </c>
      <c r="AV2080" s="259" t="str">
        <f t="shared" si="449"/>
        <v>-</v>
      </c>
    </row>
    <row r="2081" spans="41:48">
      <c r="AO2081" s="829" t="str">
        <f t="shared" si="446"/>
        <v>No</v>
      </c>
      <c r="AP2081" s="259" t="str">
        <f t="shared" si="451"/>
        <v>blank</v>
      </c>
      <c r="AQ2081" s="547" t="str">
        <f t="shared" si="450"/>
        <v>无定金+无預留客戶</v>
      </c>
      <c r="AR2081" s="259" t="str">
        <f t="shared" si="444"/>
        <v/>
      </c>
      <c r="AS2081" s="259" t="str">
        <f t="shared" si="445"/>
        <v/>
      </c>
      <c r="AT2081" s="259" t="b">
        <f t="shared" si="447"/>
        <v>0</v>
      </c>
      <c r="AU2081" s="259" t="b">
        <f t="shared" si="448"/>
        <v>0</v>
      </c>
      <c r="AV2081" s="259" t="str">
        <f t="shared" si="449"/>
        <v>-</v>
      </c>
    </row>
    <row r="2082" spans="41:48">
      <c r="AO2082" s="829" t="str">
        <f t="shared" si="446"/>
        <v>No</v>
      </c>
      <c r="AP2082" s="259" t="str">
        <f t="shared" si="451"/>
        <v>blank</v>
      </c>
      <c r="AQ2082" s="547" t="str">
        <f t="shared" si="450"/>
        <v>无定金+无預留客戶</v>
      </c>
      <c r="AR2082" s="259" t="str">
        <f t="shared" si="444"/>
        <v/>
      </c>
      <c r="AS2082" s="259" t="str">
        <f t="shared" si="445"/>
        <v/>
      </c>
      <c r="AT2082" s="259" t="b">
        <f t="shared" si="447"/>
        <v>0</v>
      </c>
      <c r="AU2082" s="259" t="b">
        <f t="shared" si="448"/>
        <v>0</v>
      </c>
      <c r="AV2082" s="259" t="str">
        <f t="shared" si="449"/>
        <v>-</v>
      </c>
    </row>
    <row r="2083" spans="41:48">
      <c r="AO2083" s="829" t="str">
        <f t="shared" si="446"/>
        <v>No</v>
      </c>
      <c r="AP2083" s="259" t="str">
        <f t="shared" si="451"/>
        <v>blank</v>
      </c>
      <c r="AQ2083" s="547" t="str">
        <f t="shared" si="450"/>
        <v>无定金+无預留客戶</v>
      </c>
      <c r="AR2083" s="259" t="str">
        <f t="shared" si="444"/>
        <v/>
      </c>
      <c r="AS2083" s="259" t="str">
        <f t="shared" si="445"/>
        <v/>
      </c>
      <c r="AT2083" s="259" t="b">
        <f t="shared" si="447"/>
        <v>0</v>
      </c>
      <c r="AU2083" s="259" t="b">
        <f t="shared" si="448"/>
        <v>0</v>
      </c>
      <c r="AV2083" s="259" t="str">
        <f t="shared" si="449"/>
        <v>-</v>
      </c>
    </row>
    <row r="2084" spans="41:48">
      <c r="AO2084" s="829" t="str">
        <f t="shared" si="446"/>
        <v>No</v>
      </c>
      <c r="AP2084" s="259" t="str">
        <f t="shared" si="451"/>
        <v>blank</v>
      </c>
      <c r="AQ2084" s="547" t="str">
        <f t="shared" si="450"/>
        <v>无定金+无預留客戶</v>
      </c>
      <c r="AR2084" s="259" t="str">
        <f t="shared" si="444"/>
        <v/>
      </c>
      <c r="AS2084" s="259" t="str">
        <f t="shared" si="445"/>
        <v/>
      </c>
      <c r="AT2084" s="259" t="b">
        <f t="shared" si="447"/>
        <v>0</v>
      </c>
      <c r="AU2084" s="259" t="b">
        <f t="shared" si="448"/>
        <v>0</v>
      </c>
      <c r="AV2084" s="259" t="str">
        <f t="shared" si="449"/>
        <v>-</v>
      </c>
    </row>
    <row r="2085" spans="41:48">
      <c r="AO2085" s="829" t="str">
        <f t="shared" si="446"/>
        <v>No</v>
      </c>
      <c r="AP2085" s="259" t="str">
        <f t="shared" si="451"/>
        <v>blank</v>
      </c>
      <c r="AQ2085" s="547" t="str">
        <f t="shared" si="450"/>
        <v>无定金+无預留客戶</v>
      </c>
      <c r="AR2085" s="259" t="str">
        <f t="shared" si="444"/>
        <v/>
      </c>
      <c r="AS2085" s="259" t="str">
        <f t="shared" si="445"/>
        <v/>
      </c>
      <c r="AT2085" s="259" t="b">
        <f t="shared" si="447"/>
        <v>0</v>
      </c>
      <c r="AU2085" s="259" t="b">
        <f t="shared" si="448"/>
        <v>0</v>
      </c>
      <c r="AV2085" s="259" t="str">
        <f t="shared" si="449"/>
        <v>-</v>
      </c>
    </row>
    <row r="2086" spans="41:48">
      <c r="AO2086" s="829" t="str">
        <f t="shared" si="446"/>
        <v>No</v>
      </c>
      <c r="AP2086" s="259" t="str">
        <f t="shared" si="451"/>
        <v>blank</v>
      </c>
      <c r="AQ2086" s="547" t="str">
        <f t="shared" si="450"/>
        <v>无定金+无預留客戶</v>
      </c>
      <c r="AR2086" s="259" t="str">
        <f t="shared" si="444"/>
        <v/>
      </c>
      <c r="AS2086" s="259" t="str">
        <f t="shared" si="445"/>
        <v/>
      </c>
      <c r="AT2086" s="259" t="b">
        <f t="shared" si="447"/>
        <v>0</v>
      </c>
      <c r="AU2086" s="259" t="b">
        <f t="shared" si="448"/>
        <v>0</v>
      </c>
      <c r="AV2086" s="259" t="str">
        <f t="shared" si="449"/>
        <v>-</v>
      </c>
    </row>
    <row r="2087" spans="41:48">
      <c r="AO2087" s="829" t="str">
        <f t="shared" si="446"/>
        <v>No</v>
      </c>
      <c r="AP2087" s="259" t="str">
        <f t="shared" si="451"/>
        <v>blank</v>
      </c>
      <c r="AQ2087" s="547" t="str">
        <f t="shared" si="450"/>
        <v>无定金+无預留客戶</v>
      </c>
      <c r="AR2087" s="259" t="str">
        <f t="shared" si="444"/>
        <v/>
      </c>
      <c r="AS2087" s="259" t="str">
        <f t="shared" si="445"/>
        <v/>
      </c>
      <c r="AT2087" s="259" t="b">
        <f t="shared" si="447"/>
        <v>0</v>
      </c>
      <c r="AU2087" s="259" t="b">
        <f t="shared" si="448"/>
        <v>0</v>
      </c>
      <c r="AV2087" s="259" t="str">
        <f t="shared" si="449"/>
        <v>-</v>
      </c>
    </row>
    <row r="2088" spans="41:48">
      <c r="AO2088" s="829" t="str">
        <f t="shared" si="446"/>
        <v>No</v>
      </c>
      <c r="AP2088" s="259" t="str">
        <f t="shared" si="451"/>
        <v>blank</v>
      </c>
      <c r="AQ2088" s="547" t="str">
        <f t="shared" si="450"/>
        <v>无定金+无預留客戶</v>
      </c>
      <c r="AR2088" s="259" t="str">
        <f t="shared" si="444"/>
        <v/>
      </c>
      <c r="AS2088" s="259" t="str">
        <f t="shared" si="445"/>
        <v/>
      </c>
      <c r="AT2088" s="259" t="b">
        <f t="shared" si="447"/>
        <v>0</v>
      </c>
      <c r="AU2088" s="259" t="b">
        <f t="shared" si="448"/>
        <v>0</v>
      </c>
      <c r="AV2088" s="259" t="str">
        <f t="shared" si="449"/>
        <v>-</v>
      </c>
    </row>
    <row r="2089" spans="41:48">
      <c r="AO2089" s="829" t="str">
        <f t="shared" si="446"/>
        <v>No</v>
      </c>
      <c r="AP2089" s="259" t="str">
        <f t="shared" si="451"/>
        <v>blank</v>
      </c>
      <c r="AQ2089" s="547" t="str">
        <f t="shared" si="450"/>
        <v>无定金+无預留客戶</v>
      </c>
      <c r="AR2089" s="259" t="str">
        <f t="shared" si="444"/>
        <v/>
      </c>
      <c r="AS2089" s="259" t="str">
        <f t="shared" si="445"/>
        <v/>
      </c>
      <c r="AT2089" s="259" t="b">
        <f t="shared" si="447"/>
        <v>0</v>
      </c>
      <c r="AU2089" s="259" t="b">
        <f t="shared" si="448"/>
        <v>0</v>
      </c>
      <c r="AV2089" s="259" t="str">
        <f t="shared" si="449"/>
        <v>-</v>
      </c>
    </row>
    <row r="2090" spans="41:48">
      <c r="AO2090" s="829" t="str">
        <f t="shared" si="446"/>
        <v>No</v>
      </c>
      <c r="AP2090" s="259" t="str">
        <f t="shared" si="451"/>
        <v>blank</v>
      </c>
      <c r="AQ2090" s="547" t="str">
        <f t="shared" si="450"/>
        <v>无定金+无預留客戶</v>
      </c>
      <c r="AR2090" s="259" t="str">
        <f t="shared" si="444"/>
        <v/>
      </c>
      <c r="AS2090" s="259" t="str">
        <f t="shared" si="445"/>
        <v/>
      </c>
      <c r="AT2090" s="259" t="b">
        <f t="shared" si="447"/>
        <v>0</v>
      </c>
      <c r="AU2090" s="259" t="b">
        <f t="shared" si="448"/>
        <v>0</v>
      </c>
      <c r="AV2090" s="259" t="str">
        <f t="shared" si="449"/>
        <v>-</v>
      </c>
    </row>
    <row r="2091" spans="41:48">
      <c r="AO2091" s="829" t="str">
        <f t="shared" si="446"/>
        <v>No</v>
      </c>
      <c r="AP2091" s="259" t="str">
        <f t="shared" si="451"/>
        <v>blank</v>
      </c>
      <c r="AQ2091" s="547" t="str">
        <f t="shared" si="450"/>
        <v>无定金+无預留客戶</v>
      </c>
      <c r="AR2091" s="259" t="str">
        <f t="shared" si="444"/>
        <v/>
      </c>
      <c r="AS2091" s="259" t="str">
        <f t="shared" si="445"/>
        <v/>
      </c>
      <c r="AT2091" s="259" t="b">
        <f t="shared" si="447"/>
        <v>0</v>
      </c>
      <c r="AU2091" s="259" t="b">
        <f t="shared" si="448"/>
        <v>0</v>
      </c>
      <c r="AV2091" s="259" t="str">
        <f t="shared" si="449"/>
        <v>-</v>
      </c>
    </row>
    <row r="2092" spans="41:48">
      <c r="AO2092" s="829" t="str">
        <f t="shared" si="446"/>
        <v>No</v>
      </c>
      <c r="AP2092" s="259" t="str">
        <f t="shared" si="451"/>
        <v>blank</v>
      </c>
      <c r="AQ2092" s="547" t="str">
        <f t="shared" si="450"/>
        <v>无定金+无預留客戶</v>
      </c>
      <c r="AR2092" s="259" t="str">
        <f t="shared" si="444"/>
        <v/>
      </c>
      <c r="AS2092" s="259" t="str">
        <f t="shared" si="445"/>
        <v/>
      </c>
      <c r="AT2092" s="259" t="b">
        <f t="shared" si="447"/>
        <v>0</v>
      </c>
      <c r="AU2092" s="259" t="b">
        <f t="shared" si="448"/>
        <v>0</v>
      </c>
      <c r="AV2092" s="259" t="str">
        <f t="shared" si="449"/>
        <v>-</v>
      </c>
    </row>
    <row r="2093" spans="41:48">
      <c r="AO2093" s="829" t="str">
        <f t="shared" si="446"/>
        <v>No</v>
      </c>
      <c r="AP2093" s="259" t="str">
        <f t="shared" si="451"/>
        <v>blank</v>
      </c>
      <c r="AQ2093" s="547" t="str">
        <f t="shared" si="450"/>
        <v>无定金+无預留客戶</v>
      </c>
      <c r="AR2093" s="259" t="str">
        <f t="shared" si="444"/>
        <v/>
      </c>
      <c r="AS2093" s="259" t="str">
        <f t="shared" si="445"/>
        <v/>
      </c>
      <c r="AT2093" s="259" t="b">
        <f t="shared" si="447"/>
        <v>0</v>
      </c>
      <c r="AU2093" s="259" t="b">
        <f t="shared" si="448"/>
        <v>0</v>
      </c>
      <c r="AV2093" s="259" t="str">
        <f t="shared" si="449"/>
        <v>-</v>
      </c>
    </row>
    <row r="2094" spans="41:48">
      <c r="AO2094" s="829" t="str">
        <f t="shared" si="446"/>
        <v>No</v>
      </c>
      <c r="AP2094" s="259" t="str">
        <f t="shared" si="451"/>
        <v>blank</v>
      </c>
      <c r="AQ2094" s="547" t="str">
        <f t="shared" si="450"/>
        <v>无定金+无預留客戶</v>
      </c>
      <c r="AR2094" s="259" t="str">
        <f t="shared" si="444"/>
        <v/>
      </c>
      <c r="AS2094" s="259" t="str">
        <f t="shared" si="445"/>
        <v/>
      </c>
      <c r="AT2094" s="259" t="b">
        <f t="shared" si="447"/>
        <v>0</v>
      </c>
      <c r="AU2094" s="259" t="b">
        <f t="shared" si="448"/>
        <v>0</v>
      </c>
      <c r="AV2094" s="259" t="str">
        <f t="shared" si="449"/>
        <v>-</v>
      </c>
    </row>
    <row r="2095" spans="41:48">
      <c r="AO2095" s="829" t="str">
        <f t="shared" si="446"/>
        <v>No</v>
      </c>
      <c r="AP2095" s="259" t="str">
        <f t="shared" si="451"/>
        <v>blank</v>
      </c>
      <c r="AQ2095" s="547" t="str">
        <f t="shared" si="450"/>
        <v>无定金+无預留客戶</v>
      </c>
      <c r="AR2095" s="259" t="str">
        <f t="shared" si="444"/>
        <v/>
      </c>
      <c r="AS2095" s="259" t="str">
        <f t="shared" si="445"/>
        <v/>
      </c>
      <c r="AT2095" s="259" t="b">
        <f t="shared" si="447"/>
        <v>0</v>
      </c>
      <c r="AU2095" s="259" t="b">
        <f t="shared" si="448"/>
        <v>0</v>
      </c>
      <c r="AV2095" s="259" t="str">
        <f t="shared" si="449"/>
        <v>-</v>
      </c>
    </row>
    <row r="2096" spans="41:48">
      <c r="AO2096" s="829" t="str">
        <f t="shared" si="446"/>
        <v>No</v>
      </c>
      <c r="AP2096" s="259" t="str">
        <f t="shared" si="451"/>
        <v>blank</v>
      </c>
      <c r="AQ2096" s="547" t="str">
        <f t="shared" si="450"/>
        <v>无定金+无預留客戶</v>
      </c>
      <c r="AR2096" s="259" t="str">
        <f t="shared" si="444"/>
        <v/>
      </c>
      <c r="AS2096" s="259" t="str">
        <f t="shared" si="445"/>
        <v/>
      </c>
      <c r="AT2096" s="259" t="b">
        <f t="shared" si="447"/>
        <v>0</v>
      </c>
      <c r="AU2096" s="259" t="b">
        <f t="shared" si="448"/>
        <v>0</v>
      </c>
      <c r="AV2096" s="259" t="str">
        <f t="shared" si="449"/>
        <v>-</v>
      </c>
    </row>
    <row r="2097" spans="41:48">
      <c r="AO2097" s="829" t="str">
        <f t="shared" si="446"/>
        <v>No</v>
      </c>
      <c r="AP2097" s="259" t="str">
        <f t="shared" si="451"/>
        <v>blank</v>
      </c>
      <c r="AQ2097" s="547" t="str">
        <f t="shared" si="450"/>
        <v>无定金+无預留客戶</v>
      </c>
      <c r="AR2097" s="259" t="str">
        <f t="shared" si="444"/>
        <v/>
      </c>
      <c r="AS2097" s="259" t="str">
        <f t="shared" si="445"/>
        <v/>
      </c>
      <c r="AT2097" s="259" t="b">
        <f t="shared" si="447"/>
        <v>0</v>
      </c>
      <c r="AU2097" s="259" t="b">
        <f t="shared" si="448"/>
        <v>0</v>
      </c>
      <c r="AV2097" s="259" t="str">
        <f t="shared" si="449"/>
        <v>-</v>
      </c>
    </row>
    <row r="2098" spans="41:48">
      <c r="AO2098" s="829" t="str">
        <f t="shared" si="446"/>
        <v>No</v>
      </c>
      <c r="AP2098" s="259" t="str">
        <f t="shared" si="451"/>
        <v>blank</v>
      </c>
      <c r="AQ2098" s="547" t="str">
        <f t="shared" si="450"/>
        <v>无定金+无預留客戶</v>
      </c>
      <c r="AR2098" s="259" t="str">
        <f t="shared" si="444"/>
        <v/>
      </c>
      <c r="AS2098" s="259" t="str">
        <f t="shared" si="445"/>
        <v/>
      </c>
      <c r="AT2098" s="259" t="b">
        <f t="shared" si="447"/>
        <v>0</v>
      </c>
      <c r="AU2098" s="259" t="b">
        <f t="shared" si="448"/>
        <v>0</v>
      </c>
      <c r="AV2098" s="259" t="str">
        <f t="shared" si="449"/>
        <v>-</v>
      </c>
    </row>
    <row r="2099" spans="41:48">
      <c r="AO2099" s="829" t="str">
        <f t="shared" si="446"/>
        <v>No</v>
      </c>
      <c r="AP2099" s="259" t="str">
        <f t="shared" si="451"/>
        <v>blank</v>
      </c>
      <c r="AQ2099" s="547" t="str">
        <f t="shared" si="450"/>
        <v>无定金+无預留客戶</v>
      </c>
      <c r="AR2099" s="259" t="str">
        <f t="shared" si="444"/>
        <v/>
      </c>
      <c r="AS2099" s="259" t="str">
        <f t="shared" si="445"/>
        <v/>
      </c>
      <c r="AT2099" s="259" t="b">
        <f t="shared" si="447"/>
        <v>0</v>
      </c>
      <c r="AU2099" s="259" t="b">
        <f t="shared" si="448"/>
        <v>0</v>
      </c>
      <c r="AV2099" s="259" t="str">
        <f t="shared" si="449"/>
        <v>-</v>
      </c>
    </row>
    <row r="2100" spans="41:48">
      <c r="AO2100" s="829" t="str">
        <f t="shared" si="446"/>
        <v>No</v>
      </c>
      <c r="AP2100" s="259" t="str">
        <f t="shared" si="451"/>
        <v>blank</v>
      </c>
      <c r="AQ2100" s="547" t="str">
        <f t="shared" si="450"/>
        <v>无定金+无預留客戶</v>
      </c>
      <c r="AR2100" s="259" t="str">
        <f t="shared" si="444"/>
        <v/>
      </c>
      <c r="AS2100" s="259" t="str">
        <f t="shared" si="445"/>
        <v/>
      </c>
      <c r="AT2100" s="259" t="b">
        <f t="shared" si="447"/>
        <v>0</v>
      </c>
      <c r="AU2100" s="259" t="b">
        <f t="shared" si="448"/>
        <v>0</v>
      </c>
      <c r="AV2100" s="259" t="str">
        <f t="shared" si="449"/>
        <v>-</v>
      </c>
    </row>
    <row r="2101" spans="41:48">
      <c r="AO2101" s="829" t="str">
        <f t="shared" si="446"/>
        <v>No</v>
      </c>
      <c r="AP2101" s="259" t="str">
        <f t="shared" si="451"/>
        <v>blank</v>
      </c>
      <c r="AQ2101" s="547" t="str">
        <f t="shared" si="450"/>
        <v>无定金+无預留客戶</v>
      </c>
      <c r="AR2101" s="259" t="str">
        <f t="shared" si="444"/>
        <v/>
      </c>
      <c r="AS2101" s="259" t="str">
        <f t="shared" si="445"/>
        <v/>
      </c>
      <c r="AT2101" s="259" t="b">
        <f t="shared" si="447"/>
        <v>0</v>
      </c>
      <c r="AU2101" s="259" t="b">
        <f t="shared" si="448"/>
        <v>0</v>
      </c>
      <c r="AV2101" s="259" t="str">
        <f t="shared" si="449"/>
        <v>-</v>
      </c>
    </row>
    <row r="2102" spans="41:48">
      <c r="AO2102" s="829" t="str">
        <f t="shared" si="446"/>
        <v>No</v>
      </c>
      <c r="AP2102" s="259" t="str">
        <f t="shared" si="451"/>
        <v>blank</v>
      </c>
      <c r="AQ2102" s="547" t="str">
        <f t="shared" si="450"/>
        <v>无定金+无預留客戶</v>
      </c>
      <c r="AR2102" s="259" t="str">
        <f t="shared" si="444"/>
        <v/>
      </c>
      <c r="AS2102" s="259" t="str">
        <f t="shared" si="445"/>
        <v/>
      </c>
      <c r="AT2102" s="259" t="b">
        <f t="shared" si="447"/>
        <v>0</v>
      </c>
      <c r="AU2102" s="259" t="b">
        <f t="shared" si="448"/>
        <v>0</v>
      </c>
      <c r="AV2102" s="259" t="str">
        <f t="shared" si="449"/>
        <v>-</v>
      </c>
    </row>
    <row r="2103" spans="41:48">
      <c r="AO2103" s="829" t="str">
        <f t="shared" si="446"/>
        <v>No</v>
      </c>
      <c r="AP2103" s="259" t="str">
        <f t="shared" si="451"/>
        <v>blank</v>
      </c>
      <c r="AQ2103" s="547" t="str">
        <f t="shared" si="450"/>
        <v>无定金+无預留客戶</v>
      </c>
      <c r="AR2103" s="259" t="str">
        <f t="shared" si="444"/>
        <v/>
      </c>
      <c r="AS2103" s="259" t="str">
        <f t="shared" si="445"/>
        <v/>
      </c>
      <c r="AT2103" s="259" t="b">
        <f t="shared" si="447"/>
        <v>0</v>
      </c>
      <c r="AU2103" s="259" t="b">
        <f t="shared" si="448"/>
        <v>0</v>
      </c>
      <c r="AV2103" s="259" t="str">
        <f t="shared" si="449"/>
        <v>-</v>
      </c>
    </row>
    <row r="2104" spans="41:48">
      <c r="AO2104" s="829" t="str">
        <f t="shared" si="446"/>
        <v>No</v>
      </c>
      <c r="AP2104" s="259" t="str">
        <f t="shared" si="451"/>
        <v>blank</v>
      </c>
      <c r="AQ2104" s="547" t="str">
        <f t="shared" si="450"/>
        <v>无定金+无預留客戶</v>
      </c>
      <c r="AR2104" s="259" t="str">
        <f t="shared" si="444"/>
        <v/>
      </c>
      <c r="AS2104" s="259" t="str">
        <f t="shared" si="445"/>
        <v/>
      </c>
      <c r="AT2104" s="259" t="b">
        <f t="shared" si="447"/>
        <v>0</v>
      </c>
      <c r="AU2104" s="259" t="b">
        <f t="shared" si="448"/>
        <v>0</v>
      </c>
      <c r="AV2104" s="259" t="str">
        <f t="shared" si="449"/>
        <v>-</v>
      </c>
    </row>
    <row r="2105" spans="41:48">
      <c r="AO2105" s="829" t="str">
        <f t="shared" si="446"/>
        <v>No</v>
      </c>
      <c r="AP2105" s="259" t="str">
        <f t="shared" si="451"/>
        <v>blank</v>
      </c>
      <c r="AQ2105" s="547" t="str">
        <f t="shared" si="450"/>
        <v>无定金+无預留客戶</v>
      </c>
      <c r="AR2105" s="259" t="str">
        <f t="shared" si="444"/>
        <v/>
      </c>
      <c r="AS2105" s="259" t="str">
        <f t="shared" si="445"/>
        <v/>
      </c>
      <c r="AT2105" s="259" t="b">
        <f t="shared" si="447"/>
        <v>0</v>
      </c>
      <c r="AU2105" s="259" t="b">
        <f t="shared" si="448"/>
        <v>0</v>
      </c>
      <c r="AV2105" s="259" t="str">
        <f t="shared" si="449"/>
        <v>-</v>
      </c>
    </row>
    <row r="2106" spans="41:48">
      <c r="AO2106" s="829" t="str">
        <f t="shared" si="446"/>
        <v>No</v>
      </c>
      <c r="AP2106" s="259" t="str">
        <f t="shared" si="451"/>
        <v>blank</v>
      </c>
      <c r="AQ2106" s="547" t="str">
        <f t="shared" si="450"/>
        <v>无定金+无預留客戶</v>
      </c>
      <c r="AR2106" s="259" t="str">
        <f t="shared" si="444"/>
        <v/>
      </c>
      <c r="AS2106" s="259" t="str">
        <f t="shared" si="445"/>
        <v/>
      </c>
      <c r="AT2106" s="259" t="b">
        <f t="shared" si="447"/>
        <v>0</v>
      </c>
      <c r="AU2106" s="259" t="b">
        <f t="shared" si="448"/>
        <v>0</v>
      </c>
      <c r="AV2106" s="259" t="str">
        <f t="shared" si="449"/>
        <v>-</v>
      </c>
    </row>
    <row r="2107" spans="41:48">
      <c r="AO2107" s="829" t="str">
        <f t="shared" si="446"/>
        <v>No</v>
      </c>
      <c r="AP2107" s="259" t="str">
        <f t="shared" si="451"/>
        <v>blank</v>
      </c>
      <c r="AQ2107" s="547" t="str">
        <f t="shared" si="450"/>
        <v>无定金+无預留客戶</v>
      </c>
      <c r="AR2107" s="259" t="str">
        <f t="shared" si="444"/>
        <v/>
      </c>
      <c r="AS2107" s="259" t="str">
        <f t="shared" si="445"/>
        <v/>
      </c>
      <c r="AT2107" s="259" t="b">
        <f t="shared" si="447"/>
        <v>0</v>
      </c>
      <c r="AU2107" s="259" t="b">
        <f t="shared" si="448"/>
        <v>0</v>
      </c>
      <c r="AV2107" s="259" t="str">
        <f t="shared" si="449"/>
        <v>-</v>
      </c>
    </row>
    <row r="2108" spans="41:48">
      <c r="AO2108" s="829" t="str">
        <f t="shared" si="446"/>
        <v>No</v>
      </c>
      <c r="AP2108" s="259" t="str">
        <f t="shared" si="451"/>
        <v>blank</v>
      </c>
      <c r="AQ2108" s="547" t="str">
        <f t="shared" si="450"/>
        <v>无定金+无預留客戶</v>
      </c>
      <c r="AR2108" s="259" t="str">
        <f t="shared" si="444"/>
        <v/>
      </c>
      <c r="AS2108" s="259" t="str">
        <f t="shared" si="445"/>
        <v/>
      </c>
      <c r="AT2108" s="259" t="b">
        <f t="shared" si="447"/>
        <v>0</v>
      </c>
      <c r="AU2108" s="259" t="b">
        <f t="shared" si="448"/>
        <v>0</v>
      </c>
      <c r="AV2108" s="259" t="str">
        <f t="shared" si="449"/>
        <v>-</v>
      </c>
    </row>
    <row r="2109" spans="41:48">
      <c r="AO2109" s="829" t="str">
        <f t="shared" si="446"/>
        <v>No</v>
      </c>
      <c r="AP2109" s="259" t="str">
        <f t="shared" si="451"/>
        <v>blank</v>
      </c>
      <c r="AQ2109" s="547" t="str">
        <f t="shared" si="450"/>
        <v>无定金+无預留客戶</v>
      </c>
      <c r="AR2109" s="259" t="str">
        <f t="shared" si="444"/>
        <v/>
      </c>
      <c r="AS2109" s="259" t="str">
        <f t="shared" si="445"/>
        <v/>
      </c>
      <c r="AT2109" s="259" t="b">
        <f t="shared" si="447"/>
        <v>0</v>
      </c>
      <c r="AU2109" s="259" t="b">
        <f t="shared" si="448"/>
        <v>0</v>
      </c>
      <c r="AV2109" s="259" t="str">
        <f t="shared" si="449"/>
        <v>-</v>
      </c>
    </row>
    <row r="2110" spans="41:48">
      <c r="AO2110" s="829" t="str">
        <f t="shared" si="446"/>
        <v>No</v>
      </c>
      <c r="AP2110" s="259" t="str">
        <f t="shared" si="451"/>
        <v>blank</v>
      </c>
      <c r="AQ2110" s="547" t="str">
        <f t="shared" si="450"/>
        <v>无定金+无預留客戶</v>
      </c>
      <c r="AR2110" s="259" t="str">
        <f t="shared" ref="AR2110:AR2173" si="452">IFERROR(IF(B2110="已经到货", "Instock", IF(B2110="有交期", "Incoming_Stock_With_YAMAHA_Schedule", IF(B2110="TBA.", "Incoming_Stock_No_YAMAHA_Schedule", IF(B2110="已发货", "Shipped_Stock", "")))), "")</f>
        <v/>
      </c>
      <c r="AS2110" s="259" t="str">
        <f t="shared" ref="AS2110:AS2173" si="453">IF(AND(B2110="有交期", L2110&lt;&gt;""), L2110, "")</f>
        <v/>
      </c>
      <c r="AT2110" s="259" t="b">
        <f t="shared" si="447"/>
        <v>0</v>
      </c>
      <c r="AU2110" s="259" t="b">
        <f t="shared" si="448"/>
        <v>0</v>
      </c>
      <c r="AV2110" s="259" t="str">
        <f t="shared" si="449"/>
        <v>-</v>
      </c>
    </row>
    <row r="2111" spans="41:48">
      <c r="AO2111" s="829" t="str">
        <f t="shared" si="446"/>
        <v>No</v>
      </c>
      <c r="AP2111" s="259" t="str">
        <f t="shared" si="451"/>
        <v>blank</v>
      </c>
      <c r="AQ2111" s="547" t="str">
        <f t="shared" si="450"/>
        <v>无定金+无預留客戶</v>
      </c>
      <c r="AR2111" s="259" t="str">
        <f t="shared" si="452"/>
        <v/>
      </c>
      <c r="AS2111" s="259" t="str">
        <f t="shared" si="453"/>
        <v/>
      </c>
      <c r="AT2111" s="259" t="b">
        <f t="shared" si="447"/>
        <v>0</v>
      </c>
      <c r="AU2111" s="259" t="b">
        <f t="shared" si="448"/>
        <v>0</v>
      </c>
      <c r="AV2111" s="259" t="str">
        <f t="shared" si="449"/>
        <v>-</v>
      </c>
    </row>
    <row r="2112" spans="41:48">
      <c r="AO2112" s="829" t="str">
        <f t="shared" si="446"/>
        <v>No</v>
      </c>
      <c r="AP2112" s="259" t="str">
        <f t="shared" si="451"/>
        <v>blank</v>
      </c>
      <c r="AQ2112" s="547" t="str">
        <f t="shared" si="450"/>
        <v>无定金+无預留客戶</v>
      </c>
      <c r="AR2112" s="259" t="str">
        <f t="shared" si="452"/>
        <v/>
      </c>
      <c r="AS2112" s="259" t="str">
        <f t="shared" si="453"/>
        <v/>
      </c>
      <c r="AT2112" s="259" t="b">
        <f t="shared" si="447"/>
        <v>0</v>
      </c>
      <c r="AU2112" s="259" t="b">
        <f t="shared" si="448"/>
        <v>0</v>
      </c>
      <c r="AV2112" s="259" t="str">
        <f t="shared" si="449"/>
        <v>-</v>
      </c>
    </row>
    <row r="2113" spans="41:48">
      <c r="AO2113" s="829" t="str">
        <f t="shared" si="446"/>
        <v>No</v>
      </c>
      <c r="AP2113" s="259" t="str">
        <f t="shared" si="451"/>
        <v>blank</v>
      </c>
      <c r="AQ2113" s="547" t="str">
        <f t="shared" si="450"/>
        <v>无定金+无預留客戶</v>
      </c>
      <c r="AR2113" s="259" t="str">
        <f t="shared" si="452"/>
        <v/>
      </c>
      <c r="AS2113" s="259" t="str">
        <f t="shared" si="453"/>
        <v/>
      </c>
      <c r="AT2113" s="259" t="b">
        <f t="shared" si="447"/>
        <v>0</v>
      </c>
      <c r="AU2113" s="259" t="b">
        <f t="shared" si="448"/>
        <v>0</v>
      </c>
      <c r="AV2113" s="259" t="str">
        <f t="shared" si="449"/>
        <v>-</v>
      </c>
    </row>
    <row r="2114" spans="41:48">
      <c r="AO2114" s="829" t="str">
        <f t="shared" ref="AO2114:AO2177" si="454">IFERROR(IF(Y2114&lt;&gt;"",Y2114,"No"),"No")</f>
        <v>No</v>
      </c>
      <c r="AP2114" s="259" t="str">
        <f t="shared" si="451"/>
        <v>blank</v>
      </c>
      <c r="AQ2114" s="547" t="str">
        <f t="shared" si="450"/>
        <v>无定金+无預留客戶</v>
      </c>
      <c r="AR2114" s="259" t="str">
        <f t="shared" si="452"/>
        <v/>
      </c>
      <c r="AS2114" s="259" t="str">
        <f t="shared" si="453"/>
        <v/>
      </c>
      <c r="AT2114" s="259" t="b">
        <f t="shared" ref="AT2114:AT2177" si="455">IFERROR(IF(R2114&lt;&gt;"",R2114),"-")</f>
        <v>0</v>
      </c>
      <c r="AU2114" s="259" t="b">
        <f t="shared" ref="AU2114:AU2177" si="456">IFERROR(IF(Q2114&lt;&gt;"",Q2114),"-")</f>
        <v>0</v>
      </c>
      <c r="AV2114" s="259" t="str">
        <f t="shared" ref="AV2114:AV2177" si="457">IF(L2114="","-",TEXT(L2114,"mmm-dd"))</f>
        <v>-</v>
      </c>
    </row>
    <row r="2115" spans="41:48">
      <c r="AO2115" s="829" t="str">
        <f t="shared" si="454"/>
        <v>No</v>
      </c>
      <c r="AP2115" s="259" t="str">
        <f t="shared" si="451"/>
        <v>blank</v>
      </c>
      <c r="AQ2115" s="547" t="str">
        <f t="shared" ref="AQ2115:AQ2178" si="458">IFERROR(IF(AND(AO2115="Yes", AP2115&lt;&gt;"blank"), "有定金+有預留客戶", IF(AND(AO2115="Yes", AP2115="blank"), "有定金+无客戶送貨期", IF(AND(OR(AO2115="No", ISBLANK(AO2115), AO2115="NA"), AP2115&lt;&gt;"blank"), "无定金+有預留客戶", IF(AND(OR(AO2115="No", ISBLANK(AO2115), AO2115="NA"), AP2115="blank"), "无定金+无預留客戶", "")))), "")</f>
        <v>无定金+无預留客戶</v>
      </c>
      <c r="AR2115" s="259" t="str">
        <f t="shared" si="452"/>
        <v/>
      </c>
      <c r="AS2115" s="259" t="str">
        <f t="shared" si="453"/>
        <v/>
      </c>
      <c r="AT2115" s="259" t="b">
        <f t="shared" si="455"/>
        <v>0</v>
      </c>
      <c r="AU2115" s="259" t="b">
        <f t="shared" si="456"/>
        <v>0</v>
      </c>
      <c r="AV2115" s="259" t="str">
        <f t="shared" si="457"/>
        <v>-</v>
      </c>
    </row>
    <row r="2116" spans="41:48">
      <c r="AO2116" s="829" t="str">
        <f t="shared" si="454"/>
        <v>No</v>
      </c>
      <c r="AP2116" s="259" t="str">
        <f t="shared" si="451"/>
        <v>blank</v>
      </c>
      <c r="AQ2116" s="547" t="str">
        <f t="shared" si="458"/>
        <v>无定金+无預留客戶</v>
      </c>
      <c r="AR2116" s="259" t="str">
        <f t="shared" si="452"/>
        <v/>
      </c>
      <c r="AS2116" s="259" t="str">
        <f t="shared" si="453"/>
        <v/>
      </c>
      <c r="AT2116" s="259" t="b">
        <f t="shared" si="455"/>
        <v>0</v>
      </c>
      <c r="AU2116" s="259" t="b">
        <f t="shared" si="456"/>
        <v>0</v>
      </c>
      <c r="AV2116" s="259" t="str">
        <f t="shared" si="457"/>
        <v>-</v>
      </c>
    </row>
    <row r="2117" spans="41:48">
      <c r="AO2117" s="829" t="str">
        <f t="shared" si="454"/>
        <v>No</v>
      </c>
      <c r="AP2117" s="259" t="str">
        <f t="shared" si="451"/>
        <v>blank</v>
      </c>
      <c r="AQ2117" s="547" t="str">
        <f t="shared" si="458"/>
        <v>无定金+无預留客戶</v>
      </c>
      <c r="AR2117" s="259" t="str">
        <f t="shared" si="452"/>
        <v/>
      </c>
      <c r="AS2117" s="259" t="str">
        <f t="shared" si="453"/>
        <v/>
      </c>
      <c r="AT2117" s="259" t="b">
        <f t="shared" si="455"/>
        <v>0</v>
      </c>
      <c r="AU2117" s="259" t="b">
        <f t="shared" si="456"/>
        <v>0</v>
      </c>
      <c r="AV2117" s="259" t="str">
        <f t="shared" si="457"/>
        <v>-</v>
      </c>
    </row>
    <row r="2118" spans="41:48">
      <c r="AO2118" s="829" t="str">
        <f t="shared" si="454"/>
        <v>No</v>
      </c>
      <c r="AP2118" s="259" t="str">
        <f t="shared" ref="AP2118:AP2181" si="459">IFERROR(IF(N2118&lt;&gt;"",N2118,"blank"),"NA")</f>
        <v>blank</v>
      </c>
      <c r="AQ2118" s="547" t="str">
        <f t="shared" si="458"/>
        <v>无定金+无預留客戶</v>
      </c>
      <c r="AR2118" s="259" t="str">
        <f t="shared" si="452"/>
        <v/>
      </c>
      <c r="AS2118" s="259" t="str">
        <f t="shared" si="453"/>
        <v/>
      </c>
      <c r="AT2118" s="259" t="b">
        <f t="shared" si="455"/>
        <v>0</v>
      </c>
      <c r="AU2118" s="259" t="b">
        <f t="shared" si="456"/>
        <v>0</v>
      </c>
      <c r="AV2118" s="259" t="str">
        <f t="shared" si="457"/>
        <v>-</v>
      </c>
    </row>
    <row r="2119" spans="41:48">
      <c r="AO2119" s="829" t="str">
        <f t="shared" si="454"/>
        <v>No</v>
      </c>
      <c r="AP2119" s="259" t="str">
        <f t="shared" si="459"/>
        <v>blank</v>
      </c>
      <c r="AQ2119" s="547" t="str">
        <f t="shared" si="458"/>
        <v>无定金+无預留客戶</v>
      </c>
      <c r="AR2119" s="259" t="str">
        <f t="shared" si="452"/>
        <v/>
      </c>
      <c r="AS2119" s="259" t="str">
        <f t="shared" si="453"/>
        <v/>
      </c>
      <c r="AT2119" s="259" t="b">
        <f t="shared" si="455"/>
        <v>0</v>
      </c>
      <c r="AU2119" s="259" t="b">
        <f t="shared" si="456"/>
        <v>0</v>
      </c>
      <c r="AV2119" s="259" t="str">
        <f t="shared" si="457"/>
        <v>-</v>
      </c>
    </row>
    <row r="2120" spans="41:48">
      <c r="AO2120" s="829" t="str">
        <f t="shared" si="454"/>
        <v>No</v>
      </c>
      <c r="AP2120" s="259" t="str">
        <f t="shared" si="459"/>
        <v>blank</v>
      </c>
      <c r="AQ2120" s="547" t="str">
        <f t="shared" si="458"/>
        <v>无定金+无預留客戶</v>
      </c>
      <c r="AR2120" s="259" t="str">
        <f t="shared" si="452"/>
        <v/>
      </c>
      <c r="AS2120" s="259" t="str">
        <f t="shared" si="453"/>
        <v/>
      </c>
      <c r="AT2120" s="259" t="b">
        <f t="shared" si="455"/>
        <v>0</v>
      </c>
      <c r="AU2120" s="259" t="b">
        <f t="shared" si="456"/>
        <v>0</v>
      </c>
      <c r="AV2120" s="259" t="str">
        <f t="shared" si="457"/>
        <v>-</v>
      </c>
    </row>
    <row r="2121" spans="41:48">
      <c r="AO2121" s="829" t="str">
        <f t="shared" si="454"/>
        <v>No</v>
      </c>
      <c r="AP2121" s="259" t="str">
        <f t="shared" si="459"/>
        <v>blank</v>
      </c>
      <c r="AQ2121" s="547" t="str">
        <f t="shared" si="458"/>
        <v>无定金+无預留客戶</v>
      </c>
      <c r="AR2121" s="259" t="str">
        <f t="shared" si="452"/>
        <v/>
      </c>
      <c r="AS2121" s="259" t="str">
        <f t="shared" si="453"/>
        <v/>
      </c>
      <c r="AT2121" s="259" t="b">
        <f t="shared" si="455"/>
        <v>0</v>
      </c>
      <c r="AU2121" s="259" t="b">
        <f t="shared" si="456"/>
        <v>0</v>
      </c>
      <c r="AV2121" s="259" t="str">
        <f t="shared" si="457"/>
        <v>-</v>
      </c>
    </row>
    <row r="2122" spans="41:48">
      <c r="AO2122" s="829" t="str">
        <f t="shared" si="454"/>
        <v>No</v>
      </c>
      <c r="AP2122" s="259" t="str">
        <f t="shared" si="459"/>
        <v>blank</v>
      </c>
      <c r="AQ2122" s="547" t="str">
        <f t="shared" si="458"/>
        <v>无定金+无預留客戶</v>
      </c>
      <c r="AR2122" s="259" t="str">
        <f t="shared" si="452"/>
        <v/>
      </c>
      <c r="AS2122" s="259" t="str">
        <f t="shared" si="453"/>
        <v/>
      </c>
      <c r="AT2122" s="259" t="b">
        <f t="shared" si="455"/>
        <v>0</v>
      </c>
      <c r="AU2122" s="259" t="b">
        <f t="shared" si="456"/>
        <v>0</v>
      </c>
      <c r="AV2122" s="259" t="str">
        <f t="shared" si="457"/>
        <v>-</v>
      </c>
    </row>
    <row r="2123" spans="41:48">
      <c r="AO2123" s="829" t="str">
        <f t="shared" si="454"/>
        <v>No</v>
      </c>
      <c r="AP2123" s="259" t="str">
        <f t="shared" si="459"/>
        <v>blank</v>
      </c>
      <c r="AQ2123" s="547" t="str">
        <f t="shared" si="458"/>
        <v>无定金+无預留客戶</v>
      </c>
      <c r="AR2123" s="259" t="str">
        <f t="shared" si="452"/>
        <v/>
      </c>
      <c r="AS2123" s="259" t="str">
        <f t="shared" si="453"/>
        <v/>
      </c>
      <c r="AT2123" s="259" t="b">
        <f t="shared" si="455"/>
        <v>0</v>
      </c>
      <c r="AU2123" s="259" t="b">
        <f t="shared" si="456"/>
        <v>0</v>
      </c>
      <c r="AV2123" s="259" t="str">
        <f t="shared" si="457"/>
        <v>-</v>
      </c>
    </row>
    <row r="2124" spans="41:48">
      <c r="AO2124" s="829" t="str">
        <f t="shared" si="454"/>
        <v>No</v>
      </c>
      <c r="AP2124" s="259" t="str">
        <f t="shared" si="459"/>
        <v>blank</v>
      </c>
      <c r="AQ2124" s="547" t="str">
        <f t="shared" si="458"/>
        <v>无定金+无預留客戶</v>
      </c>
      <c r="AR2124" s="259" t="str">
        <f t="shared" si="452"/>
        <v/>
      </c>
      <c r="AS2124" s="259" t="str">
        <f t="shared" si="453"/>
        <v/>
      </c>
      <c r="AT2124" s="259" t="b">
        <f t="shared" si="455"/>
        <v>0</v>
      </c>
      <c r="AU2124" s="259" t="b">
        <f t="shared" si="456"/>
        <v>0</v>
      </c>
      <c r="AV2124" s="259" t="str">
        <f t="shared" si="457"/>
        <v>-</v>
      </c>
    </row>
    <row r="2125" spans="41:48">
      <c r="AO2125" s="829" t="str">
        <f t="shared" si="454"/>
        <v>No</v>
      </c>
      <c r="AP2125" s="259" t="str">
        <f t="shared" si="459"/>
        <v>blank</v>
      </c>
      <c r="AQ2125" s="547" t="str">
        <f t="shared" si="458"/>
        <v>无定金+无預留客戶</v>
      </c>
      <c r="AR2125" s="259" t="str">
        <f t="shared" si="452"/>
        <v/>
      </c>
      <c r="AS2125" s="259" t="str">
        <f t="shared" si="453"/>
        <v/>
      </c>
      <c r="AT2125" s="259" t="b">
        <f t="shared" si="455"/>
        <v>0</v>
      </c>
      <c r="AU2125" s="259" t="b">
        <f t="shared" si="456"/>
        <v>0</v>
      </c>
      <c r="AV2125" s="259" t="str">
        <f t="shared" si="457"/>
        <v>-</v>
      </c>
    </row>
    <row r="2126" spans="41:48">
      <c r="AO2126" s="829" t="str">
        <f t="shared" si="454"/>
        <v>No</v>
      </c>
      <c r="AP2126" s="259" t="str">
        <f t="shared" si="459"/>
        <v>blank</v>
      </c>
      <c r="AQ2126" s="547" t="str">
        <f t="shared" si="458"/>
        <v>无定金+无預留客戶</v>
      </c>
      <c r="AR2126" s="259" t="str">
        <f t="shared" si="452"/>
        <v/>
      </c>
      <c r="AS2126" s="259" t="str">
        <f t="shared" si="453"/>
        <v/>
      </c>
      <c r="AT2126" s="259" t="b">
        <f t="shared" si="455"/>
        <v>0</v>
      </c>
      <c r="AU2126" s="259" t="b">
        <f t="shared" si="456"/>
        <v>0</v>
      </c>
      <c r="AV2126" s="259" t="str">
        <f t="shared" si="457"/>
        <v>-</v>
      </c>
    </row>
    <row r="2127" spans="41:48">
      <c r="AO2127" s="829" t="str">
        <f t="shared" si="454"/>
        <v>No</v>
      </c>
      <c r="AP2127" s="259" t="str">
        <f t="shared" si="459"/>
        <v>blank</v>
      </c>
      <c r="AQ2127" s="547" t="str">
        <f t="shared" si="458"/>
        <v>无定金+无預留客戶</v>
      </c>
      <c r="AR2127" s="259" t="str">
        <f t="shared" si="452"/>
        <v/>
      </c>
      <c r="AS2127" s="259" t="str">
        <f t="shared" si="453"/>
        <v/>
      </c>
      <c r="AT2127" s="259" t="b">
        <f t="shared" si="455"/>
        <v>0</v>
      </c>
      <c r="AU2127" s="259" t="b">
        <f t="shared" si="456"/>
        <v>0</v>
      </c>
      <c r="AV2127" s="259" t="str">
        <f t="shared" si="457"/>
        <v>-</v>
      </c>
    </row>
    <row r="2128" spans="41:48">
      <c r="AO2128" s="829" t="str">
        <f t="shared" si="454"/>
        <v>No</v>
      </c>
      <c r="AP2128" s="259" t="str">
        <f t="shared" si="459"/>
        <v>blank</v>
      </c>
      <c r="AQ2128" s="547" t="str">
        <f t="shared" si="458"/>
        <v>无定金+无預留客戶</v>
      </c>
      <c r="AR2128" s="259" t="str">
        <f t="shared" si="452"/>
        <v/>
      </c>
      <c r="AS2128" s="259" t="str">
        <f t="shared" si="453"/>
        <v/>
      </c>
      <c r="AT2128" s="259" t="b">
        <f t="shared" si="455"/>
        <v>0</v>
      </c>
      <c r="AU2128" s="259" t="b">
        <f t="shared" si="456"/>
        <v>0</v>
      </c>
      <c r="AV2128" s="259" t="str">
        <f t="shared" si="457"/>
        <v>-</v>
      </c>
    </row>
    <row r="2129" spans="41:48">
      <c r="AO2129" s="829" t="str">
        <f t="shared" si="454"/>
        <v>No</v>
      </c>
      <c r="AP2129" s="259" t="str">
        <f t="shared" si="459"/>
        <v>blank</v>
      </c>
      <c r="AQ2129" s="547" t="str">
        <f t="shared" si="458"/>
        <v>无定金+无預留客戶</v>
      </c>
      <c r="AR2129" s="259" t="str">
        <f t="shared" si="452"/>
        <v/>
      </c>
      <c r="AS2129" s="259" t="str">
        <f t="shared" si="453"/>
        <v/>
      </c>
      <c r="AT2129" s="259" t="b">
        <f t="shared" si="455"/>
        <v>0</v>
      </c>
      <c r="AU2129" s="259" t="b">
        <f t="shared" si="456"/>
        <v>0</v>
      </c>
      <c r="AV2129" s="259" t="str">
        <f t="shared" si="457"/>
        <v>-</v>
      </c>
    </row>
    <row r="2130" spans="41:48">
      <c r="AO2130" s="829" t="str">
        <f t="shared" si="454"/>
        <v>No</v>
      </c>
      <c r="AP2130" s="259" t="str">
        <f t="shared" si="459"/>
        <v>blank</v>
      </c>
      <c r="AQ2130" s="547" t="str">
        <f t="shared" si="458"/>
        <v>无定金+无預留客戶</v>
      </c>
      <c r="AR2130" s="259" t="str">
        <f t="shared" si="452"/>
        <v/>
      </c>
      <c r="AS2130" s="259" t="str">
        <f t="shared" si="453"/>
        <v/>
      </c>
      <c r="AT2130" s="259" t="b">
        <f t="shared" si="455"/>
        <v>0</v>
      </c>
      <c r="AU2130" s="259" t="b">
        <f t="shared" si="456"/>
        <v>0</v>
      </c>
      <c r="AV2130" s="259" t="str">
        <f t="shared" si="457"/>
        <v>-</v>
      </c>
    </row>
    <row r="2131" spans="41:48">
      <c r="AO2131" s="829" t="str">
        <f t="shared" si="454"/>
        <v>No</v>
      </c>
      <c r="AP2131" s="259" t="str">
        <f t="shared" si="459"/>
        <v>blank</v>
      </c>
      <c r="AQ2131" s="547" t="str">
        <f t="shared" si="458"/>
        <v>无定金+无預留客戶</v>
      </c>
      <c r="AR2131" s="259" t="str">
        <f t="shared" si="452"/>
        <v/>
      </c>
      <c r="AS2131" s="259" t="str">
        <f t="shared" si="453"/>
        <v/>
      </c>
      <c r="AT2131" s="259" t="b">
        <f t="shared" si="455"/>
        <v>0</v>
      </c>
      <c r="AU2131" s="259" t="b">
        <f t="shared" si="456"/>
        <v>0</v>
      </c>
      <c r="AV2131" s="259" t="str">
        <f t="shared" si="457"/>
        <v>-</v>
      </c>
    </row>
    <row r="2132" spans="41:48">
      <c r="AO2132" s="829" t="str">
        <f t="shared" si="454"/>
        <v>No</v>
      </c>
      <c r="AP2132" s="259" t="str">
        <f t="shared" si="459"/>
        <v>blank</v>
      </c>
      <c r="AQ2132" s="547" t="str">
        <f t="shared" si="458"/>
        <v>无定金+无預留客戶</v>
      </c>
      <c r="AR2132" s="259" t="str">
        <f t="shared" si="452"/>
        <v/>
      </c>
      <c r="AS2132" s="259" t="str">
        <f t="shared" si="453"/>
        <v/>
      </c>
      <c r="AT2132" s="259" t="b">
        <f t="shared" si="455"/>
        <v>0</v>
      </c>
      <c r="AU2132" s="259" t="b">
        <f t="shared" si="456"/>
        <v>0</v>
      </c>
      <c r="AV2132" s="259" t="str">
        <f t="shared" si="457"/>
        <v>-</v>
      </c>
    </row>
    <row r="2133" spans="41:48">
      <c r="AO2133" s="829" t="str">
        <f t="shared" si="454"/>
        <v>No</v>
      </c>
      <c r="AP2133" s="259" t="str">
        <f t="shared" si="459"/>
        <v>blank</v>
      </c>
      <c r="AQ2133" s="547" t="str">
        <f t="shared" si="458"/>
        <v>无定金+无預留客戶</v>
      </c>
      <c r="AR2133" s="259" t="str">
        <f t="shared" si="452"/>
        <v/>
      </c>
      <c r="AS2133" s="259" t="str">
        <f t="shared" si="453"/>
        <v/>
      </c>
      <c r="AT2133" s="259" t="b">
        <f t="shared" si="455"/>
        <v>0</v>
      </c>
      <c r="AU2133" s="259" t="b">
        <f t="shared" si="456"/>
        <v>0</v>
      </c>
      <c r="AV2133" s="259" t="str">
        <f t="shared" si="457"/>
        <v>-</v>
      </c>
    </row>
    <row r="2134" spans="41:48">
      <c r="AO2134" s="829" t="str">
        <f t="shared" si="454"/>
        <v>No</v>
      </c>
      <c r="AP2134" s="259" t="str">
        <f t="shared" si="459"/>
        <v>blank</v>
      </c>
      <c r="AQ2134" s="547" t="str">
        <f t="shared" si="458"/>
        <v>无定金+无預留客戶</v>
      </c>
      <c r="AR2134" s="259" t="str">
        <f t="shared" si="452"/>
        <v/>
      </c>
      <c r="AS2134" s="259" t="str">
        <f t="shared" si="453"/>
        <v/>
      </c>
      <c r="AT2134" s="259" t="b">
        <f t="shared" si="455"/>
        <v>0</v>
      </c>
      <c r="AU2134" s="259" t="b">
        <f t="shared" si="456"/>
        <v>0</v>
      </c>
      <c r="AV2134" s="259" t="str">
        <f t="shared" si="457"/>
        <v>-</v>
      </c>
    </row>
    <row r="2135" spans="41:48">
      <c r="AO2135" s="829" t="str">
        <f t="shared" si="454"/>
        <v>No</v>
      </c>
      <c r="AP2135" s="259" t="str">
        <f t="shared" si="459"/>
        <v>blank</v>
      </c>
      <c r="AQ2135" s="547" t="str">
        <f t="shared" si="458"/>
        <v>无定金+无預留客戶</v>
      </c>
      <c r="AR2135" s="259" t="str">
        <f t="shared" si="452"/>
        <v/>
      </c>
      <c r="AS2135" s="259" t="str">
        <f t="shared" si="453"/>
        <v/>
      </c>
      <c r="AT2135" s="259" t="b">
        <f t="shared" si="455"/>
        <v>0</v>
      </c>
      <c r="AU2135" s="259" t="b">
        <f t="shared" si="456"/>
        <v>0</v>
      </c>
      <c r="AV2135" s="259" t="str">
        <f t="shared" si="457"/>
        <v>-</v>
      </c>
    </row>
    <row r="2136" spans="41:48">
      <c r="AO2136" s="829" t="str">
        <f t="shared" si="454"/>
        <v>No</v>
      </c>
      <c r="AP2136" s="259" t="str">
        <f t="shared" si="459"/>
        <v>blank</v>
      </c>
      <c r="AQ2136" s="547" t="str">
        <f t="shared" si="458"/>
        <v>无定金+无預留客戶</v>
      </c>
      <c r="AR2136" s="259" t="str">
        <f t="shared" si="452"/>
        <v/>
      </c>
      <c r="AS2136" s="259" t="str">
        <f t="shared" si="453"/>
        <v/>
      </c>
      <c r="AT2136" s="259" t="b">
        <f t="shared" si="455"/>
        <v>0</v>
      </c>
      <c r="AU2136" s="259" t="b">
        <f t="shared" si="456"/>
        <v>0</v>
      </c>
      <c r="AV2136" s="259" t="str">
        <f t="shared" si="457"/>
        <v>-</v>
      </c>
    </row>
    <row r="2137" spans="41:48">
      <c r="AO2137" s="829" t="str">
        <f t="shared" si="454"/>
        <v>No</v>
      </c>
      <c r="AP2137" s="259" t="str">
        <f t="shared" si="459"/>
        <v>blank</v>
      </c>
      <c r="AQ2137" s="547" t="str">
        <f t="shared" si="458"/>
        <v>无定金+无預留客戶</v>
      </c>
      <c r="AR2137" s="259" t="str">
        <f t="shared" si="452"/>
        <v/>
      </c>
      <c r="AS2137" s="259" t="str">
        <f t="shared" si="453"/>
        <v/>
      </c>
      <c r="AT2137" s="259" t="b">
        <f t="shared" si="455"/>
        <v>0</v>
      </c>
      <c r="AU2137" s="259" t="b">
        <f t="shared" si="456"/>
        <v>0</v>
      </c>
      <c r="AV2137" s="259" t="str">
        <f t="shared" si="457"/>
        <v>-</v>
      </c>
    </row>
    <row r="2138" spans="41:48">
      <c r="AO2138" s="829" t="str">
        <f t="shared" si="454"/>
        <v>No</v>
      </c>
      <c r="AP2138" s="259" t="str">
        <f t="shared" si="459"/>
        <v>blank</v>
      </c>
      <c r="AQ2138" s="547" t="str">
        <f t="shared" si="458"/>
        <v>无定金+无預留客戶</v>
      </c>
      <c r="AR2138" s="259" t="str">
        <f t="shared" si="452"/>
        <v/>
      </c>
      <c r="AS2138" s="259" t="str">
        <f t="shared" si="453"/>
        <v/>
      </c>
      <c r="AT2138" s="259" t="b">
        <f t="shared" si="455"/>
        <v>0</v>
      </c>
      <c r="AU2138" s="259" t="b">
        <f t="shared" si="456"/>
        <v>0</v>
      </c>
      <c r="AV2138" s="259" t="str">
        <f t="shared" si="457"/>
        <v>-</v>
      </c>
    </row>
    <row r="2139" spans="41:48">
      <c r="AO2139" s="829" t="str">
        <f t="shared" si="454"/>
        <v>No</v>
      </c>
      <c r="AP2139" s="259" t="str">
        <f t="shared" si="459"/>
        <v>blank</v>
      </c>
      <c r="AQ2139" s="547" t="str">
        <f t="shared" si="458"/>
        <v>无定金+无預留客戶</v>
      </c>
      <c r="AR2139" s="259" t="str">
        <f t="shared" si="452"/>
        <v/>
      </c>
      <c r="AS2139" s="259" t="str">
        <f t="shared" si="453"/>
        <v/>
      </c>
      <c r="AT2139" s="259" t="b">
        <f t="shared" si="455"/>
        <v>0</v>
      </c>
      <c r="AU2139" s="259" t="b">
        <f t="shared" si="456"/>
        <v>0</v>
      </c>
      <c r="AV2139" s="259" t="str">
        <f t="shared" si="457"/>
        <v>-</v>
      </c>
    </row>
    <row r="2140" spans="41:48">
      <c r="AO2140" s="829" t="str">
        <f t="shared" si="454"/>
        <v>No</v>
      </c>
      <c r="AP2140" s="259" t="str">
        <f t="shared" si="459"/>
        <v>blank</v>
      </c>
      <c r="AQ2140" s="547" t="str">
        <f t="shared" si="458"/>
        <v>无定金+无預留客戶</v>
      </c>
      <c r="AR2140" s="259" t="str">
        <f t="shared" si="452"/>
        <v/>
      </c>
      <c r="AS2140" s="259" t="str">
        <f t="shared" si="453"/>
        <v/>
      </c>
      <c r="AT2140" s="259" t="b">
        <f t="shared" si="455"/>
        <v>0</v>
      </c>
      <c r="AU2140" s="259" t="b">
        <f t="shared" si="456"/>
        <v>0</v>
      </c>
      <c r="AV2140" s="259" t="str">
        <f t="shared" si="457"/>
        <v>-</v>
      </c>
    </row>
    <row r="2141" spans="41:48">
      <c r="AO2141" s="829" t="str">
        <f t="shared" si="454"/>
        <v>No</v>
      </c>
      <c r="AP2141" s="259" t="str">
        <f t="shared" si="459"/>
        <v>blank</v>
      </c>
      <c r="AQ2141" s="547" t="str">
        <f t="shared" si="458"/>
        <v>无定金+无預留客戶</v>
      </c>
      <c r="AR2141" s="259" t="str">
        <f t="shared" si="452"/>
        <v/>
      </c>
      <c r="AS2141" s="259" t="str">
        <f t="shared" si="453"/>
        <v/>
      </c>
      <c r="AT2141" s="259" t="b">
        <f t="shared" si="455"/>
        <v>0</v>
      </c>
      <c r="AU2141" s="259" t="b">
        <f t="shared" si="456"/>
        <v>0</v>
      </c>
      <c r="AV2141" s="259" t="str">
        <f t="shared" si="457"/>
        <v>-</v>
      </c>
    </row>
    <row r="2142" spans="41:48">
      <c r="AO2142" s="829" t="str">
        <f t="shared" si="454"/>
        <v>No</v>
      </c>
      <c r="AP2142" s="259" t="str">
        <f t="shared" si="459"/>
        <v>blank</v>
      </c>
      <c r="AQ2142" s="547" t="str">
        <f t="shared" si="458"/>
        <v>无定金+无預留客戶</v>
      </c>
      <c r="AR2142" s="259" t="str">
        <f t="shared" si="452"/>
        <v/>
      </c>
      <c r="AS2142" s="259" t="str">
        <f t="shared" si="453"/>
        <v/>
      </c>
      <c r="AT2142" s="259" t="b">
        <f t="shared" si="455"/>
        <v>0</v>
      </c>
      <c r="AU2142" s="259" t="b">
        <f t="shared" si="456"/>
        <v>0</v>
      </c>
      <c r="AV2142" s="259" t="str">
        <f t="shared" si="457"/>
        <v>-</v>
      </c>
    </row>
    <row r="2143" spans="41:48">
      <c r="AO2143" s="829" t="str">
        <f t="shared" si="454"/>
        <v>No</v>
      </c>
      <c r="AP2143" s="259" t="str">
        <f t="shared" si="459"/>
        <v>blank</v>
      </c>
      <c r="AQ2143" s="547" t="str">
        <f t="shared" si="458"/>
        <v>无定金+无預留客戶</v>
      </c>
      <c r="AR2143" s="259" t="str">
        <f t="shared" si="452"/>
        <v/>
      </c>
      <c r="AS2143" s="259" t="str">
        <f t="shared" si="453"/>
        <v/>
      </c>
      <c r="AT2143" s="259" t="b">
        <f t="shared" si="455"/>
        <v>0</v>
      </c>
      <c r="AU2143" s="259" t="b">
        <f t="shared" si="456"/>
        <v>0</v>
      </c>
      <c r="AV2143" s="259" t="str">
        <f t="shared" si="457"/>
        <v>-</v>
      </c>
    </row>
    <row r="2144" spans="41:48">
      <c r="AO2144" s="829" t="str">
        <f t="shared" si="454"/>
        <v>No</v>
      </c>
      <c r="AP2144" s="259" t="str">
        <f t="shared" si="459"/>
        <v>blank</v>
      </c>
      <c r="AQ2144" s="547" t="str">
        <f t="shared" si="458"/>
        <v>无定金+无預留客戶</v>
      </c>
      <c r="AR2144" s="259" t="str">
        <f t="shared" si="452"/>
        <v/>
      </c>
      <c r="AS2144" s="259" t="str">
        <f t="shared" si="453"/>
        <v/>
      </c>
      <c r="AT2144" s="259" t="b">
        <f t="shared" si="455"/>
        <v>0</v>
      </c>
      <c r="AU2144" s="259" t="b">
        <f t="shared" si="456"/>
        <v>0</v>
      </c>
      <c r="AV2144" s="259" t="str">
        <f t="shared" si="457"/>
        <v>-</v>
      </c>
    </row>
    <row r="2145" spans="41:48">
      <c r="AO2145" s="829" t="str">
        <f t="shared" si="454"/>
        <v>No</v>
      </c>
      <c r="AP2145" s="259" t="str">
        <f t="shared" si="459"/>
        <v>blank</v>
      </c>
      <c r="AQ2145" s="547" t="str">
        <f t="shared" si="458"/>
        <v>无定金+无預留客戶</v>
      </c>
      <c r="AR2145" s="259" t="str">
        <f t="shared" si="452"/>
        <v/>
      </c>
      <c r="AS2145" s="259" t="str">
        <f t="shared" si="453"/>
        <v/>
      </c>
      <c r="AT2145" s="259" t="b">
        <f t="shared" si="455"/>
        <v>0</v>
      </c>
      <c r="AU2145" s="259" t="b">
        <f t="shared" si="456"/>
        <v>0</v>
      </c>
      <c r="AV2145" s="259" t="str">
        <f t="shared" si="457"/>
        <v>-</v>
      </c>
    </row>
    <row r="2146" spans="41:48">
      <c r="AO2146" s="829" t="str">
        <f t="shared" si="454"/>
        <v>No</v>
      </c>
      <c r="AP2146" s="259" t="str">
        <f t="shared" si="459"/>
        <v>blank</v>
      </c>
      <c r="AQ2146" s="547" t="str">
        <f t="shared" si="458"/>
        <v>无定金+无預留客戶</v>
      </c>
      <c r="AR2146" s="259" t="str">
        <f t="shared" si="452"/>
        <v/>
      </c>
      <c r="AS2146" s="259" t="str">
        <f t="shared" si="453"/>
        <v/>
      </c>
      <c r="AT2146" s="259" t="b">
        <f t="shared" si="455"/>
        <v>0</v>
      </c>
      <c r="AU2146" s="259" t="b">
        <f t="shared" si="456"/>
        <v>0</v>
      </c>
      <c r="AV2146" s="259" t="str">
        <f t="shared" si="457"/>
        <v>-</v>
      </c>
    </row>
    <row r="2147" spans="41:48">
      <c r="AO2147" s="829" t="str">
        <f t="shared" si="454"/>
        <v>No</v>
      </c>
      <c r="AP2147" s="259" t="str">
        <f t="shared" si="459"/>
        <v>blank</v>
      </c>
      <c r="AQ2147" s="547" t="str">
        <f t="shared" si="458"/>
        <v>无定金+无預留客戶</v>
      </c>
      <c r="AR2147" s="259" t="str">
        <f t="shared" si="452"/>
        <v/>
      </c>
      <c r="AS2147" s="259" t="str">
        <f t="shared" si="453"/>
        <v/>
      </c>
      <c r="AT2147" s="259" t="b">
        <f t="shared" si="455"/>
        <v>0</v>
      </c>
      <c r="AU2147" s="259" t="b">
        <f t="shared" si="456"/>
        <v>0</v>
      </c>
      <c r="AV2147" s="259" t="str">
        <f t="shared" si="457"/>
        <v>-</v>
      </c>
    </row>
    <row r="2148" spans="41:48">
      <c r="AO2148" s="829" t="str">
        <f t="shared" si="454"/>
        <v>No</v>
      </c>
      <c r="AP2148" s="259" t="str">
        <f t="shared" si="459"/>
        <v>blank</v>
      </c>
      <c r="AQ2148" s="547" t="str">
        <f t="shared" si="458"/>
        <v>无定金+无預留客戶</v>
      </c>
      <c r="AR2148" s="259" t="str">
        <f t="shared" si="452"/>
        <v/>
      </c>
      <c r="AS2148" s="259" t="str">
        <f t="shared" si="453"/>
        <v/>
      </c>
      <c r="AT2148" s="259" t="b">
        <f t="shared" si="455"/>
        <v>0</v>
      </c>
      <c r="AU2148" s="259" t="b">
        <f t="shared" si="456"/>
        <v>0</v>
      </c>
      <c r="AV2148" s="259" t="str">
        <f t="shared" si="457"/>
        <v>-</v>
      </c>
    </row>
    <row r="2149" spans="41:48">
      <c r="AO2149" s="829" t="str">
        <f t="shared" si="454"/>
        <v>No</v>
      </c>
      <c r="AP2149" s="259" t="str">
        <f t="shared" si="459"/>
        <v>blank</v>
      </c>
      <c r="AQ2149" s="547" t="str">
        <f t="shared" si="458"/>
        <v>无定金+无預留客戶</v>
      </c>
      <c r="AR2149" s="259" t="str">
        <f t="shared" si="452"/>
        <v/>
      </c>
      <c r="AS2149" s="259" t="str">
        <f t="shared" si="453"/>
        <v/>
      </c>
      <c r="AT2149" s="259" t="b">
        <f t="shared" si="455"/>
        <v>0</v>
      </c>
      <c r="AU2149" s="259" t="b">
        <f t="shared" si="456"/>
        <v>0</v>
      </c>
      <c r="AV2149" s="259" t="str">
        <f t="shared" si="457"/>
        <v>-</v>
      </c>
    </row>
    <row r="2150" spans="41:48">
      <c r="AO2150" s="829" t="str">
        <f t="shared" si="454"/>
        <v>No</v>
      </c>
      <c r="AP2150" s="259" t="str">
        <f t="shared" si="459"/>
        <v>blank</v>
      </c>
      <c r="AQ2150" s="547" t="str">
        <f t="shared" si="458"/>
        <v>无定金+无預留客戶</v>
      </c>
      <c r="AR2150" s="259" t="str">
        <f t="shared" si="452"/>
        <v/>
      </c>
      <c r="AS2150" s="259" t="str">
        <f t="shared" si="453"/>
        <v/>
      </c>
      <c r="AT2150" s="259" t="b">
        <f t="shared" si="455"/>
        <v>0</v>
      </c>
      <c r="AU2150" s="259" t="b">
        <f t="shared" si="456"/>
        <v>0</v>
      </c>
      <c r="AV2150" s="259" t="str">
        <f t="shared" si="457"/>
        <v>-</v>
      </c>
    </row>
    <row r="2151" spans="41:48">
      <c r="AO2151" s="829" t="str">
        <f t="shared" si="454"/>
        <v>No</v>
      </c>
      <c r="AP2151" s="259" t="str">
        <f t="shared" si="459"/>
        <v>blank</v>
      </c>
      <c r="AQ2151" s="547" t="str">
        <f t="shared" si="458"/>
        <v>无定金+无預留客戶</v>
      </c>
      <c r="AR2151" s="259" t="str">
        <f t="shared" si="452"/>
        <v/>
      </c>
      <c r="AS2151" s="259" t="str">
        <f t="shared" si="453"/>
        <v/>
      </c>
      <c r="AT2151" s="259" t="b">
        <f t="shared" si="455"/>
        <v>0</v>
      </c>
      <c r="AU2151" s="259" t="b">
        <f t="shared" si="456"/>
        <v>0</v>
      </c>
      <c r="AV2151" s="259" t="str">
        <f t="shared" si="457"/>
        <v>-</v>
      </c>
    </row>
    <row r="2152" spans="41:48">
      <c r="AO2152" s="829" t="str">
        <f t="shared" si="454"/>
        <v>No</v>
      </c>
      <c r="AP2152" s="259" t="str">
        <f t="shared" si="459"/>
        <v>blank</v>
      </c>
      <c r="AQ2152" s="547" t="str">
        <f t="shared" si="458"/>
        <v>无定金+无預留客戶</v>
      </c>
      <c r="AR2152" s="259" t="str">
        <f t="shared" si="452"/>
        <v/>
      </c>
      <c r="AS2152" s="259" t="str">
        <f t="shared" si="453"/>
        <v/>
      </c>
      <c r="AT2152" s="259" t="b">
        <f t="shared" si="455"/>
        <v>0</v>
      </c>
      <c r="AU2152" s="259" t="b">
        <f t="shared" si="456"/>
        <v>0</v>
      </c>
      <c r="AV2152" s="259" t="str">
        <f t="shared" si="457"/>
        <v>-</v>
      </c>
    </row>
    <row r="2153" spans="41:48">
      <c r="AO2153" s="829" t="str">
        <f t="shared" si="454"/>
        <v>No</v>
      </c>
      <c r="AP2153" s="259" t="str">
        <f t="shared" si="459"/>
        <v>blank</v>
      </c>
      <c r="AQ2153" s="547" t="str">
        <f t="shared" si="458"/>
        <v>无定金+无預留客戶</v>
      </c>
      <c r="AR2153" s="259" t="str">
        <f t="shared" si="452"/>
        <v/>
      </c>
      <c r="AS2153" s="259" t="str">
        <f t="shared" si="453"/>
        <v/>
      </c>
      <c r="AT2153" s="259" t="b">
        <f t="shared" si="455"/>
        <v>0</v>
      </c>
      <c r="AU2153" s="259" t="b">
        <f t="shared" si="456"/>
        <v>0</v>
      </c>
      <c r="AV2153" s="259" t="str">
        <f t="shared" si="457"/>
        <v>-</v>
      </c>
    </row>
    <row r="2154" spans="41:48">
      <c r="AO2154" s="829" t="str">
        <f t="shared" si="454"/>
        <v>No</v>
      </c>
      <c r="AP2154" s="259" t="str">
        <f t="shared" si="459"/>
        <v>blank</v>
      </c>
      <c r="AQ2154" s="547" t="str">
        <f t="shared" si="458"/>
        <v>无定金+无預留客戶</v>
      </c>
      <c r="AR2154" s="259" t="str">
        <f t="shared" si="452"/>
        <v/>
      </c>
      <c r="AS2154" s="259" t="str">
        <f t="shared" si="453"/>
        <v/>
      </c>
      <c r="AT2154" s="259" t="b">
        <f t="shared" si="455"/>
        <v>0</v>
      </c>
      <c r="AU2154" s="259" t="b">
        <f t="shared" si="456"/>
        <v>0</v>
      </c>
      <c r="AV2154" s="259" t="str">
        <f t="shared" si="457"/>
        <v>-</v>
      </c>
    </row>
    <row r="2155" spans="41:48">
      <c r="AO2155" s="829" t="str">
        <f t="shared" si="454"/>
        <v>No</v>
      </c>
      <c r="AP2155" s="259" t="str">
        <f t="shared" si="459"/>
        <v>blank</v>
      </c>
      <c r="AQ2155" s="547" t="str">
        <f t="shared" si="458"/>
        <v>无定金+无預留客戶</v>
      </c>
      <c r="AR2155" s="259" t="str">
        <f t="shared" si="452"/>
        <v/>
      </c>
      <c r="AS2155" s="259" t="str">
        <f t="shared" si="453"/>
        <v/>
      </c>
      <c r="AT2155" s="259" t="b">
        <f t="shared" si="455"/>
        <v>0</v>
      </c>
      <c r="AU2155" s="259" t="b">
        <f t="shared" si="456"/>
        <v>0</v>
      </c>
      <c r="AV2155" s="259" t="str">
        <f t="shared" si="457"/>
        <v>-</v>
      </c>
    </row>
    <row r="2156" spans="41:48">
      <c r="AO2156" s="829" t="str">
        <f t="shared" si="454"/>
        <v>No</v>
      </c>
      <c r="AP2156" s="259" t="str">
        <f t="shared" si="459"/>
        <v>blank</v>
      </c>
      <c r="AQ2156" s="547" t="str">
        <f t="shared" si="458"/>
        <v>无定金+无預留客戶</v>
      </c>
      <c r="AR2156" s="259" t="str">
        <f t="shared" si="452"/>
        <v/>
      </c>
      <c r="AS2156" s="259" t="str">
        <f t="shared" si="453"/>
        <v/>
      </c>
      <c r="AT2156" s="259" t="b">
        <f t="shared" si="455"/>
        <v>0</v>
      </c>
      <c r="AU2156" s="259" t="b">
        <f t="shared" si="456"/>
        <v>0</v>
      </c>
      <c r="AV2156" s="259" t="str">
        <f t="shared" si="457"/>
        <v>-</v>
      </c>
    </row>
    <row r="2157" spans="41:48">
      <c r="AO2157" s="829" t="str">
        <f t="shared" si="454"/>
        <v>No</v>
      </c>
      <c r="AP2157" s="259" t="str">
        <f t="shared" si="459"/>
        <v>blank</v>
      </c>
      <c r="AQ2157" s="547" t="str">
        <f t="shared" si="458"/>
        <v>无定金+无預留客戶</v>
      </c>
      <c r="AR2157" s="259" t="str">
        <f t="shared" si="452"/>
        <v/>
      </c>
      <c r="AS2157" s="259" t="str">
        <f t="shared" si="453"/>
        <v/>
      </c>
      <c r="AT2157" s="259" t="b">
        <f t="shared" si="455"/>
        <v>0</v>
      </c>
      <c r="AU2157" s="259" t="b">
        <f t="shared" si="456"/>
        <v>0</v>
      </c>
      <c r="AV2157" s="259" t="str">
        <f t="shared" si="457"/>
        <v>-</v>
      </c>
    </row>
    <row r="2158" spans="41:48">
      <c r="AO2158" s="829" t="str">
        <f t="shared" si="454"/>
        <v>No</v>
      </c>
      <c r="AP2158" s="259" t="str">
        <f t="shared" si="459"/>
        <v>blank</v>
      </c>
      <c r="AQ2158" s="547" t="str">
        <f t="shared" si="458"/>
        <v>无定金+无預留客戶</v>
      </c>
      <c r="AR2158" s="259" t="str">
        <f t="shared" si="452"/>
        <v/>
      </c>
      <c r="AS2158" s="259" t="str">
        <f t="shared" si="453"/>
        <v/>
      </c>
      <c r="AT2158" s="259" t="b">
        <f t="shared" si="455"/>
        <v>0</v>
      </c>
      <c r="AU2158" s="259" t="b">
        <f t="shared" si="456"/>
        <v>0</v>
      </c>
      <c r="AV2158" s="259" t="str">
        <f t="shared" si="457"/>
        <v>-</v>
      </c>
    </row>
    <row r="2159" spans="41:48">
      <c r="AO2159" s="829" t="str">
        <f t="shared" si="454"/>
        <v>No</v>
      </c>
      <c r="AP2159" s="259" t="str">
        <f t="shared" si="459"/>
        <v>blank</v>
      </c>
      <c r="AQ2159" s="547" t="str">
        <f t="shared" si="458"/>
        <v>无定金+无預留客戶</v>
      </c>
      <c r="AR2159" s="259" t="str">
        <f t="shared" si="452"/>
        <v/>
      </c>
      <c r="AS2159" s="259" t="str">
        <f t="shared" si="453"/>
        <v/>
      </c>
      <c r="AT2159" s="259" t="b">
        <f t="shared" si="455"/>
        <v>0</v>
      </c>
      <c r="AU2159" s="259" t="b">
        <f t="shared" si="456"/>
        <v>0</v>
      </c>
      <c r="AV2159" s="259" t="str">
        <f t="shared" si="457"/>
        <v>-</v>
      </c>
    </row>
    <row r="2160" spans="41:48">
      <c r="AO2160" s="829" t="str">
        <f t="shared" si="454"/>
        <v>No</v>
      </c>
      <c r="AP2160" s="259" t="str">
        <f t="shared" si="459"/>
        <v>blank</v>
      </c>
      <c r="AQ2160" s="547" t="str">
        <f t="shared" si="458"/>
        <v>无定金+无預留客戶</v>
      </c>
      <c r="AR2160" s="259" t="str">
        <f t="shared" si="452"/>
        <v/>
      </c>
      <c r="AS2160" s="259" t="str">
        <f t="shared" si="453"/>
        <v/>
      </c>
      <c r="AT2160" s="259" t="b">
        <f t="shared" si="455"/>
        <v>0</v>
      </c>
      <c r="AU2160" s="259" t="b">
        <f t="shared" si="456"/>
        <v>0</v>
      </c>
      <c r="AV2160" s="259" t="str">
        <f t="shared" si="457"/>
        <v>-</v>
      </c>
    </row>
    <row r="2161" spans="41:48">
      <c r="AO2161" s="829" t="str">
        <f t="shared" si="454"/>
        <v>No</v>
      </c>
      <c r="AP2161" s="259" t="str">
        <f t="shared" si="459"/>
        <v>blank</v>
      </c>
      <c r="AQ2161" s="547" t="str">
        <f t="shared" si="458"/>
        <v>无定金+无預留客戶</v>
      </c>
      <c r="AR2161" s="259" t="str">
        <f t="shared" si="452"/>
        <v/>
      </c>
      <c r="AS2161" s="259" t="str">
        <f t="shared" si="453"/>
        <v/>
      </c>
      <c r="AT2161" s="259" t="b">
        <f t="shared" si="455"/>
        <v>0</v>
      </c>
      <c r="AU2161" s="259" t="b">
        <f t="shared" si="456"/>
        <v>0</v>
      </c>
      <c r="AV2161" s="259" t="str">
        <f t="shared" si="457"/>
        <v>-</v>
      </c>
    </row>
    <row r="2162" spans="41:48">
      <c r="AO2162" s="829" t="str">
        <f t="shared" si="454"/>
        <v>No</v>
      </c>
      <c r="AP2162" s="259" t="str">
        <f t="shared" si="459"/>
        <v>blank</v>
      </c>
      <c r="AQ2162" s="547" t="str">
        <f t="shared" si="458"/>
        <v>无定金+无預留客戶</v>
      </c>
      <c r="AR2162" s="259" t="str">
        <f t="shared" si="452"/>
        <v/>
      </c>
      <c r="AS2162" s="259" t="str">
        <f t="shared" si="453"/>
        <v/>
      </c>
      <c r="AT2162" s="259" t="b">
        <f t="shared" si="455"/>
        <v>0</v>
      </c>
      <c r="AU2162" s="259" t="b">
        <f t="shared" si="456"/>
        <v>0</v>
      </c>
      <c r="AV2162" s="259" t="str">
        <f t="shared" si="457"/>
        <v>-</v>
      </c>
    </row>
    <row r="2163" spans="41:48">
      <c r="AO2163" s="829" t="str">
        <f t="shared" si="454"/>
        <v>No</v>
      </c>
      <c r="AP2163" s="259" t="str">
        <f t="shared" si="459"/>
        <v>blank</v>
      </c>
      <c r="AQ2163" s="547" t="str">
        <f t="shared" si="458"/>
        <v>无定金+无預留客戶</v>
      </c>
      <c r="AR2163" s="259" t="str">
        <f t="shared" si="452"/>
        <v/>
      </c>
      <c r="AS2163" s="259" t="str">
        <f t="shared" si="453"/>
        <v/>
      </c>
      <c r="AT2163" s="259" t="b">
        <f t="shared" si="455"/>
        <v>0</v>
      </c>
      <c r="AU2163" s="259" t="b">
        <f t="shared" si="456"/>
        <v>0</v>
      </c>
      <c r="AV2163" s="259" t="str">
        <f t="shared" si="457"/>
        <v>-</v>
      </c>
    </row>
    <row r="2164" spans="41:48">
      <c r="AO2164" s="829" t="str">
        <f t="shared" si="454"/>
        <v>No</v>
      </c>
      <c r="AP2164" s="259" t="str">
        <f t="shared" si="459"/>
        <v>blank</v>
      </c>
      <c r="AQ2164" s="547" t="str">
        <f t="shared" si="458"/>
        <v>无定金+无預留客戶</v>
      </c>
      <c r="AR2164" s="259" t="str">
        <f t="shared" si="452"/>
        <v/>
      </c>
      <c r="AS2164" s="259" t="str">
        <f t="shared" si="453"/>
        <v/>
      </c>
      <c r="AT2164" s="259" t="b">
        <f t="shared" si="455"/>
        <v>0</v>
      </c>
      <c r="AU2164" s="259" t="b">
        <f t="shared" si="456"/>
        <v>0</v>
      </c>
      <c r="AV2164" s="259" t="str">
        <f t="shared" si="457"/>
        <v>-</v>
      </c>
    </row>
    <row r="2165" spans="41:48">
      <c r="AO2165" s="829" t="str">
        <f t="shared" si="454"/>
        <v>No</v>
      </c>
      <c r="AP2165" s="259" t="str">
        <f t="shared" si="459"/>
        <v>blank</v>
      </c>
      <c r="AQ2165" s="547" t="str">
        <f t="shared" si="458"/>
        <v>无定金+无預留客戶</v>
      </c>
      <c r="AR2165" s="259" t="str">
        <f t="shared" si="452"/>
        <v/>
      </c>
      <c r="AS2165" s="259" t="str">
        <f t="shared" si="453"/>
        <v/>
      </c>
      <c r="AT2165" s="259" t="b">
        <f t="shared" si="455"/>
        <v>0</v>
      </c>
      <c r="AU2165" s="259" t="b">
        <f t="shared" si="456"/>
        <v>0</v>
      </c>
      <c r="AV2165" s="259" t="str">
        <f t="shared" si="457"/>
        <v>-</v>
      </c>
    </row>
    <row r="2166" spans="41:48">
      <c r="AO2166" s="829" t="str">
        <f t="shared" si="454"/>
        <v>No</v>
      </c>
      <c r="AP2166" s="259" t="str">
        <f t="shared" si="459"/>
        <v>blank</v>
      </c>
      <c r="AQ2166" s="547" t="str">
        <f t="shared" si="458"/>
        <v>无定金+无預留客戶</v>
      </c>
      <c r="AR2166" s="259" t="str">
        <f t="shared" si="452"/>
        <v/>
      </c>
      <c r="AS2166" s="259" t="str">
        <f t="shared" si="453"/>
        <v/>
      </c>
      <c r="AT2166" s="259" t="b">
        <f t="shared" si="455"/>
        <v>0</v>
      </c>
      <c r="AU2166" s="259" t="b">
        <f t="shared" si="456"/>
        <v>0</v>
      </c>
      <c r="AV2166" s="259" t="str">
        <f t="shared" si="457"/>
        <v>-</v>
      </c>
    </row>
    <row r="2167" spans="41:48">
      <c r="AO2167" s="829" t="str">
        <f t="shared" si="454"/>
        <v>No</v>
      </c>
      <c r="AP2167" s="259" t="str">
        <f t="shared" si="459"/>
        <v>blank</v>
      </c>
      <c r="AQ2167" s="547" t="str">
        <f t="shared" si="458"/>
        <v>无定金+无預留客戶</v>
      </c>
      <c r="AR2167" s="259" t="str">
        <f t="shared" si="452"/>
        <v/>
      </c>
      <c r="AS2167" s="259" t="str">
        <f t="shared" si="453"/>
        <v/>
      </c>
      <c r="AT2167" s="259" t="b">
        <f t="shared" si="455"/>
        <v>0</v>
      </c>
      <c r="AU2167" s="259" t="b">
        <f t="shared" si="456"/>
        <v>0</v>
      </c>
      <c r="AV2167" s="259" t="str">
        <f t="shared" si="457"/>
        <v>-</v>
      </c>
    </row>
    <row r="2168" spans="41:48">
      <c r="AO2168" s="829" t="str">
        <f t="shared" si="454"/>
        <v>No</v>
      </c>
      <c r="AP2168" s="259" t="str">
        <f t="shared" si="459"/>
        <v>blank</v>
      </c>
      <c r="AQ2168" s="547" t="str">
        <f t="shared" si="458"/>
        <v>无定金+无預留客戶</v>
      </c>
      <c r="AR2168" s="259" t="str">
        <f t="shared" si="452"/>
        <v/>
      </c>
      <c r="AS2168" s="259" t="str">
        <f t="shared" si="453"/>
        <v/>
      </c>
      <c r="AT2168" s="259" t="b">
        <f t="shared" si="455"/>
        <v>0</v>
      </c>
      <c r="AU2168" s="259" t="b">
        <f t="shared" si="456"/>
        <v>0</v>
      </c>
      <c r="AV2168" s="259" t="str">
        <f t="shared" si="457"/>
        <v>-</v>
      </c>
    </row>
    <row r="2169" spans="41:48">
      <c r="AO2169" s="829" t="str">
        <f t="shared" si="454"/>
        <v>No</v>
      </c>
      <c r="AP2169" s="259" t="str">
        <f t="shared" si="459"/>
        <v>blank</v>
      </c>
      <c r="AQ2169" s="547" t="str">
        <f t="shared" si="458"/>
        <v>无定金+无預留客戶</v>
      </c>
      <c r="AR2169" s="259" t="str">
        <f t="shared" si="452"/>
        <v/>
      </c>
      <c r="AS2169" s="259" t="str">
        <f t="shared" si="453"/>
        <v/>
      </c>
      <c r="AT2169" s="259" t="b">
        <f t="shared" si="455"/>
        <v>0</v>
      </c>
      <c r="AU2169" s="259" t="b">
        <f t="shared" si="456"/>
        <v>0</v>
      </c>
      <c r="AV2169" s="259" t="str">
        <f t="shared" si="457"/>
        <v>-</v>
      </c>
    </row>
    <row r="2170" spans="41:48">
      <c r="AO2170" s="829" t="str">
        <f t="shared" si="454"/>
        <v>No</v>
      </c>
      <c r="AP2170" s="259" t="str">
        <f t="shared" si="459"/>
        <v>blank</v>
      </c>
      <c r="AQ2170" s="547" t="str">
        <f t="shared" si="458"/>
        <v>无定金+无預留客戶</v>
      </c>
      <c r="AR2170" s="259" t="str">
        <f t="shared" si="452"/>
        <v/>
      </c>
      <c r="AS2170" s="259" t="str">
        <f t="shared" si="453"/>
        <v/>
      </c>
      <c r="AT2170" s="259" t="b">
        <f t="shared" si="455"/>
        <v>0</v>
      </c>
      <c r="AU2170" s="259" t="b">
        <f t="shared" si="456"/>
        <v>0</v>
      </c>
      <c r="AV2170" s="259" t="str">
        <f t="shared" si="457"/>
        <v>-</v>
      </c>
    </row>
    <row r="2171" spans="41:48">
      <c r="AO2171" s="829" t="str">
        <f t="shared" si="454"/>
        <v>No</v>
      </c>
      <c r="AP2171" s="259" t="str">
        <f t="shared" si="459"/>
        <v>blank</v>
      </c>
      <c r="AQ2171" s="547" t="str">
        <f t="shared" si="458"/>
        <v>无定金+无預留客戶</v>
      </c>
      <c r="AR2171" s="259" t="str">
        <f t="shared" si="452"/>
        <v/>
      </c>
      <c r="AS2171" s="259" t="str">
        <f t="shared" si="453"/>
        <v/>
      </c>
      <c r="AT2171" s="259" t="b">
        <f t="shared" si="455"/>
        <v>0</v>
      </c>
      <c r="AU2171" s="259" t="b">
        <f t="shared" si="456"/>
        <v>0</v>
      </c>
      <c r="AV2171" s="259" t="str">
        <f t="shared" si="457"/>
        <v>-</v>
      </c>
    </row>
    <row r="2172" spans="41:48">
      <c r="AO2172" s="829" t="str">
        <f t="shared" si="454"/>
        <v>No</v>
      </c>
      <c r="AP2172" s="259" t="str">
        <f t="shared" si="459"/>
        <v>blank</v>
      </c>
      <c r="AQ2172" s="547" t="str">
        <f t="shared" si="458"/>
        <v>无定金+无預留客戶</v>
      </c>
      <c r="AR2172" s="259" t="str">
        <f t="shared" si="452"/>
        <v/>
      </c>
      <c r="AS2172" s="259" t="str">
        <f t="shared" si="453"/>
        <v/>
      </c>
      <c r="AT2172" s="259" t="b">
        <f t="shared" si="455"/>
        <v>0</v>
      </c>
      <c r="AU2172" s="259" t="b">
        <f t="shared" si="456"/>
        <v>0</v>
      </c>
      <c r="AV2172" s="259" t="str">
        <f t="shared" si="457"/>
        <v>-</v>
      </c>
    </row>
    <row r="2173" spans="41:48">
      <c r="AO2173" s="829" t="str">
        <f t="shared" si="454"/>
        <v>No</v>
      </c>
      <c r="AP2173" s="259" t="str">
        <f t="shared" si="459"/>
        <v>blank</v>
      </c>
      <c r="AQ2173" s="547" t="str">
        <f t="shared" si="458"/>
        <v>无定金+无預留客戶</v>
      </c>
      <c r="AR2173" s="259" t="str">
        <f t="shared" si="452"/>
        <v/>
      </c>
      <c r="AS2173" s="259" t="str">
        <f t="shared" si="453"/>
        <v/>
      </c>
      <c r="AT2173" s="259" t="b">
        <f t="shared" si="455"/>
        <v>0</v>
      </c>
      <c r="AU2173" s="259" t="b">
        <f t="shared" si="456"/>
        <v>0</v>
      </c>
      <c r="AV2173" s="259" t="str">
        <f t="shared" si="457"/>
        <v>-</v>
      </c>
    </row>
    <row r="2174" spans="41:48">
      <c r="AO2174" s="829" t="str">
        <f t="shared" si="454"/>
        <v>No</v>
      </c>
      <c r="AP2174" s="259" t="str">
        <f t="shared" si="459"/>
        <v>blank</v>
      </c>
      <c r="AQ2174" s="547" t="str">
        <f t="shared" si="458"/>
        <v>无定金+无預留客戶</v>
      </c>
      <c r="AR2174" s="259" t="str">
        <f t="shared" ref="AR2174:AR2237" si="460">IFERROR(IF(B2174="已经到货", "Instock", IF(B2174="有交期", "Incoming_Stock_With_YAMAHA_Schedule", IF(B2174="TBA.", "Incoming_Stock_No_YAMAHA_Schedule", IF(B2174="已发货", "Shipped_Stock", "")))), "")</f>
        <v/>
      </c>
      <c r="AS2174" s="259" t="str">
        <f t="shared" ref="AS2174:AS2237" si="461">IF(AND(B2174="有交期", L2174&lt;&gt;""), L2174, "")</f>
        <v/>
      </c>
      <c r="AT2174" s="259" t="b">
        <f t="shared" si="455"/>
        <v>0</v>
      </c>
      <c r="AU2174" s="259" t="b">
        <f t="shared" si="456"/>
        <v>0</v>
      </c>
      <c r="AV2174" s="259" t="str">
        <f t="shared" si="457"/>
        <v>-</v>
      </c>
    </row>
    <row r="2175" spans="41:48">
      <c r="AO2175" s="829" t="str">
        <f t="shared" si="454"/>
        <v>No</v>
      </c>
      <c r="AP2175" s="259" t="str">
        <f t="shared" si="459"/>
        <v>blank</v>
      </c>
      <c r="AQ2175" s="547" t="str">
        <f t="shared" si="458"/>
        <v>无定金+无預留客戶</v>
      </c>
      <c r="AR2175" s="259" t="str">
        <f t="shared" si="460"/>
        <v/>
      </c>
      <c r="AS2175" s="259" t="str">
        <f t="shared" si="461"/>
        <v/>
      </c>
      <c r="AT2175" s="259" t="b">
        <f t="shared" si="455"/>
        <v>0</v>
      </c>
      <c r="AU2175" s="259" t="b">
        <f t="shared" si="456"/>
        <v>0</v>
      </c>
      <c r="AV2175" s="259" t="str">
        <f t="shared" si="457"/>
        <v>-</v>
      </c>
    </row>
    <row r="2176" spans="41:48">
      <c r="AO2176" s="829" t="str">
        <f t="shared" si="454"/>
        <v>No</v>
      </c>
      <c r="AP2176" s="259" t="str">
        <f t="shared" si="459"/>
        <v>blank</v>
      </c>
      <c r="AQ2176" s="547" t="str">
        <f t="shared" si="458"/>
        <v>无定金+无預留客戶</v>
      </c>
      <c r="AR2176" s="259" t="str">
        <f t="shared" si="460"/>
        <v/>
      </c>
      <c r="AS2176" s="259" t="str">
        <f t="shared" si="461"/>
        <v/>
      </c>
      <c r="AT2176" s="259" t="b">
        <f t="shared" si="455"/>
        <v>0</v>
      </c>
      <c r="AU2176" s="259" t="b">
        <f t="shared" si="456"/>
        <v>0</v>
      </c>
      <c r="AV2176" s="259" t="str">
        <f t="shared" si="457"/>
        <v>-</v>
      </c>
    </row>
    <row r="2177" spans="41:48">
      <c r="AO2177" s="829" t="str">
        <f t="shared" si="454"/>
        <v>No</v>
      </c>
      <c r="AP2177" s="259" t="str">
        <f t="shared" si="459"/>
        <v>blank</v>
      </c>
      <c r="AQ2177" s="547" t="str">
        <f t="shared" si="458"/>
        <v>无定金+无預留客戶</v>
      </c>
      <c r="AR2177" s="259" t="str">
        <f t="shared" si="460"/>
        <v/>
      </c>
      <c r="AS2177" s="259" t="str">
        <f t="shared" si="461"/>
        <v/>
      </c>
      <c r="AT2177" s="259" t="b">
        <f t="shared" si="455"/>
        <v>0</v>
      </c>
      <c r="AU2177" s="259" t="b">
        <f t="shared" si="456"/>
        <v>0</v>
      </c>
      <c r="AV2177" s="259" t="str">
        <f t="shared" si="457"/>
        <v>-</v>
      </c>
    </row>
    <row r="2178" spans="41:48">
      <c r="AO2178" s="829" t="str">
        <f t="shared" ref="AO2178:AO2241" si="462">IFERROR(IF(Y2178&lt;&gt;"",Y2178,"No"),"No")</f>
        <v>No</v>
      </c>
      <c r="AP2178" s="259" t="str">
        <f t="shared" si="459"/>
        <v>blank</v>
      </c>
      <c r="AQ2178" s="547" t="str">
        <f t="shared" si="458"/>
        <v>无定金+无預留客戶</v>
      </c>
      <c r="AR2178" s="259" t="str">
        <f t="shared" si="460"/>
        <v/>
      </c>
      <c r="AS2178" s="259" t="str">
        <f t="shared" si="461"/>
        <v/>
      </c>
      <c r="AT2178" s="259" t="b">
        <f t="shared" ref="AT2178:AT2241" si="463">IFERROR(IF(R2178&lt;&gt;"",R2178),"-")</f>
        <v>0</v>
      </c>
      <c r="AU2178" s="259" t="b">
        <f t="shared" ref="AU2178:AU2241" si="464">IFERROR(IF(Q2178&lt;&gt;"",Q2178),"-")</f>
        <v>0</v>
      </c>
      <c r="AV2178" s="259" t="str">
        <f t="shared" ref="AV2178:AV2241" si="465">IF(L2178="","-",TEXT(L2178,"mmm-dd"))</f>
        <v>-</v>
      </c>
    </row>
    <row r="2179" spans="41:48">
      <c r="AO2179" s="829" t="str">
        <f t="shared" si="462"/>
        <v>No</v>
      </c>
      <c r="AP2179" s="259" t="str">
        <f t="shared" si="459"/>
        <v>blank</v>
      </c>
      <c r="AQ2179" s="547" t="str">
        <f t="shared" ref="AQ2179:AQ2242" si="466">IFERROR(IF(AND(AO2179="Yes", AP2179&lt;&gt;"blank"), "有定金+有預留客戶", IF(AND(AO2179="Yes", AP2179="blank"), "有定金+无客戶送貨期", IF(AND(OR(AO2179="No", ISBLANK(AO2179), AO2179="NA"), AP2179&lt;&gt;"blank"), "无定金+有預留客戶", IF(AND(OR(AO2179="No", ISBLANK(AO2179), AO2179="NA"), AP2179="blank"), "无定金+无預留客戶", "")))), "")</f>
        <v>无定金+无預留客戶</v>
      </c>
      <c r="AR2179" s="259" t="str">
        <f t="shared" si="460"/>
        <v/>
      </c>
      <c r="AS2179" s="259" t="str">
        <f t="shared" si="461"/>
        <v/>
      </c>
      <c r="AT2179" s="259" t="b">
        <f t="shared" si="463"/>
        <v>0</v>
      </c>
      <c r="AU2179" s="259" t="b">
        <f t="shared" si="464"/>
        <v>0</v>
      </c>
      <c r="AV2179" s="259" t="str">
        <f t="shared" si="465"/>
        <v>-</v>
      </c>
    </row>
    <row r="2180" spans="41:48">
      <c r="AO2180" s="829" t="str">
        <f t="shared" si="462"/>
        <v>No</v>
      </c>
      <c r="AP2180" s="259" t="str">
        <f t="shared" si="459"/>
        <v>blank</v>
      </c>
      <c r="AQ2180" s="547" t="str">
        <f t="shared" si="466"/>
        <v>无定金+无預留客戶</v>
      </c>
      <c r="AR2180" s="259" t="str">
        <f t="shared" si="460"/>
        <v/>
      </c>
      <c r="AS2180" s="259" t="str">
        <f t="shared" si="461"/>
        <v/>
      </c>
      <c r="AT2180" s="259" t="b">
        <f t="shared" si="463"/>
        <v>0</v>
      </c>
      <c r="AU2180" s="259" t="b">
        <f t="shared" si="464"/>
        <v>0</v>
      </c>
      <c r="AV2180" s="259" t="str">
        <f t="shared" si="465"/>
        <v>-</v>
      </c>
    </row>
    <row r="2181" spans="41:48">
      <c r="AO2181" s="829" t="str">
        <f t="shared" si="462"/>
        <v>No</v>
      </c>
      <c r="AP2181" s="259" t="str">
        <f t="shared" si="459"/>
        <v>blank</v>
      </c>
      <c r="AQ2181" s="547" t="str">
        <f t="shared" si="466"/>
        <v>无定金+无預留客戶</v>
      </c>
      <c r="AR2181" s="259" t="str">
        <f t="shared" si="460"/>
        <v/>
      </c>
      <c r="AS2181" s="259" t="str">
        <f t="shared" si="461"/>
        <v/>
      </c>
      <c r="AT2181" s="259" t="b">
        <f t="shared" si="463"/>
        <v>0</v>
      </c>
      <c r="AU2181" s="259" t="b">
        <f t="shared" si="464"/>
        <v>0</v>
      </c>
      <c r="AV2181" s="259" t="str">
        <f t="shared" si="465"/>
        <v>-</v>
      </c>
    </row>
    <row r="2182" spans="41:48">
      <c r="AO2182" s="829" t="str">
        <f t="shared" si="462"/>
        <v>No</v>
      </c>
      <c r="AP2182" s="259" t="str">
        <f t="shared" ref="AP2182:AP2245" si="467">IFERROR(IF(N2182&lt;&gt;"",N2182,"blank"),"NA")</f>
        <v>blank</v>
      </c>
      <c r="AQ2182" s="547" t="str">
        <f t="shared" si="466"/>
        <v>无定金+无預留客戶</v>
      </c>
      <c r="AR2182" s="259" t="str">
        <f t="shared" si="460"/>
        <v/>
      </c>
      <c r="AS2182" s="259" t="str">
        <f t="shared" si="461"/>
        <v/>
      </c>
      <c r="AT2182" s="259" t="b">
        <f t="shared" si="463"/>
        <v>0</v>
      </c>
      <c r="AU2182" s="259" t="b">
        <f t="shared" si="464"/>
        <v>0</v>
      </c>
      <c r="AV2182" s="259" t="str">
        <f t="shared" si="465"/>
        <v>-</v>
      </c>
    </row>
    <row r="2183" spans="41:48">
      <c r="AO2183" s="829" t="str">
        <f t="shared" si="462"/>
        <v>No</v>
      </c>
      <c r="AP2183" s="259" t="str">
        <f t="shared" si="467"/>
        <v>blank</v>
      </c>
      <c r="AQ2183" s="547" t="str">
        <f t="shared" si="466"/>
        <v>无定金+无預留客戶</v>
      </c>
      <c r="AR2183" s="259" t="str">
        <f t="shared" si="460"/>
        <v/>
      </c>
      <c r="AS2183" s="259" t="str">
        <f t="shared" si="461"/>
        <v/>
      </c>
      <c r="AT2183" s="259" t="b">
        <f t="shared" si="463"/>
        <v>0</v>
      </c>
      <c r="AU2183" s="259" t="b">
        <f t="shared" si="464"/>
        <v>0</v>
      </c>
      <c r="AV2183" s="259" t="str">
        <f t="shared" si="465"/>
        <v>-</v>
      </c>
    </row>
    <row r="2184" spans="41:48">
      <c r="AO2184" s="829" t="str">
        <f t="shared" si="462"/>
        <v>No</v>
      </c>
      <c r="AP2184" s="259" t="str">
        <f t="shared" si="467"/>
        <v>blank</v>
      </c>
      <c r="AQ2184" s="547" t="str">
        <f t="shared" si="466"/>
        <v>无定金+无預留客戶</v>
      </c>
      <c r="AR2184" s="259" t="str">
        <f t="shared" si="460"/>
        <v/>
      </c>
      <c r="AS2184" s="259" t="str">
        <f t="shared" si="461"/>
        <v/>
      </c>
      <c r="AT2184" s="259" t="b">
        <f t="shared" si="463"/>
        <v>0</v>
      </c>
      <c r="AU2184" s="259" t="b">
        <f t="shared" si="464"/>
        <v>0</v>
      </c>
      <c r="AV2184" s="259" t="str">
        <f t="shared" si="465"/>
        <v>-</v>
      </c>
    </row>
    <row r="2185" spans="41:48">
      <c r="AO2185" s="829" t="str">
        <f t="shared" si="462"/>
        <v>No</v>
      </c>
      <c r="AP2185" s="259" t="str">
        <f t="shared" si="467"/>
        <v>blank</v>
      </c>
      <c r="AQ2185" s="547" t="str">
        <f t="shared" si="466"/>
        <v>无定金+无預留客戶</v>
      </c>
      <c r="AR2185" s="259" t="str">
        <f t="shared" si="460"/>
        <v/>
      </c>
      <c r="AS2185" s="259" t="str">
        <f t="shared" si="461"/>
        <v/>
      </c>
      <c r="AT2185" s="259" t="b">
        <f t="shared" si="463"/>
        <v>0</v>
      </c>
      <c r="AU2185" s="259" t="b">
        <f t="shared" si="464"/>
        <v>0</v>
      </c>
      <c r="AV2185" s="259" t="str">
        <f t="shared" si="465"/>
        <v>-</v>
      </c>
    </row>
    <row r="2186" spans="41:48">
      <c r="AO2186" s="829" t="str">
        <f t="shared" si="462"/>
        <v>No</v>
      </c>
      <c r="AP2186" s="259" t="str">
        <f t="shared" si="467"/>
        <v>blank</v>
      </c>
      <c r="AQ2186" s="547" t="str">
        <f t="shared" si="466"/>
        <v>无定金+无預留客戶</v>
      </c>
      <c r="AR2186" s="259" t="str">
        <f t="shared" si="460"/>
        <v/>
      </c>
      <c r="AS2186" s="259" t="str">
        <f t="shared" si="461"/>
        <v/>
      </c>
      <c r="AT2186" s="259" t="b">
        <f t="shared" si="463"/>
        <v>0</v>
      </c>
      <c r="AU2186" s="259" t="b">
        <f t="shared" si="464"/>
        <v>0</v>
      </c>
      <c r="AV2186" s="259" t="str">
        <f t="shared" si="465"/>
        <v>-</v>
      </c>
    </row>
    <row r="2187" spans="41:48">
      <c r="AO2187" s="829" t="str">
        <f t="shared" si="462"/>
        <v>No</v>
      </c>
      <c r="AP2187" s="259" t="str">
        <f t="shared" si="467"/>
        <v>blank</v>
      </c>
      <c r="AQ2187" s="547" t="str">
        <f t="shared" si="466"/>
        <v>无定金+无預留客戶</v>
      </c>
      <c r="AR2187" s="259" t="str">
        <f t="shared" si="460"/>
        <v/>
      </c>
      <c r="AS2187" s="259" t="str">
        <f t="shared" si="461"/>
        <v/>
      </c>
      <c r="AT2187" s="259" t="b">
        <f t="shared" si="463"/>
        <v>0</v>
      </c>
      <c r="AU2187" s="259" t="b">
        <f t="shared" si="464"/>
        <v>0</v>
      </c>
      <c r="AV2187" s="259" t="str">
        <f t="shared" si="465"/>
        <v>-</v>
      </c>
    </row>
    <row r="2188" spans="41:48">
      <c r="AO2188" s="829" t="str">
        <f t="shared" si="462"/>
        <v>No</v>
      </c>
      <c r="AP2188" s="259" t="str">
        <f t="shared" si="467"/>
        <v>blank</v>
      </c>
      <c r="AQ2188" s="547" t="str">
        <f t="shared" si="466"/>
        <v>无定金+无預留客戶</v>
      </c>
      <c r="AR2188" s="259" t="str">
        <f t="shared" si="460"/>
        <v/>
      </c>
      <c r="AS2188" s="259" t="str">
        <f t="shared" si="461"/>
        <v/>
      </c>
      <c r="AT2188" s="259" t="b">
        <f t="shared" si="463"/>
        <v>0</v>
      </c>
      <c r="AU2188" s="259" t="b">
        <f t="shared" si="464"/>
        <v>0</v>
      </c>
      <c r="AV2188" s="259" t="str">
        <f t="shared" si="465"/>
        <v>-</v>
      </c>
    </row>
    <row r="2189" spans="41:48">
      <c r="AO2189" s="829" t="str">
        <f t="shared" si="462"/>
        <v>No</v>
      </c>
      <c r="AP2189" s="259" t="str">
        <f t="shared" si="467"/>
        <v>blank</v>
      </c>
      <c r="AQ2189" s="547" t="str">
        <f t="shared" si="466"/>
        <v>无定金+无預留客戶</v>
      </c>
      <c r="AR2189" s="259" t="str">
        <f t="shared" si="460"/>
        <v/>
      </c>
      <c r="AS2189" s="259" t="str">
        <f t="shared" si="461"/>
        <v/>
      </c>
      <c r="AT2189" s="259" t="b">
        <f t="shared" si="463"/>
        <v>0</v>
      </c>
      <c r="AU2189" s="259" t="b">
        <f t="shared" si="464"/>
        <v>0</v>
      </c>
      <c r="AV2189" s="259" t="str">
        <f t="shared" si="465"/>
        <v>-</v>
      </c>
    </row>
    <row r="2190" spans="41:48">
      <c r="AO2190" s="829" t="str">
        <f t="shared" si="462"/>
        <v>No</v>
      </c>
      <c r="AP2190" s="259" t="str">
        <f t="shared" si="467"/>
        <v>blank</v>
      </c>
      <c r="AQ2190" s="547" t="str">
        <f t="shared" si="466"/>
        <v>无定金+无預留客戶</v>
      </c>
      <c r="AR2190" s="259" t="str">
        <f t="shared" si="460"/>
        <v/>
      </c>
      <c r="AS2190" s="259" t="str">
        <f t="shared" si="461"/>
        <v/>
      </c>
      <c r="AT2190" s="259" t="b">
        <f t="shared" si="463"/>
        <v>0</v>
      </c>
      <c r="AU2190" s="259" t="b">
        <f t="shared" si="464"/>
        <v>0</v>
      </c>
      <c r="AV2190" s="259" t="str">
        <f t="shared" si="465"/>
        <v>-</v>
      </c>
    </row>
    <row r="2191" spans="41:48">
      <c r="AO2191" s="829" t="str">
        <f t="shared" si="462"/>
        <v>No</v>
      </c>
      <c r="AP2191" s="259" t="str">
        <f t="shared" si="467"/>
        <v>blank</v>
      </c>
      <c r="AQ2191" s="547" t="str">
        <f t="shared" si="466"/>
        <v>无定金+无預留客戶</v>
      </c>
      <c r="AR2191" s="259" t="str">
        <f t="shared" si="460"/>
        <v/>
      </c>
      <c r="AS2191" s="259" t="str">
        <f t="shared" si="461"/>
        <v/>
      </c>
      <c r="AT2191" s="259" t="b">
        <f t="shared" si="463"/>
        <v>0</v>
      </c>
      <c r="AU2191" s="259" t="b">
        <f t="shared" si="464"/>
        <v>0</v>
      </c>
      <c r="AV2191" s="259" t="str">
        <f t="shared" si="465"/>
        <v>-</v>
      </c>
    </row>
    <row r="2192" spans="41:48">
      <c r="AO2192" s="829" t="str">
        <f t="shared" si="462"/>
        <v>No</v>
      </c>
      <c r="AP2192" s="259" t="str">
        <f t="shared" si="467"/>
        <v>blank</v>
      </c>
      <c r="AQ2192" s="547" t="str">
        <f t="shared" si="466"/>
        <v>无定金+无預留客戶</v>
      </c>
      <c r="AR2192" s="259" t="str">
        <f t="shared" si="460"/>
        <v/>
      </c>
      <c r="AS2192" s="259" t="str">
        <f t="shared" si="461"/>
        <v/>
      </c>
      <c r="AT2192" s="259" t="b">
        <f t="shared" si="463"/>
        <v>0</v>
      </c>
      <c r="AU2192" s="259" t="b">
        <f t="shared" si="464"/>
        <v>0</v>
      </c>
      <c r="AV2192" s="259" t="str">
        <f t="shared" si="465"/>
        <v>-</v>
      </c>
    </row>
    <row r="2193" spans="41:48">
      <c r="AO2193" s="829" t="str">
        <f t="shared" si="462"/>
        <v>No</v>
      </c>
      <c r="AP2193" s="259" t="str">
        <f t="shared" si="467"/>
        <v>blank</v>
      </c>
      <c r="AQ2193" s="547" t="str">
        <f t="shared" si="466"/>
        <v>无定金+无預留客戶</v>
      </c>
      <c r="AR2193" s="259" t="str">
        <f t="shared" si="460"/>
        <v/>
      </c>
      <c r="AS2193" s="259" t="str">
        <f t="shared" si="461"/>
        <v/>
      </c>
      <c r="AT2193" s="259" t="b">
        <f t="shared" si="463"/>
        <v>0</v>
      </c>
      <c r="AU2193" s="259" t="b">
        <f t="shared" si="464"/>
        <v>0</v>
      </c>
      <c r="AV2193" s="259" t="str">
        <f t="shared" si="465"/>
        <v>-</v>
      </c>
    </row>
    <row r="2194" spans="41:48">
      <c r="AO2194" s="829" t="str">
        <f t="shared" si="462"/>
        <v>No</v>
      </c>
      <c r="AP2194" s="259" t="str">
        <f t="shared" si="467"/>
        <v>blank</v>
      </c>
      <c r="AQ2194" s="547" t="str">
        <f t="shared" si="466"/>
        <v>无定金+无預留客戶</v>
      </c>
      <c r="AR2194" s="259" t="str">
        <f t="shared" si="460"/>
        <v/>
      </c>
      <c r="AS2194" s="259" t="str">
        <f t="shared" si="461"/>
        <v/>
      </c>
      <c r="AT2194" s="259" t="b">
        <f t="shared" si="463"/>
        <v>0</v>
      </c>
      <c r="AU2194" s="259" t="b">
        <f t="shared" si="464"/>
        <v>0</v>
      </c>
      <c r="AV2194" s="259" t="str">
        <f t="shared" si="465"/>
        <v>-</v>
      </c>
    </row>
    <row r="2195" spans="41:48">
      <c r="AO2195" s="829" t="str">
        <f t="shared" si="462"/>
        <v>No</v>
      </c>
      <c r="AP2195" s="259" t="str">
        <f t="shared" si="467"/>
        <v>blank</v>
      </c>
      <c r="AQ2195" s="547" t="str">
        <f t="shared" si="466"/>
        <v>无定金+无預留客戶</v>
      </c>
      <c r="AR2195" s="259" t="str">
        <f t="shared" si="460"/>
        <v/>
      </c>
      <c r="AS2195" s="259" t="str">
        <f t="shared" si="461"/>
        <v/>
      </c>
      <c r="AT2195" s="259" t="b">
        <f t="shared" si="463"/>
        <v>0</v>
      </c>
      <c r="AU2195" s="259" t="b">
        <f t="shared" si="464"/>
        <v>0</v>
      </c>
      <c r="AV2195" s="259" t="str">
        <f t="shared" si="465"/>
        <v>-</v>
      </c>
    </row>
    <row r="2196" spans="41:48">
      <c r="AO2196" s="829" t="str">
        <f t="shared" si="462"/>
        <v>No</v>
      </c>
      <c r="AP2196" s="259" t="str">
        <f t="shared" si="467"/>
        <v>blank</v>
      </c>
      <c r="AQ2196" s="547" t="str">
        <f t="shared" si="466"/>
        <v>无定金+无預留客戶</v>
      </c>
      <c r="AR2196" s="259" t="str">
        <f t="shared" si="460"/>
        <v/>
      </c>
      <c r="AS2196" s="259" t="str">
        <f t="shared" si="461"/>
        <v/>
      </c>
      <c r="AT2196" s="259" t="b">
        <f t="shared" si="463"/>
        <v>0</v>
      </c>
      <c r="AU2196" s="259" t="b">
        <f t="shared" si="464"/>
        <v>0</v>
      </c>
      <c r="AV2196" s="259" t="str">
        <f t="shared" si="465"/>
        <v>-</v>
      </c>
    </row>
    <row r="2197" spans="41:48">
      <c r="AO2197" s="829" t="str">
        <f t="shared" si="462"/>
        <v>No</v>
      </c>
      <c r="AP2197" s="259" t="str">
        <f t="shared" si="467"/>
        <v>blank</v>
      </c>
      <c r="AQ2197" s="547" t="str">
        <f t="shared" si="466"/>
        <v>无定金+无預留客戶</v>
      </c>
      <c r="AR2197" s="259" t="str">
        <f t="shared" si="460"/>
        <v/>
      </c>
      <c r="AS2197" s="259" t="str">
        <f t="shared" si="461"/>
        <v/>
      </c>
      <c r="AT2197" s="259" t="b">
        <f t="shared" si="463"/>
        <v>0</v>
      </c>
      <c r="AU2197" s="259" t="b">
        <f t="shared" si="464"/>
        <v>0</v>
      </c>
      <c r="AV2197" s="259" t="str">
        <f t="shared" si="465"/>
        <v>-</v>
      </c>
    </row>
    <row r="2198" spans="41:48">
      <c r="AO2198" s="829" t="str">
        <f t="shared" si="462"/>
        <v>No</v>
      </c>
      <c r="AP2198" s="259" t="str">
        <f t="shared" si="467"/>
        <v>blank</v>
      </c>
      <c r="AQ2198" s="547" t="str">
        <f t="shared" si="466"/>
        <v>无定金+无預留客戶</v>
      </c>
      <c r="AR2198" s="259" t="str">
        <f t="shared" si="460"/>
        <v/>
      </c>
      <c r="AS2198" s="259" t="str">
        <f t="shared" si="461"/>
        <v/>
      </c>
      <c r="AT2198" s="259" t="b">
        <f t="shared" si="463"/>
        <v>0</v>
      </c>
      <c r="AU2198" s="259" t="b">
        <f t="shared" si="464"/>
        <v>0</v>
      </c>
      <c r="AV2198" s="259" t="str">
        <f t="shared" si="465"/>
        <v>-</v>
      </c>
    </row>
    <row r="2199" spans="41:48">
      <c r="AO2199" s="829" t="str">
        <f t="shared" si="462"/>
        <v>No</v>
      </c>
      <c r="AP2199" s="259" t="str">
        <f t="shared" si="467"/>
        <v>blank</v>
      </c>
      <c r="AQ2199" s="547" t="str">
        <f t="shared" si="466"/>
        <v>无定金+无預留客戶</v>
      </c>
      <c r="AR2199" s="259" t="str">
        <f t="shared" si="460"/>
        <v/>
      </c>
      <c r="AS2199" s="259" t="str">
        <f t="shared" si="461"/>
        <v/>
      </c>
      <c r="AT2199" s="259" t="b">
        <f t="shared" si="463"/>
        <v>0</v>
      </c>
      <c r="AU2199" s="259" t="b">
        <f t="shared" si="464"/>
        <v>0</v>
      </c>
      <c r="AV2199" s="259" t="str">
        <f t="shared" si="465"/>
        <v>-</v>
      </c>
    </row>
    <row r="2200" spans="41:48">
      <c r="AO2200" s="829" t="str">
        <f t="shared" si="462"/>
        <v>No</v>
      </c>
      <c r="AP2200" s="259" t="str">
        <f t="shared" si="467"/>
        <v>blank</v>
      </c>
      <c r="AQ2200" s="547" t="str">
        <f t="shared" si="466"/>
        <v>无定金+无預留客戶</v>
      </c>
      <c r="AR2200" s="259" t="str">
        <f t="shared" si="460"/>
        <v/>
      </c>
      <c r="AS2200" s="259" t="str">
        <f t="shared" si="461"/>
        <v/>
      </c>
      <c r="AT2200" s="259" t="b">
        <f t="shared" si="463"/>
        <v>0</v>
      </c>
      <c r="AU2200" s="259" t="b">
        <f t="shared" si="464"/>
        <v>0</v>
      </c>
      <c r="AV2200" s="259" t="str">
        <f t="shared" si="465"/>
        <v>-</v>
      </c>
    </row>
    <row r="2201" spans="41:48">
      <c r="AO2201" s="829" t="str">
        <f t="shared" si="462"/>
        <v>No</v>
      </c>
      <c r="AP2201" s="259" t="str">
        <f t="shared" si="467"/>
        <v>blank</v>
      </c>
      <c r="AQ2201" s="547" t="str">
        <f t="shared" si="466"/>
        <v>无定金+无預留客戶</v>
      </c>
      <c r="AR2201" s="259" t="str">
        <f t="shared" si="460"/>
        <v/>
      </c>
      <c r="AS2201" s="259" t="str">
        <f t="shared" si="461"/>
        <v/>
      </c>
      <c r="AT2201" s="259" t="b">
        <f t="shared" si="463"/>
        <v>0</v>
      </c>
      <c r="AU2201" s="259" t="b">
        <f t="shared" si="464"/>
        <v>0</v>
      </c>
      <c r="AV2201" s="259" t="str">
        <f t="shared" si="465"/>
        <v>-</v>
      </c>
    </row>
    <row r="2202" spans="41:48">
      <c r="AO2202" s="829" t="str">
        <f t="shared" si="462"/>
        <v>No</v>
      </c>
      <c r="AP2202" s="259" t="str">
        <f t="shared" si="467"/>
        <v>blank</v>
      </c>
      <c r="AQ2202" s="547" t="str">
        <f t="shared" si="466"/>
        <v>无定金+无預留客戶</v>
      </c>
      <c r="AR2202" s="259" t="str">
        <f t="shared" si="460"/>
        <v/>
      </c>
      <c r="AS2202" s="259" t="str">
        <f t="shared" si="461"/>
        <v/>
      </c>
      <c r="AT2202" s="259" t="b">
        <f t="shared" si="463"/>
        <v>0</v>
      </c>
      <c r="AU2202" s="259" t="b">
        <f t="shared" si="464"/>
        <v>0</v>
      </c>
      <c r="AV2202" s="259" t="str">
        <f t="shared" si="465"/>
        <v>-</v>
      </c>
    </row>
    <row r="2203" spans="41:48">
      <c r="AO2203" s="829" t="str">
        <f t="shared" si="462"/>
        <v>No</v>
      </c>
      <c r="AP2203" s="259" t="str">
        <f t="shared" si="467"/>
        <v>blank</v>
      </c>
      <c r="AQ2203" s="547" t="str">
        <f t="shared" si="466"/>
        <v>无定金+无預留客戶</v>
      </c>
      <c r="AR2203" s="259" t="str">
        <f t="shared" si="460"/>
        <v/>
      </c>
      <c r="AS2203" s="259" t="str">
        <f t="shared" si="461"/>
        <v/>
      </c>
      <c r="AT2203" s="259" t="b">
        <f t="shared" si="463"/>
        <v>0</v>
      </c>
      <c r="AU2203" s="259" t="b">
        <f t="shared" si="464"/>
        <v>0</v>
      </c>
      <c r="AV2203" s="259" t="str">
        <f t="shared" si="465"/>
        <v>-</v>
      </c>
    </row>
    <row r="2204" spans="41:48">
      <c r="AO2204" s="829" t="str">
        <f t="shared" si="462"/>
        <v>No</v>
      </c>
      <c r="AP2204" s="259" t="str">
        <f t="shared" si="467"/>
        <v>blank</v>
      </c>
      <c r="AQ2204" s="547" t="str">
        <f t="shared" si="466"/>
        <v>无定金+无預留客戶</v>
      </c>
      <c r="AR2204" s="259" t="str">
        <f t="shared" si="460"/>
        <v/>
      </c>
      <c r="AS2204" s="259" t="str">
        <f t="shared" si="461"/>
        <v/>
      </c>
      <c r="AT2204" s="259" t="b">
        <f t="shared" si="463"/>
        <v>0</v>
      </c>
      <c r="AU2204" s="259" t="b">
        <f t="shared" si="464"/>
        <v>0</v>
      </c>
      <c r="AV2204" s="259" t="str">
        <f t="shared" si="465"/>
        <v>-</v>
      </c>
    </row>
    <row r="2205" spans="41:48">
      <c r="AO2205" s="829" t="str">
        <f t="shared" si="462"/>
        <v>No</v>
      </c>
      <c r="AP2205" s="259" t="str">
        <f t="shared" si="467"/>
        <v>blank</v>
      </c>
      <c r="AQ2205" s="547" t="str">
        <f t="shared" si="466"/>
        <v>无定金+无預留客戶</v>
      </c>
      <c r="AR2205" s="259" t="str">
        <f t="shared" si="460"/>
        <v/>
      </c>
      <c r="AS2205" s="259" t="str">
        <f t="shared" si="461"/>
        <v/>
      </c>
      <c r="AT2205" s="259" t="b">
        <f t="shared" si="463"/>
        <v>0</v>
      </c>
      <c r="AU2205" s="259" t="b">
        <f t="shared" si="464"/>
        <v>0</v>
      </c>
      <c r="AV2205" s="259" t="str">
        <f t="shared" si="465"/>
        <v>-</v>
      </c>
    </row>
    <row r="2206" spans="41:48">
      <c r="AO2206" s="829" t="str">
        <f t="shared" si="462"/>
        <v>No</v>
      </c>
      <c r="AP2206" s="259" t="str">
        <f t="shared" si="467"/>
        <v>blank</v>
      </c>
      <c r="AQ2206" s="547" t="str">
        <f t="shared" si="466"/>
        <v>无定金+无預留客戶</v>
      </c>
      <c r="AR2206" s="259" t="str">
        <f t="shared" si="460"/>
        <v/>
      </c>
      <c r="AS2206" s="259" t="str">
        <f t="shared" si="461"/>
        <v/>
      </c>
      <c r="AT2206" s="259" t="b">
        <f t="shared" si="463"/>
        <v>0</v>
      </c>
      <c r="AU2206" s="259" t="b">
        <f t="shared" si="464"/>
        <v>0</v>
      </c>
      <c r="AV2206" s="259" t="str">
        <f t="shared" si="465"/>
        <v>-</v>
      </c>
    </row>
    <row r="2207" spans="41:48">
      <c r="AO2207" s="829" t="str">
        <f t="shared" si="462"/>
        <v>No</v>
      </c>
      <c r="AP2207" s="259" t="str">
        <f t="shared" si="467"/>
        <v>blank</v>
      </c>
      <c r="AQ2207" s="547" t="str">
        <f t="shared" si="466"/>
        <v>无定金+无預留客戶</v>
      </c>
      <c r="AR2207" s="259" t="str">
        <f t="shared" si="460"/>
        <v/>
      </c>
      <c r="AS2207" s="259" t="str">
        <f t="shared" si="461"/>
        <v/>
      </c>
      <c r="AT2207" s="259" t="b">
        <f t="shared" si="463"/>
        <v>0</v>
      </c>
      <c r="AU2207" s="259" t="b">
        <f t="shared" si="464"/>
        <v>0</v>
      </c>
      <c r="AV2207" s="259" t="str">
        <f t="shared" si="465"/>
        <v>-</v>
      </c>
    </row>
    <row r="2208" spans="41:48">
      <c r="AO2208" s="829" t="str">
        <f t="shared" si="462"/>
        <v>No</v>
      </c>
      <c r="AP2208" s="259" t="str">
        <f t="shared" si="467"/>
        <v>blank</v>
      </c>
      <c r="AQ2208" s="547" t="str">
        <f t="shared" si="466"/>
        <v>无定金+无預留客戶</v>
      </c>
      <c r="AR2208" s="259" t="str">
        <f t="shared" si="460"/>
        <v/>
      </c>
      <c r="AS2208" s="259" t="str">
        <f t="shared" si="461"/>
        <v/>
      </c>
      <c r="AT2208" s="259" t="b">
        <f t="shared" si="463"/>
        <v>0</v>
      </c>
      <c r="AU2208" s="259" t="b">
        <f t="shared" si="464"/>
        <v>0</v>
      </c>
      <c r="AV2208" s="259" t="str">
        <f t="shared" si="465"/>
        <v>-</v>
      </c>
    </row>
    <row r="2209" spans="41:48">
      <c r="AO2209" s="829" t="str">
        <f t="shared" si="462"/>
        <v>No</v>
      </c>
      <c r="AP2209" s="259" t="str">
        <f t="shared" si="467"/>
        <v>blank</v>
      </c>
      <c r="AQ2209" s="547" t="str">
        <f t="shared" si="466"/>
        <v>无定金+无預留客戶</v>
      </c>
      <c r="AR2209" s="259" t="str">
        <f t="shared" si="460"/>
        <v/>
      </c>
      <c r="AS2209" s="259" t="str">
        <f t="shared" si="461"/>
        <v/>
      </c>
      <c r="AT2209" s="259" t="b">
        <f t="shared" si="463"/>
        <v>0</v>
      </c>
      <c r="AU2209" s="259" t="b">
        <f t="shared" si="464"/>
        <v>0</v>
      </c>
      <c r="AV2209" s="259" t="str">
        <f t="shared" si="465"/>
        <v>-</v>
      </c>
    </row>
    <row r="2210" spans="41:48">
      <c r="AO2210" s="829" t="str">
        <f t="shared" si="462"/>
        <v>No</v>
      </c>
      <c r="AP2210" s="259" t="str">
        <f t="shared" si="467"/>
        <v>blank</v>
      </c>
      <c r="AQ2210" s="547" t="str">
        <f t="shared" si="466"/>
        <v>无定金+无預留客戶</v>
      </c>
      <c r="AR2210" s="259" t="str">
        <f t="shared" si="460"/>
        <v/>
      </c>
      <c r="AS2210" s="259" t="str">
        <f t="shared" si="461"/>
        <v/>
      </c>
      <c r="AT2210" s="259" t="b">
        <f t="shared" si="463"/>
        <v>0</v>
      </c>
      <c r="AU2210" s="259" t="b">
        <f t="shared" si="464"/>
        <v>0</v>
      </c>
      <c r="AV2210" s="259" t="str">
        <f t="shared" si="465"/>
        <v>-</v>
      </c>
    </row>
    <row r="2211" spans="41:48">
      <c r="AO2211" s="829" t="str">
        <f t="shared" si="462"/>
        <v>No</v>
      </c>
      <c r="AP2211" s="259" t="str">
        <f t="shared" si="467"/>
        <v>blank</v>
      </c>
      <c r="AQ2211" s="547" t="str">
        <f t="shared" si="466"/>
        <v>无定金+无預留客戶</v>
      </c>
      <c r="AR2211" s="259" t="str">
        <f t="shared" si="460"/>
        <v/>
      </c>
      <c r="AS2211" s="259" t="str">
        <f t="shared" si="461"/>
        <v/>
      </c>
      <c r="AT2211" s="259" t="b">
        <f t="shared" si="463"/>
        <v>0</v>
      </c>
      <c r="AU2211" s="259" t="b">
        <f t="shared" si="464"/>
        <v>0</v>
      </c>
      <c r="AV2211" s="259" t="str">
        <f t="shared" si="465"/>
        <v>-</v>
      </c>
    </row>
    <row r="2212" spans="41:48">
      <c r="AO2212" s="829" t="str">
        <f t="shared" si="462"/>
        <v>No</v>
      </c>
      <c r="AP2212" s="259" t="str">
        <f t="shared" si="467"/>
        <v>blank</v>
      </c>
      <c r="AQ2212" s="547" t="str">
        <f t="shared" si="466"/>
        <v>无定金+无預留客戶</v>
      </c>
      <c r="AR2212" s="259" t="str">
        <f t="shared" si="460"/>
        <v/>
      </c>
      <c r="AS2212" s="259" t="str">
        <f t="shared" si="461"/>
        <v/>
      </c>
      <c r="AT2212" s="259" t="b">
        <f t="shared" si="463"/>
        <v>0</v>
      </c>
      <c r="AU2212" s="259" t="b">
        <f t="shared" si="464"/>
        <v>0</v>
      </c>
      <c r="AV2212" s="259" t="str">
        <f t="shared" si="465"/>
        <v>-</v>
      </c>
    </row>
    <row r="2213" spans="41:48">
      <c r="AO2213" s="829" t="str">
        <f t="shared" si="462"/>
        <v>No</v>
      </c>
      <c r="AP2213" s="259" t="str">
        <f t="shared" si="467"/>
        <v>blank</v>
      </c>
      <c r="AQ2213" s="547" t="str">
        <f t="shared" si="466"/>
        <v>无定金+无預留客戶</v>
      </c>
      <c r="AR2213" s="259" t="str">
        <f t="shared" si="460"/>
        <v/>
      </c>
      <c r="AS2213" s="259" t="str">
        <f t="shared" si="461"/>
        <v/>
      </c>
      <c r="AT2213" s="259" t="b">
        <f t="shared" si="463"/>
        <v>0</v>
      </c>
      <c r="AU2213" s="259" t="b">
        <f t="shared" si="464"/>
        <v>0</v>
      </c>
      <c r="AV2213" s="259" t="str">
        <f t="shared" si="465"/>
        <v>-</v>
      </c>
    </row>
    <row r="2214" spans="41:48">
      <c r="AO2214" s="829" t="str">
        <f t="shared" si="462"/>
        <v>No</v>
      </c>
      <c r="AP2214" s="259" t="str">
        <f t="shared" si="467"/>
        <v>blank</v>
      </c>
      <c r="AQ2214" s="547" t="str">
        <f t="shared" si="466"/>
        <v>无定金+无預留客戶</v>
      </c>
      <c r="AR2214" s="259" t="str">
        <f t="shared" si="460"/>
        <v/>
      </c>
      <c r="AS2214" s="259" t="str">
        <f t="shared" si="461"/>
        <v/>
      </c>
      <c r="AT2214" s="259" t="b">
        <f t="shared" si="463"/>
        <v>0</v>
      </c>
      <c r="AU2214" s="259" t="b">
        <f t="shared" si="464"/>
        <v>0</v>
      </c>
      <c r="AV2214" s="259" t="str">
        <f t="shared" si="465"/>
        <v>-</v>
      </c>
    </row>
    <row r="2215" spans="41:48">
      <c r="AO2215" s="829" t="str">
        <f t="shared" si="462"/>
        <v>No</v>
      </c>
      <c r="AP2215" s="259" t="str">
        <f t="shared" si="467"/>
        <v>blank</v>
      </c>
      <c r="AQ2215" s="547" t="str">
        <f t="shared" si="466"/>
        <v>无定金+无預留客戶</v>
      </c>
      <c r="AR2215" s="259" t="str">
        <f t="shared" si="460"/>
        <v/>
      </c>
      <c r="AS2215" s="259" t="str">
        <f t="shared" si="461"/>
        <v/>
      </c>
      <c r="AT2215" s="259" t="b">
        <f t="shared" si="463"/>
        <v>0</v>
      </c>
      <c r="AU2215" s="259" t="b">
        <f t="shared" si="464"/>
        <v>0</v>
      </c>
      <c r="AV2215" s="259" t="str">
        <f t="shared" si="465"/>
        <v>-</v>
      </c>
    </row>
    <row r="2216" spans="41:48">
      <c r="AO2216" s="829" t="str">
        <f t="shared" si="462"/>
        <v>No</v>
      </c>
      <c r="AP2216" s="259" t="str">
        <f t="shared" si="467"/>
        <v>blank</v>
      </c>
      <c r="AQ2216" s="547" t="str">
        <f t="shared" si="466"/>
        <v>无定金+无預留客戶</v>
      </c>
      <c r="AR2216" s="259" t="str">
        <f t="shared" si="460"/>
        <v/>
      </c>
      <c r="AS2216" s="259" t="str">
        <f t="shared" si="461"/>
        <v/>
      </c>
      <c r="AT2216" s="259" t="b">
        <f t="shared" si="463"/>
        <v>0</v>
      </c>
      <c r="AU2216" s="259" t="b">
        <f t="shared" si="464"/>
        <v>0</v>
      </c>
      <c r="AV2216" s="259" t="str">
        <f t="shared" si="465"/>
        <v>-</v>
      </c>
    </row>
    <row r="2217" spans="41:48">
      <c r="AO2217" s="829" t="str">
        <f t="shared" si="462"/>
        <v>No</v>
      </c>
      <c r="AP2217" s="259" t="str">
        <f t="shared" si="467"/>
        <v>blank</v>
      </c>
      <c r="AQ2217" s="547" t="str">
        <f t="shared" si="466"/>
        <v>无定金+无預留客戶</v>
      </c>
      <c r="AR2217" s="259" t="str">
        <f t="shared" si="460"/>
        <v/>
      </c>
      <c r="AS2217" s="259" t="str">
        <f t="shared" si="461"/>
        <v/>
      </c>
      <c r="AT2217" s="259" t="b">
        <f t="shared" si="463"/>
        <v>0</v>
      </c>
      <c r="AU2217" s="259" t="b">
        <f t="shared" si="464"/>
        <v>0</v>
      </c>
      <c r="AV2217" s="259" t="str">
        <f t="shared" si="465"/>
        <v>-</v>
      </c>
    </row>
    <row r="2218" spans="41:48">
      <c r="AO2218" s="829" t="str">
        <f t="shared" si="462"/>
        <v>No</v>
      </c>
      <c r="AP2218" s="259" t="str">
        <f t="shared" si="467"/>
        <v>blank</v>
      </c>
      <c r="AQ2218" s="547" t="str">
        <f t="shared" si="466"/>
        <v>无定金+无預留客戶</v>
      </c>
      <c r="AR2218" s="259" t="str">
        <f t="shared" si="460"/>
        <v/>
      </c>
      <c r="AS2218" s="259" t="str">
        <f t="shared" si="461"/>
        <v/>
      </c>
      <c r="AT2218" s="259" t="b">
        <f t="shared" si="463"/>
        <v>0</v>
      </c>
      <c r="AU2218" s="259" t="b">
        <f t="shared" si="464"/>
        <v>0</v>
      </c>
      <c r="AV2218" s="259" t="str">
        <f t="shared" si="465"/>
        <v>-</v>
      </c>
    </row>
    <row r="2219" spans="41:48">
      <c r="AO2219" s="829" t="str">
        <f t="shared" si="462"/>
        <v>No</v>
      </c>
      <c r="AP2219" s="259" t="str">
        <f t="shared" si="467"/>
        <v>blank</v>
      </c>
      <c r="AQ2219" s="547" t="str">
        <f t="shared" si="466"/>
        <v>无定金+无預留客戶</v>
      </c>
      <c r="AR2219" s="259" t="str">
        <f t="shared" si="460"/>
        <v/>
      </c>
      <c r="AS2219" s="259" t="str">
        <f t="shared" si="461"/>
        <v/>
      </c>
      <c r="AT2219" s="259" t="b">
        <f t="shared" si="463"/>
        <v>0</v>
      </c>
      <c r="AU2219" s="259" t="b">
        <f t="shared" si="464"/>
        <v>0</v>
      </c>
      <c r="AV2219" s="259" t="str">
        <f t="shared" si="465"/>
        <v>-</v>
      </c>
    </row>
    <row r="2220" spans="41:48">
      <c r="AO2220" s="829" t="str">
        <f t="shared" si="462"/>
        <v>No</v>
      </c>
      <c r="AP2220" s="259" t="str">
        <f t="shared" si="467"/>
        <v>blank</v>
      </c>
      <c r="AQ2220" s="547" t="str">
        <f t="shared" si="466"/>
        <v>无定金+无預留客戶</v>
      </c>
      <c r="AR2220" s="259" t="str">
        <f t="shared" si="460"/>
        <v/>
      </c>
      <c r="AS2220" s="259" t="str">
        <f t="shared" si="461"/>
        <v/>
      </c>
      <c r="AT2220" s="259" t="b">
        <f t="shared" si="463"/>
        <v>0</v>
      </c>
      <c r="AU2220" s="259" t="b">
        <f t="shared" si="464"/>
        <v>0</v>
      </c>
      <c r="AV2220" s="259" t="str">
        <f t="shared" si="465"/>
        <v>-</v>
      </c>
    </row>
    <row r="2221" spans="41:48">
      <c r="AO2221" s="829" t="str">
        <f t="shared" si="462"/>
        <v>No</v>
      </c>
      <c r="AP2221" s="259" t="str">
        <f t="shared" si="467"/>
        <v>blank</v>
      </c>
      <c r="AQ2221" s="547" t="str">
        <f t="shared" si="466"/>
        <v>无定金+无預留客戶</v>
      </c>
      <c r="AR2221" s="259" t="str">
        <f t="shared" si="460"/>
        <v/>
      </c>
      <c r="AS2221" s="259" t="str">
        <f t="shared" si="461"/>
        <v/>
      </c>
      <c r="AT2221" s="259" t="b">
        <f t="shared" si="463"/>
        <v>0</v>
      </c>
      <c r="AU2221" s="259" t="b">
        <f t="shared" si="464"/>
        <v>0</v>
      </c>
      <c r="AV2221" s="259" t="str">
        <f t="shared" si="465"/>
        <v>-</v>
      </c>
    </row>
    <row r="2222" spans="41:48">
      <c r="AO2222" s="829" t="str">
        <f t="shared" si="462"/>
        <v>No</v>
      </c>
      <c r="AP2222" s="259" t="str">
        <f t="shared" si="467"/>
        <v>blank</v>
      </c>
      <c r="AQ2222" s="547" t="str">
        <f t="shared" si="466"/>
        <v>无定金+无預留客戶</v>
      </c>
      <c r="AR2222" s="259" t="str">
        <f t="shared" si="460"/>
        <v/>
      </c>
      <c r="AS2222" s="259" t="str">
        <f t="shared" si="461"/>
        <v/>
      </c>
      <c r="AT2222" s="259" t="b">
        <f t="shared" si="463"/>
        <v>0</v>
      </c>
      <c r="AU2222" s="259" t="b">
        <f t="shared" si="464"/>
        <v>0</v>
      </c>
      <c r="AV2222" s="259" t="str">
        <f t="shared" si="465"/>
        <v>-</v>
      </c>
    </row>
    <row r="2223" spans="41:48">
      <c r="AO2223" s="829" t="str">
        <f t="shared" si="462"/>
        <v>No</v>
      </c>
      <c r="AP2223" s="259" t="str">
        <f t="shared" si="467"/>
        <v>blank</v>
      </c>
      <c r="AQ2223" s="547" t="str">
        <f t="shared" si="466"/>
        <v>无定金+无預留客戶</v>
      </c>
      <c r="AR2223" s="259" t="str">
        <f t="shared" si="460"/>
        <v/>
      </c>
      <c r="AS2223" s="259" t="str">
        <f t="shared" si="461"/>
        <v/>
      </c>
      <c r="AT2223" s="259" t="b">
        <f t="shared" si="463"/>
        <v>0</v>
      </c>
      <c r="AU2223" s="259" t="b">
        <f t="shared" si="464"/>
        <v>0</v>
      </c>
      <c r="AV2223" s="259" t="str">
        <f t="shared" si="465"/>
        <v>-</v>
      </c>
    </row>
    <row r="2224" spans="41:48">
      <c r="AO2224" s="829" t="str">
        <f t="shared" si="462"/>
        <v>No</v>
      </c>
      <c r="AP2224" s="259" t="str">
        <f t="shared" si="467"/>
        <v>blank</v>
      </c>
      <c r="AQ2224" s="547" t="str">
        <f t="shared" si="466"/>
        <v>无定金+无預留客戶</v>
      </c>
      <c r="AR2224" s="259" t="str">
        <f t="shared" si="460"/>
        <v/>
      </c>
      <c r="AS2224" s="259" t="str">
        <f t="shared" si="461"/>
        <v/>
      </c>
      <c r="AT2224" s="259" t="b">
        <f t="shared" si="463"/>
        <v>0</v>
      </c>
      <c r="AU2224" s="259" t="b">
        <f t="shared" si="464"/>
        <v>0</v>
      </c>
      <c r="AV2224" s="259" t="str">
        <f t="shared" si="465"/>
        <v>-</v>
      </c>
    </row>
    <row r="2225" spans="41:48">
      <c r="AO2225" s="829" t="str">
        <f t="shared" si="462"/>
        <v>No</v>
      </c>
      <c r="AP2225" s="259" t="str">
        <f t="shared" si="467"/>
        <v>blank</v>
      </c>
      <c r="AQ2225" s="547" t="str">
        <f t="shared" si="466"/>
        <v>无定金+无預留客戶</v>
      </c>
      <c r="AR2225" s="259" t="str">
        <f t="shared" si="460"/>
        <v/>
      </c>
      <c r="AS2225" s="259" t="str">
        <f t="shared" si="461"/>
        <v/>
      </c>
      <c r="AT2225" s="259" t="b">
        <f t="shared" si="463"/>
        <v>0</v>
      </c>
      <c r="AU2225" s="259" t="b">
        <f t="shared" si="464"/>
        <v>0</v>
      </c>
      <c r="AV2225" s="259" t="str">
        <f t="shared" si="465"/>
        <v>-</v>
      </c>
    </row>
    <row r="2226" spans="41:48">
      <c r="AO2226" s="829" t="str">
        <f t="shared" si="462"/>
        <v>No</v>
      </c>
      <c r="AP2226" s="259" t="str">
        <f t="shared" si="467"/>
        <v>blank</v>
      </c>
      <c r="AQ2226" s="547" t="str">
        <f t="shared" si="466"/>
        <v>无定金+无預留客戶</v>
      </c>
      <c r="AR2226" s="259" t="str">
        <f t="shared" si="460"/>
        <v/>
      </c>
      <c r="AS2226" s="259" t="str">
        <f t="shared" si="461"/>
        <v/>
      </c>
      <c r="AT2226" s="259" t="b">
        <f t="shared" si="463"/>
        <v>0</v>
      </c>
      <c r="AU2226" s="259" t="b">
        <f t="shared" si="464"/>
        <v>0</v>
      </c>
      <c r="AV2226" s="259" t="str">
        <f t="shared" si="465"/>
        <v>-</v>
      </c>
    </row>
    <row r="2227" spans="41:48">
      <c r="AO2227" s="829" t="str">
        <f t="shared" si="462"/>
        <v>No</v>
      </c>
      <c r="AP2227" s="259" t="str">
        <f t="shared" si="467"/>
        <v>blank</v>
      </c>
      <c r="AQ2227" s="547" t="str">
        <f t="shared" si="466"/>
        <v>无定金+无預留客戶</v>
      </c>
      <c r="AR2227" s="259" t="str">
        <f t="shared" si="460"/>
        <v/>
      </c>
      <c r="AS2227" s="259" t="str">
        <f t="shared" si="461"/>
        <v/>
      </c>
      <c r="AT2227" s="259" t="b">
        <f t="shared" si="463"/>
        <v>0</v>
      </c>
      <c r="AU2227" s="259" t="b">
        <f t="shared" si="464"/>
        <v>0</v>
      </c>
      <c r="AV2227" s="259" t="str">
        <f t="shared" si="465"/>
        <v>-</v>
      </c>
    </row>
    <row r="2228" spans="41:48">
      <c r="AO2228" s="829" t="str">
        <f t="shared" si="462"/>
        <v>No</v>
      </c>
      <c r="AP2228" s="259" t="str">
        <f t="shared" si="467"/>
        <v>blank</v>
      </c>
      <c r="AQ2228" s="547" t="str">
        <f t="shared" si="466"/>
        <v>无定金+无預留客戶</v>
      </c>
      <c r="AR2228" s="259" t="str">
        <f t="shared" si="460"/>
        <v/>
      </c>
      <c r="AS2228" s="259" t="str">
        <f t="shared" si="461"/>
        <v/>
      </c>
      <c r="AT2228" s="259" t="b">
        <f t="shared" si="463"/>
        <v>0</v>
      </c>
      <c r="AU2228" s="259" t="b">
        <f t="shared" si="464"/>
        <v>0</v>
      </c>
      <c r="AV2228" s="259" t="str">
        <f t="shared" si="465"/>
        <v>-</v>
      </c>
    </row>
    <row r="2229" spans="41:48">
      <c r="AO2229" s="829" t="str">
        <f t="shared" si="462"/>
        <v>No</v>
      </c>
      <c r="AP2229" s="259" t="str">
        <f t="shared" si="467"/>
        <v>blank</v>
      </c>
      <c r="AQ2229" s="547" t="str">
        <f t="shared" si="466"/>
        <v>无定金+无預留客戶</v>
      </c>
      <c r="AR2229" s="259" t="str">
        <f t="shared" si="460"/>
        <v/>
      </c>
      <c r="AS2229" s="259" t="str">
        <f t="shared" si="461"/>
        <v/>
      </c>
      <c r="AT2229" s="259" t="b">
        <f t="shared" si="463"/>
        <v>0</v>
      </c>
      <c r="AU2229" s="259" t="b">
        <f t="shared" si="464"/>
        <v>0</v>
      </c>
      <c r="AV2229" s="259" t="str">
        <f t="shared" si="465"/>
        <v>-</v>
      </c>
    </row>
    <row r="2230" spans="41:48">
      <c r="AO2230" s="829" t="str">
        <f t="shared" si="462"/>
        <v>No</v>
      </c>
      <c r="AP2230" s="259" t="str">
        <f t="shared" si="467"/>
        <v>blank</v>
      </c>
      <c r="AQ2230" s="547" t="str">
        <f t="shared" si="466"/>
        <v>无定金+无預留客戶</v>
      </c>
      <c r="AR2230" s="259" t="str">
        <f t="shared" si="460"/>
        <v/>
      </c>
      <c r="AS2230" s="259" t="str">
        <f t="shared" si="461"/>
        <v/>
      </c>
      <c r="AT2230" s="259" t="b">
        <f t="shared" si="463"/>
        <v>0</v>
      </c>
      <c r="AU2230" s="259" t="b">
        <f t="shared" si="464"/>
        <v>0</v>
      </c>
      <c r="AV2230" s="259" t="str">
        <f t="shared" si="465"/>
        <v>-</v>
      </c>
    </row>
    <row r="2231" spans="41:48">
      <c r="AO2231" s="829" t="str">
        <f t="shared" si="462"/>
        <v>No</v>
      </c>
      <c r="AP2231" s="259" t="str">
        <f t="shared" si="467"/>
        <v>blank</v>
      </c>
      <c r="AQ2231" s="547" t="str">
        <f t="shared" si="466"/>
        <v>无定金+无預留客戶</v>
      </c>
      <c r="AR2231" s="259" t="str">
        <f t="shared" si="460"/>
        <v/>
      </c>
      <c r="AS2231" s="259" t="str">
        <f t="shared" si="461"/>
        <v/>
      </c>
      <c r="AT2231" s="259" t="b">
        <f t="shared" si="463"/>
        <v>0</v>
      </c>
      <c r="AU2231" s="259" t="b">
        <f t="shared" si="464"/>
        <v>0</v>
      </c>
      <c r="AV2231" s="259" t="str">
        <f t="shared" si="465"/>
        <v>-</v>
      </c>
    </row>
    <row r="2232" spans="41:48">
      <c r="AO2232" s="829" t="str">
        <f t="shared" si="462"/>
        <v>No</v>
      </c>
      <c r="AP2232" s="259" t="str">
        <f t="shared" si="467"/>
        <v>blank</v>
      </c>
      <c r="AQ2232" s="547" t="str">
        <f t="shared" si="466"/>
        <v>无定金+无預留客戶</v>
      </c>
      <c r="AR2232" s="259" t="str">
        <f t="shared" si="460"/>
        <v/>
      </c>
      <c r="AS2232" s="259" t="str">
        <f t="shared" si="461"/>
        <v/>
      </c>
      <c r="AT2232" s="259" t="b">
        <f t="shared" si="463"/>
        <v>0</v>
      </c>
      <c r="AU2232" s="259" t="b">
        <f t="shared" si="464"/>
        <v>0</v>
      </c>
      <c r="AV2232" s="259" t="str">
        <f t="shared" si="465"/>
        <v>-</v>
      </c>
    </row>
    <row r="2233" spans="41:48">
      <c r="AO2233" s="829" t="str">
        <f t="shared" si="462"/>
        <v>No</v>
      </c>
      <c r="AP2233" s="259" t="str">
        <f t="shared" si="467"/>
        <v>blank</v>
      </c>
      <c r="AQ2233" s="547" t="str">
        <f t="shared" si="466"/>
        <v>无定金+无預留客戶</v>
      </c>
      <c r="AR2233" s="259" t="str">
        <f t="shared" si="460"/>
        <v/>
      </c>
      <c r="AS2233" s="259" t="str">
        <f t="shared" si="461"/>
        <v/>
      </c>
      <c r="AT2233" s="259" t="b">
        <f t="shared" si="463"/>
        <v>0</v>
      </c>
      <c r="AU2233" s="259" t="b">
        <f t="shared" si="464"/>
        <v>0</v>
      </c>
      <c r="AV2233" s="259" t="str">
        <f t="shared" si="465"/>
        <v>-</v>
      </c>
    </row>
    <row r="2234" spans="41:48">
      <c r="AO2234" s="829" t="str">
        <f t="shared" si="462"/>
        <v>No</v>
      </c>
      <c r="AP2234" s="259" t="str">
        <f t="shared" si="467"/>
        <v>blank</v>
      </c>
      <c r="AQ2234" s="547" t="str">
        <f t="shared" si="466"/>
        <v>无定金+无預留客戶</v>
      </c>
      <c r="AR2234" s="259" t="str">
        <f t="shared" si="460"/>
        <v/>
      </c>
      <c r="AS2234" s="259" t="str">
        <f t="shared" si="461"/>
        <v/>
      </c>
      <c r="AT2234" s="259" t="b">
        <f t="shared" si="463"/>
        <v>0</v>
      </c>
      <c r="AU2234" s="259" t="b">
        <f t="shared" si="464"/>
        <v>0</v>
      </c>
      <c r="AV2234" s="259" t="str">
        <f t="shared" si="465"/>
        <v>-</v>
      </c>
    </row>
    <row r="2235" spans="41:48">
      <c r="AO2235" s="829" t="str">
        <f t="shared" si="462"/>
        <v>No</v>
      </c>
      <c r="AP2235" s="259" t="str">
        <f t="shared" si="467"/>
        <v>blank</v>
      </c>
      <c r="AQ2235" s="547" t="str">
        <f t="shared" si="466"/>
        <v>无定金+无預留客戶</v>
      </c>
      <c r="AR2235" s="259" t="str">
        <f t="shared" si="460"/>
        <v/>
      </c>
      <c r="AS2235" s="259" t="str">
        <f t="shared" si="461"/>
        <v/>
      </c>
      <c r="AT2235" s="259" t="b">
        <f t="shared" si="463"/>
        <v>0</v>
      </c>
      <c r="AU2235" s="259" t="b">
        <f t="shared" si="464"/>
        <v>0</v>
      </c>
      <c r="AV2235" s="259" t="str">
        <f t="shared" si="465"/>
        <v>-</v>
      </c>
    </row>
    <row r="2236" spans="41:48">
      <c r="AO2236" s="829" t="str">
        <f t="shared" si="462"/>
        <v>No</v>
      </c>
      <c r="AP2236" s="259" t="str">
        <f t="shared" si="467"/>
        <v>blank</v>
      </c>
      <c r="AQ2236" s="547" t="str">
        <f t="shared" si="466"/>
        <v>无定金+无預留客戶</v>
      </c>
      <c r="AR2236" s="259" t="str">
        <f t="shared" si="460"/>
        <v/>
      </c>
      <c r="AS2236" s="259" t="str">
        <f t="shared" si="461"/>
        <v/>
      </c>
      <c r="AT2236" s="259" t="b">
        <f t="shared" si="463"/>
        <v>0</v>
      </c>
      <c r="AU2236" s="259" t="b">
        <f t="shared" si="464"/>
        <v>0</v>
      </c>
      <c r="AV2236" s="259" t="str">
        <f t="shared" si="465"/>
        <v>-</v>
      </c>
    </row>
    <row r="2237" spans="41:48">
      <c r="AO2237" s="829" t="str">
        <f t="shared" si="462"/>
        <v>No</v>
      </c>
      <c r="AP2237" s="259" t="str">
        <f t="shared" si="467"/>
        <v>blank</v>
      </c>
      <c r="AQ2237" s="547" t="str">
        <f t="shared" si="466"/>
        <v>无定金+无預留客戶</v>
      </c>
      <c r="AR2237" s="259" t="str">
        <f t="shared" si="460"/>
        <v/>
      </c>
      <c r="AS2237" s="259" t="str">
        <f t="shared" si="461"/>
        <v/>
      </c>
      <c r="AT2237" s="259" t="b">
        <f t="shared" si="463"/>
        <v>0</v>
      </c>
      <c r="AU2237" s="259" t="b">
        <f t="shared" si="464"/>
        <v>0</v>
      </c>
      <c r="AV2237" s="259" t="str">
        <f t="shared" si="465"/>
        <v>-</v>
      </c>
    </row>
    <row r="2238" spans="41:48">
      <c r="AO2238" s="829" t="str">
        <f t="shared" si="462"/>
        <v>No</v>
      </c>
      <c r="AP2238" s="259" t="str">
        <f t="shared" si="467"/>
        <v>blank</v>
      </c>
      <c r="AQ2238" s="547" t="str">
        <f t="shared" si="466"/>
        <v>无定金+无預留客戶</v>
      </c>
      <c r="AR2238" s="259" t="str">
        <f t="shared" ref="AR2238:AR2301" si="468">IFERROR(IF(B2238="已经到货", "Instock", IF(B2238="有交期", "Incoming_Stock_With_YAMAHA_Schedule", IF(B2238="TBA.", "Incoming_Stock_No_YAMAHA_Schedule", IF(B2238="已发货", "Shipped_Stock", "")))), "")</f>
        <v/>
      </c>
      <c r="AS2238" s="259" t="str">
        <f t="shared" ref="AS2238:AS2301" si="469">IF(AND(B2238="有交期", L2238&lt;&gt;""), L2238, "")</f>
        <v/>
      </c>
      <c r="AT2238" s="259" t="b">
        <f t="shared" si="463"/>
        <v>0</v>
      </c>
      <c r="AU2238" s="259" t="b">
        <f t="shared" si="464"/>
        <v>0</v>
      </c>
      <c r="AV2238" s="259" t="str">
        <f t="shared" si="465"/>
        <v>-</v>
      </c>
    </row>
    <row r="2239" spans="41:48">
      <c r="AO2239" s="829" t="str">
        <f t="shared" si="462"/>
        <v>No</v>
      </c>
      <c r="AP2239" s="259" t="str">
        <f t="shared" si="467"/>
        <v>blank</v>
      </c>
      <c r="AQ2239" s="547" t="str">
        <f t="shared" si="466"/>
        <v>无定金+无預留客戶</v>
      </c>
      <c r="AR2239" s="259" t="str">
        <f t="shared" si="468"/>
        <v/>
      </c>
      <c r="AS2239" s="259" t="str">
        <f t="shared" si="469"/>
        <v/>
      </c>
      <c r="AT2239" s="259" t="b">
        <f t="shared" si="463"/>
        <v>0</v>
      </c>
      <c r="AU2239" s="259" t="b">
        <f t="shared" si="464"/>
        <v>0</v>
      </c>
      <c r="AV2239" s="259" t="str">
        <f t="shared" si="465"/>
        <v>-</v>
      </c>
    </row>
    <row r="2240" spans="41:48">
      <c r="AO2240" s="829" t="str">
        <f t="shared" si="462"/>
        <v>No</v>
      </c>
      <c r="AP2240" s="259" t="str">
        <f t="shared" si="467"/>
        <v>blank</v>
      </c>
      <c r="AQ2240" s="547" t="str">
        <f t="shared" si="466"/>
        <v>无定金+无預留客戶</v>
      </c>
      <c r="AR2240" s="259" t="str">
        <f t="shared" si="468"/>
        <v/>
      </c>
      <c r="AS2240" s="259" t="str">
        <f t="shared" si="469"/>
        <v/>
      </c>
      <c r="AT2240" s="259" t="b">
        <f t="shared" si="463"/>
        <v>0</v>
      </c>
      <c r="AU2240" s="259" t="b">
        <f t="shared" si="464"/>
        <v>0</v>
      </c>
      <c r="AV2240" s="259" t="str">
        <f t="shared" si="465"/>
        <v>-</v>
      </c>
    </row>
    <row r="2241" spans="41:48">
      <c r="AO2241" s="829" t="str">
        <f t="shared" si="462"/>
        <v>No</v>
      </c>
      <c r="AP2241" s="259" t="str">
        <f t="shared" si="467"/>
        <v>blank</v>
      </c>
      <c r="AQ2241" s="547" t="str">
        <f t="shared" si="466"/>
        <v>无定金+无預留客戶</v>
      </c>
      <c r="AR2241" s="259" t="str">
        <f t="shared" si="468"/>
        <v/>
      </c>
      <c r="AS2241" s="259" t="str">
        <f t="shared" si="469"/>
        <v/>
      </c>
      <c r="AT2241" s="259" t="b">
        <f t="shared" si="463"/>
        <v>0</v>
      </c>
      <c r="AU2241" s="259" t="b">
        <f t="shared" si="464"/>
        <v>0</v>
      </c>
      <c r="AV2241" s="259" t="str">
        <f t="shared" si="465"/>
        <v>-</v>
      </c>
    </row>
    <row r="2242" spans="41:48">
      <c r="AO2242" s="829" t="str">
        <f t="shared" ref="AO2242:AO2305" si="470">IFERROR(IF(Y2242&lt;&gt;"",Y2242,"No"),"No")</f>
        <v>No</v>
      </c>
      <c r="AP2242" s="259" t="str">
        <f t="shared" si="467"/>
        <v>blank</v>
      </c>
      <c r="AQ2242" s="547" t="str">
        <f t="shared" si="466"/>
        <v>无定金+无預留客戶</v>
      </c>
      <c r="AR2242" s="259" t="str">
        <f t="shared" si="468"/>
        <v/>
      </c>
      <c r="AS2242" s="259" t="str">
        <f t="shared" si="469"/>
        <v/>
      </c>
      <c r="AT2242" s="259" t="b">
        <f t="shared" ref="AT2242:AT2305" si="471">IFERROR(IF(R2242&lt;&gt;"",R2242),"-")</f>
        <v>0</v>
      </c>
      <c r="AU2242" s="259" t="b">
        <f t="shared" ref="AU2242:AU2305" si="472">IFERROR(IF(Q2242&lt;&gt;"",Q2242),"-")</f>
        <v>0</v>
      </c>
      <c r="AV2242" s="259" t="str">
        <f t="shared" ref="AV2242:AV2305" si="473">IF(L2242="","-",TEXT(L2242,"mmm-dd"))</f>
        <v>-</v>
      </c>
    </row>
    <row r="2243" spans="41:48">
      <c r="AO2243" s="829" t="str">
        <f t="shared" si="470"/>
        <v>No</v>
      </c>
      <c r="AP2243" s="259" t="str">
        <f t="shared" si="467"/>
        <v>blank</v>
      </c>
      <c r="AQ2243" s="547" t="str">
        <f t="shared" ref="AQ2243:AQ2306" si="474">IFERROR(IF(AND(AO2243="Yes", AP2243&lt;&gt;"blank"), "有定金+有預留客戶", IF(AND(AO2243="Yes", AP2243="blank"), "有定金+无客戶送貨期", IF(AND(OR(AO2243="No", ISBLANK(AO2243), AO2243="NA"), AP2243&lt;&gt;"blank"), "无定金+有預留客戶", IF(AND(OR(AO2243="No", ISBLANK(AO2243), AO2243="NA"), AP2243="blank"), "无定金+无預留客戶", "")))), "")</f>
        <v>无定金+无預留客戶</v>
      </c>
      <c r="AR2243" s="259" t="str">
        <f t="shared" si="468"/>
        <v/>
      </c>
      <c r="AS2243" s="259" t="str">
        <f t="shared" si="469"/>
        <v/>
      </c>
      <c r="AT2243" s="259" t="b">
        <f t="shared" si="471"/>
        <v>0</v>
      </c>
      <c r="AU2243" s="259" t="b">
        <f t="shared" si="472"/>
        <v>0</v>
      </c>
      <c r="AV2243" s="259" t="str">
        <f t="shared" si="473"/>
        <v>-</v>
      </c>
    </row>
    <row r="2244" spans="41:48">
      <c r="AO2244" s="829" t="str">
        <f t="shared" si="470"/>
        <v>No</v>
      </c>
      <c r="AP2244" s="259" t="str">
        <f t="shared" si="467"/>
        <v>blank</v>
      </c>
      <c r="AQ2244" s="547" t="str">
        <f t="shared" si="474"/>
        <v>无定金+无預留客戶</v>
      </c>
      <c r="AR2244" s="259" t="str">
        <f t="shared" si="468"/>
        <v/>
      </c>
      <c r="AS2244" s="259" t="str">
        <f t="shared" si="469"/>
        <v/>
      </c>
      <c r="AT2244" s="259" t="b">
        <f t="shared" si="471"/>
        <v>0</v>
      </c>
      <c r="AU2244" s="259" t="b">
        <f t="shared" si="472"/>
        <v>0</v>
      </c>
      <c r="AV2244" s="259" t="str">
        <f t="shared" si="473"/>
        <v>-</v>
      </c>
    </row>
    <row r="2245" spans="41:48">
      <c r="AO2245" s="829" t="str">
        <f t="shared" si="470"/>
        <v>No</v>
      </c>
      <c r="AP2245" s="259" t="str">
        <f t="shared" si="467"/>
        <v>blank</v>
      </c>
      <c r="AQ2245" s="547" t="str">
        <f t="shared" si="474"/>
        <v>无定金+无預留客戶</v>
      </c>
      <c r="AR2245" s="259" t="str">
        <f t="shared" si="468"/>
        <v/>
      </c>
      <c r="AS2245" s="259" t="str">
        <f t="shared" si="469"/>
        <v/>
      </c>
      <c r="AT2245" s="259" t="b">
        <f t="shared" si="471"/>
        <v>0</v>
      </c>
      <c r="AU2245" s="259" t="b">
        <f t="shared" si="472"/>
        <v>0</v>
      </c>
      <c r="AV2245" s="259" t="str">
        <f t="shared" si="473"/>
        <v>-</v>
      </c>
    </row>
    <row r="2246" spans="41:48">
      <c r="AO2246" s="829" t="str">
        <f t="shared" si="470"/>
        <v>No</v>
      </c>
      <c r="AP2246" s="259" t="str">
        <f t="shared" ref="AP2246:AP2309" si="475">IFERROR(IF(N2246&lt;&gt;"",N2246,"blank"),"NA")</f>
        <v>blank</v>
      </c>
      <c r="AQ2246" s="547" t="str">
        <f t="shared" si="474"/>
        <v>无定金+无預留客戶</v>
      </c>
      <c r="AR2246" s="259" t="str">
        <f t="shared" si="468"/>
        <v/>
      </c>
      <c r="AS2246" s="259" t="str">
        <f t="shared" si="469"/>
        <v/>
      </c>
      <c r="AT2246" s="259" t="b">
        <f t="shared" si="471"/>
        <v>0</v>
      </c>
      <c r="AU2246" s="259" t="b">
        <f t="shared" si="472"/>
        <v>0</v>
      </c>
      <c r="AV2246" s="259" t="str">
        <f t="shared" si="473"/>
        <v>-</v>
      </c>
    </row>
    <row r="2247" spans="41:48">
      <c r="AO2247" s="829" t="str">
        <f t="shared" si="470"/>
        <v>No</v>
      </c>
      <c r="AP2247" s="259" t="str">
        <f t="shared" si="475"/>
        <v>blank</v>
      </c>
      <c r="AQ2247" s="547" t="str">
        <f t="shared" si="474"/>
        <v>无定金+无預留客戶</v>
      </c>
      <c r="AR2247" s="259" t="str">
        <f t="shared" si="468"/>
        <v/>
      </c>
      <c r="AS2247" s="259" t="str">
        <f t="shared" si="469"/>
        <v/>
      </c>
      <c r="AT2247" s="259" t="b">
        <f t="shared" si="471"/>
        <v>0</v>
      </c>
      <c r="AU2247" s="259" t="b">
        <f t="shared" si="472"/>
        <v>0</v>
      </c>
      <c r="AV2247" s="259" t="str">
        <f t="shared" si="473"/>
        <v>-</v>
      </c>
    </row>
    <row r="2248" spans="41:48">
      <c r="AO2248" s="829" t="str">
        <f t="shared" si="470"/>
        <v>No</v>
      </c>
      <c r="AP2248" s="259" t="str">
        <f t="shared" si="475"/>
        <v>blank</v>
      </c>
      <c r="AQ2248" s="547" t="str">
        <f t="shared" si="474"/>
        <v>无定金+无預留客戶</v>
      </c>
      <c r="AR2248" s="259" t="str">
        <f t="shared" si="468"/>
        <v/>
      </c>
      <c r="AS2248" s="259" t="str">
        <f t="shared" si="469"/>
        <v/>
      </c>
      <c r="AT2248" s="259" t="b">
        <f t="shared" si="471"/>
        <v>0</v>
      </c>
      <c r="AU2248" s="259" t="b">
        <f t="shared" si="472"/>
        <v>0</v>
      </c>
      <c r="AV2248" s="259" t="str">
        <f t="shared" si="473"/>
        <v>-</v>
      </c>
    </row>
    <row r="2249" spans="41:48">
      <c r="AO2249" s="829" t="str">
        <f t="shared" si="470"/>
        <v>No</v>
      </c>
      <c r="AP2249" s="259" t="str">
        <f t="shared" si="475"/>
        <v>blank</v>
      </c>
      <c r="AQ2249" s="547" t="str">
        <f t="shared" si="474"/>
        <v>无定金+无預留客戶</v>
      </c>
      <c r="AR2249" s="259" t="str">
        <f t="shared" si="468"/>
        <v/>
      </c>
      <c r="AS2249" s="259" t="str">
        <f t="shared" si="469"/>
        <v/>
      </c>
      <c r="AT2249" s="259" t="b">
        <f t="shared" si="471"/>
        <v>0</v>
      </c>
      <c r="AU2249" s="259" t="b">
        <f t="shared" si="472"/>
        <v>0</v>
      </c>
      <c r="AV2249" s="259" t="str">
        <f t="shared" si="473"/>
        <v>-</v>
      </c>
    </row>
    <row r="2250" spans="41:48">
      <c r="AO2250" s="829" t="str">
        <f t="shared" si="470"/>
        <v>No</v>
      </c>
      <c r="AP2250" s="259" t="str">
        <f t="shared" si="475"/>
        <v>blank</v>
      </c>
      <c r="AQ2250" s="547" t="str">
        <f t="shared" si="474"/>
        <v>无定金+无預留客戶</v>
      </c>
      <c r="AR2250" s="259" t="str">
        <f t="shared" si="468"/>
        <v/>
      </c>
      <c r="AS2250" s="259" t="str">
        <f t="shared" si="469"/>
        <v/>
      </c>
      <c r="AT2250" s="259" t="b">
        <f t="shared" si="471"/>
        <v>0</v>
      </c>
      <c r="AU2250" s="259" t="b">
        <f t="shared" si="472"/>
        <v>0</v>
      </c>
      <c r="AV2250" s="259" t="str">
        <f t="shared" si="473"/>
        <v>-</v>
      </c>
    </row>
    <row r="2251" spans="41:48">
      <c r="AO2251" s="829" t="str">
        <f t="shared" si="470"/>
        <v>No</v>
      </c>
      <c r="AP2251" s="259" t="str">
        <f t="shared" si="475"/>
        <v>blank</v>
      </c>
      <c r="AQ2251" s="547" t="str">
        <f t="shared" si="474"/>
        <v>无定金+无預留客戶</v>
      </c>
      <c r="AR2251" s="259" t="str">
        <f t="shared" si="468"/>
        <v/>
      </c>
      <c r="AS2251" s="259" t="str">
        <f t="shared" si="469"/>
        <v/>
      </c>
      <c r="AT2251" s="259" t="b">
        <f t="shared" si="471"/>
        <v>0</v>
      </c>
      <c r="AU2251" s="259" t="b">
        <f t="shared" si="472"/>
        <v>0</v>
      </c>
      <c r="AV2251" s="259" t="str">
        <f t="shared" si="473"/>
        <v>-</v>
      </c>
    </row>
    <row r="2252" spans="41:48">
      <c r="AO2252" s="829" t="str">
        <f t="shared" si="470"/>
        <v>No</v>
      </c>
      <c r="AP2252" s="259" t="str">
        <f t="shared" si="475"/>
        <v>blank</v>
      </c>
      <c r="AQ2252" s="547" t="str">
        <f t="shared" si="474"/>
        <v>无定金+无預留客戶</v>
      </c>
      <c r="AR2252" s="259" t="str">
        <f t="shared" si="468"/>
        <v/>
      </c>
      <c r="AS2252" s="259" t="str">
        <f t="shared" si="469"/>
        <v/>
      </c>
      <c r="AT2252" s="259" t="b">
        <f t="shared" si="471"/>
        <v>0</v>
      </c>
      <c r="AU2252" s="259" t="b">
        <f t="shared" si="472"/>
        <v>0</v>
      </c>
      <c r="AV2252" s="259" t="str">
        <f t="shared" si="473"/>
        <v>-</v>
      </c>
    </row>
    <row r="2253" spans="41:48">
      <c r="AO2253" s="829" t="str">
        <f t="shared" si="470"/>
        <v>No</v>
      </c>
      <c r="AP2253" s="259" t="str">
        <f t="shared" si="475"/>
        <v>blank</v>
      </c>
      <c r="AQ2253" s="547" t="str">
        <f t="shared" si="474"/>
        <v>无定金+无預留客戶</v>
      </c>
      <c r="AR2253" s="259" t="str">
        <f t="shared" si="468"/>
        <v/>
      </c>
      <c r="AS2253" s="259" t="str">
        <f t="shared" si="469"/>
        <v/>
      </c>
      <c r="AT2253" s="259" t="b">
        <f t="shared" si="471"/>
        <v>0</v>
      </c>
      <c r="AU2253" s="259" t="b">
        <f t="shared" si="472"/>
        <v>0</v>
      </c>
      <c r="AV2253" s="259" t="str">
        <f t="shared" si="473"/>
        <v>-</v>
      </c>
    </row>
    <row r="2254" spans="41:48">
      <c r="AO2254" s="829" t="str">
        <f t="shared" si="470"/>
        <v>No</v>
      </c>
      <c r="AP2254" s="259" t="str">
        <f t="shared" si="475"/>
        <v>blank</v>
      </c>
      <c r="AQ2254" s="547" t="str">
        <f t="shared" si="474"/>
        <v>无定金+无預留客戶</v>
      </c>
      <c r="AR2254" s="259" t="str">
        <f t="shared" si="468"/>
        <v/>
      </c>
      <c r="AS2254" s="259" t="str">
        <f t="shared" si="469"/>
        <v/>
      </c>
      <c r="AT2254" s="259" t="b">
        <f t="shared" si="471"/>
        <v>0</v>
      </c>
      <c r="AU2254" s="259" t="b">
        <f t="shared" si="472"/>
        <v>0</v>
      </c>
      <c r="AV2254" s="259" t="str">
        <f t="shared" si="473"/>
        <v>-</v>
      </c>
    </row>
    <row r="2255" spans="41:48">
      <c r="AO2255" s="829" t="str">
        <f t="shared" si="470"/>
        <v>No</v>
      </c>
      <c r="AP2255" s="259" t="str">
        <f t="shared" si="475"/>
        <v>blank</v>
      </c>
      <c r="AQ2255" s="547" t="str">
        <f t="shared" si="474"/>
        <v>无定金+无預留客戶</v>
      </c>
      <c r="AR2255" s="259" t="str">
        <f t="shared" si="468"/>
        <v/>
      </c>
      <c r="AS2255" s="259" t="str">
        <f t="shared" si="469"/>
        <v/>
      </c>
      <c r="AT2255" s="259" t="b">
        <f t="shared" si="471"/>
        <v>0</v>
      </c>
      <c r="AU2255" s="259" t="b">
        <f t="shared" si="472"/>
        <v>0</v>
      </c>
      <c r="AV2255" s="259" t="str">
        <f t="shared" si="473"/>
        <v>-</v>
      </c>
    </row>
    <row r="2256" spans="41:48">
      <c r="AO2256" s="829" t="str">
        <f t="shared" si="470"/>
        <v>No</v>
      </c>
      <c r="AP2256" s="259" t="str">
        <f t="shared" si="475"/>
        <v>blank</v>
      </c>
      <c r="AQ2256" s="547" t="str">
        <f t="shared" si="474"/>
        <v>无定金+无預留客戶</v>
      </c>
      <c r="AR2256" s="259" t="str">
        <f t="shared" si="468"/>
        <v/>
      </c>
      <c r="AS2256" s="259" t="str">
        <f t="shared" si="469"/>
        <v/>
      </c>
      <c r="AT2256" s="259" t="b">
        <f t="shared" si="471"/>
        <v>0</v>
      </c>
      <c r="AU2256" s="259" t="b">
        <f t="shared" si="472"/>
        <v>0</v>
      </c>
      <c r="AV2256" s="259" t="str">
        <f t="shared" si="473"/>
        <v>-</v>
      </c>
    </row>
    <row r="2257" spans="41:48">
      <c r="AO2257" s="829" t="str">
        <f t="shared" si="470"/>
        <v>No</v>
      </c>
      <c r="AP2257" s="259" t="str">
        <f t="shared" si="475"/>
        <v>blank</v>
      </c>
      <c r="AQ2257" s="547" t="str">
        <f t="shared" si="474"/>
        <v>无定金+无預留客戶</v>
      </c>
      <c r="AR2257" s="259" t="str">
        <f t="shared" si="468"/>
        <v/>
      </c>
      <c r="AS2257" s="259" t="str">
        <f t="shared" si="469"/>
        <v/>
      </c>
      <c r="AT2257" s="259" t="b">
        <f t="shared" si="471"/>
        <v>0</v>
      </c>
      <c r="AU2257" s="259" t="b">
        <f t="shared" si="472"/>
        <v>0</v>
      </c>
      <c r="AV2257" s="259" t="str">
        <f t="shared" si="473"/>
        <v>-</v>
      </c>
    </row>
    <row r="2258" spans="41:48">
      <c r="AO2258" s="829" t="str">
        <f t="shared" si="470"/>
        <v>No</v>
      </c>
      <c r="AP2258" s="259" t="str">
        <f t="shared" si="475"/>
        <v>blank</v>
      </c>
      <c r="AQ2258" s="547" t="str">
        <f t="shared" si="474"/>
        <v>无定金+无預留客戶</v>
      </c>
      <c r="AR2258" s="259" t="str">
        <f t="shared" si="468"/>
        <v/>
      </c>
      <c r="AS2258" s="259" t="str">
        <f t="shared" si="469"/>
        <v/>
      </c>
      <c r="AT2258" s="259" t="b">
        <f t="shared" si="471"/>
        <v>0</v>
      </c>
      <c r="AU2258" s="259" t="b">
        <f t="shared" si="472"/>
        <v>0</v>
      </c>
      <c r="AV2258" s="259" t="str">
        <f t="shared" si="473"/>
        <v>-</v>
      </c>
    </row>
    <row r="2259" spans="41:48">
      <c r="AO2259" s="829" t="str">
        <f t="shared" si="470"/>
        <v>No</v>
      </c>
      <c r="AP2259" s="259" t="str">
        <f t="shared" si="475"/>
        <v>blank</v>
      </c>
      <c r="AQ2259" s="547" t="str">
        <f t="shared" si="474"/>
        <v>无定金+无預留客戶</v>
      </c>
      <c r="AR2259" s="259" t="str">
        <f t="shared" si="468"/>
        <v/>
      </c>
      <c r="AS2259" s="259" t="str">
        <f t="shared" si="469"/>
        <v/>
      </c>
      <c r="AT2259" s="259" t="b">
        <f t="shared" si="471"/>
        <v>0</v>
      </c>
      <c r="AU2259" s="259" t="b">
        <f t="shared" si="472"/>
        <v>0</v>
      </c>
      <c r="AV2259" s="259" t="str">
        <f t="shared" si="473"/>
        <v>-</v>
      </c>
    </row>
    <row r="2260" spans="41:48">
      <c r="AO2260" s="829" t="str">
        <f t="shared" si="470"/>
        <v>No</v>
      </c>
      <c r="AP2260" s="259" t="str">
        <f t="shared" si="475"/>
        <v>blank</v>
      </c>
      <c r="AQ2260" s="547" t="str">
        <f t="shared" si="474"/>
        <v>无定金+无預留客戶</v>
      </c>
      <c r="AR2260" s="259" t="str">
        <f t="shared" si="468"/>
        <v/>
      </c>
      <c r="AS2260" s="259" t="str">
        <f t="shared" si="469"/>
        <v/>
      </c>
      <c r="AT2260" s="259" t="b">
        <f t="shared" si="471"/>
        <v>0</v>
      </c>
      <c r="AU2260" s="259" t="b">
        <f t="shared" si="472"/>
        <v>0</v>
      </c>
      <c r="AV2260" s="259" t="str">
        <f t="shared" si="473"/>
        <v>-</v>
      </c>
    </row>
    <row r="2261" spans="41:48">
      <c r="AO2261" s="829" t="str">
        <f t="shared" si="470"/>
        <v>No</v>
      </c>
      <c r="AP2261" s="259" t="str">
        <f t="shared" si="475"/>
        <v>blank</v>
      </c>
      <c r="AQ2261" s="547" t="str">
        <f t="shared" si="474"/>
        <v>无定金+无預留客戶</v>
      </c>
      <c r="AR2261" s="259" t="str">
        <f t="shared" si="468"/>
        <v/>
      </c>
      <c r="AS2261" s="259" t="str">
        <f t="shared" si="469"/>
        <v/>
      </c>
      <c r="AT2261" s="259" t="b">
        <f t="shared" si="471"/>
        <v>0</v>
      </c>
      <c r="AU2261" s="259" t="b">
        <f t="shared" si="472"/>
        <v>0</v>
      </c>
      <c r="AV2261" s="259" t="str">
        <f t="shared" si="473"/>
        <v>-</v>
      </c>
    </row>
    <row r="2262" spans="41:48">
      <c r="AO2262" s="829" t="str">
        <f t="shared" si="470"/>
        <v>No</v>
      </c>
      <c r="AP2262" s="259" t="str">
        <f t="shared" si="475"/>
        <v>blank</v>
      </c>
      <c r="AQ2262" s="547" t="str">
        <f t="shared" si="474"/>
        <v>无定金+无預留客戶</v>
      </c>
      <c r="AR2262" s="259" t="str">
        <f t="shared" si="468"/>
        <v/>
      </c>
      <c r="AS2262" s="259" t="str">
        <f t="shared" si="469"/>
        <v/>
      </c>
      <c r="AT2262" s="259" t="b">
        <f t="shared" si="471"/>
        <v>0</v>
      </c>
      <c r="AU2262" s="259" t="b">
        <f t="shared" si="472"/>
        <v>0</v>
      </c>
      <c r="AV2262" s="259" t="str">
        <f t="shared" si="473"/>
        <v>-</v>
      </c>
    </row>
    <row r="2263" spans="41:48">
      <c r="AO2263" s="829" t="str">
        <f t="shared" si="470"/>
        <v>No</v>
      </c>
      <c r="AP2263" s="259" t="str">
        <f t="shared" si="475"/>
        <v>blank</v>
      </c>
      <c r="AQ2263" s="547" t="str">
        <f t="shared" si="474"/>
        <v>无定金+无預留客戶</v>
      </c>
      <c r="AR2263" s="259" t="str">
        <f t="shared" si="468"/>
        <v/>
      </c>
      <c r="AS2263" s="259" t="str">
        <f t="shared" si="469"/>
        <v/>
      </c>
      <c r="AT2263" s="259" t="b">
        <f t="shared" si="471"/>
        <v>0</v>
      </c>
      <c r="AU2263" s="259" t="b">
        <f t="shared" si="472"/>
        <v>0</v>
      </c>
      <c r="AV2263" s="259" t="str">
        <f t="shared" si="473"/>
        <v>-</v>
      </c>
    </row>
    <row r="2264" spans="41:48">
      <c r="AO2264" s="829" t="str">
        <f t="shared" si="470"/>
        <v>No</v>
      </c>
      <c r="AP2264" s="259" t="str">
        <f t="shared" si="475"/>
        <v>blank</v>
      </c>
      <c r="AQ2264" s="547" t="str">
        <f t="shared" si="474"/>
        <v>无定金+无預留客戶</v>
      </c>
      <c r="AR2264" s="259" t="str">
        <f t="shared" si="468"/>
        <v/>
      </c>
      <c r="AS2264" s="259" t="str">
        <f t="shared" si="469"/>
        <v/>
      </c>
      <c r="AT2264" s="259" t="b">
        <f t="shared" si="471"/>
        <v>0</v>
      </c>
      <c r="AU2264" s="259" t="b">
        <f t="shared" si="472"/>
        <v>0</v>
      </c>
      <c r="AV2264" s="259" t="str">
        <f t="shared" si="473"/>
        <v>-</v>
      </c>
    </row>
    <row r="2265" spans="41:48">
      <c r="AO2265" s="829" t="str">
        <f t="shared" si="470"/>
        <v>No</v>
      </c>
      <c r="AP2265" s="259" t="str">
        <f t="shared" si="475"/>
        <v>blank</v>
      </c>
      <c r="AQ2265" s="547" t="str">
        <f t="shared" si="474"/>
        <v>无定金+无預留客戶</v>
      </c>
      <c r="AR2265" s="259" t="str">
        <f t="shared" si="468"/>
        <v/>
      </c>
      <c r="AS2265" s="259" t="str">
        <f t="shared" si="469"/>
        <v/>
      </c>
      <c r="AT2265" s="259" t="b">
        <f t="shared" si="471"/>
        <v>0</v>
      </c>
      <c r="AU2265" s="259" t="b">
        <f t="shared" si="472"/>
        <v>0</v>
      </c>
      <c r="AV2265" s="259" t="str">
        <f t="shared" si="473"/>
        <v>-</v>
      </c>
    </row>
    <row r="2266" spans="41:48">
      <c r="AO2266" s="829" t="str">
        <f t="shared" si="470"/>
        <v>No</v>
      </c>
      <c r="AP2266" s="259" t="str">
        <f t="shared" si="475"/>
        <v>blank</v>
      </c>
      <c r="AQ2266" s="547" t="str">
        <f t="shared" si="474"/>
        <v>无定金+无預留客戶</v>
      </c>
      <c r="AR2266" s="259" t="str">
        <f t="shared" si="468"/>
        <v/>
      </c>
      <c r="AS2266" s="259" t="str">
        <f t="shared" si="469"/>
        <v/>
      </c>
      <c r="AT2266" s="259" t="b">
        <f t="shared" si="471"/>
        <v>0</v>
      </c>
      <c r="AU2266" s="259" t="b">
        <f t="shared" si="472"/>
        <v>0</v>
      </c>
      <c r="AV2266" s="259" t="str">
        <f t="shared" si="473"/>
        <v>-</v>
      </c>
    </row>
    <row r="2267" spans="41:48">
      <c r="AO2267" s="829" t="str">
        <f t="shared" si="470"/>
        <v>No</v>
      </c>
      <c r="AP2267" s="259" t="str">
        <f t="shared" si="475"/>
        <v>blank</v>
      </c>
      <c r="AQ2267" s="547" t="str">
        <f t="shared" si="474"/>
        <v>无定金+无預留客戶</v>
      </c>
      <c r="AR2267" s="259" t="str">
        <f t="shared" si="468"/>
        <v/>
      </c>
      <c r="AS2267" s="259" t="str">
        <f t="shared" si="469"/>
        <v/>
      </c>
      <c r="AT2267" s="259" t="b">
        <f t="shared" si="471"/>
        <v>0</v>
      </c>
      <c r="AU2267" s="259" t="b">
        <f t="shared" si="472"/>
        <v>0</v>
      </c>
      <c r="AV2267" s="259" t="str">
        <f t="shared" si="473"/>
        <v>-</v>
      </c>
    </row>
    <row r="2268" spans="41:48">
      <c r="AO2268" s="829" t="str">
        <f t="shared" si="470"/>
        <v>No</v>
      </c>
      <c r="AP2268" s="259" t="str">
        <f t="shared" si="475"/>
        <v>blank</v>
      </c>
      <c r="AQ2268" s="547" t="str">
        <f t="shared" si="474"/>
        <v>无定金+无預留客戶</v>
      </c>
      <c r="AR2268" s="259" t="str">
        <f t="shared" si="468"/>
        <v/>
      </c>
      <c r="AS2268" s="259" t="str">
        <f t="shared" si="469"/>
        <v/>
      </c>
      <c r="AT2268" s="259" t="b">
        <f t="shared" si="471"/>
        <v>0</v>
      </c>
      <c r="AU2268" s="259" t="b">
        <f t="shared" si="472"/>
        <v>0</v>
      </c>
      <c r="AV2268" s="259" t="str">
        <f t="shared" si="473"/>
        <v>-</v>
      </c>
    </row>
    <row r="2269" spans="41:48">
      <c r="AO2269" s="829" t="str">
        <f t="shared" si="470"/>
        <v>No</v>
      </c>
      <c r="AP2269" s="259" t="str">
        <f t="shared" si="475"/>
        <v>blank</v>
      </c>
      <c r="AQ2269" s="547" t="str">
        <f t="shared" si="474"/>
        <v>无定金+无預留客戶</v>
      </c>
      <c r="AR2269" s="259" t="str">
        <f t="shared" si="468"/>
        <v/>
      </c>
      <c r="AS2269" s="259" t="str">
        <f t="shared" si="469"/>
        <v/>
      </c>
      <c r="AT2269" s="259" t="b">
        <f t="shared" si="471"/>
        <v>0</v>
      </c>
      <c r="AU2269" s="259" t="b">
        <f t="shared" si="472"/>
        <v>0</v>
      </c>
      <c r="AV2269" s="259" t="str">
        <f t="shared" si="473"/>
        <v>-</v>
      </c>
    </row>
    <row r="2270" spans="41:48">
      <c r="AO2270" s="829" t="str">
        <f t="shared" si="470"/>
        <v>No</v>
      </c>
      <c r="AP2270" s="259" t="str">
        <f t="shared" si="475"/>
        <v>blank</v>
      </c>
      <c r="AQ2270" s="547" t="str">
        <f t="shared" si="474"/>
        <v>无定金+无預留客戶</v>
      </c>
      <c r="AR2270" s="259" t="str">
        <f t="shared" si="468"/>
        <v/>
      </c>
      <c r="AS2270" s="259" t="str">
        <f t="shared" si="469"/>
        <v/>
      </c>
      <c r="AT2270" s="259" t="b">
        <f t="shared" si="471"/>
        <v>0</v>
      </c>
      <c r="AU2270" s="259" t="b">
        <f t="shared" si="472"/>
        <v>0</v>
      </c>
      <c r="AV2270" s="259" t="str">
        <f t="shared" si="473"/>
        <v>-</v>
      </c>
    </row>
    <row r="2271" spans="41:48">
      <c r="AO2271" s="829" t="str">
        <f t="shared" si="470"/>
        <v>No</v>
      </c>
      <c r="AP2271" s="259" t="str">
        <f t="shared" si="475"/>
        <v>blank</v>
      </c>
      <c r="AQ2271" s="547" t="str">
        <f t="shared" si="474"/>
        <v>无定金+无預留客戶</v>
      </c>
      <c r="AR2271" s="259" t="str">
        <f t="shared" si="468"/>
        <v/>
      </c>
      <c r="AS2271" s="259" t="str">
        <f t="shared" si="469"/>
        <v/>
      </c>
      <c r="AT2271" s="259" t="b">
        <f t="shared" si="471"/>
        <v>0</v>
      </c>
      <c r="AU2271" s="259" t="b">
        <f t="shared" si="472"/>
        <v>0</v>
      </c>
      <c r="AV2271" s="259" t="str">
        <f t="shared" si="473"/>
        <v>-</v>
      </c>
    </row>
    <row r="2272" spans="41:48">
      <c r="AO2272" s="829" t="str">
        <f t="shared" si="470"/>
        <v>No</v>
      </c>
      <c r="AP2272" s="259" t="str">
        <f t="shared" si="475"/>
        <v>blank</v>
      </c>
      <c r="AQ2272" s="547" t="str">
        <f t="shared" si="474"/>
        <v>无定金+无預留客戶</v>
      </c>
      <c r="AR2272" s="259" t="str">
        <f t="shared" si="468"/>
        <v/>
      </c>
      <c r="AS2272" s="259" t="str">
        <f t="shared" si="469"/>
        <v/>
      </c>
      <c r="AT2272" s="259" t="b">
        <f t="shared" si="471"/>
        <v>0</v>
      </c>
      <c r="AU2272" s="259" t="b">
        <f t="shared" si="472"/>
        <v>0</v>
      </c>
      <c r="AV2272" s="259" t="str">
        <f t="shared" si="473"/>
        <v>-</v>
      </c>
    </row>
    <row r="2273" spans="41:48">
      <c r="AO2273" s="829" t="str">
        <f t="shared" si="470"/>
        <v>No</v>
      </c>
      <c r="AP2273" s="259" t="str">
        <f t="shared" si="475"/>
        <v>blank</v>
      </c>
      <c r="AQ2273" s="547" t="str">
        <f t="shared" si="474"/>
        <v>无定金+无預留客戶</v>
      </c>
      <c r="AR2273" s="259" t="str">
        <f t="shared" si="468"/>
        <v/>
      </c>
      <c r="AS2273" s="259" t="str">
        <f t="shared" si="469"/>
        <v/>
      </c>
      <c r="AT2273" s="259" t="b">
        <f t="shared" si="471"/>
        <v>0</v>
      </c>
      <c r="AU2273" s="259" t="b">
        <f t="shared" si="472"/>
        <v>0</v>
      </c>
      <c r="AV2273" s="259" t="str">
        <f t="shared" si="473"/>
        <v>-</v>
      </c>
    </row>
    <row r="2274" spans="41:48">
      <c r="AO2274" s="829" t="str">
        <f t="shared" si="470"/>
        <v>No</v>
      </c>
      <c r="AP2274" s="259" t="str">
        <f t="shared" si="475"/>
        <v>blank</v>
      </c>
      <c r="AQ2274" s="547" t="str">
        <f t="shared" si="474"/>
        <v>无定金+无預留客戶</v>
      </c>
      <c r="AR2274" s="259" t="str">
        <f t="shared" si="468"/>
        <v/>
      </c>
      <c r="AS2274" s="259" t="str">
        <f t="shared" si="469"/>
        <v/>
      </c>
      <c r="AT2274" s="259" t="b">
        <f t="shared" si="471"/>
        <v>0</v>
      </c>
      <c r="AU2274" s="259" t="b">
        <f t="shared" si="472"/>
        <v>0</v>
      </c>
      <c r="AV2274" s="259" t="str">
        <f t="shared" si="473"/>
        <v>-</v>
      </c>
    </row>
    <row r="2275" spans="41:48">
      <c r="AO2275" s="829" t="str">
        <f t="shared" si="470"/>
        <v>No</v>
      </c>
      <c r="AP2275" s="259" t="str">
        <f t="shared" si="475"/>
        <v>blank</v>
      </c>
      <c r="AQ2275" s="547" t="str">
        <f t="shared" si="474"/>
        <v>无定金+无預留客戶</v>
      </c>
      <c r="AR2275" s="259" t="str">
        <f t="shared" si="468"/>
        <v/>
      </c>
      <c r="AS2275" s="259" t="str">
        <f t="shared" si="469"/>
        <v/>
      </c>
      <c r="AT2275" s="259" t="b">
        <f t="shared" si="471"/>
        <v>0</v>
      </c>
      <c r="AU2275" s="259" t="b">
        <f t="shared" si="472"/>
        <v>0</v>
      </c>
      <c r="AV2275" s="259" t="str">
        <f t="shared" si="473"/>
        <v>-</v>
      </c>
    </row>
    <row r="2276" spans="41:48">
      <c r="AO2276" s="829" t="str">
        <f t="shared" si="470"/>
        <v>No</v>
      </c>
      <c r="AP2276" s="259" t="str">
        <f t="shared" si="475"/>
        <v>blank</v>
      </c>
      <c r="AQ2276" s="547" t="str">
        <f t="shared" si="474"/>
        <v>无定金+无預留客戶</v>
      </c>
      <c r="AR2276" s="259" t="str">
        <f t="shared" si="468"/>
        <v/>
      </c>
      <c r="AS2276" s="259" t="str">
        <f t="shared" si="469"/>
        <v/>
      </c>
      <c r="AT2276" s="259" t="b">
        <f t="shared" si="471"/>
        <v>0</v>
      </c>
      <c r="AU2276" s="259" t="b">
        <f t="shared" si="472"/>
        <v>0</v>
      </c>
      <c r="AV2276" s="259" t="str">
        <f t="shared" si="473"/>
        <v>-</v>
      </c>
    </row>
    <row r="2277" spans="41:48">
      <c r="AO2277" s="829" t="str">
        <f t="shared" si="470"/>
        <v>No</v>
      </c>
      <c r="AP2277" s="259" t="str">
        <f t="shared" si="475"/>
        <v>blank</v>
      </c>
      <c r="AQ2277" s="547" t="str">
        <f t="shared" si="474"/>
        <v>无定金+无預留客戶</v>
      </c>
      <c r="AR2277" s="259" t="str">
        <f t="shared" si="468"/>
        <v/>
      </c>
      <c r="AS2277" s="259" t="str">
        <f t="shared" si="469"/>
        <v/>
      </c>
      <c r="AT2277" s="259" t="b">
        <f t="shared" si="471"/>
        <v>0</v>
      </c>
      <c r="AU2277" s="259" t="b">
        <f t="shared" si="472"/>
        <v>0</v>
      </c>
      <c r="AV2277" s="259" t="str">
        <f t="shared" si="473"/>
        <v>-</v>
      </c>
    </row>
    <row r="2278" spans="41:48">
      <c r="AO2278" s="829" t="str">
        <f t="shared" si="470"/>
        <v>No</v>
      </c>
      <c r="AP2278" s="259" t="str">
        <f t="shared" si="475"/>
        <v>blank</v>
      </c>
      <c r="AQ2278" s="547" t="str">
        <f t="shared" si="474"/>
        <v>无定金+无預留客戶</v>
      </c>
      <c r="AR2278" s="259" t="str">
        <f t="shared" si="468"/>
        <v/>
      </c>
      <c r="AS2278" s="259" t="str">
        <f t="shared" si="469"/>
        <v/>
      </c>
      <c r="AT2278" s="259" t="b">
        <f t="shared" si="471"/>
        <v>0</v>
      </c>
      <c r="AU2278" s="259" t="b">
        <f t="shared" si="472"/>
        <v>0</v>
      </c>
      <c r="AV2278" s="259" t="str">
        <f t="shared" si="473"/>
        <v>-</v>
      </c>
    </row>
    <row r="2279" spans="41:48">
      <c r="AO2279" s="829" t="str">
        <f t="shared" si="470"/>
        <v>No</v>
      </c>
      <c r="AP2279" s="259" t="str">
        <f t="shared" si="475"/>
        <v>blank</v>
      </c>
      <c r="AQ2279" s="547" t="str">
        <f t="shared" si="474"/>
        <v>无定金+无預留客戶</v>
      </c>
      <c r="AR2279" s="259" t="str">
        <f t="shared" si="468"/>
        <v/>
      </c>
      <c r="AS2279" s="259" t="str">
        <f t="shared" si="469"/>
        <v/>
      </c>
      <c r="AT2279" s="259" t="b">
        <f t="shared" si="471"/>
        <v>0</v>
      </c>
      <c r="AU2279" s="259" t="b">
        <f t="shared" si="472"/>
        <v>0</v>
      </c>
      <c r="AV2279" s="259" t="str">
        <f t="shared" si="473"/>
        <v>-</v>
      </c>
    </row>
    <row r="2280" spans="41:48">
      <c r="AO2280" s="829" t="str">
        <f t="shared" si="470"/>
        <v>No</v>
      </c>
      <c r="AP2280" s="259" t="str">
        <f t="shared" si="475"/>
        <v>blank</v>
      </c>
      <c r="AQ2280" s="547" t="str">
        <f t="shared" si="474"/>
        <v>无定金+无預留客戶</v>
      </c>
      <c r="AR2280" s="259" t="str">
        <f t="shared" si="468"/>
        <v/>
      </c>
      <c r="AS2280" s="259" t="str">
        <f t="shared" si="469"/>
        <v/>
      </c>
      <c r="AT2280" s="259" t="b">
        <f t="shared" si="471"/>
        <v>0</v>
      </c>
      <c r="AU2280" s="259" t="b">
        <f t="shared" si="472"/>
        <v>0</v>
      </c>
      <c r="AV2280" s="259" t="str">
        <f t="shared" si="473"/>
        <v>-</v>
      </c>
    </row>
    <row r="2281" spans="41:48">
      <c r="AO2281" s="829" t="str">
        <f t="shared" si="470"/>
        <v>No</v>
      </c>
      <c r="AP2281" s="259" t="str">
        <f t="shared" si="475"/>
        <v>blank</v>
      </c>
      <c r="AQ2281" s="547" t="str">
        <f t="shared" si="474"/>
        <v>无定金+无預留客戶</v>
      </c>
      <c r="AR2281" s="259" t="str">
        <f t="shared" si="468"/>
        <v/>
      </c>
      <c r="AS2281" s="259" t="str">
        <f t="shared" si="469"/>
        <v/>
      </c>
      <c r="AT2281" s="259" t="b">
        <f t="shared" si="471"/>
        <v>0</v>
      </c>
      <c r="AU2281" s="259" t="b">
        <f t="shared" si="472"/>
        <v>0</v>
      </c>
      <c r="AV2281" s="259" t="str">
        <f t="shared" si="473"/>
        <v>-</v>
      </c>
    </row>
    <row r="2282" spans="41:48">
      <c r="AO2282" s="829" t="str">
        <f t="shared" si="470"/>
        <v>No</v>
      </c>
      <c r="AP2282" s="259" t="str">
        <f t="shared" si="475"/>
        <v>blank</v>
      </c>
      <c r="AQ2282" s="547" t="str">
        <f t="shared" si="474"/>
        <v>无定金+无預留客戶</v>
      </c>
      <c r="AR2282" s="259" t="str">
        <f t="shared" si="468"/>
        <v/>
      </c>
      <c r="AS2282" s="259" t="str">
        <f t="shared" si="469"/>
        <v/>
      </c>
      <c r="AT2282" s="259" t="b">
        <f t="shared" si="471"/>
        <v>0</v>
      </c>
      <c r="AU2282" s="259" t="b">
        <f t="shared" si="472"/>
        <v>0</v>
      </c>
      <c r="AV2282" s="259" t="str">
        <f t="shared" si="473"/>
        <v>-</v>
      </c>
    </row>
    <row r="2283" spans="41:48">
      <c r="AO2283" s="829" t="str">
        <f t="shared" si="470"/>
        <v>No</v>
      </c>
      <c r="AP2283" s="259" t="str">
        <f t="shared" si="475"/>
        <v>blank</v>
      </c>
      <c r="AQ2283" s="547" t="str">
        <f t="shared" si="474"/>
        <v>无定金+无預留客戶</v>
      </c>
      <c r="AR2283" s="259" t="str">
        <f t="shared" si="468"/>
        <v/>
      </c>
      <c r="AS2283" s="259" t="str">
        <f t="shared" si="469"/>
        <v/>
      </c>
      <c r="AT2283" s="259" t="b">
        <f t="shared" si="471"/>
        <v>0</v>
      </c>
      <c r="AU2283" s="259" t="b">
        <f t="shared" si="472"/>
        <v>0</v>
      </c>
      <c r="AV2283" s="259" t="str">
        <f t="shared" si="473"/>
        <v>-</v>
      </c>
    </row>
    <row r="2284" spans="41:48">
      <c r="AO2284" s="829" t="str">
        <f t="shared" si="470"/>
        <v>No</v>
      </c>
      <c r="AP2284" s="259" t="str">
        <f t="shared" si="475"/>
        <v>blank</v>
      </c>
      <c r="AQ2284" s="547" t="str">
        <f t="shared" si="474"/>
        <v>无定金+无預留客戶</v>
      </c>
      <c r="AR2284" s="259" t="str">
        <f t="shared" si="468"/>
        <v/>
      </c>
      <c r="AS2284" s="259" t="str">
        <f t="shared" si="469"/>
        <v/>
      </c>
      <c r="AT2284" s="259" t="b">
        <f t="shared" si="471"/>
        <v>0</v>
      </c>
      <c r="AU2284" s="259" t="b">
        <f t="shared" si="472"/>
        <v>0</v>
      </c>
      <c r="AV2284" s="259" t="str">
        <f t="shared" si="473"/>
        <v>-</v>
      </c>
    </row>
    <row r="2285" spans="41:48">
      <c r="AO2285" s="829" t="str">
        <f t="shared" si="470"/>
        <v>No</v>
      </c>
      <c r="AP2285" s="259" t="str">
        <f t="shared" si="475"/>
        <v>blank</v>
      </c>
      <c r="AQ2285" s="547" t="str">
        <f t="shared" si="474"/>
        <v>无定金+无預留客戶</v>
      </c>
      <c r="AR2285" s="259" t="str">
        <f t="shared" si="468"/>
        <v/>
      </c>
      <c r="AS2285" s="259" t="str">
        <f t="shared" si="469"/>
        <v/>
      </c>
      <c r="AT2285" s="259" t="b">
        <f t="shared" si="471"/>
        <v>0</v>
      </c>
      <c r="AU2285" s="259" t="b">
        <f t="shared" si="472"/>
        <v>0</v>
      </c>
      <c r="AV2285" s="259" t="str">
        <f t="shared" si="473"/>
        <v>-</v>
      </c>
    </row>
    <row r="2286" spans="41:48">
      <c r="AO2286" s="829" t="str">
        <f t="shared" si="470"/>
        <v>No</v>
      </c>
      <c r="AP2286" s="259" t="str">
        <f t="shared" si="475"/>
        <v>blank</v>
      </c>
      <c r="AQ2286" s="547" t="str">
        <f t="shared" si="474"/>
        <v>无定金+无預留客戶</v>
      </c>
      <c r="AR2286" s="259" t="str">
        <f t="shared" si="468"/>
        <v/>
      </c>
      <c r="AS2286" s="259" t="str">
        <f t="shared" si="469"/>
        <v/>
      </c>
      <c r="AT2286" s="259" t="b">
        <f t="shared" si="471"/>
        <v>0</v>
      </c>
      <c r="AU2286" s="259" t="b">
        <f t="shared" si="472"/>
        <v>0</v>
      </c>
      <c r="AV2286" s="259" t="str">
        <f t="shared" si="473"/>
        <v>-</v>
      </c>
    </row>
    <row r="2287" spans="41:48">
      <c r="AO2287" s="829" t="str">
        <f t="shared" si="470"/>
        <v>No</v>
      </c>
      <c r="AP2287" s="259" t="str">
        <f t="shared" si="475"/>
        <v>blank</v>
      </c>
      <c r="AQ2287" s="547" t="str">
        <f t="shared" si="474"/>
        <v>无定金+无預留客戶</v>
      </c>
      <c r="AR2287" s="259" t="str">
        <f t="shared" si="468"/>
        <v/>
      </c>
      <c r="AS2287" s="259" t="str">
        <f t="shared" si="469"/>
        <v/>
      </c>
      <c r="AT2287" s="259" t="b">
        <f t="shared" si="471"/>
        <v>0</v>
      </c>
      <c r="AU2287" s="259" t="b">
        <f t="shared" si="472"/>
        <v>0</v>
      </c>
      <c r="AV2287" s="259" t="str">
        <f t="shared" si="473"/>
        <v>-</v>
      </c>
    </row>
    <row r="2288" spans="41:48">
      <c r="AO2288" s="829" t="str">
        <f t="shared" si="470"/>
        <v>No</v>
      </c>
      <c r="AP2288" s="259" t="str">
        <f t="shared" si="475"/>
        <v>blank</v>
      </c>
      <c r="AQ2288" s="547" t="str">
        <f t="shared" si="474"/>
        <v>无定金+无預留客戶</v>
      </c>
      <c r="AR2288" s="259" t="str">
        <f t="shared" si="468"/>
        <v/>
      </c>
      <c r="AS2288" s="259" t="str">
        <f t="shared" si="469"/>
        <v/>
      </c>
      <c r="AT2288" s="259" t="b">
        <f t="shared" si="471"/>
        <v>0</v>
      </c>
      <c r="AU2288" s="259" t="b">
        <f t="shared" si="472"/>
        <v>0</v>
      </c>
      <c r="AV2288" s="259" t="str">
        <f t="shared" si="473"/>
        <v>-</v>
      </c>
    </row>
    <row r="2289" spans="41:48">
      <c r="AO2289" s="829" t="str">
        <f t="shared" si="470"/>
        <v>No</v>
      </c>
      <c r="AP2289" s="259" t="str">
        <f t="shared" si="475"/>
        <v>blank</v>
      </c>
      <c r="AQ2289" s="547" t="str">
        <f t="shared" si="474"/>
        <v>无定金+无預留客戶</v>
      </c>
      <c r="AR2289" s="259" t="str">
        <f t="shared" si="468"/>
        <v/>
      </c>
      <c r="AS2289" s="259" t="str">
        <f t="shared" si="469"/>
        <v/>
      </c>
      <c r="AT2289" s="259" t="b">
        <f t="shared" si="471"/>
        <v>0</v>
      </c>
      <c r="AU2289" s="259" t="b">
        <f t="shared" si="472"/>
        <v>0</v>
      </c>
      <c r="AV2289" s="259" t="str">
        <f t="shared" si="473"/>
        <v>-</v>
      </c>
    </row>
    <row r="2290" spans="41:48">
      <c r="AO2290" s="829" t="str">
        <f t="shared" si="470"/>
        <v>No</v>
      </c>
      <c r="AP2290" s="259" t="str">
        <f t="shared" si="475"/>
        <v>blank</v>
      </c>
      <c r="AQ2290" s="547" t="str">
        <f t="shared" si="474"/>
        <v>无定金+无預留客戶</v>
      </c>
      <c r="AR2290" s="259" t="str">
        <f t="shared" si="468"/>
        <v/>
      </c>
      <c r="AS2290" s="259" t="str">
        <f t="shared" si="469"/>
        <v/>
      </c>
      <c r="AT2290" s="259" t="b">
        <f t="shared" si="471"/>
        <v>0</v>
      </c>
      <c r="AU2290" s="259" t="b">
        <f t="shared" si="472"/>
        <v>0</v>
      </c>
      <c r="AV2290" s="259" t="str">
        <f t="shared" si="473"/>
        <v>-</v>
      </c>
    </row>
    <row r="2291" spans="41:48">
      <c r="AO2291" s="829" t="str">
        <f t="shared" si="470"/>
        <v>No</v>
      </c>
      <c r="AP2291" s="259" t="str">
        <f t="shared" si="475"/>
        <v>blank</v>
      </c>
      <c r="AQ2291" s="547" t="str">
        <f t="shared" si="474"/>
        <v>无定金+无預留客戶</v>
      </c>
      <c r="AR2291" s="259" t="str">
        <f t="shared" si="468"/>
        <v/>
      </c>
      <c r="AS2291" s="259" t="str">
        <f t="shared" si="469"/>
        <v/>
      </c>
      <c r="AT2291" s="259" t="b">
        <f t="shared" si="471"/>
        <v>0</v>
      </c>
      <c r="AU2291" s="259" t="b">
        <f t="shared" si="472"/>
        <v>0</v>
      </c>
      <c r="AV2291" s="259" t="str">
        <f t="shared" si="473"/>
        <v>-</v>
      </c>
    </row>
    <row r="2292" spans="41:48">
      <c r="AO2292" s="829" t="str">
        <f t="shared" si="470"/>
        <v>No</v>
      </c>
      <c r="AP2292" s="259" t="str">
        <f t="shared" si="475"/>
        <v>blank</v>
      </c>
      <c r="AQ2292" s="547" t="str">
        <f t="shared" si="474"/>
        <v>无定金+无預留客戶</v>
      </c>
      <c r="AR2292" s="259" t="str">
        <f t="shared" si="468"/>
        <v/>
      </c>
      <c r="AS2292" s="259" t="str">
        <f t="shared" si="469"/>
        <v/>
      </c>
      <c r="AT2292" s="259" t="b">
        <f t="shared" si="471"/>
        <v>0</v>
      </c>
      <c r="AU2292" s="259" t="b">
        <f t="shared" si="472"/>
        <v>0</v>
      </c>
      <c r="AV2292" s="259" t="str">
        <f t="shared" si="473"/>
        <v>-</v>
      </c>
    </row>
    <row r="2293" spans="41:48">
      <c r="AO2293" s="829" t="str">
        <f t="shared" si="470"/>
        <v>No</v>
      </c>
      <c r="AP2293" s="259" t="str">
        <f t="shared" si="475"/>
        <v>blank</v>
      </c>
      <c r="AQ2293" s="547" t="str">
        <f t="shared" si="474"/>
        <v>无定金+无預留客戶</v>
      </c>
      <c r="AR2293" s="259" t="str">
        <f t="shared" si="468"/>
        <v/>
      </c>
      <c r="AS2293" s="259" t="str">
        <f t="shared" si="469"/>
        <v/>
      </c>
      <c r="AT2293" s="259" t="b">
        <f t="shared" si="471"/>
        <v>0</v>
      </c>
      <c r="AU2293" s="259" t="b">
        <f t="shared" si="472"/>
        <v>0</v>
      </c>
      <c r="AV2293" s="259" t="str">
        <f t="shared" si="473"/>
        <v>-</v>
      </c>
    </row>
    <row r="2294" spans="41:48">
      <c r="AO2294" s="829" t="str">
        <f t="shared" si="470"/>
        <v>No</v>
      </c>
      <c r="AP2294" s="259" t="str">
        <f t="shared" si="475"/>
        <v>blank</v>
      </c>
      <c r="AQ2294" s="547" t="str">
        <f t="shared" si="474"/>
        <v>无定金+无預留客戶</v>
      </c>
      <c r="AR2294" s="259" t="str">
        <f t="shared" si="468"/>
        <v/>
      </c>
      <c r="AS2294" s="259" t="str">
        <f t="shared" si="469"/>
        <v/>
      </c>
      <c r="AT2294" s="259" t="b">
        <f t="shared" si="471"/>
        <v>0</v>
      </c>
      <c r="AU2294" s="259" t="b">
        <f t="shared" si="472"/>
        <v>0</v>
      </c>
      <c r="AV2294" s="259" t="str">
        <f t="shared" si="473"/>
        <v>-</v>
      </c>
    </row>
    <row r="2295" spans="41:48">
      <c r="AO2295" s="829" t="str">
        <f t="shared" si="470"/>
        <v>No</v>
      </c>
      <c r="AP2295" s="259" t="str">
        <f t="shared" si="475"/>
        <v>blank</v>
      </c>
      <c r="AQ2295" s="547" t="str">
        <f t="shared" si="474"/>
        <v>无定金+无預留客戶</v>
      </c>
      <c r="AR2295" s="259" t="str">
        <f t="shared" si="468"/>
        <v/>
      </c>
      <c r="AS2295" s="259" t="str">
        <f t="shared" si="469"/>
        <v/>
      </c>
      <c r="AT2295" s="259" t="b">
        <f t="shared" si="471"/>
        <v>0</v>
      </c>
      <c r="AU2295" s="259" t="b">
        <f t="shared" si="472"/>
        <v>0</v>
      </c>
      <c r="AV2295" s="259" t="str">
        <f t="shared" si="473"/>
        <v>-</v>
      </c>
    </row>
    <row r="2296" spans="41:48">
      <c r="AO2296" s="829" t="str">
        <f t="shared" si="470"/>
        <v>No</v>
      </c>
      <c r="AP2296" s="259" t="str">
        <f t="shared" si="475"/>
        <v>blank</v>
      </c>
      <c r="AQ2296" s="547" t="str">
        <f t="shared" si="474"/>
        <v>无定金+无預留客戶</v>
      </c>
      <c r="AR2296" s="259" t="str">
        <f t="shared" si="468"/>
        <v/>
      </c>
      <c r="AS2296" s="259" t="str">
        <f t="shared" si="469"/>
        <v/>
      </c>
      <c r="AT2296" s="259" t="b">
        <f t="shared" si="471"/>
        <v>0</v>
      </c>
      <c r="AU2296" s="259" t="b">
        <f t="shared" si="472"/>
        <v>0</v>
      </c>
      <c r="AV2296" s="259" t="str">
        <f t="shared" si="473"/>
        <v>-</v>
      </c>
    </row>
    <row r="2297" spans="41:48">
      <c r="AO2297" s="829" t="str">
        <f t="shared" si="470"/>
        <v>No</v>
      </c>
      <c r="AP2297" s="259" t="str">
        <f t="shared" si="475"/>
        <v>blank</v>
      </c>
      <c r="AQ2297" s="547" t="str">
        <f t="shared" si="474"/>
        <v>无定金+无預留客戶</v>
      </c>
      <c r="AR2297" s="259" t="str">
        <f t="shared" si="468"/>
        <v/>
      </c>
      <c r="AS2297" s="259" t="str">
        <f t="shared" si="469"/>
        <v/>
      </c>
      <c r="AT2297" s="259" t="b">
        <f t="shared" si="471"/>
        <v>0</v>
      </c>
      <c r="AU2297" s="259" t="b">
        <f t="shared" si="472"/>
        <v>0</v>
      </c>
      <c r="AV2297" s="259" t="str">
        <f t="shared" si="473"/>
        <v>-</v>
      </c>
    </row>
    <row r="2298" spans="41:48">
      <c r="AO2298" s="829" t="str">
        <f t="shared" si="470"/>
        <v>No</v>
      </c>
      <c r="AP2298" s="259" t="str">
        <f t="shared" si="475"/>
        <v>blank</v>
      </c>
      <c r="AQ2298" s="547" t="str">
        <f t="shared" si="474"/>
        <v>无定金+无預留客戶</v>
      </c>
      <c r="AR2298" s="259" t="str">
        <f t="shared" si="468"/>
        <v/>
      </c>
      <c r="AS2298" s="259" t="str">
        <f t="shared" si="469"/>
        <v/>
      </c>
      <c r="AT2298" s="259" t="b">
        <f t="shared" si="471"/>
        <v>0</v>
      </c>
      <c r="AU2298" s="259" t="b">
        <f t="shared" si="472"/>
        <v>0</v>
      </c>
      <c r="AV2298" s="259" t="str">
        <f t="shared" si="473"/>
        <v>-</v>
      </c>
    </row>
    <row r="2299" spans="41:48">
      <c r="AO2299" s="829" t="str">
        <f t="shared" si="470"/>
        <v>No</v>
      </c>
      <c r="AP2299" s="259" t="str">
        <f t="shared" si="475"/>
        <v>blank</v>
      </c>
      <c r="AQ2299" s="547" t="str">
        <f t="shared" si="474"/>
        <v>无定金+无預留客戶</v>
      </c>
      <c r="AR2299" s="259" t="str">
        <f t="shared" si="468"/>
        <v/>
      </c>
      <c r="AS2299" s="259" t="str">
        <f t="shared" si="469"/>
        <v/>
      </c>
      <c r="AT2299" s="259" t="b">
        <f t="shared" si="471"/>
        <v>0</v>
      </c>
      <c r="AU2299" s="259" t="b">
        <f t="shared" si="472"/>
        <v>0</v>
      </c>
      <c r="AV2299" s="259" t="str">
        <f t="shared" si="473"/>
        <v>-</v>
      </c>
    </row>
    <row r="2300" spans="41:48">
      <c r="AO2300" s="829" t="str">
        <f t="shared" si="470"/>
        <v>No</v>
      </c>
      <c r="AP2300" s="259" t="str">
        <f t="shared" si="475"/>
        <v>blank</v>
      </c>
      <c r="AQ2300" s="547" t="str">
        <f t="shared" si="474"/>
        <v>无定金+无預留客戶</v>
      </c>
      <c r="AR2300" s="259" t="str">
        <f t="shared" si="468"/>
        <v/>
      </c>
      <c r="AS2300" s="259" t="str">
        <f t="shared" si="469"/>
        <v/>
      </c>
      <c r="AT2300" s="259" t="b">
        <f t="shared" si="471"/>
        <v>0</v>
      </c>
      <c r="AU2300" s="259" t="b">
        <f t="shared" si="472"/>
        <v>0</v>
      </c>
      <c r="AV2300" s="259" t="str">
        <f t="shared" si="473"/>
        <v>-</v>
      </c>
    </row>
    <row r="2301" spans="41:48">
      <c r="AO2301" s="829" t="str">
        <f t="shared" si="470"/>
        <v>No</v>
      </c>
      <c r="AP2301" s="259" t="str">
        <f t="shared" si="475"/>
        <v>blank</v>
      </c>
      <c r="AQ2301" s="547" t="str">
        <f t="shared" si="474"/>
        <v>无定金+无預留客戶</v>
      </c>
      <c r="AR2301" s="259" t="str">
        <f t="shared" si="468"/>
        <v/>
      </c>
      <c r="AS2301" s="259" t="str">
        <f t="shared" si="469"/>
        <v/>
      </c>
      <c r="AT2301" s="259" t="b">
        <f t="shared" si="471"/>
        <v>0</v>
      </c>
      <c r="AU2301" s="259" t="b">
        <f t="shared" si="472"/>
        <v>0</v>
      </c>
      <c r="AV2301" s="259" t="str">
        <f t="shared" si="473"/>
        <v>-</v>
      </c>
    </row>
    <row r="2302" spans="41:48">
      <c r="AO2302" s="829" t="str">
        <f t="shared" si="470"/>
        <v>No</v>
      </c>
      <c r="AP2302" s="259" t="str">
        <f t="shared" si="475"/>
        <v>blank</v>
      </c>
      <c r="AQ2302" s="547" t="str">
        <f t="shared" si="474"/>
        <v>无定金+无預留客戶</v>
      </c>
      <c r="AR2302" s="259" t="str">
        <f t="shared" ref="AR2302:AR2365" si="476">IFERROR(IF(B2302="已经到货", "Instock", IF(B2302="有交期", "Incoming_Stock_With_YAMAHA_Schedule", IF(B2302="TBA.", "Incoming_Stock_No_YAMAHA_Schedule", IF(B2302="已发货", "Shipped_Stock", "")))), "")</f>
        <v/>
      </c>
      <c r="AS2302" s="259" t="str">
        <f t="shared" ref="AS2302:AS2365" si="477">IF(AND(B2302="有交期", L2302&lt;&gt;""), L2302, "")</f>
        <v/>
      </c>
      <c r="AT2302" s="259" t="b">
        <f t="shared" si="471"/>
        <v>0</v>
      </c>
      <c r="AU2302" s="259" t="b">
        <f t="shared" si="472"/>
        <v>0</v>
      </c>
      <c r="AV2302" s="259" t="str">
        <f t="shared" si="473"/>
        <v>-</v>
      </c>
    </row>
    <row r="2303" spans="41:48">
      <c r="AO2303" s="829" t="str">
        <f t="shared" si="470"/>
        <v>No</v>
      </c>
      <c r="AP2303" s="259" t="str">
        <f t="shared" si="475"/>
        <v>blank</v>
      </c>
      <c r="AQ2303" s="547" t="str">
        <f t="shared" si="474"/>
        <v>无定金+无預留客戶</v>
      </c>
      <c r="AR2303" s="259" t="str">
        <f t="shared" si="476"/>
        <v/>
      </c>
      <c r="AS2303" s="259" t="str">
        <f t="shared" si="477"/>
        <v/>
      </c>
      <c r="AT2303" s="259" t="b">
        <f t="shared" si="471"/>
        <v>0</v>
      </c>
      <c r="AU2303" s="259" t="b">
        <f t="shared" si="472"/>
        <v>0</v>
      </c>
      <c r="AV2303" s="259" t="str">
        <f t="shared" si="473"/>
        <v>-</v>
      </c>
    </row>
    <row r="2304" spans="41:48">
      <c r="AO2304" s="829" t="str">
        <f t="shared" si="470"/>
        <v>No</v>
      </c>
      <c r="AP2304" s="259" t="str">
        <f t="shared" si="475"/>
        <v>blank</v>
      </c>
      <c r="AQ2304" s="547" t="str">
        <f t="shared" si="474"/>
        <v>无定金+无預留客戶</v>
      </c>
      <c r="AR2304" s="259" t="str">
        <f t="shared" si="476"/>
        <v/>
      </c>
      <c r="AS2304" s="259" t="str">
        <f t="shared" si="477"/>
        <v/>
      </c>
      <c r="AT2304" s="259" t="b">
        <f t="shared" si="471"/>
        <v>0</v>
      </c>
      <c r="AU2304" s="259" t="b">
        <f t="shared" si="472"/>
        <v>0</v>
      </c>
      <c r="AV2304" s="259" t="str">
        <f t="shared" si="473"/>
        <v>-</v>
      </c>
    </row>
    <row r="2305" spans="41:48">
      <c r="AO2305" s="829" t="str">
        <f t="shared" si="470"/>
        <v>No</v>
      </c>
      <c r="AP2305" s="259" t="str">
        <f t="shared" si="475"/>
        <v>blank</v>
      </c>
      <c r="AQ2305" s="547" t="str">
        <f t="shared" si="474"/>
        <v>无定金+无預留客戶</v>
      </c>
      <c r="AR2305" s="259" t="str">
        <f t="shared" si="476"/>
        <v/>
      </c>
      <c r="AS2305" s="259" t="str">
        <f t="shared" si="477"/>
        <v/>
      </c>
      <c r="AT2305" s="259" t="b">
        <f t="shared" si="471"/>
        <v>0</v>
      </c>
      <c r="AU2305" s="259" t="b">
        <f t="shared" si="472"/>
        <v>0</v>
      </c>
      <c r="AV2305" s="259" t="str">
        <f t="shared" si="473"/>
        <v>-</v>
      </c>
    </row>
    <row r="2306" spans="41:48">
      <c r="AO2306" s="829" t="str">
        <f t="shared" ref="AO2306:AO2369" si="478">IFERROR(IF(Y2306&lt;&gt;"",Y2306,"No"),"No")</f>
        <v>No</v>
      </c>
      <c r="AP2306" s="259" t="str">
        <f t="shared" si="475"/>
        <v>blank</v>
      </c>
      <c r="AQ2306" s="547" t="str">
        <f t="shared" si="474"/>
        <v>无定金+无預留客戶</v>
      </c>
      <c r="AR2306" s="259" t="str">
        <f t="shared" si="476"/>
        <v/>
      </c>
      <c r="AS2306" s="259" t="str">
        <f t="shared" si="477"/>
        <v/>
      </c>
      <c r="AT2306" s="259" t="b">
        <f t="shared" ref="AT2306:AT2369" si="479">IFERROR(IF(R2306&lt;&gt;"",R2306),"-")</f>
        <v>0</v>
      </c>
      <c r="AU2306" s="259" t="b">
        <f t="shared" ref="AU2306:AU2369" si="480">IFERROR(IF(Q2306&lt;&gt;"",Q2306),"-")</f>
        <v>0</v>
      </c>
      <c r="AV2306" s="259" t="str">
        <f t="shared" ref="AV2306:AV2369" si="481">IF(L2306="","-",TEXT(L2306,"mmm-dd"))</f>
        <v>-</v>
      </c>
    </row>
    <row r="2307" spans="41:48">
      <c r="AO2307" s="829" t="str">
        <f t="shared" si="478"/>
        <v>No</v>
      </c>
      <c r="AP2307" s="259" t="str">
        <f t="shared" si="475"/>
        <v>blank</v>
      </c>
      <c r="AQ2307" s="547" t="str">
        <f t="shared" ref="AQ2307:AQ2370" si="482">IFERROR(IF(AND(AO2307="Yes", AP2307&lt;&gt;"blank"), "有定金+有預留客戶", IF(AND(AO2307="Yes", AP2307="blank"), "有定金+无客戶送貨期", IF(AND(OR(AO2307="No", ISBLANK(AO2307), AO2307="NA"), AP2307&lt;&gt;"blank"), "无定金+有預留客戶", IF(AND(OR(AO2307="No", ISBLANK(AO2307), AO2307="NA"), AP2307="blank"), "无定金+无預留客戶", "")))), "")</f>
        <v>无定金+无預留客戶</v>
      </c>
      <c r="AR2307" s="259" t="str">
        <f t="shared" si="476"/>
        <v/>
      </c>
      <c r="AS2307" s="259" t="str">
        <f t="shared" si="477"/>
        <v/>
      </c>
      <c r="AT2307" s="259" t="b">
        <f t="shared" si="479"/>
        <v>0</v>
      </c>
      <c r="AU2307" s="259" t="b">
        <f t="shared" si="480"/>
        <v>0</v>
      </c>
      <c r="AV2307" s="259" t="str">
        <f t="shared" si="481"/>
        <v>-</v>
      </c>
    </row>
    <row r="2308" spans="41:48">
      <c r="AO2308" s="829" t="str">
        <f t="shared" si="478"/>
        <v>No</v>
      </c>
      <c r="AP2308" s="259" t="str">
        <f t="shared" si="475"/>
        <v>blank</v>
      </c>
      <c r="AQ2308" s="547" t="str">
        <f t="shared" si="482"/>
        <v>无定金+无預留客戶</v>
      </c>
      <c r="AR2308" s="259" t="str">
        <f t="shared" si="476"/>
        <v/>
      </c>
      <c r="AS2308" s="259" t="str">
        <f t="shared" si="477"/>
        <v/>
      </c>
      <c r="AT2308" s="259" t="b">
        <f t="shared" si="479"/>
        <v>0</v>
      </c>
      <c r="AU2308" s="259" t="b">
        <f t="shared" si="480"/>
        <v>0</v>
      </c>
      <c r="AV2308" s="259" t="str">
        <f t="shared" si="481"/>
        <v>-</v>
      </c>
    </row>
    <row r="2309" spans="41:48">
      <c r="AO2309" s="829" t="str">
        <f t="shared" si="478"/>
        <v>No</v>
      </c>
      <c r="AP2309" s="259" t="str">
        <f t="shared" si="475"/>
        <v>blank</v>
      </c>
      <c r="AQ2309" s="547" t="str">
        <f t="shared" si="482"/>
        <v>无定金+无預留客戶</v>
      </c>
      <c r="AR2309" s="259" t="str">
        <f t="shared" si="476"/>
        <v/>
      </c>
      <c r="AS2309" s="259" t="str">
        <f t="shared" si="477"/>
        <v/>
      </c>
      <c r="AT2309" s="259" t="b">
        <f t="shared" si="479"/>
        <v>0</v>
      </c>
      <c r="AU2309" s="259" t="b">
        <f t="shared" si="480"/>
        <v>0</v>
      </c>
      <c r="AV2309" s="259" t="str">
        <f t="shared" si="481"/>
        <v>-</v>
      </c>
    </row>
    <row r="2310" spans="41:48">
      <c r="AO2310" s="829" t="str">
        <f t="shared" si="478"/>
        <v>No</v>
      </c>
      <c r="AP2310" s="259" t="str">
        <f t="shared" ref="AP2310:AP2373" si="483">IFERROR(IF(N2310&lt;&gt;"",N2310,"blank"),"NA")</f>
        <v>blank</v>
      </c>
      <c r="AQ2310" s="547" t="str">
        <f t="shared" si="482"/>
        <v>无定金+无預留客戶</v>
      </c>
      <c r="AR2310" s="259" t="str">
        <f t="shared" si="476"/>
        <v/>
      </c>
      <c r="AS2310" s="259" t="str">
        <f t="shared" si="477"/>
        <v/>
      </c>
      <c r="AT2310" s="259" t="b">
        <f t="shared" si="479"/>
        <v>0</v>
      </c>
      <c r="AU2310" s="259" t="b">
        <f t="shared" si="480"/>
        <v>0</v>
      </c>
      <c r="AV2310" s="259" t="str">
        <f t="shared" si="481"/>
        <v>-</v>
      </c>
    </row>
    <row r="2311" spans="41:48">
      <c r="AO2311" s="829" t="str">
        <f t="shared" si="478"/>
        <v>No</v>
      </c>
      <c r="AP2311" s="259" t="str">
        <f t="shared" si="483"/>
        <v>blank</v>
      </c>
      <c r="AQ2311" s="547" t="str">
        <f t="shared" si="482"/>
        <v>无定金+无預留客戶</v>
      </c>
      <c r="AR2311" s="259" t="str">
        <f t="shared" si="476"/>
        <v/>
      </c>
      <c r="AS2311" s="259" t="str">
        <f t="shared" si="477"/>
        <v/>
      </c>
      <c r="AT2311" s="259" t="b">
        <f t="shared" si="479"/>
        <v>0</v>
      </c>
      <c r="AU2311" s="259" t="b">
        <f t="shared" si="480"/>
        <v>0</v>
      </c>
      <c r="AV2311" s="259" t="str">
        <f t="shared" si="481"/>
        <v>-</v>
      </c>
    </row>
    <row r="2312" spans="41:48">
      <c r="AO2312" s="829" t="str">
        <f t="shared" si="478"/>
        <v>No</v>
      </c>
      <c r="AP2312" s="259" t="str">
        <f t="shared" si="483"/>
        <v>blank</v>
      </c>
      <c r="AQ2312" s="547" t="str">
        <f t="shared" si="482"/>
        <v>无定金+无預留客戶</v>
      </c>
      <c r="AR2312" s="259" t="str">
        <f t="shared" si="476"/>
        <v/>
      </c>
      <c r="AS2312" s="259" t="str">
        <f t="shared" si="477"/>
        <v/>
      </c>
      <c r="AT2312" s="259" t="b">
        <f t="shared" si="479"/>
        <v>0</v>
      </c>
      <c r="AU2312" s="259" t="b">
        <f t="shared" si="480"/>
        <v>0</v>
      </c>
      <c r="AV2312" s="259" t="str">
        <f t="shared" si="481"/>
        <v>-</v>
      </c>
    </row>
    <row r="2313" spans="41:48">
      <c r="AO2313" s="829" t="str">
        <f t="shared" si="478"/>
        <v>No</v>
      </c>
      <c r="AP2313" s="259" t="str">
        <f t="shared" si="483"/>
        <v>blank</v>
      </c>
      <c r="AQ2313" s="547" t="str">
        <f t="shared" si="482"/>
        <v>无定金+无預留客戶</v>
      </c>
      <c r="AR2313" s="259" t="str">
        <f t="shared" si="476"/>
        <v/>
      </c>
      <c r="AS2313" s="259" t="str">
        <f t="shared" si="477"/>
        <v/>
      </c>
      <c r="AT2313" s="259" t="b">
        <f t="shared" si="479"/>
        <v>0</v>
      </c>
      <c r="AU2313" s="259" t="b">
        <f t="shared" si="480"/>
        <v>0</v>
      </c>
      <c r="AV2313" s="259" t="str">
        <f t="shared" si="481"/>
        <v>-</v>
      </c>
    </row>
    <row r="2314" spans="41:48">
      <c r="AO2314" s="829" t="str">
        <f t="shared" si="478"/>
        <v>No</v>
      </c>
      <c r="AP2314" s="259" t="str">
        <f t="shared" si="483"/>
        <v>blank</v>
      </c>
      <c r="AQ2314" s="547" t="str">
        <f t="shared" si="482"/>
        <v>无定金+无預留客戶</v>
      </c>
      <c r="AR2314" s="259" t="str">
        <f t="shared" si="476"/>
        <v/>
      </c>
      <c r="AS2314" s="259" t="str">
        <f t="shared" si="477"/>
        <v/>
      </c>
      <c r="AT2314" s="259" t="b">
        <f t="shared" si="479"/>
        <v>0</v>
      </c>
      <c r="AU2314" s="259" t="b">
        <f t="shared" si="480"/>
        <v>0</v>
      </c>
      <c r="AV2314" s="259" t="str">
        <f t="shared" si="481"/>
        <v>-</v>
      </c>
    </row>
    <row r="2315" spans="41:48">
      <c r="AO2315" s="829" t="str">
        <f t="shared" si="478"/>
        <v>No</v>
      </c>
      <c r="AP2315" s="259" t="str">
        <f t="shared" si="483"/>
        <v>blank</v>
      </c>
      <c r="AQ2315" s="547" t="str">
        <f t="shared" si="482"/>
        <v>无定金+无預留客戶</v>
      </c>
      <c r="AR2315" s="259" t="str">
        <f t="shared" si="476"/>
        <v/>
      </c>
      <c r="AS2315" s="259" t="str">
        <f t="shared" si="477"/>
        <v/>
      </c>
      <c r="AT2315" s="259" t="b">
        <f t="shared" si="479"/>
        <v>0</v>
      </c>
      <c r="AU2315" s="259" t="b">
        <f t="shared" si="480"/>
        <v>0</v>
      </c>
      <c r="AV2315" s="259" t="str">
        <f t="shared" si="481"/>
        <v>-</v>
      </c>
    </row>
    <row r="2316" spans="41:48">
      <c r="AO2316" s="829" t="str">
        <f t="shared" si="478"/>
        <v>No</v>
      </c>
      <c r="AP2316" s="259" t="str">
        <f t="shared" si="483"/>
        <v>blank</v>
      </c>
      <c r="AQ2316" s="547" t="str">
        <f t="shared" si="482"/>
        <v>无定金+无預留客戶</v>
      </c>
      <c r="AR2316" s="259" t="str">
        <f t="shared" si="476"/>
        <v/>
      </c>
      <c r="AS2316" s="259" t="str">
        <f t="shared" si="477"/>
        <v/>
      </c>
      <c r="AT2316" s="259" t="b">
        <f t="shared" si="479"/>
        <v>0</v>
      </c>
      <c r="AU2316" s="259" t="b">
        <f t="shared" si="480"/>
        <v>0</v>
      </c>
      <c r="AV2316" s="259" t="str">
        <f t="shared" si="481"/>
        <v>-</v>
      </c>
    </row>
    <row r="2317" spans="41:48">
      <c r="AO2317" s="829" t="str">
        <f t="shared" si="478"/>
        <v>No</v>
      </c>
      <c r="AP2317" s="259" t="str">
        <f t="shared" si="483"/>
        <v>blank</v>
      </c>
      <c r="AQ2317" s="547" t="str">
        <f t="shared" si="482"/>
        <v>无定金+无預留客戶</v>
      </c>
      <c r="AR2317" s="259" t="str">
        <f t="shared" si="476"/>
        <v/>
      </c>
      <c r="AS2317" s="259" t="str">
        <f t="shared" si="477"/>
        <v/>
      </c>
      <c r="AT2317" s="259" t="b">
        <f t="shared" si="479"/>
        <v>0</v>
      </c>
      <c r="AU2317" s="259" t="b">
        <f t="shared" si="480"/>
        <v>0</v>
      </c>
      <c r="AV2317" s="259" t="str">
        <f t="shared" si="481"/>
        <v>-</v>
      </c>
    </row>
    <row r="2318" spans="41:48">
      <c r="AO2318" s="829" t="str">
        <f t="shared" si="478"/>
        <v>No</v>
      </c>
      <c r="AP2318" s="259" t="str">
        <f t="shared" si="483"/>
        <v>blank</v>
      </c>
      <c r="AQ2318" s="547" t="str">
        <f t="shared" si="482"/>
        <v>无定金+无預留客戶</v>
      </c>
      <c r="AR2318" s="259" t="str">
        <f t="shared" si="476"/>
        <v/>
      </c>
      <c r="AS2318" s="259" t="str">
        <f t="shared" si="477"/>
        <v/>
      </c>
      <c r="AT2318" s="259" t="b">
        <f t="shared" si="479"/>
        <v>0</v>
      </c>
      <c r="AU2318" s="259" t="b">
        <f t="shared" si="480"/>
        <v>0</v>
      </c>
      <c r="AV2318" s="259" t="str">
        <f t="shared" si="481"/>
        <v>-</v>
      </c>
    </row>
    <row r="2319" spans="41:48">
      <c r="AO2319" s="829" t="str">
        <f t="shared" si="478"/>
        <v>No</v>
      </c>
      <c r="AP2319" s="259" t="str">
        <f t="shared" si="483"/>
        <v>blank</v>
      </c>
      <c r="AQ2319" s="547" t="str">
        <f t="shared" si="482"/>
        <v>无定金+无預留客戶</v>
      </c>
      <c r="AR2319" s="259" t="str">
        <f t="shared" si="476"/>
        <v/>
      </c>
      <c r="AS2319" s="259" t="str">
        <f t="shared" si="477"/>
        <v/>
      </c>
      <c r="AT2319" s="259" t="b">
        <f t="shared" si="479"/>
        <v>0</v>
      </c>
      <c r="AU2319" s="259" t="b">
        <f t="shared" si="480"/>
        <v>0</v>
      </c>
      <c r="AV2319" s="259" t="str">
        <f t="shared" si="481"/>
        <v>-</v>
      </c>
    </row>
    <row r="2320" spans="41:48">
      <c r="AO2320" s="829" t="str">
        <f t="shared" si="478"/>
        <v>No</v>
      </c>
      <c r="AP2320" s="259" t="str">
        <f t="shared" si="483"/>
        <v>blank</v>
      </c>
      <c r="AQ2320" s="547" t="str">
        <f t="shared" si="482"/>
        <v>无定金+无預留客戶</v>
      </c>
      <c r="AR2320" s="259" t="str">
        <f t="shared" si="476"/>
        <v/>
      </c>
      <c r="AS2320" s="259" t="str">
        <f t="shared" si="477"/>
        <v/>
      </c>
      <c r="AT2320" s="259" t="b">
        <f t="shared" si="479"/>
        <v>0</v>
      </c>
      <c r="AU2320" s="259" t="b">
        <f t="shared" si="480"/>
        <v>0</v>
      </c>
      <c r="AV2320" s="259" t="str">
        <f t="shared" si="481"/>
        <v>-</v>
      </c>
    </row>
    <row r="2321" spans="41:48">
      <c r="AO2321" s="829" t="str">
        <f t="shared" si="478"/>
        <v>No</v>
      </c>
      <c r="AP2321" s="259" t="str">
        <f t="shared" si="483"/>
        <v>blank</v>
      </c>
      <c r="AQ2321" s="547" t="str">
        <f t="shared" si="482"/>
        <v>无定金+无預留客戶</v>
      </c>
      <c r="AR2321" s="259" t="str">
        <f t="shared" si="476"/>
        <v/>
      </c>
      <c r="AS2321" s="259" t="str">
        <f t="shared" si="477"/>
        <v/>
      </c>
      <c r="AT2321" s="259" t="b">
        <f t="shared" si="479"/>
        <v>0</v>
      </c>
      <c r="AU2321" s="259" t="b">
        <f t="shared" si="480"/>
        <v>0</v>
      </c>
      <c r="AV2321" s="259" t="str">
        <f t="shared" si="481"/>
        <v>-</v>
      </c>
    </row>
    <row r="2322" spans="41:48">
      <c r="AO2322" s="829" t="str">
        <f t="shared" si="478"/>
        <v>No</v>
      </c>
      <c r="AP2322" s="259" t="str">
        <f t="shared" si="483"/>
        <v>blank</v>
      </c>
      <c r="AQ2322" s="547" t="str">
        <f t="shared" si="482"/>
        <v>无定金+无預留客戶</v>
      </c>
      <c r="AR2322" s="259" t="str">
        <f t="shared" si="476"/>
        <v/>
      </c>
      <c r="AS2322" s="259" t="str">
        <f t="shared" si="477"/>
        <v/>
      </c>
      <c r="AT2322" s="259" t="b">
        <f t="shared" si="479"/>
        <v>0</v>
      </c>
      <c r="AU2322" s="259" t="b">
        <f t="shared" si="480"/>
        <v>0</v>
      </c>
      <c r="AV2322" s="259" t="str">
        <f t="shared" si="481"/>
        <v>-</v>
      </c>
    </row>
    <row r="2323" spans="41:48">
      <c r="AO2323" s="829" t="str">
        <f t="shared" si="478"/>
        <v>No</v>
      </c>
      <c r="AP2323" s="259" t="str">
        <f t="shared" si="483"/>
        <v>blank</v>
      </c>
      <c r="AQ2323" s="547" t="str">
        <f t="shared" si="482"/>
        <v>无定金+无預留客戶</v>
      </c>
      <c r="AR2323" s="259" t="str">
        <f t="shared" si="476"/>
        <v/>
      </c>
      <c r="AS2323" s="259" t="str">
        <f t="shared" si="477"/>
        <v/>
      </c>
      <c r="AT2323" s="259" t="b">
        <f t="shared" si="479"/>
        <v>0</v>
      </c>
      <c r="AU2323" s="259" t="b">
        <f t="shared" si="480"/>
        <v>0</v>
      </c>
      <c r="AV2323" s="259" t="str">
        <f t="shared" si="481"/>
        <v>-</v>
      </c>
    </row>
    <row r="2324" spans="41:48">
      <c r="AO2324" s="829" t="str">
        <f t="shared" si="478"/>
        <v>No</v>
      </c>
      <c r="AP2324" s="259" t="str">
        <f t="shared" si="483"/>
        <v>blank</v>
      </c>
      <c r="AQ2324" s="547" t="str">
        <f t="shared" si="482"/>
        <v>无定金+无預留客戶</v>
      </c>
      <c r="AR2324" s="259" t="str">
        <f t="shared" si="476"/>
        <v/>
      </c>
      <c r="AS2324" s="259" t="str">
        <f t="shared" si="477"/>
        <v/>
      </c>
      <c r="AT2324" s="259" t="b">
        <f t="shared" si="479"/>
        <v>0</v>
      </c>
      <c r="AU2324" s="259" t="b">
        <f t="shared" si="480"/>
        <v>0</v>
      </c>
      <c r="AV2324" s="259" t="str">
        <f t="shared" si="481"/>
        <v>-</v>
      </c>
    </row>
    <row r="2325" spans="41:48">
      <c r="AO2325" s="829" t="str">
        <f t="shared" si="478"/>
        <v>No</v>
      </c>
      <c r="AP2325" s="259" t="str">
        <f t="shared" si="483"/>
        <v>blank</v>
      </c>
      <c r="AQ2325" s="547" t="str">
        <f t="shared" si="482"/>
        <v>无定金+无預留客戶</v>
      </c>
      <c r="AR2325" s="259" t="str">
        <f t="shared" si="476"/>
        <v/>
      </c>
      <c r="AS2325" s="259" t="str">
        <f t="shared" si="477"/>
        <v/>
      </c>
      <c r="AT2325" s="259" t="b">
        <f t="shared" si="479"/>
        <v>0</v>
      </c>
      <c r="AU2325" s="259" t="b">
        <f t="shared" si="480"/>
        <v>0</v>
      </c>
      <c r="AV2325" s="259" t="str">
        <f t="shared" si="481"/>
        <v>-</v>
      </c>
    </row>
    <row r="2326" spans="41:48">
      <c r="AO2326" s="829" t="str">
        <f t="shared" si="478"/>
        <v>No</v>
      </c>
      <c r="AP2326" s="259" t="str">
        <f t="shared" si="483"/>
        <v>blank</v>
      </c>
      <c r="AQ2326" s="547" t="str">
        <f t="shared" si="482"/>
        <v>无定金+无預留客戶</v>
      </c>
      <c r="AR2326" s="259" t="str">
        <f t="shared" si="476"/>
        <v/>
      </c>
      <c r="AS2326" s="259" t="str">
        <f t="shared" si="477"/>
        <v/>
      </c>
      <c r="AT2326" s="259" t="b">
        <f t="shared" si="479"/>
        <v>0</v>
      </c>
      <c r="AU2326" s="259" t="b">
        <f t="shared" si="480"/>
        <v>0</v>
      </c>
      <c r="AV2326" s="259" t="str">
        <f t="shared" si="481"/>
        <v>-</v>
      </c>
    </row>
    <row r="2327" spans="41:48">
      <c r="AO2327" s="829" t="str">
        <f t="shared" si="478"/>
        <v>No</v>
      </c>
      <c r="AP2327" s="259" t="str">
        <f t="shared" si="483"/>
        <v>blank</v>
      </c>
      <c r="AQ2327" s="547" t="str">
        <f t="shared" si="482"/>
        <v>无定金+无預留客戶</v>
      </c>
      <c r="AR2327" s="259" t="str">
        <f t="shared" si="476"/>
        <v/>
      </c>
      <c r="AS2327" s="259" t="str">
        <f t="shared" si="477"/>
        <v/>
      </c>
      <c r="AT2327" s="259" t="b">
        <f t="shared" si="479"/>
        <v>0</v>
      </c>
      <c r="AU2327" s="259" t="b">
        <f t="shared" si="480"/>
        <v>0</v>
      </c>
      <c r="AV2327" s="259" t="str">
        <f t="shared" si="481"/>
        <v>-</v>
      </c>
    </row>
    <row r="2328" spans="41:48">
      <c r="AO2328" s="829" t="str">
        <f t="shared" si="478"/>
        <v>No</v>
      </c>
      <c r="AP2328" s="259" t="str">
        <f t="shared" si="483"/>
        <v>blank</v>
      </c>
      <c r="AQ2328" s="547" t="str">
        <f t="shared" si="482"/>
        <v>无定金+无預留客戶</v>
      </c>
      <c r="AR2328" s="259" t="str">
        <f t="shared" si="476"/>
        <v/>
      </c>
      <c r="AS2328" s="259" t="str">
        <f t="shared" si="477"/>
        <v/>
      </c>
      <c r="AT2328" s="259" t="b">
        <f t="shared" si="479"/>
        <v>0</v>
      </c>
      <c r="AU2328" s="259" t="b">
        <f t="shared" si="480"/>
        <v>0</v>
      </c>
      <c r="AV2328" s="259" t="str">
        <f t="shared" si="481"/>
        <v>-</v>
      </c>
    </row>
    <row r="2329" spans="41:48">
      <c r="AO2329" s="829" t="str">
        <f t="shared" si="478"/>
        <v>No</v>
      </c>
      <c r="AP2329" s="259" t="str">
        <f t="shared" si="483"/>
        <v>blank</v>
      </c>
      <c r="AQ2329" s="547" t="str">
        <f t="shared" si="482"/>
        <v>无定金+无預留客戶</v>
      </c>
      <c r="AR2329" s="259" t="str">
        <f t="shared" si="476"/>
        <v/>
      </c>
      <c r="AS2329" s="259" t="str">
        <f t="shared" si="477"/>
        <v/>
      </c>
      <c r="AT2329" s="259" t="b">
        <f t="shared" si="479"/>
        <v>0</v>
      </c>
      <c r="AU2329" s="259" t="b">
        <f t="shared" si="480"/>
        <v>0</v>
      </c>
      <c r="AV2329" s="259" t="str">
        <f t="shared" si="481"/>
        <v>-</v>
      </c>
    </row>
    <row r="2330" spans="41:48">
      <c r="AO2330" s="829" t="str">
        <f t="shared" si="478"/>
        <v>No</v>
      </c>
      <c r="AP2330" s="259" t="str">
        <f t="shared" si="483"/>
        <v>blank</v>
      </c>
      <c r="AQ2330" s="547" t="str">
        <f t="shared" si="482"/>
        <v>无定金+无預留客戶</v>
      </c>
      <c r="AR2330" s="259" t="str">
        <f t="shared" si="476"/>
        <v/>
      </c>
      <c r="AS2330" s="259" t="str">
        <f t="shared" si="477"/>
        <v/>
      </c>
      <c r="AT2330" s="259" t="b">
        <f t="shared" si="479"/>
        <v>0</v>
      </c>
      <c r="AU2330" s="259" t="b">
        <f t="shared" si="480"/>
        <v>0</v>
      </c>
      <c r="AV2330" s="259" t="str">
        <f t="shared" si="481"/>
        <v>-</v>
      </c>
    </row>
    <row r="2331" spans="41:48">
      <c r="AO2331" s="829" t="str">
        <f t="shared" si="478"/>
        <v>No</v>
      </c>
      <c r="AP2331" s="259" t="str">
        <f t="shared" si="483"/>
        <v>blank</v>
      </c>
      <c r="AQ2331" s="547" t="str">
        <f t="shared" si="482"/>
        <v>无定金+无預留客戶</v>
      </c>
      <c r="AR2331" s="259" t="str">
        <f t="shared" si="476"/>
        <v/>
      </c>
      <c r="AS2331" s="259" t="str">
        <f t="shared" si="477"/>
        <v/>
      </c>
      <c r="AT2331" s="259" t="b">
        <f t="shared" si="479"/>
        <v>0</v>
      </c>
      <c r="AU2331" s="259" t="b">
        <f t="shared" si="480"/>
        <v>0</v>
      </c>
      <c r="AV2331" s="259" t="str">
        <f t="shared" si="481"/>
        <v>-</v>
      </c>
    </row>
    <row r="2332" spans="41:48">
      <c r="AO2332" s="829" t="str">
        <f t="shared" si="478"/>
        <v>No</v>
      </c>
      <c r="AP2332" s="259" t="str">
        <f t="shared" si="483"/>
        <v>blank</v>
      </c>
      <c r="AQ2332" s="547" t="str">
        <f t="shared" si="482"/>
        <v>无定金+无預留客戶</v>
      </c>
      <c r="AR2332" s="259" t="str">
        <f t="shared" si="476"/>
        <v/>
      </c>
      <c r="AS2332" s="259" t="str">
        <f t="shared" si="477"/>
        <v/>
      </c>
      <c r="AT2332" s="259" t="b">
        <f t="shared" si="479"/>
        <v>0</v>
      </c>
      <c r="AU2332" s="259" t="b">
        <f t="shared" si="480"/>
        <v>0</v>
      </c>
      <c r="AV2332" s="259" t="str">
        <f t="shared" si="481"/>
        <v>-</v>
      </c>
    </row>
    <row r="2333" spans="41:48">
      <c r="AO2333" s="829" t="str">
        <f t="shared" si="478"/>
        <v>No</v>
      </c>
      <c r="AP2333" s="259" t="str">
        <f t="shared" si="483"/>
        <v>blank</v>
      </c>
      <c r="AQ2333" s="547" t="str">
        <f t="shared" si="482"/>
        <v>无定金+无預留客戶</v>
      </c>
      <c r="AR2333" s="259" t="str">
        <f t="shared" si="476"/>
        <v/>
      </c>
      <c r="AS2333" s="259" t="str">
        <f t="shared" si="477"/>
        <v/>
      </c>
      <c r="AT2333" s="259" t="b">
        <f t="shared" si="479"/>
        <v>0</v>
      </c>
      <c r="AU2333" s="259" t="b">
        <f t="shared" si="480"/>
        <v>0</v>
      </c>
      <c r="AV2333" s="259" t="str">
        <f t="shared" si="481"/>
        <v>-</v>
      </c>
    </row>
    <row r="2334" spans="41:48">
      <c r="AO2334" s="829" t="str">
        <f t="shared" si="478"/>
        <v>No</v>
      </c>
      <c r="AP2334" s="259" t="str">
        <f t="shared" si="483"/>
        <v>blank</v>
      </c>
      <c r="AQ2334" s="547" t="str">
        <f t="shared" si="482"/>
        <v>无定金+无預留客戶</v>
      </c>
      <c r="AR2334" s="259" t="str">
        <f t="shared" si="476"/>
        <v/>
      </c>
      <c r="AS2334" s="259" t="str">
        <f t="shared" si="477"/>
        <v/>
      </c>
      <c r="AT2334" s="259" t="b">
        <f t="shared" si="479"/>
        <v>0</v>
      </c>
      <c r="AU2334" s="259" t="b">
        <f t="shared" si="480"/>
        <v>0</v>
      </c>
      <c r="AV2334" s="259" t="str">
        <f t="shared" si="481"/>
        <v>-</v>
      </c>
    </row>
    <row r="2335" spans="41:48">
      <c r="AO2335" s="829" t="str">
        <f t="shared" si="478"/>
        <v>No</v>
      </c>
      <c r="AP2335" s="259" t="str">
        <f t="shared" si="483"/>
        <v>blank</v>
      </c>
      <c r="AQ2335" s="547" t="str">
        <f t="shared" si="482"/>
        <v>无定金+无預留客戶</v>
      </c>
      <c r="AR2335" s="259" t="str">
        <f t="shared" si="476"/>
        <v/>
      </c>
      <c r="AS2335" s="259" t="str">
        <f t="shared" si="477"/>
        <v/>
      </c>
      <c r="AT2335" s="259" t="b">
        <f t="shared" si="479"/>
        <v>0</v>
      </c>
      <c r="AU2335" s="259" t="b">
        <f t="shared" si="480"/>
        <v>0</v>
      </c>
      <c r="AV2335" s="259" t="str">
        <f t="shared" si="481"/>
        <v>-</v>
      </c>
    </row>
    <row r="2336" spans="41:48">
      <c r="AO2336" s="829" t="str">
        <f t="shared" si="478"/>
        <v>No</v>
      </c>
      <c r="AP2336" s="259" t="str">
        <f t="shared" si="483"/>
        <v>blank</v>
      </c>
      <c r="AQ2336" s="547" t="str">
        <f t="shared" si="482"/>
        <v>无定金+无預留客戶</v>
      </c>
      <c r="AR2336" s="259" t="str">
        <f t="shared" si="476"/>
        <v/>
      </c>
      <c r="AS2336" s="259" t="str">
        <f t="shared" si="477"/>
        <v/>
      </c>
      <c r="AT2336" s="259" t="b">
        <f t="shared" si="479"/>
        <v>0</v>
      </c>
      <c r="AU2336" s="259" t="b">
        <f t="shared" si="480"/>
        <v>0</v>
      </c>
      <c r="AV2336" s="259" t="str">
        <f t="shared" si="481"/>
        <v>-</v>
      </c>
    </row>
    <row r="2337" spans="41:48">
      <c r="AO2337" s="829" t="str">
        <f t="shared" si="478"/>
        <v>No</v>
      </c>
      <c r="AP2337" s="259" t="str">
        <f t="shared" si="483"/>
        <v>blank</v>
      </c>
      <c r="AQ2337" s="547" t="str">
        <f t="shared" si="482"/>
        <v>无定金+无預留客戶</v>
      </c>
      <c r="AR2337" s="259" t="str">
        <f t="shared" si="476"/>
        <v/>
      </c>
      <c r="AS2337" s="259" t="str">
        <f t="shared" si="477"/>
        <v/>
      </c>
      <c r="AT2337" s="259" t="b">
        <f t="shared" si="479"/>
        <v>0</v>
      </c>
      <c r="AU2337" s="259" t="b">
        <f t="shared" si="480"/>
        <v>0</v>
      </c>
      <c r="AV2337" s="259" t="str">
        <f t="shared" si="481"/>
        <v>-</v>
      </c>
    </row>
    <row r="2338" spans="41:48">
      <c r="AO2338" s="829" t="str">
        <f t="shared" si="478"/>
        <v>No</v>
      </c>
      <c r="AP2338" s="259" t="str">
        <f t="shared" si="483"/>
        <v>blank</v>
      </c>
      <c r="AQ2338" s="547" t="str">
        <f t="shared" si="482"/>
        <v>无定金+无預留客戶</v>
      </c>
      <c r="AR2338" s="259" t="str">
        <f t="shared" si="476"/>
        <v/>
      </c>
      <c r="AS2338" s="259" t="str">
        <f t="shared" si="477"/>
        <v/>
      </c>
      <c r="AT2338" s="259" t="b">
        <f t="shared" si="479"/>
        <v>0</v>
      </c>
      <c r="AU2338" s="259" t="b">
        <f t="shared" si="480"/>
        <v>0</v>
      </c>
      <c r="AV2338" s="259" t="str">
        <f t="shared" si="481"/>
        <v>-</v>
      </c>
    </row>
    <row r="2339" spans="41:48">
      <c r="AO2339" s="829" t="str">
        <f t="shared" si="478"/>
        <v>No</v>
      </c>
      <c r="AP2339" s="259" t="str">
        <f t="shared" si="483"/>
        <v>blank</v>
      </c>
      <c r="AQ2339" s="547" t="str">
        <f t="shared" si="482"/>
        <v>无定金+无預留客戶</v>
      </c>
      <c r="AR2339" s="259" t="str">
        <f t="shared" si="476"/>
        <v/>
      </c>
      <c r="AS2339" s="259" t="str">
        <f t="shared" si="477"/>
        <v/>
      </c>
      <c r="AT2339" s="259" t="b">
        <f t="shared" si="479"/>
        <v>0</v>
      </c>
      <c r="AU2339" s="259" t="b">
        <f t="shared" si="480"/>
        <v>0</v>
      </c>
      <c r="AV2339" s="259" t="str">
        <f t="shared" si="481"/>
        <v>-</v>
      </c>
    </row>
    <row r="2340" spans="41:48">
      <c r="AO2340" s="829" t="str">
        <f t="shared" si="478"/>
        <v>No</v>
      </c>
      <c r="AP2340" s="259" t="str">
        <f t="shared" si="483"/>
        <v>blank</v>
      </c>
      <c r="AQ2340" s="547" t="str">
        <f t="shared" si="482"/>
        <v>无定金+无預留客戶</v>
      </c>
      <c r="AR2340" s="259" t="str">
        <f t="shared" si="476"/>
        <v/>
      </c>
      <c r="AS2340" s="259" t="str">
        <f t="shared" si="477"/>
        <v/>
      </c>
      <c r="AT2340" s="259" t="b">
        <f t="shared" si="479"/>
        <v>0</v>
      </c>
      <c r="AU2340" s="259" t="b">
        <f t="shared" si="480"/>
        <v>0</v>
      </c>
      <c r="AV2340" s="259" t="str">
        <f t="shared" si="481"/>
        <v>-</v>
      </c>
    </row>
    <row r="2341" spans="41:48">
      <c r="AO2341" s="829" t="str">
        <f t="shared" si="478"/>
        <v>No</v>
      </c>
      <c r="AP2341" s="259" t="str">
        <f t="shared" si="483"/>
        <v>blank</v>
      </c>
      <c r="AQ2341" s="547" t="str">
        <f t="shared" si="482"/>
        <v>无定金+无預留客戶</v>
      </c>
      <c r="AR2341" s="259" t="str">
        <f t="shared" si="476"/>
        <v/>
      </c>
      <c r="AS2341" s="259" t="str">
        <f t="shared" si="477"/>
        <v/>
      </c>
      <c r="AT2341" s="259" t="b">
        <f t="shared" si="479"/>
        <v>0</v>
      </c>
      <c r="AU2341" s="259" t="b">
        <f t="shared" si="480"/>
        <v>0</v>
      </c>
      <c r="AV2341" s="259" t="str">
        <f t="shared" si="481"/>
        <v>-</v>
      </c>
    </row>
    <row r="2342" spans="41:48">
      <c r="AO2342" s="829" t="str">
        <f t="shared" si="478"/>
        <v>No</v>
      </c>
      <c r="AP2342" s="259" t="str">
        <f t="shared" si="483"/>
        <v>blank</v>
      </c>
      <c r="AQ2342" s="547" t="str">
        <f t="shared" si="482"/>
        <v>无定金+无預留客戶</v>
      </c>
      <c r="AR2342" s="259" t="str">
        <f t="shared" si="476"/>
        <v/>
      </c>
      <c r="AS2342" s="259" t="str">
        <f t="shared" si="477"/>
        <v/>
      </c>
      <c r="AT2342" s="259" t="b">
        <f t="shared" si="479"/>
        <v>0</v>
      </c>
      <c r="AU2342" s="259" t="b">
        <f t="shared" si="480"/>
        <v>0</v>
      </c>
      <c r="AV2342" s="259" t="str">
        <f t="shared" si="481"/>
        <v>-</v>
      </c>
    </row>
    <row r="2343" spans="41:48">
      <c r="AO2343" s="829" t="str">
        <f t="shared" si="478"/>
        <v>No</v>
      </c>
      <c r="AP2343" s="259" t="str">
        <f t="shared" si="483"/>
        <v>blank</v>
      </c>
      <c r="AQ2343" s="547" t="str">
        <f t="shared" si="482"/>
        <v>无定金+无預留客戶</v>
      </c>
      <c r="AR2343" s="259" t="str">
        <f t="shared" si="476"/>
        <v/>
      </c>
      <c r="AS2343" s="259" t="str">
        <f t="shared" si="477"/>
        <v/>
      </c>
      <c r="AT2343" s="259" t="b">
        <f t="shared" si="479"/>
        <v>0</v>
      </c>
      <c r="AU2343" s="259" t="b">
        <f t="shared" si="480"/>
        <v>0</v>
      </c>
      <c r="AV2343" s="259" t="str">
        <f t="shared" si="481"/>
        <v>-</v>
      </c>
    </row>
    <row r="2344" spans="41:48">
      <c r="AO2344" s="829" t="str">
        <f t="shared" si="478"/>
        <v>No</v>
      </c>
      <c r="AP2344" s="259" t="str">
        <f t="shared" si="483"/>
        <v>blank</v>
      </c>
      <c r="AQ2344" s="547" t="str">
        <f t="shared" si="482"/>
        <v>无定金+无預留客戶</v>
      </c>
      <c r="AR2344" s="259" t="str">
        <f t="shared" si="476"/>
        <v/>
      </c>
      <c r="AS2344" s="259" t="str">
        <f t="shared" si="477"/>
        <v/>
      </c>
      <c r="AT2344" s="259" t="b">
        <f t="shared" si="479"/>
        <v>0</v>
      </c>
      <c r="AU2344" s="259" t="b">
        <f t="shared" si="480"/>
        <v>0</v>
      </c>
      <c r="AV2344" s="259" t="str">
        <f t="shared" si="481"/>
        <v>-</v>
      </c>
    </row>
    <row r="2345" spans="41:48">
      <c r="AO2345" s="829" t="str">
        <f t="shared" si="478"/>
        <v>No</v>
      </c>
      <c r="AP2345" s="259" t="str">
        <f t="shared" si="483"/>
        <v>blank</v>
      </c>
      <c r="AQ2345" s="547" t="str">
        <f t="shared" si="482"/>
        <v>无定金+无預留客戶</v>
      </c>
      <c r="AR2345" s="259" t="str">
        <f t="shared" si="476"/>
        <v/>
      </c>
      <c r="AS2345" s="259" t="str">
        <f t="shared" si="477"/>
        <v/>
      </c>
      <c r="AT2345" s="259" t="b">
        <f t="shared" si="479"/>
        <v>0</v>
      </c>
      <c r="AU2345" s="259" t="b">
        <f t="shared" si="480"/>
        <v>0</v>
      </c>
      <c r="AV2345" s="259" t="str">
        <f t="shared" si="481"/>
        <v>-</v>
      </c>
    </row>
    <row r="2346" spans="41:48">
      <c r="AO2346" s="829" t="str">
        <f t="shared" si="478"/>
        <v>No</v>
      </c>
      <c r="AP2346" s="259" t="str">
        <f t="shared" si="483"/>
        <v>blank</v>
      </c>
      <c r="AQ2346" s="547" t="str">
        <f t="shared" si="482"/>
        <v>无定金+无預留客戶</v>
      </c>
      <c r="AR2346" s="259" t="str">
        <f t="shared" si="476"/>
        <v/>
      </c>
      <c r="AS2346" s="259" t="str">
        <f t="shared" si="477"/>
        <v/>
      </c>
      <c r="AT2346" s="259" t="b">
        <f t="shared" si="479"/>
        <v>0</v>
      </c>
      <c r="AU2346" s="259" t="b">
        <f t="shared" si="480"/>
        <v>0</v>
      </c>
      <c r="AV2346" s="259" t="str">
        <f t="shared" si="481"/>
        <v>-</v>
      </c>
    </row>
    <row r="2347" spans="41:48">
      <c r="AO2347" s="829" t="str">
        <f t="shared" si="478"/>
        <v>No</v>
      </c>
      <c r="AP2347" s="259" t="str">
        <f t="shared" si="483"/>
        <v>blank</v>
      </c>
      <c r="AQ2347" s="547" t="str">
        <f t="shared" si="482"/>
        <v>无定金+无預留客戶</v>
      </c>
      <c r="AR2347" s="259" t="str">
        <f t="shared" si="476"/>
        <v/>
      </c>
      <c r="AS2347" s="259" t="str">
        <f t="shared" si="477"/>
        <v/>
      </c>
      <c r="AT2347" s="259" t="b">
        <f t="shared" si="479"/>
        <v>0</v>
      </c>
      <c r="AU2347" s="259" t="b">
        <f t="shared" si="480"/>
        <v>0</v>
      </c>
      <c r="AV2347" s="259" t="str">
        <f t="shared" si="481"/>
        <v>-</v>
      </c>
    </row>
    <row r="2348" spans="41:48">
      <c r="AO2348" s="829" t="str">
        <f t="shared" si="478"/>
        <v>No</v>
      </c>
      <c r="AP2348" s="259" t="str">
        <f t="shared" si="483"/>
        <v>blank</v>
      </c>
      <c r="AQ2348" s="547" t="str">
        <f t="shared" si="482"/>
        <v>无定金+无預留客戶</v>
      </c>
      <c r="AR2348" s="259" t="str">
        <f t="shared" si="476"/>
        <v/>
      </c>
      <c r="AS2348" s="259" t="str">
        <f t="shared" si="477"/>
        <v/>
      </c>
      <c r="AT2348" s="259" t="b">
        <f t="shared" si="479"/>
        <v>0</v>
      </c>
      <c r="AU2348" s="259" t="b">
        <f t="shared" si="480"/>
        <v>0</v>
      </c>
      <c r="AV2348" s="259" t="str">
        <f t="shared" si="481"/>
        <v>-</v>
      </c>
    </row>
    <row r="2349" spans="41:48">
      <c r="AO2349" s="829" t="str">
        <f t="shared" si="478"/>
        <v>No</v>
      </c>
      <c r="AP2349" s="259" t="str">
        <f t="shared" si="483"/>
        <v>blank</v>
      </c>
      <c r="AQ2349" s="547" t="str">
        <f t="shared" si="482"/>
        <v>无定金+无預留客戶</v>
      </c>
      <c r="AR2349" s="259" t="str">
        <f t="shared" si="476"/>
        <v/>
      </c>
      <c r="AS2349" s="259" t="str">
        <f t="shared" si="477"/>
        <v/>
      </c>
      <c r="AT2349" s="259" t="b">
        <f t="shared" si="479"/>
        <v>0</v>
      </c>
      <c r="AU2349" s="259" t="b">
        <f t="shared" si="480"/>
        <v>0</v>
      </c>
      <c r="AV2349" s="259" t="str">
        <f t="shared" si="481"/>
        <v>-</v>
      </c>
    </row>
    <row r="2350" spans="41:48">
      <c r="AO2350" s="829" t="str">
        <f t="shared" si="478"/>
        <v>No</v>
      </c>
      <c r="AP2350" s="259" t="str">
        <f t="shared" si="483"/>
        <v>blank</v>
      </c>
      <c r="AQ2350" s="547" t="str">
        <f t="shared" si="482"/>
        <v>无定金+无預留客戶</v>
      </c>
      <c r="AR2350" s="259" t="str">
        <f t="shared" si="476"/>
        <v/>
      </c>
      <c r="AS2350" s="259" t="str">
        <f t="shared" si="477"/>
        <v/>
      </c>
      <c r="AT2350" s="259" t="b">
        <f t="shared" si="479"/>
        <v>0</v>
      </c>
      <c r="AU2350" s="259" t="b">
        <f t="shared" si="480"/>
        <v>0</v>
      </c>
      <c r="AV2350" s="259" t="str">
        <f t="shared" si="481"/>
        <v>-</v>
      </c>
    </row>
    <row r="2351" spans="41:48">
      <c r="AO2351" s="829" t="str">
        <f t="shared" si="478"/>
        <v>No</v>
      </c>
      <c r="AP2351" s="259" t="str">
        <f t="shared" si="483"/>
        <v>blank</v>
      </c>
      <c r="AQ2351" s="547" t="str">
        <f t="shared" si="482"/>
        <v>无定金+无預留客戶</v>
      </c>
      <c r="AR2351" s="259" t="str">
        <f t="shared" si="476"/>
        <v/>
      </c>
      <c r="AS2351" s="259" t="str">
        <f t="shared" si="477"/>
        <v/>
      </c>
      <c r="AT2351" s="259" t="b">
        <f t="shared" si="479"/>
        <v>0</v>
      </c>
      <c r="AU2351" s="259" t="b">
        <f t="shared" si="480"/>
        <v>0</v>
      </c>
      <c r="AV2351" s="259" t="str">
        <f t="shared" si="481"/>
        <v>-</v>
      </c>
    </row>
    <row r="2352" spans="41:48">
      <c r="AO2352" s="829" t="str">
        <f t="shared" si="478"/>
        <v>No</v>
      </c>
      <c r="AP2352" s="259" t="str">
        <f t="shared" si="483"/>
        <v>blank</v>
      </c>
      <c r="AQ2352" s="547" t="str">
        <f t="shared" si="482"/>
        <v>无定金+无預留客戶</v>
      </c>
      <c r="AR2352" s="259" t="str">
        <f t="shared" si="476"/>
        <v/>
      </c>
      <c r="AS2352" s="259" t="str">
        <f t="shared" si="477"/>
        <v/>
      </c>
      <c r="AT2352" s="259" t="b">
        <f t="shared" si="479"/>
        <v>0</v>
      </c>
      <c r="AU2352" s="259" t="b">
        <f t="shared" si="480"/>
        <v>0</v>
      </c>
      <c r="AV2352" s="259" t="str">
        <f t="shared" si="481"/>
        <v>-</v>
      </c>
    </row>
    <row r="2353" spans="41:48">
      <c r="AO2353" s="829" t="str">
        <f t="shared" si="478"/>
        <v>No</v>
      </c>
      <c r="AP2353" s="259" t="str">
        <f t="shared" si="483"/>
        <v>blank</v>
      </c>
      <c r="AQ2353" s="547" t="str">
        <f t="shared" si="482"/>
        <v>无定金+无預留客戶</v>
      </c>
      <c r="AR2353" s="259" t="str">
        <f t="shared" si="476"/>
        <v/>
      </c>
      <c r="AS2353" s="259" t="str">
        <f t="shared" si="477"/>
        <v/>
      </c>
      <c r="AT2353" s="259" t="b">
        <f t="shared" si="479"/>
        <v>0</v>
      </c>
      <c r="AU2353" s="259" t="b">
        <f t="shared" si="480"/>
        <v>0</v>
      </c>
      <c r="AV2353" s="259" t="str">
        <f t="shared" si="481"/>
        <v>-</v>
      </c>
    </row>
    <row r="2354" spans="41:48">
      <c r="AO2354" s="829" t="str">
        <f t="shared" si="478"/>
        <v>No</v>
      </c>
      <c r="AP2354" s="259" t="str">
        <f t="shared" si="483"/>
        <v>blank</v>
      </c>
      <c r="AQ2354" s="547" t="str">
        <f t="shared" si="482"/>
        <v>无定金+无預留客戶</v>
      </c>
      <c r="AR2354" s="259" t="str">
        <f t="shared" si="476"/>
        <v/>
      </c>
      <c r="AS2354" s="259" t="str">
        <f t="shared" si="477"/>
        <v/>
      </c>
      <c r="AT2354" s="259" t="b">
        <f t="shared" si="479"/>
        <v>0</v>
      </c>
      <c r="AU2354" s="259" t="b">
        <f t="shared" si="480"/>
        <v>0</v>
      </c>
      <c r="AV2354" s="259" t="str">
        <f t="shared" si="481"/>
        <v>-</v>
      </c>
    </row>
    <row r="2355" spans="41:48">
      <c r="AO2355" s="829" t="str">
        <f t="shared" si="478"/>
        <v>No</v>
      </c>
      <c r="AP2355" s="259" t="str">
        <f t="shared" si="483"/>
        <v>blank</v>
      </c>
      <c r="AQ2355" s="547" t="str">
        <f t="shared" si="482"/>
        <v>无定金+无預留客戶</v>
      </c>
      <c r="AR2355" s="259" t="str">
        <f t="shared" si="476"/>
        <v/>
      </c>
      <c r="AS2355" s="259" t="str">
        <f t="shared" si="477"/>
        <v/>
      </c>
      <c r="AT2355" s="259" t="b">
        <f t="shared" si="479"/>
        <v>0</v>
      </c>
      <c r="AU2355" s="259" t="b">
        <f t="shared" si="480"/>
        <v>0</v>
      </c>
      <c r="AV2355" s="259" t="str">
        <f t="shared" si="481"/>
        <v>-</v>
      </c>
    </row>
    <row r="2356" spans="41:48">
      <c r="AO2356" s="829" t="str">
        <f t="shared" si="478"/>
        <v>No</v>
      </c>
      <c r="AP2356" s="259" t="str">
        <f t="shared" si="483"/>
        <v>blank</v>
      </c>
      <c r="AQ2356" s="547" t="str">
        <f t="shared" si="482"/>
        <v>无定金+无預留客戶</v>
      </c>
      <c r="AR2356" s="259" t="str">
        <f t="shared" si="476"/>
        <v/>
      </c>
      <c r="AS2356" s="259" t="str">
        <f t="shared" si="477"/>
        <v/>
      </c>
      <c r="AT2356" s="259" t="b">
        <f t="shared" si="479"/>
        <v>0</v>
      </c>
      <c r="AU2356" s="259" t="b">
        <f t="shared" si="480"/>
        <v>0</v>
      </c>
      <c r="AV2356" s="259" t="str">
        <f t="shared" si="481"/>
        <v>-</v>
      </c>
    </row>
    <row r="2357" spans="41:48">
      <c r="AO2357" s="829" t="str">
        <f t="shared" si="478"/>
        <v>No</v>
      </c>
      <c r="AP2357" s="259" t="str">
        <f t="shared" si="483"/>
        <v>blank</v>
      </c>
      <c r="AQ2357" s="547" t="str">
        <f t="shared" si="482"/>
        <v>无定金+无預留客戶</v>
      </c>
      <c r="AR2357" s="259" t="str">
        <f t="shared" si="476"/>
        <v/>
      </c>
      <c r="AS2357" s="259" t="str">
        <f t="shared" si="477"/>
        <v/>
      </c>
      <c r="AT2357" s="259" t="b">
        <f t="shared" si="479"/>
        <v>0</v>
      </c>
      <c r="AU2357" s="259" t="b">
        <f t="shared" si="480"/>
        <v>0</v>
      </c>
      <c r="AV2357" s="259" t="str">
        <f t="shared" si="481"/>
        <v>-</v>
      </c>
    </row>
    <row r="2358" spans="41:48">
      <c r="AO2358" s="829" t="str">
        <f t="shared" si="478"/>
        <v>No</v>
      </c>
      <c r="AP2358" s="259" t="str">
        <f t="shared" si="483"/>
        <v>blank</v>
      </c>
      <c r="AQ2358" s="547" t="str">
        <f t="shared" si="482"/>
        <v>无定金+无預留客戶</v>
      </c>
      <c r="AR2358" s="259" t="str">
        <f t="shared" si="476"/>
        <v/>
      </c>
      <c r="AS2358" s="259" t="str">
        <f t="shared" si="477"/>
        <v/>
      </c>
      <c r="AT2358" s="259" t="b">
        <f t="shared" si="479"/>
        <v>0</v>
      </c>
      <c r="AU2358" s="259" t="b">
        <f t="shared" si="480"/>
        <v>0</v>
      </c>
      <c r="AV2358" s="259" t="str">
        <f t="shared" si="481"/>
        <v>-</v>
      </c>
    </row>
    <row r="2359" spans="41:48">
      <c r="AO2359" s="829" t="str">
        <f t="shared" si="478"/>
        <v>No</v>
      </c>
      <c r="AP2359" s="259" t="str">
        <f t="shared" si="483"/>
        <v>blank</v>
      </c>
      <c r="AQ2359" s="547" t="str">
        <f t="shared" si="482"/>
        <v>无定金+无預留客戶</v>
      </c>
      <c r="AR2359" s="259" t="str">
        <f t="shared" si="476"/>
        <v/>
      </c>
      <c r="AS2359" s="259" t="str">
        <f t="shared" si="477"/>
        <v/>
      </c>
      <c r="AT2359" s="259" t="b">
        <f t="shared" si="479"/>
        <v>0</v>
      </c>
      <c r="AU2359" s="259" t="b">
        <f t="shared" si="480"/>
        <v>0</v>
      </c>
      <c r="AV2359" s="259" t="str">
        <f t="shared" si="481"/>
        <v>-</v>
      </c>
    </row>
    <row r="2360" spans="41:48">
      <c r="AO2360" s="829" t="str">
        <f t="shared" si="478"/>
        <v>No</v>
      </c>
      <c r="AP2360" s="259" t="str">
        <f t="shared" si="483"/>
        <v>blank</v>
      </c>
      <c r="AQ2360" s="547" t="str">
        <f t="shared" si="482"/>
        <v>无定金+无預留客戶</v>
      </c>
      <c r="AR2360" s="259" t="str">
        <f t="shared" si="476"/>
        <v/>
      </c>
      <c r="AS2360" s="259" t="str">
        <f t="shared" si="477"/>
        <v/>
      </c>
      <c r="AT2360" s="259" t="b">
        <f t="shared" si="479"/>
        <v>0</v>
      </c>
      <c r="AU2360" s="259" t="b">
        <f t="shared" si="480"/>
        <v>0</v>
      </c>
      <c r="AV2360" s="259" t="str">
        <f t="shared" si="481"/>
        <v>-</v>
      </c>
    </row>
    <row r="2361" spans="41:48">
      <c r="AO2361" s="829" t="str">
        <f t="shared" si="478"/>
        <v>No</v>
      </c>
      <c r="AP2361" s="259" t="str">
        <f t="shared" si="483"/>
        <v>blank</v>
      </c>
      <c r="AQ2361" s="547" t="str">
        <f t="shared" si="482"/>
        <v>无定金+无預留客戶</v>
      </c>
      <c r="AR2361" s="259" t="str">
        <f t="shared" si="476"/>
        <v/>
      </c>
      <c r="AS2361" s="259" t="str">
        <f t="shared" si="477"/>
        <v/>
      </c>
      <c r="AT2361" s="259" t="b">
        <f t="shared" si="479"/>
        <v>0</v>
      </c>
      <c r="AU2361" s="259" t="b">
        <f t="shared" si="480"/>
        <v>0</v>
      </c>
      <c r="AV2361" s="259" t="str">
        <f t="shared" si="481"/>
        <v>-</v>
      </c>
    </row>
    <row r="2362" spans="41:48">
      <c r="AO2362" s="829" t="str">
        <f t="shared" si="478"/>
        <v>No</v>
      </c>
      <c r="AP2362" s="259" t="str">
        <f t="shared" si="483"/>
        <v>blank</v>
      </c>
      <c r="AQ2362" s="547" t="str">
        <f t="shared" si="482"/>
        <v>无定金+无預留客戶</v>
      </c>
      <c r="AR2362" s="259" t="str">
        <f t="shared" si="476"/>
        <v/>
      </c>
      <c r="AS2362" s="259" t="str">
        <f t="shared" si="477"/>
        <v/>
      </c>
      <c r="AT2362" s="259" t="b">
        <f t="shared" si="479"/>
        <v>0</v>
      </c>
      <c r="AU2362" s="259" t="b">
        <f t="shared" si="480"/>
        <v>0</v>
      </c>
      <c r="AV2362" s="259" t="str">
        <f t="shared" si="481"/>
        <v>-</v>
      </c>
    </row>
    <row r="2363" spans="41:48">
      <c r="AO2363" s="829" t="str">
        <f t="shared" si="478"/>
        <v>No</v>
      </c>
      <c r="AP2363" s="259" t="str">
        <f t="shared" si="483"/>
        <v>blank</v>
      </c>
      <c r="AQ2363" s="547" t="str">
        <f t="shared" si="482"/>
        <v>无定金+无預留客戶</v>
      </c>
      <c r="AR2363" s="259" t="str">
        <f t="shared" si="476"/>
        <v/>
      </c>
      <c r="AS2363" s="259" t="str">
        <f t="shared" si="477"/>
        <v/>
      </c>
      <c r="AT2363" s="259" t="b">
        <f t="shared" si="479"/>
        <v>0</v>
      </c>
      <c r="AU2363" s="259" t="b">
        <f t="shared" si="480"/>
        <v>0</v>
      </c>
      <c r="AV2363" s="259" t="str">
        <f t="shared" si="481"/>
        <v>-</v>
      </c>
    </row>
    <row r="2364" spans="41:48">
      <c r="AO2364" s="829" t="str">
        <f t="shared" si="478"/>
        <v>No</v>
      </c>
      <c r="AP2364" s="259" t="str">
        <f t="shared" si="483"/>
        <v>blank</v>
      </c>
      <c r="AQ2364" s="547" t="str">
        <f t="shared" si="482"/>
        <v>无定金+无預留客戶</v>
      </c>
      <c r="AR2364" s="259" t="str">
        <f t="shared" si="476"/>
        <v/>
      </c>
      <c r="AS2364" s="259" t="str">
        <f t="shared" si="477"/>
        <v/>
      </c>
      <c r="AT2364" s="259" t="b">
        <f t="shared" si="479"/>
        <v>0</v>
      </c>
      <c r="AU2364" s="259" t="b">
        <f t="shared" si="480"/>
        <v>0</v>
      </c>
      <c r="AV2364" s="259" t="str">
        <f t="shared" si="481"/>
        <v>-</v>
      </c>
    </row>
    <row r="2365" spans="41:48">
      <c r="AO2365" s="829" t="str">
        <f t="shared" si="478"/>
        <v>No</v>
      </c>
      <c r="AP2365" s="259" t="str">
        <f t="shared" si="483"/>
        <v>blank</v>
      </c>
      <c r="AQ2365" s="547" t="str">
        <f t="shared" si="482"/>
        <v>无定金+无預留客戶</v>
      </c>
      <c r="AR2365" s="259" t="str">
        <f t="shared" si="476"/>
        <v/>
      </c>
      <c r="AS2365" s="259" t="str">
        <f t="shared" si="477"/>
        <v/>
      </c>
      <c r="AT2365" s="259" t="b">
        <f t="shared" si="479"/>
        <v>0</v>
      </c>
      <c r="AU2365" s="259" t="b">
        <f t="shared" si="480"/>
        <v>0</v>
      </c>
      <c r="AV2365" s="259" t="str">
        <f t="shared" si="481"/>
        <v>-</v>
      </c>
    </row>
    <row r="2366" spans="41:48">
      <c r="AO2366" s="829" t="str">
        <f t="shared" si="478"/>
        <v>No</v>
      </c>
      <c r="AP2366" s="259" t="str">
        <f t="shared" si="483"/>
        <v>blank</v>
      </c>
      <c r="AQ2366" s="547" t="str">
        <f t="shared" si="482"/>
        <v>无定金+无預留客戶</v>
      </c>
      <c r="AR2366" s="259" t="str">
        <f t="shared" ref="AR2366:AR2429" si="484">IFERROR(IF(B2366="已经到货", "Instock", IF(B2366="有交期", "Incoming_Stock_With_YAMAHA_Schedule", IF(B2366="TBA.", "Incoming_Stock_No_YAMAHA_Schedule", IF(B2366="已发货", "Shipped_Stock", "")))), "")</f>
        <v/>
      </c>
      <c r="AS2366" s="259" t="str">
        <f t="shared" ref="AS2366:AS2429" si="485">IF(AND(B2366="有交期", L2366&lt;&gt;""), L2366, "")</f>
        <v/>
      </c>
      <c r="AT2366" s="259" t="b">
        <f t="shared" si="479"/>
        <v>0</v>
      </c>
      <c r="AU2366" s="259" t="b">
        <f t="shared" si="480"/>
        <v>0</v>
      </c>
      <c r="AV2366" s="259" t="str">
        <f t="shared" si="481"/>
        <v>-</v>
      </c>
    </row>
    <row r="2367" spans="41:48">
      <c r="AO2367" s="829" t="str">
        <f t="shared" si="478"/>
        <v>No</v>
      </c>
      <c r="AP2367" s="259" t="str">
        <f t="shared" si="483"/>
        <v>blank</v>
      </c>
      <c r="AQ2367" s="547" t="str">
        <f t="shared" si="482"/>
        <v>无定金+无預留客戶</v>
      </c>
      <c r="AR2367" s="259" t="str">
        <f t="shared" si="484"/>
        <v/>
      </c>
      <c r="AS2367" s="259" t="str">
        <f t="shared" si="485"/>
        <v/>
      </c>
      <c r="AT2367" s="259" t="b">
        <f t="shared" si="479"/>
        <v>0</v>
      </c>
      <c r="AU2367" s="259" t="b">
        <f t="shared" si="480"/>
        <v>0</v>
      </c>
      <c r="AV2367" s="259" t="str">
        <f t="shared" si="481"/>
        <v>-</v>
      </c>
    </row>
    <row r="2368" spans="41:48">
      <c r="AO2368" s="829" t="str">
        <f t="shared" si="478"/>
        <v>No</v>
      </c>
      <c r="AP2368" s="259" t="str">
        <f t="shared" si="483"/>
        <v>blank</v>
      </c>
      <c r="AQ2368" s="547" t="str">
        <f t="shared" si="482"/>
        <v>无定金+无預留客戶</v>
      </c>
      <c r="AR2368" s="259" t="str">
        <f t="shared" si="484"/>
        <v/>
      </c>
      <c r="AS2368" s="259" t="str">
        <f t="shared" si="485"/>
        <v/>
      </c>
      <c r="AT2368" s="259" t="b">
        <f t="shared" si="479"/>
        <v>0</v>
      </c>
      <c r="AU2368" s="259" t="b">
        <f t="shared" si="480"/>
        <v>0</v>
      </c>
      <c r="AV2368" s="259" t="str">
        <f t="shared" si="481"/>
        <v>-</v>
      </c>
    </row>
    <row r="2369" spans="41:48">
      <c r="AO2369" s="829" t="str">
        <f t="shared" si="478"/>
        <v>No</v>
      </c>
      <c r="AP2369" s="259" t="str">
        <f t="shared" si="483"/>
        <v>blank</v>
      </c>
      <c r="AQ2369" s="547" t="str">
        <f t="shared" si="482"/>
        <v>无定金+无預留客戶</v>
      </c>
      <c r="AR2369" s="259" t="str">
        <f t="shared" si="484"/>
        <v/>
      </c>
      <c r="AS2369" s="259" t="str">
        <f t="shared" si="485"/>
        <v/>
      </c>
      <c r="AT2369" s="259" t="b">
        <f t="shared" si="479"/>
        <v>0</v>
      </c>
      <c r="AU2369" s="259" t="b">
        <f t="shared" si="480"/>
        <v>0</v>
      </c>
      <c r="AV2369" s="259" t="str">
        <f t="shared" si="481"/>
        <v>-</v>
      </c>
    </row>
    <row r="2370" spans="41:48">
      <c r="AO2370" s="829" t="str">
        <f t="shared" ref="AO2370:AO2433" si="486">IFERROR(IF(Y2370&lt;&gt;"",Y2370,"No"),"No")</f>
        <v>No</v>
      </c>
      <c r="AP2370" s="259" t="str">
        <f t="shared" si="483"/>
        <v>blank</v>
      </c>
      <c r="AQ2370" s="547" t="str">
        <f t="shared" si="482"/>
        <v>无定金+无預留客戶</v>
      </c>
      <c r="AR2370" s="259" t="str">
        <f t="shared" si="484"/>
        <v/>
      </c>
      <c r="AS2370" s="259" t="str">
        <f t="shared" si="485"/>
        <v/>
      </c>
      <c r="AT2370" s="259" t="b">
        <f t="shared" ref="AT2370:AT2433" si="487">IFERROR(IF(R2370&lt;&gt;"",R2370),"-")</f>
        <v>0</v>
      </c>
      <c r="AU2370" s="259" t="b">
        <f t="shared" ref="AU2370:AU2433" si="488">IFERROR(IF(Q2370&lt;&gt;"",Q2370),"-")</f>
        <v>0</v>
      </c>
      <c r="AV2370" s="259" t="str">
        <f t="shared" ref="AV2370:AV2433" si="489">IF(L2370="","-",TEXT(L2370,"mmm-dd"))</f>
        <v>-</v>
      </c>
    </row>
    <row r="2371" spans="41:48">
      <c r="AO2371" s="829" t="str">
        <f t="shared" si="486"/>
        <v>No</v>
      </c>
      <c r="AP2371" s="259" t="str">
        <f t="shared" si="483"/>
        <v>blank</v>
      </c>
      <c r="AQ2371" s="547" t="str">
        <f t="shared" ref="AQ2371:AQ2434" si="490">IFERROR(IF(AND(AO2371="Yes", AP2371&lt;&gt;"blank"), "有定金+有預留客戶", IF(AND(AO2371="Yes", AP2371="blank"), "有定金+无客戶送貨期", IF(AND(OR(AO2371="No", ISBLANK(AO2371), AO2371="NA"), AP2371&lt;&gt;"blank"), "无定金+有預留客戶", IF(AND(OR(AO2371="No", ISBLANK(AO2371), AO2371="NA"), AP2371="blank"), "无定金+无預留客戶", "")))), "")</f>
        <v>无定金+无預留客戶</v>
      </c>
      <c r="AR2371" s="259" t="str">
        <f t="shared" si="484"/>
        <v/>
      </c>
      <c r="AS2371" s="259" t="str">
        <f t="shared" si="485"/>
        <v/>
      </c>
      <c r="AT2371" s="259" t="b">
        <f t="shared" si="487"/>
        <v>0</v>
      </c>
      <c r="AU2371" s="259" t="b">
        <f t="shared" si="488"/>
        <v>0</v>
      </c>
      <c r="AV2371" s="259" t="str">
        <f t="shared" si="489"/>
        <v>-</v>
      </c>
    </row>
    <row r="2372" spans="41:48">
      <c r="AO2372" s="829" t="str">
        <f t="shared" si="486"/>
        <v>No</v>
      </c>
      <c r="AP2372" s="259" t="str">
        <f t="shared" si="483"/>
        <v>blank</v>
      </c>
      <c r="AQ2372" s="547" t="str">
        <f t="shared" si="490"/>
        <v>无定金+无預留客戶</v>
      </c>
      <c r="AR2372" s="259" t="str">
        <f t="shared" si="484"/>
        <v/>
      </c>
      <c r="AS2372" s="259" t="str">
        <f t="shared" si="485"/>
        <v/>
      </c>
      <c r="AT2372" s="259" t="b">
        <f t="shared" si="487"/>
        <v>0</v>
      </c>
      <c r="AU2372" s="259" t="b">
        <f t="shared" si="488"/>
        <v>0</v>
      </c>
      <c r="AV2372" s="259" t="str">
        <f t="shared" si="489"/>
        <v>-</v>
      </c>
    </row>
    <row r="2373" spans="41:48">
      <c r="AO2373" s="829" t="str">
        <f t="shared" si="486"/>
        <v>No</v>
      </c>
      <c r="AP2373" s="259" t="str">
        <f t="shared" si="483"/>
        <v>blank</v>
      </c>
      <c r="AQ2373" s="547" t="str">
        <f t="shared" si="490"/>
        <v>无定金+无預留客戶</v>
      </c>
      <c r="AR2373" s="259" t="str">
        <f t="shared" si="484"/>
        <v/>
      </c>
      <c r="AS2373" s="259" t="str">
        <f t="shared" si="485"/>
        <v/>
      </c>
      <c r="AT2373" s="259" t="b">
        <f t="shared" si="487"/>
        <v>0</v>
      </c>
      <c r="AU2373" s="259" t="b">
        <f t="shared" si="488"/>
        <v>0</v>
      </c>
      <c r="AV2373" s="259" t="str">
        <f t="shared" si="489"/>
        <v>-</v>
      </c>
    </row>
    <row r="2374" spans="41:48">
      <c r="AO2374" s="829" t="str">
        <f t="shared" si="486"/>
        <v>No</v>
      </c>
      <c r="AP2374" s="259" t="str">
        <f t="shared" ref="AP2374:AP2437" si="491">IFERROR(IF(N2374&lt;&gt;"",N2374,"blank"),"NA")</f>
        <v>blank</v>
      </c>
      <c r="AQ2374" s="547" t="str">
        <f t="shared" si="490"/>
        <v>无定金+无預留客戶</v>
      </c>
      <c r="AR2374" s="259" t="str">
        <f t="shared" si="484"/>
        <v/>
      </c>
      <c r="AS2374" s="259" t="str">
        <f t="shared" si="485"/>
        <v/>
      </c>
      <c r="AT2374" s="259" t="b">
        <f t="shared" si="487"/>
        <v>0</v>
      </c>
      <c r="AU2374" s="259" t="b">
        <f t="shared" si="488"/>
        <v>0</v>
      </c>
      <c r="AV2374" s="259" t="str">
        <f t="shared" si="489"/>
        <v>-</v>
      </c>
    </row>
    <row r="2375" spans="41:48">
      <c r="AO2375" s="829" t="str">
        <f t="shared" si="486"/>
        <v>No</v>
      </c>
      <c r="AP2375" s="259" t="str">
        <f t="shared" si="491"/>
        <v>blank</v>
      </c>
      <c r="AQ2375" s="547" t="str">
        <f t="shared" si="490"/>
        <v>无定金+无預留客戶</v>
      </c>
      <c r="AR2375" s="259" t="str">
        <f t="shared" si="484"/>
        <v/>
      </c>
      <c r="AS2375" s="259" t="str">
        <f t="shared" si="485"/>
        <v/>
      </c>
      <c r="AT2375" s="259" t="b">
        <f t="shared" si="487"/>
        <v>0</v>
      </c>
      <c r="AU2375" s="259" t="b">
        <f t="shared" si="488"/>
        <v>0</v>
      </c>
      <c r="AV2375" s="259" t="str">
        <f t="shared" si="489"/>
        <v>-</v>
      </c>
    </row>
    <row r="2376" spans="41:48">
      <c r="AO2376" s="829" t="str">
        <f t="shared" si="486"/>
        <v>No</v>
      </c>
      <c r="AP2376" s="259" t="str">
        <f t="shared" si="491"/>
        <v>blank</v>
      </c>
      <c r="AQ2376" s="547" t="str">
        <f t="shared" si="490"/>
        <v>无定金+无預留客戶</v>
      </c>
      <c r="AR2376" s="259" t="str">
        <f t="shared" si="484"/>
        <v/>
      </c>
      <c r="AS2376" s="259" t="str">
        <f t="shared" si="485"/>
        <v/>
      </c>
      <c r="AT2376" s="259" t="b">
        <f t="shared" si="487"/>
        <v>0</v>
      </c>
      <c r="AU2376" s="259" t="b">
        <f t="shared" si="488"/>
        <v>0</v>
      </c>
      <c r="AV2376" s="259" t="str">
        <f t="shared" si="489"/>
        <v>-</v>
      </c>
    </row>
    <row r="2377" spans="41:48">
      <c r="AO2377" s="829" t="str">
        <f t="shared" si="486"/>
        <v>No</v>
      </c>
      <c r="AP2377" s="259" t="str">
        <f t="shared" si="491"/>
        <v>blank</v>
      </c>
      <c r="AQ2377" s="547" t="str">
        <f t="shared" si="490"/>
        <v>无定金+无預留客戶</v>
      </c>
      <c r="AR2377" s="259" t="str">
        <f t="shared" si="484"/>
        <v/>
      </c>
      <c r="AS2377" s="259" t="str">
        <f t="shared" si="485"/>
        <v/>
      </c>
      <c r="AT2377" s="259" t="b">
        <f t="shared" si="487"/>
        <v>0</v>
      </c>
      <c r="AU2377" s="259" t="b">
        <f t="shared" si="488"/>
        <v>0</v>
      </c>
      <c r="AV2377" s="259" t="str">
        <f t="shared" si="489"/>
        <v>-</v>
      </c>
    </row>
    <row r="2378" spans="41:48">
      <c r="AO2378" s="829" t="str">
        <f t="shared" si="486"/>
        <v>No</v>
      </c>
      <c r="AP2378" s="259" t="str">
        <f t="shared" si="491"/>
        <v>blank</v>
      </c>
      <c r="AQ2378" s="547" t="str">
        <f t="shared" si="490"/>
        <v>无定金+无預留客戶</v>
      </c>
      <c r="AR2378" s="259" t="str">
        <f t="shared" si="484"/>
        <v/>
      </c>
      <c r="AS2378" s="259" t="str">
        <f t="shared" si="485"/>
        <v/>
      </c>
      <c r="AT2378" s="259" t="b">
        <f t="shared" si="487"/>
        <v>0</v>
      </c>
      <c r="AU2378" s="259" t="b">
        <f t="shared" si="488"/>
        <v>0</v>
      </c>
      <c r="AV2378" s="259" t="str">
        <f t="shared" si="489"/>
        <v>-</v>
      </c>
    </row>
    <row r="2379" spans="41:48">
      <c r="AO2379" s="829" t="str">
        <f t="shared" si="486"/>
        <v>No</v>
      </c>
      <c r="AP2379" s="259" t="str">
        <f t="shared" si="491"/>
        <v>blank</v>
      </c>
      <c r="AQ2379" s="547" t="str">
        <f t="shared" si="490"/>
        <v>无定金+无預留客戶</v>
      </c>
      <c r="AR2379" s="259" t="str">
        <f t="shared" si="484"/>
        <v/>
      </c>
      <c r="AS2379" s="259" t="str">
        <f t="shared" si="485"/>
        <v/>
      </c>
      <c r="AT2379" s="259" t="b">
        <f t="shared" si="487"/>
        <v>0</v>
      </c>
      <c r="AU2379" s="259" t="b">
        <f t="shared" si="488"/>
        <v>0</v>
      </c>
      <c r="AV2379" s="259" t="str">
        <f t="shared" si="489"/>
        <v>-</v>
      </c>
    </row>
    <row r="2380" spans="41:48">
      <c r="AO2380" s="829" t="str">
        <f t="shared" si="486"/>
        <v>No</v>
      </c>
      <c r="AP2380" s="259" t="str">
        <f t="shared" si="491"/>
        <v>blank</v>
      </c>
      <c r="AQ2380" s="547" t="str">
        <f t="shared" si="490"/>
        <v>无定金+无預留客戶</v>
      </c>
      <c r="AR2380" s="259" t="str">
        <f t="shared" si="484"/>
        <v/>
      </c>
      <c r="AS2380" s="259" t="str">
        <f t="shared" si="485"/>
        <v/>
      </c>
      <c r="AT2380" s="259" t="b">
        <f t="shared" si="487"/>
        <v>0</v>
      </c>
      <c r="AU2380" s="259" t="b">
        <f t="shared" si="488"/>
        <v>0</v>
      </c>
      <c r="AV2380" s="259" t="str">
        <f t="shared" si="489"/>
        <v>-</v>
      </c>
    </row>
    <row r="2381" spans="41:48">
      <c r="AO2381" s="829" t="str">
        <f t="shared" si="486"/>
        <v>No</v>
      </c>
      <c r="AP2381" s="259" t="str">
        <f t="shared" si="491"/>
        <v>blank</v>
      </c>
      <c r="AQ2381" s="547" t="str">
        <f t="shared" si="490"/>
        <v>无定金+无預留客戶</v>
      </c>
      <c r="AR2381" s="259" t="str">
        <f t="shared" si="484"/>
        <v/>
      </c>
      <c r="AS2381" s="259" t="str">
        <f t="shared" si="485"/>
        <v/>
      </c>
      <c r="AT2381" s="259" t="b">
        <f t="shared" si="487"/>
        <v>0</v>
      </c>
      <c r="AU2381" s="259" t="b">
        <f t="shared" si="488"/>
        <v>0</v>
      </c>
      <c r="AV2381" s="259" t="str">
        <f t="shared" si="489"/>
        <v>-</v>
      </c>
    </row>
    <row r="2382" spans="41:48">
      <c r="AO2382" s="829" t="str">
        <f t="shared" si="486"/>
        <v>No</v>
      </c>
      <c r="AP2382" s="259" t="str">
        <f t="shared" si="491"/>
        <v>blank</v>
      </c>
      <c r="AQ2382" s="547" t="str">
        <f t="shared" si="490"/>
        <v>无定金+无預留客戶</v>
      </c>
      <c r="AR2382" s="259" t="str">
        <f t="shared" si="484"/>
        <v/>
      </c>
      <c r="AS2382" s="259" t="str">
        <f t="shared" si="485"/>
        <v/>
      </c>
      <c r="AT2382" s="259" t="b">
        <f t="shared" si="487"/>
        <v>0</v>
      </c>
      <c r="AU2382" s="259" t="b">
        <f t="shared" si="488"/>
        <v>0</v>
      </c>
      <c r="AV2382" s="259" t="str">
        <f t="shared" si="489"/>
        <v>-</v>
      </c>
    </row>
    <row r="2383" spans="41:48">
      <c r="AO2383" s="829" t="str">
        <f t="shared" si="486"/>
        <v>No</v>
      </c>
      <c r="AP2383" s="259" t="str">
        <f t="shared" si="491"/>
        <v>blank</v>
      </c>
      <c r="AQ2383" s="547" t="str">
        <f t="shared" si="490"/>
        <v>无定金+无預留客戶</v>
      </c>
      <c r="AR2383" s="259" t="str">
        <f t="shared" si="484"/>
        <v/>
      </c>
      <c r="AS2383" s="259" t="str">
        <f t="shared" si="485"/>
        <v/>
      </c>
      <c r="AT2383" s="259" t="b">
        <f t="shared" si="487"/>
        <v>0</v>
      </c>
      <c r="AU2383" s="259" t="b">
        <f t="shared" si="488"/>
        <v>0</v>
      </c>
      <c r="AV2383" s="259" t="str">
        <f t="shared" si="489"/>
        <v>-</v>
      </c>
    </row>
    <row r="2384" spans="41:48">
      <c r="AO2384" s="829" t="str">
        <f t="shared" si="486"/>
        <v>No</v>
      </c>
      <c r="AP2384" s="259" t="str">
        <f t="shared" si="491"/>
        <v>blank</v>
      </c>
      <c r="AQ2384" s="547" t="str">
        <f t="shared" si="490"/>
        <v>无定金+无預留客戶</v>
      </c>
      <c r="AR2384" s="259" t="str">
        <f t="shared" si="484"/>
        <v/>
      </c>
      <c r="AS2384" s="259" t="str">
        <f t="shared" si="485"/>
        <v/>
      </c>
      <c r="AT2384" s="259" t="b">
        <f t="shared" si="487"/>
        <v>0</v>
      </c>
      <c r="AU2384" s="259" t="b">
        <f t="shared" si="488"/>
        <v>0</v>
      </c>
      <c r="AV2384" s="259" t="str">
        <f t="shared" si="489"/>
        <v>-</v>
      </c>
    </row>
    <row r="2385" spans="41:48">
      <c r="AO2385" s="829" t="str">
        <f t="shared" si="486"/>
        <v>No</v>
      </c>
      <c r="AP2385" s="259" t="str">
        <f t="shared" si="491"/>
        <v>blank</v>
      </c>
      <c r="AQ2385" s="547" t="str">
        <f t="shared" si="490"/>
        <v>无定金+无預留客戶</v>
      </c>
      <c r="AR2385" s="259" t="str">
        <f t="shared" si="484"/>
        <v/>
      </c>
      <c r="AS2385" s="259" t="str">
        <f t="shared" si="485"/>
        <v/>
      </c>
      <c r="AT2385" s="259" t="b">
        <f t="shared" si="487"/>
        <v>0</v>
      </c>
      <c r="AU2385" s="259" t="b">
        <f t="shared" si="488"/>
        <v>0</v>
      </c>
      <c r="AV2385" s="259" t="str">
        <f t="shared" si="489"/>
        <v>-</v>
      </c>
    </row>
    <row r="2386" spans="41:48">
      <c r="AO2386" s="829" t="str">
        <f t="shared" si="486"/>
        <v>No</v>
      </c>
      <c r="AP2386" s="259" t="str">
        <f t="shared" si="491"/>
        <v>blank</v>
      </c>
      <c r="AQ2386" s="547" t="str">
        <f t="shared" si="490"/>
        <v>无定金+无預留客戶</v>
      </c>
      <c r="AR2386" s="259" t="str">
        <f t="shared" si="484"/>
        <v/>
      </c>
      <c r="AS2386" s="259" t="str">
        <f t="shared" si="485"/>
        <v/>
      </c>
      <c r="AT2386" s="259" t="b">
        <f t="shared" si="487"/>
        <v>0</v>
      </c>
      <c r="AU2386" s="259" t="b">
        <f t="shared" si="488"/>
        <v>0</v>
      </c>
      <c r="AV2386" s="259" t="str">
        <f t="shared" si="489"/>
        <v>-</v>
      </c>
    </row>
    <row r="2387" spans="41:48">
      <c r="AO2387" s="829" t="str">
        <f t="shared" si="486"/>
        <v>No</v>
      </c>
      <c r="AP2387" s="259" t="str">
        <f t="shared" si="491"/>
        <v>blank</v>
      </c>
      <c r="AQ2387" s="547" t="str">
        <f t="shared" si="490"/>
        <v>无定金+无預留客戶</v>
      </c>
      <c r="AR2387" s="259" t="str">
        <f t="shared" si="484"/>
        <v/>
      </c>
      <c r="AS2387" s="259" t="str">
        <f t="shared" si="485"/>
        <v/>
      </c>
      <c r="AT2387" s="259" t="b">
        <f t="shared" si="487"/>
        <v>0</v>
      </c>
      <c r="AU2387" s="259" t="b">
        <f t="shared" si="488"/>
        <v>0</v>
      </c>
      <c r="AV2387" s="259" t="str">
        <f t="shared" si="489"/>
        <v>-</v>
      </c>
    </row>
    <row r="2388" spans="41:48">
      <c r="AO2388" s="829" t="str">
        <f t="shared" si="486"/>
        <v>No</v>
      </c>
      <c r="AP2388" s="259" t="str">
        <f t="shared" si="491"/>
        <v>blank</v>
      </c>
      <c r="AQ2388" s="547" t="str">
        <f t="shared" si="490"/>
        <v>无定金+无預留客戶</v>
      </c>
      <c r="AR2388" s="259" t="str">
        <f t="shared" si="484"/>
        <v/>
      </c>
      <c r="AS2388" s="259" t="str">
        <f t="shared" si="485"/>
        <v/>
      </c>
      <c r="AT2388" s="259" t="b">
        <f t="shared" si="487"/>
        <v>0</v>
      </c>
      <c r="AU2388" s="259" t="b">
        <f t="shared" si="488"/>
        <v>0</v>
      </c>
      <c r="AV2388" s="259" t="str">
        <f t="shared" si="489"/>
        <v>-</v>
      </c>
    </row>
    <row r="2389" spans="41:48">
      <c r="AO2389" s="829" t="str">
        <f t="shared" si="486"/>
        <v>No</v>
      </c>
      <c r="AP2389" s="259" t="str">
        <f t="shared" si="491"/>
        <v>blank</v>
      </c>
      <c r="AQ2389" s="547" t="str">
        <f t="shared" si="490"/>
        <v>无定金+无預留客戶</v>
      </c>
      <c r="AR2389" s="259" t="str">
        <f t="shared" si="484"/>
        <v/>
      </c>
      <c r="AS2389" s="259" t="str">
        <f t="shared" si="485"/>
        <v/>
      </c>
      <c r="AT2389" s="259" t="b">
        <f t="shared" si="487"/>
        <v>0</v>
      </c>
      <c r="AU2389" s="259" t="b">
        <f t="shared" si="488"/>
        <v>0</v>
      </c>
      <c r="AV2389" s="259" t="str">
        <f t="shared" si="489"/>
        <v>-</v>
      </c>
    </row>
    <row r="2390" spans="41:48">
      <c r="AO2390" s="829" t="str">
        <f t="shared" si="486"/>
        <v>No</v>
      </c>
      <c r="AP2390" s="259" t="str">
        <f t="shared" si="491"/>
        <v>blank</v>
      </c>
      <c r="AQ2390" s="547" t="str">
        <f t="shared" si="490"/>
        <v>无定金+无預留客戶</v>
      </c>
      <c r="AR2390" s="259" t="str">
        <f t="shared" si="484"/>
        <v/>
      </c>
      <c r="AS2390" s="259" t="str">
        <f t="shared" si="485"/>
        <v/>
      </c>
      <c r="AT2390" s="259" t="b">
        <f t="shared" si="487"/>
        <v>0</v>
      </c>
      <c r="AU2390" s="259" t="b">
        <f t="shared" si="488"/>
        <v>0</v>
      </c>
      <c r="AV2390" s="259" t="str">
        <f t="shared" si="489"/>
        <v>-</v>
      </c>
    </row>
    <row r="2391" spans="41:48">
      <c r="AO2391" s="829" t="str">
        <f t="shared" si="486"/>
        <v>No</v>
      </c>
      <c r="AP2391" s="259" t="str">
        <f t="shared" si="491"/>
        <v>blank</v>
      </c>
      <c r="AQ2391" s="547" t="str">
        <f t="shared" si="490"/>
        <v>无定金+无預留客戶</v>
      </c>
      <c r="AR2391" s="259" t="str">
        <f t="shared" si="484"/>
        <v/>
      </c>
      <c r="AS2391" s="259" t="str">
        <f t="shared" si="485"/>
        <v/>
      </c>
      <c r="AT2391" s="259" t="b">
        <f t="shared" si="487"/>
        <v>0</v>
      </c>
      <c r="AU2391" s="259" t="b">
        <f t="shared" si="488"/>
        <v>0</v>
      </c>
      <c r="AV2391" s="259" t="str">
        <f t="shared" si="489"/>
        <v>-</v>
      </c>
    </row>
    <row r="2392" spans="41:48">
      <c r="AO2392" s="829" t="str">
        <f t="shared" si="486"/>
        <v>No</v>
      </c>
      <c r="AP2392" s="259" t="str">
        <f t="shared" si="491"/>
        <v>blank</v>
      </c>
      <c r="AQ2392" s="547" t="str">
        <f t="shared" si="490"/>
        <v>无定金+无預留客戶</v>
      </c>
      <c r="AR2392" s="259" t="str">
        <f t="shared" si="484"/>
        <v/>
      </c>
      <c r="AS2392" s="259" t="str">
        <f t="shared" si="485"/>
        <v/>
      </c>
      <c r="AT2392" s="259" t="b">
        <f t="shared" si="487"/>
        <v>0</v>
      </c>
      <c r="AU2392" s="259" t="b">
        <f t="shared" si="488"/>
        <v>0</v>
      </c>
      <c r="AV2392" s="259" t="str">
        <f t="shared" si="489"/>
        <v>-</v>
      </c>
    </row>
    <row r="2393" spans="41:48">
      <c r="AO2393" s="829" t="str">
        <f t="shared" si="486"/>
        <v>No</v>
      </c>
      <c r="AP2393" s="259" t="str">
        <f t="shared" si="491"/>
        <v>blank</v>
      </c>
      <c r="AQ2393" s="547" t="str">
        <f t="shared" si="490"/>
        <v>无定金+无預留客戶</v>
      </c>
      <c r="AR2393" s="259" t="str">
        <f t="shared" si="484"/>
        <v/>
      </c>
      <c r="AS2393" s="259" t="str">
        <f t="shared" si="485"/>
        <v/>
      </c>
      <c r="AT2393" s="259" t="b">
        <f t="shared" si="487"/>
        <v>0</v>
      </c>
      <c r="AU2393" s="259" t="b">
        <f t="shared" si="488"/>
        <v>0</v>
      </c>
      <c r="AV2393" s="259" t="str">
        <f t="shared" si="489"/>
        <v>-</v>
      </c>
    </row>
    <row r="2394" spans="41:48">
      <c r="AO2394" s="829" t="str">
        <f t="shared" si="486"/>
        <v>No</v>
      </c>
      <c r="AP2394" s="259" t="str">
        <f t="shared" si="491"/>
        <v>blank</v>
      </c>
      <c r="AQ2394" s="547" t="str">
        <f t="shared" si="490"/>
        <v>无定金+无預留客戶</v>
      </c>
      <c r="AR2394" s="259" t="str">
        <f t="shared" si="484"/>
        <v/>
      </c>
      <c r="AS2394" s="259" t="str">
        <f t="shared" si="485"/>
        <v/>
      </c>
      <c r="AT2394" s="259" t="b">
        <f t="shared" si="487"/>
        <v>0</v>
      </c>
      <c r="AU2394" s="259" t="b">
        <f t="shared" si="488"/>
        <v>0</v>
      </c>
      <c r="AV2394" s="259" t="str">
        <f t="shared" si="489"/>
        <v>-</v>
      </c>
    </row>
    <row r="2395" spans="41:48">
      <c r="AO2395" s="829" t="str">
        <f t="shared" si="486"/>
        <v>No</v>
      </c>
      <c r="AP2395" s="259" t="str">
        <f t="shared" si="491"/>
        <v>blank</v>
      </c>
      <c r="AQ2395" s="547" t="str">
        <f t="shared" si="490"/>
        <v>无定金+无預留客戶</v>
      </c>
      <c r="AR2395" s="259" t="str">
        <f t="shared" si="484"/>
        <v/>
      </c>
      <c r="AS2395" s="259" t="str">
        <f t="shared" si="485"/>
        <v/>
      </c>
      <c r="AT2395" s="259" t="b">
        <f t="shared" si="487"/>
        <v>0</v>
      </c>
      <c r="AU2395" s="259" t="b">
        <f t="shared" si="488"/>
        <v>0</v>
      </c>
      <c r="AV2395" s="259" t="str">
        <f t="shared" si="489"/>
        <v>-</v>
      </c>
    </row>
    <row r="2396" spans="41:48">
      <c r="AO2396" s="829" t="str">
        <f t="shared" si="486"/>
        <v>No</v>
      </c>
      <c r="AP2396" s="259" t="str">
        <f t="shared" si="491"/>
        <v>blank</v>
      </c>
      <c r="AQ2396" s="547" t="str">
        <f t="shared" si="490"/>
        <v>无定金+无預留客戶</v>
      </c>
      <c r="AR2396" s="259" t="str">
        <f t="shared" si="484"/>
        <v/>
      </c>
      <c r="AS2396" s="259" t="str">
        <f t="shared" si="485"/>
        <v/>
      </c>
      <c r="AT2396" s="259" t="b">
        <f t="shared" si="487"/>
        <v>0</v>
      </c>
      <c r="AU2396" s="259" t="b">
        <f t="shared" si="488"/>
        <v>0</v>
      </c>
      <c r="AV2396" s="259" t="str">
        <f t="shared" si="489"/>
        <v>-</v>
      </c>
    </row>
    <row r="2397" spans="41:48">
      <c r="AO2397" s="829" t="str">
        <f t="shared" si="486"/>
        <v>No</v>
      </c>
      <c r="AP2397" s="259" t="str">
        <f t="shared" si="491"/>
        <v>blank</v>
      </c>
      <c r="AQ2397" s="547" t="str">
        <f t="shared" si="490"/>
        <v>无定金+无預留客戶</v>
      </c>
      <c r="AR2397" s="259" t="str">
        <f t="shared" si="484"/>
        <v/>
      </c>
      <c r="AS2397" s="259" t="str">
        <f t="shared" si="485"/>
        <v/>
      </c>
      <c r="AT2397" s="259" t="b">
        <f t="shared" si="487"/>
        <v>0</v>
      </c>
      <c r="AU2397" s="259" t="b">
        <f t="shared" si="488"/>
        <v>0</v>
      </c>
      <c r="AV2397" s="259" t="str">
        <f t="shared" si="489"/>
        <v>-</v>
      </c>
    </row>
    <row r="2398" spans="41:48">
      <c r="AO2398" s="829" t="str">
        <f t="shared" si="486"/>
        <v>No</v>
      </c>
      <c r="AP2398" s="259" t="str">
        <f t="shared" si="491"/>
        <v>blank</v>
      </c>
      <c r="AQ2398" s="547" t="str">
        <f t="shared" si="490"/>
        <v>无定金+无預留客戶</v>
      </c>
      <c r="AR2398" s="259" t="str">
        <f t="shared" si="484"/>
        <v/>
      </c>
      <c r="AS2398" s="259" t="str">
        <f t="shared" si="485"/>
        <v/>
      </c>
      <c r="AT2398" s="259" t="b">
        <f t="shared" si="487"/>
        <v>0</v>
      </c>
      <c r="AU2398" s="259" t="b">
        <f t="shared" si="488"/>
        <v>0</v>
      </c>
      <c r="AV2398" s="259" t="str">
        <f t="shared" si="489"/>
        <v>-</v>
      </c>
    </row>
    <row r="2399" spans="41:48">
      <c r="AO2399" s="829" t="str">
        <f t="shared" si="486"/>
        <v>No</v>
      </c>
      <c r="AP2399" s="259" t="str">
        <f t="shared" si="491"/>
        <v>blank</v>
      </c>
      <c r="AQ2399" s="547" t="str">
        <f t="shared" si="490"/>
        <v>无定金+无預留客戶</v>
      </c>
      <c r="AR2399" s="259" t="str">
        <f t="shared" si="484"/>
        <v/>
      </c>
      <c r="AS2399" s="259" t="str">
        <f t="shared" si="485"/>
        <v/>
      </c>
      <c r="AT2399" s="259" t="b">
        <f t="shared" si="487"/>
        <v>0</v>
      </c>
      <c r="AU2399" s="259" t="b">
        <f t="shared" si="488"/>
        <v>0</v>
      </c>
      <c r="AV2399" s="259" t="str">
        <f t="shared" si="489"/>
        <v>-</v>
      </c>
    </row>
    <row r="2400" spans="41:48">
      <c r="AO2400" s="829" t="str">
        <f t="shared" si="486"/>
        <v>No</v>
      </c>
      <c r="AP2400" s="259" t="str">
        <f t="shared" si="491"/>
        <v>blank</v>
      </c>
      <c r="AQ2400" s="547" t="str">
        <f t="shared" si="490"/>
        <v>无定金+无預留客戶</v>
      </c>
      <c r="AR2400" s="259" t="str">
        <f t="shared" si="484"/>
        <v/>
      </c>
      <c r="AS2400" s="259" t="str">
        <f t="shared" si="485"/>
        <v/>
      </c>
      <c r="AT2400" s="259" t="b">
        <f t="shared" si="487"/>
        <v>0</v>
      </c>
      <c r="AU2400" s="259" t="b">
        <f t="shared" si="488"/>
        <v>0</v>
      </c>
      <c r="AV2400" s="259" t="str">
        <f t="shared" si="489"/>
        <v>-</v>
      </c>
    </row>
    <row r="2401" spans="41:48">
      <c r="AO2401" s="829" t="str">
        <f t="shared" si="486"/>
        <v>No</v>
      </c>
      <c r="AP2401" s="259" t="str">
        <f t="shared" si="491"/>
        <v>blank</v>
      </c>
      <c r="AQ2401" s="547" t="str">
        <f t="shared" si="490"/>
        <v>无定金+无預留客戶</v>
      </c>
      <c r="AR2401" s="259" t="str">
        <f t="shared" si="484"/>
        <v/>
      </c>
      <c r="AS2401" s="259" t="str">
        <f t="shared" si="485"/>
        <v/>
      </c>
      <c r="AT2401" s="259" t="b">
        <f t="shared" si="487"/>
        <v>0</v>
      </c>
      <c r="AU2401" s="259" t="b">
        <f t="shared" si="488"/>
        <v>0</v>
      </c>
      <c r="AV2401" s="259" t="str">
        <f t="shared" si="489"/>
        <v>-</v>
      </c>
    </row>
    <row r="2402" spans="41:48">
      <c r="AO2402" s="829" t="str">
        <f t="shared" si="486"/>
        <v>No</v>
      </c>
      <c r="AP2402" s="259" t="str">
        <f t="shared" si="491"/>
        <v>blank</v>
      </c>
      <c r="AQ2402" s="547" t="str">
        <f t="shared" si="490"/>
        <v>无定金+无預留客戶</v>
      </c>
      <c r="AR2402" s="259" t="str">
        <f t="shared" si="484"/>
        <v/>
      </c>
      <c r="AS2402" s="259" t="str">
        <f t="shared" si="485"/>
        <v/>
      </c>
      <c r="AT2402" s="259" t="b">
        <f t="shared" si="487"/>
        <v>0</v>
      </c>
      <c r="AU2402" s="259" t="b">
        <f t="shared" si="488"/>
        <v>0</v>
      </c>
      <c r="AV2402" s="259" t="str">
        <f t="shared" si="489"/>
        <v>-</v>
      </c>
    </row>
    <row r="2403" spans="41:48">
      <c r="AO2403" s="829" t="str">
        <f t="shared" si="486"/>
        <v>No</v>
      </c>
      <c r="AP2403" s="259" t="str">
        <f t="shared" si="491"/>
        <v>blank</v>
      </c>
      <c r="AQ2403" s="547" t="str">
        <f t="shared" si="490"/>
        <v>无定金+无預留客戶</v>
      </c>
      <c r="AR2403" s="259" t="str">
        <f t="shared" si="484"/>
        <v/>
      </c>
      <c r="AS2403" s="259" t="str">
        <f t="shared" si="485"/>
        <v/>
      </c>
      <c r="AT2403" s="259" t="b">
        <f t="shared" si="487"/>
        <v>0</v>
      </c>
      <c r="AU2403" s="259" t="b">
        <f t="shared" si="488"/>
        <v>0</v>
      </c>
      <c r="AV2403" s="259" t="str">
        <f t="shared" si="489"/>
        <v>-</v>
      </c>
    </row>
    <row r="2404" spans="41:48">
      <c r="AO2404" s="829" t="str">
        <f t="shared" si="486"/>
        <v>No</v>
      </c>
      <c r="AP2404" s="259" t="str">
        <f t="shared" si="491"/>
        <v>blank</v>
      </c>
      <c r="AQ2404" s="547" t="str">
        <f t="shared" si="490"/>
        <v>无定金+无預留客戶</v>
      </c>
      <c r="AR2404" s="259" t="str">
        <f t="shared" si="484"/>
        <v/>
      </c>
      <c r="AS2404" s="259" t="str">
        <f t="shared" si="485"/>
        <v/>
      </c>
      <c r="AT2404" s="259" t="b">
        <f t="shared" si="487"/>
        <v>0</v>
      </c>
      <c r="AU2404" s="259" t="b">
        <f t="shared" si="488"/>
        <v>0</v>
      </c>
      <c r="AV2404" s="259" t="str">
        <f t="shared" si="489"/>
        <v>-</v>
      </c>
    </row>
    <row r="2405" spans="41:48">
      <c r="AO2405" s="829" t="str">
        <f t="shared" si="486"/>
        <v>No</v>
      </c>
      <c r="AP2405" s="259" t="str">
        <f t="shared" si="491"/>
        <v>blank</v>
      </c>
      <c r="AQ2405" s="547" t="str">
        <f t="shared" si="490"/>
        <v>无定金+无預留客戶</v>
      </c>
      <c r="AR2405" s="259" t="str">
        <f t="shared" si="484"/>
        <v/>
      </c>
      <c r="AS2405" s="259" t="str">
        <f t="shared" si="485"/>
        <v/>
      </c>
      <c r="AT2405" s="259" t="b">
        <f t="shared" si="487"/>
        <v>0</v>
      </c>
      <c r="AU2405" s="259" t="b">
        <f t="shared" si="488"/>
        <v>0</v>
      </c>
      <c r="AV2405" s="259" t="str">
        <f t="shared" si="489"/>
        <v>-</v>
      </c>
    </row>
    <row r="2406" spans="41:48">
      <c r="AO2406" s="829" t="str">
        <f t="shared" si="486"/>
        <v>No</v>
      </c>
      <c r="AP2406" s="259" t="str">
        <f t="shared" si="491"/>
        <v>blank</v>
      </c>
      <c r="AQ2406" s="547" t="str">
        <f t="shared" si="490"/>
        <v>无定金+无預留客戶</v>
      </c>
      <c r="AR2406" s="259" t="str">
        <f t="shared" si="484"/>
        <v/>
      </c>
      <c r="AS2406" s="259" t="str">
        <f t="shared" si="485"/>
        <v/>
      </c>
      <c r="AT2406" s="259" t="b">
        <f t="shared" si="487"/>
        <v>0</v>
      </c>
      <c r="AU2406" s="259" t="b">
        <f t="shared" si="488"/>
        <v>0</v>
      </c>
      <c r="AV2406" s="259" t="str">
        <f t="shared" si="489"/>
        <v>-</v>
      </c>
    </row>
    <row r="2407" spans="41:48">
      <c r="AO2407" s="829" t="str">
        <f t="shared" si="486"/>
        <v>No</v>
      </c>
      <c r="AP2407" s="259" t="str">
        <f t="shared" si="491"/>
        <v>blank</v>
      </c>
      <c r="AQ2407" s="547" t="str">
        <f t="shared" si="490"/>
        <v>无定金+无預留客戶</v>
      </c>
      <c r="AR2407" s="259" t="str">
        <f t="shared" si="484"/>
        <v/>
      </c>
      <c r="AS2407" s="259" t="str">
        <f t="shared" si="485"/>
        <v/>
      </c>
      <c r="AT2407" s="259" t="b">
        <f t="shared" si="487"/>
        <v>0</v>
      </c>
      <c r="AU2407" s="259" t="b">
        <f t="shared" si="488"/>
        <v>0</v>
      </c>
      <c r="AV2407" s="259" t="str">
        <f t="shared" si="489"/>
        <v>-</v>
      </c>
    </row>
    <row r="2408" spans="41:48">
      <c r="AO2408" s="829" t="str">
        <f t="shared" si="486"/>
        <v>No</v>
      </c>
      <c r="AP2408" s="259" t="str">
        <f t="shared" si="491"/>
        <v>blank</v>
      </c>
      <c r="AQ2408" s="547" t="str">
        <f t="shared" si="490"/>
        <v>无定金+无預留客戶</v>
      </c>
      <c r="AR2408" s="259" t="str">
        <f t="shared" si="484"/>
        <v/>
      </c>
      <c r="AS2408" s="259" t="str">
        <f t="shared" si="485"/>
        <v/>
      </c>
      <c r="AT2408" s="259" t="b">
        <f t="shared" si="487"/>
        <v>0</v>
      </c>
      <c r="AU2408" s="259" t="b">
        <f t="shared" si="488"/>
        <v>0</v>
      </c>
      <c r="AV2408" s="259" t="str">
        <f t="shared" si="489"/>
        <v>-</v>
      </c>
    </row>
    <row r="2409" spans="41:48">
      <c r="AO2409" s="829" t="str">
        <f t="shared" si="486"/>
        <v>No</v>
      </c>
      <c r="AP2409" s="259" t="str">
        <f t="shared" si="491"/>
        <v>blank</v>
      </c>
      <c r="AQ2409" s="547" t="str">
        <f t="shared" si="490"/>
        <v>无定金+无預留客戶</v>
      </c>
      <c r="AR2409" s="259" t="str">
        <f t="shared" si="484"/>
        <v/>
      </c>
      <c r="AS2409" s="259" t="str">
        <f t="shared" si="485"/>
        <v/>
      </c>
      <c r="AT2409" s="259" t="b">
        <f t="shared" si="487"/>
        <v>0</v>
      </c>
      <c r="AU2409" s="259" t="b">
        <f t="shared" si="488"/>
        <v>0</v>
      </c>
      <c r="AV2409" s="259" t="str">
        <f t="shared" si="489"/>
        <v>-</v>
      </c>
    </row>
    <row r="2410" spans="41:48">
      <c r="AO2410" s="829" t="str">
        <f t="shared" si="486"/>
        <v>No</v>
      </c>
      <c r="AP2410" s="259" t="str">
        <f t="shared" si="491"/>
        <v>blank</v>
      </c>
      <c r="AQ2410" s="547" t="str">
        <f t="shared" si="490"/>
        <v>无定金+无預留客戶</v>
      </c>
      <c r="AR2410" s="259" t="str">
        <f t="shared" si="484"/>
        <v/>
      </c>
      <c r="AS2410" s="259" t="str">
        <f t="shared" si="485"/>
        <v/>
      </c>
      <c r="AT2410" s="259" t="b">
        <f t="shared" si="487"/>
        <v>0</v>
      </c>
      <c r="AU2410" s="259" t="b">
        <f t="shared" si="488"/>
        <v>0</v>
      </c>
      <c r="AV2410" s="259" t="str">
        <f t="shared" si="489"/>
        <v>-</v>
      </c>
    </row>
    <row r="2411" spans="41:48">
      <c r="AO2411" s="829" t="str">
        <f t="shared" si="486"/>
        <v>No</v>
      </c>
      <c r="AP2411" s="259" t="str">
        <f t="shared" si="491"/>
        <v>blank</v>
      </c>
      <c r="AQ2411" s="547" t="str">
        <f t="shared" si="490"/>
        <v>无定金+无預留客戶</v>
      </c>
      <c r="AR2411" s="259" t="str">
        <f t="shared" si="484"/>
        <v/>
      </c>
      <c r="AS2411" s="259" t="str">
        <f t="shared" si="485"/>
        <v/>
      </c>
      <c r="AT2411" s="259" t="b">
        <f t="shared" si="487"/>
        <v>0</v>
      </c>
      <c r="AU2411" s="259" t="b">
        <f t="shared" si="488"/>
        <v>0</v>
      </c>
      <c r="AV2411" s="259" t="str">
        <f t="shared" si="489"/>
        <v>-</v>
      </c>
    </row>
    <row r="2412" spans="41:48">
      <c r="AO2412" s="829" t="str">
        <f t="shared" si="486"/>
        <v>No</v>
      </c>
      <c r="AP2412" s="259" t="str">
        <f t="shared" si="491"/>
        <v>blank</v>
      </c>
      <c r="AQ2412" s="547" t="str">
        <f t="shared" si="490"/>
        <v>无定金+无預留客戶</v>
      </c>
      <c r="AR2412" s="259" t="str">
        <f t="shared" si="484"/>
        <v/>
      </c>
      <c r="AS2412" s="259" t="str">
        <f t="shared" si="485"/>
        <v/>
      </c>
      <c r="AT2412" s="259" t="b">
        <f t="shared" si="487"/>
        <v>0</v>
      </c>
      <c r="AU2412" s="259" t="b">
        <f t="shared" si="488"/>
        <v>0</v>
      </c>
      <c r="AV2412" s="259" t="str">
        <f t="shared" si="489"/>
        <v>-</v>
      </c>
    </row>
    <row r="2413" spans="41:48">
      <c r="AO2413" s="829" t="str">
        <f t="shared" si="486"/>
        <v>No</v>
      </c>
      <c r="AP2413" s="259" t="str">
        <f t="shared" si="491"/>
        <v>blank</v>
      </c>
      <c r="AQ2413" s="547" t="str">
        <f t="shared" si="490"/>
        <v>无定金+无預留客戶</v>
      </c>
      <c r="AR2413" s="259" t="str">
        <f t="shared" si="484"/>
        <v/>
      </c>
      <c r="AS2413" s="259" t="str">
        <f t="shared" si="485"/>
        <v/>
      </c>
      <c r="AT2413" s="259" t="b">
        <f t="shared" si="487"/>
        <v>0</v>
      </c>
      <c r="AU2413" s="259" t="b">
        <f t="shared" si="488"/>
        <v>0</v>
      </c>
      <c r="AV2413" s="259" t="str">
        <f t="shared" si="489"/>
        <v>-</v>
      </c>
    </row>
    <row r="2414" spans="41:48">
      <c r="AO2414" s="829" t="str">
        <f t="shared" si="486"/>
        <v>No</v>
      </c>
      <c r="AP2414" s="259" t="str">
        <f t="shared" si="491"/>
        <v>blank</v>
      </c>
      <c r="AQ2414" s="547" t="str">
        <f t="shared" si="490"/>
        <v>无定金+无預留客戶</v>
      </c>
      <c r="AR2414" s="259" t="str">
        <f t="shared" si="484"/>
        <v/>
      </c>
      <c r="AS2414" s="259" t="str">
        <f t="shared" si="485"/>
        <v/>
      </c>
      <c r="AT2414" s="259" t="b">
        <f t="shared" si="487"/>
        <v>0</v>
      </c>
      <c r="AU2414" s="259" t="b">
        <f t="shared" si="488"/>
        <v>0</v>
      </c>
      <c r="AV2414" s="259" t="str">
        <f t="shared" si="489"/>
        <v>-</v>
      </c>
    </row>
    <row r="2415" spans="41:48">
      <c r="AO2415" s="829" t="str">
        <f t="shared" si="486"/>
        <v>No</v>
      </c>
      <c r="AP2415" s="259" t="str">
        <f t="shared" si="491"/>
        <v>blank</v>
      </c>
      <c r="AQ2415" s="547" t="str">
        <f t="shared" si="490"/>
        <v>无定金+无預留客戶</v>
      </c>
      <c r="AR2415" s="259" t="str">
        <f t="shared" si="484"/>
        <v/>
      </c>
      <c r="AS2415" s="259" t="str">
        <f t="shared" si="485"/>
        <v/>
      </c>
      <c r="AT2415" s="259" t="b">
        <f t="shared" si="487"/>
        <v>0</v>
      </c>
      <c r="AU2415" s="259" t="b">
        <f t="shared" si="488"/>
        <v>0</v>
      </c>
      <c r="AV2415" s="259" t="str">
        <f t="shared" si="489"/>
        <v>-</v>
      </c>
    </row>
    <row r="2416" spans="41:48">
      <c r="AO2416" s="829" t="str">
        <f t="shared" si="486"/>
        <v>No</v>
      </c>
      <c r="AP2416" s="259" t="str">
        <f t="shared" si="491"/>
        <v>blank</v>
      </c>
      <c r="AQ2416" s="547" t="str">
        <f t="shared" si="490"/>
        <v>无定金+无預留客戶</v>
      </c>
      <c r="AR2416" s="259" t="str">
        <f t="shared" si="484"/>
        <v/>
      </c>
      <c r="AS2416" s="259" t="str">
        <f t="shared" si="485"/>
        <v/>
      </c>
      <c r="AT2416" s="259" t="b">
        <f t="shared" si="487"/>
        <v>0</v>
      </c>
      <c r="AU2416" s="259" t="b">
        <f t="shared" si="488"/>
        <v>0</v>
      </c>
      <c r="AV2416" s="259" t="str">
        <f t="shared" si="489"/>
        <v>-</v>
      </c>
    </row>
    <row r="2417" spans="41:48">
      <c r="AO2417" s="829" t="str">
        <f t="shared" si="486"/>
        <v>No</v>
      </c>
      <c r="AP2417" s="259" t="str">
        <f t="shared" si="491"/>
        <v>blank</v>
      </c>
      <c r="AQ2417" s="547" t="str">
        <f t="shared" si="490"/>
        <v>无定金+无預留客戶</v>
      </c>
      <c r="AR2417" s="259" t="str">
        <f t="shared" si="484"/>
        <v/>
      </c>
      <c r="AS2417" s="259" t="str">
        <f t="shared" si="485"/>
        <v/>
      </c>
      <c r="AT2417" s="259" t="b">
        <f t="shared" si="487"/>
        <v>0</v>
      </c>
      <c r="AU2417" s="259" t="b">
        <f t="shared" si="488"/>
        <v>0</v>
      </c>
      <c r="AV2417" s="259" t="str">
        <f t="shared" si="489"/>
        <v>-</v>
      </c>
    </row>
    <row r="2418" spans="41:48">
      <c r="AO2418" s="829" t="str">
        <f t="shared" si="486"/>
        <v>No</v>
      </c>
      <c r="AP2418" s="259" t="str">
        <f t="shared" si="491"/>
        <v>blank</v>
      </c>
      <c r="AQ2418" s="547" t="str">
        <f t="shared" si="490"/>
        <v>无定金+无預留客戶</v>
      </c>
      <c r="AR2418" s="259" t="str">
        <f t="shared" si="484"/>
        <v/>
      </c>
      <c r="AS2418" s="259" t="str">
        <f t="shared" si="485"/>
        <v/>
      </c>
      <c r="AT2418" s="259" t="b">
        <f t="shared" si="487"/>
        <v>0</v>
      </c>
      <c r="AU2418" s="259" t="b">
        <f t="shared" si="488"/>
        <v>0</v>
      </c>
      <c r="AV2418" s="259" t="str">
        <f t="shared" si="489"/>
        <v>-</v>
      </c>
    </row>
    <row r="2419" spans="41:48">
      <c r="AO2419" s="829" t="str">
        <f t="shared" si="486"/>
        <v>No</v>
      </c>
      <c r="AP2419" s="259" t="str">
        <f t="shared" si="491"/>
        <v>blank</v>
      </c>
      <c r="AQ2419" s="547" t="str">
        <f t="shared" si="490"/>
        <v>无定金+无預留客戶</v>
      </c>
      <c r="AR2419" s="259" t="str">
        <f t="shared" si="484"/>
        <v/>
      </c>
      <c r="AS2419" s="259" t="str">
        <f t="shared" si="485"/>
        <v/>
      </c>
      <c r="AT2419" s="259" t="b">
        <f t="shared" si="487"/>
        <v>0</v>
      </c>
      <c r="AU2419" s="259" t="b">
        <f t="shared" si="488"/>
        <v>0</v>
      </c>
      <c r="AV2419" s="259" t="str">
        <f t="shared" si="489"/>
        <v>-</v>
      </c>
    </row>
    <row r="2420" spans="41:48">
      <c r="AO2420" s="829" t="str">
        <f t="shared" si="486"/>
        <v>No</v>
      </c>
      <c r="AP2420" s="259" t="str">
        <f t="shared" si="491"/>
        <v>blank</v>
      </c>
      <c r="AQ2420" s="547" t="str">
        <f t="shared" si="490"/>
        <v>无定金+无預留客戶</v>
      </c>
      <c r="AR2420" s="259" t="str">
        <f t="shared" si="484"/>
        <v/>
      </c>
      <c r="AS2420" s="259" t="str">
        <f t="shared" si="485"/>
        <v/>
      </c>
      <c r="AT2420" s="259" t="b">
        <f t="shared" si="487"/>
        <v>0</v>
      </c>
      <c r="AU2420" s="259" t="b">
        <f t="shared" si="488"/>
        <v>0</v>
      </c>
      <c r="AV2420" s="259" t="str">
        <f t="shared" si="489"/>
        <v>-</v>
      </c>
    </row>
    <row r="2421" spans="41:48">
      <c r="AO2421" s="829" t="str">
        <f t="shared" si="486"/>
        <v>No</v>
      </c>
      <c r="AP2421" s="259" t="str">
        <f t="shared" si="491"/>
        <v>blank</v>
      </c>
      <c r="AQ2421" s="547" t="str">
        <f t="shared" si="490"/>
        <v>无定金+无預留客戶</v>
      </c>
      <c r="AR2421" s="259" t="str">
        <f t="shared" si="484"/>
        <v/>
      </c>
      <c r="AS2421" s="259" t="str">
        <f t="shared" si="485"/>
        <v/>
      </c>
      <c r="AT2421" s="259" t="b">
        <f t="shared" si="487"/>
        <v>0</v>
      </c>
      <c r="AU2421" s="259" t="b">
        <f t="shared" si="488"/>
        <v>0</v>
      </c>
      <c r="AV2421" s="259" t="str">
        <f t="shared" si="489"/>
        <v>-</v>
      </c>
    </row>
    <row r="2422" spans="41:48">
      <c r="AO2422" s="829" t="str">
        <f t="shared" si="486"/>
        <v>No</v>
      </c>
      <c r="AP2422" s="259" t="str">
        <f t="shared" si="491"/>
        <v>blank</v>
      </c>
      <c r="AQ2422" s="547" t="str">
        <f t="shared" si="490"/>
        <v>无定金+无預留客戶</v>
      </c>
      <c r="AR2422" s="259" t="str">
        <f t="shared" si="484"/>
        <v/>
      </c>
      <c r="AS2422" s="259" t="str">
        <f t="shared" si="485"/>
        <v/>
      </c>
      <c r="AT2422" s="259" t="b">
        <f t="shared" si="487"/>
        <v>0</v>
      </c>
      <c r="AU2422" s="259" t="b">
        <f t="shared" si="488"/>
        <v>0</v>
      </c>
      <c r="AV2422" s="259" t="str">
        <f t="shared" si="489"/>
        <v>-</v>
      </c>
    </row>
    <row r="2423" spans="41:48">
      <c r="AO2423" s="829" t="str">
        <f t="shared" si="486"/>
        <v>No</v>
      </c>
      <c r="AP2423" s="259" t="str">
        <f t="shared" si="491"/>
        <v>blank</v>
      </c>
      <c r="AQ2423" s="547" t="str">
        <f t="shared" si="490"/>
        <v>无定金+无預留客戶</v>
      </c>
      <c r="AR2423" s="259" t="str">
        <f t="shared" si="484"/>
        <v/>
      </c>
      <c r="AS2423" s="259" t="str">
        <f t="shared" si="485"/>
        <v/>
      </c>
      <c r="AT2423" s="259" t="b">
        <f t="shared" si="487"/>
        <v>0</v>
      </c>
      <c r="AU2423" s="259" t="b">
        <f t="shared" si="488"/>
        <v>0</v>
      </c>
      <c r="AV2423" s="259" t="str">
        <f t="shared" si="489"/>
        <v>-</v>
      </c>
    </row>
    <row r="2424" spans="41:48">
      <c r="AO2424" s="829" t="str">
        <f t="shared" si="486"/>
        <v>No</v>
      </c>
      <c r="AP2424" s="259" t="str">
        <f t="shared" si="491"/>
        <v>blank</v>
      </c>
      <c r="AQ2424" s="547" t="str">
        <f t="shared" si="490"/>
        <v>无定金+无預留客戶</v>
      </c>
      <c r="AR2424" s="259" t="str">
        <f t="shared" si="484"/>
        <v/>
      </c>
      <c r="AS2424" s="259" t="str">
        <f t="shared" si="485"/>
        <v/>
      </c>
      <c r="AT2424" s="259" t="b">
        <f t="shared" si="487"/>
        <v>0</v>
      </c>
      <c r="AU2424" s="259" t="b">
        <f t="shared" si="488"/>
        <v>0</v>
      </c>
      <c r="AV2424" s="259" t="str">
        <f t="shared" si="489"/>
        <v>-</v>
      </c>
    </row>
    <row r="2425" spans="41:48">
      <c r="AO2425" s="829" t="str">
        <f t="shared" si="486"/>
        <v>No</v>
      </c>
      <c r="AP2425" s="259" t="str">
        <f t="shared" si="491"/>
        <v>blank</v>
      </c>
      <c r="AQ2425" s="547" t="str">
        <f t="shared" si="490"/>
        <v>无定金+无預留客戶</v>
      </c>
      <c r="AR2425" s="259" t="str">
        <f t="shared" si="484"/>
        <v/>
      </c>
      <c r="AS2425" s="259" t="str">
        <f t="shared" si="485"/>
        <v/>
      </c>
      <c r="AT2425" s="259" t="b">
        <f t="shared" si="487"/>
        <v>0</v>
      </c>
      <c r="AU2425" s="259" t="b">
        <f t="shared" si="488"/>
        <v>0</v>
      </c>
      <c r="AV2425" s="259" t="str">
        <f t="shared" si="489"/>
        <v>-</v>
      </c>
    </row>
    <row r="2426" spans="41:48">
      <c r="AO2426" s="829" t="str">
        <f t="shared" si="486"/>
        <v>No</v>
      </c>
      <c r="AP2426" s="259" t="str">
        <f t="shared" si="491"/>
        <v>blank</v>
      </c>
      <c r="AQ2426" s="547" t="str">
        <f t="shared" si="490"/>
        <v>无定金+无預留客戶</v>
      </c>
      <c r="AR2426" s="259" t="str">
        <f t="shared" si="484"/>
        <v/>
      </c>
      <c r="AS2426" s="259" t="str">
        <f t="shared" si="485"/>
        <v/>
      </c>
      <c r="AT2426" s="259" t="b">
        <f t="shared" si="487"/>
        <v>0</v>
      </c>
      <c r="AU2426" s="259" t="b">
        <f t="shared" si="488"/>
        <v>0</v>
      </c>
      <c r="AV2426" s="259" t="str">
        <f t="shared" si="489"/>
        <v>-</v>
      </c>
    </row>
    <row r="2427" spans="41:48">
      <c r="AO2427" s="829" t="str">
        <f t="shared" si="486"/>
        <v>No</v>
      </c>
      <c r="AP2427" s="259" t="str">
        <f t="shared" si="491"/>
        <v>blank</v>
      </c>
      <c r="AQ2427" s="547" t="str">
        <f t="shared" si="490"/>
        <v>无定金+无預留客戶</v>
      </c>
      <c r="AR2427" s="259" t="str">
        <f t="shared" si="484"/>
        <v/>
      </c>
      <c r="AS2427" s="259" t="str">
        <f t="shared" si="485"/>
        <v/>
      </c>
      <c r="AT2427" s="259" t="b">
        <f t="shared" si="487"/>
        <v>0</v>
      </c>
      <c r="AU2427" s="259" t="b">
        <f t="shared" si="488"/>
        <v>0</v>
      </c>
      <c r="AV2427" s="259" t="str">
        <f t="shared" si="489"/>
        <v>-</v>
      </c>
    </row>
    <row r="2428" spans="41:48">
      <c r="AO2428" s="829" t="str">
        <f t="shared" si="486"/>
        <v>No</v>
      </c>
      <c r="AP2428" s="259" t="str">
        <f t="shared" si="491"/>
        <v>blank</v>
      </c>
      <c r="AQ2428" s="547" t="str">
        <f t="shared" si="490"/>
        <v>无定金+无預留客戶</v>
      </c>
      <c r="AR2428" s="259" t="str">
        <f t="shared" si="484"/>
        <v/>
      </c>
      <c r="AS2428" s="259" t="str">
        <f t="shared" si="485"/>
        <v/>
      </c>
      <c r="AT2428" s="259" t="b">
        <f t="shared" si="487"/>
        <v>0</v>
      </c>
      <c r="AU2428" s="259" t="b">
        <f t="shared" si="488"/>
        <v>0</v>
      </c>
      <c r="AV2428" s="259" t="str">
        <f t="shared" si="489"/>
        <v>-</v>
      </c>
    </row>
    <row r="2429" spans="41:48">
      <c r="AO2429" s="829" t="str">
        <f t="shared" si="486"/>
        <v>No</v>
      </c>
      <c r="AP2429" s="259" t="str">
        <f t="shared" si="491"/>
        <v>blank</v>
      </c>
      <c r="AQ2429" s="547" t="str">
        <f t="shared" si="490"/>
        <v>无定金+无預留客戶</v>
      </c>
      <c r="AR2429" s="259" t="str">
        <f t="shared" si="484"/>
        <v/>
      </c>
      <c r="AS2429" s="259" t="str">
        <f t="shared" si="485"/>
        <v/>
      </c>
      <c r="AT2429" s="259" t="b">
        <f t="shared" si="487"/>
        <v>0</v>
      </c>
      <c r="AU2429" s="259" t="b">
        <f t="shared" si="488"/>
        <v>0</v>
      </c>
      <c r="AV2429" s="259" t="str">
        <f t="shared" si="489"/>
        <v>-</v>
      </c>
    </row>
    <row r="2430" spans="41:48">
      <c r="AO2430" s="829" t="str">
        <f t="shared" si="486"/>
        <v>No</v>
      </c>
      <c r="AP2430" s="259" t="str">
        <f t="shared" si="491"/>
        <v>blank</v>
      </c>
      <c r="AQ2430" s="547" t="str">
        <f t="shared" si="490"/>
        <v>无定金+无預留客戶</v>
      </c>
      <c r="AR2430" s="259" t="str">
        <f t="shared" ref="AR2430:AR2493" si="492">IFERROR(IF(B2430="已经到货", "Instock", IF(B2430="有交期", "Incoming_Stock_With_YAMAHA_Schedule", IF(B2430="TBA.", "Incoming_Stock_No_YAMAHA_Schedule", IF(B2430="已发货", "Shipped_Stock", "")))), "")</f>
        <v/>
      </c>
      <c r="AS2430" s="259" t="str">
        <f t="shared" ref="AS2430:AS2493" si="493">IF(AND(B2430="有交期", L2430&lt;&gt;""), L2430, "")</f>
        <v/>
      </c>
      <c r="AT2430" s="259" t="b">
        <f t="shared" si="487"/>
        <v>0</v>
      </c>
      <c r="AU2430" s="259" t="b">
        <f t="shared" si="488"/>
        <v>0</v>
      </c>
      <c r="AV2430" s="259" t="str">
        <f t="shared" si="489"/>
        <v>-</v>
      </c>
    </row>
    <row r="2431" spans="41:48">
      <c r="AO2431" s="829" t="str">
        <f t="shared" si="486"/>
        <v>No</v>
      </c>
      <c r="AP2431" s="259" t="str">
        <f t="shared" si="491"/>
        <v>blank</v>
      </c>
      <c r="AQ2431" s="547" t="str">
        <f t="shared" si="490"/>
        <v>无定金+无預留客戶</v>
      </c>
      <c r="AR2431" s="259" t="str">
        <f t="shared" si="492"/>
        <v/>
      </c>
      <c r="AS2431" s="259" t="str">
        <f t="shared" si="493"/>
        <v/>
      </c>
      <c r="AT2431" s="259" t="b">
        <f t="shared" si="487"/>
        <v>0</v>
      </c>
      <c r="AU2431" s="259" t="b">
        <f t="shared" si="488"/>
        <v>0</v>
      </c>
      <c r="AV2431" s="259" t="str">
        <f t="shared" si="489"/>
        <v>-</v>
      </c>
    </row>
    <row r="2432" spans="41:48">
      <c r="AO2432" s="829" t="str">
        <f t="shared" si="486"/>
        <v>No</v>
      </c>
      <c r="AP2432" s="259" t="str">
        <f t="shared" si="491"/>
        <v>blank</v>
      </c>
      <c r="AQ2432" s="547" t="str">
        <f t="shared" si="490"/>
        <v>无定金+无預留客戶</v>
      </c>
      <c r="AR2432" s="259" t="str">
        <f t="shared" si="492"/>
        <v/>
      </c>
      <c r="AS2432" s="259" t="str">
        <f t="shared" si="493"/>
        <v/>
      </c>
      <c r="AT2432" s="259" t="b">
        <f t="shared" si="487"/>
        <v>0</v>
      </c>
      <c r="AU2432" s="259" t="b">
        <f t="shared" si="488"/>
        <v>0</v>
      </c>
      <c r="AV2432" s="259" t="str">
        <f t="shared" si="489"/>
        <v>-</v>
      </c>
    </row>
    <row r="2433" spans="41:48">
      <c r="AO2433" s="829" t="str">
        <f t="shared" si="486"/>
        <v>No</v>
      </c>
      <c r="AP2433" s="259" t="str">
        <f t="shared" si="491"/>
        <v>blank</v>
      </c>
      <c r="AQ2433" s="547" t="str">
        <f t="shared" si="490"/>
        <v>无定金+无預留客戶</v>
      </c>
      <c r="AR2433" s="259" t="str">
        <f t="shared" si="492"/>
        <v/>
      </c>
      <c r="AS2433" s="259" t="str">
        <f t="shared" si="493"/>
        <v/>
      </c>
      <c r="AT2433" s="259" t="b">
        <f t="shared" si="487"/>
        <v>0</v>
      </c>
      <c r="AU2433" s="259" t="b">
        <f t="shared" si="488"/>
        <v>0</v>
      </c>
      <c r="AV2433" s="259" t="str">
        <f t="shared" si="489"/>
        <v>-</v>
      </c>
    </row>
    <row r="2434" spans="41:48">
      <c r="AO2434" s="829" t="str">
        <f t="shared" ref="AO2434:AO2497" si="494">IFERROR(IF(Y2434&lt;&gt;"",Y2434,"No"),"No")</f>
        <v>No</v>
      </c>
      <c r="AP2434" s="259" t="str">
        <f t="shared" si="491"/>
        <v>blank</v>
      </c>
      <c r="AQ2434" s="547" t="str">
        <f t="shared" si="490"/>
        <v>无定金+无預留客戶</v>
      </c>
      <c r="AR2434" s="259" t="str">
        <f t="shared" si="492"/>
        <v/>
      </c>
      <c r="AS2434" s="259" t="str">
        <f t="shared" si="493"/>
        <v/>
      </c>
      <c r="AT2434" s="259" t="b">
        <f t="shared" ref="AT2434:AT2497" si="495">IFERROR(IF(R2434&lt;&gt;"",R2434),"-")</f>
        <v>0</v>
      </c>
      <c r="AU2434" s="259" t="b">
        <f t="shared" ref="AU2434:AU2497" si="496">IFERROR(IF(Q2434&lt;&gt;"",Q2434),"-")</f>
        <v>0</v>
      </c>
      <c r="AV2434" s="259" t="str">
        <f t="shared" ref="AV2434:AV2497" si="497">IF(L2434="","-",TEXT(L2434,"mmm-dd"))</f>
        <v>-</v>
      </c>
    </row>
    <row r="2435" spans="41:48">
      <c r="AO2435" s="829" t="str">
        <f t="shared" si="494"/>
        <v>No</v>
      </c>
      <c r="AP2435" s="259" t="str">
        <f t="shared" si="491"/>
        <v>blank</v>
      </c>
      <c r="AQ2435" s="547" t="str">
        <f t="shared" ref="AQ2435:AQ2498" si="498">IFERROR(IF(AND(AO2435="Yes", AP2435&lt;&gt;"blank"), "有定金+有預留客戶", IF(AND(AO2435="Yes", AP2435="blank"), "有定金+无客戶送貨期", IF(AND(OR(AO2435="No", ISBLANK(AO2435), AO2435="NA"), AP2435&lt;&gt;"blank"), "无定金+有預留客戶", IF(AND(OR(AO2435="No", ISBLANK(AO2435), AO2435="NA"), AP2435="blank"), "无定金+无預留客戶", "")))), "")</f>
        <v>无定金+无預留客戶</v>
      </c>
      <c r="AR2435" s="259" t="str">
        <f t="shared" si="492"/>
        <v/>
      </c>
      <c r="AS2435" s="259" t="str">
        <f t="shared" si="493"/>
        <v/>
      </c>
      <c r="AT2435" s="259" t="b">
        <f t="shared" si="495"/>
        <v>0</v>
      </c>
      <c r="AU2435" s="259" t="b">
        <f t="shared" si="496"/>
        <v>0</v>
      </c>
      <c r="AV2435" s="259" t="str">
        <f t="shared" si="497"/>
        <v>-</v>
      </c>
    </row>
    <row r="2436" spans="41:48">
      <c r="AO2436" s="829" t="str">
        <f t="shared" si="494"/>
        <v>No</v>
      </c>
      <c r="AP2436" s="259" t="str">
        <f t="shared" si="491"/>
        <v>blank</v>
      </c>
      <c r="AQ2436" s="547" t="str">
        <f t="shared" si="498"/>
        <v>无定金+无預留客戶</v>
      </c>
      <c r="AR2436" s="259" t="str">
        <f t="shared" si="492"/>
        <v/>
      </c>
      <c r="AS2436" s="259" t="str">
        <f t="shared" si="493"/>
        <v/>
      </c>
      <c r="AT2436" s="259" t="b">
        <f t="shared" si="495"/>
        <v>0</v>
      </c>
      <c r="AU2436" s="259" t="b">
        <f t="shared" si="496"/>
        <v>0</v>
      </c>
      <c r="AV2436" s="259" t="str">
        <f t="shared" si="497"/>
        <v>-</v>
      </c>
    </row>
    <row r="2437" spans="41:48">
      <c r="AO2437" s="829" t="str">
        <f t="shared" si="494"/>
        <v>No</v>
      </c>
      <c r="AP2437" s="259" t="str">
        <f t="shared" si="491"/>
        <v>blank</v>
      </c>
      <c r="AQ2437" s="547" t="str">
        <f t="shared" si="498"/>
        <v>无定金+无預留客戶</v>
      </c>
      <c r="AR2437" s="259" t="str">
        <f t="shared" si="492"/>
        <v/>
      </c>
      <c r="AS2437" s="259" t="str">
        <f t="shared" si="493"/>
        <v/>
      </c>
      <c r="AT2437" s="259" t="b">
        <f t="shared" si="495"/>
        <v>0</v>
      </c>
      <c r="AU2437" s="259" t="b">
        <f t="shared" si="496"/>
        <v>0</v>
      </c>
      <c r="AV2437" s="259" t="str">
        <f t="shared" si="497"/>
        <v>-</v>
      </c>
    </row>
    <row r="2438" spans="41:48">
      <c r="AO2438" s="829" t="str">
        <f t="shared" si="494"/>
        <v>No</v>
      </c>
      <c r="AP2438" s="259" t="str">
        <f t="shared" ref="AP2438:AP2501" si="499">IFERROR(IF(N2438&lt;&gt;"",N2438,"blank"),"NA")</f>
        <v>blank</v>
      </c>
      <c r="AQ2438" s="547" t="str">
        <f t="shared" si="498"/>
        <v>无定金+无預留客戶</v>
      </c>
      <c r="AR2438" s="259" t="str">
        <f t="shared" si="492"/>
        <v/>
      </c>
      <c r="AS2438" s="259" t="str">
        <f t="shared" si="493"/>
        <v/>
      </c>
      <c r="AT2438" s="259" t="b">
        <f t="shared" si="495"/>
        <v>0</v>
      </c>
      <c r="AU2438" s="259" t="b">
        <f t="shared" si="496"/>
        <v>0</v>
      </c>
      <c r="AV2438" s="259" t="str">
        <f t="shared" si="497"/>
        <v>-</v>
      </c>
    </row>
    <row r="2439" spans="41:48">
      <c r="AO2439" s="829" t="str">
        <f t="shared" si="494"/>
        <v>No</v>
      </c>
      <c r="AP2439" s="259" t="str">
        <f t="shared" si="499"/>
        <v>blank</v>
      </c>
      <c r="AQ2439" s="547" t="str">
        <f t="shared" si="498"/>
        <v>无定金+无預留客戶</v>
      </c>
      <c r="AR2439" s="259" t="str">
        <f t="shared" si="492"/>
        <v/>
      </c>
      <c r="AS2439" s="259" t="str">
        <f t="shared" si="493"/>
        <v/>
      </c>
      <c r="AT2439" s="259" t="b">
        <f t="shared" si="495"/>
        <v>0</v>
      </c>
      <c r="AU2439" s="259" t="b">
        <f t="shared" si="496"/>
        <v>0</v>
      </c>
      <c r="AV2439" s="259" t="str">
        <f t="shared" si="497"/>
        <v>-</v>
      </c>
    </row>
    <row r="2440" spans="41:48">
      <c r="AO2440" s="829" t="str">
        <f t="shared" si="494"/>
        <v>No</v>
      </c>
      <c r="AP2440" s="259" t="str">
        <f t="shared" si="499"/>
        <v>blank</v>
      </c>
      <c r="AQ2440" s="547" t="str">
        <f t="shared" si="498"/>
        <v>无定金+无預留客戶</v>
      </c>
      <c r="AR2440" s="259" t="str">
        <f t="shared" si="492"/>
        <v/>
      </c>
      <c r="AS2440" s="259" t="str">
        <f t="shared" si="493"/>
        <v/>
      </c>
      <c r="AT2440" s="259" t="b">
        <f t="shared" si="495"/>
        <v>0</v>
      </c>
      <c r="AU2440" s="259" t="b">
        <f t="shared" si="496"/>
        <v>0</v>
      </c>
      <c r="AV2440" s="259" t="str">
        <f t="shared" si="497"/>
        <v>-</v>
      </c>
    </row>
    <row r="2441" spans="41:48">
      <c r="AO2441" s="829" t="str">
        <f t="shared" si="494"/>
        <v>No</v>
      </c>
      <c r="AP2441" s="259" t="str">
        <f t="shared" si="499"/>
        <v>blank</v>
      </c>
      <c r="AQ2441" s="547" t="str">
        <f t="shared" si="498"/>
        <v>无定金+无預留客戶</v>
      </c>
      <c r="AR2441" s="259" t="str">
        <f t="shared" si="492"/>
        <v/>
      </c>
      <c r="AS2441" s="259" t="str">
        <f t="shared" si="493"/>
        <v/>
      </c>
      <c r="AT2441" s="259" t="b">
        <f t="shared" si="495"/>
        <v>0</v>
      </c>
      <c r="AU2441" s="259" t="b">
        <f t="shared" si="496"/>
        <v>0</v>
      </c>
      <c r="AV2441" s="259" t="str">
        <f t="shared" si="497"/>
        <v>-</v>
      </c>
    </row>
    <row r="2442" spans="41:48">
      <c r="AO2442" s="829" t="str">
        <f t="shared" si="494"/>
        <v>No</v>
      </c>
      <c r="AP2442" s="259" t="str">
        <f t="shared" si="499"/>
        <v>blank</v>
      </c>
      <c r="AQ2442" s="547" t="str">
        <f t="shared" si="498"/>
        <v>无定金+无預留客戶</v>
      </c>
      <c r="AR2442" s="259" t="str">
        <f t="shared" si="492"/>
        <v/>
      </c>
      <c r="AS2442" s="259" t="str">
        <f t="shared" si="493"/>
        <v/>
      </c>
      <c r="AT2442" s="259" t="b">
        <f t="shared" si="495"/>
        <v>0</v>
      </c>
      <c r="AU2442" s="259" t="b">
        <f t="shared" si="496"/>
        <v>0</v>
      </c>
      <c r="AV2442" s="259" t="str">
        <f t="shared" si="497"/>
        <v>-</v>
      </c>
    </row>
    <row r="2443" spans="41:48">
      <c r="AO2443" s="829" t="str">
        <f t="shared" si="494"/>
        <v>No</v>
      </c>
      <c r="AP2443" s="259" t="str">
        <f t="shared" si="499"/>
        <v>blank</v>
      </c>
      <c r="AQ2443" s="547" t="str">
        <f t="shared" si="498"/>
        <v>无定金+无預留客戶</v>
      </c>
      <c r="AR2443" s="259" t="str">
        <f t="shared" si="492"/>
        <v/>
      </c>
      <c r="AS2443" s="259" t="str">
        <f t="shared" si="493"/>
        <v/>
      </c>
      <c r="AT2443" s="259" t="b">
        <f t="shared" si="495"/>
        <v>0</v>
      </c>
      <c r="AU2443" s="259" t="b">
        <f t="shared" si="496"/>
        <v>0</v>
      </c>
      <c r="AV2443" s="259" t="str">
        <f t="shared" si="497"/>
        <v>-</v>
      </c>
    </row>
    <row r="2444" spans="41:48">
      <c r="AO2444" s="829" t="str">
        <f t="shared" si="494"/>
        <v>No</v>
      </c>
      <c r="AP2444" s="259" t="str">
        <f t="shared" si="499"/>
        <v>blank</v>
      </c>
      <c r="AQ2444" s="547" t="str">
        <f t="shared" si="498"/>
        <v>无定金+无預留客戶</v>
      </c>
      <c r="AR2444" s="259" t="str">
        <f t="shared" si="492"/>
        <v/>
      </c>
      <c r="AS2444" s="259" t="str">
        <f t="shared" si="493"/>
        <v/>
      </c>
      <c r="AT2444" s="259" t="b">
        <f t="shared" si="495"/>
        <v>0</v>
      </c>
      <c r="AU2444" s="259" t="b">
        <f t="shared" si="496"/>
        <v>0</v>
      </c>
      <c r="AV2444" s="259" t="str">
        <f t="shared" si="497"/>
        <v>-</v>
      </c>
    </row>
    <row r="2445" spans="41:48">
      <c r="AO2445" s="829" t="str">
        <f t="shared" si="494"/>
        <v>No</v>
      </c>
      <c r="AP2445" s="259" t="str">
        <f t="shared" si="499"/>
        <v>blank</v>
      </c>
      <c r="AQ2445" s="547" t="str">
        <f t="shared" si="498"/>
        <v>无定金+无預留客戶</v>
      </c>
      <c r="AR2445" s="259" t="str">
        <f t="shared" si="492"/>
        <v/>
      </c>
      <c r="AS2445" s="259" t="str">
        <f t="shared" si="493"/>
        <v/>
      </c>
      <c r="AT2445" s="259" t="b">
        <f t="shared" si="495"/>
        <v>0</v>
      </c>
      <c r="AU2445" s="259" t="b">
        <f t="shared" si="496"/>
        <v>0</v>
      </c>
      <c r="AV2445" s="259" t="str">
        <f t="shared" si="497"/>
        <v>-</v>
      </c>
    </row>
    <row r="2446" spans="41:48">
      <c r="AO2446" s="829" t="str">
        <f t="shared" si="494"/>
        <v>No</v>
      </c>
      <c r="AP2446" s="259" t="str">
        <f t="shared" si="499"/>
        <v>blank</v>
      </c>
      <c r="AQ2446" s="547" t="str">
        <f t="shared" si="498"/>
        <v>无定金+无預留客戶</v>
      </c>
      <c r="AR2446" s="259" t="str">
        <f t="shared" si="492"/>
        <v/>
      </c>
      <c r="AS2446" s="259" t="str">
        <f t="shared" si="493"/>
        <v/>
      </c>
      <c r="AT2446" s="259" t="b">
        <f t="shared" si="495"/>
        <v>0</v>
      </c>
      <c r="AU2446" s="259" t="b">
        <f t="shared" si="496"/>
        <v>0</v>
      </c>
      <c r="AV2446" s="259" t="str">
        <f t="shared" si="497"/>
        <v>-</v>
      </c>
    </row>
    <row r="2447" spans="41:48">
      <c r="AO2447" s="829" t="str">
        <f t="shared" si="494"/>
        <v>No</v>
      </c>
      <c r="AP2447" s="259" t="str">
        <f t="shared" si="499"/>
        <v>blank</v>
      </c>
      <c r="AQ2447" s="547" t="str">
        <f t="shared" si="498"/>
        <v>无定金+无預留客戶</v>
      </c>
      <c r="AR2447" s="259" t="str">
        <f t="shared" si="492"/>
        <v/>
      </c>
      <c r="AS2447" s="259" t="str">
        <f t="shared" si="493"/>
        <v/>
      </c>
      <c r="AT2447" s="259" t="b">
        <f t="shared" si="495"/>
        <v>0</v>
      </c>
      <c r="AU2447" s="259" t="b">
        <f t="shared" si="496"/>
        <v>0</v>
      </c>
      <c r="AV2447" s="259" t="str">
        <f t="shared" si="497"/>
        <v>-</v>
      </c>
    </row>
    <row r="2448" spans="41:48">
      <c r="AO2448" s="829" t="str">
        <f t="shared" si="494"/>
        <v>No</v>
      </c>
      <c r="AP2448" s="259" t="str">
        <f t="shared" si="499"/>
        <v>blank</v>
      </c>
      <c r="AQ2448" s="547" t="str">
        <f t="shared" si="498"/>
        <v>无定金+无預留客戶</v>
      </c>
      <c r="AR2448" s="259" t="str">
        <f t="shared" si="492"/>
        <v/>
      </c>
      <c r="AS2448" s="259" t="str">
        <f t="shared" si="493"/>
        <v/>
      </c>
      <c r="AT2448" s="259" t="b">
        <f t="shared" si="495"/>
        <v>0</v>
      </c>
      <c r="AU2448" s="259" t="b">
        <f t="shared" si="496"/>
        <v>0</v>
      </c>
      <c r="AV2448" s="259" t="str">
        <f t="shared" si="497"/>
        <v>-</v>
      </c>
    </row>
    <row r="2449" spans="41:48">
      <c r="AO2449" s="829" t="str">
        <f t="shared" si="494"/>
        <v>No</v>
      </c>
      <c r="AP2449" s="259" t="str">
        <f t="shared" si="499"/>
        <v>blank</v>
      </c>
      <c r="AQ2449" s="547" t="str">
        <f t="shared" si="498"/>
        <v>无定金+无預留客戶</v>
      </c>
      <c r="AR2449" s="259" t="str">
        <f t="shared" si="492"/>
        <v/>
      </c>
      <c r="AS2449" s="259" t="str">
        <f t="shared" si="493"/>
        <v/>
      </c>
      <c r="AT2449" s="259" t="b">
        <f t="shared" si="495"/>
        <v>0</v>
      </c>
      <c r="AU2449" s="259" t="b">
        <f t="shared" si="496"/>
        <v>0</v>
      </c>
      <c r="AV2449" s="259" t="str">
        <f t="shared" si="497"/>
        <v>-</v>
      </c>
    </row>
    <row r="2450" spans="41:48">
      <c r="AO2450" s="829" t="str">
        <f t="shared" si="494"/>
        <v>No</v>
      </c>
      <c r="AP2450" s="259" t="str">
        <f t="shared" si="499"/>
        <v>blank</v>
      </c>
      <c r="AQ2450" s="547" t="str">
        <f t="shared" si="498"/>
        <v>无定金+无預留客戶</v>
      </c>
      <c r="AR2450" s="259" t="str">
        <f t="shared" si="492"/>
        <v/>
      </c>
      <c r="AS2450" s="259" t="str">
        <f t="shared" si="493"/>
        <v/>
      </c>
      <c r="AT2450" s="259" t="b">
        <f t="shared" si="495"/>
        <v>0</v>
      </c>
      <c r="AU2450" s="259" t="b">
        <f t="shared" si="496"/>
        <v>0</v>
      </c>
      <c r="AV2450" s="259" t="str">
        <f t="shared" si="497"/>
        <v>-</v>
      </c>
    </row>
    <row r="2451" spans="41:48">
      <c r="AO2451" s="829" t="str">
        <f t="shared" si="494"/>
        <v>No</v>
      </c>
      <c r="AP2451" s="259" t="str">
        <f t="shared" si="499"/>
        <v>blank</v>
      </c>
      <c r="AQ2451" s="547" t="str">
        <f t="shared" si="498"/>
        <v>无定金+无預留客戶</v>
      </c>
      <c r="AR2451" s="259" t="str">
        <f t="shared" si="492"/>
        <v/>
      </c>
      <c r="AS2451" s="259" t="str">
        <f t="shared" si="493"/>
        <v/>
      </c>
      <c r="AT2451" s="259" t="b">
        <f t="shared" si="495"/>
        <v>0</v>
      </c>
      <c r="AU2451" s="259" t="b">
        <f t="shared" si="496"/>
        <v>0</v>
      </c>
      <c r="AV2451" s="259" t="str">
        <f t="shared" si="497"/>
        <v>-</v>
      </c>
    </row>
    <row r="2452" spans="41:48">
      <c r="AO2452" s="829" t="str">
        <f t="shared" si="494"/>
        <v>No</v>
      </c>
      <c r="AP2452" s="259" t="str">
        <f t="shared" si="499"/>
        <v>blank</v>
      </c>
      <c r="AQ2452" s="547" t="str">
        <f t="shared" si="498"/>
        <v>无定金+无預留客戶</v>
      </c>
      <c r="AR2452" s="259" t="str">
        <f t="shared" si="492"/>
        <v/>
      </c>
      <c r="AS2452" s="259" t="str">
        <f t="shared" si="493"/>
        <v/>
      </c>
      <c r="AT2452" s="259" t="b">
        <f t="shared" si="495"/>
        <v>0</v>
      </c>
      <c r="AU2452" s="259" t="b">
        <f t="shared" si="496"/>
        <v>0</v>
      </c>
      <c r="AV2452" s="259" t="str">
        <f t="shared" si="497"/>
        <v>-</v>
      </c>
    </row>
    <row r="2453" spans="41:48">
      <c r="AO2453" s="829" t="str">
        <f t="shared" si="494"/>
        <v>No</v>
      </c>
      <c r="AP2453" s="259" t="str">
        <f t="shared" si="499"/>
        <v>blank</v>
      </c>
      <c r="AQ2453" s="547" t="str">
        <f t="shared" si="498"/>
        <v>无定金+无預留客戶</v>
      </c>
      <c r="AR2453" s="259" t="str">
        <f t="shared" si="492"/>
        <v/>
      </c>
      <c r="AS2453" s="259" t="str">
        <f t="shared" si="493"/>
        <v/>
      </c>
      <c r="AT2453" s="259" t="b">
        <f t="shared" si="495"/>
        <v>0</v>
      </c>
      <c r="AU2453" s="259" t="b">
        <f t="shared" si="496"/>
        <v>0</v>
      </c>
      <c r="AV2453" s="259" t="str">
        <f t="shared" si="497"/>
        <v>-</v>
      </c>
    </row>
    <row r="2454" spans="41:48">
      <c r="AO2454" s="829" t="str">
        <f t="shared" si="494"/>
        <v>No</v>
      </c>
      <c r="AP2454" s="259" t="str">
        <f t="shared" si="499"/>
        <v>blank</v>
      </c>
      <c r="AQ2454" s="547" t="str">
        <f t="shared" si="498"/>
        <v>无定金+无預留客戶</v>
      </c>
      <c r="AR2454" s="259" t="str">
        <f t="shared" si="492"/>
        <v/>
      </c>
      <c r="AS2454" s="259" t="str">
        <f t="shared" si="493"/>
        <v/>
      </c>
      <c r="AT2454" s="259" t="b">
        <f t="shared" si="495"/>
        <v>0</v>
      </c>
      <c r="AU2454" s="259" t="b">
        <f t="shared" si="496"/>
        <v>0</v>
      </c>
      <c r="AV2454" s="259" t="str">
        <f t="shared" si="497"/>
        <v>-</v>
      </c>
    </row>
    <row r="2455" spans="41:48">
      <c r="AO2455" s="829" t="str">
        <f t="shared" si="494"/>
        <v>No</v>
      </c>
      <c r="AP2455" s="259" t="str">
        <f t="shared" si="499"/>
        <v>blank</v>
      </c>
      <c r="AQ2455" s="547" t="str">
        <f t="shared" si="498"/>
        <v>无定金+无預留客戶</v>
      </c>
      <c r="AR2455" s="259" t="str">
        <f t="shared" si="492"/>
        <v/>
      </c>
      <c r="AS2455" s="259" t="str">
        <f t="shared" si="493"/>
        <v/>
      </c>
      <c r="AT2455" s="259" t="b">
        <f t="shared" si="495"/>
        <v>0</v>
      </c>
      <c r="AU2455" s="259" t="b">
        <f t="shared" si="496"/>
        <v>0</v>
      </c>
      <c r="AV2455" s="259" t="str">
        <f t="shared" si="497"/>
        <v>-</v>
      </c>
    </row>
    <row r="2456" spans="41:48">
      <c r="AO2456" s="829" t="str">
        <f t="shared" si="494"/>
        <v>No</v>
      </c>
      <c r="AP2456" s="259" t="str">
        <f t="shared" si="499"/>
        <v>blank</v>
      </c>
      <c r="AQ2456" s="547" t="str">
        <f t="shared" si="498"/>
        <v>无定金+无預留客戶</v>
      </c>
      <c r="AR2456" s="259" t="str">
        <f t="shared" si="492"/>
        <v/>
      </c>
      <c r="AS2456" s="259" t="str">
        <f t="shared" si="493"/>
        <v/>
      </c>
      <c r="AT2456" s="259" t="b">
        <f t="shared" si="495"/>
        <v>0</v>
      </c>
      <c r="AU2456" s="259" t="b">
        <f t="shared" si="496"/>
        <v>0</v>
      </c>
      <c r="AV2456" s="259" t="str">
        <f t="shared" si="497"/>
        <v>-</v>
      </c>
    </row>
    <row r="2457" spans="41:48">
      <c r="AO2457" s="829" t="str">
        <f t="shared" si="494"/>
        <v>No</v>
      </c>
      <c r="AP2457" s="259" t="str">
        <f t="shared" si="499"/>
        <v>blank</v>
      </c>
      <c r="AQ2457" s="547" t="str">
        <f t="shared" si="498"/>
        <v>无定金+无預留客戶</v>
      </c>
      <c r="AR2457" s="259" t="str">
        <f t="shared" si="492"/>
        <v/>
      </c>
      <c r="AS2457" s="259" t="str">
        <f t="shared" si="493"/>
        <v/>
      </c>
      <c r="AT2457" s="259" t="b">
        <f t="shared" si="495"/>
        <v>0</v>
      </c>
      <c r="AU2457" s="259" t="b">
        <f t="shared" si="496"/>
        <v>0</v>
      </c>
      <c r="AV2457" s="259" t="str">
        <f t="shared" si="497"/>
        <v>-</v>
      </c>
    </row>
    <row r="2458" spans="41:48">
      <c r="AO2458" s="829" t="str">
        <f t="shared" si="494"/>
        <v>No</v>
      </c>
      <c r="AP2458" s="259" t="str">
        <f t="shared" si="499"/>
        <v>blank</v>
      </c>
      <c r="AQ2458" s="547" t="str">
        <f t="shared" si="498"/>
        <v>无定金+无預留客戶</v>
      </c>
      <c r="AR2458" s="259" t="str">
        <f t="shared" si="492"/>
        <v/>
      </c>
      <c r="AS2458" s="259" t="str">
        <f t="shared" si="493"/>
        <v/>
      </c>
      <c r="AT2458" s="259" t="b">
        <f t="shared" si="495"/>
        <v>0</v>
      </c>
      <c r="AU2458" s="259" t="b">
        <f t="shared" si="496"/>
        <v>0</v>
      </c>
      <c r="AV2458" s="259" t="str">
        <f t="shared" si="497"/>
        <v>-</v>
      </c>
    </row>
    <row r="2459" spans="41:48">
      <c r="AO2459" s="829" t="str">
        <f t="shared" si="494"/>
        <v>No</v>
      </c>
      <c r="AP2459" s="259" t="str">
        <f t="shared" si="499"/>
        <v>blank</v>
      </c>
      <c r="AQ2459" s="547" t="str">
        <f t="shared" si="498"/>
        <v>无定金+无預留客戶</v>
      </c>
      <c r="AR2459" s="259" t="str">
        <f t="shared" si="492"/>
        <v/>
      </c>
      <c r="AS2459" s="259" t="str">
        <f t="shared" si="493"/>
        <v/>
      </c>
      <c r="AT2459" s="259" t="b">
        <f t="shared" si="495"/>
        <v>0</v>
      </c>
      <c r="AU2459" s="259" t="b">
        <f t="shared" si="496"/>
        <v>0</v>
      </c>
      <c r="AV2459" s="259" t="str">
        <f t="shared" si="497"/>
        <v>-</v>
      </c>
    </row>
    <row r="2460" spans="41:48">
      <c r="AO2460" s="829" t="str">
        <f t="shared" si="494"/>
        <v>No</v>
      </c>
      <c r="AP2460" s="259" t="str">
        <f t="shared" si="499"/>
        <v>blank</v>
      </c>
      <c r="AQ2460" s="547" t="str">
        <f t="shared" si="498"/>
        <v>无定金+无預留客戶</v>
      </c>
      <c r="AR2460" s="259" t="str">
        <f t="shared" si="492"/>
        <v/>
      </c>
      <c r="AS2460" s="259" t="str">
        <f t="shared" si="493"/>
        <v/>
      </c>
      <c r="AT2460" s="259" t="b">
        <f t="shared" si="495"/>
        <v>0</v>
      </c>
      <c r="AU2460" s="259" t="b">
        <f t="shared" si="496"/>
        <v>0</v>
      </c>
      <c r="AV2460" s="259" t="str">
        <f t="shared" si="497"/>
        <v>-</v>
      </c>
    </row>
    <row r="2461" spans="41:48">
      <c r="AO2461" s="829" t="str">
        <f t="shared" si="494"/>
        <v>No</v>
      </c>
      <c r="AP2461" s="259" t="str">
        <f t="shared" si="499"/>
        <v>blank</v>
      </c>
      <c r="AQ2461" s="547" t="str">
        <f t="shared" si="498"/>
        <v>无定金+无預留客戶</v>
      </c>
      <c r="AR2461" s="259" t="str">
        <f t="shared" si="492"/>
        <v/>
      </c>
      <c r="AS2461" s="259" t="str">
        <f t="shared" si="493"/>
        <v/>
      </c>
      <c r="AT2461" s="259" t="b">
        <f t="shared" si="495"/>
        <v>0</v>
      </c>
      <c r="AU2461" s="259" t="b">
        <f t="shared" si="496"/>
        <v>0</v>
      </c>
      <c r="AV2461" s="259" t="str">
        <f t="shared" si="497"/>
        <v>-</v>
      </c>
    </row>
    <row r="2462" spans="41:48">
      <c r="AO2462" s="829" t="str">
        <f t="shared" si="494"/>
        <v>No</v>
      </c>
      <c r="AP2462" s="259" t="str">
        <f t="shared" si="499"/>
        <v>blank</v>
      </c>
      <c r="AQ2462" s="547" t="str">
        <f t="shared" si="498"/>
        <v>无定金+无預留客戶</v>
      </c>
      <c r="AR2462" s="259" t="str">
        <f t="shared" si="492"/>
        <v/>
      </c>
      <c r="AS2462" s="259" t="str">
        <f t="shared" si="493"/>
        <v/>
      </c>
      <c r="AT2462" s="259" t="b">
        <f t="shared" si="495"/>
        <v>0</v>
      </c>
      <c r="AU2462" s="259" t="b">
        <f t="shared" si="496"/>
        <v>0</v>
      </c>
      <c r="AV2462" s="259" t="str">
        <f t="shared" si="497"/>
        <v>-</v>
      </c>
    </row>
    <row r="2463" spans="41:48">
      <c r="AO2463" s="829" t="str">
        <f t="shared" si="494"/>
        <v>No</v>
      </c>
      <c r="AP2463" s="259" t="str">
        <f t="shared" si="499"/>
        <v>blank</v>
      </c>
      <c r="AQ2463" s="547" t="str">
        <f t="shared" si="498"/>
        <v>无定金+无預留客戶</v>
      </c>
      <c r="AR2463" s="259" t="str">
        <f t="shared" si="492"/>
        <v/>
      </c>
      <c r="AS2463" s="259" t="str">
        <f t="shared" si="493"/>
        <v/>
      </c>
      <c r="AT2463" s="259" t="b">
        <f t="shared" si="495"/>
        <v>0</v>
      </c>
      <c r="AU2463" s="259" t="b">
        <f t="shared" si="496"/>
        <v>0</v>
      </c>
      <c r="AV2463" s="259" t="str">
        <f t="shared" si="497"/>
        <v>-</v>
      </c>
    </row>
    <row r="2464" spans="41:48">
      <c r="AO2464" s="829" t="str">
        <f t="shared" si="494"/>
        <v>No</v>
      </c>
      <c r="AP2464" s="259" t="str">
        <f t="shared" si="499"/>
        <v>blank</v>
      </c>
      <c r="AQ2464" s="547" t="str">
        <f t="shared" si="498"/>
        <v>无定金+无預留客戶</v>
      </c>
      <c r="AR2464" s="259" t="str">
        <f t="shared" si="492"/>
        <v/>
      </c>
      <c r="AS2464" s="259" t="str">
        <f t="shared" si="493"/>
        <v/>
      </c>
      <c r="AT2464" s="259" t="b">
        <f t="shared" si="495"/>
        <v>0</v>
      </c>
      <c r="AU2464" s="259" t="b">
        <f t="shared" si="496"/>
        <v>0</v>
      </c>
      <c r="AV2464" s="259" t="str">
        <f t="shared" si="497"/>
        <v>-</v>
      </c>
    </row>
    <row r="2465" spans="41:48">
      <c r="AO2465" s="829" t="str">
        <f t="shared" si="494"/>
        <v>No</v>
      </c>
      <c r="AP2465" s="259" t="str">
        <f t="shared" si="499"/>
        <v>blank</v>
      </c>
      <c r="AQ2465" s="547" t="str">
        <f t="shared" si="498"/>
        <v>无定金+无預留客戶</v>
      </c>
      <c r="AR2465" s="259" t="str">
        <f t="shared" si="492"/>
        <v/>
      </c>
      <c r="AS2465" s="259" t="str">
        <f t="shared" si="493"/>
        <v/>
      </c>
      <c r="AT2465" s="259" t="b">
        <f t="shared" si="495"/>
        <v>0</v>
      </c>
      <c r="AU2465" s="259" t="b">
        <f t="shared" si="496"/>
        <v>0</v>
      </c>
      <c r="AV2465" s="259" t="str">
        <f t="shared" si="497"/>
        <v>-</v>
      </c>
    </row>
    <row r="2466" spans="41:48">
      <c r="AO2466" s="829" t="str">
        <f t="shared" si="494"/>
        <v>No</v>
      </c>
      <c r="AP2466" s="259" t="str">
        <f t="shared" si="499"/>
        <v>blank</v>
      </c>
      <c r="AQ2466" s="547" t="str">
        <f t="shared" si="498"/>
        <v>无定金+无預留客戶</v>
      </c>
      <c r="AR2466" s="259" t="str">
        <f t="shared" si="492"/>
        <v/>
      </c>
      <c r="AS2466" s="259" t="str">
        <f t="shared" si="493"/>
        <v/>
      </c>
      <c r="AT2466" s="259" t="b">
        <f t="shared" si="495"/>
        <v>0</v>
      </c>
      <c r="AU2466" s="259" t="b">
        <f t="shared" si="496"/>
        <v>0</v>
      </c>
      <c r="AV2466" s="259" t="str">
        <f t="shared" si="497"/>
        <v>-</v>
      </c>
    </row>
    <row r="2467" spans="41:48">
      <c r="AO2467" s="829" t="str">
        <f t="shared" si="494"/>
        <v>No</v>
      </c>
      <c r="AP2467" s="259" t="str">
        <f t="shared" si="499"/>
        <v>blank</v>
      </c>
      <c r="AQ2467" s="547" t="str">
        <f t="shared" si="498"/>
        <v>无定金+无預留客戶</v>
      </c>
      <c r="AR2467" s="259" t="str">
        <f t="shared" si="492"/>
        <v/>
      </c>
      <c r="AS2467" s="259" t="str">
        <f t="shared" si="493"/>
        <v/>
      </c>
      <c r="AT2467" s="259" t="b">
        <f t="shared" si="495"/>
        <v>0</v>
      </c>
      <c r="AU2467" s="259" t="b">
        <f t="shared" si="496"/>
        <v>0</v>
      </c>
      <c r="AV2467" s="259" t="str">
        <f t="shared" si="497"/>
        <v>-</v>
      </c>
    </row>
    <row r="2468" spans="41:48">
      <c r="AO2468" s="829" t="str">
        <f t="shared" si="494"/>
        <v>No</v>
      </c>
      <c r="AP2468" s="259" t="str">
        <f t="shared" si="499"/>
        <v>blank</v>
      </c>
      <c r="AQ2468" s="547" t="str">
        <f t="shared" si="498"/>
        <v>无定金+无預留客戶</v>
      </c>
      <c r="AR2468" s="259" t="str">
        <f t="shared" si="492"/>
        <v/>
      </c>
      <c r="AS2468" s="259" t="str">
        <f t="shared" si="493"/>
        <v/>
      </c>
      <c r="AT2468" s="259" t="b">
        <f t="shared" si="495"/>
        <v>0</v>
      </c>
      <c r="AU2468" s="259" t="b">
        <f t="shared" si="496"/>
        <v>0</v>
      </c>
      <c r="AV2468" s="259" t="str">
        <f t="shared" si="497"/>
        <v>-</v>
      </c>
    </row>
    <row r="2469" spans="41:48">
      <c r="AO2469" s="829" t="str">
        <f t="shared" si="494"/>
        <v>No</v>
      </c>
      <c r="AP2469" s="259" t="str">
        <f t="shared" si="499"/>
        <v>blank</v>
      </c>
      <c r="AQ2469" s="547" t="str">
        <f t="shared" si="498"/>
        <v>无定金+无預留客戶</v>
      </c>
      <c r="AR2469" s="259" t="str">
        <f t="shared" si="492"/>
        <v/>
      </c>
      <c r="AS2469" s="259" t="str">
        <f t="shared" si="493"/>
        <v/>
      </c>
      <c r="AT2469" s="259" t="b">
        <f t="shared" si="495"/>
        <v>0</v>
      </c>
      <c r="AU2469" s="259" t="b">
        <f t="shared" si="496"/>
        <v>0</v>
      </c>
      <c r="AV2469" s="259" t="str">
        <f t="shared" si="497"/>
        <v>-</v>
      </c>
    </row>
    <row r="2470" spans="41:48">
      <c r="AO2470" s="829" t="str">
        <f t="shared" si="494"/>
        <v>No</v>
      </c>
      <c r="AP2470" s="259" t="str">
        <f t="shared" si="499"/>
        <v>blank</v>
      </c>
      <c r="AQ2470" s="547" t="str">
        <f t="shared" si="498"/>
        <v>无定金+无預留客戶</v>
      </c>
      <c r="AR2470" s="259" t="str">
        <f t="shared" si="492"/>
        <v/>
      </c>
      <c r="AS2470" s="259" t="str">
        <f t="shared" si="493"/>
        <v/>
      </c>
      <c r="AT2470" s="259" t="b">
        <f t="shared" si="495"/>
        <v>0</v>
      </c>
      <c r="AU2470" s="259" t="b">
        <f t="shared" si="496"/>
        <v>0</v>
      </c>
      <c r="AV2470" s="259" t="str">
        <f t="shared" si="497"/>
        <v>-</v>
      </c>
    </row>
    <row r="2471" spans="41:48">
      <c r="AO2471" s="829" t="str">
        <f t="shared" si="494"/>
        <v>No</v>
      </c>
      <c r="AP2471" s="259" t="str">
        <f t="shared" si="499"/>
        <v>blank</v>
      </c>
      <c r="AQ2471" s="547" t="str">
        <f t="shared" si="498"/>
        <v>无定金+无預留客戶</v>
      </c>
      <c r="AR2471" s="259" t="str">
        <f t="shared" si="492"/>
        <v/>
      </c>
      <c r="AS2471" s="259" t="str">
        <f t="shared" si="493"/>
        <v/>
      </c>
      <c r="AT2471" s="259" t="b">
        <f t="shared" si="495"/>
        <v>0</v>
      </c>
      <c r="AU2471" s="259" t="b">
        <f t="shared" si="496"/>
        <v>0</v>
      </c>
      <c r="AV2471" s="259" t="str">
        <f t="shared" si="497"/>
        <v>-</v>
      </c>
    </row>
    <row r="2472" spans="41:48">
      <c r="AO2472" s="829" t="str">
        <f t="shared" si="494"/>
        <v>No</v>
      </c>
      <c r="AP2472" s="259" t="str">
        <f t="shared" si="499"/>
        <v>blank</v>
      </c>
      <c r="AQ2472" s="547" t="str">
        <f t="shared" si="498"/>
        <v>无定金+无預留客戶</v>
      </c>
      <c r="AR2472" s="259" t="str">
        <f t="shared" si="492"/>
        <v/>
      </c>
      <c r="AS2472" s="259" t="str">
        <f t="shared" si="493"/>
        <v/>
      </c>
      <c r="AT2472" s="259" t="b">
        <f t="shared" si="495"/>
        <v>0</v>
      </c>
      <c r="AU2472" s="259" t="b">
        <f t="shared" si="496"/>
        <v>0</v>
      </c>
      <c r="AV2472" s="259" t="str">
        <f t="shared" si="497"/>
        <v>-</v>
      </c>
    </row>
    <row r="2473" spans="41:48">
      <c r="AO2473" s="829" t="str">
        <f t="shared" si="494"/>
        <v>No</v>
      </c>
      <c r="AP2473" s="259" t="str">
        <f t="shared" si="499"/>
        <v>blank</v>
      </c>
      <c r="AQ2473" s="547" t="str">
        <f t="shared" si="498"/>
        <v>无定金+无預留客戶</v>
      </c>
      <c r="AR2473" s="259" t="str">
        <f t="shared" si="492"/>
        <v/>
      </c>
      <c r="AS2473" s="259" t="str">
        <f t="shared" si="493"/>
        <v/>
      </c>
      <c r="AT2473" s="259" t="b">
        <f t="shared" si="495"/>
        <v>0</v>
      </c>
      <c r="AU2473" s="259" t="b">
        <f t="shared" si="496"/>
        <v>0</v>
      </c>
      <c r="AV2473" s="259" t="str">
        <f t="shared" si="497"/>
        <v>-</v>
      </c>
    </row>
    <row r="2474" spans="41:48">
      <c r="AO2474" s="829" t="str">
        <f t="shared" si="494"/>
        <v>No</v>
      </c>
      <c r="AP2474" s="259" t="str">
        <f t="shared" si="499"/>
        <v>blank</v>
      </c>
      <c r="AQ2474" s="547" t="str">
        <f t="shared" si="498"/>
        <v>无定金+无預留客戶</v>
      </c>
      <c r="AR2474" s="259" t="str">
        <f t="shared" si="492"/>
        <v/>
      </c>
      <c r="AS2474" s="259" t="str">
        <f t="shared" si="493"/>
        <v/>
      </c>
      <c r="AT2474" s="259" t="b">
        <f t="shared" si="495"/>
        <v>0</v>
      </c>
      <c r="AU2474" s="259" t="b">
        <f t="shared" si="496"/>
        <v>0</v>
      </c>
      <c r="AV2474" s="259" t="str">
        <f t="shared" si="497"/>
        <v>-</v>
      </c>
    </row>
    <row r="2475" spans="41:48">
      <c r="AO2475" s="829" t="str">
        <f t="shared" si="494"/>
        <v>No</v>
      </c>
      <c r="AP2475" s="259" t="str">
        <f t="shared" si="499"/>
        <v>blank</v>
      </c>
      <c r="AQ2475" s="547" t="str">
        <f t="shared" si="498"/>
        <v>无定金+无預留客戶</v>
      </c>
      <c r="AR2475" s="259" t="str">
        <f t="shared" si="492"/>
        <v/>
      </c>
      <c r="AS2475" s="259" t="str">
        <f t="shared" si="493"/>
        <v/>
      </c>
      <c r="AT2475" s="259" t="b">
        <f t="shared" si="495"/>
        <v>0</v>
      </c>
      <c r="AU2475" s="259" t="b">
        <f t="shared" si="496"/>
        <v>0</v>
      </c>
      <c r="AV2475" s="259" t="str">
        <f t="shared" si="497"/>
        <v>-</v>
      </c>
    </row>
    <row r="2476" spans="41:48">
      <c r="AO2476" s="829" t="str">
        <f t="shared" si="494"/>
        <v>No</v>
      </c>
      <c r="AP2476" s="259" t="str">
        <f t="shared" si="499"/>
        <v>blank</v>
      </c>
      <c r="AQ2476" s="547" t="str">
        <f t="shared" si="498"/>
        <v>无定金+无預留客戶</v>
      </c>
      <c r="AR2476" s="259" t="str">
        <f t="shared" si="492"/>
        <v/>
      </c>
      <c r="AS2476" s="259" t="str">
        <f t="shared" si="493"/>
        <v/>
      </c>
      <c r="AT2476" s="259" t="b">
        <f t="shared" si="495"/>
        <v>0</v>
      </c>
      <c r="AU2476" s="259" t="b">
        <f t="shared" si="496"/>
        <v>0</v>
      </c>
      <c r="AV2476" s="259" t="str">
        <f t="shared" si="497"/>
        <v>-</v>
      </c>
    </row>
    <row r="2477" spans="41:48">
      <c r="AO2477" s="829" t="str">
        <f t="shared" si="494"/>
        <v>No</v>
      </c>
      <c r="AP2477" s="259" t="str">
        <f t="shared" si="499"/>
        <v>blank</v>
      </c>
      <c r="AQ2477" s="547" t="str">
        <f t="shared" si="498"/>
        <v>无定金+无預留客戶</v>
      </c>
      <c r="AR2477" s="259" t="str">
        <f t="shared" si="492"/>
        <v/>
      </c>
      <c r="AS2477" s="259" t="str">
        <f t="shared" si="493"/>
        <v/>
      </c>
      <c r="AT2477" s="259" t="b">
        <f t="shared" si="495"/>
        <v>0</v>
      </c>
      <c r="AU2477" s="259" t="b">
        <f t="shared" si="496"/>
        <v>0</v>
      </c>
      <c r="AV2477" s="259" t="str">
        <f t="shared" si="497"/>
        <v>-</v>
      </c>
    </row>
    <row r="2478" spans="41:48">
      <c r="AO2478" s="829" t="str">
        <f t="shared" si="494"/>
        <v>No</v>
      </c>
      <c r="AP2478" s="259" t="str">
        <f t="shared" si="499"/>
        <v>blank</v>
      </c>
      <c r="AQ2478" s="547" t="str">
        <f t="shared" si="498"/>
        <v>无定金+无預留客戶</v>
      </c>
      <c r="AR2478" s="259" t="str">
        <f t="shared" si="492"/>
        <v/>
      </c>
      <c r="AS2478" s="259" t="str">
        <f t="shared" si="493"/>
        <v/>
      </c>
      <c r="AT2478" s="259" t="b">
        <f t="shared" si="495"/>
        <v>0</v>
      </c>
      <c r="AU2478" s="259" t="b">
        <f t="shared" si="496"/>
        <v>0</v>
      </c>
      <c r="AV2478" s="259" t="str">
        <f t="shared" si="497"/>
        <v>-</v>
      </c>
    </row>
    <row r="2479" spans="41:48">
      <c r="AO2479" s="829" t="str">
        <f t="shared" si="494"/>
        <v>No</v>
      </c>
      <c r="AP2479" s="259" t="str">
        <f t="shared" si="499"/>
        <v>blank</v>
      </c>
      <c r="AQ2479" s="547" t="str">
        <f t="shared" si="498"/>
        <v>无定金+无預留客戶</v>
      </c>
      <c r="AR2479" s="259" t="str">
        <f t="shared" si="492"/>
        <v/>
      </c>
      <c r="AS2479" s="259" t="str">
        <f t="shared" si="493"/>
        <v/>
      </c>
      <c r="AT2479" s="259" t="b">
        <f t="shared" si="495"/>
        <v>0</v>
      </c>
      <c r="AU2479" s="259" t="b">
        <f t="shared" si="496"/>
        <v>0</v>
      </c>
      <c r="AV2479" s="259" t="str">
        <f t="shared" si="497"/>
        <v>-</v>
      </c>
    </row>
    <row r="2480" spans="41:48">
      <c r="AO2480" s="829" t="str">
        <f t="shared" si="494"/>
        <v>No</v>
      </c>
      <c r="AP2480" s="259" t="str">
        <f t="shared" si="499"/>
        <v>blank</v>
      </c>
      <c r="AQ2480" s="547" t="str">
        <f t="shared" si="498"/>
        <v>无定金+无預留客戶</v>
      </c>
      <c r="AR2480" s="259" t="str">
        <f t="shared" si="492"/>
        <v/>
      </c>
      <c r="AS2480" s="259" t="str">
        <f t="shared" si="493"/>
        <v/>
      </c>
      <c r="AT2480" s="259" t="b">
        <f t="shared" si="495"/>
        <v>0</v>
      </c>
      <c r="AU2480" s="259" t="b">
        <f t="shared" si="496"/>
        <v>0</v>
      </c>
      <c r="AV2480" s="259" t="str">
        <f t="shared" si="497"/>
        <v>-</v>
      </c>
    </row>
    <row r="2481" spans="41:48">
      <c r="AO2481" s="829" t="str">
        <f t="shared" si="494"/>
        <v>No</v>
      </c>
      <c r="AP2481" s="259" t="str">
        <f t="shared" si="499"/>
        <v>blank</v>
      </c>
      <c r="AQ2481" s="547" t="str">
        <f t="shared" si="498"/>
        <v>无定金+无預留客戶</v>
      </c>
      <c r="AR2481" s="259" t="str">
        <f t="shared" si="492"/>
        <v/>
      </c>
      <c r="AS2481" s="259" t="str">
        <f t="shared" si="493"/>
        <v/>
      </c>
      <c r="AT2481" s="259" t="b">
        <f t="shared" si="495"/>
        <v>0</v>
      </c>
      <c r="AU2481" s="259" t="b">
        <f t="shared" si="496"/>
        <v>0</v>
      </c>
      <c r="AV2481" s="259" t="str">
        <f t="shared" si="497"/>
        <v>-</v>
      </c>
    </row>
    <row r="2482" spans="41:48">
      <c r="AO2482" s="829" t="str">
        <f t="shared" si="494"/>
        <v>No</v>
      </c>
      <c r="AP2482" s="259" t="str">
        <f t="shared" si="499"/>
        <v>blank</v>
      </c>
      <c r="AQ2482" s="547" t="str">
        <f t="shared" si="498"/>
        <v>无定金+无預留客戶</v>
      </c>
      <c r="AR2482" s="259" t="str">
        <f t="shared" si="492"/>
        <v/>
      </c>
      <c r="AS2482" s="259" t="str">
        <f t="shared" si="493"/>
        <v/>
      </c>
      <c r="AT2482" s="259" t="b">
        <f t="shared" si="495"/>
        <v>0</v>
      </c>
      <c r="AU2482" s="259" t="b">
        <f t="shared" si="496"/>
        <v>0</v>
      </c>
      <c r="AV2482" s="259" t="str">
        <f t="shared" si="497"/>
        <v>-</v>
      </c>
    </row>
    <row r="2483" spans="41:48">
      <c r="AO2483" s="829" t="str">
        <f t="shared" si="494"/>
        <v>No</v>
      </c>
      <c r="AP2483" s="259" t="str">
        <f t="shared" si="499"/>
        <v>blank</v>
      </c>
      <c r="AQ2483" s="547" t="str">
        <f t="shared" si="498"/>
        <v>无定金+无預留客戶</v>
      </c>
      <c r="AR2483" s="259" t="str">
        <f t="shared" si="492"/>
        <v/>
      </c>
      <c r="AS2483" s="259" t="str">
        <f t="shared" si="493"/>
        <v/>
      </c>
      <c r="AT2483" s="259" t="b">
        <f t="shared" si="495"/>
        <v>0</v>
      </c>
      <c r="AU2483" s="259" t="b">
        <f t="shared" si="496"/>
        <v>0</v>
      </c>
      <c r="AV2483" s="259" t="str">
        <f t="shared" si="497"/>
        <v>-</v>
      </c>
    </row>
    <row r="2484" spans="41:48">
      <c r="AO2484" s="829" t="str">
        <f t="shared" si="494"/>
        <v>No</v>
      </c>
      <c r="AP2484" s="259" t="str">
        <f t="shared" si="499"/>
        <v>blank</v>
      </c>
      <c r="AQ2484" s="547" t="str">
        <f t="shared" si="498"/>
        <v>无定金+无預留客戶</v>
      </c>
      <c r="AR2484" s="259" t="str">
        <f t="shared" si="492"/>
        <v/>
      </c>
      <c r="AS2484" s="259" t="str">
        <f t="shared" si="493"/>
        <v/>
      </c>
      <c r="AT2484" s="259" t="b">
        <f t="shared" si="495"/>
        <v>0</v>
      </c>
      <c r="AU2484" s="259" t="b">
        <f t="shared" si="496"/>
        <v>0</v>
      </c>
      <c r="AV2484" s="259" t="str">
        <f t="shared" si="497"/>
        <v>-</v>
      </c>
    </row>
    <row r="2485" spans="41:48">
      <c r="AO2485" s="829" t="str">
        <f t="shared" si="494"/>
        <v>No</v>
      </c>
      <c r="AP2485" s="259" t="str">
        <f t="shared" si="499"/>
        <v>blank</v>
      </c>
      <c r="AQ2485" s="547" t="str">
        <f t="shared" si="498"/>
        <v>无定金+无預留客戶</v>
      </c>
      <c r="AR2485" s="259" t="str">
        <f t="shared" si="492"/>
        <v/>
      </c>
      <c r="AS2485" s="259" t="str">
        <f t="shared" si="493"/>
        <v/>
      </c>
      <c r="AT2485" s="259" t="b">
        <f t="shared" si="495"/>
        <v>0</v>
      </c>
      <c r="AU2485" s="259" t="b">
        <f t="shared" si="496"/>
        <v>0</v>
      </c>
      <c r="AV2485" s="259" t="str">
        <f t="shared" si="497"/>
        <v>-</v>
      </c>
    </row>
    <row r="2486" spans="41:48">
      <c r="AO2486" s="829" t="str">
        <f t="shared" si="494"/>
        <v>No</v>
      </c>
      <c r="AP2486" s="259" t="str">
        <f t="shared" si="499"/>
        <v>blank</v>
      </c>
      <c r="AQ2486" s="547" t="str">
        <f t="shared" si="498"/>
        <v>无定金+无預留客戶</v>
      </c>
      <c r="AR2486" s="259" t="str">
        <f t="shared" si="492"/>
        <v/>
      </c>
      <c r="AS2486" s="259" t="str">
        <f t="shared" si="493"/>
        <v/>
      </c>
      <c r="AT2486" s="259" t="b">
        <f t="shared" si="495"/>
        <v>0</v>
      </c>
      <c r="AU2486" s="259" t="b">
        <f t="shared" si="496"/>
        <v>0</v>
      </c>
      <c r="AV2486" s="259" t="str">
        <f t="shared" si="497"/>
        <v>-</v>
      </c>
    </row>
    <row r="2487" spans="41:48">
      <c r="AO2487" s="829" t="str">
        <f t="shared" si="494"/>
        <v>No</v>
      </c>
      <c r="AP2487" s="259" t="str">
        <f t="shared" si="499"/>
        <v>blank</v>
      </c>
      <c r="AQ2487" s="547" t="str">
        <f t="shared" si="498"/>
        <v>无定金+无預留客戶</v>
      </c>
      <c r="AR2487" s="259" t="str">
        <f t="shared" si="492"/>
        <v/>
      </c>
      <c r="AS2487" s="259" t="str">
        <f t="shared" si="493"/>
        <v/>
      </c>
      <c r="AT2487" s="259" t="b">
        <f t="shared" si="495"/>
        <v>0</v>
      </c>
      <c r="AU2487" s="259" t="b">
        <f t="shared" si="496"/>
        <v>0</v>
      </c>
      <c r="AV2487" s="259" t="str">
        <f t="shared" si="497"/>
        <v>-</v>
      </c>
    </row>
    <row r="2488" spans="41:48">
      <c r="AO2488" s="829" t="str">
        <f t="shared" si="494"/>
        <v>No</v>
      </c>
      <c r="AP2488" s="259" t="str">
        <f t="shared" si="499"/>
        <v>blank</v>
      </c>
      <c r="AQ2488" s="547" t="str">
        <f t="shared" si="498"/>
        <v>无定金+无預留客戶</v>
      </c>
      <c r="AR2488" s="259" t="str">
        <f t="shared" si="492"/>
        <v/>
      </c>
      <c r="AS2488" s="259" t="str">
        <f t="shared" si="493"/>
        <v/>
      </c>
      <c r="AT2488" s="259" t="b">
        <f t="shared" si="495"/>
        <v>0</v>
      </c>
      <c r="AU2488" s="259" t="b">
        <f t="shared" si="496"/>
        <v>0</v>
      </c>
      <c r="AV2488" s="259" t="str">
        <f t="shared" si="497"/>
        <v>-</v>
      </c>
    </row>
    <row r="2489" spans="41:48">
      <c r="AO2489" s="829" t="str">
        <f t="shared" si="494"/>
        <v>No</v>
      </c>
      <c r="AP2489" s="259" t="str">
        <f t="shared" si="499"/>
        <v>blank</v>
      </c>
      <c r="AQ2489" s="547" t="str">
        <f t="shared" si="498"/>
        <v>无定金+无預留客戶</v>
      </c>
      <c r="AR2489" s="259" t="str">
        <f t="shared" si="492"/>
        <v/>
      </c>
      <c r="AS2489" s="259" t="str">
        <f t="shared" si="493"/>
        <v/>
      </c>
      <c r="AT2489" s="259" t="b">
        <f t="shared" si="495"/>
        <v>0</v>
      </c>
      <c r="AU2489" s="259" t="b">
        <f t="shared" si="496"/>
        <v>0</v>
      </c>
      <c r="AV2489" s="259" t="str">
        <f t="shared" si="497"/>
        <v>-</v>
      </c>
    </row>
    <row r="2490" spans="41:48">
      <c r="AO2490" s="829" t="str">
        <f t="shared" si="494"/>
        <v>No</v>
      </c>
      <c r="AP2490" s="259" t="str">
        <f t="shared" si="499"/>
        <v>blank</v>
      </c>
      <c r="AQ2490" s="547" t="str">
        <f t="shared" si="498"/>
        <v>无定金+无預留客戶</v>
      </c>
      <c r="AR2490" s="259" t="str">
        <f t="shared" si="492"/>
        <v/>
      </c>
      <c r="AS2490" s="259" t="str">
        <f t="shared" si="493"/>
        <v/>
      </c>
      <c r="AT2490" s="259" t="b">
        <f t="shared" si="495"/>
        <v>0</v>
      </c>
      <c r="AU2490" s="259" t="b">
        <f t="shared" si="496"/>
        <v>0</v>
      </c>
      <c r="AV2490" s="259" t="str">
        <f t="shared" si="497"/>
        <v>-</v>
      </c>
    </row>
    <row r="2491" spans="41:48">
      <c r="AO2491" s="829" t="str">
        <f t="shared" si="494"/>
        <v>No</v>
      </c>
      <c r="AP2491" s="259" t="str">
        <f t="shared" si="499"/>
        <v>blank</v>
      </c>
      <c r="AQ2491" s="547" t="str">
        <f t="shared" si="498"/>
        <v>无定金+无預留客戶</v>
      </c>
      <c r="AR2491" s="259" t="str">
        <f t="shared" si="492"/>
        <v/>
      </c>
      <c r="AS2491" s="259" t="str">
        <f t="shared" si="493"/>
        <v/>
      </c>
      <c r="AT2491" s="259" t="b">
        <f t="shared" si="495"/>
        <v>0</v>
      </c>
      <c r="AU2491" s="259" t="b">
        <f t="shared" si="496"/>
        <v>0</v>
      </c>
      <c r="AV2491" s="259" t="str">
        <f t="shared" si="497"/>
        <v>-</v>
      </c>
    </row>
    <row r="2492" spans="41:48">
      <c r="AO2492" s="829" t="str">
        <f t="shared" si="494"/>
        <v>No</v>
      </c>
      <c r="AP2492" s="259" t="str">
        <f t="shared" si="499"/>
        <v>blank</v>
      </c>
      <c r="AQ2492" s="547" t="str">
        <f t="shared" si="498"/>
        <v>无定金+无預留客戶</v>
      </c>
      <c r="AR2492" s="259" t="str">
        <f t="shared" si="492"/>
        <v/>
      </c>
      <c r="AS2492" s="259" t="str">
        <f t="shared" si="493"/>
        <v/>
      </c>
      <c r="AT2492" s="259" t="b">
        <f t="shared" si="495"/>
        <v>0</v>
      </c>
      <c r="AU2492" s="259" t="b">
        <f t="shared" si="496"/>
        <v>0</v>
      </c>
      <c r="AV2492" s="259" t="str">
        <f t="shared" si="497"/>
        <v>-</v>
      </c>
    </row>
    <row r="2493" spans="41:48">
      <c r="AO2493" s="829" t="str">
        <f t="shared" si="494"/>
        <v>No</v>
      </c>
      <c r="AP2493" s="259" t="str">
        <f t="shared" si="499"/>
        <v>blank</v>
      </c>
      <c r="AQ2493" s="547" t="str">
        <f t="shared" si="498"/>
        <v>无定金+无預留客戶</v>
      </c>
      <c r="AR2493" s="259" t="str">
        <f t="shared" si="492"/>
        <v/>
      </c>
      <c r="AS2493" s="259" t="str">
        <f t="shared" si="493"/>
        <v/>
      </c>
      <c r="AT2493" s="259" t="b">
        <f t="shared" si="495"/>
        <v>0</v>
      </c>
      <c r="AU2493" s="259" t="b">
        <f t="shared" si="496"/>
        <v>0</v>
      </c>
      <c r="AV2493" s="259" t="str">
        <f t="shared" si="497"/>
        <v>-</v>
      </c>
    </row>
    <row r="2494" spans="41:48">
      <c r="AO2494" s="829" t="str">
        <f t="shared" si="494"/>
        <v>No</v>
      </c>
      <c r="AP2494" s="259" t="str">
        <f t="shared" si="499"/>
        <v>blank</v>
      </c>
      <c r="AQ2494" s="547" t="str">
        <f t="shared" si="498"/>
        <v>无定金+无預留客戶</v>
      </c>
      <c r="AR2494" s="259" t="str">
        <f t="shared" ref="AR2494:AR2532" si="500">IFERROR(IF(B2494="已经到货", "Instock", IF(B2494="有交期", "Incoming_Stock_With_YAMAHA_Schedule", IF(B2494="TBA.", "Incoming_Stock_No_YAMAHA_Schedule", IF(B2494="已发货", "Shipped_Stock", "")))), "")</f>
        <v/>
      </c>
      <c r="AS2494" s="259" t="str">
        <f t="shared" ref="AS2494:AS2532" si="501">IF(AND(B2494="有交期", L2494&lt;&gt;""), L2494, "")</f>
        <v/>
      </c>
      <c r="AT2494" s="259" t="b">
        <f t="shared" si="495"/>
        <v>0</v>
      </c>
      <c r="AU2494" s="259" t="b">
        <f t="shared" si="496"/>
        <v>0</v>
      </c>
      <c r="AV2494" s="259" t="str">
        <f t="shared" si="497"/>
        <v>-</v>
      </c>
    </row>
    <row r="2495" spans="41:48">
      <c r="AO2495" s="829" t="str">
        <f t="shared" si="494"/>
        <v>No</v>
      </c>
      <c r="AP2495" s="259" t="str">
        <f t="shared" si="499"/>
        <v>blank</v>
      </c>
      <c r="AQ2495" s="547" t="str">
        <f t="shared" si="498"/>
        <v>无定金+无預留客戶</v>
      </c>
      <c r="AR2495" s="259" t="str">
        <f t="shared" si="500"/>
        <v/>
      </c>
      <c r="AS2495" s="259" t="str">
        <f t="shared" si="501"/>
        <v/>
      </c>
      <c r="AT2495" s="259" t="b">
        <f t="shared" si="495"/>
        <v>0</v>
      </c>
      <c r="AU2495" s="259" t="b">
        <f t="shared" si="496"/>
        <v>0</v>
      </c>
      <c r="AV2495" s="259" t="str">
        <f t="shared" si="497"/>
        <v>-</v>
      </c>
    </row>
    <row r="2496" spans="41:48">
      <c r="AO2496" s="829" t="str">
        <f t="shared" si="494"/>
        <v>No</v>
      </c>
      <c r="AP2496" s="259" t="str">
        <f t="shared" si="499"/>
        <v>blank</v>
      </c>
      <c r="AQ2496" s="547" t="str">
        <f t="shared" si="498"/>
        <v>无定金+无預留客戶</v>
      </c>
      <c r="AR2496" s="259" t="str">
        <f t="shared" si="500"/>
        <v/>
      </c>
      <c r="AS2496" s="259" t="str">
        <f t="shared" si="501"/>
        <v/>
      </c>
      <c r="AT2496" s="259" t="b">
        <f t="shared" si="495"/>
        <v>0</v>
      </c>
      <c r="AU2496" s="259" t="b">
        <f t="shared" si="496"/>
        <v>0</v>
      </c>
      <c r="AV2496" s="259" t="str">
        <f t="shared" si="497"/>
        <v>-</v>
      </c>
    </row>
    <row r="2497" spans="41:48">
      <c r="AO2497" s="829" t="str">
        <f t="shared" si="494"/>
        <v>No</v>
      </c>
      <c r="AP2497" s="259" t="str">
        <f t="shared" si="499"/>
        <v>blank</v>
      </c>
      <c r="AQ2497" s="547" t="str">
        <f t="shared" si="498"/>
        <v>无定金+无預留客戶</v>
      </c>
      <c r="AR2497" s="259" t="str">
        <f t="shared" si="500"/>
        <v/>
      </c>
      <c r="AS2497" s="259" t="str">
        <f t="shared" si="501"/>
        <v/>
      </c>
      <c r="AT2497" s="259" t="b">
        <f t="shared" si="495"/>
        <v>0</v>
      </c>
      <c r="AU2497" s="259" t="b">
        <f t="shared" si="496"/>
        <v>0</v>
      </c>
      <c r="AV2497" s="259" t="str">
        <f t="shared" si="497"/>
        <v>-</v>
      </c>
    </row>
    <row r="2498" spans="41:48">
      <c r="AO2498" s="829" t="str">
        <f t="shared" ref="AO2498:AO2532" si="502">IFERROR(IF(Y2498&lt;&gt;"",Y2498,"No"),"No")</f>
        <v>No</v>
      </c>
      <c r="AP2498" s="259" t="str">
        <f t="shared" si="499"/>
        <v>blank</v>
      </c>
      <c r="AQ2498" s="547" t="str">
        <f t="shared" si="498"/>
        <v>无定金+无預留客戶</v>
      </c>
      <c r="AR2498" s="259" t="str">
        <f t="shared" si="500"/>
        <v/>
      </c>
      <c r="AS2498" s="259" t="str">
        <f t="shared" si="501"/>
        <v/>
      </c>
      <c r="AT2498" s="259" t="b">
        <f t="shared" ref="AT2498:AT2532" si="503">IFERROR(IF(R2498&lt;&gt;"",R2498),"-")</f>
        <v>0</v>
      </c>
      <c r="AU2498" s="259" t="b">
        <f t="shared" ref="AU2498:AU2532" si="504">IFERROR(IF(Q2498&lt;&gt;"",Q2498),"-")</f>
        <v>0</v>
      </c>
      <c r="AV2498" s="259" t="str">
        <f t="shared" ref="AV2498:AV2532" si="505">IF(L2498="","-",TEXT(L2498,"mmm-dd"))</f>
        <v>-</v>
      </c>
    </row>
    <row r="2499" spans="41:48">
      <c r="AO2499" s="829" t="str">
        <f t="shared" si="502"/>
        <v>No</v>
      </c>
      <c r="AP2499" s="259" t="str">
        <f t="shared" si="499"/>
        <v>blank</v>
      </c>
      <c r="AQ2499" s="547" t="str">
        <f t="shared" ref="AQ2499:AQ2532" si="506">IFERROR(IF(AND(AO2499="Yes", AP2499&lt;&gt;"blank"), "有定金+有預留客戶", IF(AND(AO2499="Yes", AP2499="blank"), "有定金+无客戶送貨期", IF(AND(OR(AO2499="No", ISBLANK(AO2499), AO2499="NA"), AP2499&lt;&gt;"blank"), "无定金+有預留客戶", IF(AND(OR(AO2499="No", ISBLANK(AO2499), AO2499="NA"), AP2499="blank"), "无定金+无預留客戶", "")))), "")</f>
        <v>无定金+无預留客戶</v>
      </c>
      <c r="AR2499" s="259" t="str">
        <f t="shared" si="500"/>
        <v/>
      </c>
      <c r="AS2499" s="259" t="str">
        <f t="shared" si="501"/>
        <v/>
      </c>
      <c r="AT2499" s="259" t="b">
        <f t="shared" si="503"/>
        <v>0</v>
      </c>
      <c r="AU2499" s="259" t="b">
        <f t="shared" si="504"/>
        <v>0</v>
      </c>
      <c r="AV2499" s="259" t="str">
        <f t="shared" si="505"/>
        <v>-</v>
      </c>
    </row>
    <row r="2500" spans="41:48">
      <c r="AO2500" s="829" t="str">
        <f t="shared" si="502"/>
        <v>No</v>
      </c>
      <c r="AP2500" s="259" t="str">
        <f t="shared" si="499"/>
        <v>blank</v>
      </c>
      <c r="AQ2500" s="547" t="str">
        <f t="shared" si="506"/>
        <v>无定金+无預留客戶</v>
      </c>
      <c r="AR2500" s="259" t="str">
        <f t="shared" si="500"/>
        <v/>
      </c>
      <c r="AS2500" s="259" t="str">
        <f t="shared" si="501"/>
        <v/>
      </c>
      <c r="AT2500" s="259" t="b">
        <f t="shared" si="503"/>
        <v>0</v>
      </c>
      <c r="AU2500" s="259" t="b">
        <f t="shared" si="504"/>
        <v>0</v>
      </c>
      <c r="AV2500" s="259" t="str">
        <f t="shared" si="505"/>
        <v>-</v>
      </c>
    </row>
    <row r="2501" spans="41:48">
      <c r="AO2501" s="829" t="str">
        <f t="shared" si="502"/>
        <v>No</v>
      </c>
      <c r="AP2501" s="259" t="str">
        <f t="shared" si="499"/>
        <v>blank</v>
      </c>
      <c r="AQ2501" s="547" t="str">
        <f t="shared" si="506"/>
        <v>无定金+无預留客戶</v>
      </c>
      <c r="AR2501" s="259" t="str">
        <f t="shared" si="500"/>
        <v/>
      </c>
      <c r="AS2501" s="259" t="str">
        <f t="shared" si="501"/>
        <v/>
      </c>
      <c r="AT2501" s="259" t="b">
        <f t="shared" si="503"/>
        <v>0</v>
      </c>
      <c r="AU2501" s="259" t="b">
        <f t="shared" si="504"/>
        <v>0</v>
      </c>
      <c r="AV2501" s="259" t="str">
        <f t="shared" si="505"/>
        <v>-</v>
      </c>
    </row>
    <row r="2502" spans="41:48">
      <c r="AO2502" s="829" t="str">
        <f t="shared" si="502"/>
        <v>No</v>
      </c>
      <c r="AP2502" s="259" t="str">
        <f t="shared" ref="AP2502:AP2503" si="507">IFERROR(IF(N2502&lt;&gt;"",N2502,"blank"),"NA")</f>
        <v>blank</v>
      </c>
      <c r="AQ2502" s="547" t="str">
        <f t="shared" si="506"/>
        <v>无定金+无預留客戶</v>
      </c>
      <c r="AR2502" s="259" t="str">
        <f t="shared" si="500"/>
        <v/>
      </c>
      <c r="AS2502" s="259" t="str">
        <f t="shared" si="501"/>
        <v/>
      </c>
      <c r="AT2502" s="259" t="b">
        <f t="shared" si="503"/>
        <v>0</v>
      </c>
      <c r="AU2502" s="259" t="b">
        <f t="shared" si="504"/>
        <v>0</v>
      </c>
      <c r="AV2502" s="259" t="str">
        <f t="shared" si="505"/>
        <v>-</v>
      </c>
    </row>
    <row r="2503" spans="41:48">
      <c r="AO2503" s="829" t="str">
        <f t="shared" si="502"/>
        <v>No</v>
      </c>
      <c r="AP2503" s="259" t="str">
        <f t="shared" si="507"/>
        <v>blank</v>
      </c>
      <c r="AQ2503" s="547" t="str">
        <f t="shared" si="506"/>
        <v>无定金+无預留客戶</v>
      </c>
      <c r="AR2503" s="259" t="str">
        <f t="shared" si="500"/>
        <v/>
      </c>
      <c r="AS2503" s="259" t="str">
        <f t="shared" si="501"/>
        <v/>
      </c>
      <c r="AT2503" s="259" t="b">
        <f t="shared" si="503"/>
        <v>0</v>
      </c>
      <c r="AU2503" s="259" t="b">
        <f t="shared" si="504"/>
        <v>0</v>
      </c>
      <c r="AV2503" s="259" t="str">
        <f t="shared" si="505"/>
        <v>-</v>
      </c>
    </row>
    <row r="2504" spans="41:48">
      <c r="AO2504" s="829" t="str">
        <f t="shared" si="502"/>
        <v>No</v>
      </c>
      <c r="AP2504" s="259" t="str">
        <f t="shared" ref="AP2504:AP2532" si="508">IFERROR(IF(N2504&lt;&gt;"",N2504,"blank"),"NA")</f>
        <v>blank</v>
      </c>
      <c r="AQ2504" s="547" t="str">
        <f t="shared" si="506"/>
        <v>无定金+无預留客戶</v>
      </c>
      <c r="AR2504" s="259" t="str">
        <f t="shared" si="500"/>
        <v/>
      </c>
      <c r="AS2504" s="844" t="str">
        <f t="shared" si="501"/>
        <v/>
      </c>
      <c r="AT2504" s="259" t="b">
        <f t="shared" si="503"/>
        <v>0</v>
      </c>
      <c r="AU2504" s="259" t="b">
        <f t="shared" si="504"/>
        <v>0</v>
      </c>
      <c r="AV2504" s="259" t="str">
        <f t="shared" si="505"/>
        <v>-</v>
      </c>
    </row>
    <row r="2505" spans="41:48">
      <c r="AO2505" s="829" t="str">
        <f t="shared" si="502"/>
        <v>No</v>
      </c>
      <c r="AP2505" s="259" t="str">
        <f t="shared" si="508"/>
        <v>blank</v>
      </c>
      <c r="AQ2505" s="547" t="str">
        <f t="shared" si="506"/>
        <v>无定金+无預留客戶</v>
      </c>
      <c r="AR2505" s="259" t="str">
        <f t="shared" si="500"/>
        <v/>
      </c>
      <c r="AS2505" s="844" t="str">
        <f t="shared" si="501"/>
        <v/>
      </c>
      <c r="AT2505" s="259" t="b">
        <f t="shared" si="503"/>
        <v>0</v>
      </c>
      <c r="AU2505" s="259" t="b">
        <f t="shared" si="504"/>
        <v>0</v>
      </c>
      <c r="AV2505" s="259" t="str">
        <f t="shared" si="505"/>
        <v>-</v>
      </c>
    </row>
    <row r="2506" spans="41:48">
      <c r="AO2506" s="829" t="str">
        <f t="shared" si="502"/>
        <v>No</v>
      </c>
      <c r="AP2506" s="259" t="str">
        <f t="shared" si="508"/>
        <v>blank</v>
      </c>
      <c r="AQ2506" s="547" t="str">
        <f t="shared" si="506"/>
        <v>无定金+无預留客戶</v>
      </c>
      <c r="AR2506" s="259" t="str">
        <f t="shared" si="500"/>
        <v/>
      </c>
      <c r="AS2506" s="844" t="str">
        <f t="shared" si="501"/>
        <v/>
      </c>
      <c r="AT2506" s="259" t="b">
        <f t="shared" si="503"/>
        <v>0</v>
      </c>
      <c r="AU2506" s="259" t="b">
        <f t="shared" si="504"/>
        <v>0</v>
      </c>
      <c r="AV2506" s="259" t="str">
        <f t="shared" si="505"/>
        <v>-</v>
      </c>
    </row>
    <row r="2507" spans="41:48">
      <c r="AO2507" s="829" t="str">
        <f t="shared" si="502"/>
        <v>No</v>
      </c>
      <c r="AP2507" s="259" t="str">
        <f t="shared" si="508"/>
        <v>blank</v>
      </c>
      <c r="AQ2507" s="547" t="str">
        <f t="shared" si="506"/>
        <v>无定金+无預留客戶</v>
      </c>
      <c r="AR2507" s="259" t="str">
        <f t="shared" si="500"/>
        <v/>
      </c>
      <c r="AS2507" s="844" t="str">
        <f t="shared" si="501"/>
        <v/>
      </c>
      <c r="AT2507" s="259" t="b">
        <f t="shared" si="503"/>
        <v>0</v>
      </c>
      <c r="AU2507" s="259" t="b">
        <f t="shared" si="504"/>
        <v>0</v>
      </c>
      <c r="AV2507" s="259" t="str">
        <f t="shared" si="505"/>
        <v>-</v>
      </c>
    </row>
    <row r="2508" spans="41:48">
      <c r="AO2508" s="829" t="str">
        <f t="shared" si="502"/>
        <v>No</v>
      </c>
      <c r="AP2508" s="259" t="str">
        <f t="shared" si="508"/>
        <v>blank</v>
      </c>
      <c r="AQ2508" s="547" t="str">
        <f t="shared" si="506"/>
        <v>无定金+无預留客戶</v>
      </c>
      <c r="AR2508" s="259" t="str">
        <f t="shared" si="500"/>
        <v/>
      </c>
      <c r="AS2508" s="844" t="str">
        <f t="shared" si="501"/>
        <v/>
      </c>
      <c r="AT2508" s="259" t="b">
        <f t="shared" si="503"/>
        <v>0</v>
      </c>
      <c r="AU2508" s="259" t="b">
        <f t="shared" si="504"/>
        <v>0</v>
      </c>
      <c r="AV2508" s="259" t="str">
        <f t="shared" si="505"/>
        <v>-</v>
      </c>
    </row>
    <row r="2509" spans="41:48">
      <c r="AO2509" s="829" t="str">
        <f t="shared" si="502"/>
        <v>No</v>
      </c>
      <c r="AP2509" s="259" t="str">
        <f t="shared" si="508"/>
        <v>blank</v>
      </c>
      <c r="AQ2509" s="547" t="str">
        <f t="shared" si="506"/>
        <v>无定金+无預留客戶</v>
      </c>
      <c r="AR2509" s="259" t="str">
        <f t="shared" si="500"/>
        <v/>
      </c>
      <c r="AS2509" s="844" t="str">
        <f t="shared" si="501"/>
        <v/>
      </c>
      <c r="AT2509" s="259" t="b">
        <f t="shared" si="503"/>
        <v>0</v>
      </c>
      <c r="AU2509" s="259" t="b">
        <f t="shared" si="504"/>
        <v>0</v>
      </c>
      <c r="AV2509" s="259" t="str">
        <f t="shared" si="505"/>
        <v>-</v>
      </c>
    </row>
    <row r="2510" spans="41:48">
      <c r="AO2510" s="829" t="str">
        <f t="shared" si="502"/>
        <v>No</v>
      </c>
      <c r="AP2510" s="259" t="str">
        <f t="shared" si="508"/>
        <v>blank</v>
      </c>
      <c r="AQ2510" s="547" t="str">
        <f t="shared" si="506"/>
        <v>无定金+无預留客戶</v>
      </c>
      <c r="AR2510" s="259" t="str">
        <f t="shared" si="500"/>
        <v/>
      </c>
      <c r="AS2510" s="844" t="str">
        <f t="shared" si="501"/>
        <v/>
      </c>
      <c r="AT2510" s="259" t="b">
        <f t="shared" si="503"/>
        <v>0</v>
      </c>
      <c r="AU2510" s="259" t="b">
        <f t="shared" si="504"/>
        <v>0</v>
      </c>
      <c r="AV2510" s="259" t="str">
        <f t="shared" si="505"/>
        <v>-</v>
      </c>
    </row>
    <row r="2511" spans="41:48">
      <c r="AO2511" s="829" t="str">
        <f t="shared" si="502"/>
        <v>No</v>
      </c>
      <c r="AP2511" s="259" t="str">
        <f t="shared" si="508"/>
        <v>blank</v>
      </c>
      <c r="AQ2511" s="547" t="str">
        <f t="shared" si="506"/>
        <v>无定金+无預留客戶</v>
      </c>
      <c r="AR2511" s="259" t="str">
        <f t="shared" si="500"/>
        <v/>
      </c>
      <c r="AS2511" s="844" t="str">
        <f t="shared" si="501"/>
        <v/>
      </c>
      <c r="AT2511" s="259" t="b">
        <f t="shared" si="503"/>
        <v>0</v>
      </c>
      <c r="AU2511" s="259" t="b">
        <f t="shared" si="504"/>
        <v>0</v>
      </c>
      <c r="AV2511" s="259" t="str">
        <f t="shared" si="505"/>
        <v>-</v>
      </c>
    </row>
    <row r="2512" spans="41:48">
      <c r="AO2512" s="829" t="str">
        <f t="shared" si="502"/>
        <v>No</v>
      </c>
      <c r="AP2512" s="259" t="str">
        <f t="shared" si="508"/>
        <v>blank</v>
      </c>
      <c r="AQ2512" s="547" t="str">
        <f t="shared" si="506"/>
        <v>无定金+无預留客戶</v>
      </c>
      <c r="AR2512" s="259" t="str">
        <f t="shared" si="500"/>
        <v/>
      </c>
      <c r="AS2512" s="844" t="str">
        <f t="shared" si="501"/>
        <v/>
      </c>
      <c r="AT2512" s="259" t="b">
        <f t="shared" si="503"/>
        <v>0</v>
      </c>
      <c r="AU2512" s="259" t="b">
        <f t="shared" si="504"/>
        <v>0</v>
      </c>
      <c r="AV2512" s="259" t="str">
        <f t="shared" si="505"/>
        <v>-</v>
      </c>
    </row>
    <row r="2513" spans="41:48">
      <c r="AO2513" s="829" t="str">
        <f t="shared" si="502"/>
        <v>No</v>
      </c>
      <c r="AP2513" s="259" t="str">
        <f t="shared" si="508"/>
        <v>blank</v>
      </c>
      <c r="AQ2513" s="547" t="str">
        <f t="shared" si="506"/>
        <v>无定金+无預留客戶</v>
      </c>
      <c r="AR2513" s="259" t="str">
        <f t="shared" si="500"/>
        <v/>
      </c>
      <c r="AS2513" s="844" t="str">
        <f t="shared" si="501"/>
        <v/>
      </c>
      <c r="AT2513" s="259" t="b">
        <f t="shared" si="503"/>
        <v>0</v>
      </c>
      <c r="AU2513" s="259" t="b">
        <f t="shared" si="504"/>
        <v>0</v>
      </c>
      <c r="AV2513" s="259" t="str">
        <f t="shared" si="505"/>
        <v>-</v>
      </c>
    </row>
    <row r="2514" spans="41:48">
      <c r="AO2514" s="829" t="str">
        <f t="shared" si="502"/>
        <v>No</v>
      </c>
      <c r="AP2514" s="259" t="str">
        <f t="shared" si="508"/>
        <v>blank</v>
      </c>
      <c r="AQ2514" s="547" t="str">
        <f t="shared" si="506"/>
        <v>无定金+无預留客戶</v>
      </c>
      <c r="AR2514" s="259" t="str">
        <f t="shared" si="500"/>
        <v/>
      </c>
      <c r="AS2514" s="844" t="str">
        <f t="shared" si="501"/>
        <v/>
      </c>
      <c r="AT2514" s="259" t="b">
        <f t="shared" si="503"/>
        <v>0</v>
      </c>
      <c r="AU2514" s="259" t="b">
        <f t="shared" si="504"/>
        <v>0</v>
      </c>
      <c r="AV2514" s="259" t="str">
        <f t="shared" si="505"/>
        <v>-</v>
      </c>
    </row>
    <row r="2515" spans="41:48">
      <c r="AO2515" s="829" t="str">
        <f t="shared" si="502"/>
        <v>No</v>
      </c>
      <c r="AP2515" s="259" t="str">
        <f t="shared" si="508"/>
        <v>blank</v>
      </c>
      <c r="AQ2515" s="547" t="str">
        <f t="shared" si="506"/>
        <v>无定金+无預留客戶</v>
      </c>
      <c r="AR2515" s="259" t="str">
        <f t="shared" si="500"/>
        <v/>
      </c>
      <c r="AS2515" s="844" t="str">
        <f t="shared" si="501"/>
        <v/>
      </c>
      <c r="AT2515" s="259" t="b">
        <f t="shared" si="503"/>
        <v>0</v>
      </c>
      <c r="AU2515" s="259" t="b">
        <f t="shared" si="504"/>
        <v>0</v>
      </c>
      <c r="AV2515" s="259" t="str">
        <f t="shared" si="505"/>
        <v>-</v>
      </c>
    </row>
    <row r="2516" spans="41:48">
      <c r="AO2516" s="829" t="str">
        <f t="shared" si="502"/>
        <v>No</v>
      </c>
      <c r="AP2516" s="259" t="str">
        <f t="shared" si="508"/>
        <v>blank</v>
      </c>
      <c r="AQ2516" s="547" t="str">
        <f t="shared" si="506"/>
        <v>无定金+无預留客戶</v>
      </c>
      <c r="AR2516" s="259" t="str">
        <f t="shared" si="500"/>
        <v/>
      </c>
      <c r="AS2516" s="844" t="str">
        <f t="shared" si="501"/>
        <v/>
      </c>
      <c r="AT2516" s="259" t="b">
        <f t="shared" si="503"/>
        <v>0</v>
      </c>
      <c r="AU2516" s="259" t="b">
        <f t="shared" si="504"/>
        <v>0</v>
      </c>
      <c r="AV2516" s="259" t="str">
        <f t="shared" si="505"/>
        <v>-</v>
      </c>
    </row>
    <row r="2517" spans="41:48">
      <c r="AO2517" s="829" t="str">
        <f t="shared" si="502"/>
        <v>No</v>
      </c>
      <c r="AP2517" s="259" t="str">
        <f t="shared" si="508"/>
        <v>blank</v>
      </c>
      <c r="AQ2517" s="547" t="str">
        <f t="shared" si="506"/>
        <v>无定金+无預留客戶</v>
      </c>
      <c r="AR2517" s="259" t="str">
        <f t="shared" si="500"/>
        <v/>
      </c>
      <c r="AS2517" s="844" t="str">
        <f t="shared" si="501"/>
        <v/>
      </c>
      <c r="AT2517" s="259" t="b">
        <f t="shared" si="503"/>
        <v>0</v>
      </c>
      <c r="AU2517" s="259" t="b">
        <f t="shared" si="504"/>
        <v>0</v>
      </c>
      <c r="AV2517" s="259" t="str">
        <f t="shared" si="505"/>
        <v>-</v>
      </c>
    </row>
    <row r="2518" spans="41:48">
      <c r="AO2518" s="829" t="str">
        <f t="shared" si="502"/>
        <v>No</v>
      </c>
      <c r="AP2518" s="259" t="str">
        <f t="shared" si="508"/>
        <v>blank</v>
      </c>
      <c r="AQ2518" s="547" t="str">
        <f t="shared" si="506"/>
        <v>无定金+无預留客戶</v>
      </c>
      <c r="AR2518" s="259" t="str">
        <f t="shared" si="500"/>
        <v/>
      </c>
      <c r="AS2518" s="844" t="str">
        <f t="shared" si="501"/>
        <v/>
      </c>
      <c r="AT2518" s="259" t="b">
        <f t="shared" si="503"/>
        <v>0</v>
      </c>
      <c r="AU2518" s="259" t="b">
        <f t="shared" si="504"/>
        <v>0</v>
      </c>
      <c r="AV2518" s="259" t="str">
        <f t="shared" si="505"/>
        <v>-</v>
      </c>
    </row>
    <row r="2519" spans="41:48">
      <c r="AO2519" s="829" t="str">
        <f t="shared" si="502"/>
        <v>No</v>
      </c>
      <c r="AP2519" s="259" t="str">
        <f t="shared" si="508"/>
        <v>blank</v>
      </c>
      <c r="AQ2519" s="547" t="str">
        <f t="shared" si="506"/>
        <v>无定金+无預留客戶</v>
      </c>
      <c r="AR2519" s="259" t="str">
        <f t="shared" si="500"/>
        <v/>
      </c>
      <c r="AS2519" s="844" t="str">
        <f t="shared" si="501"/>
        <v/>
      </c>
      <c r="AT2519" s="259" t="b">
        <f t="shared" si="503"/>
        <v>0</v>
      </c>
      <c r="AU2519" s="259" t="b">
        <f t="shared" si="504"/>
        <v>0</v>
      </c>
      <c r="AV2519" s="259" t="str">
        <f t="shared" si="505"/>
        <v>-</v>
      </c>
    </row>
    <row r="2520" spans="41:48">
      <c r="AO2520" s="829" t="str">
        <f t="shared" si="502"/>
        <v>No</v>
      </c>
      <c r="AP2520" s="259" t="str">
        <f t="shared" si="508"/>
        <v>blank</v>
      </c>
      <c r="AQ2520" s="547" t="str">
        <f t="shared" si="506"/>
        <v>无定金+无預留客戶</v>
      </c>
      <c r="AR2520" s="259" t="str">
        <f t="shared" si="500"/>
        <v/>
      </c>
      <c r="AS2520" s="844" t="str">
        <f t="shared" si="501"/>
        <v/>
      </c>
      <c r="AT2520" s="259" t="b">
        <f t="shared" si="503"/>
        <v>0</v>
      </c>
      <c r="AU2520" s="259" t="b">
        <f t="shared" si="504"/>
        <v>0</v>
      </c>
      <c r="AV2520" s="259" t="str">
        <f t="shared" si="505"/>
        <v>-</v>
      </c>
    </row>
    <row r="2521" spans="41:48">
      <c r="AO2521" s="829" t="str">
        <f t="shared" si="502"/>
        <v>No</v>
      </c>
      <c r="AP2521" s="259" t="str">
        <f t="shared" si="508"/>
        <v>blank</v>
      </c>
      <c r="AQ2521" s="547" t="str">
        <f t="shared" si="506"/>
        <v>无定金+无預留客戶</v>
      </c>
      <c r="AR2521" s="259" t="str">
        <f t="shared" si="500"/>
        <v/>
      </c>
      <c r="AS2521" s="844" t="str">
        <f t="shared" si="501"/>
        <v/>
      </c>
      <c r="AT2521" s="259" t="b">
        <f t="shared" si="503"/>
        <v>0</v>
      </c>
      <c r="AU2521" s="259" t="b">
        <f t="shared" si="504"/>
        <v>0</v>
      </c>
      <c r="AV2521" s="259" t="str">
        <f t="shared" si="505"/>
        <v>-</v>
      </c>
    </row>
    <row r="2522" spans="41:48">
      <c r="AO2522" s="829" t="str">
        <f t="shared" si="502"/>
        <v>No</v>
      </c>
      <c r="AP2522" s="259" t="str">
        <f t="shared" si="508"/>
        <v>blank</v>
      </c>
      <c r="AQ2522" s="547" t="str">
        <f t="shared" si="506"/>
        <v>无定金+无預留客戶</v>
      </c>
      <c r="AR2522" s="259" t="str">
        <f t="shared" si="500"/>
        <v/>
      </c>
      <c r="AS2522" s="844" t="str">
        <f t="shared" si="501"/>
        <v/>
      </c>
      <c r="AT2522" s="259" t="b">
        <f t="shared" si="503"/>
        <v>0</v>
      </c>
      <c r="AU2522" s="259" t="b">
        <f t="shared" si="504"/>
        <v>0</v>
      </c>
      <c r="AV2522" s="259" t="str">
        <f t="shared" si="505"/>
        <v>-</v>
      </c>
    </row>
    <row r="2523" spans="41:48">
      <c r="AO2523" s="829" t="str">
        <f t="shared" si="502"/>
        <v>No</v>
      </c>
      <c r="AP2523" s="259" t="str">
        <f t="shared" si="508"/>
        <v>blank</v>
      </c>
      <c r="AQ2523" s="547" t="str">
        <f t="shared" si="506"/>
        <v>无定金+无預留客戶</v>
      </c>
      <c r="AR2523" s="259" t="str">
        <f t="shared" si="500"/>
        <v/>
      </c>
      <c r="AS2523" s="844" t="str">
        <f t="shared" si="501"/>
        <v/>
      </c>
      <c r="AT2523" s="259" t="b">
        <f t="shared" si="503"/>
        <v>0</v>
      </c>
      <c r="AU2523" s="259" t="b">
        <f t="shared" si="504"/>
        <v>0</v>
      </c>
      <c r="AV2523" s="259" t="str">
        <f t="shared" si="505"/>
        <v>-</v>
      </c>
    </row>
    <row r="2524" spans="41:48">
      <c r="AO2524" s="829" t="str">
        <f t="shared" si="502"/>
        <v>No</v>
      </c>
      <c r="AP2524" s="259" t="str">
        <f t="shared" si="508"/>
        <v>blank</v>
      </c>
      <c r="AQ2524" s="547" t="str">
        <f t="shared" si="506"/>
        <v>无定金+无預留客戶</v>
      </c>
      <c r="AR2524" s="259" t="str">
        <f t="shared" si="500"/>
        <v/>
      </c>
      <c r="AS2524" s="844" t="str">
        <f t="shared" si="501"/>
        <v/>
      </c>
      <c r="AT2524" s="259" t="b">
        <f t="shared" si="503"/>
        <v>0</v>
      </c>
      <c r="AU2524" s="259" t="b">
        <f t="shared" si="504"/>
        <v>0</v>
      </c>
      <c r="AV2524" s="259" t="str">
        <f t="shared" si="505"/>
        <v>-</v>
      </c>
    </row>
    <row r="2525" spans="41:48">
      <c r="AO2525" s="829" t="str">
        <f t="shared" si="502"/>
        <v>No</v>
      </c>
      <c r="AP2525" s="259" t="str">
        <f t="shared" si="508"/>
        <v>blank</v>
      </c>
      <c r="AQ2525" s="547" t="str">
        <f t="shared" si="506"/>
        <v>无定金+无預留客戶</v>
      </c>
      <c r="AR2525" s="259" t="str">
        <f t="shared" si="500"/>
        <v/>
      </c>
      <c r="AS2525" s="844" t="str">
        <f t="shared" si="501"/>
        <v/>
      </c>
      <c r="AT2525" s="259" t="b">
        <f t="shared" si="503"/>
        <v>0</v>
      </c>
      <c r="AU2525" s="259" t="b">
        <f t="shared" si="504"/>
        <v>0</v>
      </c>
      <c r="AV2525" s="259" t="str">
        <f t="shared" si="505"/>
        <v>-</v>
      </c>
    </row>
    <row r="2526" spans="41:48">
      <c r="AO2526" s="829" t="str">
        <f t="shared" si="502"/>
        <v>No</v>
      </c>
      <c r="AP2526" s="259" t="str">
        <f t="shared" si="508"/>
        <v>blank</v>
      </c>
      <c r="AQ2526" s="547" t="str">
        <f t="shared" si="506"/>
        <v>无定金+无預留客戶</v>
      </c>
      <c r="AR2526" s="259" t="str">
        <f t="shared" si="500"/>
        <v/>
      </c>
      <c r="AS2526" s="844" t="str">
        <f t="shared" si="501"/>
        <v/>
      </c>
      <c r="AT2526" s="259" t="b">
        <f t="shared" si="503"/>
        <v>0</v>
      </c>
      <c r="AU2526" s="259" t="b">
        <f t="shared" si="504"/>
        <v>0</v>
      </c>
      <c r="AV2526" s="259" t="str">
        <f t="shared" si="505"/>
        <v>-</v>
      </c>
    </row>
    <row r="2527" spans="41:48">
      <c r="AO2527" s="829" t="str">
        <f t="shared" si="502"/>
        <v>No</v>
      </c>
      <c r="AP2527" s="259" t="str">
        <f t="shared" si="508"/>
        <v>blank</v>
      </c>
      <c r="AQ2527" s="547" t="str">
        <f t="shared" si="506"/>
        <v>无定金+无預留客戶</v>
      </c>
      <c r="AR2527" s="259" t="str">
        <f t="shared" si="500"/>
        <v/>
      </c>
      <c r="AS2527" s="844" t="str">
        <f t="shared" si="501"/>
        <v/>
      </c>
      <c r="AT2527" s="259" t="b">
        <f t="shared" si="503"/>
        <v>0</v>
      </c>
      <c r="AU2527" s="259" t="b">
        <f t="shared" si="504"/>
        <v>0</v>
      </c>
      <c r="AV2527" s="259" t="str">
        <f t="shared" si="505"/>
        <v>-</v>
      </c>
    </row>
    <row r="2528" spans="41:48">
      <c r="AO2528" s="829" t="str">
        <f t="shared" si="502"/>
        <v>No</v>
      </c>
      <c r="AP2528" s="259" t="str">
        <f t="shared" si="508"/>
        <v>blank</v>
      </c>
      <c r="AQ2528" s="547" t="str">
        <f t="shared" si="506"/>
        <v>无定金+无預留客戶</v>
      </c>
      <c r="AR2528" s="259" t="str">
        <f t="shared" si="500"/>
        <v/>
      </c>
      <c r="AS2528" s="844" t="str">
        <f t="shared" si="501"/>
        <v/>
      </c>
      <c r="AT2528" s="259" t="b">
        <f t="shared" si="503"/>
        <v>0</v>
      </c>
      <c r="AU2528" s="259" t="b">
        <f t="shared" si="504"/>
        <v>0</v>
      </c>
      <c r="AV2528" s="259" t="str">
        <f t="shared" si="505"/>
        <v>-</v>
      </c>
    </row>
    <row r="2529" spans="41:48">
      <c r="AO2529" s="829" t="str">
        <f t="shared" si="502"/>
        <v>No</v>
      </c>
      <c r="AP2529" s="259" t="str">
        <f t="shared" si="508"/>
        <v>blank</v>
      </c>
      <c r="AQ2529" s="547" t="str">
        <f t="shared" si="506"/>
        <v>无定金+无預留客戶</v>
      </c>
      <c r="AR2529" s="259" t="str">
        <f t="shared" si="500"/>
        <v/>
      </c>
      <c r="AS2529" s="844" t="str">
        <f t="shared" si="501"/>
        <v/>
      </c>
      <c r="AT2529" s="259" t="b">
        <f t="shared" si="503"/>
        <v>0</v>
      </c>
      <c r="AU2529" s="259" t="b">
        <f t="shared" si="504"/>
        <v>0</v>
      </c>
      <c r="AV2529" s="259" t="str">
        <f t="shared" si="505"/>
        <v>-</v>
      </c>
    </row>
    <row r="2530" spans="41:48">
      <c r="AO2530" s="829" t="str">
        <f t="shared" si="502"/>
        <v>No</v>
      </c>
      <c r="AP2530" s="259" t="str">
        <f t="shared" si="508"/>
        <v>blank</v>
      </c>
      <c r="AQ2530" s="547" t="str">
        <f t="shared" si="506"/>
        <v>无定金+无預留客戶</v>
      </c>
      <c r="AR2530" s="259" t="str">
        <f t="shared" si="500"/>
        <v/>
      </c>
      <c r="AS2530" s="844" t="str">
        <f t="shared" si="501"/>
        <v/>
      </c>
      <c r="AT2530" s="259" t="b">
        <f t="shared" si="503"/>
        <v>0</v>
      </c>
      <c r="AU2530" s="259" t="b">
        <f t="shared" si="504"/>
        <v>0</v>
      </c>
      <c r="AV2530" s="259" t="str">
        <f t="shared" si="505"/>
        <v>-</v>
      </c>
    </row>
    <row r="2531" spans="41:48">
      <c r="AO2531" s="829" t="str">
        <f t="shared" si="502"/>
        <v>No</v>
      </c>
      <c r="AP2531" s="259" t="str">
        <f t="shared" si="508"/>
        <v>blank</v>
      </c>
      <c r="AQ2531" s="547" t="str">
        <f t="shared" si="506"/>
        <v>无定金+无預留客戶</v>
      </c>
      <c r="AR2531" s="259" t="str">
        <f t="shared" si="500"/>
        <v/>
      </c>
      <c r="AS2531" s="844" t="str">
        <f t="shared" si="501"/>
        <v/>
      </c>
      <c r="AT2531" s="259" t="b">
        <f t="shared" si="503"/>
        <v>0</v>
      </c>
      <c r="AU2531" s="259" t="b">
        <f t="shared" si="504"/>
        <v>0</v>
      </c>
      <c r="AV2531" s="259" t="str">
        <f t="shared" si="505"/>
        <v>-</v>
      </c>
    </row>
    <row r="2532" spans="41:48">
      <c r="AO2532" s="829" t="str">
        <f t="shared" si="502"/>
        <v>No</v>
      </c>
      <c r="AP2532" s="259" t="str">
        <f t="shared" si="508"/>
        <v>blank</v>
      </c>
      <c r="AQ2532" s="547" t="str">
        <f t="shared" si="506"/>
        <v>无定金+无預留客戶</v>
      </c>
      <c r="AR2532" s="259" t="str">
        <f t="shared" si="500"/>
        <v/>
      </c>
      <c r="AS2532" s="844" t="str">
        <f t="shared" si="501"/>
        <v/>
      </c>
      <c r="AT2532" s="259" t="b">
        <f t="shared" si="503"/>
        <v>0</v>
      </c>
      <c r="AU2532" s="259" t="b">
        <f t="shared" si="504"/>
        <v>0</v>
      </c>
      <c r="AV2532" s="259" t="str">
        <f t="shared" si="505"/>
        <v>-</v>
      </c>
    </row>
  </sheetData>
  <sheetProtection formatCells="0" formatColumns="0" formatRows="0" insertColumns="0" insertRows="0" insertHyperlinks="0" deleteColumns="0" deleteRows="0" selectLockedCells="1" sort="0" autoFilter="0" pivotTables="0"/>
  <autoFilter ref="A1:XFA2503" xr:uid="{00000000-0001-0000-0100-000000000000}">
    <filterColumn colId="1">
      <filters blank="1">
        <filter val="TBA."/>
        <filter val="已经到货"/>
        <filter val="有交期"/>
      </filters>
    </filterColumn>
  </autoFilter>
  <sortState xmlns:xlrd2="http://schemas.microsoft.com/office/spreadsheetml/2017/richdata2" ref="A2:BR418">
    <sortCondition ref="L2:L418"/>
  </sortState>
  <phoneticPr fontId="3" type="noConversion"/>
  <conditionalFormatting sqref="V245 V274 V263:V264 V322:V324 V327:V329 V334:V335 V348:V349 V337:V338 V340 V346 V312:V317 V373 V379 V384:V387 V1:V233 V425 V391:V419 V471:V493 V514:V521 V504:V506 V500 V540:V555 V574:V576 V561:V571 V582:V601 V580 V603:V604 V606:V610 V612:V652 V657:V662 V664:V676 V678:V986 V988:V1015 V1069:V1070 V1067 V1045:V1064 V1074:V1088 V1090:V1176 V1178 V1180:V1250 V1254:V1258 V1272:V1330 V1339:V1342 V1017:V1043 V1402:V1404 V1345:V1349 V1352:V1384 V1513:V1522 V1431:V1508 V1568:V1569 V1524:V1546 V1601:V1048576">
    <cfRule type="cellIs" dxfId="2296" priority="4857" operator="equal">
      <formula>"WRONG"</formula>
    </cfRule>
  </conditionalFormatting>
  <conditionalFormatting sqref="AA89:AA101 AA136 AA103:AA113 AA116:AA134 AA150:AA168 AA175:AA180 AA186:AA188 AA79:AA86 AA204:AA218 AA245 AA183 AA274 AA263:AA264 AA222:AA230 AA195:AA201 AA220 AA192:AA193 AA138:AA147 AA322:AA324 AA329 AA348 AA334 AA340 AA317 AA319 AA379 AA384:AA387 AA5:AA77 AA391:AA419 AA479:AA480 AA514:AA521 AA504:AA506 AA500 AA540:AA555 AA574:AA576 AA561:AA571 AA582:AA601 AA580 AA603:AA604 AA606:AA610 AA612:AA652 AA657:AA662 AA664:AA676 AA678:AA986 AA988:AA1015 AA1069:AA1070 AA1067 AA1045:AA1064 AA1074:AA1088 AA1090:AA1176 AA1178 AA1180:AA1250 AA1254:AA1258 AA1272:AA1330 AA1339:AA1342 AA1017:AA1043 AA1402:AA1404 AA1345:AA1349 AA1352:AA1384 AA1518:AA1521 AA1529:AA1531 AA1534:AA1538 AA1432:AA1508 AA1568:AA1569 AA1543:AA1546 AA1601:AA1048576">
    <cfRule type="cellIs" dxfId="2295" priority="4849" operator="lessThan">
      <formula>TODAY()</formula>
    </cfRule>
    <cfRule type="cellIs" dxfId="2294" priority="4850" operator="lessThan">
      <formula>TODAY()</formula>
    </cfRule>
  </conditionalFormatting>
  <conditionalFormatting sqref="AA87:AA88">
    <cfRule type="cellIs" dxfId="2293" priority="4798" operator="lessThan">
      <formula>TODAY()</formula>
    </cfRule>
    <cfRule type="cellIs" dxfId="2292" priority="4799" operator="lessThan">
      <formula>TODAY()</formula>
    </cfRule>
  </conditionalFormatting>
  <conditionalFormatting sqref="AA102">
    <cfRule type="cellIs" dxfId="2291" priority="4796" operator="lessThan">
      <formula>TODAY()</formula>
    </cfRule>
    <cfRule type="cellIs" dxfId="2290" priority="4797" operator="lessThan">
      <formula>TODAY()</formula>
    </cfRule>
  </conditionalFormatting>
  <conditionalFormatting sqref="AA114">
    <cfRule type="cellIs" dxfId="2289" priority="4794" operator="lessThan">
      <formula>TODAY()</formula>
    </cfRule>
    <cfRule type="cellIs" dxfId="2288" priority="4795" operator="lessThan">
      <formula>TODAY()</formula>
    </cfRule>
  </conditionalFormatting>
  <conditionalFormatting sqref="AA115">
    <cfRule type="cellIs" dxfId="2287" priority="4792" operator="lessThan">
      <formula>TODAY()</formula>
    </cfRule>
    <cfRule type="cellIs" dxfId="2286" priority="4793" operator="lessThan">
      <formula>TODAY()</formula>
    </cfRule>
  </conditionalFormatting>
  <conditionalFormatting sqref="AA137 AA135">
    <cfRule type="cellIs" dxfId="2285" priority="4790" operator="lessThan">
      <formula>TODAY()</formula>
    </cfRule>
    <cfRule type="cellIs" dxfId="2284" priority="4791" operator="lessThan">
      <formula>TODAY()</formula>
    </cfRule>
  </conditionalFormatting>
  <conditionalFormatting sqref="AA184:AA185 AA148:AA149 AA169:AA172">
    <cfRule type="cellIs" dxfId="2283" priority="4788" operator="lessThan">
      <formula>TODAY()</formula>
    </cfRule>
    <cfRule type="cellIs" dxfId="2282" priority="4789" operator="lessThan">
      <formula>TODAY()</formula>
    </cfRule>
  </conditionalFormatting>
  <conditionalFormatting sqref="V254">
    <cfRule type="cellIs" dxfId="2281" priority="4759" operator="equal">
      <formula>"WRONG"</formula>
    </cfRule>
  </conditionalFormatting>
  <conditionalFormatting sqref="AA254">
    <cfRule type="cellIs" dxfId="2280" priority="4757" operator="lessThan">
      <formula>TODAY()</formula>
    </cfRule>
    <cfRule type="cellIs" dxfId="2279" priority="4758" operator="lessThan">
      <formula>TODAY()</formula>
    </cfRule>
  </conditionalFormatting>
  <conditionalFormatting sqref="V255">
    <cfRule type="cellIs" dxfId="2278" priority="4747" operator="equal">
      <formula>"WRONG"</formula>
    </cfRule>
  </conditionalFormatting>
  <conditionalFormatting sqref="AA255">
    <cfRule type="cellIs" dxfId="2277" priority="4745" operator="lessThan">
      <formula>TODAY()</formula>
    </cfRule>
    <cfRule type="cellIs" dxfId="2276" priority="4746" operator="lessThan">
      <formula>TODAY()</formula>
    </cfRule>
  </conditionalFormatting>
  <conditionalFormatting sqref="V256">
    <cfRule type="cellIs" dxfId="2275" priority="4742" operator="equal">
      <formula>"WRONG"</formula>
    </cfRule>
  </conditionalFormatting>
  <conditionalFormatting sqref="AA256">
    <cfRule type="cellIs" dxfId="2274" priority="4740" operator="lessThan">
      <formula>TODAY()</formula>
    </cfRule>
    <cfRule type="cellIs" dxfId="2273" priority="4741" operator="lessThan">
      <formula>TODAY()</formula>
    </cfRule>
  </conditionalFormatting>
  <conditionalFormatting sqref="V257">
    <cfRule type="cellIs" dxfId="2272" priority="4737" operator="equal">
      <formula>"WRONG"</formula>
    </cfRule>
  </conditionalFormatting>
  <conditionalFormatting sqref="AA257">
    <cfRule type="cellIs" dxfId="2271" priority="4735" operator="lessThan">
      <formula>TODAY()</formula>
    </cfRule>
    <cfRule type="cellIs" dxfId="2270" priority="4736" operator="lessThan">
      <formula>TODAY()</formula>
    </cfRule>
  </conditionalFormatting>
  <conditionalFormatting sqref="V258">
    <cfRule type="cellIs" dxfId="2269" priority="4732" operator="equal">
      <formula>"WRONG"</formula>
    </cfRule>
  </conditionalFormatting>
  <conditionalFormatting sqref="AA258">
    <cfRule type="cellIs" dxfId="2268" priority="4730" operator="lessThan">
      <formula>TODAY()</formula>
    </cfRule>
    <cfRule type="cellIs" dxfId="2267" priority="4731" operator="lessThan">
      <formula>TODAY()</formula>
    </cfRule>
  </conditionalFormatting>
  <conditionalFormatting sqref="V259">
    <cfRule type="cellIs" dxfId="2266" priority="4727" operator="equal">
      <formula>"WRONG"</formula>
    </cfRule>
  </conditionalFormatting>
  <conditionalFormatting sqref="AA259">
    <cfRule type="cellIs" dxfId="2265" priority="4725" operator="lessThan">
      <formula>TODAY()</formula>
    </cfRule>
    <cfRule type="cellIs" dxfId="2264" priority="4726" operator="lessThan">
      <formula>TODAY()</formula>
    </cfRule>
  </conditionalFormatting>
  <conditionalFormatting sqref="V260:V262">
    <cfRule type="cellIs" dxfId="2263" priority="4702" operator="equal">
      <formula>"WRONG"</formula>
    </cfRule>
  </conditionalFormatting>
  <conditionalFormatting sqref="AA260 AA262">
    <cfRule type="cellIs" dxfId="2262" priority="4700" operator="lessThan">
      <formula>TODAY()</formula>
    </cfRule>
    <cfRule type="cellIs" dxfId="2261" priority="4701" operator="lessThan">
      <formula>TODAY()</formula>
    </cfRule>
  </conditionalFormatting>
  <conditionalFormatting sqref="AA202:AA203 AA78">
    <cfRule type="cellIs" dxfId="2260" priority="4688" operator="lessThan">
      <formula>TODAY()</formula>
    </cfRule>
    <cfRule type="cellIs" dxfId="2259" priority="4689" operator="lessThan">
      <formula>TODAY()</formula>
    </cfRule>
  </conditionalFormatting>
  <conditionalFormatting sqref="V242">
    <cfRule type="cellIs" dxfId="2258" priority="4683" operator="equal">
      <formula>"WRONG"</formula>
    </cfRule>
  </conditionalFormatting>
  <conditionalFormatting sqref="AA242">
    <cfRule type="cellIs" dxfId="2257" priority="4681" operator="lessThan">
      <formula>TODAY()</formula>
    </cfRule>
    <cfRule type="cellIs" dxfId="2256" priority="4682" operator="lessThan">
      <formula>TODAY()</formula>
    </cfRule>
  </conditionalFormatting>
  <conditionalFormatting sqref="V243">
    <cfRule type="cellIs" dxfId="2255" priority="4678" operator="equal">
      <formula>"WRONG"</formula>
    </cfRule>
  </conditionalFormatting>
  <conditionalFormatting sqref="AA243">
    <cfRule type="cellIs" dxfId="2254" priority="4676" operator="lessThan">
      <formula>TODAY()</formula>
    </cfRule>
    <cfRule type="cellIs" dxfId="2253" priority="4677" operator="lessThan">
      <formula>TODAY()</formula>
    </cfRule>
  </conditionalFormatting>
  <conditionalFormatting sqref="V244">
    <cfRule type="cellIs" dxfId="2252" priority="4673" operator="equal">
      <formula>"WRONG"</formula>
    </cfRule>
  </conditionalFormatting>
  <conditionalFormatting sqref="AA244">
    <cfRule type="cellIs" dxfId="2251" priority="4671" operator="lessThan">
      <formula>TODAY()</formula>
    </cfRule>
    <cfRule type="cellIs" dxfId="2250" priority="4672" operator="lessThan">
      <formula>TODAY()</formula>
    </cfRule>
  </conditionalFormatting>
  <conditionalFormatting sqref="V234">
    <cfRule type="cellIs" dxfId="2249" priority="4668" operator="equal">
      <formula>"WRONG"</formula>
    </cfRule>
  </conditionalFormatting>
  <conditionalFormatting sqref="AA234">
    <cfRule type="cellIs" dxfId="2248" priority="4666" operator="lessThan">
      <formula>TODAY()</formula>
    </cfRule>
    <cfRule type="cellIs" dxfId="2247" priority="4667" operator="lessThan">
      <formula>TODAY()</formula>
    </cfRule>
  </conditionalFormatting>
  <conditionalFormatting sqref="V235:V237">
    <cfRule type="cellIs" dxfId="2246" priority="4658" operator="equal">
      <formula>"WRONG"</formula>
    </cfRule>
  </conditionalFormatting>
  <conditionalFormatting sqref="AA236:AA237">
    <cfRule type="cellIs" dxfId="2245" priority="4656" operator="lessThan">
      <formula>TODAY()</formula>
    </cfRule>
    <cfRule type="cellIs" dxfId="2244" priority="4657" operator="lessThan">
      <formula>TODAY()</formula>
    </cfRule>
  </conditionalFormatting>
  <conditionalFormatting sqref="V246">
    <cfRule type="cellIs" dxfId="2243" priority="4651" operator="equal">
      <formula>"WRONG"</formula>
    </cfRule>
  </conditionalFormatting>
  <conditionalFormatting sqref="AA246">
    <cfRule type="cellIs" dxfId="2242" priority="4649" operator="lessThan">
      <formula>TODAY()</formula>
    </cfRule>
    <cfRule type="cellIs" dxfId="2241" priority="4650" operator="lessThan">
      <formula>TODAY()</formula>
    </cfRule>
  </conditionalFormatting>
  <conditionalFormatting sqref="V247">
    <cfRule type="cellIs" dxfId="2240" priority="4646" operator="equal">
      <formula>"WRONG"</formula>
    </cfRule>
  </conditionalFormatting>
  <conditionalFormatting sqref="AA247">
    <cfRule type="cellIs" dxfId="2239" priority="4644" operator="lessThan">
      <formula>TODAY()</formula>
    </cfRule>
    <cfRule type="cellIs" dxfId="2238" priority="4645" operator="lessThan">
      <formula>TODAY()</formula>
    </cfRule>
  </conditionalFormatting>
  <conditionalFormatting sqref="V248">
    <cfRule type="cellIs" dxfId="2237" priority="4641" operator="equal">
      <formula>"WRONG"</formula>
    </cfRule>
  </conditionalFormatting>
  <conditionalFormatting sqref="AA248">
    <cfRule type="cellIs" dxfId="2236" priority="4639" operator="lessThan">
      <formula>TODAY()</formula>
    </cfRule>
    <cfRule type="cellIs" dxfId="2235" priority="4640" operator="lessThan">
      <formula>TODAY()</formula>
    </cfRule>
  </conditionalFormatting>
  <conditionalFormatting sqref="V249">
    <cfRule type="cellIs" dxfId="2234" priority="4636" operator="equal">
      <formula>"WRONG"</formula>
    </cfRule>
  </conditionalFormatting>
  <conditionalFormatting sqref="AA249">
    <cfRule type="cellIs" dxfId="2233" priority="4634" operator="lessThan">
      <formula>TODAY()</formula>
    </cfRule>
    <cfRule type="cellIs" dxfId="2232" priority="4635" operator="lessThan">
      <formula>TODAY()</formula>
    </cfRule>
  </conditionalFormatting>
  <conditionalFormatting sqref="V241">
    <cfRule type="cellIs" dxfId="2231" priority="4631" operator="equal">
      <formula>"WRONG"</formula>
    </cfRule>
  </conditionalFormatting>
  <conditionalFormatting sqref="AA241">
    <cfRule type="cellIs" dxfId="2230" priority="4629" operator="lessThan">
      <formula>TODAY()</formula>
    </cfRule>
    <cfRule type="cellIs" dxfId="2229" priority="4630" operator="lessThan">
      <formula>TODAY()</formula>
    </cfRule>
  </conditionalFormatting>
  <conditionalFormatting sqref="V238:V240">
    <cfRule type="cellIs" dxfId="2228" priority="4626" operator="equal">
      <formula>"WRONG"</formula>
    </cfRule>
  </conditionalFormatting>
  <conditionalFormatting sqref="AA238:AA240">
    <cfRule type="cellIs" dxfId="2227" priority="4624" operator="lessThan">
      <formula>TODAY()</formula>
    </cfRule>
    <cfRule type="cellIs" dxfId="2226" priority="4625" operator="lessThan">
      <formula>TODAY()</formula>
    </cfRule>
  </conditionalFormatting>
  <conditionalFormatting sqref="AA190 AA181:AA182">
    <cfRule type="cellIs" dxfId="2225" priority="4606" operator="lessThan">
      <formula>TODAY()</formula>
    </cfRule>
    <cfRule type="cellIs" dxfId="2224" priority="4607" operator="lessThan">
      <formula>TODAY()</formula>
    </cfRule>
  </conditionalFormatting>
  <conditionalFormatting sqref="V252">
    <cfRule type="cellIs" dxfId="2223" priority="4603" operator="equal">
      <formula>"WRONG"</formula>
    </cfRule>
  </conditionalFormatting>
  <conditionalFormatting sqref="AA252">
    <cfRule type="cellIs" dxfId="2222" priority="4601" operator="lessThan">
      <formula>TODAY()</formula>
    </cfRule>
    <cfRule type="cellIs" dxfId="2221" priority="4602" operator="lessThan">
      <formula>TODAY()</formula>
    </cfRule>
  </conditionalFormatting>
  <conditionalFormatting sqref="V253">
    <cfRule type="cellIs" dxfId="2220" priority="4596" operator="equal">
      <formula>"WRONG"</formula>
    </cfRule>
  </conditionalFormatting>
  <conditionalFormatting sqref="AA253">
    <cfRule type="cellIs" dxfId="2219" priority="4594" operator="lessThan">
      <formula>TODAY()</formula>
    </cfRule>
    <cfRule type="cellIs" dxfId="2218" priority="4595" operator="lessThan">
      <formula>TODAY()</formula>
    </cfRule>
  </conditionalFormatting>
  <conditionalFormatting sqref="V265">
    <cfRule type="cellIs" dxfId="2217" priority="4589" operator="equal">
      <formula>"WRONG"</formula>
    </cfRule>
  </conditionalFormatting>
  <conditionalFormatting sqref="AA265">
    <cfRule type="cellIs" dxfId="2216" priority="4587" operator="lessThan">
      <formula>TODAY()</formula>
    </cfRule>
    <cfRule type="cellIs" dxfId="2215" priority="4588" operator="lessThan">
      <formula>TODAY()</formula>
    </cfRule>
  </conditionalFormatting>
  <conditionalFormatting sqref="V266:V268">
    <cfRule type="cellIs" dxfId="2214" priority="4561" operator="equal">
      <formula>"WRONG"</formula>
    </cfRule>
  </conditionalFormatting>
  <conditionalFormatting sqref="AA266:AA268">
    <cfRule type="cellIs" dxfId="2213" priority="4559" operator="lessThan">
      <formula>TODAY()</formula>
    </cfRule>
    <cfRule type="cellIs" dxfId="2212" priority="4560" operator="lessThan">
      <formula>TODAY()</formula>
    </cfRule>
  </conditionalFormatting>
  <conditionalFormatting sqref="V269:V270">
    <cfRule type="cellIs" dxfId="2211" priority="4554" operator="equal">
      <formula>"WRONG"</formula>
    </cfRule>
  </conditionalFormatting>
  <conditionalFormatting sqref="AA269:AA270">
    <cfRule type="cellIs" dxfId="2210" priority="4552" operator="lessThan">
      <formula>TODAY()</formula>
    </cfRule>
    <cfRule type="cellIs" dxfId="2209" priority="4553" operator="lessThan">
      <formula>TODAY()</formula>
    </cfRule>
  </conditionalFormatting>
  <conditionalFormatting sqref="V271">
    <cfRule type="cellIs" dxfId="2208" priority="4547" operator="equal">
      <formula>"WRONG"</formula>
    </cfRule>
  </conditionalFormatting>
  <conditionalFormatting sqref="AA271">
    <cfRule type="cellIs" dxfId="2207" priority="4545" operator="lessThan">
      <formula>TODAY()</formula>
    </cfRule>
    <cfRule type="cellIs" dxfId="2206" priority="4546" operator="lessThan">
      <formula>TODAY()</formula>
    </cfRule>
  </conditionalFormatting>
  <conditionalFormatting sqref="V272">
    <cfRule type="cellIs" dxfId="2205" priority="4540" operator="equal">
      <formula>"WRONG"</formula>
    </cfRule>
  </conditionalFormatting>
  <conditionalFormatting sqref="AA272">
    <cfRule type="cellIs" dxfId="2204" priority="4538" operator="lessThan">
      <formula>TODAY()</formula>
    </cfRule>
    <cfRule type="cellIs" dxfId="2203" priority="4539" operator="lessThan">
      <formula>TODAY()</formula>
    </cfRule>
  </conditionalFormatting>
  <conditionalFormatting sqref="V273">
    <cfRule type="cellIs" dxfId="2202" priority="4533" operator="equal">
      <formula>"WRONG"</formula>
    </cfRule>
  </conditionalFormatting>
  <conditionalFormatting sqref="AA273">
    <cfRule type="cellIs" dxfId="2201" priority="4531" operator="lessThan">
      <formula>TODAY()</formula>
    </cfRule>
    <cfRule type="cellIs" dxfId="2200" priority="4532" operator="lessThan">
      <formula>TODAY()</formula>
    </cfRule>
  </conditionalFormatting>
  <conditionalFormatting sqref="V250">
    <cfRule type="cellIs" dxfId="2199" priority="4519" operator="equal">
      <formula>"WRONG"</formula>
    </cfRule>
  </conditionalFormatting>
  <conditionalFormatting sqref="AA250">
    <cfRule type="cellIs" dxfId="2198" priority="4517" operator="lessThan">
      <formula>TODAY()</formula>
    </cfRule>
    <cfRule type="cellIs" dxfId="2197" priority="4518" operator="lessThan">
      <formula>TODAY()</formula>
    </cfRule>
  </conditionalFormatting>
  <conditionalFormatting sqref="V251">
    <cfRule type="cellIs" dxfId="2196" priority="4512" operator="equal">
      <formula>"WRONG"</formula>
    </cfRule>
  </conditionalFormatting>
  <conditionalFormatting sqref="AA251">
    <cfRule type="cellIs" dxfId="2195" priority="4510" operator="lessThan">
      <formula>TODAY()</formula>
    </cfRule>
    <cfRule type="cellIs" dxfId="2194" priority="4511" operator="lessThan">
      <formula>TODAY()</formula>
    </cfRule>
  </conditionalFormatting>
  <conditionalFormatting sqref="AA221 AA189 AA173">
    <cfRule type="cellIs" dxfId="2193" priority="4500" operator="lessThan">
      <formula>TODAY()</formula>
    </cfRule>
    <cfRule type="cellIs" dxfId="2192" priority="4501" operator="lessThan">
      <formula>TODAY()</formula>
    </cfRule>
  </conditionalFormatting>
  <conditionalFormatting sqref="V282">
    <cfRule type="cellIs" dxfId="2191" priority="4497" operator="equal">
      <formula>"WRONG"</formula>
    </cfRule>
  </conditionalFormatting>
  <conditionalFormatting sqref="AA282">
    <cfRule type="cellIs" dxfId="2190" priority="4495" operator="lessThan">
      <formula>TODAY()</formula>
    </cfRule>
    <cfRule type="cellIs" dxfId="2189" priority="4496" operator="lessThan">
      <formula>TODAY()</formula>
    </cfRule>
  </conditionalFormatting>
  <conditionalFormatting sqref="V281">
    <cfRule type="cellIs" dxfId="2188" priority="4492" operator="equal">
      <formula>"WRONG"</formula>
    </cfRule>
  </conditionalFormatting>
  <conditionalFormatting sqref="AA281">
    <cfRule type="cellIs" dxfId="2187" priority="4490" operator="lessThan">
      <formula>TODAY()</formula>
    </cfRule>
    <cfRule type="cellIs" dxfId="2186" priority="4491" operator="lessThan">
      <formula>TODAY()</formula>
    </cfRule>
  </conditionalFormatting>
  <conditionalFormatting sqref="V298">
    <cfRule type="cellIs" dxfId="2185" priority="4486" operator="equal">
      <formula>"WRONG"</formula>
    </cfRule>
  </conditionalFormatting>
  <conditionalFormatting sqref="AA298">
    <cfRule type="cellIs" dxfId="2184" priority="4484" operator="lessThan">
      <formula>TODAY()</formula>
    </cfRule>
    <cfRule type="cellIs" dxfId="2183" priority="4485" operator="lessThan">
      <formula>TODAY()</formula>
    </cfRule>
  </conditionalFormatting>
  <conditionalFormatting sqref="V299:V301">
    <cfRule type="cellIs" dxfId="2182" priority="4483" operator="equal">
      <formula>"WRONG"</formula>
    </cfRule>
  </conditionalFormatting>
  <conditionalFormatting sqref="AA299:AA301">
    <cfRule type="cellIs" dxfId="2181" priority="4481" operator="lessThan">
      <formula>TODAY()</formula>
    </cfRule>
    <cfRule type="cellIs" dxfId="2180" priority="4482" operator="lessThan">
      <formula>TODAY()</formula>
    </cfRule>
  </conditionalFormatting>
  <conditionalFormatting sqref="V302:V303">
    <cfRule type="cellIs" dxfId="2179" priority="4480" operator="equal">
      <formula>"WRONG"</formula>
    </cfRule>
  </conditionalFormatting>
  <conditionalFormatting sqref="AA302:AA303">
    <cfRule type="cellIs" dxfId="2178" priority="4478" operator="lessThan">
      <formula>TODAY()</formula>
    </cfRule>
    <cfRule type="cellIs" dxfId="2177" priority="4479" operator="lessThan">
      <formula>TODAY()</formula>
    </cfRule>
  </conditionalFormatting>
  <conditionalFormatting sqref="V277">
    <cfRule type="cellIs" dxfId="2176" priority="4477" operator="equal">
      <formula>"WRONG"</formula>
    </cfRule>
  </conditionalFormatting>
  <conditionalFormatting sqref="AA277">
    <cfRule type="cellIs" dxfId="2175" priority="4475" operator="lessThan">
      <formula>TODAY()</formula>
    </cfRule>
    <cfRule type="cellIs" dxfId="2174" priority="4476" operator="lessThan">
      <formula>TODAY()</formula>
    </cfRule>
  </conditionalFormatting>
  <conditionalFormatting sqref="V278">
    <cfRule type="cellIs" dxfId="2173" priority="4474" operator="equal">
      <formula>"WRONG"</formula>
    </cfRule>
  </conditionalFormatting>
  <conditionalFormatting sqref="AA278">
    <cfRule type="cellIs" dxfId="2172" priority="4472" operator="lessThan">
      <formula>TODAY()</formula>
    </cfRule>
    <cfRule type="cellIs" dxfId="2171" priority="4473" operator="lessThan">
      <formula>TODAY()</formula>
    </cfRule>
  </conditionalFormatting>
  <conditionalFormatting sqref="V279">
    <cfRule type="cellIs" dxfId="2170" priority="4471" operator="equal">
      <formula>"WRONG"</formula>
    </cfRule>
  </conditionalFormatting>
  <conditionalFormatting sqref="AA279">
    <cfRule type="cellIs" dxfId="2169" priority="4469" operator="lessThan">
      <formula>TODAY()</formula>
    </cfRule>
    <cfRule type="cellIs" dxfId="2168" priority="4470" operator="lessThan">
      <formula>TODAY()</formula>
    </cfRule>
  </conditionalFormatting>
  <conditionalFormatting sqref="V280">
    <cfRule type="cellIs" dxfId="2167" priority="4468" operator="equal">
      <formula>"WRONG"</formula>
    </cfRule>
  </conditionalFormatting>
  <conditionalFormatting sqref="AA280">
    <cfRule type="cellIs" dxfId="2166" priority="4466" operator="lessThan">
      <formula>TODAY()</formula>
    </cfRule>
    <cfRule type="cellIs" dxfId="2165" priority="4467" operator="lessThan">
      <formula>TODAY()</formula>
    </cfRule>
  </conditionalFormatting>
  <conditionalFormatting sqref="V285">
    <cfRule type="cellIs" dxfId="2164" priority="4461" operator="equal">
      <formula>"WRONG"</formula>
    </cfRule>
  </conditionalFormatting>
  <conditionalFormatting sqref="AA285">
    <cfRule type="cellIs" dxfId="2163" priority="4459" operator="lessThan">
      <formula>TODAY()</formula>
    </cfRule>
    <cfRule type="cellIs" dxfId="2162" priority="4460" operator="lessThan">
      <formula>TODAY()</formula>
    </cfRule>
  </conditionalFormatting>
  <conditionalFormatting sqref="V297">
    <cfRule type="cellIs" dxfId="2161" priority="4458" operator="equal">
      <formula>"WRONG"</formula>
    </cfRule>
  </conditionalFormatting>
  <conditionalFormatting sqref="AA297">
    <cfRule type="cellIs" dxfId="2160" priority="4456" operator="lessThan">
      <formula>TODAY()</formula>
    </cfRule>
    <cfRule type="cellIs" dxfId="2159" priority="4457" operator="lessThan">
      <formula>TODAY()</formula>
    </cfRule>
  </conditionalFormatting>
  <conditionalFormatting sqref="V283">
    <cfRule type="cellIs" dxfId="2158" priority="4455" operator="equal">
      <formula>"WRONG"</formula>
    </cfRule>
  </conditionalFormatting>
  <conditionalFormatting sqref="AA283">
    <cfRule type="cellIs" dxfId="2157" priority="4453" operator="lessThan">
      <formula>TODAY()</formula>
    </cfRule>
    <cfRule type="cellIs" dxfId="2156" priority="4454" operator="lessThan">
      <formula>TODAY()</formula>
    </cfRule>
  </conditionalFormatting>
  <conditionalFormatting sqref="V284">
    <cfRule type="cellIs" dxfId="2155" priority="4452" operator="equal">
      <formula>"WRONG"</formula>
    </cfRule>
  </conditionalFormatting>
  <conditionalFormatting sqref="AA284">
    <cfRule type="cellIs" dxfId="2154" priority="4450" operator="lessThan">
      <formula>TODAY()</formula>
    </cfRule>
    <cfRule type="cellIs" dxfId="2153" priority="4451" operator="lessThan">
      <formula>TODAY()</formula>
    </cfRule>
  </conditionalFormatting>
  <conditionalFormatting sqref="V296">
    <cfRule type="cellIs" dxfId="2152" priority="4444" operator="equal">
      <formula>"WRONG"</formula>
    </cfRule>
  </conditionalFormatting>
  <conditionalFormatting sqref="AA296">
    <cfRule type="cellIs" dxfId="2151" priority="4442" operator="lessThan">
      <formula>TODAY()</formula>
    </cfRule>
    <cfRule type="cellIs" dxfId="2150" priority="4443" operator="lessThan">
      <formula>TODAY()</formula>
    </cfRule>
  </conditionalFormatting>
  <conditionalFormatting sqref="V293">
    <cfRule type="cellIs" dxfId="2149" priority="4441" operator="equal">
      <formula>"WRONG"</formula>
    </cfRule>
  </conditionalFormatting>
  <conditionalFormatting sqref="AA293">
    <cfRule type="cellIs" dxfId="2148" priority="4439" operator="lessThan">
      <formula>TODAY()</formula>
    </cfRule>
    <cfRule type="cellIs" dxfId="2147" priority="4440" operator="lessThan">
      <formula>TODAY()</formula>
    </cfRule>
  </conditionalFormatting>
  <conditionalFormatting sqref="V294">
    <cfRule type="cellIs" dxfId="2146" priority="4438" operator="equal">
      <formula>"WRONG"</formula>
    </cfRule>
  </conditionalFormatting>
  <conditionalFormatting sqref="AA294">
    <cfRule type="cellIs" dxfId="2145" priority="4436" operator="lessThan">
      <formula>TODAY()</formula>
    </cfRule>
    <cfRule type="cellIs" dxfId="2144" priority="4437" operator="lessThan">
      <formula>TODAY()</formula>
    </cfRule>
  </conditionalFormatting>
  <conditionalFormatting sqref="V295">
    <cfRule type="cellIs" dxfId="2143" priority="4435" operator="equal">
      <formula>"WRONG"</formula>
    </cfRule>
  </conditionalFormatting>
  <conditionalFormatting sqref="AA295">
    <cfRule type="cellIs" dxfId="2142" priority="4433" operator="lessThan">
      <formula>TODAY()</formula>
    </cfRule>
    <cfRule type="cellIs" dxfId="2141" priority="4434" operator="lessThan">
      <formula>TODAY()</formula>
    </cfRule>
  </conditionalFormatting>
  <conditionalFormatting sqref="V288">
    <cfRule type="cellIs" dxfId="2140" priority="4427" operator="equal">
      <formula>"WRONG"</formula>
    </cfRule>
  </conditionalFormatting>
  <conditionalFormatting sqref="AA288">
    <cfRule type="cellIs" dxfId="2139" priority="4425" operator="lessThan">
      <formula>TODAY()</formula>
    </cfRule>
    <cfRule type="cellIs" dxfId="2138" priority="4426" operator="lessThan">
      <formula>TODAY()</formula>
    </cfRule>
  </conditionalFormatting>
  <conditionalFormatting sqref="V286">
    <cfRule type="cellIs" dxfId="2137" priority="4424" operator="equal">
      <formula>"WRONG"</formula>
    </cfRule>
  </conditionalFormatting>
  <conditionalFormatting sqref="AA286">
    <cfRule type="cellIs" dxfId="2136" priority="4422" operator="lessThan">
      <formula>TODAY()</formula>
    </cfRule>
    <cfRule type="cellIs" dxfId="2135" priority="4423" operator="lessThan">
      <formula>TODAY()</formula>
    </cfRule>
  </conditionalFormatting>
  <conditionalFormatting sqref="V287">
    <cfRule type="cellIs" dxfId="2134" priority="4421" operator="equal">
      <formula>"WRONG"</formula>
    </cfRule>
  </conditionalFormatting>
  <conditionalFormatting sqref="AA287">
    <cfRule type="cellIs" dxfId="2133" priority="4419" operator="lessThan">
      <formula>TODAY()</formula>
    </cfRule>
    <cfRule type="cellIs" dxfId="2132" priority="4420" operator="lessThan">
      <formula>TODAY()</formula>
    </cfRule>
  </conditionalFormatting>
  <conditionalFormatting sqref="V307">
    <cfRule type="cellIs" dxfId="2131" priority="4413" operator="equal">
      <formula>"WRONG"</formula>
    </cfRule>
  </conditionalFormatting>
  <conditionalFormatting sqref="AA307">
    <cfRule type="cellIs" dxfId="2130" priority="4411" operator="lessThan">
      <formula>TODAY()</formula>
    </cfRule>
    <cfRule type="cellIs" dxfId="2129" priority="4412" operator="lessThan">
      <formula>TODAY()</formula>
    </cfRule>
  </conditionalFormatting>
  <conditionalFormatting sqref="V304">
    <cfRule type="cellIs" dxfId="2128" priority="4410" operator="equal">
      <formula>"WRONG"</formula>
    </cfRule>
  </conditionalFormatting>
  <conditionalFormatting sqref="AA304">
    <cfRule type="cellIs" dxfId="2127" priority="4408" operator="lessThan">
      <formula>TODAY()</formula>
    </cfRule>
    <cfRule type="cellIs" dxfId="2126" priority="4409" operator="lessThan">
      <formula>TODAY()</formula>
    </cfRule>
  </conditionalFormatting>
  <conditionalFormatting sqref="V305">
    <cfRule type="cellIs" dxfId="2125" priority="4407" operator="equal">
      <formula>"WRONG"</formula>
    </cfRule>
  </conditionalFormatting>
  <conditionalFormatting sqref="AA305">
    <cfRule type="cellIs" dxfId="2124" priority="4405" operator="lessThan">
      <formula>TODAY()</formula>
    </cfRule>
    <cfRule type="cellIs" dxfId="2123" priority="4406" operator="lessThan">
      <formula>TODAY()</formula>
    </cfRule>
  </conditionalFormatting>
  <conditionalFormatting sqref="V306">
    <cfRule type="cellIs" dxfId="2122" priority="4404" operator="equal">
      <formula>"WRONG"</formula>
    </cfRule>
  </conditionalFormatting>
  <conditionalFormatting sqref="AA306">
    <cfRule type="cellIs" dxfId="2121" priority="4402" operator="lessThan">
      <formula>TODAY()</formula>
    </cfRule>
    <cfRule type="cellIs" dxfId="2120" priority="4403" operator="lessThan">
      <formula>TODAY()</formula>
    </cfRule>
  </conditionalFormatting>
  <conditionalFormatting sqref="V275">
    <cfRule type="cellIs" dxfId="2119" priority="4397" operator="equal">
      <formula>"WRONG"</formula>
    </cfRule>
  </conditionalFormatting>
  <conditionalFormatting sqref="AA275">
    <cfRule type="cellIs" dxfId="2118" priority="4395" operator="lessThan">
      <formula>TODAY()</formula>
    </cfRule>
    <cfRule type="cellIs" dxfId="2117" priority="4396" operator="lessThan">
      <formula>TODAY()</formula>
    </cfRule>
  </conditionalFormatting>
  <conditionalFormatting sqref="V276">
    <cfRule type="cellIs" dxfId="2116" priority="4394" operator="equal">
      <formula>"WRONG"</formula>
    </cfRule>
  </conditionalFormatting>
  <conditionalFormatting sqref="AA276">
    <cfRule type="cellIs" dxfId="2115" priority="4392" operator="lessThan">
      <formula>TODAY()</formula>
    </cfRule>
    <cfRule type="cellIs" dxfId="2114" priority="4393" operator="lessThan">
      <formula>TODAY()</formula>
    </cfRule>
  </conditionalFormatting>
  <conditionalFormatting sqref="AA261 AA235 AA231:AA233 AA219 AA194">
    <cfRule type="cellIs" dxfId="2113" priority="4390" operator="lessThan">
      <formula>TODAY()</formula>
    </cfRule>
    <cfRule type="cellIs" dxfId="2112" priority="4391" operator="lessThan">
      <formula>TODAY()</formula>
    </cfRule>
  </conditionalFormatting>
  <conditionalFormatting sqref="V308">
    <cfRule type="cellIs" dxfId="2111" priority="4385" operator="equal">
      <formula>"WRONG"</formula>
    </cfRule>
  </conditionalFormatting>
  <conditionalFormatting sqref="AA308">
    <cfRule type="cellIs" dxfId="2110" priority="4383" operator="lessThan">
      <formula>TODAY()</formula>
    </cfRule>
    <cfRule type="cellIs" dxfId="2109" priority="4384" operator="lessThan">
      <formula>TODAY()</formula>
    </cfRule>
  </conditionalFormatting>
  <conditionalFormatting sqref="V309:V311">
    <cfRule type="cellIs" dxfId="2108" priority="4382" operator="equal">
      <formula>"WRONG"</formula>
    </cfRule>
  </conditionalFormatting>
  <conditionalFormatting sqref="AA309:AA311">
    <cfRule type="cellIs" dxfId="2107" priority="4380" operator="lessThan">
      <formula>TODAY()</formula>
    </cfRule>
    <cfRule type="cellIs" dxfId="2106" priority="4381" operator="lessThan">
      <formula>TODAY()</formula>
    </cfRule>
  </conditionalFormatting>
  <conditionalFormatting sqref="AA373 AA314:AA316">
    <cfRule type="cellIs" dxfId="2105" priority="4103" operator="lessThan">
      <formula>TODAY()</formula>
    </cfRule>
    <cfRule type="cellIs" dxfId="2104" priority="4104" operator="lessThan">
      <formula>TODAY()</formula>
    </cfRule>
  </conditionalFormatting>
  <conditionalFormatting sqref="V290">
    <cfRule type="cellIs" dxfId="2103" priority="4095" operator="equal">
      <formula>"WRONG"</formula>
    </cfRule>
  </conditionalFormatting>
  <conditionalFormatting sqref="AA290">
    <cfRule type="cellIs" dxfId="2102" priority="4093" operator="lessThan">
      <formula>TODAY()</formula>
    </cfRule>
    <cfRule type="cellIs" dxfId="2101" priority="4094" operator="lessThan">
      <formula>TODAY()</formula>
    </cfRule>
  </conditionalFormatting>
  <conditionalFormatting sqref="V291">
    <cfRule type="cellIs" dxfId="2100" priority="4090" operator="equal">
      <formula>"WRONG"</formula>
    </cfRule>
  </conditionalFormatting>
  <conditionalFormatting sqref="AA291">
    <cfRule type="cellIs" dxfId="2099" priority="4088" operator="lessThan">
      <formula>TODAY()</formula>
    </cfRule>
    <cfRule type="cellIs" dxfId="2098" priority="4089" operator="lessThan">
      <formula>TODAY()</formula>
    </cfRule>
  </conditionalFormatting>
  <conditionalFormatting sqref="V292">
    <cfRule type="cellIs" dxfId="2097" priority="4085" operator="equal">
      <formula>"WRONG"</formula>
    </cfRule>
  </conditionalFormatting>
  <conditionalFormatting sqref="AA292">
    <cfRule type="cellIs" dxfId="2096" priority="4083" operator="lessThan">
      <formula>TODAY()</formula>
    </cfRule>
    <cfRule type="cellIs" dxfId="2095" priority="4084" operator="lessThan">
      <formula>TODAY()</formula>
    </cfRule>
  </conditionalFormatting>
  <conditionalFormatting sqref="AA312:AA313">
    <cfRule type="cellIs" dxfId="2094" priority="4078" operator="lessThan">
      <formula>TODAY()</formula>
    </cfRule>
    <cfRule type="cellIs" dxfId="2093" priority="4079" operator="lessThan">
      <formula>TODAY()</formula>
    </cfRule>
  </conditionalFormatting>
  <conditionalFormatting sqref="AA321">
    <cfRule type="cellIs" dxfId="2092" priority="4073" operator="lessThan">
      <formula>TODAY()</formula>
    </cfRule>
    <cfRule type="cellIs" dxfId="2091" priority="4074" operator="lessThan">
      <formula>TODAY()</formula>
    </cfRule>
  </conditionalFormatting>
  <conditionalFormatting sqref="V318">
    <cfRule type="cellIs" dxfId="2090" priority="4072" operator="equal">
      <formula>"WRONG"</formula>
    </cfRule>
  </conditionalFormatting>
  <conditionalFormatting sqref="AA318">
    <cfRule type="cellIs" dxfId="2089" priority="4070" operator="lessThan">
      <formula>TODAY()</formula>
    </cfRule>
    <cfRule type="cellIs" dxfId="2088" priority="4071" operator="lessThan">
      <formula>TODAY()</formula>
    </cfRule>
  </conditionalFormatting>
  <conditionalFormatting sqref="V319:V321">
    <cfRule type="cellIs" dxfId="2087" priority="4069" operator="equal">
      <formula>"WRONG"</formula>
    </cfRule>
  </conditionalFormatting>
  <conditionalFormatting sqref="AA320">
    <cfRule type="cellIs" dxfId="2086" priority="4064" operator="lessThan">
      <formula>TODAY()</formula>
    </cfRule>
    <cfRule type="cellIs" dxfId="2085" priority="4065" operator="lessThan">
      <formula>TODAY()</formula>
    </cfRule>
  </conditionalFormatting>
  <conditionalFormatting sqref="AA327:AA328">
    <cfRule type="cellIs" dxfId="2084" priority="4057" operator="lessThan">
      <formula>TODAY()</formula>
    </cfRule>
    <cfRule type="cellIs" dxfId="2083" priority="4058" operator="lessThan">
      <formula>TODAY()</formula>
    </cfRule>
  </conditionalFormatting>
  <conditionalFormatting sqref="V325:V326">
    <cfRule type="cellIs" dxfId="2082" priority="4054" operator="equal">
      <formula>"WRONG"</formula>
    </cfRule>
  </conditionalFormatting>
  <conditionalFormatting sqref="AA325:AA326">
    <cfRule type="cellIs" dxfId="2081" priority="4052" operator="lessThan">
      <formula>TODAY()</formula>
    </cfRule>
    <cfRule type="cellIs" dxfId="2080" priority="4053" operator="lessThan">
      <formula>TODAY()</formula>
    </cfRule>
  </conditionalFormatting>
  <conditionalFormatting sqref="AA346">
    <cfRule type="cellIs" dxfId="2079" priority="4047" operator="lessThan">
      <formula>TODAY()</formula>
    </cfRule>
    <cfRule type="cellIs" dxfId="2078" priority="4048" operator="lessThan">
      <formula>TODAY()</formula>
    </cfRule>
  </conditionalFormatting>
  <conditionalFormatting sqref="V339">
    <cfRule type="cellIs" dxfId="2077" priority="4044" operator="equal">
      <formula>"WRONG"</formula>
    </cfRule>
  </conditionalFormatting>
  <conditionalFormatting sqref="AA339">
    <cfRule type="cellIs" dxfId="2076" priority="4042" operator="lessThan">
      <formula>TODAY()</formula>
    </cfRule>
    <cfRule type="cellIs" dxfId="2075" priority="4043" operator="lessThan">
      <formula>TODAY()</formula>
    </cfRule>
  </conditionalFormatting>
  <conditionalFormatting sqref="V331 V333">
    <cfRule type="cellIs" dxfId="2074" priority="4039" operator="equal">
      <formula>"WRONG"</formula>
    </cfRule>
  </conditionalFormatting>
  <conditionalFormatting sqref="AA333">
    <cfRule type="cellIs" dxfId="2073" priority="4037" operator="lessThan">
      <formula>TODAY()</formula>
    </cfRule>
    <cfRule type="cellIs" dxfId="2072" priority="4038" operator="lessThan">
      <formula>TODAY()</formula>
    </cfRule>
  </conditionalFormatting>
  <conditionalFormatting sqref="AA331">
    <cfRule type="cellIs" dxfId="2071" priority="4035" operator="lessThan">
      <formula>TODAY()</formula>
    </cfRule>
    <cfRule type="cellIs" dxfId="2070" priority="4036" operator="lessThan">
      <formula>TODAY()</formula>
    </cfRule>
  </conditionalFormatting>
  <conditionalFormatting sqref="V330">
    <cfRule type="cellIs" dxfId="2069" priority="4034" operator="equal">
      <formula>"WRONG"</formula>
    </cfRule>
  </conditionalFormatting>
  <conditionalFormatting sqref="AA330">
    <cfRule type="cellIs" dxfId="2068" priority="4032" operator="lessThan">
      <formula>TODAY()</formula>
    </cfRule>
    <cfRule type="cellIs" dxfId="2067" priority="4033" operator="lessThan">
      <formula>TODAY()</formula>
    </cfRule>
  </conditionalFormatting>
  <conditionalFormatting sqref="AA335">
    <cfRule type="cellIs" dxfId="2066" priority="4027" operator="lessThan">
      <formula>TODAY()</formula>
    </cfRule>
    <cfRule type="cellIs" dxfId="2065" priority="4028" operator="lessThan">
      <formula>TODAY()</formula>
    </cfRule>
  </conditionalFormatting>
  <conditionalFormatting sqref="V347">
    <cfRule type="cellIs" dxfId="2064" priority="4024" operator="equal">
      <formula>"WRONG"</formula>
    </cfRule>
  </conditionalFormatting>
  <conditionalFormatting sqref="AA347">
    <cfRule type="cellIs" dxfId="2063" priority="4022" operator="lessThan">
      <formula>TODAY()</formula>
    </cfRule>
    <cfRule type="cellIs" dxfId="2062" priority="4023" operator="lessThan">
      <formula>TODAY()</formula>
    </cfRule>
  </conditionalFormatting>
  <conditionalFormatting sqref="V342:V344">
    <cfRule type="cellIs" dxfId="2061" priority="4021" operator="equal">
      <formula>"WRONG"</formula>
    </cfRule>
  </conditionalFormatting>
  <conditionalFormatting sqref="AA344">
    <cfRule type="cellIs" dxfId="2060" priority="4019" operator="lessThan">
      <formula>TODAY()</formula>
    </cfRule>
    <cfRule type="cellIs" dxfId="2059" priority="4020" operator="lessThan">
      <formula>TODAY()</formula>
    </cfRule>
  </conditionalFormatting>
  <conditionalFormatting sqref="AA342:AA343">
    <cfRule type="cellIs" dxfId="2058" priority="4017" operator="lessThan">
      <formula>TODAY()</formula>
    </cfRule>
    <cfRule type="cellIs" dxfId="2057" priority="4018" operator="lessThan">
      <formula>TODAY()</formula>
    </cfRule>
  </conditionalFormatting>
  <conditionalFormatting sqref="V341">
    <cfRule type="cellIs" dxfId="2056" priority="4016" operator="equal">
      <formula>"WRONG"</formula>
    </cfRule>
  </conditionalFormatting>
  <conditionalFormatting sqref="AA341">
    <cfRule type="cellIs" dxfId="2055" priority="4014" operator="lessThan">
      <formula>TODAY()</formula>
    </cfRule>
    <cfRule type="cellIs" dxfId="2054" priority="4015" operator="lessThan">
      <formula>TODAY()</formula>
    </cfRule>
  </conditionalFormatting>
  <conditionalFormatting sqref="AA349">
    <cfRule type="cellIs" dxfId="2053" priority="4009" operator="lessThan">
      <formula>TODAY()</formula>
    </cfRule>
    <cfRule type="cellIs" dxfId="2052" priority="4010" operator="lessThan">
      <formula>TODAY()</formula>
    </cfRule>
  </conditionalFormatting>
  <conditionalFormatting sqref="AA337:AA338">
    <cfRule type="cellIs" dxfId="2051" priority="4007" operator="lessThan">
      <formula>TODAY()</formula>
    </cfRule>
    <cfRule type="cellIs" dxfId="2050" priority="4008" operator="lessThan">
      <formula>TODAY()</formula>
    </cfRule>
  </conditionalFormatting>
  <conditionalFormatting sqref="V336">
    <cfRule type="cellIs" dxfId="2049" priority="4006" operator="equal">
      <formula>"WRONG"</formula>
    </cfRule>
  </conditionalFormatting>
  <conditionalFormatting sqref="AA336">
    <cfRule type="cellIs" dxfId="2048" priority="4004" operator="lessThan">
      <formula>TODAY()</formula>
    </cfRule>
    <cfRule type="cellIs" dxfId="2047" priority="4005" operator="lessThan">
      <formula>TODAY()</formula>
    </cfRule>
  </conditionalFormatting>
  <conditionalFormatting sqref="V351:V353">
    <cfRule type="cellIs" dxfId="2046" priority="4003" operator="equal">
      <formula>"WRONG"</formula>
    </cfRule>
  </conditionalFormatting>
  <conditionalFormatting sqref="AA353">
    <cfRule type="cellIs" dxfId="2045" priority="4001" operator="lessThan">
      <formula>TODAY()</formula>
    </cfRule>
    <cfRule type="cellIs" dxfId="2044" priority="4002" operator="lessThan">
      <formula>TODAY()</formula>
    </cfRule>
  </conditionalFormatting>
  <conditionalFormatting sqref="AA351:AA352">
    <cfRule type="cellIs" dxfId="2043" priority="3999" operator="lessThan">
      <formula>TODAY()</formula>
    </cfRule>
    <cfRule type="cellIs" dxfId="2042" priority="4000" operator="lessThan">
      <formula>TODAY()</formula>
    </cfRule>
  </conditionalFormatting>
  <conditionalFormatting sqref="V350">
    <cfRule type="cellIs" dxfId="2041" priority="3998" operator="equal">
      <formula>"WRONG"</formula>
    </cfRule>
  </conditionalFormatting>
  <conditionalFormatting sqref="AA350">
    <cfRule type="cellIs" dxfId="2040" priority="3996" operator="lessThan">
      <formula>TODAY()</formula>
    </cfRule>
    <cfRule type="cellIs" dxfId="2039" priority="3997" operator="lessThan">
      <formula>TODAY()</formula>
    </cfRule>
  </conditionalFormatting>
  <conditionalFormatting sqref="V354">
    <cfRule type="cellIs" dxfId="2038" priority="3993" operator="equal">
      <formula>"WRONG"</formula>
    </cfRule>
  </conditionalFormatting>
  <conditionalFormatting sqref="AA354">
    <cfRule type="cellIs" dxfId="2037" priority="3989" operator="lessThan">
      <formula>TODAY()</formula>
    </cfRule>
    <cfRule type="cellIs" dxfId="2036" priority="3990" operator="lessThan">
      <formula>TODAY()</formula>
    </cfRule>
  </conditionalFormatting>
  <conditionalFormatting sqref="V355:V359">
    <cfRule type="cellIs" dxfId="2035" priority="3978" operator="equal">
      <formula>"WRONG"</formula>
    </cfRule>
  </conditionalFormatting>
  <conditionalFormatting sqref="AA355:AA359">
    <cfRule type="cellIs" dxfId="2034" priority="3976" operator="lessThan">
      <formula>TODAY()</formula>
    </cfRule>
    <cfRule type="cellIs" dxfId="2033" priority="3977" operator="lessThan">
      <formula>TODAY()</formula>
    </cfRule>
  </conditionalFormatting>
  <conditionalFormatting sqref="V360:V362">
    <cfRule type="cellIs" dxfId="2032" priority="3973" operator="equal">
      <formula>"WRONG"</formula>
    </cfRule>
  </conditionalFormatting>
  <conditionalFormatting sqref="AA360:AA362">
    <cfRule type="cellIs" dxfId="2031" priority="3971" operator="lessThan">
      <formula>TODAY()</formula>
    </cfRule>
    <cfRule type="cellIs" dxfId="2030" priority="3972" operator="lessThan">
      <formula>TODAY()</formula>
    </cfRule>
  </conditionalFormatting>
  <conditionalFormatting sqref="AA174">
    <cfRule type="cellIs" dxfId="2029" priority="3969" operator="lessThan">
      <formula>TODAY()</formula>
    </cfRule>
    <cfRule type="cellIs" dxfId="2028" priority="3970" operator="lessThan">
      <formula>TODAY()</formula>
    </cfRule>
  </conditionalFormatting>
  <conditionalFormatting sqref="V363">
    <cfRule type="cellIs" dxfId="2027" priority="3966" operator="equal">
      <formula>"WRONG"</formula>
    </cfRule>
  </conditionalFormatting>
  <conditionalFormatting sqref="AA363">
    <cfRule type="cellIs" dxfId="2026" priority="3964" operator="lessThan">
      <formula>TODAY()</formula>
    </cfRule>
    <cfRule type="cellIs" dxfId="2025" priority="3965" operator="lessThan">
      <formula>TODAY()</formula>
    </cfRule>
  </conditionalFormatting>
  <conditionalFormatting sqref="V364">
    <cfRule type="cellIs" dxfId="2024" priority="3963" operator="equal">
      <formula>"WRONG"</formula>
    </cfRule>
  </conditionalFormatting>
  <conditionalFormatting sqref="AA364">
    <cfRule type="cellIs" dxfId="2023" priority="3961" operator="lessThan">
      <formula>TODAY()</formula>
    </cfRule>
    <cfRule type="cellIs" dxfId="2022" priority="3962" operator="lessThan">
      <formula>TODAY()</formula>
    </cfRule>
  </conditionalFormatting>
  <conditionalFormatting sqref="V365">
    <cfRule type="cellIs" dxfId="2021" priority="3958" operator="equal">
      <formula>"WRONG"</formula>
    </cfRule>
  </conditionalFormatting>
  <conditionalFormatting sqref="AA365">
    <cfRule type="cellIs" dxfId="2020" priority="3956" operator="lessThan">
      <formula>TODAY()</formula>
    </cfRule>
    <cfRule type="cellIs" dxfId="2019" priority="3957" operator="lessThan">
      <formula>TODAY()</formula>
    </cfRule>
  </conditionalFormatting>
  <conditionalFormatting sqref="V366">
    <cfRule type="cellIs" dxfId="2018" priority="3955" operator="equal">
      <formula>"WRONG"</formula>
    </cfRule>
  </conditionalFormatting>
  <conditionalFormatting sqref="AA366">
    <cfRule type="cellIs" dxfId="2017" priority="3953" operator="lessThan">
      <formula>TODAY()</formula>
    </cfRule>
    <cfRule type="cellIs" dxfId="2016" priority="3954" operator="lessThan">
      <formula>TODAY()</formula>
    </cfRule>
  </conditionalFormatting>
  <conditionalFormatting sqref="V367">
    <cfRule type="cellIs" dxfId="2015" priority="3950" operator="equal">
      <formula>"WRONG"</formula>
    </cfRule>
  </conditionalFormatting>
  <conditionalFormatting sqref="AA367">
    <cfRule type="cellIs" dxfId="2014" priority="3948" operator="lessThan">
      <formula>TODAY()</formula>
    </cfRule>
    <cfRule type="cellIs" dxfId="2013" priority="3949" operator="lessThan">
      <formula>TODAY()</formula>
    </cfRule>
  </conditionalFormatting>
  <conditionalFormatting sqref="V368">
    <cfRule type="cellIs" dxfId="2012" priority="3947" operator="equal">
      <formula>"WRONG"</formula>
    </cfRule>
  </conditionalFormatting>
  <conditionalFormatting sqref="AA368">
    <cfRule type="cellIs" dxfId="2011" priority="3945" operator="lessThan">
      <formula>TODAY()</formula>
    </cfRule>
    <cfRule type="cellIs" dxfId="2010" priority="3946" operator="lessThan">
      <formula>TODAY()</formula>
    </cfRule>
  </conditionalFormatting>
  <conditionalFormatting sqref="V369">
    <cfRule type="cellIs" dxfId="2009" priority="3942" operator="equal">
      <formula>"WRONG"</formula>
    </cfRule>
  </conditionalFormatting>
  <conditionalFormatting sqref="AA369">
    <cfRule type="cellIs" dxfId="2008" priority="3940" operator="lessThan">
      <formula>TODAY()</formula>
    </cfRule>
    <cfRule type="cellIs" dxfId="2007" priority="3941" operator="lessThan">
      <formula>TODAY()</formula>
    </cfRule>
  </conditionalFormatting>
  <conditionalFormatting sqref="V370">
    <cfRule type="cellIs" dxfId="2006" priority="3939" operator="equal">
      <formula>"WRONG"</formula>
    </cfRule>
  </conditionalFormatting>
  <conditionalFormatting sqref="AA370">
    <cfRule type="cellIs" dxfId="2005" priority="3937" operator="lessThan">
      <formula>TODAY()</formula>
    </cfRule>
    <cfRule type="cellIs" dxfId="2004" priority="3938" operator="lessThan">
      <formula>TODAY()</formula>
    </cfRule>
  </conditionalFormatting>
  <conditionalFormatting sqref="V371">
    <cfRule type="cellIs" dxfId="2003" priority="3934" operator="equal">
      <formula>"WRONG"</formula>
    </cfRule>
  </conditionalFormatting>
  <conditionalFormatting sqref="AA371">
    <cfRule type="cellIs" dxfId="2002" priority="3932" operator="lessThan">
      <formula>TODAY()</formula>
    </cfRule>
    <cfRule type="cellIs" dxfId="2001" priority="3933" operator="lessThan">
      <formula>TODAY()</formula>
    </cfRule>
  </conditionalFormatting>
  <conditionalFormatting sqref="V372">
    <cfRule type="cellIs" dxfId="2000" priority="3931" operator="equal">
      <formula>"WRONG"</formula>
    </cfRule>
  </conditionalFormatting>
  <conditionalFormatting sqref="AA372">
    <cfRule type="cellIs" dxfId="1999" priority="3929" operator="lessThan">
      <formula>TODAY()</formula>
    </cfRule>
    <cfRule type="cellIs" dxfId="1998" priority="3930" operator="lessThan">
      <formula>TODAY()</formula>
    </cfRule>
  </conditionalFormatting>
  <conditionalFormatting sqref="V289">
    <cfRule type="cellIs" dxfId="1997" priority="3926" operator="equal">
      <formula>"WRONG"</formula>
    </cfRule>
  </conditionalFormatting>
  <conditionalFormatting sqref="AA289">
    <cfRule type="cellIs" dxfId="1996" priority="3924" operator="lessThan">
      <formula>TODAY()</formula>
    </cfRule>
    <cfRule type="cellIs" dxfId="1995" priority="3925" operator="lessThan">
      <formula>TODAY()</formula>
    </cfRule>
  </conditionalFormatting>
  <conditionalFormatting sqref="V374">
    <cfRule type="cellIs" dxfId="1994" priority="3921" operator="equal">
      <formula>"WRONG"</formula>
    </cfRule>
  </conditionalFormatting>
  <conditionalFormatting sqref="AA374">
    <cfRule type="cellIs" dxfId="1993" priority="3919" operator="lessThan">
      <formula>TODAY()</formula>
    </cfRule>
    <cfRule type="cellIs" dxfId="1992" priority="3920" operator="lessThan">
      <formula>TODAY()</formula>
    </cfRule>
  </conditionalFormatting>
  <conditionalFormatting sqref="V375">
    <cfRule type="cellIs" dxfId="1991" priority="3918" operator="equal">
      <formula>"WRONG"</formula>
    </cfRule>
  </conditionalFormatting>
  <conditionalFormatting sqref="AA375">
    <cfRule type="cellIs" dxfId="1990" priority="3916" operator="lessThan">
      <formula>TODAY()</formula>
    </cfRule>
    <cfRule type="cellIs" dxfId="1989" priority="3917" operator="lessThan">
      <formula>TODAY()</formula>
    </cfRule>
  </conditionalFormatting>
  <conditionalFormatting sqref="V376">
    <cfRule type="cellIs" dxfId="1988" priority="3915" operator="equal">
      <formula>"WRONG"</formula>
    </cfRule>
  </conditionalFormatting>
  <conditionalFormatting sqref="AA376">
    <cfRule type="cellIs" dxfId="1987" priority="3913" operator="lessThan">
      <formula>TODAY()</formula>
    </cfRule>
    <cfRule type="cellIs" dxfId="1986" priority="3914" operator="lessThan">
      <formula>TODAY()</formula>
    </cfRule>
  </conditionalFormatting>
  <conditionalFormatting sqref="V377">
    <cfRule type="cellIs" dxfId="1985" priority="3912" operator="equal">
      <formula>"WRONG"</formula>
    </cfRule>
  </conditionalFormatting>
  <conditionalFormatting sqref="AA377">
    <cfRule type="cellIs" dxfId="1984" priority="3910" operator="lessThan">
      <formula>TODAY()</formula>
    </cfRule>
    <cfRule type="cellIs" dxfId="1983" priority="3911" operator="lessThan">
      <formula>TODAY()</formula>
    </cfRule>
  </conditionalFormatting>
  <conditionalFormatting sqref="V378">
    <cfRule type="cellIs" dxfId="1982" priority="3907" operator="equal">
      <formula>"WRONG"</formula>
    </cfRule>
  </conditionalFormatting>
  <conditionalFormatting sqref="AA378">
    <cfRule type="cellIs" dxfId="1981" priority="3905" operator="lessThan">
      <formula>TODAY()</formula>
    </cfRule>
    <cfRule type="cellIs" dxfId="1980" priority="3906" operator="lessThan">
      <formula>TODAY()</formula>
    </cfRule>
  </conditionalFormatting>
  <conditionalFormatting sqref="V388:V390">
    <cfRule type="cellIs" dxfId="1979" priority="3902" operator="equal">
      <formula>"WRONG"</formula>
    </cfRule>
  </conditionalFormatting>
  <conditionalFormatting sqref="AA388:AA390">
    <cfRule type="cellIs" dxfId="1978" priority="3900" operator="lessThan">
      <formula>TODAY()</formula>
    </cfRule>
    <cfRule type="cellIs" dxfId="1977" priority="3901" operator="lessThan">
      <formula>TODAY()</formula>
    </cfRule>
  </conditionalFormatting>
  <conditionalFormatting sqref="V380">
    <cfRule type="cellIs" dxfId="1976" priority="3894" operator="equal">
      <formula>"WRONG"</formula>
    </cfRule>
  </conditionalFormatting>
  <conditionalFormatting sqref="AA380">
    <cfRule type="cellIs" dxfId="1975" priority="3892" operator="lessThan">
      <formula>TODAY()</formula>
    </cfRule>
    <cfRule type="cellIs" dxfId="1974" priority="3893" operator="lessThan">
      <formula>TODAY()</formula>
    </cfRule>
  </conditionalFormatting>
  <conditionalFormatting sqref="AA2:AA4">
    <cfRule type="cellIs" dxfId="1973" priority="3865" operator="lessThan">
      <formula>TODAY()</formula>
    </cfRule>
    <cfRule type="cellIs" dxfId="1972" priority="3866" operator="lessThan">
      <formula>TODAY()</formula>
    </cfRule>
  </conditionalFormatting>
  <conditionalFormatting sqref="V381:V383">
    <cfRule type="cellIs" dxfId="1971" priority="3852" operator="equal">
      <formula>"WRONG"</formula>
    </cfRule>
  </conditionalFormatting>
  <conditionalFormatting sqref="AA381:AA383">
    <cfRule type="cellIs" dxfId="1970" priority="3850" operator="lessThan">
      <formula>TODAY()</formula>
    </cfRule>
    <cfRule type="cellIs" dxfId="1969" priority="3851" operator="lessThan">
      <formula>TODAY()</formula>
    </cfRule>
  </conditionalFormatting>
  <conditionalFormatting sqref="Z345">
    <cfRule type="cellIs" dxfId="1968" priority="3837" operator="lessThan">
      <formula>TODAY()</formula>
    </cfRule>
    <cfRule type="cellIs" dxfId="1967" priority="3838" operator="lessThan">
      <formula>TODAY()</formula>
    </cfRule>
  </conditionalFormatting>
  <conditionalFormatting sqref="Z332">
    <cfRule type="cellIs" dxfId="1966" priority="3832" operator="lessThan">
      <formula>TODAY()</formula>
    </cfRule>
    <cfRule type="cellIs" dxfId="1965" priority="3833" operator="lessThan">
      <formula>TODAY()</formula>
    </cfRule>
  </conditionalFormatting>
  <conditionalFormatting sqref="V424">
    <cfRule type="cellIs" dxfId="1964" priority="3815" operator="equal">
      <formula>"WRONG"</formula>
    </cfRule>
  </conditionalFormatting>
  <conditionalFormatting sqref="AA424">
    <cfRule type="cellIs" dxfId="1963" priority="3813" operator="lessThan">
      <formula>TODAY()</formula>
    </cfRule>
    <cfRule type="cellIs" dxfId="1962" priority="3814" operator="lessThan">
      <formula>TODAY()</formula>
    </cfRule>
  </conditionalFormatting>
  <conditionalFormatting sqref="V421">
    <cfRule type="cellIs" dxfId="1961" priority="3812" operator="equal">
      <formula>"WRONG"</formula>
    </cfRule>
  </conditionalFormatting>
  <conditionalFormatting sqref="AA421">
    <cfRule type="cellIs" dxfId="1960" priority="3810" operator="lessThan">
      <formula>TODAY()</formula>
    </cfRule>
    <cfRule type="cellIs" dxfId="1959" priority="3811" operator="lessThan">
      <formula>TODAY()</formula>
    </cfRule>
  </conditionalFormatting>
  <conditionalFormatting sqref="V422">
    <cfRule type="cellIs" dxfId="1958" priority="3809" operator="equal">
      <formula>"WRONG"</formula>
    </cfRule>
  </conditionalFormatting>
  <conditionalFormatting sqref="AA422">
    <cfRule type="cellIs" dxfId="1957" priority="3807" operator="lessThan">
      <formula>TODAY()</formula>
    </cfRule>
    <cfRule type="cellIs" dxfId="1956" priority="3808" operator="lessThan">
      <formula>TODAY()</formula>
    </cfRule>
  </conditionalFormatting>
  <conditionalFormatting sqref="V423">
    <cfRule type="cellIs" dxfId="1955" priority="3806" operator="equal">
      <formula>"WRONG"</formula>
    </cfRule>
  </conditionalFormatting>
  <conditionalFormatting sqref="AA423">
    <cfRule type="cellIs" dxfId="1954" priority="3804" operator="lessThan">
      <formula>TODAY()</formula>
    </cfRule>
    <cfRule type="cellIs" dxfId="1953" priority="3805" operator="lessThan">
      <formula>TODAY()</formula>
    </cfRule>
  </conditionalFormatting>
  <conditionalFormatting sqref="V420">
    <cfRule type="cellIs" dxfId="1952" priority="3803" operator="equal">
      <formula>"WRONG"</formula>
    </cfRule>
  </conditionalFormatting>
  <conditionalFormatting sqref="AA420">
    <cfRule type="cellIs" dxfId="1951" priority="3801" operator="lessThan">
      <formula>TODAY()</formula>
    </cfRule>
    <cfRule type="cellIs" dxfId="1950" priority="3802" operator="lessThan">
      <formula>TODAY()</formula>
    </cfRule>
  </conditionalFormatting>
  <conditionalFormatting sqref="AA425">
    <cfRule type="cellIs" dxfId="1949" priority="3798" operator="lessThan">
      <formula>TODAY()</formula>
    </cfRule>
    <cfRule type="cellIs" dxfId="1948" priority="3799" operator="lessThan">
      <formula>TODAY()</formula>
    </cfRule>
  </conditionalFormatting>
  <conditionalFormatting sqref="AA471:AA478 AA481:AA485">
    <cfRule type="cellIs" dxfId="1947" priority="3794" operator="lessThan">
      <formula>TODAY()</formula>
    </cfRule>
    <cfRule type="cellIs" dxfId="1946" priority="3795" operator="lessThan">
      <formula>TODAY()</formula>
    </cfRule>
  </conditionalFormatting>
  <conditionalFormatting sqref="AA436">
    <cfRule type="cellIs" dxfId="1945" priority="3784" operator="lessThan">
      <formula>TODAY()</formula>
    </cfRule>
    <cfRule type="cellIs" dxfId="1944" priority="3785" operator="lessThan">
      <formula>TODAY()</formula>
    </cfRule>
  </conditionalFormatting>
  <conditionalFormatting sqref="V436">
    <cfRule type="cellIs" dxfId="1943" priority="3783" operator="equal">
      <formula>"WRONG"</formula>
    </cfRule>
  </conditionalFormatting>
  <conditionalFormatting sqref="V440">
    <cfRule type="cellIs" dxfId="1942" priority="3765" operator="equal">
      <formula>"WRONG"</formula>
    </cfRule>
  </conditionalFormatting>
  <conditionalFormatting sqref="AA440">
    <cfRule type="cellIs" dxfId="1941" priority="3763" operator="lessThan">
      <formula>TODAY()</formula>
    </cfRule>
    <cfRule type="cellIs" dxfId="1940" priority="3764" operator="lessThan">
      <formula>TODAY()</formula>
    </cfRule>
  </conditionalFormatting>
  <conditionalFormatting sqref="V437">
    <cfRule type="cellIs" dxfId="1939" priority="3762" operator="equal">
      <formula>"WRONG"</formula>
    </cfRule>
  </conditionalFormatting>
  <conditionalFormatting sqref="AA437">
    <cfRule type="cellIs" dxfId="1938" priority="3760" operator="lessThan">
      <formula>TODAY()</formula>
    </cfRule>
    <cfRule type="cellIs" dxfId="1937" priority="3761" operator="lessThan">
      <formula>TODAY()</formula>
    </cfRule>
  </conditionalFormatting>
  <conditionalFormatting sqref="V438">
    <cfRule type="cellIs" dxfId="1936" priority="3759" operator="equal">
      <formula>"WRONG"</formula>
    </cfRule>
  </conditionalFormatting>
  <conditionalFormatting sqref="AA438">
    <cfRule type="cellIs" dxfId="1935" priority="3757" operator="lessThan">
      <formula>TODAY()</formula>
    </cfRule>
    <cfRule type="cellIs" dxfId="1934" priority="3758" operator="lessThan">
      <formula>TODAY()</formula>
    </cfRule>
  </conditionalFormatting>
  <conditionalFormatting sqref="V439">
    <cfRule type="cellIs" dxfId="1933" priority="3756" operator="equal">
      <formula>"WRONG"</formula>
    </cfRule>
  </conditionalFormatting>
  <conditionalFormatting sqref="AA439">
    <cfRule type="cellIs" dxfId="1932" priority="3754" operator="lessThan">
      <formula>TODAY()</formula>
    </cfRule>
    <cfRule type="cellIs" dxfId="1931" priority="3755" operator="lessThan">
      <formula>TODAY()</formula>
    </cfRule>
  </conditionalFormatting>
  <conditionalFormatting sqref="V441">
    <cfRule type="cellIs" dxfId="1930" priority="3753" operator="equal">
      <formula>"WRONG"</formula>
    </cfRule>
  </conditionalFormatting>
  <conditionalFormatting sqref="AA441">
    <cfRule type="cellIs" dxfId="1929" priority="3751" operator="lessThan">
      <formula>TODAY()</formula>
    </cfRule>
    <cfRule type="cellIs" dxfId="1928" priority="3752" operator="lessThan">
      <formula>TODAY()</formula>
    </cfRule>
  </conditionalFormatting>
  <conditionalFormatting sqref="V445">
    <cfRule type="cellIs" dxfId="1927" priority="3748" operator="equal">
      <formula>"WRONG"</formula>
    </cfRule>
  </conditionalFormatting>
  <conditionalFormatting sqref="AA445">
    <cfRule type="cellIs" dxfId="1926" priority="3746" operator="lessThan">
      <formula>TODAY()</formula>
    </cfRule>
    <cfRule type="cellIs" dxfId="1925" priority="3747" operator="lessThan">
      <formula>TODAY()</formula>
    </cfRule>
  </conditionalFormatting>
  <conditionalFormatting sqref="V442">
    <cfRule type="cellIs" dxfId="1924" priority="3745" operator="equal">
      <formula>"WRONG"</formula>
    </cfRule>
  </conditionalFormatting>
  <conditionalFormatting sqref="AA442">
    <cfRule type="cellIs" dxfId="1923" priority="3743" operator="lessThan">
      <formula>TODAY()</formula>
    </cfRule>
    <cfRule type="cellIs" dxfId="1922" priority="3744" operator="lessThan">
      <formula>TODAY()</formula>
    </cfRule>
  </conditionalFormatting>
  <conditionalFormatting sqref="V443">
    <cfRule type="cellIs" dxfId="1921" priority="3742" operator="equal">
      <formula>"WRONG"</formula>
    </cfRule>
  </conditionalFormatting>
  <conditionalFormatting sqref="AA443">
    <cfRule type="cellIs" dxfId="1920" priority="3740" operator="lessThan">
      <formula>TODAY()</formula>
    </cfRule>
    <cfRule type="cellIs" dxfId="1919" priority="3741" operator="lessThan">
      <formula>TODAY()</formula>
    </cfRule>
  </conditionalFormatting>
  <conditionalFormatting sqref="V444">
    <cfRule type="cellIs" dxfId="1918" priority="3739" operator="equal">
      <formula>"WRONG"</formula>
    </cfRule>
  </conditionalFormatting>
  <conditionalFormatting sqref="AA444">
    <cfRule type="cellIs" dxfId="1917" priority="3737" operator="lessThan">
      <formula>TODAY()</formula>
    </cfRule>
    <cfRule type="cellIs" dxfId="1916" priority="3738" operator="lessThan">
      <formula>TODAY()</formula>
    </cfRule>
  </conditionalFormatting>
  <conditionalFormatting sqref="V446:V452">
    <cfRule type="cellIs" dxfId="1915" priority="3736" operator="equal">
      <formula>"WRONG"</formula>
    </cfRule>
  </conditionalFormatting>
  <conditionalFormatting sqref="AA446:AA452">
    <cfRule type="cellIs" dxfId="1914" priority="3734" operator="lessThan">
      <formula>TODAY()</formula>
    </cfRule>
    <cfRule type="cellIs" dxfId="1913" priority="3735" operator="lessThan">
      <formula>TODAY()</formula>
    </cfRule>
  </conditionalFormatting>
  <conditionalFormatting sqref="AA433:AA435">
    <cfRule type="cellIs" dxfId="1912" priority="3730" operator="lessThan">
      <formula>TODAY()</formula>
    </cfRule>
    <cfRule type="cellIs" dxfId="1911" priority="3731" operator="lessThan">
      <formula>TODAY()</formula>
    </cfRule>
  </conditionalFormatting>
  <conditionalFormatting sqref="V433:V435">
    <cfRule type="cellIs" dxfId="1910" priority="3729" operator="equal">
      <formula>"WRONG"</formula>
    </cfRule>
  </conditionalFormatting>
  <conditionalFormatting sqref="AA430:AA432">
    <cfRule type="cellIs" dxfId="1909" priority="3727" operator="lessThan">
      <formula>TODAY()</formula>
    </cfRule>
    <cfRule type="cellIs" dxfId="1908" priority="3728" operator="lessThan">
      <formula>TODAY()</formula>
    </cfRule>
  </conditionalFormatting>
  <conditionalFormatting sqref="V430:V432">
    <cfRule type="cellIs" dxfId="1907" priority="3726" operator="equal">
      <formula>"WRONG"</formula>
    </cfRule>
  </conditionalFormatting>
  <conditionalFormatting sqref="AA428:AA429">
    <cfRule type="cellIs" dxfId="1906" priority="3724" operator="lessThan">
      <formula>TODAY()</formula>
    </cfRule>
    <cfRule type="cellIs" dxfId="1905" priority="3725" operator="lessThan">
      <formula>TODAY()</formula>
    </cfRule>
  </conditionalFormatting>
  <conditionalFormatting sqref="V428:V429">
    <cfRule type="cellIs" dxfId="1904" priority="3723" operator="equal">
      <formula>"WRONG"</formula>
    </cfRule>
  </conditionalFormatting>
  <conditionalFormatting sqref="AA427">
    <cfRule type="cellIs" dxfId="1903" priority="3721" operator="lessThan">
      <formula>TODAY()</formula>
    </cfRule>
    <cfRule type="cellIs" dxfId="1902" priority="3722" operator="lessThan">
      <formula>TODAY()</formula>
    </cfRule>
  </conditionalFormatting>
  <conditionalFormatting sqref="V427">
    <cfRule type="cellIs" dxfId="1901" priority="3720" operator="equal">
      <formula>"WRONG"</formula>
    </cfRule>
  </conditionalFormatting>
  <conditionalFormatting sqref="AA426">
    <cfRule type="cellIs" dxfId="1900" priority="3716" operator="lessThan">
      <formula>TODAY()</formula>
    </cfRule>
    <cfRule type="cellIs" dxfId="1899" priority="3717" operator="lessThan">
      <formula>TODAY()</formula>
    </cfRule>
  </conditionalFormatting>
  <conditionalFormatting sqref="V426">
    <cfRule type="cellIs" dxfId="1898" priority="3715" operator="equal">
      <formula>"WRONG"</formula>
    </cfRule>
  </conditionalFormatting>
  <conditionalFormatting sqref="AA493">
    <cfRule type="cellIs" dxfId="1897" priority="3711" operator="lessThan">
      <formula>TODAY()</formula>
    </cfRule>
    <cfRule type="cellIs" dxfId="1896" priority="3712" operator="lessThan">
      <formula>TODAY()</formula>
    </cfRule>
  </conditionalFormatting>
  <conditionalFormatting sqref="AA459:AA460 AA491:AA492">
    <cfRule type="cellIs" dxfId="1895" priority="3706" operator="lessThan">
      <formula>TODAY()</formula>
    </cfRule>
    <cfRule type="cellIs" dxfId="1894" priority="3707" operator="lessThan">
      <formula>TODAY()</formula>
    </cfRule>
  </conditionalFormatting>
  <conditionalFormatting sqref="V459:V460">
    <cfRule type="cellIs" dxfId="1893" priority="3705" operator="equal">
      <formula>"WRONG"</formula>
    </cfRule>
  </conditionalFormatting>
  <conditionalFormatting sqref="AA456:AA458">
    <cfRule type="cellIs" dxfId="1892" priority="3703" operator="lessThan">
      <formula>TODAY()</formula>
    </cfRule>
    <cfRule type="cellIs" dxfId="1891" priority="3704" operator="lessThan">
      <formula>TODAY()</formula>
    </cfRule>
  </conditionalFormatting>
  <conditionalFormatting sqref="V456:V458">
    <cfRule type="cellIs" dxfId="1890" priority="3702" operator="equal">
      <formula>"WRONG"</formula>
    </cfRule>
  </conditionalFormatting>
  <conditionalFormatting sqref="AA454:AA455">
    <cfRule type="cellIs" dxfId="1889" priority="3700" operator="lessThan">
      <formula>TODAY()</formula>
    </cfRule>
    <cfRule type="cellIs" dxfId="1888" priority="3701" operator="lessThan">
      <formula>TODAY()</formula>
    </cfRule>
  </conditionalFormatting>
  <conditionalFormatting sqref="V454:V455">
    <cfRule type="cellIs" dxfId="1887" priority="3699" operator="equal">
      <formula>"WRONG"</formula>
    </cfRule>
  </conditionalFormatting>
  <conditionalFormatting sqref="AA453">
    <cfRule type="cellIs" dxfId="1886" priority="3697" operator="lessThan">
      <formula>TODAY()</formula>
    </cfRule>
    <cfRule type="cellIs" dxfId="1885" priority="3698" operator="lessThan">
      <formula>TODAY()</formula>
    </cfRule>
  </conditionalFormatting>
  <conditionalFormatting sqref="V453">
    <cfRule type="cellIs" dxfId="1884" priority="3696" operator="equal">
      <formula>"WRONG"</formula>
    </cfRule>
  </conditionalFormatting>
  <conditionalFormatting sqref="AA488:AA490">
    <cfRule type="cellIs" dxfId="1883" priority="3692" operator="lessThan">
      <formula>TODAY()</formula>
    </cfRule>
    <cfRule type="cellIs" dxfId="1882" priority="3693" operator="lessThan">
      <formula>TODAY()</formula>
    </cfRule>
  </conditionalFormatting>
  <conditionalFormatting sqref="AA486:AA487">
    <cfRule type="cellIs" dxfId="1881" priority="3689" operator="lessThan">
      <formula>TODAY()</formula>
    </cfRule>
    <cfRule type="cellIs" dxfId="1880" priority="3690" operator="lessThan">
      <formula>TODAY()</formula>
    </cfRule>
  </conditionalFormatting>
  <conditionalFormatting sqref="AA463:AA464">
    <cfRule type="cellIs" dxfId="1879" priority="3664" operator="lessThan">
      <formula>TODAY()</formula>
    </cfRule>
    <cfRule type="cellIs" dxfId="1878" priority="3665" operator="lessThan">
      <formula>TODAY()</formula>
    </cfRule>
  </conditionalFormatting>
  <conditionalFormatting sqref="V463:V464">
    <cfRule type="cellIs" dxfId="1877" priority="3663" operator="equal">
      <formula>"WRONG"</formula>
    </cfRule>
  </conditionalFormatting>
  <conditionalFormatting sqref="AA462">
    <cfRule type="cellIs" dxfId="1876" priority="3661" operator="lessThan">
      <formula>TODAY()</formula>
    </cfRule>
    <cfRule type="cellIs" dxfId="1875" priority="3662" operator="lessThan">
      <formula>TODAY()</formula>
    </cfRule>
  </conditionalFormatting>
  <conditionalFormatting sqref="V462">
    <cfRule type="cellIs" dxfId="1874" priority="3660" operator="equal">
      <formula>"WRONG"</formula>
    </cfRule>
  </conditionalFormatting>
  <conditionalFormatting sqref="V465:V468">
    <cfRule type="cellIs" dxfId="1873" priority="3657" operator="equal">
      <formula>"WRONG"</formula>
    </cfRule>
  </conditionalFormatting>
  <conditionalFormatting sqref="AA465:AA468">
    <cfRule type="cellIs" dxfId="1872" priority="3655" operator="lessThan">
      <formula>TODAY()</formula>
    </cfRule>
    <cfRule type="cellIs" dxfId="1871" priority="3656" operator="lessThan">
      <formula>TODAY()</formula>
    </cfRule>
  </conditionalFormatting>
  <conditionalFormatting sqref="V469:V470">
    <cfRule type="cellIs" dxfId="1870" priority="3652" operator="equal">
      <formula>"WRONG"</formula>
    </cfRule>
  </conditionalFormatting>
  <conditionalFormatting sqref="AA469:AA470">
    <cfRule type="cellIs" dxfId="1869" priority="3650" operator="lessThan">
      <formula>TODAY()</formula>
    </cfRule>
    <cfRule type="cellIs" dxfId="1868" priority="3651" operator="lessThan">
      <formula>TODAY()</formula>
    </cfRule>
  </conditionalFormatting>
  <conditionalFormatting sqref="AA494:AA498 AA507:AA513">
    <cfRule type="cellIs" dxfId="1867" priority="3639" operator="lessThan">
      <formula>TODAY()</formula>
    </cfRule>
    <cfRule type="cellIs" dxfId="1866" priority="3640" operator="lessThan">
      <formula>TODAY()</formula>
    </cfRule>
  </conditionalFormatting>
  <conditionalFormatting sqref="V494:V498 V507:V513">
    <cfRule type="cellIs" dxfId="1865" priority="3638" operator="equal">
      <formula>"WRONG"</formula>
    </cfRule>
  </conditionalFormatting>
  <conditionalFormatting sqref="AA499 AA501:AA503">
    <cfRule type="cellIs" dxfId="1864" priority="3634" operator="lessThan">
      <formula>TODAY()</formula>
    </cfRule>
    <cfRule type="cellIs" dxfId="1863" priority="3635" operator="lessThan">
      <formula>TODAY()</formula>
    </cfRule>
  </conditionalFormatting>
  <conditionalFormatting sqref="V499 V501:V503">
    <cfRule type="cellIs" dxfId="1862" priority="3633" operator="equal">
      <formula>"WRONG"</formula>
    </cfRule>
  </conditionalFormatting>
  <conditionalFormatting sqref="AA524 AA539">
    <cfRule type="cellIs" dxfId="1861" priority="3624" operator="lessThan">
      <formula>TODAY()</formula>
    </cfRule>
    <cfRule type="cellIs" dxfId="1860" priority="3625" operator="lessThan">
      <formula>TODAY()</formula>
    </cfRule>
  </conditionalFormatting>
  <conditionalFormatting sqref="V524 V539">
    <cfRule type="cellIs" dxfId="1859" priority="3623" operator="equal">
      <formula>"WRONG"</formula>
    </cfRule>
  </conditionalFormatting>
  <conditionalFormatting sqref="AA522:AA523">
    <cfRule type="cellIs" dxfId="1858" priority="3619" operator="lessThan">
      <formula>TODAY()</formula>
    </cfRule>
    <cfRule type="cellIs" dxfId="1857" priority="3620" operator="lessThan">
      <formula>TODAY()</formula>
    </cfRule>
  </conditionalFormatting>
  <conditionalFormatting sqref="V522:V523">
    <cfRule type="cellIs" dxfId="1856" priority="3618" operator="equal">
      <formula>"WRONG"</formula>
    </cfRule>
  </conditionalFormatting>
  <conditionalFormatting sqref="AA538">
    <cfRule type="cellIs" dxfId="1855" priority="3614" operator="lessThan">
      <formula>TODAY()</formula>
    </cfRule>
    <cfRule type="cellIs" dxfId="1854" priority="3615" operator="lessThan">
      <formula>TODAY()</formula>
    </cfRule>
  </conditionalFormatting>
  <conditionalFormatting sqref="V538">
    <cfRule type="cellIs" dxfId="1853" priority="3613" operator="equal">
      <formula>"WRONG"</formula>
    </cfRule>
  </conditionalFormatting>
  <conditionalFormatting sqref="AA536:AA537">
    <cfRule type="cellIs" dxfId="1852" priority="3611" operator="lessThan">
      <formula>TODAY()</formula>
    </cfRule>
    <cfRule type="cellIs" dxfId="1851" priority="3612" operator="lessThan">
      <formula>TODAY()</formula>
    </cfRule>
  </conditionalFormatting>
  <conditionalFormatting sqref="V536:V537">
    <cfRule type="cellIs" dxfId="1850" priority="3610" operator="equal">
      <formula>"WRONG"</formula>
    </cfRule>
  </conditionalFormatting>
  <conditionalFormatting sqref="AA535">
    <cfRule type="cellIs" dxfId="1849" priority="3608" operator="lessThan">
      <formula>TODAY()</formula>
    </cfRule>
    <cfRule type="cellIs" dxfId="1848" priority="3609" operator="lessThan">
      <formula>TODAY()</formula>
    </cfRule>
  </conditionalFormatting>
  <conditionalFormatting sqref="V535">
    <cfRule type="cellIs" dxfId="1847" priority="3607" operator="equal">
      <formula>"WRONG"</formula>
    </cfRule>
  </conditionalFormatting>
  <conditionalFormatting sqref="AA461">
    <cfRule type="cellIs" dxfId="1846" priority="3602" operator="lessThan">
      <formula>TODAY()</formula>
    </cfRule>
    <cfRule type="cellIs" dxfId="1845" priority="3603" operator="lessThan">
      <formula>TODAY()</formula>
    </cfRule>
  </conditionalFormatting>
  <conditionalFormatting sqref="V461">
    <cfRule type="cellIs" dxfId="1844" priority="3604" operator="equal">
      <formula>"WRONG"</formula>
    </cfRule>
  </conditionalFormatting>
  <conditionalFormatting sqref="AA534 AA602">
    <cfRule type="cellIs" dxfId="1843" priority="3598" operator="lessThan">
      <formula>TODAY()</formula>
    </cfRule>
    <cfRule type="cellIs" dxfId="1842" priority="3599" operator="lessThan">
      <formula>TODAY()</formula>
    </cfRule>
  </conditionalFormatting>
  <conditionalFormatting sqref="V534 V602">
    <cfRule type="cellIs" dxfId="1841" priority="3597" operator="equal">
      <formula>"WRONG"</formula>
    </cfRule>
  </conditionalFormatting>
  <conditionalFormatting sqref="AA532:AA533">
    <cfRule type="cellIs" dxfId="1840" priority="3593" operator="lessThan">
      <formula>TODAY()</formula>
    </cfRule>
    <cfRule type="cellIs" dxfId="1839" priority="3594" operator="lessThan">
      <formula>TODAY()</formula>
    </cfRule>
  </conditionalFormatting>
  <conditionalFormatting sqref="V532:V533">
    <cfRule type="cellIs" dxfId="1838" priority="3592" operator="equal">
      <formula>"WRONG"</formula>
    </cfRule>
  </conditionalFormatting>
  <conditionalFormatting sqref="AA530:AA531">
    <cfRule type="cellIs" dxfId="1837" priority="3588" operator="lessThan">
      <formula>TODAY()</formula>
    </cfRule>
    <cfRule type="cellIs" dxfId="1836" priority="3589" operator="lessThan">
      <formula>TODAY()</formula>
    </cfRule>
  </conditionalFormatting>
  <conditionalFormatting sqref="V530:V531">
    <cfRule type="cellIs" dxfId="1835" priority="3587" operator="equal">
      <formula>"WRONG"</formula>
    </cfRule>
  </conditionalFormatting>
  <conditionalFormatting sqref="AA529">
    <cfRule type="cellIs" dxfId="1834" priority="3583" operator="lessThan">
      <formula>TODAY()</formula>
    </cfRule>
    <cfRule type="cellIs" dxfId="1833" priority="3584" operator="lessThan">
      <formula>TODAY()</formula>
    </cfRule>
  </conditionalFormatting>
  <conditionalFormatting sqref="V529">
    <cfRule type="cellIs" dxfId="1832" priority="3582" operator="equal">
      <formula>"WRONG"</formula>
    </cfRule>
  </conditionalFormatting>
  <conditionalFormatting sqref="AA527:AA528">
    <cfRule type="cellIs" dxfId="1831" priority="3578" operator="lessThan">
      <formula>TODAY()</formula>
    </cfRule>
    <cfRule type="cellIs" dxfId="1830" priority="3579" operator="lessThan">
      <formula>TODAY()</formula>
    </cfRule>
  </conditionalFormatting>
  <conditionalFormatting sqref="V527:V528">
    <cfRule type="cellIs" dxfId="1829" priority="3577" operator="equal">
      <formula>"WRONG"</formula>
    </cfRule>
  </conditionalFormatting>
  <conditionalFormatting sqref="AA525:AA526">
    <cfRule type="cellIs" dxfId="1828" priority="3573" operator="lessThan">
      <formula>TODAY()</formula>
    </cfRule>
    <cfRule type="cellIs" dxfId="1827" priority="3574" operator="lessThan">
      <formula>TODAY()</formula>
    </cfRule>
  </conditionalFormatting>
  <conditionalFormatting sqref="V525:V526">
    <cfRule type="cellIs" dxfId="1826" priority="3572" operator="equal">
      <formula>"WRONG"</formula>
    </cfRule>
  </conditionalFormatting>
  <conditionalFormatting sqref="AA573">
    <cfRule type="cellIs" dxfId="1825" priority="3563" operator="lessThan">
      <formula>TODAY()</formula>
    </cfRule>
    <cfRule type="cellIs" dxfId="1824" priority="3564" operator="lessThan">
      <formula>TODAY()</formula>
    </cfRule>
  </conditionalFormatting>
  <conditionalFormatting sqref="V573">
    <cfRule type="cellIs" dxfId="1823" priority="3562" operator="equal">
      <formula>"WRONG"</formula>
    </cfRule>
  </conditionalFormatting>
  <conditionalFormatting sqref="AA560">
    <cfRule type="cellIs" dxfId="1822" priority="3553" operator="lessThan">
      <formula>TODAY()</formula>
    </cfRule>
    <cfRule type="cellIs" dxfId="1821" priority="3554" operator="lessThan">
      <formula>TODAY()</formula>
    </cfRule>
  </conditionalFormatting>
  <conditionalFormatting sqref="V560">
    <cfRule type="cellIs" dxfId="1820" priority="3552" operator="equal">
      <formula>"WRONG"</formula>
    </cfRule>
  </conditionalFormatting>
  <conditionalFormatting sqref="AA558:AA559">
    <cfRule type="cellIs" dxfId="1819" priority="3548" operator="lessThan">
      <formula>TODAY()</formula>
    </cfRule>
    <cfRule type="cellIs" dxfId="1818" priority="3549" operator="lessThan">
      <formula>TODAY()</formula>
    </cfRule>
  </conditionalFormatting>
  <conditionalFormatting sqref="V558:V559">
    <cfRule type="cellIs" dxfId="1817" priority="3547" operator="equal">
      <formula>"WRONG"</formula>
    </cfRule>
  </conditionalFormatting>
  <conditionalFormatting sqref="AA557">
    <cfRule type="cellIs" dxfId="1816" priority="3543" operator="lessThan">
      <formula>TODAY()</formula>
    </cfRule>
    <cfRule type="cellIs" dxfId="1815" priority="3544" operator="lessThan">
      <formula>TODAY()</formula>
    </cfRule>
  </conditionalFormatting>
  <conditionalFormatting sqref="V557">
    <cfRule type="cellIs" dxfId="1814" priority="3542" operator="equal">
      <formula>"WRONG"</formula>
    </cfRule>
  </conditionalFormatting>
  <conditionalFormatting sqref="AA556">
    <cfRule type="cellIs" dxfId="1813" priority="3536" operator="lessThan">
      <formula>TODAY()</formula>
    </cfRule>
    <cfRule type="cellIs" dxfId="1812" priority="3537" operator="lessThan">
      <formula>TODAY()</formula>
    </cfRule>
  </conditionalFormatting>
  <conditionalFormatting sqref="V556">
    <cfRule type="cellIs" dxfId="1811" priority="3535" operator="equal">
      <formula>"WRONG"</formula>
    </cfRule>
  </conditionalFormatting>
  <conditionalFormatting sqref="V653:V656">
    <cfRule type="cellIs" dxfId="1810" priority="3532" operator="equal">
      <formula>"WRONG"</formula>
    </cfRule>
  </conditionalFormatting>
  <conditionalFormatting sqref="AA653:AA656">
    <cfRule type="cellIs" dxfId="1809" priority="3530" operator="lessThan">
      <formula>TODAY()</formula>
    </cfRule>
    <cfRule type="cellIs" dxfId="1808" priority="3531" operator="lessThan">
      <formula>TODAY()</formula>
    </cfRule>
  </conditionalFormatting>
  <conditionalFormatting sqref="V572">
    <cfRule type="cellIs" dxfId="1807" priority="3517" operator="equal">
      <formula>"WRONG"</formula>
    </cfRule>
  </conditionalFormatting>
  <conditionalFormatting sqref="V581">
    <cfRule type="cellIs" dxfId="1806" priority="3514" operator="equal">
      <formula>"WRONG"</formula>
    </cfRule>
  </conditionalFormatting>
  <conditionalFormatting sqref="V577">
    <cfRule type="cellIs" dxfId="1805" priority="3511" operator="equal">
      <formula>"WRONG"</formula>
    </cfRule>
  </conditionalFormatting>
  <conditionalFormatting sqref="V578">
    <cfRule type="cellIs" dxfId="1804" priority="3508" operator="equal">
      <formula>"WRONG"</formula>
    </cfRule>
  </conditionalFormatting>
  <conditionalFormatting sqref="V579">
    <cfRule type="cellIs" dxfId="1803" priority="3505" operator="equal">
      <formula>"WRONG"</formula>
    </cfRule>
  </conditionalFormatting>
  <conditionalFormatting sqref="V822:V831">
    <cfRule type="cellIs" dxfId="1802" priority="3497" operator="equal">
      <formula>"WRONG"</formula>
    </cfRule>
  </conditionalFormatting>
  <conditionalFormatting sqref="AA822:AA831">
    <cfRule type="cellIs" dxfId="1801" priority="3495" operator="lessThan">
      <formula>TODAY()</formula>
    </cfRule>
    <cfRule type="cellIs" dxfId="1800" priority="3496" operator="lessThan">
      <formula>TODAY()</formula>
    </cfRule>
  </conditionalFormatting>
  <conditionalFormatting sqref="AA784">
    <cfRule type="cellIs" dxfId="1799" priority="3470" operator="lessThan">
      <formula>TODAY()</formula>
    </cfRule>
    <cfRule type="cellIs" dxfId="1798" priority="3471" operator="lessThan">
      <formula>TODAY()</formula>
    </cfRule>
  </conditionalFormatting>
  <conditionalFormatting sqref="AA783">
    <cfRule type="cellIs" dxfId="1797" priority="3459" operator="lessThan">
      <formula>TODAY()</formula>
    </cfRule>
    <cfRule type="cellIs" dxfId="1796" priority="3460" operator="lessThan">
      <formula>TODAY()</formula>
    </cfRule>
  </conditionalFormatting>
  <conditionalFormatting sqref="AA782">
    <cfRule type="cellIs" dxfId="1795" priority="3457" operator="lessThan">
      <formula>TODAY()</formula>
    </cfRule>
    <cfRule type="cellIs" dxfId="1794" priority="3458" operator="lessThan">
      <formula>TODAY()</formula>
    </cfRule>
  </conditionalFormatting>
  <conditionalFormatting sqref="V782:V783">
    <cfRule type="cellIs" dxfId="1793" priority="3456" operator="equal">
      <formula>"WRONG"</formula>
    </cfRule>
  </conditionalFormatting>
  <conditionalFormatting sqref="AA864:AA869">
    <cfRule type="cellIs" dxfId="1792" priority="3266" operator="lessThan">
      <formula>TODAY()</formula>
    </cfRule>
    <cfRule type="cellIs" dxfId="1791" priority="3267" operator="lessThan">
      <formula>TODAY()</formula>
    </cfRule>
  </conditionalFormatting>
  <conditionalFormatting sqref="V864:V869">
    <cfRule type="cellIs" dxfId="1790" priority="3268" operator="equal">
      <formula>"WRONG"</formula>
    </cfRule>
  </conditionalFormatting>
  <conditionalFormatting sqref="AA727">
    <cfRule type="cellIs" dxfId="1789" priority="3258" operator="lessThan">
      <formula>TODAY()</formula>
    </cfRule>
    <cfRule type="cellIs" dxfId="1788" priority="3259" operator="lessThan">
      <formula>TODAY()</formula>
    </cfRule>
  </conditionalFormatting>
  <conditionalFormatting sqref="V727">
    <cfRule type="cellIs" dxfId="1787" priority="3260" operator="equal">
      <formula>"WRONG"</formula>
    </cfRule>
  </conditionalFormatting>
  <conditionalFormatting sqref="AA744">
    <cfRule type="cellIs" dxfId="1786" priority="3250" operator="lessThan">
      <formula>TODAY()</formula>
    </cfRule>
    <cfRule type="cellIs" dxfId="1785" priority="3251" operator="lessThan">
      <formula>TODAY()</formula>
    </cfRule>
  </conditionalFormatting>
  <conditionalFormatting sqref="V744">
    <cfRule type="cellIs" dxfId="1784" priority="3252" operator="equal">
      <formula>"WRONG"</formula>
    </cfRule>
  </conditionalFormatting>
  <conditionalFormatting sqref="AA787">
    <cfRule type="cellIs" dxfId="1783" priority="3220" operator="lessThan">
      <formula>TODAY()</formula>
    </cfRule>
    <cfRule type="cellIs" dxfId="1782" priority="3221" operator="lessThan">
      <formula>TODAY()</formula>
    </cfRule>
  </conditionalFormatting>
  <conditionalFormatting sqref="V787">
    <cfRule type="cellIs" dxfId="1781" priority="3217" operator="equal">
      <formula>"WRONG"</formula>
    </cfRule>
  </conditionalFormatting>
  <conditionalFormatting sqref="AA817:AA820">
    <cfRule type="cellIs" dxfId="1780" priority="3200" operator="lessThan">
      <formula>TODAY()</formula>
    </cfRule>
    <cfRule type="cellIs" dxfId="1779" priority="3201" operator="lessThan">
      <formula>TODAY()</formula>
    </cfRule>
  </conditionalFormatting>
  <conditionalFormatting sqref="V817:V820">
    <cfRule type="cellIs" dxfId="1778" priority="3202" operator="equal">
      <formula>"WRONG"</formula>
    </cfRule>
  </conditionalFormatting>
  <conditionalFormatting sqref="V846">
    <cfRule type="cellIs" dxfId="1777" priority="2995" operator="equal">
      <formula>"WRONG"</formula>
    </cfRule>
  </conditionalFormatting>
  <conditionalFormatting sqref="AA846">
    <cfRule type="cellIs" dxfId="1776" priority="2993" operator="lessThan">
      <formula>TODAY()</formula>
    </cfRule>
    <cfRule type="cellIs" dxfId="1775" priority="2994" operator="lessThan">
      <formula>TODAY()</formula>
    </cfRule>
  </conditionalFormatting>
  <conditionalFormatting sqref="AA1001">
    <cfRule type="cellIs" dxfId="1774" priority="2986" operator="lessThan">
      <formula>TODAY()</formula>
    </cfRule>
    <cfRule type="cellIs" dxfId="1773" priority="2987" operator="lessThan">
      <formula>TODAY()</formula>
    </cfRule>
  </conditionalFormatting>
  <conditionalFormatting sqref="V1001">
    <cfRule type="cellIs" dxfId="1772" priority="2985" operator="equal">
      <formula>"WRONG"</formula>
    </cfRule>
  </conditionalFormatting>
  <conditionalFormatting sqref="AA952">
    <cfRule type="cellIs" dxfId="1771" priority="2889" operator="lessThan">
      <formula>TODAY()</formula>
    </cfRule>
    <cfRule type="cellIs" dxfId="1770" priority="2890" operator="lessThan">
      <formula>TODAY()</formula>
    </cfRule>
  </conditionalFormatting>
  <conditionalFormatting sqref="V952">
    <cfRule type="cellIs" dxfId="1769" priority="2888" operator="equal">
      <formula>"WRONG"</formula>
    </cfRule>
  </conditionalFormatting>
  <conditionalFormatting sqref="V605">
    <cfRule type="cellIs" dxfId="1768" priority="2859" operator="equal">
      <formula>"WRONG"</formula>
    </cfRule>
  </conditionalFormatting>
  <conditionalFormatting sqref="V611">
    <cfRule type="cellIs" dxfId="1767" priority="2856" operator="equal">
      <formula>"WRONG"</formula>
    </cfRule>
  </conditionalFormatting>
  <conditionalFormatting sqref="V858:V859">
    <cfRule type="cellIs" dxfId="1766" priority="2848" operator="equal">
      <formula>"WRONG"</formula>
    </cfRule>
  </conditionalFormatting>
  <conditionalFormatting sqref="AA910">
    <cfRule type="cellIs" dxfId="1765" priority="2839" operator="lessThan">
      <formula>TODAY()</formula>
    </cfRule>
    <cfRule type="cellIs" dxfId="1764" priority="2840" operator="lessThan">
      <formula>TODAY()</formula>
    </cfRule>
  </conditionalFormatting>
  <conditionalFormatting sqref="AA898">
    <cfRule type="cellIs" dxfId="1763" priority="2832" operator="lessThan">
      <formula>TODAY()</formula>
    </cfRule>
    <cfRule type="cellIs" dxfId="1762" priority="2833" operator="lessThan">
      <formula>TODAY()</formula>
    </cfRule>
  </conditionalFormatting>
  <conditionalFormatting sqref="AA882">
    <cfRule type="cellIs" dxfId="1761" priority="2429" operator="lessThan">
      <formula>TODAY()</formula>
    </cfRule>
    <cfRule type="cellIs" dxfId="1760" priority="2430" operator="lessThan">
      <formula>TODAY()</formula>
    </cfRule>
  </conditionalFormatting>
  <conditionalFormatting sqref="V882">
    <cfRule type="cellIs" dxfId="1759" priority="2428" operator="equal">
      <formula>"WRONG"</formula>
    </cfRule>
  </conditionalFormatting>
  <conditionalFormatting sqref="AA881">
    <cfRule type="cellIs" dxfId="1758" priority="2424" operator="lessThan">
      <formula>TODAY()</formula>
    </cfRule>
    <cfRule type="cellIs" dxfId="1757" priority="2425" operator="lessThan">
      <formula>TODAY()</formula>
    </cfRule>
  </conditionalFormatting>
  <conditionalFormatting sqref="V881">
    <cfRule type="cellIs" dxfId="1756" priority="2423" operator="equal">
      <formula>"WRONG"</formula>
    </cfRule>
  </conditionalFormatting>
  <conditionalFormatting sqref="AA885">
    <cfRule type="cellIs" dxfId="1755" priority="2388" operator="lessThan">
      <formula>TODAY()</formula>
    </cfRule>
    <cfRule type="cellIs" dxfId="1754" priority="2389" operator="lessThan">
      <formula>TODAY()</formula>
    </cfRule>
  </conditionalFormatting>
  <conditionalFormatting sqref="V885">
    <cfRule type="cellIs" dxfId="1753" priority="2387" operator="equal">
      <formula>"WRONG"</formula>
    </cfRule>
  </conditionalFormatting>
  <conditionalFormatting sqref="AA884">
    <cfRule type="cellIs" dxfId="1752" priority="2378" operator="lessThan">
      <formula>TODAY()</formula>
    </cfRule>
    <cfRule type="cellIs" dxfId="1751" priority="2379" operator="lessThan">
      <formula>TODAY()</formula>
    </cfRule>
  </conditionalFormatting>
  <conditionalFormatting sqref="AA883">
    <cfRule type="cellIs" dxfId="1750" priority="2376" operator="lessThan">
      <formula>TODAY()</formula>
    </cfRule>
    <cfRule type="cellIs" dxfId="1749" priority="2377" operator="lessThan">
      <formula>TODAY()</formula>
    </cfRule>
  </conditionalFormatting>
  <conditionalFormatting sqref="V883:V884">
    <cfRule type="cellIs" dxfId="1748" priority="2375" operator="equal">
      <formula>"WRONG"</formula>
    </cfRule>
  </conditionalFormatting>
  <conditionalFormatting sqref="AA937">
    <cfRule type="cellIs" dxfId="1747" priority="2371" operator="lessThan">
      <formula>TODAY()</formula>
    </cfRule>
    <cfRule type="cellIs" dxfId="1746" priority="2372" operator="lessThan">
      <formula>TODAY()</formula>
    </cfRule>
  </conditionalFormatting>
  <conditionalFormatting sqref="AA924">
    <cfRule type="cellIs" dxfId="1745" priority="2369" operator="lessThan">
      <formula>TODAY()</formula>
    </cfRule>
    <cfRule type="cellIs" dxfId="1744" priority="2370" operator="lessThan">
      <formula>TODAY()</formula>
    </cfRule>
  </conditionalFormatting>
  <conditionalFormatting sqref="V924 V937">
    <cfRule type="cellIs" dxfId="1743" priority="2368" operator="equal">
      <formula>"WRONG"</formula>
    </cfRule>
  </conditionalFormatting>
  <conditionalFormatting sqref="AA923">
    <cfRule type="cellIs" dxfId="1742" priority="2364" operator="lessThan">
      <formula>TODAY()</formula>
    </cfRule>
    <cfRule type="cellIs" dxfId="1741" priority="2365" operator="lessThan">
      <formula>TODAY()</formula>
    </cfRule>
  </conditionalFormatting>
  <conditionalFormatting sqref="V923">
    <cfRule type="cellIs" dxfId="1740" priority="2363" operator="equal">
      <formula>"WRONG"</formula>
    </cfRule>
  </conditionalFormatting>
  <conditionalFormatting sqref="AA921">
    <cfRule type="cellIs" dxfId="1739" priority="2359" operator="lessThan">
      <formula>TODAY()</formula>
    </cfRule>
    <cfRule type="cellIs" dxfId="1738" priority="2360" operator="lessThan">
      <formula>TODAY()</formula>
    </cfRule>
  </conditionalFormatting>
  <conditionalFormatting sqref="AA920">
    <cfRule type="cellIs" dxfId="1737" priority="2357" operator="lessThan">
      <formula>TODAY()</formula>
    </cfRule>
    <cfRule type="cellIs" dxfId="1736" priority="2358" operator="lessThan">
      <formula>TODAY()</formula>
    </cfRule>
  </conditionalFormatting>
  <conditionalFormatting sqref="V920:V921">
    <cfRule type="cellIs" dxfId="1735" priority="2356" operator="equal">
      <formula>"WRONG"</formula>
    </cfRule>
  </conditionalFormatting>
  <conditionalFormatting sqref="AA922">
    <cfRule type="cellIs" dxfId="1734" priority="2352" operator="lessThan">
      <formula>TODAY()</formula>
    </cfRule>
    <cfRule type="cellIs" dxfId="1733" priority="2353" operator="lessThan">
      <formula>TODAY()</formula>
    </cfRule>
  </conditionalFormatting>
  <conditionalFormatting sqref="V922">
    <cfRule type="cellIs" dxfId="1732" priority="2351" operator="equal">
      <formula>"WRONG"</formula>
    </cfRule>
  </conditionalFormatting>
  <conditionalFormatting sqref="AA886">
    <cfRule type="cellIs" dxfId="1731" priority="2345" operator="lessThan">
      <formula>TODAY()</formula>
    </cfRule>
    <cfRule type="cellIs" dxfId="1730" priority="2346" operator="lessThan">
      <formula>TODAY()</formula>
    </cfRule>
  </conditionalFormatting>
  <conditionalFormatting sqref="AA936">
    <cfRule type="cellIs" dxfId="1729" priority="2340" operator="lessThan">
      <formula>TODAY()</formula>
    </cfRule>
    <cfRule type="cellIs" dxfId="1728" priority="2341" operator="lessThan">
      <formula>TODAY()</formula>
    </cfRule>
  </conditionalFormatting>
  <conditionalFormatting sqref="V936">
    <cfRule type="cellIs" dxfId="1727" priority="2339" operator="equal">
      <formula>"WRONG"</formula>
    </cfRule>
  </conditionalFormatting>
  <conditionalFormatting sqref="AA945">
    <cfRule type="cellIs" dxfId="1726" priority="2328" operator="lessThan">
      <formula>TODAY()</formula>
    </cfRule>
    <cfRule type="cellIs" dxfId="1725" priority="2329" operator="lessThan">
      <formula>TODAY()</formula>
    </cfRule>
  </conditionalFormatting>
  <conditionalFormatting sqref="AA934">
    <cfRule type="cellIs" dxfId="1724" priority="2323" operator="lessThan">
      <formula>TODAY()</formula>
    </cfRule>
    <cfRule type="cellIs" dxfId="1723" priority="2324" operator="lessThan">
      <formula>TODAY()</formula>
    </cfRule>
  </conditionalFormatting>
  <conditionalFormatting sqref="V934">
    <cfRule type="cellIs" dxfId="1722" priority="2322" operator="equal">
      <formula>"WRONG"</formula>
    </cfRule>
  </conditionalFormatting>
  <conditionalFormatting sqref="AA925">
    <cfRule type="cellIs" dxfId="1721" priority="2316" operator="lessThan">
      <formula>TODAY()</formula>
    </cfRule>
    <cfRule type="cellIs" dxfId="1720" priority="2317" operator="lessThan">
      <formula>TODAY()</formula>
    </cfRule>
  </conditionalFormatting>
  <conditionalFormatting sqref="AA1232:AA1236">
    <cfRule type="cellIs" dxfId="1719" priority="2301" operator="lessThan">
      <formula>TODAY()</formula>
    </cfRule>
    <cfRule type="cellIs" dxfId="1718" priority="2302" operator="lessThan">
      <formula>TODAY()</formula>
    </cfRule>
  </conditionalFormatting>
  <conditionalFormatting sqref="AA912">
    <cfRule type="cellIs" dxfId="1717" priority="2275" operator="lessThan">
      <formula>TODAY()</formula>
    </cfRule>
    <cfRule type="cellIs" dxfId="1716" priority="2276" operator="lessThan">
      <formula>TODAY()</formula>
    </cfRule>
  </conditionalFormatting>
  <conditionalFormatting sqref="V912">
    <cfRule type="cellIs" dxfId="1715" priority="2274" operator="equal">
      <formula>"WRONG"</formula>
    </cfRule>
  </conditionalFormatting>
  <conditionalFormatting sqref="AA913">
    <cfRule type="cellIs" dxfId="1714" priority="2256" operator="lessThan">
      <formula>TODAY()</formula>
    </cfRule>
    <cfRule type="cellIs" dxfId="1713" priority="2257" operator="lessThan">
      <formula>TODAY()</formula>
    </cfRule>
  </conditionalFormatting>
  <conditionalFormatting sqref="V913">
    <cfRule type="cellIs" dxfId="1712" priority="2255" operator="equal">
      <formula>"WRONG"</formula>
    </cfRule>
  </conditionalFormatting>
  <conditionalFormatting sqref="AA879">
    <cfRule type="cellIs" dxfId="1711" priority="2251" operator="lessThan">
      <formula>TODAY()</formula>
    </cfRule>
    <cfRule type="cellIs" dxfId="1710" priority="2252" operator="lessThan">
      <formula>TODAY()</formula>
    </cfRule>
  </conditionalFormatting>
  <conditionalFormatting sqref="V879">
    <cfRule type="cellIs" dxfId="1709" priority="2250" operator="equal">
      <formula>"WRONG"</formula>
    </cfRule>
  </conditionalFormatting>
  <conditionalFormatting sqref="V663">
    <cfRule type="cellIs" dxfId="1708" priority="2217" operator="equal">
      <formula>"WRONG"</formula>
    </cfRule>
  </conditionalFormatting>
  <conditionalFormatting sqref="V677">
    <cfRule type="cellIs" dxfId="1707" priority="2214" operator="equal">
      <formula>"WRONG"</formula>
    </cfRule>
  </conditionalFormatting>
  <conditionalFormatting sqref="V928:V929">
    <cfRule type="cellIs" dxfId="1706" priority="2211" operator="equal">
      <formula>"WRONG"</formula>
    </cfRule>
  </conditionalFormatting>
  <conditionalFormatting sqref="AA928:AA929">
    <cfRule type="cellIs" dxfId="1705" priority="2209" operator="lessThan">
      <formula>TODAY()</formula>
    </cfRule>
    <cfRule type="cellIs" dxfId="1704" priority="2210" operator="lessThan">
      <formula>TODAY()</formula>
    </cfRule>
  </conditionalFormatting>
  <conditionalFormatting sqref="AA928">
    <cfRule type="cellIs" dxfId="1703" priority="2207" operator="lessThan">
      <formula>TODAY()</formula>
    </cfRule>
    <cfRule type="cellIs" dxfId="1702" priority="2208" operator="lessThan">
      <formula>TODAY()</formula>
    </cfRule>
  </conditionalFormatting>
  <conditionalFormatting sqref="V928">
    <cfRule type="cellIs" dxfId="1701" priority="2206" operator="equal">
      <formula>"WRONG"</formula>
    </cfRule>
  </conditionalFormatting>
  <conditionalFormatting sqref="AA929">
    <cfRule type="cellIs" dxfId="1700" priority="2204" operator="lessThan">
      <formula>TODAY()</formula>
    </cfRule>
    <cfRule type="cellIs" dxfId="1699" priority="2205" operator="lessThan">
      <formula>TODAY()</formula>
    </cfRule>
  </conditionalFormatting>
  <conditionalFormatting sqref="V929">
    <cfRule type="cellIs" dxfId="1698" priority="2203" operator="equal">
      <formula>"WRONG"</formula>
    </cfRule>
  </conditionalFormatting>
  <conditionalFormatting sqref="AA932">
    <cfRule type="cellIs" dxfId="1697" priority="2198" operator="lessThan">
      <formula>TODAY()</formula>
    </cfRule>
    <cfRule type="cellIs" dxfId="1696" priority="2199" operator="lessThan">
      <formula>TODAY()</formula>
    </cfRule>
  </conditionalFormatting>
  <conditionalFormatting sqref="V932">
    <cfRule type="cellIs" dxfId="1695" priority="2197" operator="equal">
      <formula>"WRONG"</formula>
    </cfRule>
  </conditionalFormatting>
  <conditionalFormatting sqref="AA930">
    <cfRule type="cellIs" dxfId="1694" priority="2195" operator="lessThan">
      <formula>TODAY()</formula>
    </cfRule>
    <cfRule type="cellIs" dxfId="1693" priority="2196" operator="lessThan">
      <formula>TODAY()</formula>
    </cfRule>
  </conditionalFormatting>
  <conditionalFormatting sqref="V930">
    <cfRule type="cellIs" dxfId="1692" priority="2194" operator="equal">
      <formula>"WRONG"</formula>
    </cfRule>
  </conditionalFormatting>
  <conditionalFormatting sqref="AA961">
    <cfRule type="cellIs" dxfId="1691" priority="2150" operator="lessThan">
      <formula>TODAY()</formula>
    </cfRule>
    <cfRule type="cellIs" dxfId="1690" priority="2151" operator="lessThan">
      <formula>TODAY()</formula>
    </cfRule>
  </conditionalFormatting>
  <conditionalFormatting sqref="V961">
    <cfRule type="cellIs" dxfId="1689" priority="2149" operator="equal">
      <formula>"WRONG"</formula>
    </cfRule>
  </conditionalFormatting>
  <conditionalFormatting sqref="AA917:AA919">
    <cfRule type="cellIs" dxfId="1688" priority="2147" operator="lessThan">
      <formula>TODAY()</formula>
    </cfRule>
    <cfRule type="cellIs" dxfId="1687" priority="2148" operator="lessThan">
      <formula>TODAY()</formula>
    </cfRule>
  </conditionalFormatting>
  <conditionalFormatting sqref="V917:V919">
    <cfRule type="cellIs" dxfId="1686" priority="2146" operator="equal">
      <formula>"WRONG"</formula>
    </cfRule>
  </conditionalFormatting>
  <conditionalFormatting sqref="AA915">
    <cfRule type="cellIs" dxfId="1685" priority="2144" operator="lessThan">
      <formula>TODAY()</formula>
    </cfRule>
    <cfRule type="cellIs" dxfId="1684" priority="2145" operator="lessThan">
      <formula>TODAY()</formula>
    </cfRule>
  </conditionalFormatting>
  <conditionalFormatting sqref="V915">
    <cfRule type="cellIs" dxfId="1683" priority="2143" operator="equal">
      <formula>"WRONG"</formula>
    </cfRule>
  </conditionalFormatting>
  <conditionalFormatting sqref="AA916">
    <cfRule type="cellIs" dxfId="1682" priority="2141" operator="lessThan">
      <formula>TODAY()</formula>
    </cfRule>
    <cfRule type="cellIs" dxfId="1681" priority="2142" operator="lessThan">
      <formula>TODAY()</formula>
    </cfRule>
  </conditionalFormatting>
  <conditionalFormatting sqref="V916">
    <cfRule type="cellIs" dxfId="1680" priority="2140" operator="equal">
      <formula>"WRONG"</formula>
    </cfRule>
  </conditionalFormatting>
  <conditionalFormatting sqref="AA999">
    <cfRule type="cellIs" dxfId="1679" priority="2133" operator="lessThan">
      <formula>TODAY()</formula>
    </cfRule>
    <cfRule type="cellIs" dxfId="1678" priority="2134" operator="lessThan">
      <formula>TODAY()</formula>
    </cfRule>
  </conditionalFormatting>
  <conditionalFormatting sqref="V999">
    <cfRule type="cellIs" dxfId="1677" priority="2132" operator="equal">
      <formula>"WRONG"</formula>
    </cfRule>
  </conditionalFormatting>
  <conditionalFormatting sqref="AA998">
    <cfRule type="cellIs" dxfId="1676" priority="2113" operator="lessThan">
      <formula>TODAY()</formula>
    </cfRule>
    <cfRule type="cellIs" dxfId="1675" priority="2114" operator="lessThan">
      <formula>TODAY()</formula>
    </cfRule>
  </conditionalFormatting>
  <conditionalFormatting sqref="V998">
    <cfRule type="cellIs" dxfId="1674" priority="2112" operator="equal">
      <formula>"WRONG"</formula>
    </cfRule>
  </conditionalFormatting>
  <conditionalFormatting sqref="AA1119">
    <cfRule type="cellIs" dxfId="1673" priority="2093" operator="lessThan">
      <formula>TODAY()</formula>
    </cfRule>
    <cfRule type="cellIs" dxfId="1672" priority="2094" operator="lessThan">
      <formula>TODAY()</formula>
    </cfRule>
  </conditionalFormatting>
  <conditionalFormatting sqref="AA1118">
    <cfRule type="cellIs" dxfId="1671" priority="2087" operator="lessThan">
      <formula>TODAY()</formula>
    </cfRule>
    <cfRule type="cellIs" dxfId="1670" priority="2088" operator="lessThan">
      <formula>TODAY()</formula>
    </cfRule>
  </conditionalFormatting>
  <conditionalFormatting sqref="V1118">
    <cfRule type="cellIs" dxfId="1669" priority="2086" operator="equal">
      <formula>"WRONG"</formula>
    </cfRule>
  </conditionalFormatting>
  <conditionalFormatting sqref="V919">
    <cfRule type="cellIs" dxfId="1668" priority="2084" operator="equal">
      <formula>"WRONG"</formula>
    </cfRule>
  </conditionalFormatting>
  <conditionalFormatting sqref="AA919">
    <cfRule type="cellIs" dxfId="1667" priority="2082" operator="lessThan">
      <formula>TODAY()</formula>
    </cfRule>
    <cfRule type="cellIs" dxfId="1666" priority="2083" operator="lessThan">
      <formula>TODAY()</formula>
    </cfRule>
  </conditionalFormatting>
  <conditionalFormatting sqref="AA919">
    <cfRule type="cellIs" dxfId="1665" priority="2080" operator="lessThan">
      <formula>TODAY()</formula>
    </cfRule>
    <cfRule type="cellIs" dxfId="1664" priority="2081" operator="lessThan">
      <formula>TODAY()</formula>
    </cfRule>
  </conditionalFormatting>
  <conditionalFormatting sqref="V919">
    <cfRule type="cellIs" dxfId="1663" priority="2079" operator="equal">
      <formula>"WRONG"</formula>
    </cfRule>
  </conditionalFormatting>
  <conditionalFormatting sqref="V959">
    <cfRule type="cellIs" dxfId="1662" priority="2066" operator="equal">
      <formula>"WRONG"</formula>
    </cfRule>
  </conditionalFormatting>
  <conditionalFormatting sqref="AA959">
    <cfRule type="cellIs" dxfId="1661" priority="2064" operator="lessThan">
      <formula>TODAY()</formula>
    </cfRule>
    <cfRule type="cellIs" dxfId="1660" priority="2065" operator="lessThan">
      <formula>TODAY()</formula>
    </cfRule>
  </conditionalFormatting>
  <conditionalFormatting sqref="AA960:AA962">
    <cfRule type="cellIs" dxfId="1659" priority="2062" operator="lessThan">
      <formula>TODAY()</formula>
    </cfRule>
    <cfRule type="cellIs" dxfId="1658" priority="2063" operator="lessThan">
      <formula>TODAY()</formula>
    </cfRule>
  </conditionalFormatting>
  <conditionalFormatting sqref="V960:V962">
    <cfRule type="cellIs" dxfId="1657" priority="2061" operator="equal">
      <formula>"WRONG"</formula>
    </cfRule>
  </conditionalFormatting>
  <conditionalFormatting sqref="AA959">
    <cfRule type="cellIs" dxfId="1656" priority="2059" operator="lessThan">
      <formula>TODAY()</formula>
    </cfRule>
    <cfRule type="cellIs" dxfId="1655" priority="2060" operator="lessThan">
      <formula>TODAY()</formula>
    </cfRule>
  </conditionalFormatting>
  <conditionalFormatting sqref="V959">
    <cfRule type="cellIs" dxfId="1654" priority="2058" operator="equal">
      <formula>"WRONG"</formula>
    </cfRule>
  </conditionalFormatting>
  <conditionalFormatting sqref="V957">
    <cfRule type="cellIs" dxfId="1653" priority="2056" operator="equal">
      <formula>"WRONG"</formula>
    </cfRule>
  </conditionalFormatting>
  <conditionalFormatting sqref="AA957">
    <cfRule type="cellIs" dxfId="1652" priority="2054" operator="lessThan">
      <formula>TODAY()</formula>
    </cfRule>
    <cfRule type="cellIs" dxfId="1651" priority="2055" operator="lessThan">
      <formula>TODAY()</formula>
    </cfRule>
  </conditionalFormatting>
  <conditionalFormatting sqref="AA958:AA962">
    <cfRule type="cellIs" dxfId="1650" priority="2052" operator="lessThan">
      <formula>TODAY()</formula>
    </cfRule>
    <cfRule type="cellIs" dxfId="1649" priority="2053" operator="lessThan">
      <formula>TODAY()</formula>
    </cfRule>
  </conditionalFormatting>
  <conditionalFormatting sqref="V958:V962">
    <cfRule type="cellIs" dxfId="1648" priority="2051" operator="equal">
      <formula>"WRONG"</formula>
    </cfRule>
  </conditionalFormatting>
  <conditionalFormatting sqref="AA957">
    <cfRule type="cellIs" dxfId="1647" priority="2049" operator="lessThan">
      <formula>TODAY()</formula>
    </cfRule>
    <cfRule type="cellIs" dxfId="1646" priority="2050" operator="lessThan">
      <formula>TODAY()</formula>
    </cfRule>
  </conditionalFormatting>
  <conditionalFormatting sqref="V957">
    <cfRule type="cellIs" dxfId="1645" priority="2048" operator="equal">
      <formula>"WRONG"</formula>
    </cfRule>
  </conditionalFormatting>
  <conditionalFormatting sqref="V955">
    <cfRule type="cellIs" dxfId="1644" priority="2046" operator="equal">
      <formula>"WRONG"</formula>
    </cfRule>
  </conditionalFormatting>
  <conditionalFormatting sqref="AA955">
    <cfRule type="cellIs" dxfId="1643" priority="2044" operator="lessThan">
      <formula>TODAY()</formula>
    </cfRule>
    <cfRule type="cellIs" dxfId="1642" priority="2045" operator="lessThan">
      <formula>TODAY()</formula>
    </cfRule>
  </conditionalFormatting>
  <conditionalFormatting sqref="AA956">
    <cfRule type="cellIs" dxfId="1641" priority="2042" operator="lessThan">
      <formula>TODAY()</formula>
    </cfRule>
    <cfRule type="cellIs" dxfId="1640" priority="2043" operator="lessThan">
      <formula>TODAY()</formula>
    </cfRule>
  </conditionalFormatting>
  <conditionalFormatting sqref="V956">
    <cfRule type="cellIs" dxfId="1639" priority="2041" operator="equal">
      <formula>"WRONG"</formula>
    </cfRule>
  </conditionalFormatting>
  <conditionalFormatting sqref="AA955">
    <cfRule type="cellIs" dxfId="1638" priority="2039" operator="lessThan">
      <formula>TODAY()</formula>
    </cfRule>
    <cfRule type="cellIs" dxfId="1637" priority="2040" operator="lessThan">
      <formula>TODAY()</formula>
    </cfRule>
  </conditionalFormatting>
  <conditionalFormatting sqref="V955">
    <cfRule type="cellIs" dxfId="1636" priority="2038" operator="equal">
      <formula>"WRONG"</formula>
    </cfRule>
  </conditionalFormatting>
  <conditionalFormatting sqref="V963">
    <cfRule type="cellIs" dxfId="1635" priority="2026" operator="equal">
      <formula>"WRONG"</formula>
    </cfRule>
  </conditionalFormatting>
  <conditionalFormatting sqref="AA963">
    <cfRule type="cellIs" dxfId="1634" priority="2024" operator="lessThan">
      <formula>TODAY()</formula>
    </cfRule>
    <cfRule type="cellIs" dxfId="1633" priority="2025" operator="lessThan">
      <formula>TODAY()</formula>
    </cfRule>
  </conditionalFormatting>
  <conditionalFormatting sqref="AA963">
    <cfRule type="cellIs" dxfId="1632" priority="2019" operator="lessThan">
      <formula>TODAY()</formula>
    </cfRule>
    <cfRule type="cellIs" dxfId="1631" priority="2020" operator="lessThan">
      <formula>TODAY()</formula>
    </cfRule>
  </conditionalFormatting>
  <conditionalFormatting sqref="V963">
    <cfRule type="cellIs" dxfId="1630" priority="2018" operator="equal">
      <formula>"WRONG"</formula>
    </cfRule>
  </conditionalFormatting>
  <conditionalFormatting sqref="V967">
    <cfRule type="cellIs" dxfId="1629" priority="2013" operator="equal">
      <formula>"WRONG"</formula>
    </cfRule>
  </conditionalFormatting>
  <conditionalFormatting sqref="AA967">
    <cfRule type="cellIs" dxfId="1628" priority="2011" operator="lessThan">
      <formula>TODAY()</formula>
    </cfRule>
    <cfRule type="cellIs" dxfId="1627" priority="2012" operator="lessThan">
      <formula>TODAY()</formula>
    </cfRule>
  </conditionalFormatting>
  <conditionalFormatting sqref="AA965">
    <cfRule type="cellIs" dxfId="1626" priority="2009" operator="lessThan">
      <formula>TODAY()</formula>
    </cfRule>
    <cfRule type="cellIs" dxfId="1625" priority="2010" operator="lessThan">
      <formula>TODAY()</formula>
    </cfRule>
  </conditionalFormatting>
  <conditionalFormatting sqref="V965">
    <cfRule type="cellIs" dxfId="1624" priority="2008" operator="equal">
      <formula>"WRONG"</formula>
    </cfRule>
  </conditionalFormatting>
  <conditionalFormatting sqref="AA967">
    <cfRule type="cellIs" dxfId="1623" priority="2006" operator="lessThan">
      <formula>TODAY()</formula>
    </cfRule>
    <cfRule type="cellIs" dxfId="1622" priority="2007" operator="lessThan">
      <formula>TODAY()</formula>
    </cfRule>
  </conditionalFormatting>
  <conditionalFormatting sqref="V967">
    <cfRule type="cellIs" dxfId="1621" priority="2005" operator="equal">
      <formula>"WRONG"</formula>
    </cfRule>
  </conditionalFormatting>
  <conditionalFormatting sqref="A965 A967">
    <cfRule type="duplicateValues" dxfId="1620" priority="2014"/>
  </conditionalFormatting>
  <conditionalFormatting sqref="V966:V967">
    <cfRule type="cellIs" dxfId="1619" priority="2003" operator="equal">
      <formula>"WRONG"</formula>
    </cfRule>
  </conditionalFormatting>
  <conditionalFormatting sqref="AA966:AA967">
    <cfRule type="cellIs" dxfId="1618" priority="2001" operator="lessThan">
      <formula>TODAY()</formula>
    </cfRule>
    <cfRule type="cellIs" dxfId="1617" priority="2002" operator="lessThan">
      <formula>TODAY()</formula>
    </cfRule>
  </conditionalFormatting>
  <conditionalFormatting sqref="AA973">
    <cfRule type="cellIs" dxfId="1616" priority="1999" operator="lessThan">
      <formula>TODAY()</formula>
    </cfRule>
    <cfRule type="cellIs" dxfId="1615" priority="2000" operator="lessThan">
      <formula>TODAY()</formula>
    </cfRule>
  </conditionalFormatting>
  <conditionalFormatting sqref="V973">
    <cfRule type="cellIs" dxfId="1614" priority="1998" operator="equal">
      <formula>"WRONG"</formula>
    </cfRule>
  </conditionalFormatting>
  <conditionalFormatting sqref="AA966:AA967">
    <cfRule type="cellIs" dxfId="1613" priority="1996" operator="lessThan">
      <formula>TODAY()</formula>
    </cfRule>
    <cfRule type="cellIs" dxfId="1612" priority="1997" operator="lessThan">
      <formula>TODAY()</formula>
    </cfRule>
  </conditionalFormatting>
  <conditionalFormatting sqref="V966:V967">
    <cfRule type="cellIs" dxfId="1611" priority="1995" operator="equal">
      <formula>"WRONG"</formula>
    </cfRule>
  </conditionalFormatting>
  <conditionalFormatting sqref="V974">
    <cfRule type="cellIs" dxfId="1610" priority="1993" operator="equal">
      <formula>"WRONG"</formula>
    </cfRule>
  </conditionalFormatting>
  <conditionalFormatting sqref="AA974">
    <cfRule type="cellIs" dxfId="1609" priority="1991" operator="lessThan">
      <formula>TODAY()</formula>
    </cfRule>
    <cfRule type="cellIs" dxfId="1608" priority="1992" operator="lessThan">
      <formula>TODAY()</formula>
    </cfRule>
  </conditionalFormatting>
  <conditionalFormatting sqref="AA975">
    <cfRule type="cellIs" dxfId="1607" priority="1989" operator="lessThan">
      <formula>TODAY()</formula>
    </cfRule>
    <cfRule type="cellIs" dxfId="1606" priority="1990" operator="lessThan">
      <formula>TODAY()</formula>
    </cfRule>
  </conditionalFormatting>
  <conditionalFormatting sqref="V975">
    <cfRule type="cellIs" dxfId="1605" priority="1988" operator="equal">
      <formula>"WRONG"</formula>
    </cfRule>
  </conditionalFormatting>
  <conditionalFormatting sqref="AA974">
    <cfRule type="cellIs" dxfId="1604" priority="1986" operator="lessThan">
      <formula>TODAY()</formula>
    </cfRule>
    <cfRule type="cellIs" dxfId="1603" priority="1987" operator="lessThan">
      <formula>TODAY()</formula>
    </cfRule>
  </conditionalFormatting>
  <conditionalFormatting sqref="V974">
    <cfRule type="cellIs" dxfId="1602" priority="1985" operator="equal">
      <formula>"WRONG"</formula>
    </cfRule>
  </conditionalFormatting>
  <conditionalFormatting sqref="A974:A975">
    <cfRule type="duplicateValues" dxfId="1601" priority="1994"/>
  </conditionalFormatting>
  <conditionalFormatting sqref="A976">
    <cfRule type="duplicateValues" dxfId="1600" priority="1984"/>
  </conditionalFormatting>
  <conditionalFormatting sqref="AA954">
    <cfRule type="cellIs" dxfId="1599" priority="1969" operator="lessThan">
      <formula>TODAY()</formula>
    </cfRule>
    <cfRule type="cellIs" dxfId="1598" priority="1970" operator="lessThan">
      <formula>TODAY()</formula>
    </cfRule>
  </conditionalFormatting>
  <conditionalFormatting sqref="V954">
    <cfRule type="cellIs" dxfId="1597" priority="1968" operator="equal">
      <formula>"WRONG"</formula>
    </cfRule>
  </conditionalFormatting>
  <conditionalFormatting sqref="V968:V972">
    <cfRule type="cellIs" dxfId="1596" priority="1963" operator="equal">
      <formula>"WRONG"</formula>
    </cfRule>
  </conditionalFormatting>
  <conditionalFormatting sqref="AA968:AA972">
    <cfRule type="cellIs" dxfId="1595" priority="1961" operator="lessThan">
      <formula>TODAY()</formula>
    </cfRule>
    <cfRule type="cellIs" dxfId="1594" priority="1962" operator="lessThan">
      <formula>TODAY()</formula>
    </cfRule>
  </conditionalFormatting>
  <conditionalFormatting sqref="AA977">
    <cfRule type="cellIs" dxfId="1593" priority="1959" operator="lessThan">
      <formula>TODAY()</formula>
    </cfRule>
    <cfRule type="cellIs" dxfId="1592" priority="1960" operator="lessThan">
      <formula>TODAY()</formula>
    </cfRule>
  </conditionalFormatting>
  <conditionalFormatting sqref="V977">
    <cfRule type="cellIs" dxfId="1591" priority="1958" operator="equal">
      <formula>"WRONG"</formula>
    </cfRule>
  </conditionalFormatting>
  <conditionalFormatting sqref="AA968:AA972">
    <cfRule type="cellIs" dxfId="1590" priority="1956" operator="lessThan">
      <formula>TODAY()</formula>
    </cfRule>
    <cfRule type="cellIs" dxfId="1589" priority="1957" operator="lessThan">
      <formula>TODAY()</formula>
    </cfRule>
  </conditionalFormatting>
  <conditionalFormatting sqref="V968:V972">
    <cfRule type="cellIs" dxfId="1588" priority="1955" operator="equal">
      <formula>"WRONG"</formula>
    </cfRule>
  </conditionalFormatting>
  <conditionalFormatting sqref="V1009">
    <cfRule type="cellIs" dxfId="1587" priority="1953" operator="equal">
      <formula>"WRONG"</formula>
    </cfRule>
  </conditionalFormatting>
  <conditionalFormatting sqref="AA1009">
    <cfRule type="cellIs" dxfId="1586" priority="1951" operator="lessThan">
      <formula>TODAY()</formula>
    </cfRule>
    <cfRule type="cellIs" dxfId="1585" priority="1952" operator="lessThan">
      <formula>TODAY()</formula>
    </cfRule>
  </conditionalFormatting>
  <conditionalFormatting sqref="AA1038">
    <cfRule type="cellIs" dxfId="1584" priority="1949" operator="lessThan">
      <formula>TODAY()</formula>
    </cfRule>
    <cfRule type="cellIs" dxfId="1583" priority="1950" operator="lessThan">
      <formula>TODAY()</formula>
    </cfRule>
  </conditionalFormatting>
  <conditionalFormatting sqref="V1038">
    <cfRule type="cellIs" dxfId="1582" priority="1948" operator="equal">
      <formula>"WRONG"</formula>
    </cfRule>
  </conditionalFormatting>
  <conditionalFormatting sqref="AA1009">
    <cfRule type="cellIs" dxfId="1581" priority="1946" operator="lessThan">
      <formula>TODAY()</formula>
    </cfRule>
    <cfRule type="cellIs" dxfId="1580" priority="1947" operator="lessThan">
      <formula>TODAY()</formula>
    </cfRule>
  </conditionalFormatting>
  <conditionalFormatting sqref="V1009">
    <cfRule type="cellIs" dxfId="1579" priority="1945" operator="equal">
      <formula>"WRONG"</formula>
    </cfRule>
  </conditionalFormatting>
  <conditionalFormatting sqref="AA989">
    <cfRule type="cellIs" dxfId="1578" priority="1939" operator="lessThan">
      <formula>TODAY()</formula>
    </cfRule>
    <cfRule type="cellIs" dxfId="1577" priority="1940" operator="lessThan">
      <formula>TODAY()</formula>
    </cfRule>
  </conditionalFormatting>
  <conditionalFormatting sqref="V989">
    <cfRule type="cellIs" dxfId="1576" priority="1938" operator="equal">
      <formula>"WRONG"</formula>
    </cfRule>
  </conditionalFormatting>
  <conditionalFormatting sqref="V990:V991">
    <cfRule type="cellIs" dxfId="1575" priority="1933" operator="equal">
      <formula>"WRONG"</formula>
    </cfRule>
  </conditionalFormatting>
  <conditionalFormatting sqref="AA990:AA991">
    <cfRule type="cellIs" dxfId="1574" priority="1931" operator="lessThan">
      <formula>TODAY()</formula>
    </cfRule>
    <cfRule type="cellIs" dxfId="1573" priority="1932" operator="lessThan">
      <formula>TODAY()</formula>
    </cfRule>
  </conditionalFormatting>
  <conditionalFormatting sqref="AA992">
    <cfRule type="cellIs" dxfId="1572" priority="1929" operator="lessThan">
      <formula>TODAY()</formula>
    </cfRule>
    <cfRule type="cellIs" dxfId="1571" priority="1930" operator="lessThan">
      <formula>TODAY()</formula>
    </cfRule>
  </conditionalFormatting>
  <conditionalFormatting sqref="V992">
    <cfRule type="cellIs" dxfId="1570" priority="1928" operator="equal">
      <formula>"WRONG"</formula>
    </cfRule>
  </conditionalFormatting>
  <conditionalFormatting sqref="AA990:AA991">
    <cfRule type="cellIs" dxfId="1569" priority="1926" operator="lessThan">
      <formula>TODAY()</formula>
    </cfRule>
    <cfRule type="cellIs" dxfId="1568" priority="1927" operator="lessThan">
      <formula>TODAY()</formula>
    </cfRule>
  </conditionalFormatting>
  <conditionalFormatting sqref="V990:V991">
    <cfRule type="cellIs" dxfId="1567" priority="1925" operator="equal">
      <formula>"WRONG"</formula>
    </cfRule>
  </conditionalFormatting>
  <conditionalFormatting sqref="A992">
    <cfRule type="duplicateValues" dxfId="1566" priority="1934"/>
  </conditionalFormatting>
  <conditionalFormatting sqref="AA991">
    <cfRule type="cellIs" dxfId="1565" priority="1919" operator="lessThan">
      <formula>TODAY()</formula>
    </cfRule>
    <cfRule type="cellIs" dxfId="1564" priority="1920" operator="lessThan">
      <formula>TODAY()</formula>
    </cfRule>
  </conditionalFormatting>
  <conditionalFormatting sqref="V991">
    <cfRule type="cellIs" dxfId="1563" priority="1918" operator="equal">
      <formula>"WRONG"</formula>
    </cfRule>
  </conditionalFormatting>
  <conditionalFormatting sqref="A993 A991">
    <cfRule type="duplicateValues" dxfId="1562" priority="1924"/>
  </conditionalFormatting>
  <conditionalFormatting sqref="A988">
    <cfRule type="duplicateValues" dxfId="1561" priority="1914"/>
  </conditionalFormatting>
  <conditionalFormatting sqref="AA971">
    <cfRule type="cellIs" dxfId="1560" priority="1899" operator="lessThan">
      <formula>TODAY()</formula>
    </cfRule>
    <cfRule type="cellIs" dxfId="1559" priority="1900" operator="lessThan">
      <formula>TODAY()</formula>
    </cfRule>
  </conditionalFormatting>
  <conditionalFormatting sqref="V971">
    <cfRule type="cellIs" dxfId="1558" priority="1898" operator="equal">
      <formula>"WRONG"</formula>
    </cfRule>
  </conditionalFormatting>
  <conditionalFormatting sqref="V972">
    <cfRule type="cellIs" dxfId="1557" priority="1893" operator="equal">
      <formula>"WRONG"</formula>
    </cfRule>
  </conditionalFormatting>
  <conditionalFormatting sqref="AA972">
    <cfRule type="cellIs" dxfId="1556" priority="1891" operator="lessThan">
      <formula>TODAY()</formula>
    </cfRule>
    <cfRule type="cellIs" dxfId="1555" priority="1892" operator="lessThan">
      <formula>TODAY()</formula>
    </cfRule>
  </conditionalFormatting>
  <conditionalFormatting sqref="AA1006">
    <cfRule type="cellIs" dxfId="1554" priority="1889" operator="lessThan">
      <formula>TODAY()</formula>
    </cfRule>
    <cfRule type="cellIs" dxfId="1553" priority="1890" operator="lessThan">
      <formula>TODAY()</formula>
    </cfRule>
  </conditionalFormatting>
  <conditionalFormatting sqref="V1006">
    <cfRule type="cellIs" dxfId="1552" priority="1888" operator="equal">
      <formula>"WRONG"</formula>
    </cfRule>
  </conditionalFormatting>
  <conditionalFormatting sqref="AA972">
    <cfRule type="cellIs" dxfId="1551" priority="1886" operator="lessThan">
      <formula>TODAY()</formula>
    </cfRule>
    <cfRule type="cellIs" dxfId="1550" priority="1887" operator="lessThan">
      <formula>TODAY()</formula>
    </cfRule>
  </conditionalFormatting>
  <conditionalFormatting sqref="V972">
    <cfRule type="cellIs" dxfId="1549" priority="1885" operator="equal">
      <formula>"WRONG"</formula>
    </cfRule>
  </conditionalFormatting>
  <conditionalFormatting sqref="V1007">
    <cfRule type="cellIs" dxfId="1548" priority="1883" operator="equal">
      <formula>"WRONG"</formula>
    </cfRule>
  </conditionalFormatting>
  <conditionalFormatting sqref="AA1007">
    <cfRule type="cellIs" dxfId="1547" priority="1881" operator="lessThan">
      <formula>TODAY()</formula>
    </cfRule>
    <cfRule type="cellIs" dxfId="1546" priority="1882" operator="lessThan">
      <formula>TODAY()</formula>
    </cfRule>
  </conditionalFormatting>
  <conditionalFormatting sqref="AA1008">
    <cfRule type="cellIs" dxfId="1545" priority="1879" operator="lessThan">
      <formula>TODAY()</formula>
    </cfRule>
    <cfRule type="cellIs" dxfId="1544" priority="1880" operator="lessThan">
      <formula>TODAY()</formula>
    </cfRule>
  </conditionalFormatting>
  <conditionalFormatting sqref="V1008">
    <cfRule type="cellIs" dxfId="1543" priority="1878" operator="equal">
      <formula>"WRONG"</formula>
    </cfRule>
  </conditionalFormatting>
  <conditionalFormatting sqref="AA1007">
    <cfRule type="cellIs" dxfId="1542" priority="1876" operator="lessThan">
      <formula>TODAY()</formula>
    </cfRule>
    <cfRule type="cellIs" dxfId="1541" priority="1877" operator="lessThan">
      <formula>TODAY()</formula>
    </cfRule>
  </conditionalFormatting>
  <conditionalFormatting sqref="V1007">
    <cfRule type="cellIs" dxfId="1540" priority="1875" operator="equal">
      <formula>"WRONG"</formula>
    </cfRule>
  </conditionalFormatting>
  <conditionalFormatting sqref="A990">
    <cfRule type="duplicateValues" dxfId="1539" priority="1874"/>
  </conditionalFormatting>
  <conditionalFormatting sqref="V969">
    <cfRule type="cellIs" dxfId="1538" priority="1872" operator="equal">
      <formula>"WRONG"</formula>
    </cfRule>
  </conditionalFormatting>
  <conditionalFormatting sqref="AA969">
    <cfRule type="cellIs" dxfId="1537" priority="1870" operator="lessThan">
      <formula>TODAY()</formula>
    </cfRule>
    <cfRule type="cellIs" dxfId="1536" priority="1871" operator="lessThan">
      <formula>TODAY()</formula>
    </cfRule>
  </conditionalFormatting>
  <conditionalFormatting sqref="AA969">
    <cfRule type="cellIs" dxfId="1535" priority="1868" operator="lessThan">
      <formula>TODAY()</formula>
    </cfRule>
    <cfRule type="cellIs" dxfId="1534" priority="1869" operator="lessThan">
      <formula>TODAY()</formula>
    </cfRule>
  </conditionalFormatting>
  <conditionalFormatting sqref="V969">
    <cfRule type="cellIs" dxfId="1533" priority="1867" operator="equal">
      <formula>"WRONG"</formula>
    </cfRule>
  </conditionalFormatting>
  <conditionalFormatting sqref="A969">
    <cfRule type="duplicateValues" dxfId="1532" priority="1873"/>
  </conditionalFormatting>
  <conditionalFormatting sqref="A970 A954">
    <cfRule type="duplicateValues" dxfId="1531" priority="6553"/>
  </conditionalFormatting>
  <conditionalFormatting sqref="A973 A966">
    <cfRule type="duplicateValues" dxfId="1530" priority="6562"/>
  </conditionalFormatting>
  <conditionalFormatting sqref="A968">
    <cfRule type="duplicateValues" dxfId="1529" priority="6565"/>
  </conditionalFormatting>
  <conditionalFormatting sqref="V981">
    <cfRule type="cellIs" dxfId="1528" priority="1864" operator="equal">
      <formula>"WRONG"</formula>
    </cfRule>
  </conditionalFormatting>
  <conditionalFormatting sqref="AA981">
    <cfRule type="cellIs" dxfId="1527" priority="1862" operator="lessThan">
      <formula>TODAY()</formula>
    </cfRule>
    <cfRule type="cellIs" dxfId="1526" priority="1863" operator="lessThan">
      <formula>TODAY()</formula>
    </cfRule>
  </conditionalFormatting>
  <conditionalFormatting sqref="AA981">
    <cfRule type="cellIs" dxfId="1525" priority="1857" operator="lessThan">
      <formula>TODAY()</formula>
    </cfRule>
    <cfRule type="cellIs" dxfId="1524" priority="1858" operator="lessThan">
      <formula>TODAY()</formula>
    </cfRule>
  </conditionalFormatting>
  <conditionalFormatting sqref="V981">
    <cfRule type="cellIs" dxfId="1523" priority="1856" operator="equal">
      <formula>"WRONG"</formula>
    </cfRule>
  </conditionalFormatting>
  <conditionalFormatting sqref="V983">
    <cfRule type="cellIs" dxfId="1522" priority="1853" operator="equal">
      <formula>"WRONG"</formula>
    </cfRule>
  </conditionalFormatting>
  <conditionalFormatting sqref="AA983">
    <cfRule type="cellIs" dxfId="1521" priority="1851" operator="lessThan">
      <formula>TODAY()</formula>
    </cfRule>
    <cfRule type="cellIs" dxfId="1520" priority="1852" operator="lessThan">
      <formula>TODAY()</formula>
    </cfRule>
  </conditionalFormatting>
  <conditionalFormatting sqref="AA984">
    <cfRule type="cellIs" dxfId="1519" priority="1849" operator="lessThan">
      <formula>TODAY()</formula>
    </cfRule>
    <cfRule type="cellIs" dxfId="1518" priority="1850" operator="lessThan">
      <formula>TODAY()</formula>
    </cfRule>
  </conditionalFormatting>
  <conditionalFormatting sqref="V984">
    <cfRule type="cellIs" dxfId="1517" priority="1848" operator="equal">
      <formula>"WRONG"</formula>
    </cfRule>
  </conditionalFormatting>
  <conditionalFormatting sqref="AA983">
    <cfRule type="cellIs" dxfId="1516" priority="1846" operator="lessThan">
      <formula>TODAY()</formula>
    </cfRule>
    <cfRule type="cellIs" dxfId="1515" priority="1847" operator="lessThan">
      <formula>TODAY()</formula>
    </cfRule>
  </conditionalFormatting>
  <conditionalFormatting sqref="V983">
    <cfRule type="cellIs" dxfId="1514" priority="1845" operator="equal">
      <formula>"WRONG"</formula>
    </cfRule>
  </conditionalFormatting>
  <conditionalFormatting sqref="V985">
    <cfRule type="cellIs" dxfId="1513" priority="1843" operator="equal">
      <formula>"WRONG"</formula>
    </cfRule>
  </conditionalFormatting>
  <conditionalFormatting sqref="AA985">
    <cfRule type="cellIs" dxfId="1512" priority="1841" operator="lessThan">
      <formula>TODAY()</formula>
    </cfRule>
    <cfRule type="cellIs" dxfId="1511" priority="1842" operator="lessThan">
      <formula>TODAY()</formula>
    </cfRule>
  </conditionalFormatting>
  <conditionalFormatting sqref="AA986 AA988:AA991">
    <cfRule type="cellIs" dxfId="1510" priority="1839" operator="lessThan">
      <formula>TODAY()</formula>
    </cfRule>
    <cfRule type="cellIs" dxfId="1509" priority="1840" operator="lessThan">
      <formula>TODAY()</formula>
    </cfRule>
  </conditionalFormatting>
  <conditionalFormatting sqref="V986 V988:V991">
    <cfRule type="cellIs" dxfId="1508" priority="1838" operator="equal">
      <formula>"WRONG"</formula>
    </cfRule>
  </conditionalFormatting>
  <conditionalFormatting sqref="AA985">
    <cfRule type="cellIs" dxfId="1507" priority="1836" operator="lessThan">
      <formula>TODAY()</formula>
    </cfRule>
    <cfRule type="cellIs" dxfId="1506" priority="1837" operator="lessThan">
      <formula>TODAY()</formula>
    </cfRule>
  </conditionalFormatting>
  <conditionalFormatting sqref="V985">
    <cfRule type="cellIs" dxfId="1505" priority="1835" operator="equal">
      <formula>"WRONG"</formula>
    </cfRule>
  </conditionalFormatting>
  <conditionalFormatting sqref="V979">
    <cfRule type="cellIs" dxfId="1504" priority="1833" operator="equal">
      <formula>"WRONG"</formula>
    </cfRule>
  </conditionalFormatting>
  <conditionalFormatting sqref="AA979">
    <cfRule type="cellIs" dxfId="1503" priority="1831" operator="lessThan">
      <formula>TODAY()</formula>
    </cfRule>
    <cfRule type="cellIs" dxfId="1502" priority="1832" operator="lessThan">
      <formula>TODAY()</formula>
    </cfRule>
  </conditionalFormatting>
  <conditionalFormatting sqref="AA980">
    <cfRule type="cellIs" dxfId="1501" priority="1829" operator="lessThan">
      <formula>TODAY()</formula>
    </cfRule>
    <cfRule type="cellIs" dxfId="1500" priority="1830" operator="lessThan">
      <formula>TODAY()</formula>
    </cfRule>
  </conditionalFormatting>
  <conditionalFormatting sqref="V980">
    <cfRule type="cellIs" dxfId="1499" priority="1828" operator="equal">
      <formula>"WRONG"</formula>
    </cfRule>
  </conditionalFormatting>
  <conditionalFormatting sqref="AA979">
    <cfRule type="cellIs" dxfId="1498" priority="1826" operator="lessThan">
      <formula>TODAY()</formula>
    </cfRule>
    <cfRule type="cellIs" dxfId="1497" priority="1827" operator="lessThan">
      <formula>TODAY()</formula>
    </cfRule>
  </conditionalFormatting>
  <conditionalFormatting sqref="V979">
    <cfRule type="cellIs" dxfId="1496" priority="1825" operator="equal">
      <formula>"WRONG"</formula>
    </cfRule>
  </conditionalFormatting>
  <conditionalFormatting sqref="A988:A993">
    <cfRule type="duplicateValues" dxfId="1495" priority="6574"/>
  </conditionalFormatting>
  <conditionalFormatting sqref="A950">
    <cfRule type="duplicateValues" dxfId="1494" priority="1824"/>
  </conditionalFormatting>
  <conditionalFormatting sqref="A949">
    <cfRule type="duplicateValues" dxfId="1493" priority="1823"/>
  </conditionalFormatting>
  <conditionalFormatting sqref="A935">
    <cfRule type="duplicateValues" dxfId="1492" priority="1822"/>
  </conditionalFormatting>
  <conditionalFormatting sqref="V1013:V1015 V1017:V1019">
    <cfRule type="cellIs" dxfId="1491" priority="1820" operator="equal">
      <formula>"WRONG"</formula>
    </cfRule>
  </conditionalFormatting>
  <conditionalFormatting sqref="AA1013:AA1015 AA1017:AA1019">
    <cfRule type="cellIs" dxfId="1490" priority="1818" operator="lessThan">
      <formula>TODAY()</formula>
    </cfRule>
    <cfRule type="cellIs" dxfId="1489" priority="1819" operator="lessThan">
      <formula>TODAY()</formula>
    </cfRule>
  </conditionalFormatting>
  <conditionalFormatting sqref="AA1013:AA1015 AA1017:AA1019">
    <cfRule type="cellIs" dxfId="1488" priority="1816" operator="lessThan">
      <formula>TODAY()</formula>
    </cfRule>
    <cfRule type="cellIs" dxfId="1487" priority="1817" operator="lessThan">
      <formula>TODAY()</formula>
    </cfRule>
  </conditionalFormatting>
  <conditionalFormatting sqref="V1013:V1015 V1017:V1019">
    <cfRule type="cellIs" dxfId="1486" priority="1815" operator="equal">
      <formula>"WRONG"</formula>
    </cfRule>
  </conditionalFormatting>
  <conditionalFormatting sqref="AA1010">
    <cfRule type="cellIs" dxfId="1485" priority="1813" operator="lessThan">
      <formula>TODAY()</formula>
    </cfRule>
    <cfRule type="cellIs" dxfId="1484" priority="1814" operator="lessThan">
      <formula>TODAY()</formula>
    </cfRule>
  </conditionalFormatting>
  <conditionalFormatting sqref="V1010">
    <cfRule type="cellIs" dxfId="1483" priority="1812" operator="equal">
      <formula>"WRONG"</formula>
    </cfRule>
  </conditionalFormatting>
  <conditionalFormatting sqref="V1011">
    <cfRule type="cellIs" dxfId="1482" priority="1811" operator="equal">
      <formula>"WRONG"</formula>
    </cfRule>
  </conditionalFormatting>
  <conditionalFormatting sqref="AA1011">
    <cfRule type="cellIs" dxfId="1481" priority="1809" operator="lessThan">
      <formula>TODAY()</formula>
    </cfRule>
    <cfRule type="cellIs" dxfId="1480" priority="1810" operator="lessThan">
      <formula>TODAY()</formula>
    </cfRule>
  </conditionalFormatting>
  <conditionalFormatting sqref="AA1012">
    <cfRule type="cellIs" dxfId="1479" priority="1807" operator="lessThan">
      <formula>TODAY()</formula>
    </cfRule>
    <cfRule type="cellIs" dxfId="1478" priority="1808" operator="lessThan">
      <formula>TODAY()</formula>
    </cfRule>
  </conditionalFormatting>
  <conditionalFormatting sqref="V1012">
    <cfRule type="cellIs" dxfId="1477" priority="1806" operator="equal">
      <formula>"WRONG"</formula>
    </cfRule>
  </conditionalFormatting>
  <conditionalFormatting sqref="AA1011">
    <cfRule type="cellIs" dxfId="1476" priority="1804" operator="lessThan">
      <formula>TODAY()</formula>
    </cfRule>
    <cfRule type="cellIs" dxfId="1475" priority="1805" operator="lessThan">
      <formula>TODAY()</formula>
    </cfRule>
  </conditionalFormatting>
  <conditionalFormatting sqref="V1011">
    <cfRule type="cellIs" dxfId="1474" priority="1803" operator="equal">
      <formula>"WRONG"</formula>
    </cfRule>
  </conditionalFormatting>
  <conditionalFormatting sqref="AA1036">
    <cfRule type="cellIs" dxfId="1473" priority="1785" operator="lessThan">
      <formula>TODAY()</formula>
    </cfRule>
    <cfRule type="cellIs" dxfId="1472" priority="1786" operator="lessThan">
      <formula>TODAY()</formula>
    </cfRule>
  </conditionalFormatting>
  <conditionalFormatting sqref="V1036">
    <cfRule type="cellIs" dxfId="1471" priority="1784" operator="equal">
      <formula>"WRONG"</formula>
    </cfRule>
  </conditionalFormatting>
  <conditionalFormatting sqref="V1074">
    <cfRule type="cellIs" dxfId="1470" priority="1779" operator="equal">
      <formula>"WRONG"</formula>
    </cfRule>
  </conditionalFormatting>
  <conditionalFormatting sqref="AA1074">
    <cfRule type="cellIs" dxfId="1469" priority="1777" operator="lessThan">
      <formula>TODAY()</formula>
    </cfRule>
    <cfRule type="cellIs" dxfId="1468" priority="1778" operator="lessThan">
      <formula>TODAY()</formula>
    </cfRule>
  </conditionalFormatting>
  <conditionalFormatting sqref="AA1074">
    <cfRule type="cellIs" dxfId="1467" priority="1775" operator="lessThan">
      <formula>TODAY()</formula>
    </cfRule>
    <cfRule type="cellIs" dxfId="1466" priority="1776" operator="lessThan">
      <formula>TODAY()</formula>
    </cfRule>
  </conditionalFormatting>
  <conditionalFormatting sqref="V1074">
    <cfRule type="cellIs" dxfId="1465" priority="1774" operator="equal">
      <formula>"WRONG"</formula>
    </cfRule>
  </conditionalFormatting>
  <conditionalFormatting sqref="V1051">
    <cfRule type="cellIs" dxfId="1464" priority="1760" operator="equal">
      <formula>"WRONG"</formula>
    </cfRule>
  </conditionalFormatting>
  <conditionalFormatting sqref="AA1051">
    <cfRule type="cellIs" dxfId="1463" priority="1758" operator="lessThan">
      <formula>TODAY()</formula>
    </cfRule>
    <cfRule type="cellIs" dxfId="1462" priority="1759" operator="lessThan">
      <formula>TODAY()</formula>
    </cfRule>
  </conditionalFormatting>
  <conditionalFormatting sqref="AA1051">
    <cfRule type="cellIs" dxfId="1461" priority="1753" operator="lessThan">
      <formula>TODAY()</formula>
    </cfRule>
    <cfRule type="cellIs" dxfId="1460" priority="1754" operator="lessThan">
      <formula>TODAY()</formula>
    </cfRule>
  </conditionalFormatting>
  <conditionalFormatting sqref="V1051">
    <cfRule type="cellIs" dxfId="1459" priority="1752" operator="equal">
      <formula>"WRONG"</formula>
    </cfRule>
  </conditionalFormatting>
  <conditionalFormatting sqref="AA1017">
    <cfRule type="cellIs" dxfId="1458" priority="1750" operator="lessThan">
      <formula>TODAY()</formula>
    </cfRule>
    <cfRule type="cellIs" dxfId="1457" priority="1751" operator="lessThan">
      <formula>TODAY()</formula>
    </cfRule>
  </conditionalFormatting>
  <conditionalFormatting sqref="V1017">
    <cfRule type="cellIs" dxfId="1456" priority="1749" operator="equal">
      <formula>"WRONG"</formula>
    </cfRule>
  </conditionalFormatting>
  <conditionalFormatting sqref="V1018">
    <cfRule type="cellIs" dxfId="1455" priority="1748" operator="equal">
      <formula>"WRONG"</formula>
    </cfRule>
  </conditionalFormatting>
  <conditionalFormatting sqref="AA1018">
    <cfRule type="cellIs" dxfId="1454" priority="1746" operator="lessThan">
      <formula>TODAY()</formula>
    </cfRule>
    <cfRule type="cellIs" dxfId="1453" priority="1747" operator="lessThan">
      <formula>TODAY()</formula>
    </cfRule>
  </conditionalFormatting>
  <conditionalFormatting sqref="AA1018">
    <cfRule type="cellIs" dxfId="1452" priority="1741" operator="lessThan">
      <formula>TODAY()</formula>
    </cfRule>
    <cfRule type="cellIs" dxfId="1451" priority="1742" operator="lessThan">
      <formula>TODAY()</formula>
    </cfRule>
  </conditionalFormatting>
  <conditionalFormatting sqref="V1018">
    <cfRule type="cellIs" dxfId="1450" priority="1740" operator="equal">
      <formula>"WRONG"</formula>
    </cfRule>
  </conditionalFormatting>
  <conditionalFormatting sqref="V1054">
    <cfRule type="cellIs" dxfId="1449" priority="1729" operator="equal">
      <formula>"WRONG"</formula>
    </cfRule>
  </conditionalFormatting>
  <conditionalFormatting sqref="AA1054">
    <cfRule type="cellIs" dxfId="1448" priority="1727" operator="lessThan">
      <formula>TODAY()</formula>
    </cfRule>
    <cfRule type="cellIs" dxfId="1447" priority="1728" operator="lessThan">
      <formula>TODAY()</formula>
    </cfRule>
  </conditionalFormatting>
  <conditionalFormatting sqref="AA1054">
    <cfRule type="cellIs" dxfId="1446" priority="1722" operator="lessThan">
      <formula>TODAY()</formula>
    </cfRule>
    <cfRule type="cellIs" dxfId="1445" priority="1723" operator="lessThan">
      <formula>TODAY()</formula>
    </cfRule>
  </conditionalFormatting>
  <conditionalFormatting sqref="V1054">
    <cfRule type="cellIs" dxfId="1444" priority="1721" operator="equal">
      <formula>"WRONG"</formula>
    </cfRule>
  </conditionalFormatting>
  <conditionalFormatting sqref="AA1047">
    <cfRule type="cellIs" dxfId="1443" priority="1718" operator="lessThan">
      <formula>TODAY()</formula>
    </cfRule>
    <cfRule type="cellIs" dxfId="1442" priority="1719" operator="lessThan">
      <formula>TODAY()</formula>
    </cfRule>
  </conditionalFormatting>
  <conditionalFormatting sqref="V987">
    <cfRule type="cellIs" dxfId="1441" priority="1708" operator="equal">
      <formula>"WRONG"</formula>
    </cfRule>
  </conditionalFormatting>
  <conditionalFormatting sqref="A987">
    <cfRule type="duplicateValues" dxfId="1440" priority="1709"/>
  </conditionalFormatting>
  <conditionalFormatting sqref="V987">
    <cfRule type="cellIs" dxfId="1439" priority="1707" operator="equal">
      <formula>"WRONG"</formula>
    </cfRule>
  </conditionalFormatting>
  <conditionalFormatting sqref="A987">
    <cfRule type="duplicateValues" dxfId="1438" priority="1706"/>
  </conditionalFormatting>
  <conditionalFormatting sqref="V1075">
    <cfRule type="cellIs" dxfId="1437" priority="1699" operator="equal">
      <formula>"WRONG"</formula>
    </cfRule>
  </conditionalFormatting>
  <conditionalFormatting sqref="AA1075">
    <cfRule type="cellIs" dxfId="1436" priority="1697" operator="lessThan">
      <formula>TODAY()</formula>
    </cfRule>
    <cfRule type="cellIs" dxfId="1435" priority="1698" operator="lessThan">
      <formula>TODAY()</formula>
    </cfRule>
  </conditionalFormatting>
  <conditionalFormatting sqref="AA1075">
    <cfRule type="cellIs" dxfId="1434" priority="1695" operator="lessThan">
      <formula>TODAY()</formula>
    </cfRule>
    <cfRule type="cellIs" dxfId="1433" priority="1696" operator="lessThan">
      <formula>TODAY()</formula>
    </cfRule>
  </conditionalFormatting>
  <conditionalFormatting sqref="V1075">
    <cfRule type="cellIs" dxfId="1432" priority="1694" operator="equal">
      <formula>"WRONG"</formula>
    </cfRule>
  </conditionalFormatting>
  <conditionalFormatting sqref="V1076">
    <cfRule type="cellIs" dxfId="1431" priority="1691" operator="equal">
      <formula>"WRONG"</formula>
    </cfRule>
  </conditionalFormatting>
  <conditionalFormatting sqref="AA1076">
    <cfRule type="cellIs" dxfId="1430" priority="1689" operator="lessThan">
      <formula>TODAY()</formula>
    </cfRule>
    <cfRule type="cellIs" dxfId="1429" priority="1690" operator="lessThan">
      <formula>TODAY()</formula>
    </cfRule>
  </conditionalFormatting>
  <conditionalFormatting sqref="AA1076">
    <cfRule type="cellIs" dxfId="1428" priority="1687" operator="lessThan">
      <formula>TODAY()</formula>
    </cfRule>
    <cfRule type="cellIs" dxfId="1427" priority="1688" operator="lessThan">
      <formula>TODAY()</formula>
    </cfRule>
  </conditionalFormatting>
  <conditionalFormatting sqref="V1076">
    <cfRule type="cellIs" dxfId="1426" priority="1686" operator="equal">
      <formula>"WRONG"</formula>
    </cfRule>
  </conditionalFormatting>
  <conditionalFormatting sqref="AA1087">
    <cfRule type="cellIs" dxfId="1425" priority="1672" operator="lessThan">
      <formula>TODAY()</formula>
    </cfRule>
    <cfRule type="cellIs" dxfId="1424" priority="1673" operator="lessThan">
      <formula>TODAY()</formula>
    </cfRule>
  </conditionalFormatting>
  <conditionalFormatting sqref="V1087">
    <cfRule type="cellIs" dxfId="1423" priority="1671" operator="equal">
      <formula>"WRONG"</formula>
    </cfRule>
  </conditionalFormatting>
  <conditionalFormatting sqref="AA1142:AA1149">
    <cfRule type="cellIs" dxfId="1422" priority="1656" operator="lessThan">
      <formula>TODAY()</formula>
    </cfRule>
    <cfRule type="cellIs" dxfId="1421" priority="1657" operator="lessThan">
      <formula>TODAY()</formula>
    </cfRule>
  </conditionalFormatting>
  <conditionalFormatting sqref="V1142:V1149">
    <cfRule type="cellIs" dxfId="1420" priority="1655" operator="equal">
      <formula>"WRONG"</formula>
    </cfRule>
  </conditionalFormatting>
  <conditionalFormatting sqref="AA1096">
    <cfRule type="cellIs" dxfId="1419" priority="1650" operator="lessThan">
      <formula>TODAY()</formula>
    </cfRule>
    <cfRule type="cellIs" dxfId="1418" priority="1651" operator="lessThan">
      <formula>TODAY()</formula>
    </cfRule>
  </conditionalFormatting>
  <conditionalFormatting sqref="AA1097">
    <cfRule type="cellIs" dxfId="1417" priority="1647" operator="lessThan">
      <formula>TODAY()</formula>
    </cfRule>
    <cfRule type="cellIs" dxfId="1416" priority="1648" operator="lessThan">
      <formula>TODAY()</formula>
    </cfRule>
  </conditionalFormatting>
  <conditionalFormatting sqref="AA1098">
    <cfRule type="cellIs" dxfId="1415" priority="1637" operator="lessThan">
      <formula>TODAY()</formula>
    </cfRule>
    <cfRule type="cellIs" dxfId="1414" priority="1638" operator="lessThan">
      <formula>TODAY()</formula>
    </cfRule>
  </conditionalFormatting>
  <conditionalFormatting sqref="AA1099">
    <cfRule type="cellIs" dxfId="1413" priority="1628" operator="lessThan">
      <formula>TODAY()</formula>
    </cfRule>
    <cfRule type="cellIs" dxfId="1412" priority="1629" operator="lessThan">
      <formula>TODAY()</formula>
    </cfRule>
  </conditionalFormatting>
  <conditionalFormatting sqref="AA1102:AA1107">
    <cfRule type="cellIs" dxfId="1411" priority="1625" operator="lessThan">
      <formula>TODAY()</formula>
    </cfRule>
    <cfRule type="cellIs" dxfId="1410" priority="1626" operator="lessThan">
      <formula>TODAY()</formula>
    </cfRule>
  </conditionalFormatting>
  <conditionalFormatting sqref="AA1100">
    <cfRule type="cellIs" dxfId="1409" priority="1617" operator="lessThan">
      <formula>TODAY()</formula>
    </cfRule>
    <cfRule type="cellIs" dxfId="1408" priority="1618" operator="lessThan">
      <formula>TODAY()</formula>
    </cfRule>
  </conditionalFormatting>
  <conditionalFormatting sqref="AA1101">
    <cfRule type="cellIs" dxfId="1407" priority="1614" operator="lessThan">
      <formula>TODAY()</formula>
    </cfRule>
    <cfRule type="cellIs" dxfId="1406" priority="1615" operator="lessThan">
      <formula>TODAY()</formula>
    </cfRule>
  </conditionalFormatting>
  <conditionalFormatting sqref="AA1106">
    <cfRule type="cellIs" dxfId="1405" priority="1601" operator="lessThan">
      <formula>TODAY()</formula>
    </cfRule>
    <cfRule type="cellIs" dxfId="1404" priority="1602" operator="lessThan">
      <formula>TODAY()</formula>
    </cfRule>
  </conditionalFormatting>
  <conditionalFormatting sqref="AA1104:AA1105">
    <cfRule type="cellIs" dxfId="1403" priority="1598" operator="lessThan">
      <formula>TODAY()</formula>
    </cfRule>
    <cfRule type="cellIs" dxfId="1402" priority="1599" operator="lessThan">
      <formula>TODAY()</formula>
    </cfRule>
  </conditionalFormatting>
  <conditionalFormatting sqref="AA1103">
    <cfRule type="cellIs" dxfId="1401" priority="1593" operator="lessThan">
      <formula>TODAY()</formula>
    </cfRule>
    <cfRule type="cellIs" dxfId="1400" priority="1594" operator="lessThan">
      <formula>TODAY()</formula>
    </cfRule>
  </conditionalFormatting>
  <conditionalFormatting sqref="AA1113:AA1114">
    <cfRule type="cellIs" dxfId="1399" priority="1590" operator="lessThan">
      <formula>TODAY()</formula>
    </cfRule>
    <cfRule type="cellIs" dxfId="1398" priority="1591" operator="lessThan">
      <formula>TODAY()</formula>
    </cfRule>
  </conditionalFormatting>
  <conditionalFormatting sqref="A1069:A1070 A1:A1015 A1067 A1045:A1064 A1074:A1088 A1017:A1043 A1090:A1178 A1180:A1349 A1352:A1048576">
    <cfRule type="duplicateValues" dxfId="1397" priority="1585"/>
    <cfRule type="duplicateValues" dxfId="1396" priority="1586"/>
  </conditionalFormatting>
  <conditionalFormatting sqref="V1138">
    <cfRule type="cellIs" dxfId="1395" priority="1570" operator="equal">
      <formula>"WRONG"</formula>
    </cfRule>
  </conditionalFormatting>
  <conditionalFormatting sqref="AA1138">
    <cfRule type="cellIs" dxfId="1394" priority="1568" operator="lessThan">
      <formula>TODAY()</formula>
    </cfRule>
    <cfRule type="cellIs" dxfId="1393" priority="1569" operator="lessThan">
      <formula>TODAY()</formula>
    </cfRule>
  </conditionalFormatting>
  <conditionalFormatting sqref="AA1139">
    <cfRule type="cellIs" dxfId="1392" priority="1566" operator="lessThan">
      <formula>TODAY()</formula>
    </cfRule>
    <cfRule type="cellIs" dxfId="1391" priority="1567" operator="lessThan">
      <formula>TODAY()</formula>
    </cfRule>
  </conditionalFormatting>
  <conditionalFormatting sqref="V1139">
    <cfRule type="cellIs" dxfId="1390" priority="1565" operator="equal">
      <formula>"WRONG"</formula>
    </cfRule>
  </conditionalFormatting>
  <conditionalFormatting sqref="V1108">
    <cfRule type="cellIs" dxfId="1389" priority="1560" operator="equal">
      <formula>"WRONG"</formula>
    </cfRule>
  </conditionalFormatting>
  <conditionalFormatting sqref="AA1108">
    <cfRule type="cellIs" dxfId="1388" priority="1558" operator="lessThan">
      <formula>TODAY()</formula>
    </cfRule>
    <cfRule type="cellIs" dxfId="1387" priority="1559" operator="lessThan">
      <formula>TODAY()</formula>
    </cfRule>
  </conditionalFormatting>
  <conditionalFormatting sqref="V1028">
    <cfRule type="cellIs" dxfId="1386" priority="1553" operator="equal">
      <formula>"WRONG"</formula>
    </cfRule>
  </conditionalFormatting>
  <conditionalFormatting sqref="AA1028">
    <cfRule type="cellIs" dxfId="1385" priority="1551" operator="lessThan">
      <formula>TODAY()</formula>
    </cfRule>
    <cfRule type="cellIs" dxfId="1384" priority="1552" operator="lessThan">
      <formula>TODAY()</formula>
    </cfRule>
  </conditionalFormatting>
  <conditionalFormatting sqref="V1027">
    <cfRule type="cellIs" dxfId="1383" priority="1543" operator="equal">
      <formula>"WRONG"</formula>
    </cfRule>
  </conditionalFormatting>
  <conditionalFormatting sqref="AA1027">
    <cfRule type="cellIs" dxfId="1382" priority="1541" operator="lessThan">
      <formula>TODAY()</formula>
    </cfRule>
    <cfRule type="cellIs" dxfId="1381" priority="1542" operator="lessThan">
      <formula>TODAY()</formula>
    </cfRule>
  </conditionalFormatting>
  <conditionalFormatting sqref="V1026">
    <cfRule type="cellIs" dxfId="1380" priority="1536" operator="equal">
      <formula>"WRONG"</formula>
    </cfRule>
  </conditionalFormatting>
  <conditionalFormatting sqref="AA1026">
    <cfRule type="cellIs" dxfId="1379" priority="1534" operator="lessThan">
      <formula>TODAY()</formula>
    </cfRule>
    <cfRule type="cellIs" dxfId="1378" priority="1535" operator="lessThan">
      <formula>TODAY()</formula>
    </cfRule>
  </conditionalFormatting>
  <conditionalFormatting sqref="V1024">
    <cfRule type="cellIs" dxfId="1377" priority="1529" operator="equal">
      <formula>"WRONG"</formula>
    </cfRule>
  </conditionalFormatting>
  <conditionalFormatting sqref="AA1024">
    <cfRule type="cellIs" dxfId="1376" priority="1527" operator="lessThan">
      <formula>TODAY()</formula>
    </cfRule>
    <cfRule type="cellIs" dxfId="1375" priority="1528" operator="lessThan">
      <formula>TODAY()</formula>
    </cfRule>
  </conditionalFormatting>
  <conditionalFormatting sqref="AA1025">
    <cfRule type="cellIs" dxfId="1374" priority="1525" operator="lessThan">
      <formula>TODAY()</formula>
    </cfRule>
    <cfRule type="cellIs" dxfId="1373" priority="1526" operator="lessThan">
      <formula>TODAY()</formula>
    </cfRule>
  </conditionalFormatting>
  <conditionalFormatting sqref="V1025">
    <cfRule type="cellIs" dxfId="1372" priority="1524" operator="equal">
      <formula>"WRONG"</formula>
    </cfRule>
  </conditionalFormatting>
  <conditionalFormatting sqref="V1030">
    <cfRule type="cellIs" dxfId="1371" priority="1505" operator="equal">
      <formula>"WRONG"</formula>
    </cfRule>
  </conditionalFormatting>
  <conditionalFormatting sqref="AA1030">
    <cfRule type="cellIs" dxfId="1370" priority="1503" operator="lessThan">
      <formula>TODAY()</formula>
    </cfRule>
    <cfRule type="cellIs" dxfId="1369" priority="1504" operator="lessThan">
      <formula>TODAY()</formula>
    </cfRule>
  </conditionalFormatting>
  <conditionalFormatting sqref="V1029">
    <cfRule type="cellIs" dxfId="1368" priority="1502" operator="equal">
      <formula>"WRONG"</formula>
    </cfRule>
  </conditionalFormatting>
  <conditionalFormatting sqref="AA1029">
    <cfRule type="cellIs" dxfId="1367" priority="1500" operator="lessThan">
      <formula>TODAY()</formula>
    </cfRule>
    <cfRule type="cellIs" dxfId="1366" priority="1501" operator="lessThan">
      <formula>TODAY()</formula>
    </cfRule>
  </conditionalFormatting>
  <conditionalFormatting sqref="V1403">
    <cfRule type="cellIs" dxfId="1365" priority="1499" operator="equal">
      <formula>"WRONG"</formula>
    </cfRule>
  </conditionalFormatting>
  <conditionalFormatting sqref="AA1403">
    <cfRule type="cellIs" dxfId="1364" priority="1497" operator="lessThan">
      <formula>TODAY()</formula>
    </cfRule>
    <cfRule type="cellIs" dxfId="1363" priority="1498" operator="lessThan">
      <formula>TODAY()</formula>
    </cfRule>
  </conditionalFormatting>
  <conditionalFormatting sqref="AA1404">
    <cfRule type="cellIs" dxfId="1362" priority="1495" operator="lessThan">
      <formula>TODAY()</formula>
    </cfRule>
    <cfRule type="cellIs" dxfId="1361" priority="1496" operator="lessThan">
      <formula>TODAY()</formula>
    </cfRule>
  </conditionalFormatting>
  <conditionalFormatting sqref="V1404">
    <cfRule type="cellIs" dxfId="1360" priority="1494" operator="equal">
      <formula>"WRONG"</formula>
    </cfRule>
  </conditionalFormatting>
  <conditionalFormatting sqref="V1109">
    <cfRule type="cellIs" dxfId="1359" priority="1489" operator="equal">
      <formula>"WRONG"</formula>
    </cfRule>
  </conditionalFormatting>
  <conditionalFormatting sqref="AA1109">
    <cfRule type="cellIs" dxfId="1358" priority="1487" operator="lessThan">
      <formula>TODAY()</formula>
    </cfRule>
    <cfRule type="cellIs" dxfId="1357" priority="1488" operator="lessThan">
      <formula>TODAY()</formula>
    </cfRule>
  </conditionalFormatting>
  <conditionalFormatting sqref="V1110">
    <cfRule type="cellIs" dxfId="1356" priority="1482" operator="equal">
      <formula>"WRONG"</formula>
    </cfRule>
  </conditionalFormatting>
  <conditionalFormatting sqref="AA1110">
    <cfRule type="cellIs" dxfId="1355" priority="1480" operator="lessThan">
      <formula>TODAY()</formula>
    </cfRule>
    <cfRule type="cellIs" dxfId="1354" priority="1481" operator="lessThan">
      <formula>TODAY()</formula>
    </cfRule>
  </conditionalFormatting>
  <conditionalFormatting sqref="V1091">
    <cfRule type="cellIs" dxfId="1353" priority="1468" operator="equal">
      <formula>"WRONG"</formula>
    </cfRule>
  </conditionalFormatting>
  <conditionalFormatting sqref="AA1091">
    <cfRule type="cellIs" dxfId="1352" priority="1466" operator="lessThan">
      <formula>TODAY()</formula>
    </cfRule>
    <cfRule type="cellIs" dxfId="1351" priority="1467" operator="lessThan">
      <formula>TODAY()</formula>
    </cfRule>
  </conditionalFormatting>
  <conditionalFormatting sqref="V1129">
    <cfRule type="cellIs" dxfId="1350" priority="1454" operator="equal">
      <formula>"WRONG"</formula>
    </cfRule>
  </conditionalFormatting>
  <conditionalFormatting sqref="AA1129">
    <cfRule type="cellIs" dxfId="1349" priority="1452" operator="lessThan">
      <formula>TODAY()</formula>
    </cfRule>
    <cfRule type="cellIs" dxfId="1348" priority="1453" operator="lessThan">
      <formula>TODAY()</formula>
    </cfRule>
  </conditionalFormatting>
  <conditionalFormatting sqref="V1130:V1149">
    <cfRule type="cellIs" dxfId="1347" priority="1447" operator="equal">
      <formula>"WRONG"</formula>
    </cfRule>
  </conditionalFormatting>
  <conditionalFormatting sqref="AA1130:AA1149">
    <cfRule type="cellIs" dxfId="1346" priority="1445" operator="lessThan">
      <formula>TODAY()</formula>
    </cfRule>
    <cfRule type="cellIs" dxfId="1345" priority="1446" operator="lessThan">
      <formula>TODAY()</formula>
    </cfRule>
  </conditionalFormatting>
  <conditionalFormatting sqref="V1111">
    <cfRule type="cellIs" dxfId="1344" priority="1440" operator="equal">
      <formula>"WRONG"</formula>
    </cfRule>
  </conditionalFormatting>
  <conditionalFormatting sqref="AA1111">
    <cfRule type="cellIs" dxfId="1343" priority="1438" operator="lessThan">
      <formula>TODAY()</formula>
    </cfRule>
    <cfRule type="cellIs" dxfId="1342" priority="1439" operator="lessThan">
      <formula>TODAY()</formula>
    </cfRule>
  </conditionalFormatting>
  <conditionalFormatting sqref="V1185">
    <cfRule type="cellIs" dxfId="1341" priority="1433" operator="equal">
      <formula>"WRONG"</formula>
    </cfRule>
  </conditionalFormatting>
  <conditionalFormatting sqref="AA1185">
    <cfRule type="cellIs" dxfId="1340" priority="1431" operator="lessThan">
      <formula>TODAY()</formula>
    </cfRule>
    <cfRule type="cellIs" dxfId="1339" priority="1432" operator="lessThan">
      <formula>TODAY()</formula>
    </cfRule>
  </conditionalFormatting>
  <conditionalFormatting sqref="V1186">
    <cfRule type="cellIs" dxfId="1338" priority="1426" operator="equal">
      <formula>"WRONG"</formula>
    </cfRule>
  </conditionalFormatting>
  <conditionalFormatting sqref="AA1186">
    <cfRule type="cellIs" dxfId="1337" priority="1424" operator="lessThan">
      <formula>TODAY()</formula>
    </cfRule>
    <cfRule type="cellIs" dxfId="1336" priority="1425" operator="lessThan">
      <formula>TODAY()</formula>
    </cfRule>
  </conditionalFormatting>
  <conditionalFormatting sqref="V1187">
    <cfRule type="cellIs" dxfId="1335" priority="1412" operator="equal">
      <formula>"WRONG"</formula>
    </cfRule>
  </conditionalFormatting>
  <conditionalFormatting sqref="AA1187">
    <cfRule type="cellIs" dxfId="1334" priority="1410" operator="lessThan">
      <formula>TODAY()</formula>
    </cfRule>
    <cfRule type="cellIs" dxfId="1333" priority="1411" operator="lessThan">
      <formula>TODAY()</formula>
    </cfRule>
  </conditionalFormatting>
  <conditionalFormatting sqref="V1188">
    <cfRule type="cellIs" dxfId="1332" priority="1405" operator="equal">
      <formula>"WRONG"</formula>
    </cfRule>
  </conditionalFormatting>
  <conditionalFormatting sqref="AA1188">
    <cfRule type="cellIs" dxfId="1331" priority="1403" operator="lessThan">
      <formula>TODAY()</formula>
    </cfRule>
    <cfRule type="cellIs" dxfId="1330" priority="1404" operator="lessThan">
      <formula>TODAY()</formula>
    </cfRule>
  </conditionalFormatting>
  <conditionalFormatting sqref="V1189">
    <cfRule type="cellIs" dxfId="1329" priority="1398" operator="equal">
      <formula>"WRONG"</formula>
    </cfRule>
  </conditionalFormatting>
  <conditionalFormatting sqref="AA1189">
    <cfRule type="cellIs" dxfId="1328" priority="1396" operator="lessThan">
      <formula>TODAY()</formula>
    </cfRule>
    <cfRule type="cellIs" dxfId="1327" priority="1397" operator="lessThan">
      <formula>TODAY()</formula>
    </cfRule>
  </conditionalFormatting>
  <conditionalFormatting sqref="V1158">
    <cfRule type="cellIs" dxfId="1326" priority="1391" operator="equal">
      <formula>"WRONG"</formula>
    </cfRule>
  </conditionalFormatting>
  <conditionalFormatting sqref="AA1158">
    <cfRule type="cellIs" dxfId="1325" priority="1389" operator="lessThan">
      <formula>TODAY()</formula>
    </cfRule>
    <cfRule type="cellIs" dxfId="1324" priority="1390" operator="lessThan">
      <formula>TODAY()</formula>
    </cfRule>
  </conditionalFormatting>
  <conditionalFormatting sqref="V1153">
    <cfRule type="cellIs" dxfId="1323" priority="1384" operator="equal">
      <formula>"WRONG"</formula>
    </cfRule>
  </conditionalFormatting>
  <conditionalFormatting sqref="AA1153">
    <cfRule type="cellIs" dxfId="1322" priority="1382" operator="lessThan">
      <formula>TODAY()</formula>
    </cfRule>
    <cfRule type="cellIs" dxfId="1321" priority="1383" operator="lessThan">
      <formula>TODAY()</formula>
    </cfRule>
  </conditionalFormatting>
  <conditionalFormatting sqref="V1154">
    <cfRule type="cellIs" dxfId="1320" priority="1377" operator="equal">
      <formula>"WRONG"</formula>
    </cfRule>
  </conditionalFormatting>
  <conditionalFormatting sqref="AA1154">
    <cfRule type="cellIs" dxfId="1319" priority="1375" operator="lessThan">
      <formula>TODAY()</formula>
    </cfRule>
    <cfRule type="cellIs" dxfId="1318" priority="1376" operator="lessThan">
      <formula>TODAY()</formula>
    </cfRule>
  </conditionalFormatting>
  <conditionalFormatting sqref="V1152">
    <cfRule type="cellIs" dxfId="1317" priority="1370" operator="equal">
      <formula>"WRONG"</formula>
    </cfRule>
  </conditionalFormatting>
  <conditionalFormatting sqref="AA1152">
    <cfRule type="cellIs" dxfId="1316" priority="1368" operator="lessThan">
      <formula>TODAY()</formula>
    </cfRule>
    <cfRule type="cellIs" dxfId="1315" priority="1369" operator="lessThan">
      <formula>TODAY()</formula>
    </cfRule>
  </conditionalFormatting>
  <conditionalFormatting sqref="V1205">
    <cfRule type="cellIs" dxfId="1314" priority="1356" operator="equal">
      <formula>"WRONG"</formula>
    </cfRule>
  </conditionalFormatting>
  <conditionalFormatting sqref="AA1205">
    <cfRule type="cellIs" dxfId="1313" priority="1354" operator="lessThan">
      <formula>TODAY()</formula>
    </cfRule>
    <cfRule type="cellIs" dxfId="1312" priority="1355" operator="lessThan">
      <formula>TODAY()</formula>
    </cfRule>
  </conditionalFormatting>
  <conditionalFormatting sqref="V1206">
    <cfRule type="cellIs" dxfId="1311" priority="1349" operator="equal">
      <formula>"WRONG"</formula>
    </cfRule>
  </conditionalFormatting>
  <conditionalFormatting sqref="AA1206">
    <cfRule type="cellIs" dxfId="1310" priority="1347" operator="lessThan">
      <formula>TODAY()</formula>
    </cfRule>
    <cfRule type="cellIs" dxfId="1309" priority="1348" operator="lessThan">
      <formula>TODAY()</formula>
    </cfRule>
  </conditionalFormatting>
  <conditionalFormatting sqref="V1150">
    <cfRule type="cellIs" dxfId="1308" priority="1335" operator="equal">
      <formula>"WRONG"</formula>
    </cfRule>
  </conditionalFormatting>
  <conditionalFormatting sqref="AA1150">
    <cfRule type="cellIs" dxfId="1307" priority="1333" operator="lessThan">
      <formula>TODAY()</formula>
    </cfRule>
    <cfRule type="cellIs" dxfId="1306" priority="1334" operator="lessThan">
      <formula>TODAY()</formula>
    </cfRule>
  </conditionalFormatting>
  <conditionalFormatting sqref="V1151:V1154">
    <cfRule type="cellIs" dxfId="1305" priority="1328" operator="equal">
      <formula>"WRONG"</formula>
    </cfRule>
  </conditionalFormatting>
  <conditionalFormatting sqref="AA1151:AA1154">
    <cfRule type="cellIs" dxfId="1304" priority="1326" operator="lessThan">
      <formula>TODAY()</formula>
    </cfRule>
    <cfRule type="cellIs" dxfId="1303" priority="1327" operator="lessThan">
      <formula>TODAY()</formula>
    </cfRule>
  </conditionalFormatting>
  <conditionalFormatting sqref="V1155">
    <cfRule type="cellIs" dxfId="1302" priority="1314" operator="equal">
      <formula>"WRONG"</formula>
    </cfRule>
  </conditionalFormatting>
  <conditionalFormatting sqref="AA1155">
    <cfRule type="cellIs" dxfId="1301" priority="1312" operator="lessThan">
      <formula>TODAY()</formula>
    </cfRule>
    <cfRule type="cellIs" dxfId="1300" priority="1313" operator="lessThan">
      <formula>TODAY()</formula>
    </cfRule>
  </conditionalFormatting>
  <conditionalFormatting sqref="V1156">
    <cfRule type="cellIs" dxfId="1299" priority="1307" operator="equal">
      <formula>"WRONG"</formula>
    </cfRule>
  </conditionalFormatting>
  <conditionalFormatting sqref="AA1156">
    <cfRule type="cellIs" dxfId="1298" priority="1305" operator="lessThan">
      <formula>TODAY()</formula>
    </cfRule>
    <cfRule type="cellIs" dxfId="1297" priority="1306" operator="lessThan">
      <formula>TODAY()</formula>
    </cfRule>
  </conditionalFormatting>
  <conditionalFormatting sqref="V1157">
    <cfRule type="cellIs" dxfId="1296" priority="1300" operator="equal">
      <formula>"WRONG"</formula>
    </cfRule>
  </conditionalFormatting>
  <conditionalFormatting sqref="AA1157">
    <cfRule type="cellIs" dxfId="1295" priority="1298" operator="lessThan">
      <formula>TODAY()</formula>
    </cfRule>
    <cfRule type="cellIs" dxfId="1294" priority="1299" operator="lessThan">
      <formula>TODAY()</formula>
    </cfRule>
  </conditionalFormatting>
  <conditionalFormatting sqref="A1035 A1031:A1032">
    <cfRule type="duplicateValues" dxfId="1293" priority="6696"/>
  </conditionalFormatting>
  <conditionalFormatting sqref="V1141">
    <cfRule type="cellIs" dxfId="1292" priority="1287" operator="equal">
      <formula>"WRONG"</formula>
    </cfRule>
  </conditionalFormatting>
  <conditionalFormatting sqref="AA1141">
    <cfRule type="cellIs" dxfId="1291" priority="1285" operator="lessThan">
      <formula>TODAY()</formula>
    </cfRule>
    <cfRule type="cellIs" dxfId="1290" priority="1286" operator="lessThan">
      <formula>TODAY()</formula>
    </cfRule>
  </conditionalFormatting>
  <conditionalFormatting sqref="V1137:V1149">
    <cfRule type="cellIs" dxfId="1289" priority="1282" operator="equal">
      <formula>"WRONG"</formula>
    </cfRule>
  </conditionalFormatting>
  <conditionalFormatting sqref="AA1137:AA1149">
    <cfRule type="cellIs" dxfId="1288" priority="1280" operator="lessThan">
      <formula>TODAY()</formula>
    </cfRule>
    <cfRule type="cellIs" dxfId="1287" priority="1281" operator="lessThan">
      <formula>TODAY()</formula>
    </cfRule>
  </conditionalFormatting>
  <conditionalFormatting sqref="AA1132:AA1149">
    <cfRule type="cellIs" dxfId="1286" priority="1278" operator="lessThan">
      <formula>TODAY()</formula>
    </cfRule>
    <cfRule type="cellIs" dxfId="1285" priority="1279" operator="lessThan">
      <formula>TODAY()</formula>
    </cfRule>
  </conditionalFormatting>
  <conditionalFormatting sqref="V1132:V1149">
    <cfRule type="cellIs" dxfId="1284" priority="1277" operator="equal">
      <formula>"WRONG"</formula>
    </cfRule>
  </conditionalFormatting>
  <conditionalFormatting sqref="V1131:V1149">
    <cfRule type="cellIs" dxfId="1283" priority="1276" operator="equal">
      <formula>"WRONG"</formula>
    </cfRule>
  </conditionalFormatting>
  <conditionalFormatting sqref="AA1131:AA1149">
    <cfRule type="cellIs" dxfId="1282" priority="1274" operator="lessThan">
      <formula>TODAY()</formula>
    </cfRule>
    <cfRule type="cellIs" dxfId="1281" priority="1275" operator="lessThan">
      <formula>TODAY()</formula>
    </cfRule>
  </conditionalFormatting>
  <conditionalFormatting sqref="V1136">
    <cfRule type="cellIs" dxfId="1280" priority="1273" operator="equal">
      <formula>"WRONG"</formula>
    </cfRule>
  </conditionalFormatting>
  <conditionalFormatting sqref="AA1136">
    <cfRule type="cellIs" dxfId="1279" priority="1271" operator="lessThan">
      <formula>TODAY()</formula>
    </cfRule>
    <cfRule type="cellIs" dxfId="1278" priority="1272" operator="lessThan">
      <formula>TODAY()</formula>
    </cfRule>
  </conditionalFormatting>
  <conditionalFormatting sqref="AA1144">
    <cfRule type="cellIs" dxfId="1277" priority="1267" operator="lessThan">
      <formula>TODAY()</formula>
    </cfRule>
    <cfRule type="cellIs" dxfId="1276" priority="1268" operator="lessThan">
      <formula>TODAY()</formula>
    </cfRule>
  </conditionalFormatting>
  <conditionalFormatting sqref="V1144">
    <cfRule type="cellIs" dxfId="1275" priority="1266" operator="equal">
      <formula>"WRONG"</formula>
    </cfRule>
  </conditionalFormatting>
  <conditionalFormatting sqref="V1148">
    <cfRule type="cellIs" dxfId="1274" priority="1263" operator="equal">
      <formula>"WRONG"</formula>
    </cfRule>
  </conditionalFormatting>
  <conditionalFormatting sqref="AA1148">
    <cfRule type="cellIs" dxfId="1273" priority="1261" operator="lessThan">
      <formula>TODAY()</formula>
    </cfRule>
    <cfRule type="cellIs" dxfId="1272" priority="1262" operator="lessThan">
      <formula>TODAY()</formula>
    </cfRule>
  </conditionalFormatting>
  <conditionalFormatting sqref="AA1143">
    <cfRule type="cellIs" dxfId="1271" priority="1259" operator="lessThan">
      <formula>TODAY()</formula>
    </cfRule>
    <cfRule type="cellIs" dxfId="1270" priority="1260" operator="lessThan">
      <formula>TODAY()</formula>
    </cfRule>
  </conditionalFormatting>
  <conditionalFormatting sqref="V1143">
    <cfRule type="cellIs" dxfId="1269" priority="1258" operator="equal">
      <formula>"WRONG"</formula>
    </cfRule>
  </conditionalFormatting>
  <conditionalFormatting sqref="AA1146">
    <cfRule type="cellIs" dxfId="1268" priority="1254" operator="lessThan">
      <formula>TODAY()</formula>
    </cfRule>
    <cfRule type="cellIs" dxfId="1267" priority="1255" operator="lessThan">
      <formula>TODAY()</formula>
    </cfRule>
  </conditionalFormatting>
  <conditionalFormatting sqref="V1146">
    <cfRule type="cellIs" dxfId="1266" priority="1253" operator="equal">
      <formula>"WRONG"</formula>
    </cfRule>
  </conditionalFormatting>
  <conditionalFormatting sqref="AA1149">
    <cfRule type="cellIs" dxfId="1265" priority="1246" operator="lessThan">
      <formula>TODAY()</formula>
    </cfRule>
    <cfRule type="cellIs" dxfId="1264" priority="1247" operator="lessThan">
      <formula>TODAY()</formula>
    </cfRule>
  </conditionalFormatting>
  <conditionalFormatting sqref="V1149">
    <cfRule type="cellIs" dxfId="1263" priority="1245" operator="equal">
      <formula>"WRONG"</formula>
    </cfRule>
  </conditionalFormatting>
  <conditionalFormatting sqref="AA1176">
    <cfRule type="cellIs" dxfId="1262" priority="1241" operator="lessThan">
      <formula>TODAY()</formula>
    </cfRule>
    <cfRule type="cellIs" dxfId="1261" priority="1242" operator="lessThan">
      <formula>TODAY()</formula>
    </cfRule>
  </conditionalFormatting>
  <conditionalFormatting sqref="V1176">
    <cfRule type="cellIs" dxfId="1260" priority="1240" operator="equal">
      <formula>"WRONG"</formula>
    </cfRule>
  </conditionalFormatting>
  <conditionalFormatting sqref="AA1147:AA1149">
    <cfRule type="cellIs" dxfId="1259" priority="1233" operator="lessThan">
      <formula>TODAY()</formula>
    </cfRule>
    <cfRule type="cellIs" dxfId="1258" priority="1234" operator="lessThan">
      <formula>TODAY()</formula>
    </cfRule>
  </conditionalFormatting>
  <conditionalFormatting sqref="V1147:V1149">
    <cfRule type="cellIs" dxfId="1257" priority="1232" operator="equal">
      <formula>"WRONG"</formula>
    </cfRule>
  </conditionalFormatting>
  <conditionalFormatting sqref="AA1192">
    <cfRule type="cellIs" dxfId="1256" priority="1226" operator="lessThan">
      <formula>TODAY()</formula>
    </cfRule>
    <cfRule type="cellIs" dxfId="1255" priority="1227" operator="lessThan">
      <formula>TODAY()</formula>
    </cfRule>
  </conditionalFormatting>
  <conditionalFormatting sqref="V1192">
    <cfRule type="cellIs" dxfId="1254" priority="1225" operator="equal">
      <formula>"WRONG"</formula>
    </cfRule>
  </conditionalFormatting>
  <conditionalFormatting sqref="AA1382 AA1600">
    <cfRule type="cellIs" dxfId="1253" priority="1223" operator="lessThan">
      <formula>TODAY()</formula>
    </cfRule>
    <cfRule type="cellIs" dxfId="1252" priority="1224" operator="lessThan">
      <formula>TODAY()</formula>
    </cfRule>
  </conditionalFormatting>
  <conditionalFormatting sqref="V1178 V1382 V1600">
    <cfRule type="cellIs" dxfId="1251" priority="1222" operator="equal">
      <formula>"WRONG"</formula>
    </cfRule>
  </conditionalFormatting>
  <conditionalFormatting sqref="AA1174">
    <cfRule type="cellIs" dxfId="1250" priority="1217" operator="lessThan">
      <formula>TODAY()</formula>
    </cfRule>
    <cfRule type="cellIs" dxfId="1249" priority="1218" operator="lessThan">
      <formula>TODAY()</formula>
    </cfRule>
  </conditionalFormatting>
  <conditionalFormatting sqref="V1174">
    <cfRule type="cellIs" dxfId="1248" priority="1216" operator="equal">
      <formula>"WRONG"</formula>
    </cfRule>
  </conditionalFormatting>
  <conditionalFormatting sqref="A1054:A1064 A1014:A1015 A1:A986 A988:A1005 A1020:A1030 A1036:A1037 A1033:A1034 A1040:A1043 A1069:A1070 A1067 A1045:A1052 A1074:A1088 A1090:A1178 A1180:A1349 A1352:A1048576">
    <cfRule type="duplicateValues" dxfId="1247" priority="6747"/>
  </conditionalFormatting>
  <conditionalFormatting sqref="A1036:A1043 A1033:A1034 A1:A986 A988:A1015 A1069:A1070 A1067 A1045:A1064 A1074:A1088 A1017:A1030 A1090:A1178 A1180:A1349 A1352:A1048576">
    <cfRule type="duplicateValues" dxfId="1246" priority="6759"/>
  </conditionalFormatting>
  <conditionalFormatting sqref="V1072">
    <cfRule type="cellIs" dxfId="1245" priority="1213" operator="equal">
      <formula>"WRONG"</formula>
    </cfRule>
  </conditionalFormatting>
  <conditionalFormatting sqref="V1072">
    <cfRule type="cellIs" dxfId="1244" priority="1212" operator="equal">
      <formula>"WRONG"</formula>
    </cfRule>
  </conditionalFormatting>
  <conditionalFormatting sqref="V1072">
    <cfRule type="cellIs" dxfId="1243" priority="1211" operator="equal">
      <formula>"WRONG"</formula>
    </cfRule>
  </conditionalFormatting>
  <conditionalFormatting sqref="A1072">
    <cfRule type="duplicateValues" dxfId="1242" priority="1209"/>
    <cfRule type="duplicateValues" dxfId="1241" priority="1210"/>
  </conditionalFormatting>
  <conditionalFormatting sqref="A1072">
    <cfRule type="duplicateValues" dxfId="1240" priority="1214"/>
  </conditionalFormatting>
  <conditionalFormatting sqref="A1072">
    <cfRule type="duplicateValues" dxfId="1239" priority="1215"/>
  </conditionalFormatting>
  <conditionalFormatting sqref="V1073">
    <cfRule type="cellIs" dxfId="1238" priority="1206" operator="equal">
      <formula>"WRONG"</formula>
    </cfRule>
  </conditionalFormatting>
  <conditionalFormatting sqref="V1073">
    <cfRule type="cellIs" dxfId="1237" priority="1205" operator="equal">
      <formula>"WRONG"</formula>
    </cfRule>
  </conditionalFormatting>
  <conditionalFormatting sqref="V1073">
    <cfRule type="cellIs" dxfId="1236" priority="1204" operator="equal">
      <formula>"WRONG"</formula>
    </cfRule>
  </conditionalFormatting>
  <conditionalFormatting sqref="A1073">
    <cfRule type="duplicateValues" dxfId="1235" priority="1202"/>
    <cfRule type="duplicateValues" dxfId="1234" priority="1203"/>
  </conditionalFormatting>
  <conditionalFormatting sqref="A1073">
    <cfRule type="duplicateValues" dxfId="1233" priority="1207"/>
  </conditionalFormatting>
  <conditionalFormatting sqref="A1073">
    <cfRule type="duplicateValues" dxfId="1232" priority="1208"/>
  </conditionalFormatting>
  <conditionalFormatting sqref="V1068">
    <cfRule type="cellIs" dxfId="1231" priority="1199" operator="equal">
      <formula>"WRONG"</formula>
    </cfRule>
  </conditionalFormatting>
  <conditionalFormatting sqref="A1068">
    <cfRule type="duplicateValues" dxfId="1230" priority="1197"/>
    <cfRule type="duplicateValues" dxfId="1229" priority="1198"/>
  </conditionalFormatting>
  <conditionalFormatting sqref="A1068">
    <cfRule type="duplicateValues" dxfId="1228" priority="1200"/>
  </conditionalFormatting>
  <conditionalFormatting sqref="A1068">
    <cfRule type="duplicateValues" dxfId="1227" priority="1201"/>
  </conditionalFormatting>
  <conditionalFormatting sqref="V1065">
    <cfRule type="cellIs" dxfId="1226" priority="1194" operator="equal">
      <formula>"WRONG"</formula>
    </cfRule>
  </conditionalFormatting>
  <conditionalFormatting sqref="A1065">
    <cfRule type="duplicateValues" dxfId="1225" priority="1192"/>
    <cfRule type="duplicateValues" dxfId="1224" priority="1193"/>
  </conditionalFormatting>
  <conditionalFormatting sqref="A1065">
    <cfRule type="duplicateValues" dxfId="1223" priority="1195"/>
  </conditionalFormatting>
  <conditionalFormatting sqref="A1065">
    <cfRule type="duplicateValues" dxfId="1222" priority="1196"/>
  </conditionalFormatting>
  <conditionalFormatting sqref="V1071">
    <cfRule type="cellIs" dxfId="1221" priority="1189" operator="equal">
      <formula>"WRONG"</formula>
    </cfRule>
  </conditionalFormatting>
  <conditionalFormatting sqref="V1071">
    <cfRule type="cellIs" dxfId="1220" priority="1188" operator="equal">
      <formula>"WRONG"</formula>
    </cfRule>
  </conditionalFormatting>
  <conditionalFormatting sqref="V1071">
    <cfRule type="cellIs" dxfId="1219" priority="1187" operator="equal">
      <formula>"WRONG"</formula>
    </cfRule>
  </conditionalFormatting>
  <conditionalFormatting sqref="A1071">
    <cfRule type="duplicateValues" dxfId="1218" priority="1185"/>
    <cfRule type="duplicateValues" dxfId="1217" priority="1186"/>
  </conditionalFormatting>
  <conditionalFormatting sqref="A1071">
    <cfRule type="duplicateValues" dxfId="1216" priority="1190"/>
  </conditionalFormatting>
  <conditionalFormatting sqref="A1071">
    <cfRule type="duplicateValues" dxfId="1215" priority="1191"/>
  </conditionalFormatting>
  <conditionalFormatting sqref="V1066">
    <cfRule type="cellIs" dxfId="1214" priority="1182" operator="equal">
      <formula>"WRONG"</formula>
    </cfRule>
  </conditionalFormatting>
  <conditionalFormatting sqref="A1066">
    <cfRule type="duplicateValues" dxfId="1213" priority="1180"/>
    <cfRule type="duplicateValues" dxfId="1212" priority="1181"/>
  </conditionalFormatting>
  <conditionalFormatting sqref="A1066">
    <cfRule type="duplicateValues" dxfId="1211" priority="1183"/>
  </conditionalFormatting>
  <conditionalFormatting sqref="A1066">
    <cfRule type="duplicateValues" dxfId="1210" priority="1184"/>
  </conditionalFormatting>
  <conditionalFormatting sqref="AA1178">
    <cfRule type="cellIs" dxfId="1209" priority="1174" operator="lessThan">
      <formula>TODAY()</formula>
    </cfRule>
    <cfRule type="cellIs" dxfId="1208" priority="1175" operator="lessThan">
      <formula>TODAY()</formula>
    </cfRule>
  </conditionalFormatting>
  <conditionalFormatting sqref="AA1193:AA1195">
    <cfRule type="cellIs" dxfId="1207" priority="1172" operator="lessThan">
      <formula>TODAY()</formula>
    </cfRule>
    <cfRule type="cellIs" dxfId="1206" priority="1173" operator="lessThan">
      <formula>TODAY()</formula>
    </cfRule>
  </conditionalFormatting>
  <conditionalFormatting sqref="V1193:V1195">
    <cfRule type="cellIs" dxfId="1205" priority="1171" operator="equal">
      <formula>"WRONG"</formula>
    </cfRule>
  </conditionalFormatting>
  <conditionalFormatting sqref="V1164">
    <cfRule type="cellIs" dxfId="1204" priority="1170" operator="equal">
      <formula>"WRONG"</formula>
    </cfRule>
  </conditionalFormatting>
  <conditionalFormatting sqref="AA1164">
    <cfRule type="cellIs" dxfId="1203" priority="1168" operator="lessThan">
      <formula>TODAY()</formula>
    </cfRule>
    <cfRule type="cellIs" dxfId="1202" priority="1169" operator="lessThan">
      <formula>TODAY()</formula>
    </cfRule>
  </conditionalFormatting>
  <conditionalFormatting sqref="AA1183">
    <cfRule type="cellIs" dxfId="1201" priority="1163" operator="lessThan">
      <formula>TODAY()</formula>
    </cfRule>
    <cfRule type="cellIs" dxfId="1200" priority="1164" operator="lessThan">
      <formula>TODAY()</formula>
    </cfRule>
  </conditionalFormatting>
  <conditionalFormatting sqref="V1183">
    <cfRule type="cellIs" dxfId="1199" priority="1162" operator="equal">
      <formula>"WRONG"</formula>
    </cfRule>
  </conditionalFormatting>
  <conditionalFormatting sqref="V1196:V1197">
    <cfRule type="cellIs" dxfId="1198" priority="1161" operator="equal">
      <formula>"WRONG"</formula>
    </cfRule>
  </conditionalFormatting>
  <conditionalFormatting sqref="AA1196:AA1197">
    <cfRule type="cellIs" dxfId="1197" priority="1159" operator="lessThan">
      <formula>TODAY()</formula>
    </cfRule>
    <cfRule type="cellIs" dxfId="1196" priority="1160" operator="lessThan">
      <formula>TODAY()</formula>
    </cfRule>
  </conditionalFormatting>
  <conditionalFormatting sqref="AA1184:AA1190">
    <cfRule type="cellIs" dxfId="1195" priority="1157" operator="lessThan">
      <formula>TODAY()</formula>
    </cfRule>
    <cfRule type="cellIs" dxfId="1194" priority="1158" operator="lessThan">
      <formula>TODAY()</formula>
    </cfRule>
  </conditionalFormatting>
  <conditionalFormatting sqref="V1184:V1190">
    <cfRule type="cellIs" dxfId="1193" priority="1156" operator="equal">
      <formula>"WRONG"</formula>
    </cfRule>
  </conditionalFormatting>
  <conditionalFormatting sqref="V1170:V1172">
    <cfRule type="cellIs" dxfId="1192" priority="1155" operator="equal">
      <formula>"WRONG"</formula>
    </cfRule>
  </conditionalFormatting>
  <conditionalFormatting sqref="AA1170:AA1172">
    <cfRule type="cellIs" dxfId="1191" priority="1153" operator="lessThan">
      <formula>TODAY()</formula>
    </cfRule>
    <cfRule type="cellIs" dxfId="1190" priority="1154" operator="lessThan">
      <formula>TODAY()</formula>
    </cfRule>
  </conditionalFormatting>
  <conditionalFormatting sqref="AA1169">
    <cfRule type="cellIs" dxfId="1189" priority="1151" operator="lessThan">
      <formula>TODAY()</formula>
    </cfRule>
    <cfRule type="cellIs" dxfId="1188" priority="1152" operator="lessThan">
      <formula>TODAY()</formula>
    </cfRule>
  </conditionalFormatting>
  <conditionalFormatting sqref="V1169">
    <cfRule type="cellIs" dxfId="1187" priority="1150" operator="equal">
      <formula>"WRONG"</formula>
    </cfRule>
  </conditionalFormatting>
  <conditionalFormatting sqref="AA1199">
    <cfRule type="cellIs" dxfId="1186" priority="1148" operator="lessThan">
      <formula>TODAY()</formula>
    </cfRule>
    <cfRule type="cellIs" dxfId="1185" priority="1149" operator="lessThan">
      <formula>TODAY()</formula>
    </cfRule>
  </conditionalFormatting>
  <conditionalFormatting sqref="V1199">
    <cfRule type="cellIs" dxfId="1184" priority="1147" operator="equal">
      <formula>"WRONG"</formula>
    </cfRule>
  </conditionalFormatting>
  <conditionalFormatting sqref="V1198">
    <cfRule type="cellIs" dxfId="1183" priority="1146" operator="equal">
      <formula>"WRONG"</formula>
    </cfRule>
  </conditionalFormatting>
  <conditionalFormatting sqref="AA1198">
    <cfRule type="cellIs" dxfId="1182" priority="1144" operator="lessThan">
      <formula>TODAY()</formula>
    </cfRule>
    <cfRule type="cellIs" dxfId="1181" priority="1145" operator="lessThan">
      <formula>TODAY()</formula>
    </cfRule>
  </conditionalFormatting>
  <conditionalFormatting sqref="AA1304 AA1231:AA1236">
    <cfRule type="cellIs" dxfId="1180" priority="1123" operator="lessThan">
      <formula>TODAY()</formula>
    </cfRule>
    <cfRule type="cellIs" dxfId="1179" priority="1124" operator="lessThan">
      <formula>TODAY()</formula>
    </cfRule>
  </conditionalFormatting>
  <conditionalFormatting sqref="AA1240">
    <cfRule type="cellIs" dxfId="1178" priority="1127" operator="lessThan">
      <formula>TODAY()</formula>
    </cfRule>
    <cfRule type="cellIs" dxfId="1177" priority="1128" operator="lessThan">
      <formula>TODAY()</formula>
    </cfRule>
  </conditionalFormatting>
  <conditionalFormatting sqref="V1240">
    <cfRule type="cellIs" dxfId="1176" priority="1126" operator="equal">
      <formula>"WRONG"</formula>
    </cfRule>
  </conditionalFormatting>
  <conditionalFormatting sqref="V1304 V1231:V1236">
    <cfRule type="cellIs" dxfId="1175" priority="1125" operator="equal">
      <formula>"WRONG"</formula>
    </cfRule>
  </conditionalFormatting>
  <conditionalFormatting sqref="AA1241">
    <cfRule type="cellIs" dxfId="1174" priority="1121" operator="lessThan">
      <formula>TODAY()</formula>
    </cfRule>
    <cfRule type="cellIs" dxfId="1173" priority="1122" operator="lessThan">
      <formula>TODAY()</formula>
    </cfRule>
  </conditionalFormatting>
  <conditionalFormatting sqref="V1241">
    <cfRule type="cellIs" dxfId="1172" priority="1120" operator="equal">
      <formula>"WRONG"</formula>
    </cfRule>
  </conditionalFormatting>
  <conditionalFormatting sqref="AA1218">
    <cfRule type="cellIs" dxfId="1171" priority="1118" operator="lessThan">
      <formula>TODAY()</formula>
    </cfRule>
    <cfRule type="cellIs" dxfId="1170" priority="1119" operator="lessThan">
      <formula>TODAY()</formula>
    </cfRule>
  </conditionalFormatting>
  <conditionalFormatting sqref="V1218">
    <cfRule type="cellIs" dxfId="1169" priority="1117" operator="equal">
      <formula>"WRONG"</formula>
    </cfRule>
  </conditionalFormatting>
  <conditionalFormatting sqref="AA1236">
    <cfRule type="cellIs" dxfId="1168" priority="1115" operator="lessThan">
      <formula>TODAY()</formula>
    </cfRule>
    <cfRule type="cellIs" dxfId="1167" priority="1116" operator="lessThan">
      <formula>TODAY()</formula>
    </cfRule>
  </conditionalFormatting>
  <conditionalFormatting sqref="V1236">
    <cfRule type="cellIs" dxfId="1166" priority="1114" operator="equal">
      <formula>"WRONG"</formula>
    </cfRule>
  </conditionalFormatting>
  <conditionalFormatting sqref="V1235">
    <cfRule type="cellIs" dxfId="1165" priority="1113" operator="equal">
      <formula>"WRONG"</formula>
    </cfRule>
  </conditionalFormatting>
  <conditionalFormatting sqref="AA1235">
    <cfRule type="cellIs" dxfId="1164" priority="1111" operator="lessThan">
      <formula>TODAY()</formula>
    </cfRule>
    <cfRule type="cellIs" dxfId="1163" priority="1112" operator="lessThan">
      <formula>TODAY()</formula>
    </cfRule>
  </conditionalFormatting>
  <conditionalFormatting sqref="AA1226">
    <cfRule type="cellIs" dxfId="1162" priority="1109" operator="lessThan">
      <formula>TODAY()</formula>
    </cfRule>
    <cfRule type="cellIs" dxfId="1161" priority="1110" operator="lessThan">
      <formula>TODAY()</formula>
    </cfRule>
  </conditionalFormatting>
  <conditionalFormatting sqref="V1226">
    <cfRule type="cellIs" dxfId="1160" priority="1108" operator="equal">
      <formula>"WRONG"</formula>
    </cfRule>
  </conditionalFormatting>
  <conditionalFormatting sqref="AA1227">
    <cfRule type="cellIs" dxfId="1159" priority="1103" operator="lessThan">
      <formula>TODAY()</formula>
    </cfRule>
    <cfRule type="cellIs" dxfId="1158" priority="1104" operator="lessThan">
      <formula>TODAY()</formula>
    </cfRule>
  </conditionalFormatting>
  <conditionalFormatting sqref="V1227">
    <cfRule type="cellIs" dxfId="1157" priority="1102" operator="equal">
      <formula>"WRONG"</formula>
    </cfRule>
  </conditionalFormatting>
  <conditionalFormatting sqref="AA1220">
    <cfRule type="cellIs" dxfId="1156" priority="1100" operator="lessThan">
      <formula>TODAY()</formula>
    </cfRule>
    <cfRule type="cellIs" dxfId="1155" priority="1101" operator="lessThan">
      <formula>TODAY()</formula>
    </cfRule>
  </conditionalFormatting>
  <conditionalFormatting sqref="V1220">
    <cfRule type="cellIs" dxfId="1154" priority="1099" operator="equal">
      <formula>"WRONG"</formula>
    </cfRule>
  </conditionalFormatting>
  <conditionalFormatting sqref="V1219">
    <cfRule type="cellIs" dxfId="1153" priority="1098" operator="equal">
      <formula>"WRONG"</formula>
    </cfRule>
  </conditionalFormatting>
  <conditionalFormatting sqref="AA1219">
    <cfRule type="cellIs" dxfId="1152" priority="1096" operator="lessThan">
      <formula>TODAY()</formula>
    </cfRule>
    <cfRule type="cellIs" dxfId="1151" priority="1097" operator="lessThan">
      <formula>TODAY()</formula>
    </cfRule>
  </conditionalFormatting>
  <conditionalFormatting sqref="AA1221">
    <cfRule type="cellIs" dxfId="1150" priority="1094" operator="lessThan">
      <formula>TODAY()</formula>
    </cfRule>
    <cfRule type="cellIs" dxfId="1149" priority="1095" operator="lessThan">
      <formula>TODAY()</formula>
    </cfRule>
  </conditionalFormatting>
  <conditionalFormatting sqref="V1221">
    <cfRule type="cellIs" dxfId="1148" priority="1093" operator="equal">
      <formula>"WRONG"</formula>
    </cfRule>
  </conditionalFormatting>
  <conditionalFormatting sqref="AA1303">
    <cfRule type="cellIs" dxfId="1147" priority="1091" operator="lessThan">
      <formula>TODAY()</formula>
    </cfRule>
    <cfRule type="cellIs" dxfId="1146" priority="1092" operator="lessThan">
      <formula>TODAY()</formula>
    </cfRule>
  </conditionalFormatting>
  <conditionalFormatting sqref="V1303">
    <cfRule type="cellIs" dxfId="1145" priority="1090" operator="equal">
      <formula>"WRONG"</formula>
    </cfRule>
  </conditionalFormatting>
  <conditionalFormatting sqref="W1">
    <cfRule type="cellIs" dxfId="1144" priority="1089" operator="equal">
      <formula>"WRONG"</formula>
    </cfRule>
  </conditionalFormatting>
  <conditionalFormatting sqref="V1222">
    <cfRule type="cellIs" dxfId="1143" priority="1081" operator="equal">
      <formula>"WRONG"</formula>
    </cfRule>
  </conditionalFormatting>
  <conditionalFormatting sqref="AA1222">
    <cfRule type="cellIs" dxfId="1142" priority="1079" operator="lessThan">
      <formula>TODAY()</formula>
    </cfRule>
    <cfRule type="cellIs" dxfId="1141" priority="1080" operator="lessThan">
      <formula>TODAY()</formula>
    </cfRule>
  </conditionalFormatting>
  <conditionalFormatting sqref="AA1210:AA1211">
    <cfRule type="cellIs" dxfId="1140" priority="1077" operator="lessThan">
      <formula>TODAY()</formula>
    </cfRule>
    <cfRule type="cellIs" dxfId="1139" priority="1078" operator="lessThan">
      <formula>TODAY()</formula>
    </cfRule>
  </conditionalFormatting>
  <conditionalFormatting sqref="V1210:V1211">
    <cfRule type="cellIs" dxfId="1138" priority="1076" operator="equal">
      <formula>"WRONG"</formula>
    </cfRule>
  </conditionalFormatting>
  <conditionalFormatting sqref="V1209">
    <cfRule type="cellIs" dxfId="1137" priority="1075" operator="equal">
      <formula>"WRONG"</formula>
    </cfRule>
  </conditionalFormatting>
  <conditionalFormatting sqref="AA1209">
    <cfRule type="cellIs" dxfId="1136" priority="1073" operator="lessThan">
      <formula>TODAY()</formula>
    </cfRule>
    <cfRule type="cellIs" dxfId="1135" priority="1074" operator="lessThan">
      <formula>TODAY()</formula>
    </cfRule>
  </conditionalFormatting>
  <conditionalFormatting sqref="AA1213">
    <cfRule type="cellIs" dxfId="1134" priority="1071" operator="lessThan">
      <formula>TODAY()</formula>
    </cfRule>
    <cfRule type="cellIs" dxfId="1133" priority="1072" operator="lessThan">
      <formula>TODAY()</formula>
    </cfRule>
  </conditionalFormatting>
  <conditionalFormatting sqref="V1213">
    <cfRule type="cellIs" dxfId="1132" priority="1070" operator="equal">
      <formula>"WRONG"</formula>
    </cfRule>
  </conditionalFormatting>
  <conditionalFormatting sqref="AA1224">
    <cfRule type="cellIs" dxfId="1131" priority="1065" operator="lessThan">
      <formula>TODAY()</formula>
    </cfRule>
    <cfRule type="cellIs" dxfId="1130" priority="1066" operator="lessThan">
      <formula>TODAY()</formula>
    </cfRule>
  </conditionalFormatting>
  <conditionalFormatting sqref="V1224">
    <cfRule type="cellIs" dxfId="1129" priority="1064" operator="equal">
      <formula>"WRONG"</formula>
    </cfRule>
  </conditionalFormatting>
  <conditionalFormatting sqref="AA1233">
    <cfRule type="cellIs" dxfId="1128" priority="1062" operator="lessThan">
      <formula>TODAY()</formula>
    </cfRule>
    <cfRule type="cellIs" dxfId="1127" priority="1063" operator="lessThan">
      <formula>TODAY()</formula>
    </cfRule>
  </conditionalFormatting>
  <conditionalFormatting sqref="V1233">
    <cfRule type="cellIs" dxfId="1126" priority="1061" operator="equal">
      <formula>"WRONG"</formula>
    </cfRule>
  </conditionalFormatting>
  <conditionalFormatting sqref="AA1215">
    <cfRule type="cellIs" dxfId="1125" priority="1059" operator="lessThan">
      <formula>TODAY()</formula>
    </cfRule>
    <cfRule type="cellIs" dxfId="1124" priority="1060" operator="lessThan">
      <formula>TODAY()</formula>
    </cfRule>
  </conditionalFormatting>
  <conditionalFormatting sqref="V1215">
    <cfRule type="cellIs" dxfId="1123" priority="1058" operator="equal">
      <formula>"WRONG"</formula>
    </cfRule>
  </conditionalFormatting>
  <conditionalFormatting sqref="V1214">
    <cfRule type="cellIs" dxfId="1122" priority="1057" operator="equal">
      <formula>"WRONG"</formula>
    </cfRule>
  </conditionalFormatting>
  <conditionalFormatting sqref="AA1214">
    <cfRule type="cellIs" dxfId="1121" priority="1055" operator="lessThan">
      <formula>TODAY()</formula>
    </cfRule>
    <cfRule type="cellIs" dxfId="1120" priority="1056" operator="lessThan">
      <formula>TODAY()</formula>
    </cfRule>
  </conditionalFormatting>
  <conditionalFormatting sqref="AA1216">
    <cfRule type="cellIs" dxfId="1119" priority="1053" operator="lessThan">
      <formula>TODAY()</formula>
    </cfRule>
    <cfRule type="cellIs" dxfId="1118" priority="1054" operator="lessThan">
      <formula>TODAY()</formula>
    </cfRule>
  </conditionalFormatting>
  <conditionalFormatting sqref="V1216">
    <cfRule type="cellIs" dxfId="1117" priority="1052" operator="equal">
      <formula>"WRONG"</formula>
    </cfRule>
  </conditionalFormatting>
  <conditionalFormatting sqref="V1211">
    <cfRule type="cellIs" dxfId="1116" priority="1051" operator="equal">
      <formula>"WRONG"</formula>
    </cfRule>
  </conditionalFormatting>
  <conditionalFormatting sqref="AA1211">
    <cfRule type="cellIs" dxfId="1115" priority="1049" operator="lessThan">
      <formula>TODAY()</formula>
    </cfRule>
    <cfRule type="cellIs" dxfId="1114" priority="1050" operator="lessThan">
      <formula>TODAY()</formula>
    </cfRule>
  </conditionalFormatting>
  <conditionalFormatting sqref="AA1217">
    <cfRule type="cellIs" dxfId="1113" priority="1047" operator="lessThan">
      <formula>TODAY()</formula>
    </cfRule>
    <cfRule type="cellIs" dxfId="1112" priority="1048" operator="lessThan">
      <formula>TODAY()</formula>
    </cfRule>
  </conditionalFormatting>
  <conditionalFormatting sqref="V1217">
    <cfRule type="cellIs" dxfId="1111" priority="1046" operator="equal">
      <formula>"WRONG"</formula>
    </cfRule>
  </conditionalFormatting>
  <conditionalFormatting sqref="AA1301">
    <cfRule type="cellIs" dxfId="1110" priority="1044" operator="lessThan">
      <formula>TODAY()</formula>
    </cfRule>
    <cfRule type="cellIs" dxfId="1109" priority="1045" operator="lessThan">
      <formula>TODAY()</formula>
    </cfRule>
  </conditionalFormatting>
  <conditionalFormatting sqref="V1301">
    <cfRule type="cellIs" dxfId="1108" priority="1043" operator="equal">
      <formula>"WRONG"</formula>
    </cfRule>
  </conditionalFormatting>
  <conditionalFormatting sqref="AA1302">
    <cfRule type="cellIs" dxfId="1107" priority="1038" operator="lessThan">
      <formula>TODAY()</formula>
    </cfRule>
    <cfRule type="cellIs" dxfId="1106" priority="1039" operator="lessThan">
      <formula>TODAY()</formula>
    </cfRule>
  </conditionalFormatting>
  <conditionalFormatting sqref="V1302">
    <cfRule type="cellIs" dxfId="1105" priority="1037" operator="equal">
      <formula>"WRONG"</formula>
    </cfRule>
  </conditionalFormatting>
  <conditionalFormatting sqref="V1044">
    <cfRule type="cellIs" dxfId="1104" priority="1024" operator="equal">
      <formula>"WRONG"</formula>
    </cfRule>
  </conditionalFormatting>
  <conditionalFormatting sqref="A1044">
    <cfRule type="duplicateValues" dxfId="1103" priority="1022"/>
    <cfRule type="duplicateValues" dxfId="1102" priority="1023"/>
  </conditionalFormatting>
  <conditionalFormatting sqref="A1044">
    <cfRule type="duplicateValues" dxfId="1101" priority="1025"/>
  </conditionalFormatting>
  <conditionalFormatting sqref="A1044">
    <cfRule type="duplicateValues" dxfId="1100" priority="1026"/>
  </conditionalFormatting>
  <conditionalFormatting sqref="V1016">
    <cfRule type="cellIs" dxfId="1099" priority="998" operator="equal">
      <formula>"WRONG"</formula>
    </cfRule>
  </conditionalFormatting>
  <conditionalFormatting sqref="A1016">
    <cfRule type="duplicateValues" dxfId="1098" priority="996"/>
    <cfRule type="duplicateValues" dxfId="1097" priority="997"/>
  </conditionalFormatting>
  <conditionalFormatting sqref="A1016">
    <cfRule type="duplicateValues" dxfId="1096" priority="999"/>
  </conditionalFormatting>
  <conditionalFormatting sqref="A1016">
    <cfRule type="duplicateValues" dxfId="1095" priority="1000"/>
  </conditionalFormatting>
  <conditionalFormatting sqref="V1089">
    <cfRule type="cellIs" dxfId="1094" priority="994" operator="equal">
      <formula>"WRONG"</formula>
    </cfRule>
  </conditionalFormatting>
  <conditionalFormatting sqref="V1089">
    <cfRule type="cellIs" dxfId="1093" priority="993" operator="equal">
      <formula>"WRONG"</formula>
    </cfRule>
  </conditionalFormatting>
  <conditionalFormatting sqref="V1089">
    <cfRule type="cellIs" dxfId="1092" priority="992" operator="equal">
      <formula>"WRONG"</formula>
    </cfRule>
  </conditionalFormatting>
  <conditionalFormatting sqref="V1089">
    <cfRule type="cellIs" dxfId="1091" priority="991" operator="equal">
      <formula>"WRONG"</formula>
    </cfRule>
  </conditionalFormatting>
  <conditionalFormatting sqref="V1089">
    <cfRule type="cellIs" dxfId="1090" priority="990" operator="equal">
      <formula>"WRONG"</formula>
    </cfRule>
  </conditionalFormatting>
  <conditionalFormatting sqref="A1089">
    <cfRule type="duplicateValues" dxfId="1089" priority="988"/>
    <cfRule type="duplicateValues" dxfId="1088" priority="989"/>
  </conditionalFormatting>
  <conditionalFormatting sqref="A1089">
    <cfRule type="duplicateValues" dxfId="1087" priority="995"/>
  </conditionalFormatting>
  <conditionalFormatting sqref="AA1285">
    <cfRule type="cellIs" dxfId="1086" priority="986" operator="lessThan">
      <formula>TODAY()</formula>
    </cfRule>
    <cfRule type="cellIs" dxfId="1085" priority="987" operator="lessThan">
      <formula>TODAY()</formula>
    </cfRule>
  </conditionalFormatting>
  <conditionalFormatting sqref="V1285">
    <cfRule type="cellIs" dxfId="1084" priority="985" operator="equal">
      <formula>"WRONG"</formula>
    </cfRule>
  </conditionalFormatting>
  <conditionalFormatting sqref="AA1283">
    <cfRule type="cellIs" dxfId="1083" priority="983" operator="lessThan">
      <formula>TODAY()</formula>
    </cfRule>
    <cfRule type="cellIs" dxfId="1082" priority="984" operator="lessThan">
      <formula>TODAY()</formula>
    </cfRule>
  </conditionalFormatting>
  <conditionalFormatting sqref="V1283">
    <cfRule type="cellIs" dxfId="1081" priority="982" operator="equal">
      <formula>"WRONG"</formula>
    </cfRule>
  </conditionalFormatting>
  <conditionalFormatting sqref="AA1284">
    <cfRule type="cellIs" dxfId="1080" priority="980" operator="lessThan">
      <formula>TODAY()</formula>
    </cfRule>
    <cfRule type="cellIs" dxfId="1079" priority="981" operator="lessThan">
      <formula>TODAY()</formula>
    </cfRule>
  </conditionalFormatting>
  <conditionalFormatting sqref="V1284">
    <cfRule type="cellIs" dxfId="1078" priority="979" operator="equal">
      <formula>"WRONG"</formula>
    </cfRule>
  </conditionalFormatting>
  <conditionalFormatting sqref="AA1230">
    <cfRule type="cellIs" dxfId="1077" priority="977" operator="lessThan">
      <formula>TODAY()</formula>
    </cfRule>
    <cfRule type="cellIs" dxfId="1076" priority="978" operator="lessThan">
      <formula>TODAY()</formula>
    </cfRule>
  </conditionalFormatting>
  <conditionalFormatting sqref="V1230">
    <cfRule type="cellIs" dxfId="1075" priority="976" operator="equal">
      <formula>"WRONG"</formula>
    </cfRule>
  </conditionalFormatting>
  <conditionalFormatting sqref="AA1229">
    <cfRule type="cellIs" dxfId="1074" priority="971" operator="lessThan">
      <formula>TODAY()</formula>
    </cfRule>
    <cfRule type="cellIs" dxfId="1073" priority="972" operator="lessThan">
      <formula>TODAY()</formula>
    </cfRule>
  </conditionalFormatting>
  <conditionalFormatting sqref="V1229">
    <cfRule type="cellIs" dxfId="1072" priority="970" operator="equal">
      <formula>"WRONG"</formula>
    </cfRule>
  </conditionalFormatting>
  <conditionalFormatting sqref="AA1297">
    <cfRule type="cellIs" dxfId="1071" priority="968" operator="lessThan">
      <formula>TODAY()</formula>
    </cfRule>
    <cfRule type="cellIs" dxfId="1070" priority="969" operator="lessThan">
      <formula>TODAY()</formula>
    </cfRule>
  </conditionalFormatting>
  <conditionalFormatting sqref="V1297">
    <cfRule type="cellIs" dxfId="1069" priority="967" operator="equal">
      <formula>"WRONG"</formula>
    </cfRule>
  </conditionalFormatting>
  <conditionalFormatting sqref="AA1237">
    <cfRule type="cellIs" dxfId="1068" priority="965" operator="lessThan">
      <formula>TODAY()</formula>
    </cfRule>
    <cfRule type="cellIs" dxfId="1067" priority="966" operator="lessThan">
      <formula>TODAY()</formula>
    </cfRule>
  </conditionalFormatting>
  <conditionalFormatting sqref="V1237">
    <cfRule type="cellIs" dxfId="1066" priority="964" operator="equal">
      <formula>"WRONG"</formula>
    </cfRule>
  </conditionalFormatting>
  <conditionalFormatting sqref="AA1299">
    <cfRule type="cellIs" dxfId="1065" priority="956" operator="lessThan">
      <formula>TODAY()</formula>
    </cfRule>
    <cfRule type="cellIs" dxfId="1064" priority="957" operator="lessThan">
      <formula>TODAY()</formula>
    </cfRule>
  </conditionalFormatting>
  <conditionalFormatting sqref="V1299">
    <cfRule type="cellIs" dxfId="1063" priority="955" operator="equal">
      <formula>"WRONG"</formula>
    </cfRule>
  </conditionalFormatting>
  <conditionalFormatting sqref="AA1292 AA1310 AA1367 AA1381">
    <cfRule type="cellIs" dxfId="1062" priority="943" operator="lessThan">
      <formula>TODAY()</formula>
    </cfRule>
    <cfRule type="cellIs" dxfId="1061" priority="944" operator="lessThan">
      <formula>TODAY()</formula>
    </cfRule>
  </conditionalFormatting>
  <conditionalFormatting sqref="V1292 V1310 V1367 V1381">
    <cfRule type="cellIs" dxfId="1060" priority="945" operator="equal">
      <formula>"WRONG"</formula>
    </cfRule>
  </conditionalFormatting>
  <conditionalFormatting sqref="AA1327 AA1323 AA1291">
    <cfRule type="cellIs" dxfId="1059" priority="941" operator="lessThan">
      <formula>TODAY()</formula>
    </cfRule>
    <cfRule type="cellIs" dxfId="1058" priority="942" operator="lessThan">
      <formula>TODAY()</formula>
    </cfRule>
  </conditionalFormatting>
  <conditionalFormatting sqref="V1327 V1323 V1291">
    <cfRule type="cellIs" dxfId="1057" priority="940" operator="equal">
      <formula>"WRONG"</formula>
    </cfRule>
  </conditionalFormatting>
  <conditionalFormatting sqref="AA1311">
    <cfRule type="cellIs" dxfId="1056" priority="938" operator="lessThan">
      <formula>TODAY()</formula>
    </cfRule>
    <cfRule type="cellIs" dxfId="1055" priority="939" operator="lessThan">
      <formula>TODAY()</formula>
    </cfRule>
  </conditionalFormatting>
  <conditionalFormatting sqref="V1311">
    <cfRule type="cellIs" dxfId="1054" priority="937" operator="equal">
      <formula>"WRONG"</formula>
    </cfRule>
  </conditionalFormatting>
  <conditionalFormatting sqref="AA1312:AA1314">
    <cfRule type="cellIs" dxfId="1053" priority="935" operator="lessThan">
      <formula>TODAY()</formula>
    </cfRule>
    <cfRule type="cellIs" dxfId="1052" priority="936" operator="lessThan">
      <formula>TODAY()</formula>
    </cfRule>
  </conditionalFormatting>
  <conditionalFormatting sqref="V1312:V1314">
    <cfRule type="cellIs" dxfId="1051" priority="934" operator="equal">
      <formula>"WRONG"</formula>
    </cfRule>
  </conditionalFormatting>
  <conditionalFormatting sqref="AA1309">
    <cfRule type="cellIs" dxfId="1050" priority="920" operator="lessThan">
      <formula>TODAY()</formula>
    </cfRule>
    <cfRule type="cellIs" dxfId="1049" priority="921" operator="lessThan">
      <formula>TODAY()</formula>
    </cfRule>
  </conditionalFormatting>
  <conditionalFormatting sqref="V1309">
    <cfRule type="cellIs" dxfId="1048" priority="919" operator="equal">
      <formula>"WRONG"</formula>
    </cfRule>
  </conditionalFormatting>
  <conditionalFormatting sqref="AA1318:AA1320">
    <cfRule type="cellIs" dxfId="1047" priority="904" operator="lessThan">
      <formula>TODAY()</formula>
    </cfRule>
    <cfRule type="cellIs" dxfId="1046" priority="905" operator="lessThan">
      <formula>TODAY()</formula>
    </cfRule>
  </conditionalFormatting>
  <conditionalFormatting sqref="V1318:V1320">
    <cfRule type="cellIs" dxfId="1045" priority="906" operator="equal">
      <formula>"WRONG"</formula>
    </cfRule>
  </conditionalFormatting>
  <conditionalFormatting sqref="AA1317">
    <cfRule type="cellIs" dxfId="1044" priority="902" operator="lessThan">
      <formula>TODAY()</formula>
    </cfRule>
    <cfRule type="cellIs" dxfId="1043" priority="903" operator="lessThan">
      <formula>TODAY()</formula>
    </cfRule>
  </conditionalFormatting>
  <conditionalFormatting sqref="V1317">
    <cfRule type="cellIs" dxfId="1042" priority="901" operator="equal">
      <formula>"WRONG"</formula>
    </cfRule>
  </conditionalFormatting>
  <conditionalFormatting sqref="AA1315">
    <cfRule type="cellIs" dxfId="1041" priority="899" operator="lessThan">
      <formula>TODAY()</formula>
    </cfRule>
    <cfRule type="cellIs" dxfId="1040" priority="900" operator="lessThan">
      <formula>TODAY()</formula>
    </cfRule>
  </conditionalFormatting>
  <conditionalFormatting sqref="V1315">
    <cfRule type="cellIs" dxfId="1039" priority="898" operator="equal">
      <formula>"WRONG"</formula>
    </cfRule>
  </conditionalFormatting>
  <conditionalFormatting sqref="AA1316">
    <cfRule type="cellIs" dxfId="1038" priority="896" operator="lessThan">
      <formula>TODAY()</formula>
    </cfRule>
    <cfRule type="cellIs" dxfId="1037" priority="897" operator="lessThan">
      <formula>TODAY()</formula>
    </cfRule>
  </conditionalFormatting>
  <conditionalFormatting sqref="V1316">
    <cfRule type="cellIs" dxfId="1036" priority="895" operator="equal">
      <formula>"WRONG"</formula>
    </cfRule>
  </conditionalFormatting>
  <conditionalFormatting sqref="AA1265">
    <cfRule type="cellIs" dxfId="1035" priority="869" operator="lessThan">
      <formula>TODAY()</formula>
    </cfRule>
    <cfRule type="cellIs" dxfId="1034" priority="870" operator="lessThan">
      <formula>TODAY()</formula>
    </cfRule>
  </conditionalFormatting>
  <conditionalFormatting sqref="V1265">
    <cfRule type="cellIs" dxfId="1033" priority="868" operator="equal">
      <formula>"WRONG"</formula>
    </cfRule>
  </conditionalFormatting>
  <conditionalFormatting sqref="AA1251 AA1244">
    <cfRule type="cellIs" dxfId="1032" priority="865" operator="lessThan">
      <formula>TODAY()</formula>
    </cfRule>
    <cfRule type="cellIs" dxfId="1031" priority="866" operator="lessThan">
      <formula>TODAY()</formula>
    </cfRule>
  </conditionalFormatting>
  <conditionalFormatting sqref="V1251 V1244">
    <cfRule type="cellIs" dxfId="1030" priority="867" operator="equal">
      <formula>"WRONG"</formula>
    </cfRule>
  </conditionalFormatting>
  <conditionalFormatting sqref="AA1243">
    <cfRule type="cellIs" dxfId="1029" priority="863" operator="lessThan">
      <formula>TODAY()</formula>
    </cfRule>
    <cfRule type="cellIs" dxfId="1028" priority="864" operator="lessThan">
      <formula>TODAY()</formula>
    </cfRule>
  </conditionalFormatting>
  <conditionalFormatting sqref="V1243">
    <cfRule type="cellIs" dxfId="1027" priority="862" operator="equal">
      <formula>"WRONG"</formula>
    </cfRule>
  </conditionalFormatting>
  <conditionalFormatting sqref="AA1252">
    <cfRule type="cellIs" dxfId="1026" priority="860" operator="lessThan">
      <formula>TODAY()</formula>
    </cfRule>
    <cfRule type="cellIs" dxfId="1025" priority="861" operator="lessThan">
      <formula>TODAY()</formula>
    </cfRule>
  </conditionalFormatting>
  <conditionalFormatting sqref="V1252">
    <cfRule type="cellIs" dxfId="1024" priority="859" operator="equal">
      <formula>"WRONG"</formula>
    </cfRule>
  </conditionalFormatting>
  <conditionalFormatting sqref="AA1253:AA1271">
    <cfRule type="cellIs" dxfId="1023" priority="857" operator="lessThan">
      <formula>TODAY()</formula>
    </cfRule>
    <cfRule type="cellIs" dxfId="1022" priority="858" operator="lessThan">
      <formula>TODAY()</formula>
    </cfRule>
  </conditionalFormatting>
  <conditionalFormatting sqref="V1253:V1271">
    <cfRule type="cellIs" dxfId="1021" priority="856" operator="equal">
      <formula>"WRONG"</formula>
    </cfRule>
  </conditionalFormatting>
  <conditionalFormatting sqref="AA1266">
    <cfRule type="cellIs" dxfId="1020" priority="853" operator="lessThan">
      <formula>TODAY()</formula>
    </cfRule>
    <cfRule type="cellIs" dxfId="1019" priority="854" operator="lessThan">
      <formula>TODAY()</formula>
    </cfRule>
  </conditionalFormatting>
  <conditionalFormatting sqref="V1266">
    <cfRule type="cellIs" dxfId="1018" priority="855" operator="equal">
      <formula>"WRONG"</formula>
    </cfRule>
  </conditionalFormatting>
  <conditionalFormatting sqref="AA1263:AA1264">
    <cfRule type="cellIs" dxfId="1017" priority="850" operator="lessThan">
      <formula>TODAY()</formula>
    </cfRule>
    <cfRule type="cellIs" dxfId="1016" priority="851" operator="lessThan">
      <formula>TODAY()</formula>
    </cfRule>
  </conditionalFormatting>
  <conditionalFormatting sqref="V1263:V1264">
    <cfRule type="cellIs" dxfId="1015" priority="852" operator="equal">
      <formula>"WRONG"</formula>
    </cfRule>
  </conditionalFormatting>
  <conditionalFormatting sqref="AA1260:AA1271">
    <cfRule type="cellIs" dxfId="1014" priority="848" operator="lessThan">
      <formula>TODAY()</formula>
    </cfRule>
    <cfRule type="cellIs" dxfId="1013" priority="849" operator="lessThan">
      <formula>TODAY()</formula>
    </cfRule>
  </conditionalFormatting>
  <conditionalFormatting sqref="V1260:V1271">
    <cfRule type="cellIs" dxfId="1012" priority="847" operator="equal">
      <formula>"WRONG"</formula>
    </cfRule>
  </conditionalFormatting>
  <conditionalFormatting sqref="AA1259">
    <cfRule type="cellIs" dxfId="1011" priority="842" operator="lessThan">
      <formula>TODAY()</formula>
    </cfRule>
    <cfRule type="cellIs" dxfId="1010" priority="843" operator="lessThan">
      <formula>TODAY()</formula>
    </cfRule>
  </conditionalFormatting>
  <conditionalFormatting sqref="V1259">
    <cfRule type="cellIs" dxfId="1009" priority="841" operator="equal">
      <formula>"WRONG"</formula>
    </cfRule>
  </conditionalFormatting>
  <conditionalFormatting sqref="AA1257">
    <cfRule type="cellIs" dxfId="1008" priority="839" operator="lessThan">
      <formula>TODAY()</formula>
    </cfRule>
    <cfRule type="cellIs" dxfId="1007" priority="840" operator="lessThan">
      <formula>TODAY()</formula>
    </cfRule>
  </conditionalFormatting>
  <conditionalFormatting sqref="V1257">
    <cfRule type="cellIs" dxfId="1006" priority="838" operator="equal">
      <formula>"WRONG"</formula>
    </cfRule>
  </conditionalFormatting>
  <conditionalFormatting sqref="AA1267 AA1271 AA1249 AA1256">
    <cfRule type="cellIs" dxfId="1005" priority="835" operator="lessThan">
      <formula>TODAY()</formula>
    </cfRule>
    <cfRule type="cellIs" dxfId="1004" priority="836" operator="lessThan">
      <formula>TODAY()</formula>
    </cfRule>
  </conditionalFormatting>
  <conditionalFormatting sqref="V1267 V1271 V1249 V1256">
    <cfRule type="cellIs" dxfId="1003" priority="837" operator="equal">
      <formula>"WRONG"</formula>
    </cfRule>
  </conditionalFormatting>
  <conditionalFormatting sqref="AA1270">
    <cfRule type="cellIs" dxfId="1002" priority="833" operator="lessThan">
      <formula>TODAY()</formula>
    </cfRule>
    <cfRule type="cellIs" dxfId="1001" priority="834" operator="lessThan">
      <formula>TODAY()</formula>
    </cfRule>
  </conditionalFormatting>
  <conditionalFormatting sqref="V1270">
    <cfRule type="cellIs" dxfId="1000" priority="832" operator="equal">
      <formula>"WRONG"</formula>
    </cfRule>
  </conditionalFormatting>
  <conditionalFormatting sqref="AA1268">
    <cfRule type="cellIs" dxfId="999" priority="830" operator="lessThan">
      <formula>TODAY()</formula>
    </cfRule>
    <cfRule type="cellIs" dxfId="998" priority="831" operator="lessThan">
      <formula>TODAY()</formula>
    </cfRule>
  </conditionalFormatting>
  <conditionalFormatting sqref="V1268">
    <cfRule type="cellIs" dxfId="997" priority="829" operator="equal">
      <formula>"WRONG"</formula>
    </cfRule>
  </conditionalFormatting>
  <conditionalFormatting sqref="AA1269">
    <cfRule type="cellIs" dxfId="996" priority="827" operator="lessThan">
      <formula>TODAY()</formula>
    </cfRule>
    <cfRule type="cellIs" dxfId="995" priority="828" operator="lessThan">
      <formula>TODAY()</formula>
    </cfRule>
  </conditionalFormatting>
  <conditionalFormatting sqref="V1269">
    <cfRule type="cellIs" dxfId="994" priority="826" operator="equal">
      <formula>"WRONG"</formula>
    </cfRule>
  </conditionalFormatting>
  <conditionalFormatting sqref="AA1247">
    <cfRule type="cellIs" dxfId="993" priority="821" operator="lessThan">
      <formula>TODAY()</formula>
    </cfRule>
    <cfRule type="cellIs" dxfId="992" priority="822" operator="lessThan">
      <formula>TODAY()</formula>
    </cfRule>
  </conditionalFormatting>
  <conditionalFormatting sqref="V1247">
    <cfRule type="cellIs" dxfId="991" priority="820" operator="equal">
      <formula>"WRONG"</formula>
    </cfRule>
  </conditionalFormatting>
  <conditionalFormatting sqref="AA1246">
    <cfRule type="cellIs" dxfId="990" priority="814" operator="lessThan">
      <formula>TODAY()</formula>
    </cfRule>
    <cfRule type="cellIs" dxfId="989" priority="815" operator="lessThan">
      <formula>TODAY()</formula>
    </cfRule>
  </conditionalFormatting>
  <conditionalFormatting sqref="V1246">
    <cfRule type="cellIs" dxfId="988" priority="816" operator="equal">
      <formula>"WRONG"</formula>
    </cfRule>
  </conditionalFormatting>
  <conditionalFormatting sqref="AA1262:AA1271">
    <cfRule type="cellIs" dxfId="987" priority="812" operator="lessThan">
      <formula>TODAY()</formula>
    </cfRule>
    <cfRule type="cellIs" dxfId="986" priority="813" operator="lessThan">
      <formula>TODAY()</formula>
    </cfRule>
  </conditionalFormatting>
  <conditionalFormatting sqref="V1262:V1271">
    <cfRule type="cellIs" dxfId="985" priority="811" operator="equal">
      <formula>"WRONG"</formula>
    </cfRule>
  </conditionalFormatting>
  <conditionalFormatting sqref="AA1261">
    <cfRule type="cellIs" dxfId="984" priority="809" operator="lessThan">
      <formula>TODAY()</formula>
    </cfRule>
    <cfRule type="cellIs" dxfId="983" priority="810" operator="lessThan">
      <formula>TODAY()</formula>
    </cfRule>
  </conditionalFormatting>
  <conditionalFormatting sqref="V1261">
    <cfRule type="cellIs" dxfId="982" priority="808" operator="equal">
      <formula>"WRONG"</formula>
    </cfRule>
  </conditionalFormatting>
  <conditionalFormatting sqref="AA1255">
    <cfRule type="cellIs" dxfId="981" priority="806" operator="lessThan">
      <formula>TODAY()</formula>
    </cfRule>
    <cfRule type="cellIs" dxfId="980" priority="807" operator="lessThan">
      <formula>TODAY()</formula>
    </cfRule>
  </conditionalFormatting>
  <conditionalFormatting sqref="V1255">
    <cfRule type="cellIs" dxfId="979" priority="805" operator="equal">
      <formula>"WRONG"</formula>
    </cfRule>
  </conditionalFormatting>
  <conditionalFormatting sqref="AA1250">
    <cfRule type="cellIs" dxfId="978" priority="803" operator="lessThan">
      <formula>TODAY()</formula>
    </cfRule>
    <cfRule type="cellIs" dxfId="977" priority="804" operator="lessThan">
      <formula>TODAY()</formula>
    </cfRule>
  </conditionalFormatting>
  <conditionalFormatting sqref="V1250">
    <cfRule type="cellIs" dxfId="976" priority="802" operator="equal">
      <formula>"WRONG"</formula>
    </cfRule>
  </conditionalFormatting>
  <conditionalFormatting sqref="AA1254">
    <cfRule type="cellIs" dxfId="975" priority="800" operator="lessThan">
      <formula>TODAY()</formula>
    </cfRule>
    <cfRule type="cellIs" dxfId="974" priority="801" operator="lessThan">
      <formula>TODAY()</formula>
    </cfRule>
  </conditionalFormatting>
  <conditionalFormatting sqref="V1254">
    <cfRule type="cellIs" dxfId="973" priority="799" operator="equal">
      <formula>"WRONG"</formula>
    </cfRule>
  </conditionalFormatting>
  <conditionalFormatting sqref="V1179">
    <cfRule type="cellIs" dxfId="972" priority="796" operator="equal">
      <formula>"WRONG"</formula>
    </cfRule>
  </conditionalFormatting>
  <conditionalFormatting sqref="A1179">
    <cfRule type="duplicateValues" dxfId="971" priority="794"/>
    <cfRule type="duplicateValues" dxfId="970" priority="795"/>
  </conditionalFormatting>
  <conditionalFormatting sqref="V1179">
    <cfRule type="cellIs" dxfId="969" priority="793" operator="equal">
      <formula>"WRONG"</formula>
    </cfRule>
  </conditionalFormatting>
  <conditionalFormatting sqref="A1179">
    <cfRule type="duplicateValues" dxfId="968" priority="797"/>
  </conditionalFormatting>
  <conditionalFormatting sqref="A1179">
    <cfRule type="duplicateValues" dxfId="967" priority="798"/>
  </conditionalFormatting>
  <conditionalFormatting sqref="V1179">
    <cfRule type="cellIs" dxfId="966" priority="792" operator="equal">
      <formula>"WRONG"</formula>
    </cfRule>
  </conditionalFormatting>
  <conditionalFormatting sqref="V1177">
    <cfRule type="cellIs" dxfId="965" priority="789" operator="equal">
      <formula>"WRONG"</formula>
    </cfRule>
  </conditionalFormatting>
  <conditionalFormatting sqref="V1177">
    <cfRule type="cellIs" dxfId="964" priority="786" operator="equal">
      <formula>"WRONG"</formula>
    </cfRule>
  </conditionalFormatting>
  <conditionalFormatting sqref="AA1326">
    <cfRule type="cellIs" dxfId="963" priority="783" operator="lessThan">
      <formula>TODAY()</formula>
    </cfRule>
    <cfRule type="cellIs" dxfId="962" priority="784" operator="lessThan">
      <formula>TODAY()</formula>
    </cfRule>
  </conditionalFormatting>
  <conditionalFormatting sqref="V1326">
    <cfRule type="cellIs" dxfId="961" priority="785" operator="equal">
      <formula>"WRONG"</formula>
    </cfRule>
  </conditionalFormatting>
  <conditionalFormatting sqref="AA1321">
    <cfRule type="cellIs" dxfId="960" priority="781" operator="lessThan">
      <formula>TODAY()</formula>
    </cfRule>
    <cfRule type="cellIs" dxfId="959" priority="782" operator="lessThan">
      <formula>TODAY()</formula>
    </cfRule>
  </conditionalFormatting>
  <conditionalFormatting sqref="V1321">
    <cfRule type="cellIs" dxfId="958" priority="780" operator="equal">
      <formula>"WRONG"</formula>
    </cfRule>
  </conditionalFormatting>
  <conditionalFormatting sqref="AA1322">
    <cfRule type="cellIs" dxfId="957" priority="778" operator="lessThan">
      <formula>TODAY()</formula>
    </cfRule>
    <cfRule type="cellIs" dxfId="956" priority="779" operator="lessThan">
      <formula>TODAY()</formula>
    </cfRule>
  </conditionalFormatting>
  <conditionalFormatting sqref="V1322">
    <cfRule type="cellIs" dxfId="955" priority="777" operator="equal">
      <formula>"WRONG"</formula>
    </cfRule>
  </conditionalFormatting>
  <conditionalFormatting sqref="AA1325">
    <cfRule type="cellIs" dxfId="954" priority="775" operator="lessThan">
      <formula>TODAY()</formula>
    </cfRule>
    <cfRule type="cellIs" dxfId="953" priority="776" operator="lessThan">
      <formula>TODAY()</formula>
    </cfRule>
  </conditionalFormatting>
  <conditionalFormatting sqref="V1325">
    <cfRule type="cellIs" dxfId="952" priority="774" operator="equal">
      <formula>"WRONG"</formula>
    </cfRule>
  </conditionalFormatting>
  <conditionalFormatting sqref="AA1329 AA1282:AA1314">
    <cfRule type="cellIs" dxfId="951" priority="771" operator="lessThan">
      <formula>TODAY()</formula>
    </cfRule>
    <cfRule type="cellIs" dxfId="950" priority="772" operator="lessThan">
      <formula>TODAY()</formula>
    </cfRule>
  </conditionalFormatting>
  <conditionalFormatting sqref="V1329 V1282:V1314">
    <cfRule type="cellIs" dxfId="949" priority="773" operator="equal">
      <formula>"WRONG"</formula>
    </cfRule>
  </conditionalFormatting>
  <conditionalFormatting sqref="AA1314">
    <cfRule type="cellIs" dxfId="948" priority="769" operator="lessThan">
      <formula>TODAY()</formula>
    </cfRule>
    <cfRule type="cellIs" dxfId="947" priority="770" operator="lessThan">
      <formula>TODAY()</formula>
    </cfRule>
  </conditionalFormatting>
  <conditionalFormatting sqref="V1314">
    <cfRule type="cellIs" dxfId="946" priority="768" operator="equal">
      <formula>"WRONG"</formula>
    </cfRule>
  </conditionalFormatting>
  <conditionalFormatting sqref="AA1328">
    <cfRule type="cellIs" dxfId="945" priority="766" operator="lessThan">
      <formula>TODAY()</formula>
    </cfRule>
    <cfRule type="cellIs" dxfId="944" priority="767" operator="lessThan">
      <formula>TODAY()</formula>
    </cfRule>
  </conditionalFormatting>
  <conditionalFormatting sqref="V1328">
    <cfRule type="cellIs" dxfId="943" priority="765" operator="equal">
      <formula>"WRONG"</formula>
    </cfRule>
  </conditionalFormatting>
  <conditionalFormatting sqref="AA1313">
    <cfRule type="cellIs" dxfId="942" priority="763" operator="lessThan">
      <formula>TODAY()</formula>
    </cfRule>
    <cfRule type="cellIs" dxfId="941" priority="764" operator="lessThan">
      <formula>TODAY()</formula>
    </cfRule>
  </conditionalFormatting>
  <conditionalFormatting sqref="V1313">
    <cfRule type="cellIs" dxfId="940" priority="762" operator="equal">
      <formula>"WRONG"</formula>
    </cfRule>
  </conditionalFormatting>
  <conditionalFormatting sqref="AA1276">
    <cfRule type="cellIs" dxfId="939" priority="757" operator="lessThan">
      <formula>TODAY()</formula>
    </cfRule>
    <cfRule type="cellIs" dxfId="938" priority="758" operator="lessThan">
      <formula>TODAY()</formula>
    </cfRule>
  </conditionalFormatting>
  <conditionalFormatting sqref="V1276">
    <cfRule type="cellIs" dxfId="937" priority="756" operator="equal">
      <formula>"WRONG"</formula>
    </cfRule>
  </conditionalFormatting>
  <conditionalFormatting sqref="AA1278">
    <cfRule type="cellIs" dxfId="936" priority="754" operator="lessThan">
      <formula>TODAY()</formula>
    </cfRule>
    <cfRule type="cellIs" dxfId="935" priority="755" operator="lessThan">
      <formula>TODAY()</formula>
    </cfRule>
  </conditionalFormatting>
  <conditionalFormatting sqref="V1278">
    <cfRule type="cellIs" dxfId="934" priority="753" operator="equal">
      <formula>"WRONG"</formula>
    </cfRule>
  </conditionalFormatting>
  <conditionalFormatting sqref="AA1279">
    <cfRule type="cellIs" dxfId="933" priority="751" operator="lessThan">
      <formula>TODAY()</formula>
    </cfRule>
    <cfRule type="cellIs" dxfId="932" priority="752" operator="lessThan">
      <formula>TODAY()</formula>
    </cfRule>
  </conditionalFormatting>
  <conditionalFormatting sqref="V1279">
    <cfRule type="cellIs" dxfId="931" priority="750" operator="equal">
      <formula>"WRONG"</formula>
    </cfRule>
  </conditionalFormatting>
  <conditionalFormatting sqref="AA1273">
    <cfRule type="cellIs" dxfId="930" priority="748" operator="lessThan">
      <formula>TODAY()</formula>
    </cfRule>
    <cfRule type="cellIs" dxfId="929" priority="749" operator="lessThan">
      <formula>TODAY()</formula>
    </cfRule>
  </conditionalFormatting>
  <conditionalFormatting sqref="V1273">
    <cfRule type="cellIs" dxfId="928" priority="747" operator="equal">
      <formula>"WRONG"</formula>
    </cfRule>
  </conditionalFormatting>
  <conditionalFormatting sqref="AA1320">
    <cfRule type="cellIs" dxfId="927" priority="744" operator="lessThan">
      <formula>TODAY()</formula>
    </cfRule>
    <cfRule type="cellIs" dxfId="926" priority="745" operator="lessThan">
      <formula>TODAY()</formula>
    </cfRule>
  </conditionalFormatting>
  <conditionalFormatting sqref="V1320">
    <cfRule type="cellIs" dxfId="925" priority="746" operator="equal">
      <formula>"WRONG"</formula>
    </cfRule>
  </conditionalFormatting>
  <conditionalFormatting sqref="AA1319">
    <cfRule type="cellIs" dxfId="924" priority="742" operator="lessThan">
      <formula>TODAY()</formula>
    </cfRule>
    <cfRule type="cellIs" dxfId="923" priority="743" operator="lessThan">
      <formula>TODAY()</formula>
    </cfRule>
  </conditionalFormatting>
  <conditionalFormatting sqref="V1319">
    <cfRule type="cellIs" dxfId="922" priority="741" operator="equal">
      <formula>"WRONG"</formula>
    </cfRule>
  </conditionalFormatting>
  <conditionalFormatting sqref="AA1330">
    <cfRule type="cellIs" dxfId="921" priority="739" operator="lessThan">
      <formula>TODAY()</formula>
    </cfRule>
    <cfRule type="cellIs" dxfId="920" priority="740" operator="lessThan">
      <formula>TODAY()</formula>
    </cfRule>
  </conditionalFormatting>
  <conditionalFormatting sqref="V1330">
    <cfRule type="cellIs" dxfId="919" priority="738" operator="equal">
      <formula>"WRONG"</formula>
    </cfRule>
  </conditionalFormatting>
  <conditionalFormatting sqref="AA1281">
    <cfRule type="cellIs" dxfId="918" priority="736" operator="lessThan">
      <formula>TODAY()</formula>
    </cfRule>
    <cfRule type="cellIs" dxfId="917" priority="737" operator="lessThan">
      <formula>TODAY()</formula>
    </cfRule>
  </conditionalFormatting>
  <conditionalFormatting sqref="V1281">
    <cfRule type="cellIs" dxfId="916" priority="735" operator="equal">
      <formula>"WRONG"</formula>
    </cfRule>
  </conditionalFormatting>
  <conditionalFormatting sqref="AA1277">
    <cfRule type="cellIs" dxfId="915" priority="733" operator="lessThan">
      <formula>TODAY()</formula>
    </cfRule>
    <cfRule type="cellIs" dxfId="914" priority="734" operator="lessThan">
      <formula>TODAY()</formula>
    </cfRule>
  </conditionalFormatting>
  <conditionalFormatting sqref="V1277">
    <cfRule type="cellIs" dxfId="913" priority="732" operator="equal">
      <formula>"WRONG"</formula>
    </cfRule>
  </conditionalFormatting>
  <conditionalFormatting sqref="AA1280">
    <cfRule type="cellIs" dxfId="912" priority="730" operator="lessThan">
      <formula>TODAY()</formula>
    </cfRule>
    <cfRule type="cellIs" dxfId="911" priority="731" operator="lessThan">
      <formula>TODAY()</formula>
    </cfRule>
  </conditionalFormatting>
  <conditionalFormatting sqref="V1280">
    <cfRule type="cellIs" dxfId="910" priority="729" operator="equal">
      <formula>"WRONG"</formula>
    </cfRule>
  </conditionalFormatting>
  <conditionalFormatting sqref="AA1288">
    <cfRule type="cellIs" dxfId="909" priority="726" operator="lessThan">
      <formula>TODAY()</formula>
    </cfRule>
    <cfRule type="cellIs" dxfId="908" priority="727" operator="lessThan">
      <formula>TODAY()</formula>
    </cfRule>
  </conditionalFormatting>
  <conditionalFormatting sqref="V1288">
    <cfRule type="cellIs" dxfId="907" priority="728" operator="equal">
      <formula>"WRONG"</formula>
    </cfRule>
  </conditionalFormatting>
  <conditionalFormatting sqref="AA1289">
    <cfRule type="cellIs" dxfId="906" priority="724" operator="lessThan">
      <formula>TODAY()</formula>
    </cfRule>
    <cfRule type="cellIs" dxfId="905" priority="725" operator="lessThan">
      <formula>TODAY()</formula>
    </cfRule>
  </conditionalFormatting>
  <conditionalFormatting sqref="V1289">
    <cfRule type="cellIs" dxfId="904" priority="723" operator="equal">
      <formula>"WRONG"</formula>
    </cfRule>
  </conditionalFormatting>
  <conditionalFormatting sqref="AA1290">
    <cfRule type="cellIs" dxfId="903" priority="721" operator="lessThan">
      <formula>TODAY()</formula>
    </cfRule>
    <cfRule type="cellIs" dxfId="902" priority="722" operator="lessThan">
      <formula>TODAY()</formula>
    </cfRule>
  </conditionalFormatting>
  <conditionalFormatting sqref="V1290">
    <cfRule type="cellIs" dxfId="901" priority="720" operator="equal">
      <formula>"WRONG"</formula>
    </cfRule>
  </conditionalFormatting>
  <conditionalFormatting sqref="AA1287">
    <cfRule type="cellIs" dxfId="900" priority="718" operator="lessThan">
      <formula>TODAY()</formula>
    </cfRule>
    <cfRule type="cellIs" dxfId="899" priority="719" operator="lessThan">
      <formula>TODAY()</formula>
    </cfRule>
  </conditionalFormatting>
  <conditionalFormatting sqref="V1287">
    <cfRule type="cellIs" dxfId="898" priority="717" operator="equal">
      <formula>"WRONG"</formula>
    </cfRule>
  </conditionalFormatting>
  <conditionalFormatting sqref="AA1306">
    <cfRule type="cellIs" dxfId="897" priority="712" operator="lessThan">
      <formula>TODAY()</formula>
    </cfRule>
    <cfRule type="cellIs" dxfId="896" priority="713" operator="lessThan">
      <formula>TODAY()</formula>
    </cfRule>
  </conditionalFormatting>
  <conditionalFormatting sqref="V1306">
    <cfRule type="cellIs" dxfId="895" priority="711" operator="equal">
      <formula>"WRONG"</formula>
    </cfRule>
  </conditionalFormatting>
  <conditionalFormatting sqref="AA1305">
    <cfRule type="cellIs" dxfId="894" priority="706" operator="lessThan">
      <formula>TODAY()</formula>
    </cfRule>
    <cfRule type="cellIs" dxfId="893" priority="707" operator="lessThan">
      <formula>TODAY()</formula>
    </cfRule>
  </conditionalFormatting>
  <conditionalFormatting sqref="V1305">
    <cfRule type="cellIs" dxfId="892" priority="705" operator="equal">
      <formula>"WRONG"</formula>
    </cfRule>
  </conditionalFormatting>
  <conditionalFormatting sqref="AA1307">
    <cfRule type="cellIs" dxfId="891" priority="700" operator="lessThan">
      <formula>TODAY()</formula>
    </cfRule>
    <cfRule type="cellIs" dxfId="890" priority="701" operator="lessThan">
      <formula>TODAY()</formula>
    </cfRule>
  </conditionalFormatting>
  <conditionalFormatting sqref="V1307">
    <cfRule type="cellIs" dxfId="889" priority="699" operator="equal">
      <formula>"WRONG"</formula>
    </cfRule>
  </conditionalFormatting>
  <conditionalFormatting sqref="AA1308:AA1314">
    <cfRule type="cellIs" dxfId="888" priority="697" operator="lessThan">
      <formula>TODAY()</formula>
    </cfRule>
    <cfRule type="cellIs" dxfId="887" priority="698" operator="lessThan">
      <formula>TODAY()</formula>
    </cfRule>
  </conditionalFormatting>
  <conditionalFormatting sqref="V1308:V1314">
    <cfRule type="cellIs" dxfId="886" priority="696" operator="equal">
      <formula>"WRONG"</formula>
    </cfRule>
  </conditionalFormatting>
  <conditionalFormatting sqref="AA1366">
    <cfRule type="cellIs" dxfId="885" priority="694" operator="lessThan">
      <formula>TODAY()</formula>
    </cfRule>
    <cfRule type="cellIs" dxfId="884" priority="695" operator="lessThan">
      <formula>TODAY()</formula>
    </cfRule>
  </conditionalFormatting>
  <conditionalFormatting sqref="V1366">
    <cfRule type="cellIs" dxfId="883" priority="693" operator="equal">
      <formula>"WRONG"</formula>
    </cfRule>
  </conditionalFormatting>
  <conditionalFormatting sqref="AA1294">
    <cfRule type="cellIs" dxfId="882" priority="690" operator="lessThan">
      <formula>TODAY()</formula>
    </cfRule>
    <cfRule type="cellIs" dxfId="881" priority="691" operator="lessThan">
      <formula>TODAY()</formula>
    </cfRule>
  </conditionalFormatting>
  <conditionalFormatting sqref="V1294">
    <cfRule type="cellIs" dxfId="880" priority="692" operator="equal">
      <formula>"WRONG"</formula>
    </cfRule>
  </conditionalFormatting>
  <conditionalFormatting sqref="AA1295">
    <cfRule type="cellIs" dxfId="879" priority="688" operator="lessThan">
      <formula>TODAY()</formula>
    </cfRule>
    <cfRule type="cellIs" dxfId="878" priority="689" operator="lessThan">
      <formula>TODAY()</formula>
    </cfRule>
  </conditionalFormatting>
  <conditionalFormatting sqref="V1295">
    <cfRule type="cellIs" dxfId="877" priority="687" operator="equal">
      <formula>"WRONG"</formula>
    </cfRule>
  </conditionalFormatting>
  <conditionalFormatting sqref="AA1296:AA1314">
    <cfRule type="cellIs" dxfId="876" priority="685" operator="lessThan">
      <formula>TODAY()</formula>
    </cfRule>
    <cfRule type="cellIs" dxfId="875" priority="686" operator="lessThan">
      <formula>TODAY()</formula>
    </cfRule>
  </conditionalFormatting>
  <conditionalFormatting sqref="V1296:V1314">
    <cfRule type="cellIs" dxfId="874" priority="684" operator="equal">
      <formula>"WRONG"</formula>
    </cfRule>
  </conditionalFormatting>
  <conditionalFormatting sqref="AA1293">
    <cfRule type="cellIs" dxfId="873" priority="682" operator="lessThan">
      <formula>TODAY()</formula>
    </cfRule>
    <cfRule type="cellIs" dxfId="872" priority="683" operator="lessThan">
      <formula>TODAY()</formula>
    </cfRule>
  </conditionalFormatting>
  <conditionalFormatting sqref="V1293">
    <cfRule type="cellIs" dxfId="871" priority="681" operator="equal">
      <formula>"WRONG"</formula>
    </cfRule>
  </conditionalFormatting>
  <conditionalFormatting sqref="AA1364">
    <cfRule type="cellIs" dxfId="870" priority="658" operator="lessThan">
      <formula>TODAY()</formula>
    </cfRule>
    <cfRule type="cellIs" dxfId="869" priority="659" operator="lessThan">
      <formula>TODAY()</formula>
    </cfRule>
  </conditionalFormatting>
  <conditionalFormatting sqref="V1364">
    <cfRule type="cellIs" dxfId="868" priority="657" operator="equal">
      <formula>"WRONG"</formula>
    </cfRule>
  </conditionalFormatting>
  <conditionalFormatting sqref="AA1365">
    <cfRule type="cellIs" dxfId="867" priority="655" operator="lessThan">
      <formula>TODAY()</formula>
    </cfRule>
    <cfRule type="cellIs" dxfId="866" priority="656" operator="lessThan">
      <formula>TODAY()</formula>
    </cfRule>
  </conditionalFormatting>
  <conditionalFormatting sqref="V1365">
    <cfRule type="cellIs" dxfId="865" priority="654" operator="equal">
      <formula>"WRONG"</formula>
    </cfRule>
  </conditionalFormatting>
  <conditionalFormatting sqref="AA1380">
    <cfRule type="cellIs" dxfId="864" priority="649" operator="lessThan">
      <formula>TODAY()</formula>
    </cfRule>
    <cfRule type="cellIs" dxfId="863" priority="650" operator="lessThan">
      <formula>TODAY()</formula>
    </cfRule>
  </conditionalFormatting>
  <conditionalFormatting sqref="V1380">
    <cfRule type="cellIs" dxfId="862" priority="648" operator="equal">
      <formula>"WRONG"</formula>
    </cfRule>
  </conditionalFormatting>
  <conditionalFormatting sqref="AA1375">
    <cfRule type="cellIs" dxfId="861" priority="645" operator="lessThan">
      <formula>TODAY()</formula>
    </cfRule>
    <cfRule type="cellIs" dxfId="860" priority="646" operator="lessThan">
      <formula>TODAY()</formula>
    </cfRule>
  </conditionalFormatting>
  <conditionalFormatting sqref="V1375">
    <cfRule type="cellIs" dxfId="859" priority="647" operator="equal">
      <formula>"WRONG"</formula>
    </cfRule>
  </conditionalFormatting>
  <conditionalFormatting sqref="AA1374">
    <cfRule type="cellIs" dxfId="858" priority="643" operator="lessThan">
      <formula>TODAY()</formula>
    </cfRule>
    <cfRule type="cellIs" dxfId="857" priority="644" operator="lessThan">
      <formula>TODAY()</formula>
    </cfRule>
  </conditionalFormatting>
  <conditionalFormatting sqref="V1374">
    <cfRule type="cellIs" dxfId="856" priority="642" operator="equal">
      <formula>"WRONG"</formula>
    </cfRule>
  </conditionalFormatting>
  <conditionalFormatting sqref="AA1341">
    <cfRule type="cellIs" dxfId="855" priority="639" operator="lessThan">
      <formula>TODAY()</formula>
    </cfRule>
    <cfRule type="cellIs" dxfId="854" priority="640" operator="lessThan">
      <formula>TODAY()</formula>
    </cfRule>
  </conditionalFormatting>
  <conditionalFormatting sqref="V1341">
    <cfRule type="cellIs" dxfId="853" priority="641" operator="equal">
      <formula>"WRONG"</formula>
    </cfRule>
  </conditionalFormatting>
  <conditionalFormatting sqref="AA1342">
    <cfRule type="cellIs" dxfId="852" priority="637" operator="lessThan">
      <formula>TODAY()</formula>
    </cfRule>
    <cfRule type="cellIs" dxfId="851" priority="638" operator="lessThan">
      <formula>TODAY()</formula>
    </cfRule>
  </conditionalFormatting>
  <conditionalFormatting sqref="V1342">
    <cfRule type="cellIs" dxfId="850" priority="636" operator="equal">
      <formula>"WRONG"</formula>
    </cfRule>
  </conditionalFormatting>
  <conditionalFormatting sqref="AA1373">
    <cfRule type="cellIs" dxfId="849" priority="634" operator="lessThan">
      <formula>TODAY()</formula>
    </cfRule>
    <cfRule type="cellIs" dxfId="848" priority="635" operator="lessThan">
      <formula>TODAY()</formula>
    </cfRule>
  </conditionalFormatting>
  <conditionalFormatting sqref="V1373">
    <cfRule type="cellIs" dxfId="847" priority="633" operator="equal">
      <formula>"WRONG"</formula>
    </cfRule>
  </conditionalFormatting>
  <conditionalFormatting sqref="AA1340">
    <cfRule type="cellIs" dxfId="846" priority="631" operator="lessThan">
      <formula>TODAY()</formula>
    </cfRule>
    <cfRule type="cellIs" dxfId="845" priority="632" operator="lessThan">
      <formula>TODAY()</formula>
    </cfRule>
  </conditionalFormatting>
  <conditionalFormatting sqref="V1340">
    <cfRule type="cellIs" dxfId="844" priority="630" operator="equal">
      <formula>"WRONG"</formula>
    </cfRule>
  </conditionalFormatting>
  <conditionalFormatting sqref="AA1377">
    <cfRule type="cellIs" dxfId="843" priority="627" operator="lessThan">
      <formula>TODAY()</formula>
    </cfRule>
    <cfRule type="cellIs" dxfId="842" priority="628" operator="lessThan">
      <formula>TODAY()</formula>
    </cfRule>
  </conditionalFormatting>
  <conditionalFormatting sqref="V1377">
    <cfRule type="cellIs" dxfId="841" priority="629" operator="equal">
      <formula>"WRONG"</formula>
    </cfRule>
  </conditionalFormatting>
  <conditionalFormatting sqref="AA1378">
    <cfRule type="cellIs" dxfId="840" priority="625" operator="lessThan">
      <formula>TODAY()</formula>
    </cfRule>
    <cfRule type="cellIs" dxfId="839" priority="626" operator="lessThan">
      <formula>TODAY()</formula>
    </cfRule>
  </conditionalFormatting>
  <conditionalFormatting sqref="V1378">
    <cfRule type="cellIs" dxfId="838" priority="624" operator="equal">
      <formula>"WRONG"</formula>
    </cfRule>
  </conditionalFormatting>
  <conditionalFormatting sqref="AA1379">
    <cfRule type="cellIs" dxfId="837" priority="622" operator="lessThan">
      <formula>TODAY()</formula>
    </cfRule>
    <cfRule type="cellIs" dxfId="836" priority="623" operator="lessThan">
      <formula>TODAY()</formula>
    </cfRule>
  </conditionalFormatting>
  <conditionalFormatting sqref="V1379">
    <cfRule type="cellIs" dxfId="835" priority="621" operator="equal">
      <formula>"WRONG"</formula>
    </cfRule>
  </conditionalFormatting>
  <conditionalFormatting sqref="AA1376">
    <cfRule type="cellIs" dxfId="834" priority="619" operator="lessThan">
      <formula>TODAY()</formula>
    </cfRule>
    <cfRule type="cellIs" dxfId="833" priority="620" operator="lessThan">
      <formula>TODAY()</formula>
    </cfRule>
  </conditionalFormatting>
  <conditionalFormatting sqref="V1376">
    <cfRule type="cellIs" dxfId="832" priority="618" operator="equal">
      <formula>"WRONG"</formula>
    </cfRule>
  </conditionalFormatting>
  <conditionalFormatting sqref="AA1331">
    <cfRule type="cellIs" dxfId="831" priority="616" operator="lessThan">
      <formula>TODAY()</formula>
    </cfRule>
    <cfRule type="cellIs" dxfId="830" priority="617" operator="lessThan">
      <formula>TODAY()</formula>
    </cfRule>
  </conditionalFormatting>
  <conditionalFormatting sqref="V1331">
    <cfRule type="cellIs" dxfId="829" priority="615" operator="equal">
      <formula>"WRONG"</formula>
    </cfRule>
  </conditionalFormatting>
  <conditionalFormatting sqref="AA1337">
    <cfRule type="cellIs" dxfId="828" priority="612" operator="lessThan">
      <formula>TODAY()</formula>
    </cfRule>
    <cfRule type="cellIs" dxfId="827" priority="613" operator="lessThan">
      <formula>TODAY()</formula>
    </cfRule>
  </conditionalFormatting>
  <conditionalFormatting sqref="V1337">
    <cfRule type="cellIs" dxfId="826" priority="614" operator="equal">
      <formula>"WRONG"</formula>
    </cfRule>
  </conditionalFormatting>
  <conditionalFormatting sqref="AA1336">
    <cfRule type="cellIs" dxfId="825" priority="610" operator="lessThan">
      <formula>TODAY()</formula>
    </cfRule>
    <cfRule type="cellIs" dxfId="824" priority="611" operator="lessThan">
      <formula>TODAY()</formula>
    </cfRule>
  </conditionalFormatting>
  <conditionalFormatting sqref="V1336">
    <cfRule type="cellIs" dxfId="823" priority="609" operator="equal">
      <formula>"WRONG"</formula>
    </cfRule>
  </conditionalFormatting>
  <conditionalFormatting sqref="AA1333">
    <cfRule type="cellIs" dxfId="822" priority="606" operator="lessThan">
      <formula>TODAY()</formula>
    </cfRule>
    <cfRule type="cellIs" dxfId="821" priority="607" operator="lessThan">
      <formula>TODAY()</formula>
    </cfRule>
  </conditionalFormatting>
  <conditionalFormatting sqref="V1333">
    <cfRule type="cellIs" dxfId="820" priority="608" operator="equal">
      <formula>"WRONG"</formula>
    </cfRule>
  </conditionalFormatting>
  <conditionalFormatting sqref="AA1334">
    <cfRule type="cellIs" dxfId="819" priority="604" operator="lessThan">
      <formula>TODAY()</formula>
    </cfRule>
    <cfRule type="cellIs" dxfId="818" priority="605" operator="lessThan">
      <formula>TODAY()</formula>
    </cfRule>
  </conditionalFormatting>
  <conditionalFormatting sqref="V1334">
    <cfRule type="cellIs" dxfId="817" priority="603" operator="equal">
      <formula>"WRONG"</formula>
    </cfRule>
  </conditionalFormatting>
  <conditionalFormatting sqref="AA1335">
    <cfRule type="cellIs" dxfId="816" priority="601" operator="lessThan">
      <formula>TODAY()</formula>
    </cfRule>
    <cfRule type="cellIs" dxfId="815" priority="602" operator="lessThan">
      <formula>TODAY()</formula>
    </cfRule>
  </conditionalFormatting>
  <conditionalFormatting sqref="V1335">
    <cfRule type="cellIs" dxfId="814" priority="600" operator="equal">
      <formula>"WRONG"</formula>
    </cfRule>
  </conditionalFormatting>
  <conditionalFormatting sqref="AA1332">
    <cfRule type="cellIs" dxfId="813" priority="598" operator="lessThan">
      <formula>TODAY()</formula>
    </cfRule>
    <cfRule type="cellIs" dxfId="812" priority="599" operator="lessThan">
      <formula>TODAY()</formula>
    </cfRule>
  </conditionalFormatting>
  <conditionalFormatting sqref="V1332">
    <cfRule type="cellIs" dxfId="811" priority="597" operator="equal">
      <formula>"WRONG"</formula>
    </cfRule>
  </conditionalFormatting>
  <conditionalFormatting sqref="AA1338">
    <cfRule type="cellIs" dxfId="810" priority="592" operator="lessThan">
      <formula>TODAY()</formula>
    </cfRule>
    <cfRule type="cellIs" dxfId="809" priority="593" operator="lessThan">
      <formula>TODAY()</formula>
    </cfRule>
  </conditionalFormatting>
  <conditionalFormatting sqref="V1338">
    <cfRule type="cellIs" dxfId="808" priority="591" operator="equal">
      <formula>"WRONG"</formula>
    </cfRule>
  </conditionalFormatting>
  <conditionalFormatting sqref="AA1348 AA1359 AA1533:AA1537">
    <cfRule type="cellIs" dxfId="807" priority="588" operator="lessThan">
      <formula>TODAY()</formula>
    </cfRule>
    <cfRule type="cellIs" dxfId="806" priority="589" operator="lessThan">
      <formula>TODAY()</formula>
    </cfRule>
  </conditionalFormatting>
  <conditionalFormatting sqref="V1348 V1359">
    <cfRule type="cellIs" dxfId="805" priority="590" operator="equal">
      <formula>"WRONG"</formula>
    </cfRule>
  </conditionalFormatting>
  <conditionalFormatting sqref="AA1349">
    <cfRule type="cellIs" dxfId="804" priority="586" operator="lessThan">
      <formula>TODAY()</formula>
    </cfRule>
    <cfRule type="cellIs" dxfId="803" priority="587" operator="lessThan">
      <formula>TODAY()</formula>
    </cfRule>
  </conditionalFormatting>
  <conditionalFormatting sqref="V1349">
    <cfRule type="cellIs" dxfId="802" priority="585" operator="equal">
      <formula>"WRONG"</formula>
    </cfRule>
  </conditionalFormatting>
  <conditionalFormatting sqref="AA1383">
    <cfRule type="cellIs" dxfId="801" priority="583" operator="lessThan">
      <formula>TODAY()</formula>
    </cfRule>
    <cfRule type="cellIs" dxfId="800" priority="584" operator="lessThan">
      <formula>TODAY()</formula>
    </cfRule>
  </conditionalFormatting>
  <conditionalFormatting sqref="V1383">
    <cfRule type="cellIs" dxfId="799" priority="582" operator="equal">
      <formula>"WRONG"</formula>
    </cfRule>
  </conditionalFormatting>
  <conditionalFormatting sqref="AA1347">
    <cfRule type="cellIs" dxfId="798" priority="577" operator="lessThan">
      <formula>TODAY()</formula>
    </cfRule>
    <cfRule type="cellIs" dxfId="797" priority="578" operator="lessThan">
      <formula>TODAY()</formula>
    </cfRule>
  </conditionalFormatting>
  <conditionalFormatting sqref="V1347">
    <cfRule type="cellIs" dxfId="796" priority="576" operator="equal">
      <formula>"WRONG"</formula>
    </cfRule>
  </conditionalFormatting>
  <conditionalFormatting sqref="AA1371">
    <cfRule type="cellIs" dxfId="795" priority="571" operator="lessThan">
      <formula>TODAY()</formula>
    </cfRule>
    <cfRule type="cellIs" dxfId="794" priority="572" operator="lessThan">
      <formula>TODAY()</formula>
    </cfRule>
  </conditionalFormatting>
  <conditionalFormatting sqref="V1371">
    <cfRule type="cellIs" dxfId="793" priority="570" operator="equal">
      <formula>"WRONG"</formula>
    </cfRule>
  </conditionalFormatting>
  <conditionalFormatting sqref="AA1369">
    <cfRule type="cellIs" dxfId="792" priority="565" operator="lessThan">
      <formula>TODAY()</formula>
    </cfRule>
    <cfRule type="cellIs" dxfId="791" priority="566" operator="lessThan">
      <formula>TODAY()</formula>
    </cfRule>
  </conditionalFormatting>
  <conditionalFormatting sqref="V1369">
    <cfRule type="cellIs" dxfId="790" priority="564" operator="equal">
      <formula>"WRONG"</formula>
    </cfRule>
  </conditionalFormatting>
  <conditionalFormatting sqref="AA1370">
    <cfRule type="cellIs" dxfId="789" priority="562" operator="lessThan">
      <formula>TODAY()</formula>
    </cfRule>
    <cfRule type="cellIs" dxfId="788" priority="563" operator="lessThan">
      <formula>TODAY()</formula>
    </cfRule>
  </conditionalFormatting>
  <conditionalFormatting sqref="V1370">
    <cfRule type="cellIs" dxfId="787" priority="561" operator="equal">
      <formula>"WRONG"</formula>
    </cfRule>
  </conditionalFormatting>
  <conditionalFormatting sqref="AA1352">
    <cfRule type="cellIs" dxfId="786" priority="559" operator="lessThan">
      <formula>TODAY()</formula>
    </cfRule>
    <cfRule type="cellIs" dxfId="785" priority="560" operator="lessThan">
      <formula>TODAY()</formula>
    </cfRule>
  </conditionalFormatting>
  <conditionalFormatting sqref="V1352">
    <cfRule type="cellIs" dxfId="784" priority="558" operator="equal">
      <formula>"WRONG"</formula>
    </cfRule>
  </conditionalFormatting>
  <conditionalFormatting sqref="AA1345">
    <cfRule type="cellIs" dxfId="783" priority="553" operator="lessThan">
      <formula>TODAY()</formula>
    </cfRule>
    <cfRule type="cellIs" dxfId="782" priority="554" operator="lessThan">
      <formula>TODAY()</formula>
    </cfRule>
  </conditionalFormatting>
  <conditionalFormatting sqref="V1345">
    <cfRule type="cellIs" dxfId="781" priority="552" operator="equal">
      <formula>"WRONG"</formula>
    </cfRule>
  </conditionalFormatting>
  <conditionalFormatting sqref="AA1346">
    <cfRule type="cellIs" dxfId="780" priority="550" operator="lessThan">
      <formula>TODAY()</formula>
    </cfRule>
    <cfRule type="cellIs" dxfId="779" priority="551" operator="lessThan">
      <formula>TODAY()</formula>
    </cfRule>
  </conditionalFormatting>
  <conditionalFormatting sqref="V1346">
    <cfRule type="cellIs" dxfId="778" priority="549" operator="equal">
      <formula>"WRONG"</formula>
    </cfRule>
  </conditionalFormatting>
  <conditionalFormatting sqref="AA1358">
    <cfRule type="cellIs" dxfId="777" priority="544" operator="lessThan">
      <formula>TODAY()</formula>
    </cfRule>
    <cfRule type="cellIs" dxfId="776" priority="545" operator="lessThan">
      <formula>TODAY()</formula>
    </cfRule>
  </conditionalFormatting>
  <conditionalFormatting sqref="V1358">
    <cfRule type="cellIs" dxfId="775" priority="543" operator="equal">
      <formula>"WRONG"</formula>
    </cfRule>
  </conditionalFormatting>
  <conditionalFormatting sqref="AA1355">
    <cfRule type="cellIs" dxfId="774" priority="540" operator="lessThan">
      <formula>TODAY()</formula>
    </cfRule>
    <cfRule type="cellIs" dxfId="773" priority="541" operator="lessThan">
      <formula>TODAY()</formula>
    </cfRule>
  </conditionalFormatting>
  <conditionalFormatting sqref="V1355">
    <cfRule type="cellIs" dxfId="772" priority="542" operator="equal">
      <formula>"WRONG"</formula>
    </cfRule>
  </conditionalFormatting>
  <conditionalFormatting sqref="AA1356">
    <cfRule type="cellIs" dxfId="771" priority="538" operator="lessThan">
      <formula>TODAY()</formula>
    </cfRule>
    <cfRule type="cellIs" dxfId="770" priority="539" operator="lessThan">
      <formula>TODAY()</formula>
    </cfRule>
  </conditionalFormatting>
  <conditionalFormatting sqref="V1356">
    <cfRule type="cellIs" dxfId="769" priority="537" operator="equal">
      <formula>"WRONG"</formula>
    </cfRule>
  </conditionalFormatting>
  <conditionalFormatting sqref="AA1357">
    <cfRule type="cellIs" dxfId="768" priority="535" operator="lessThan">
      <formula>TODAY()</formula>
    </cfRule>
    <cfRule type="cellIs" dxfId="767" priority="536" operator="lessThan">
      <formula>TODAY()</formula>
    </cfRule>
  </conditionalFormatting>
  <conditionalFormatting sqref="V1357">
    <cfRule type="cellIs" dxfId="766" priority="534" operator="equal">
      <formula>"WRONG"</formula>
    </cfRule>
  </conditionalFormatting>
  <conditionalFormatting sqref="AA1354">
    <cfRule type="cellIs" dxfId="765" priority="532" operator="lessThan">
      <formula>TODAY()</formula>
    </cfRule>
    <cfRule type="cellIs" dxfId="764" priority="533" operator="lessThan">
      <formula>TODAY()</formula>
    </cfRule>
  </conditionalFormatting>
  <conditionalFormatting sqref="V1354">
    <cfRule type="cellIs" dxfId="763" priority="531" operator="equal">
      <formula>"WRONG"</formula>
    </cfRule>
  </conditionalFormatting>
  <conditionalFormatting sqref="AA1361">
    <cfRule type="cellIs" dxfId="762" priority="525" operator="lessThan">
      <formula>TODAY()</formula>
    </cfRule>
    <cfRule type="cellIs" dxfId="761" priority="526" operator="lessThan">
      <formula>TODAY()</formula>
    </cfRule>
  </conditionalFormatting>
  <conditionalFormatting sqref="V1361">
    <cfRule type="cellIs" dxfId="760" priority="527" operator="equal">
      <formula>"WRONG"</formula>
    </cfRule>
  </conditionalFormatting>
  <conditionalFormatting sqref="AA1362">
    <cfRule type="cellIs" dxfId="759" priority="523" operator="lessThan">
      <formula>TODAY()</formula>
    </cfRule>
    <cfRule type="cellIs" dxfId="758" priority="524" operator="lessThan">
      <formula>TODAY()</formula>
    </cfRule>
  </conditionalFormatting>
  <conditionalFormatting sqref="V1362">
    <cfRule type="cellIs" dxfId="757" priority="522" operator="equal">
      <formula>"WRONG"</formula>
    </cfRule>
  </conditionalFormatting>
  <conditionalFormatting sqref="AA1360">
    <cfRule type="cellIs" dxfId="756" priority="517" operator="lessThan">
      <formula>TODAY()</formula>
    </cfRule>
    <cfRule type="cellIs" dxfId="755" priority="518" operator="lessThan">
      <formula>TODAY()</formula>
    </cfRule>
  </conditionalFormatting>
  <conditionalFormatting sqref="V1360">
    <cfRule type="cellIs" dxfId="754" priority="516" operator="equal">
      <formula>"WRONG"</formula>
    </cfRule>
  </conditionalFormatting>
  <conditionalFormatting sqref="V1385:V1389">
    <cfRule type="cellIs" dxfId="753" priority="498" operator="equal">
      <formula>"WRONG"</formula>
    </cfRule>
  </conditionalFormatting>
  <conditionalFormatting sqref="AA1385:AA1389">
    <cfRule type="cellIs" dxfId="752" priority="496" operator="lessThan">
      <formula>TODAY()</formula>
    </cfRule>
    <cfRule type="cellIs" dxfId="751" priority="497" operator="lessThan">
      <formula>TODAY()</formula>
    </cfRule>
  </conditionalFormatting>
  <conditionalFormatting sqref="AA1385:AA1389">
    <cfRule type="cellIs" dxfId="750" priority="491" operator="lessThan">
      <formula>TODAY()</formula>
    </cfRule>
    <cfRule type="cellIs" dxfId="749" priority="492" operator="lessThan">
      <formula>TODAY()</formula>
    </cfRule>
  </conditionalFormatting>
  <conditionalFormatting sqref="V1385:V1389">
    <cfRule type="cellIs" dxfId="748" priority="493" operator="equal">
      <formula>"WRONG"</formula>
    </cfRule>
  </conditionalFormatting>
  <conditionalFormatting sqref="AA1385:AA1389">
    <cfRule type="cellIs" dxfId="747" priority="489" operator="lessThan">
      <formula>TODAY()</formula>
    </cfRule>
    <cfRule type="cellIs" dxfId="746" priority="490" operator="lessThan">
      <formula>TODAY()</formula>
    </cfRule>
  </conditionalFormatting>
  <conditionalFormatting sqref="V1385:V1389">
    <cfRule type="cellIs" dxfId="745" priority="488" operator="equal">
      <formula>"WRONG"</formula>
    </cfRule>
  </conditionalFormatting>
  <conditionalFormatting sqref="AA1419">
    <cfRule type="cellIs" dxfId="744" priority="483" operator="lessThan">
      <formula>TODAY()</formula>
    </cfRule>
    <cfRule type="cellIs" dxfId="743" priority="484" operator="lessThan">
      <formula>TODAY()</formula>
    </cfRule>
  </conditionalFormatting>
  <conditionalFormatting sqref="V1419">
    <cfRule type="cellIs" dxfId="742" priority="482" operator="equal">
      <formula>"WRONG"</formula>
    </cfRule>
  </conditionalFormatting>
  <conditionalFormatting sqref="AA1418">
    <cfRule type="cellIs" dxfId="741" priority="474" operator="lessThan">
      <formula>TODAY()</formula>
    </cfRule>
    <cfRule type="cellIs" dxfId="740" priority="475" operator="lessThan">
      <formula>TODAY()</formula>
    </cfRule>
  </conditionalFormatting>
  <conditionalFormatting sqref="V1418">
    <cfRule type="cellIs" dxfId="739" priority="473" operator="equal">
      <formula>"WRONG"</formula>
    </cfRule>
  </conditionalFormatting>
  <conditionalFormatting sqref="AA1412 AA1414 AA1405:AA1406">
    <cfRule type="cellIs" dxfId="738" priority="467" operator="lessThan">
      <formula>TODAY()</formula>
    </cfRule>
    <cfRule type="cellIs" dxfId="737" priority="468" operator="lessThan">
      <formula>TODAY()</formula>
    </cfRule>
  </conditionalFormatting>
  <conditionalFormatting sqref="V1412 V1414 V1405:V1406">
    <cfRule type="cellIs" dxfId="736" priority="469" operator="equal">
      <formula>"WRONG"</formula>
    </cfRule>
  </conditionalFormatting>
  <conditionalFormatting sqref="AA1411">
    <cfRule type="cellIs" dxfId="735" priority="462" operator="lessThan">
      <formula>TODAY()</formula>
    </cfRule>
    <cfRule type="cellIs" dxfId="734" priority="463" operator="lessThan">
      <formula>TODAY()</formula>
    </cfRule>
  </conditionalFormatting>
  <conditionalFormatting sqref="V1411">
    <cfRule type="cellIs" dxfId="733" priority="461" operator="equal">
      <formula>"WRONG"</formula>
    </cfRule>
  </conditionalFormatting>
  <conditionalFormatting sqref="AA1408">
    <cfRule type="cellIs" dxfId="732" priority="458" operator="lessThan">
      <formula>TODAY()</formula>
    </cfRule>
    <cfRule type="cellIs" dxfId="731" priority="459" operator="lessThan">
      <formula>TODAY()</formula>
    </cfRule>
  </conditionalFormatting>
  <conditionalFormatting sqref="V1408">
    <cfRule type="cellIs" dxfId="730" priority="460" operator="equal">
      <formula>"WRONG"</formula>
    </cfRule>
  </conditionalFormatting>
  <conditionalFormatting sqref="AA1409">
    <cfRule type="cellIs" dxfId="729" priority="456" operator="lessThan">
      <formula>TODAY()</formula>
    </cfRule>
    <cfRule type="cellIs" dxfId="728" priority="457" operator="lessThan">
      <formula>TODAY()</formula>
    </cfRule>
  </conditionalFormatting>
  <conditionalFormatting sqref="V1409">
    <cfRule type="cellIs" dxfId="727" priority="455" operator="equal">
      <formula>"WRONG"</formula>
    </cfRule>
  </conditionalFormatting>
  <conditionalFormatting sqref="AA1410">
    <cfRule type="cellIs" dxfId="726" priority="453" operator="lessThan">
      <formula>TODAY()</formula>
    </cfRule>
    <cfRule type="cellIs" dxfId="725" priority="454" operator="lessThan">
      <formula>TODAY()</formula>
    </cfRule>
  </conditionalFormatting>
  <conditionalFormatting sqref="V1410">
    <cfRule type="cellIs" dxfId="724" priority="452" operator="equal">
      <formula>"WRONG"</formula>
    </cfRule>
  </conditionalFormatting>
  <conditionalFormatting sqref="AA1407">
    <cfRule type="cellIs" dxfId="723" priority="450" operator="lessThan">
      <formula>TODAY()</formula>
    </cfRule>
    <cfRule type="cellIs" dxfId="722" priority="451" operator="lessThan">
      <formula>TODAY()</formula>
    </cfRule>
  </conditionalFormatting>
  <conditionalFormatting sqref="V1407">
    <cfRule type="cellIs" dxfId="721" priority="449" operator="equal">
      <formula>"WRONG"</formula>
    </cfRule>
  </conditionalFormatting>
  <conditionalFormatting sqref="AA1413">
    <cfRule type="cellIs" dxfId="720" priority="447" operator="lessThan">
      <formula>TODAY()</formula>
    </cfRule>
    <cfRule type="cellIs" dxfId="719" priority="448" operator="lessThan">
      <formula>TODAY()</formula>
    </cfRule>
  </conditionalFormatting>
  <conditionalFormatting sqref="V1413">
    <cfRule type="cellIs" dxfId="718" priority="446" operator="equal">
      <formula>"WRONG"</formula>
    </cfRule>
  </conditionalFormatting>
  <conditionalFormatting sqref="AA1416">
    <cfRule type="cellIs" dxfId="717" priority="443" operator="lessThan">
      <formula>TODAY()</formula>
    </cfRule>
    <cfRule type="cellIs" dxfId="716" priority="444" operator="lessThan">
      <formula>TODAY()</formula>
    </cfRule>
  </conditionalFormatting>
  <conditionalFormatting sqref="V1416">
    <cfRule type="cellIs" dxfId="715" priority="445" operator="equal">
      <formula>"WRONG"</formula>
    </cfRule>
  </conditionalFormatting>
  <conditionalFormatting sqref="AA1417">
    <cfRule type="cellIs" dxfId="714" priority="441" operator="lessThan">
      <formula>TODAY()</formula>
    </cfRule>
    <cfRule type="cellIs" dxfId="713" priority="442" operator="lessThan">
      <formula>TODAY()</formula>
    </cfRule>
  </conditionalFormatting>
  <conditionalFormatting sqref="V1417">
    <cfRule type="cellIs" dxfId="712" priority="440" operator="equal">
      <formula>"WRONG"</formula>
    </cfRule>
  </conditionalFormatting>
  <conditionalFormatting sqref="AA1415">
    <cfRule type="cellIs" dxfId="711" priority="438" operator="lessThan">
      <formula>TODAY()</formula>
    </cfRule>
    <cfRule type="cellIs" dxfId="710" priority="439" operator="lessThan">
      <formula>TODAY()</formula>
    </cfRule>
  </conditionalFormatting>
  <conditionalFormatting sqref="V1415">
    <cfRule type="cellIs" dxfId="709" priority="437" operator="equal">
      <formula>"WRONG"</formula>
    </cfRule>
  </conditionalFormatting>
  <conditionalFormatting sqref="AA1391 AA1393 AA1395">
    <cfRule type="cellIs" dxfId="708" priority="434" operator="lessThan">
      <formula>TODAY()</formula>
    </cfRule>
    <cfRule type="cellIs" dxfId="707" priority="435" operator="lessThan">
      <formula>TODAY()</formula>
    </cfRule>
  </conditionalFormatting>
  <conditionalFormatting sqref="V1391 V1393 V1395">
    <cfRule type="cellIs" dxfId="706" priority="436" operator="equal">
      <formula>"WRONG"</formula>
    </cfRule>
  </conditionalFormatting>
  <conditionalFormatting sqref="AA1390">
    <cfRule type="cellIs" dxfId="705" priority="432" operator="lessThan">
      <formula>TODAY()</formula>
    </cfRule>
    <cfRule type="cellIs" dxfId="704" priority="433" operator="lessThan">
      <formula>TODAY()</formula>
    </cfRule>
  </conditionalFormatting>
  <conditionalFormatting sqref="V1390">
    <cfRule type="cellIs" dxfId="703" priority="431" operator="equal">
      <formula>"WRONG"</formula>
    </cfRule>
  </conditionalFormatting>
  <conditionalFormatting sqref="AA1389">
    <cfRule type="cellIs" dxfId="702" priority="429" operator="lessThan">
      <formula>TODAY()</formula>
    </cfRule>
    <cfRule type="cellIs" dxfId="701" priority="430" operator="lessThan">
      <formula>TODAY()</formula>
    </cfRule>
  </conditionalFormatting>
  <conditionalFormatting sqref="V1389">
    <cfRule type="cellIs" dxfId="700" priority="428" operator="equal">
      <formula>"WRONG"</formula>
    </cfRule>
  </conditionalFormatting>
  <conditionalFormatting sqref="AA1386">
    <cfRule type="cellIs" dxfId="699" priority="425" operator="lessThan">
      <formula>TODAY()</formula>
    </cfRule>
    <cfRule type="cellIs" dxfId="698" priority="426" operator="lessThan">
      <formula>TODAY()</formula>
    </cfRule>
  </conditionalFormatting>
  <conditionalFormatting sqref="V1386">
    <cfRule type="cellIs" dxfId="697" priority="427" operator="equal">
      <formula>"WRONG"</formula>
    </cfRule>
  </conditionalFormatting>
  <conditionalFormatting sqref="AA1387">
    <cfRule type="cellIs" dxfId="696" priority="423" operator="lessThan">
      <formula>TODAY()</formula>
    </cfRule>
    <cfRule type="cellIs" dxfId="695" priority="424" operator="lessThan">
      <formula>TODAY()</formula>
    </cfRule>
  </conditionalFormatting>
  <conditionalFormatting sqref="V1387">
    <cfRule type="cellIs" dxfId="694" priority="422" operator="equal">
      <formula>"WRONG"</formula>
    </cfRule>
  </conditionalFormatting>
  <conditionalFormatting sqref="AA1388">
    <cfRule type="cellIs" dxfId="693" priority="420" operator="lessThan">
      <formula>TODAY()</formula>
    </cfRule>
    <cfRule type="cellIs" dxfId="692" priority="421" operator="lessThan">
      <formula>TODAY()</formula>
    </cfRule>
  </conditionalFormatting>
  <conditionalFormatting sqref="V1388">
    <cfRule type="cellIs" dxfId="691" priority="419" operator="equal">
      <formula>"WRONG"</formula>
    </cfRule>
  </conditionalFormatting>
  <conditionalFormatting sqref="AA1392">
    <cfRule type="cellIs" dxfId="690" priority="417" operator="lessThan">
      <formula>TODAY()</formula>
    </cfRule>
    <cfRule type="cellIs" dxfId="689" priority="418" operator="lessThan">
      <formula>TODAY()</formula>
    </cfRule>
  </conditionalFormatting>
  <conditionalFormatting sqref="V1392">
    <cfRule type="cellIs" dxfId="688" priority="416" operator="equal">
      <formula>"WRONG"</formula>
    </cfRule>
  </conditionalFormatting>
  <conditionalFormatting sqref="AA1394">
    <cfRule type="cellIs" dxfId="687" priority="414" operator="lessThan">
      <formula>TODAY()</formula>
    </cfRule>
    <cfRule type="cellIs" dxfId="686" priority="415" operator="lessThan">
      <formula>TODAY()</formula>
    </cfRule>
  </conditionalFormatting>
  <conditionalFormatting sqref="V1394">
    <cfRule type="cellIs" dxfId="685" priority="413" operator="equal">
      <formula>"WRONG"</formula>
    </cfRule>
  </conditionalFormatting>
  <conditionalFormatting sqref="AA1397">
    <cfRule type="cellIs" dxfId="684" priority="410" operator="lessThan">
      <formula>TODAY()</formula>
    </cfRule>
    <cfRule type="cellIs" dxfId="683" priority="411" operator="lessThan">
      <formula>TODAY()</formula>
    </cfRule>
  </conditionalFormatting>
  <conditionalFormatting sqref="V1397">
    <cfRule type="cellIs" dxfId="682" priority="412" operator="equal">
      <formula>"WRONG"</formula>
    </cfRule>
  </conditionalFormatting>
  <conditionalFormatting sqref="AA1398">
    <cfRule type="cellIs" dxfId="681" priority="408" operator="lessThan">
      <formula>TODAY()</formula>
    </cfRule>
    <cfRule type="cellIs" dxfId="680" priority="409" operator="lessThan">
      <formula>TODAY()</formula>
    </cfRule>
  </conditionalFormatting>
  <conditionalFormatting sqref="V1398">
    <cfRule type="cellIs" dxfId="679" priority="407" operator="equal">
      <formula>"WRONG"</formula>
    </cfRule>
  </conditionalFormatting>
  <conditionalFormatting sqref="AA1399:AA1404">
    <cfRule type="cellIs" dxfId="678" priority="405" operator="lessThan">
      <formula>TODAY()</formula>
    </cfRule>
    <cfRule type="cellIs" dxfId="677" priority="406" operator="lessThan">
      <formula>TODAY()</formula>
    </cfRule>
  </conditionalFormatting>
  <conditionalFormatting sqref="V1399:V1404">
    <cfRule type="cellIs" dxfId="676" priority="404" operator="equal">
      <formula>"WRONG"</formula>
    </cfRule>
  </conditionalFormatting>
  <conditionalFormatting sqref="AA1396">
    <cfRule type="cellIs" dxfId="675" priority="402" operator="lessThan">
      <formula>TODAY()</formula>
    </cfRule>
    <cfRule type="cellIs" dxfId="674" priority="403" operator="lessThan">
      <formula>TODAY()</formula>
    </cfRule>
  </conditionalFormatting>
  <conditionalFormatting sqref="V1396">
    <cfRule type="cellIs" dxfId="673" priority="401" operator="equal">
      <formula>"WRONG"</formula>
    </cfRule>
  </conditionalFormatting>
  <conditionalFormatting sqref="AA1423">
    <cfRule type="cellIs" dxfId="672" priority="399" operator="lessThan">
      <formula>TODAY()</formula>
    </cfRule>
    <cfRule type="cellIs" dxfId="671" priority="400" operator="lessThan">
      <formula>TODAY()</formula>
    </cfRule>
  </conditionalFormatting>
  <conditionalFormatting sqref="V1423">
    <cfRule type="cellIs" dxfId="670" priority="398" operator="equal">
      <formula>"WRONG"</formula>
    </cfRule>
  </conditionalFormatting>
  <conditionalFormatting sqref="AA1421">
    <cfRule type="cellIs" dxfId="669" priority="395" operator="lessThan">
      <formula>TODAY()</formula>
    </cfRule>
    <cfRule type="cellIs" dxfId="668" priority="396" operator="lessThan">
      <formula>TODAY()</formula>
    </cfRule>
  </conditionalFormatting>
  <conditionalFormatting sqref="V1421">
    <cfRule type="cellIs" dxfId="667" priority="397" operator="equal">
      <formula>"WRONG"</formula>
    </cfRule>
  </conditionalFormatting>
  <conditionalFormatting sqref="AA1422">
    <cfRule type="cellIs" dxfId="666" priority="393" operator="lessThan">
      <formula>TODAY()</formula>
    </cfRule>
    <cfRule type="cellIs" dxfId="665" priority="394" operator="lessThan">
      <formula>TODAY()</formula>
    </cfRule>
  </conditionalFormatting>
  <conditionalFormatting sqref="V1422">
    <cfRule type="cellIs" dxfId="664" priority="392" operator="equal">
      <formula>"WRONG"</formula>
    </cfRule>
  </conditionalFormatting>
  <conditionalFormatting sqref="AA1420">
    <cfRule type="cellIs" dxfId="663" priority="390" operator="lessThan">
      <formula>TODAY()</formula>
    </cfRule>
    <cfRule type="cellIs" dxfId="662" priority="391" operator="lessThan">
      <formula>TODAY()</formula>
    </cfRule>
  </conditionalFormatting>
  <conditionalFormatting sqref="V1420">
    <cfRule type="cellIs" dxfId="661" priority="389" operator="equal">
      <formula>"WRONG"</formula>
    </cfRule>
  </conditionalFormatting>
  <conditionalFormatting sqref="AA1428">
    <cfRule type="cellIs" dxfId="660" priority="387" operator="lessThan">
      <formula>TODAY()</formula>
    </cfRule>
    <cfRule type="cellIs" dxfId="659" priority="388" operator="lessThan">
      <formula>TODAY()</formula>
    </cfRule>
  </conditionalFormatting>
  <conditionalFormatting sqref="V1428">
    <cfRule type="cellIs" dxfId="658" priority="386" operator="equal">
      <formula>"WRONG"</formula>
    </cfRule>
  </conditionalFormatting>
  <conditionalFormatting sqref="AA1427">
    <cfRule type="cellIs" dxfId="657" priority="384" operator="lessThan">
      <formula>TODAY()</formula>
    </cfRule>
    <cfRule type="cellIs" dxfId="656" priority="385" operator="lessThan">
      <formula>TODAY()</formula>
    </cfRule>
  </conditionalFormatting>
  <conditionalFormatting sqref="V1427">
    <cfRule type="cellIs" dxfId="655" priority="383" operator="equal">
      <formula>"WRONG"</formula>
    </cfRule>
  </conditionalFormatting>
  <conditionalFormatting sqref="AA1425">
    <cfRule type="cellIs" dxfId="654" priority="380" operator="lessThan">
      <formula>TODAY()</formula>
    </cfRule>
    <cfRule type="cellIs" dxfId="653" priority="381" operator="lessThan">
      <formula>TODAY()</formula>
    </cfRule>
  </conditionalFormatting>
  <conditionalFormatting sqref="V1425">
    <cfRule type="cellIs" dxfId="652" priority="382" operator="equal">
      <formula>"WRONG"</formula>
    </cfRule>
  </conditionalFormatting>
  <conditionalFormatting sqref="AA1426">
    <cfRule type="cellIs" dxfId="651" priority="378" operator="lessThan">
      <formula>TODAY()</formula>
    </cfRule>
    <cfRule type="cellIs" dxfId="650" priority="379" operator="lessThan">
      <formula>TODAY()</formula>
    </cfRule>
  </conditionalFormatting>
  <conditionalFormatting sqref="V1426">
    <cfRule type="cellIs" dxfId="649" priority="377" operator="equal">
      <formula>"WRONG"</formula>
    </cfRule>
  </conditionalFormatting>
  <conditionalFormatting sqref="AA1424">
    <cfRule type="cellIs" dxfId="648" priority="375" operator="lessThan">
      <formula>TODAY()</formula>
    </cfRule>
    <cfRule type="cellIs" dxfId="647" priority="376" operator="lessThan">
      <formula>TODAY()</formula>
    </cfRule>
  </conditionalFormatting>
  <conditionalFormatting sqref="V1424">
    <cfRule type="cellIs" dxfId="646" priority="374" operator="equal">
      <formula>"WRONG"</formula>
    </cfRule>
  </conditionalFormatting>
  <conditionalFormatting sqref="AA1430">
    <cfRule type="cellIs" dxfId="645" priority="371" operator="lessThan">
      <formula>TODAY()</formula>
    </cfRule>
    <cfRule type="cellIs" dxfId="644" priority="372" operator="lessThan">
      <formula>TODAY()</formula>
    </cfRule>
  </conditionalFormatting>
  <conditionalFormatting sqref="V1430">
    <cfRule type="cellIs" dxfId="643" priority="373" operator="equal">
      <formula>"WRONG"</formula>
    </cfRule>
  </conditionalFormatting>
  <conditionalFormatting sqref="AA1431:AA1461">
    <cfRule type="cellIs" dxfId="642" priority="369" operator="lessThan">
      <formula>TODAY()</formula>
    </cfRule>
    <cfRule type="cellIs" dxfId="641" priority="370" operator="lessThan">
      <formula>TODAY()</formula>
    </cfRule>
  </conditionalFormatting>
  <conditionalFormatting sqref="AA1429">
    <cfRule type="cellIs" dxfId="640" priority="366" operator="lessThan">
      <formula>TODAY()</formula>
    </cfRule>
    <cfRule type="cellIs" dxfId="639" priority="367" operator="lessThan">
      <formula>TODAY()</formula>
    </cfRule>
  </conditionalFormatting>
  <conditionalFormatting sqref="V1429">
    <cfRule type="cellIs" dxfId="638" priority="365" operator="equal">
      <formula>"WRONG"</formula>
    </cfRule>
  </conditionalFormatting>
  <conditionalFormatting sqref="V1343">
    <cfRule type="cellIs" dxfId="637" priority="360" operator="equal">
      <formula>"WRONG"</formula>
    </cfRule>
  </conditionalFormatting>
  <conditionalFormatting sqref="V1344">
    <cfRule type="cellIs" dxfId="636" priority="355" operator="equal">
      <formula>"WRONG"</formula>
    </cfRule>
  </conditionalFormatting>
  <conditionalFormatting sqref="A1350">
    <cfRule type="duplicateValues" dxfId="635" priority="351"/>
    <cfRule type="duplicateValues" dxfId="634" priority="352"/>
  </conditionalFormatting>
  <conditionalFormatting sqref="A1350">
    <cfRule type="duplicateValues" dxfId="633" priority="353"/>
  </conditionalFormatting>
  <conditionalFormatting sqref="A1350">
    <cfRule type="duplicateValues" dxfId="632" priority="354"/>
  </conditionalFormatting>
  <conditionalFormatting sqref="V1350">
    <cfRule type="cellIs" dxfId="631" priority="350" operator="equal">
      <formula>"WRONG"</formula>
    </cfRule>
  </conditionalFormatting>
  <conditionalFormatting sqref="A1351">
    <cfRule type="duplicateValues" dxfId="630" priority="346"/>
    <cfRule type="duplicateValues" dxfId="629" priority="347"/>
  </conditionalFormatting>
  <conditionalFormatting sqref="A1351">
    <cfRule type="duplicateValues" dxfId="628" priority="348"/>
  </conditionalFormatting>
  <conditionalFormatting sqref="A1351">
    <cfRule type="duplicateValues" dxfId="627" priority="349"/>
  </conditionalFormatting>
  <conditionalFormatting sqref="V1351">
    <cfRule type="cellIs" dxfId="626" priority="345" operator="equal">
      <formula>"WRONG"</formula>
    </cfRule>
  </conditionalFormatting>
  <conditionalFormatting sqref="AA1457:AA1461">
    <cfRule type="cellIs" dxfId="625" priority="340" operator="lessThan">
      <formula>TODAY()</formula>
    </cfRule>
    <cfRule type="cellIs" dxfId="624" priority="341" operator="lessThan">
      <formula>TODAY()</formula>
    </cfRule>
  </conditionalFormatting>
  <conditionalFormatting sqref="AA1522 AA1517">
    <cfRule type="cellIs" dxfId="623" priority="327" operator="lessThan">
      <formula>TODAY()</formula>
    </cfRule>
    <cfRule type="cellIs" dxfId="622" priority="328" operator="lessThan">
      <formula>TODAY()</formula>
    </cfRule>
  </conditionalFormatting>
  <conditionalFormatting sqref="V1509:V1517">
    <cfRule type="cellIs" dxfId="621" priority="313" operator="equal">
      <formula>"WRONG"</formula>
    </cfRule>
  </conditionalFormatting>
  <conditionalFormatting sqref="AA1509:AA1517">
    <cfRule type="cellIs" dxfId="620" priority="311" operator="lessThan">
      <formula>TODAY()</formula>
    </cfRule>
    <cfRule type="cellIs" dxfId="619" priority="312" operator="lessThan">
      <formula>TODAY()</formula>
    </cfRule>
  </conditionalFormatting>
  <conditionalFormatting sqref="AA1513:AA1516">
    <cfRule type="cellIs" dxfId="618" priority="302" operator="lessThan">
      <formula>TODAY()</formula>
    </cfRule>
    <cfRule type="cellIs" dxfId="617" priority="303" operator="lessThan">
      <formula>TODAY()</formula>
    </cfRule>
  </conditionalFormatting>
  <conditionalFormatting sqref="AA1524:AA1527">
    <cfRule type="cellIs" dxfId="616" priority="300" operator="lessThan">
      <formula>TODAY()</formula>
    </cfRule>
    <cfRule type="cellIs" dxfId="615" priority="301" operator="lessThan">
      <formula>TODAY()</formula>
    </cfRule>
  </conditionalFormatting>
  <conditionalFormatting sqref="AA1528:AA1537">
    <cfRule type="cellIs" dxfId="614" priority="298" operator="lessThan">
      <formula>TODAY()</formula>
    </cfRule>
    <cfRule type="cellIs" dxfId="613" priority="299" operator="lessThan">
      <formula>TODAY()</formula>
    </cfRule>
  </conditionalFormatting>
  <conditionalFormatting sqref="V1523">
    <cfRule type="cellIs" dxfId="612" priority="286" operator="equal">
      <formula>"WRONG"</formula>
    </cfRule>
  </conditionalFormatting>
  <conditionalFormatting sqref="AA1523">
    <cfRule type="cellIs" dxfId="611" priority="284" operator="lessThan">
      <formula>TODAY()</formula>
    </cfRule>
    <cfRule type="cellIs" dxfId="610" priority="285" operator="lessThan">
      <formula>TODAY()</formula>
    </cfRule>
  </conditionalFormatting>
  <conditionalFormatting sqref="AA1599">
    <cfRule type="cellIs" dxfId="609" priority="276" operator="lessThan">
      <formula>TODAY()</formula>
    </cfRule>
    <cfRule type="cellIs" dxfId="608" priority="277" operator="lessThan">
      <formula>TODAY()</formula>
    </cfRule>
  </conditionalFormatting>
  <conditionalFormatting sqref="V1599">
    <cfRule type="cellIs" dxfId="607" priority="275" operator="equal">
      <formula>"WRONG"</formula>
    </cfRule>
  </conditionalFormatting>
  <conditionalFormatting sqref="AA1598">
    <cfRule type="cellIs" dxfId="606" priority="269" operator="lessThan">
      <formula>TODAY()</formula>
    </cfRule>
    <cfRule type="cellIs" dxfId="605" priority="270" operator="lessThan">
      <formula>TODAY()</formula>
    </cfRule>
  </conditionalFormatting>
  <conditionalFormatting sqref="V1598">
    <cfRule type="cellIs" dxfId="604" priority="268" operator="equal">
      <formula>"WRONG"</formula>
    </cfRule>
  </conditionalFormatting>
  <conditionalFormatting sqref="AA1539:AA1542">
    <cfRule type="cellIs" dxfId="603" priority="226" operator="lessThan">
      <formula>TODAY()</formula>
    </cfRule>
    <cfRule type="cellIs" dxfId="602" priority="227" operator="lessThan">
      <formula>TODAY()</formula>
    </cfRule>
  </conditionalFormatting>
  <conditionalFormatting sqref="V1547:V1549">
    <cfRule type="cellIs" dxfId="601" priority="219" operator="equal">
      <formula>"WRONG"</formula>
    </cfRule>
  </conditionalFormatting>
  <conditionalFormatting sqref="AA1547:AA1549">
    <cfRule type="cellIs" dxfId="600" priority="217" operator="lessThan">
      <formula>TODAY()</formula>
    </cfRule>
    <cfRule type="cellIs" dxfId="599" priority="218" operator="lessThan">
      <formula>TODAY()</formula>
    </cfRule>
  </conditionalFormatting>
  <conditionalFormatting sqref="V1550">
    <cfRule type="cellIs" dxfId="598" priority="212" operator="equal">
      <formula>"WRONG"</formula>
    </cfRule>
  </conditionalFormatting>
  <conditionalFormatting sqref="AA1550">
    <cfRule type="cellIs" dxfId="597" priority="210" operator="lessThan">
      <formula>TODAY()</formula>
    </cfRule>
    <cfRule type="cellIs" dxfId="596" priority="211" operator="lessThan">
      <formula>TODAY()</formula>
    </cfRule>
  </conditionalFormatting>
  <conditionalFormatting sqref="V1551">
    <cfRule type="cellIs" dxfId="595" priority="205" operator="equal">
      <formula>"WRONG"</formula>
    </cfRule>
  </conditionalFormatting>
  <conditionalFormatting sqref="AA1551">
    <cfRule type="cellIs" dxfId="594" priority="203" operator="lessThan">
      <formula>TODAY()</formula>
    </cfRule>
    <cfRule type="cellIs" dxfId="593" priority="204" operator="lessThan">
      <formula>TODAY()</formula>
    </cfRule>
  </conditionalFormatting>
  <conditionalFormatting sqref="AA1561 AA1584">
    <cfRule type="cellIs" dxfId="592" priority="197" operator="lessThan">
      <formula>TODAY()</formula>
    </cfRule>
    <cfRule type="cellIs" dxfId="591" priority="198" operator="lessThan">
      <formula>TODAY()</formula>
    </cfRule>
  </conditionalFormatting>
  <conditionalFormatting sqref="V1561 V1584">
    <cfRule type="cellIs" dxfId="590" priority="196" operator="equal">
      <formula>"WRONG"</formula>
    </cfRule>
  </conditionalFormatting>
  <conditionalFormatting sqref="AA1560">
    <cfRule type="cellIs" dxfId="589" priority="194" operator="lessThan">
      <formula>TODAY()</formula>
    </cfRule>
    <cfRule type="cellIs" dxfId="588" priority="195" operator="lessThan">
      <formula>TODAY()</formula>
    </cfRule>
  </conditionalFormatting>
  <conditionalFormatting sqref="V1560">
    <cfRule type="cellIs" dxfId="587" priority="193" operator="equal">
      <formula>"WRONG"</formula>
    </cfRule>
  </conditionalFormatting>
  <conditionalFormatting sqref="AA1559">
    <cfRule type="cellIs" dxfId="586" priority="191" operator="lessThan">
      <formula>TODAY()</formula>
    </cfRule>
    <cfRule type="cellIs" dxfId="585" priority="192" operator="lessThan">
      <formula>TODAY()</formula>
    </cfRule>
  </conditionalFormatting>
  <conditionalFormatting sqref="V1559">
    <cfRule type="cellIs" dxfId="584" priority="190" operator="equal">
      <formula>"WRONG"</formula>
    </cfRule>
  </conditionalFormatting>
  <conditionalFormatting sqref="AA1558">
    <cfRule type="cellIs" dxfId="583" priority="184" operator="lessThan">
      <formula>TODAY()</formula>
    </cfRule>
    <cfRule type="cellIs" dxfId="582" priority="185" operator="lessThan">
      <formula>TODAY()</formula>
    </cfRule>
  </conditionalFormatting>
  <conditionalFormatting sqref="V1558">
    <cfRule type="cellIs" dxfId="581" priority="183" operator="equal">
      <formula>"WRONG"</formula>
    </cfRule>
  </conditionalFormatting>
  <conditionalFormatting sqref="AA1557">
    <cfRule type="cellIs" dxfId="580" priority="181" operator="lessThan">
      <formula>TODAY()</formula>
    </cfRule>
    <cfRule type="cellIs" dxfId="579" priority="182" operator="lessThan">
      <formula>TODAY()</formula>
    </cfRule>
  </conditionalFormatting>
  <conditionalFormatting sqref="V1557">
    <cfRule type="cellIs" dxfId="578" priority="180" operator="equal">
      <formula>"WRONG"</formula>
    </cfRule>
  </conditionalFormatting>
  <conditionalFormatting sqref="AA1556">
    <cfRule type="cellIs" dxfId="577" priority="174" operator="lessThan">
      <formula>TODAY()</formula>
    </cfRule>
    <cfRule type="cellIs" dxfId="576" priority="175" operator="lessThan">
      <formula>TODAY()</formula>
    </cfRule>
  </conditionalFormatting>
  <conditionalFormatting sqref="V1556">
    <cfRule type="cellIs" dxfId="575" priority="173" operator="equal">
      <formula>"WRONG"</formula>
    </cfRule>
  </conditionalFormatting>
  <conditionalFormatting sqref="AA1555">
    <cfRule type="cellIs" dxfId="574" priority="171" operator="lessThan">
      <formula>TODAY()</formula>
    </cfRule>
    <cfRule type="cellIs" dxfId="573" priority="172" operator="lessThan">
      <formula>TODAY()</formula>
    </cfRule>
  </conditionalFormatting>
  <conditionalFormatting sqref="V1555">
    <cfRule type="cellIs" dxfId="572" priority="170" operator="equal">
      <formula>"WRONG"</formula>
    </cfRule>
  </conditionalFormatting>
  <conditionalFormatting sqref="AA1554">
    <cfRule type="cellIs" dxfId="571" priority="168" operator="lessThan">
      <formula>TODAY()</formula>
    </cfRule>
    <cfRule type="cellIs" dxfId="570" priority="169" operator="lessThan">
      <formula>TODAY()</formula>
    </cfRule>
  </conditionalFormatting>
  <conditionalFormatting sqref="V1554">
    <cfRule type="cellIs" dxfId="569" priority="167" operator="equal">
      <formula>"WRONG"</formula>
    </cfRule>
  </conditionalFormatting>
  <conditionalFormatting sqref="AA1553">
    <cfRule type="cellIs" dxfId="568" priority="161" operator="lessThan">
      <formula>TODAY()</formula>
    </cfRule>
    <cfRule type="cellIs" dxfId="567" priority="162" operator="lessThan">
      <formula>TODAY()</formula>
    </cfRule>
  </conditionalFormatting>
  <conditionalFormatting sqref="V1553">
    <cfRule type="cellIs" dxfId="566" priority="160" operator="equal">
      <formula>"WRONG"</formula>
    </cfRule>
  </conditionalFormatting>
  <conditionalFormatting sqref="AA1552">
    <cfRule type="cellIs" dxfId="565" priority="154" operator="lessThan">
      <formula>TODAY()</formula>
    </cfRule>
    <cfRule type="cellIs" dxfId="564" priority="155" operator="lessThan">
      <formula>TODAY()</formula>
    </cfRule>
  </conditionalFormatting>
  <conditionalFormatting sqref="V1552">
    <cfRule type="cellIs" dxfId="563" priority="153" operator="equal">
      <formula>"WRONG"</formula>
    </cfRule>
  </conditionalFormatting>
  <conditionalFormatting sqref="AA1549">
    <cfRule type="cellIs" dxfId="562" priority="151" operator="lessThan">
      <formula>TODAY()</formula>
    </cfRule>
    <cfRule type="cellIs" dxfId="561" priority="152" operator="lessThan">
      <formula>TODAY()</formula>
    </cfRule>
  </conditionalFormatting>
  <conditionalFormatting sqref="V1549">
    <cfRule type="cellIs" dxfId="560" priority="150" operator="equal">
      <formula>"WRONG"</formula>
    </cfRule>
  </conditionalFormatting>
  <conditionalFormatting sqref="AA1548">
    <cfRule type="cellIs" dxfId="559" priority="144" operator="lessThan">
      <formula>TODAY()</formula>
    </cfRule>
    <cfRule type="cellIs" dxfId="558" priority="145" operator="lessThan">
      <formula>TODAY()</formula>
    </cfRule>
  </conditionalFormatting>
  <conditionalFormatting sqref="V1548">
    <cfRule type="cellIs" dxfId="557" priority="143" operator="equal">
      <formula>"WRONG"</formula>
    </cfRule>
  </conditionalFormatting>
  <conditionalFormatting sqref="AA1583">
    <cfRule type="cellIs" dxfId="556" priority="128" operator="lessThan">
      <formula>TODAY()</formula>
    </cfRule>
    <cfRule type="cellIs" dxfId="555" priority="129" operator="lessThan">
      <formula>TODAY()</formula>
    </cfRule>
  </conditionalFormatting>
  <conditionalFormatting sqref="V1583">
    <cfRule type="cellIs" dxfId="554" priority="127" operator="equal">
      <formula>"WRONG"</formula>
    </cfRule>
  </conditionalFormatting>
  <conditionalFormatting sqref="AA1577">
    <cfRule type="cellIs" dxfId="553" priority="125" operator="lessThan">
      <formula>TODAY()</formula>
    </cfRule>
    <cfRule type="cellIs" dxfId="552" priority="126" operator="lessThan">
      <formula>TODAY()</formula>
    </cfRule>
  </conditionalFormatting>
  <conditionalFormatting sqref="V1577">
    <cfRule type="cellIs" dxfId="551" priority="124" operator="equal">
      <formula>"WRONG"</formula>
    </cfRule>
  </conditionalFormatting>
  <conditionalFormatting sqref="AA1582">
    <cfRule type="cellIs" dxfId="550" priority="122" operator="lessThan">
      <formula>TODAY()</formula>
    </cfRule>
    <cfRule type="cellIs" dxfId="549" priority="123" operator="lessThan">
      <formula>TODAY()</formula>
    </cfRule>
  </conditionalFormatting>
  <conditionalFormatting sqref="V1582">
    <cfRule type="cellIs" dxfId="548" priority="121" operator="equal">
      <formula>"WRONG"</formula>
    </cfRule>
  </conditionalFormatting>
  <conditionalFormatting sqref="AA1567:AA1569">
    <cfRule type="cellIs" dxfId="547" priority="119" operator="lessThan">
      <formula>TODAY()</formula>
    </cfRule>
    <cfRule type="cellIs" dxfId="546" priority="120" operator="lessThan">
      <formula>TODAY()</formula>
    </cfRule>
  </conditionalFormatting>
  <conditionalFormatting sqref="V1567:V1569">
    <cfRule type="cellIs" dxfId="545" priority="118" operator="equal">
      <formula>"WRONG"</formula>
    </cfRule>
  </conditionalFormatting>
  <conditionalFormatting sqref="AA1566">
    <cfRule type="cellIs" dxfId="544" priority="116" operator="lessThan">
      <formula>TODAY()</formula>
    </cfRule>
    <cfRule type="cellIs" dxfId="543" priority="117" operator="lessThan">
      <formula>TODAY()</formula>
    </cfRule>
  </conditionalFormatting>
  <conditionalFormatting sqref="V1566">
    <cfRule type="cellIs" dxfId="542" priority="115" operator="equal">
      <formula>"WRONG"</formula>
    </cfRule>
  </conditionalFormatting>
  <conditionalFormatting sqref="AA1565">
    <cfRule type="cellIs" dxfId="541" priority="113" operator="lessThan">
      <formula>TODAY()</formula>
    </cfRule>
    <cfRule type="cellIs" dxfId="540" priority="114" operator="lessThan">
      <formula>TODAY()</formula>
    </cfRule>
  </conditionalFormatting>
  <conditionalFormatting sqref="V1565">
    <cfRule type="cellIs" dxfId="539" priority="112" operator="equal">
      <formula>"WRONG"</formula>
    </cfRule>
  </conditionalFormatting>
  <conditionalFormatting sqref="AA1564">
    <cfRule type="cellIs" dxfId="538" priority="110" operator="lessThan">
      <formula>TODAY()</formula>
    </cfRule>
    <cfRule type="cellIs" dxfId="537" priority="111" operator="lessThan">
      <formula>TODAY()</formula>
    </cfRule>
  </conditionalFormatting>
  <conditionalFormatting sqref="V1564">
    <cfRule type="cellIs" dxfId="536" priority="109" operator="equal">
      <formula>"WRONG"</formula>
    </cfRule>
  </conditionalFormatting>
  <conditionalFormatting sqref="AA1563">
    <cfRule type="cellIs" dxfId="535" priority="107" operator="lessThan">
      <formula>TODAY()</formula>
    </cfRule>
    <cfRule type="cellIs" dxfId="534" priority="108" operator="lessThan">
      <formula>TODAY()</formula>
    </cfRule>
  </conditionalFormatting>
  <conditionalFormatting sqref="V1563">
    <cfRule type="cellIs" dxfId="533" priority="106" operator="equal">
      <formula>"WRONG"</formula>
    </cfRule>
  </conditionalFormatting>
  <conditionalFormatting sqref="AA1562">
    <cfRule type="cellIs" dxfId="532" priority="104" operator="lessThan">
      <formula>TODAY()</formula>
    </cfRule>
    <cfRule type="cellIs" dxfId="531" priority="105" operator="lessThan">
      <formula>TODAY()</formula>
    </cfRule>
  </conditionalFormatting>
  <conditionalFormatting sqref="V1562">
    <cfRule type="cellIs" dxfId="530" priority="103" operator="equal">
      <formula>"WRONG"</formula>
    </cfRule>
  </conditionalFormatting>
  <conditionalFormatting sqref="AA1581">
    <cfRule type="cellIs" dxfId="529" priority="97" operator="lessThan">
      <formula>TODAY()</formula>
    </cfRule>
    <cfRule type="cellIs" dxfId="528" priority="98" operator="lessThan">
      <formula>TODAY()</formula>
    </cfRule>
  </conditionalFormatting>
  <conditionalFormatting sqref="V1581">
    <cfRule type="cellIs" dxfId="527" priority="96" operator="equal">
      <formula>"WRONG"</formula>
    </cfRule>
  </conditionalFormatting>
  <conditionalFormatting sqref="AA1580">
    <cfRule type="cellIs" dxfId="526" priority="94" operator="lessThan">
      <formula>TODAY()</formula>
    </cfRule>
    <cfRule type="cellIs" dxfId="525" priority="95" operator="lessThan">
      <formula>TODAY()</formula>
    </cfRule>
  </conditionalFormatting>
  <conditionalFormatting sqref="V1580">
    <cfRule type="cellIs" dxfId="524" priority="93" operator="equal">
      <formula>"WRONG"</formula>
    </cfRule>
  </conditionalFormatting>
  <conditionalFormatting sqref="AA1579">
    <cfRule type="cellIs" dxfId="523" priority="91" operator="lessThan">
      <formula>TODAY()</formula>
    </cfRule>
    <cfRule type="cellIs" dxfId="522" priority="92" operator="lessThan">
      <formula>TODAY()</formula>
    </cfRule>
  </conditionalFormatting>
  <conditionalFormatting sqref="V1579">
    <cfRule type="cellIs" dxfId="521" priority="90" operator="equal">
      <formula>"WRONG"</formula>
    </cfRule>
  </conditionalFormatting>
  <conditionalFormatting sqref="AA1578">
    <cfRule type="cellIs" dxfId="520" priority="88" operator="lessThan">
      <formula>TODAY()</formula>
    </cfRule>
    <cfRule type="cellIs" dxfId="519" priority="89" operator="lessThan">
      <formula>TODAY()</formula>
    </cfRule>
  </conditionalFormatting>
  <conditionalFormatting sqref="V1578">
    <cfRule type="cellIs" dxfId="518" priority="87" operator="equal">
      <formula>"WRONG"</formula>
    </cfRule>
  </conditionalFormatting>
  <conditionalFormatting sqref="AA1576:AA1577">
    <cfRule type="cellIs" dxfId="517" priority="85" operator="lessThan">
      <formula>TODAY()</formula>
    </cfRule>
    <cfRule type="cellIs" dxfId="516" priority="86" operator="lessThan">
      <formula>TODAY()</formula>
    </cfRule>
  </conditionalFormatting>
  <conditionalFormatting sqref="V1576:V1577">
    <cfRule type="cellIs" dxfId="515" priority="84" operator="equal">
      <formula>"WRONG"</formula>
    </cfRule>
  </conditionalFormatting>
  <conditionalFormatting sqref="AA1575">
    <cfRule type="cellIs" dxfId="514" priority="82" operator="lessThan">
      <formula>TODAY()</formula>
    </cfRule>
    <cfRule type="cellIs" dxfId="513" priority="83" operator="lessThan">
      <formula>TODAY()</formula>
    </cfRule>
  </conditionalFormatting>
  <conditionalFormatting sqref="V1575">
    <cfRule type="cellIs" dxfId="512" priority="81" operator="equal">
      <formula>"WRONG"</formula>
    </cfRule>
  </conditionalFormatting>
  <conditionalFormatting sqref="AA1574">
    <cfRule type="cellIs" dxfId="511" priority="75" operator="lessThan">
      <formula>TODAY()</formula>
    </cfRule>
    <cfRule type="cellIs" dxfId="510" priority="76" operator="lessThan">
      <formula>TODAY()</formula>
    </cfRule>
  </conditionalFormatting>
  <conditionalFormatting sqref="V1574">
    <cfRule type="cellIs" dxfId="509" priority="74" operator="equal">
      <formula>"WRONG"</formula>
    </cfRule>
  </conditionalFormatting>
  <conditionalFormatting sqref="AA1568">
    <cfRule type="cellIs" dxfId="508" priority="65" operator="lessThan">
      <formula>TODAY()</formula>
    </cfRule>
    <cfRule type="cellIs" dxfId="507" priority="66" operator="lessThan">
      <formula>TODAY()</formula>
    </cfRule>
  </conditionalFormatting>
  <conditionalFormatting sqref="V1568">
    <cfRule type="cellIs" dxfId="506" priority="64" operator="equal">
      <formula>"WRONG"</formula>
    </cfRule>
  </conditionalFormatting>
  <conditionalFormatting sqref="AA1573">
    <cfRule type="cellIs" dxfId="505" priority="62" operator="lessThan">
      <formula>TODAY()</formula>
    </cfRule>
    <cfRule type="cellIs" dxfId="504" priority="63" operator="lessThan">
      <formula>TODAY()</formula>
    </cfRule>
  </conditionalFormatting>
  <conditionalFormatting sqref="V1573">
    <cfRule type="cellIs" dxfId="503" priority="61" operator="equal">
      <formula>"WRONG"</formula>
    </cfRule>
  </conditionalFormatting>
  <conditionalFormatting sqref="AA1572">
    <cfRule type="cellIs" dxfId="502" priority="59" operator="lessThan">
      <formula>TODAY()</formula>
    </cfRule>
    <cfRule type="cellIs" dxfId="501" priority="60" operator="lessThan">
      <formula>TODAY()</formula>
    </cfRule>
  </conditionalFormatting>
  <conditionalFormatting sqref="V1572">
    <cfRule type="cellIs" dxfId="500" priority="58" operator="equal">
      <formula>"WRONG"</formula>
    </cfRule>
  </conditionalFormatting>
  <conditionalFormatting sqref="AA1571">
    <cfRule type="cellIs" dxfId="499" priority="56" operator="lessThan">
      <formula>TODAY()</formula>
    </cfRule>
    <cfRule type="cellIs" dxfId="498" priority="57" operator="lessThan">
      <formula>TODAY()</formula>
    </cfRule>
  </conditionalFormatting>
  <conditionalFormatting sqref="V1571">
    <cfRule type="cellIs" dxfId="497" priority="55" operator="equal">
      <formula>"WRONG"</formula>
    </cfRule>
  </conditionalFormatting>
  <conditionalFormatting sqref="AA1570">
    <cfRule type="cellIs" dxfId="496" priority="53" operator="lessThan">
      <formula>TODAY()</formula>
    </cfRule>
    <cfRule type="cellIs" dxfId="495" priority="54" operator="lessThan">
      <formula>TODAY()</formula>
    </cfRule>
  </conditionalFormatting>
  <conditionalFormatting sqref="V1570">
    <cfRule type="cellIs" dxfId="494" priority="52" operator="equal">
      <formula>"WRONG"</formula>
    </cfRule>
  </conditionalFormatting>
  <conditionalFormatting sqref="AA1597">
    <cfRule type="cellIs" dxfId="493" priority="50" operator="lessThan">
      <formula>TODAY()</formula>
    </cfRule>
    <cfRule type="cellIs" dxfId="492" priority="51" operator="lessThan">
      <formula>TODAY()</formula>
    </cfRule>
  </conditionalFormatting>
  <conditionalFormatting sqref="V1597">
    <cfRule type="cellIs" dxfId="491" priority="49" operator="equal">
      <formula>"WRONG"</formula>
    </cfRule>
  </conditionalFormatting>
  <conditionalFormatting sqref="AA1596">
    <cfRule type="cellIs" dxfId="490" priority="47" operator="lessThan">
      <formula>TODAY()</formula>
    </cfRule>
    <cfRule type="cellIs" dxfId="489" priority="48" operator="lessThan">
      <formula>TODAY()</formula>
    </cfRule>
  </conditionalFormatting>
  <conditionalFormatting sqref="V1596">
    <cfRule type="cellIs" dxfId="488" priority="46" operator="equal">
      <formula>"WRONG"</formula>
    </cfRule>
  </conditionalFormatting>
  <conditionalFormatting sqref="AA1595">
    <cfRule type="cellIs" dxfId="487" priority="44" operator="lessThan">
      <formula>TODAY()</formula>
    </cfRule>
    <cfRule type="cellIs" dxfId="486" priority="45" operator="lessThan">
      <formula>TODAY()</formula>
    </cfRule>
  </conditionalFormatting>
  <conditionalFormatting sqref="V1595">
    <cfRule type="cellIs" dxfId="485" priority="43" operator="equal">
      <formula>"WRONG"</formula>
    </cfRule>
  </conditionalFormatting>
  <conditionalFormatting sqref="AA1594">
    <cfRule type="cellIs" dxfId="484" priority="29" operator="lessThan">
      <formula>TODAY()</formula>
    </cfRule>
    <cfRule type="cellIs" dxfId="483" priority="30" operator="lessThan">
      <formula>TODAY()</formula>
    </cfRule>
  </conditionalFormatting>
  <conditionalFormatting sqref="V1594">
    <cfRule type="cellIs" dxfId="482" priority="28" operator="equal">
      <formula>"WRONG"</formula>
    </cfRule>
  </conditionalFormatting>
  <conditionalFormatting sqref="AA1593">
    <cfRule type="cellIs" dxfId="481" priority="26" operator="lessThan">
      <formula>TODAY()</formula>
    </cfRule>
    <cfRule type="cellIs" dxfId="480" priority="27" operator="lessThan">
      <formula>TODAY()</formula>
    </cfRule>
  </conditionalFormatting>
  <conditionalFormatting sqref="V1593">
    <cfRule type="cellIs" dxfId="479" priority="25" operator="equal">
      <formula>"WRONG"</formula>
    </cfRule>
  </conditionalFormatting>
  <conditionalFormatting sqref="AA1592">
    <cfRule type="cellIs" dxfId="478" priority="23" operator="lessThan">
      <formula>TODAY()</formula>
    </cfRule>
    <cfRule type="cellIs" dxfId="477" priority="24" operator="lessThan">
      <formula>TODAY()</formula>
    </cfRule>
  </conditionalFormatting>
  <conditionalFormatting sqref="V1592">
    <cfRule type="cellIs" dxfId="476" priority="22" operator="equal">
      <formula>"WRONG"</formula>
    </cfRule>
  </conditionalFormatting>
  <conditionalFormatting sqref="AA1591">
    <cfRule type="cellIs" dxfId="475" priority="20" operator="lessThan">
      <formula>TODAY()</formula>
    </cfRule>
    <cfRule type="cellIs" dxfId="474" priority="21" operator="lessThan">
      <formula>TODAY()</formula>
    </cfRule>
  </conditionalFormatting>
  <conditionalFormatting sqref="V1591">
    <cfRule type="cellIs" dxfId="473" priority="19" operator="equal">
      <formula>"WRONG"</formula>
    </cfRule>
  </conditionalFormatting>
  <conditionalFormatting sqref="AA1588">
    <cfRule type="cellIs" dxfId="472" priority="17" operator="lessThan">
      <formula>TODAY()</formula>
    </cfRule>
    <cfRule type="cellIs" dxfId="471" priority="18" operator="lessThan">
      <formula>TODAY()</formula>
    </cfRule>
  </conditionalFormatting>
  <conditionalFormatting sqref="V1588">
    <cfRule type="cellIs" dxfId="470" priority="16" operator="equal">
      <formula>"WRONG"</formula>
    </cfRule>
  </conditionalFormatting>
  <conditionalFormatting sqref="AA1587">
    <cfRule type="cellIs" dxfId="469" priority="14" operator="lessThan">
      <formula>TODAY()</formula>
    </cfRule>
    <cfRule type="cellIs" dxfId="468" priority="15" operator="lessThan">
      <formula>TODAY()</formula>
    </cfRule>
  </conditionalFormatting>
  <conditionalFormatting sqref="V1587">
    <cfRule type="cellIs" dxfId="467" priority="13" operator="equal">
      <formula>"WRONG"</formula>
    </cfRule>
  </conditionalFormatting>
  <conditionalFormatting sqref="AA1586">
    <cfRule type="cellIs" dxfId="466" priority="11" operator="lessThan">
      <formula>TODAY()</formula>
    </cfRule>
    <cfRule type="cellIs" dxfId="465" priority="12" operator="lessThan">
      <formula>TODAY()</formula>
    </cfRule>
  </conditionalFormatting>
  <conditionalFormatting sqref="V1586">
    <cfRule type="cellIs" dxfId="464" priority="10" operator="equal">
      <formula>"WRONG"</formula>
    </cfRule>
  </conditionalFormatting>
  <conditionalFormatting sqref="AA1590">
    <cfRule type="cellIs" dxfId="463" priority="8" operator="lessThan">
      <formula>TODAY()</formula>
    </cfRule>
    <cfRule type="cellIs" dxfId="462" priority="9" operator="lessThan">
      <formula>TODAY()</formula>
    </cfRule>
  </conditionalFormatting>
  <conditionalFormatting sqref="V1590">
    <cfRule type="cellIs" dxfId="461" priority="7" operator="equal">
      <formula>"WRONG"</formula>
    </cfRule>
  </conditionalFormatting>
  <conditionalFormatting sqref="AA1589">
    <cfRule type="cellIs" dxfId="460" priority="5" operator="lessThan">
      <formula>TODAY()</formula>
    </cfRule>
    <cfRule type="cellIs" dxfId="459" priority="6" operator="lessThan">
      <formula>TODAY()</formula>
    </cfRule>
  </conditionalFormatting>
  <conditionalFormatting sqref="V1589">
    <cfRule type="cellIs" dxfId="458" priority="4" operator="equal">
      <formula>"WRONG"</formula>
    </cfRule>
  </conditionalFormatting>
  <conditionalFormatting sqref="AA1585:AA1588">
    <cfRule type="cellIs" dxfId="457" priority="2" operator="lessThan">
      <formula>TODAY()</formula>
    </cfRule>
    <cfRule type="cellIs" dxfId="456" priority="3" operator="lessThan">
      <formula>TODAY()</formula>
    </cfRule>
  </conditionalFormatting>
  <conditionalFormatting sqref="V1585:V1588">
    <cfRule type="cellIs" dxfId="455" priority="1" operator="equal">
      <formula>"WRONG"</formula>
    </cfRule>
  </conditionalFormatting>
  <dataValidations count="1">
    <dataValidation type="list" allowBlank="1" showInputMessage="1" showErrorMessage="1" sqref="I113" xr:uid="{00000000-0002-0000-0100-000000000000}">
      <formula1>$D$17:$D$19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00000000-0002-0000-0100-000001000000}">
          <x14:formula1>
            <xm:f>'Data pick slip'!$B$1:$B$41</xm:f>
          </x14:formula1>
          <xm:sqref>AF942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T1037 T1191 T1369 T1233 G1347:G1351 G2:G1345 G1353:G1389 G1391:G1048576</xm:sqref>
        </x14:dataValidation>
        <x14:dataValidation type="list" allowBlank="1" showInputMessage="1" showErrorMessage="1" xr:uid="{00000000-0002-0000-0100-000008000000}">
          <x14:formula1>
            <xm:f>'Data pick slip'!$B$2:$B$62</xm:f>
          </x14:formula1>
          <xm:sqref>S1037 S1369 S1191 F1:F1345 F1353:F1389 F1347:F1351 F1391:F1048576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K1353:K1389 K1347:K1351 K1:K1345 K1391:K1048576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N1:N1471 N1474:N1048576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AF943:AF994 AF1:AF941 AD1:AD1048576 AH1:AH1048576 AL1:AL1048576 AJ1:AJ1048576 AF996:AF1048576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U1037 U1191 U1369 U1233 H1347:H1351 H1:H1345 H1353:H1389 H1391:H1048576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5"/>
  <sheetViews>
    <sheetView zoomScaleNormal="100" workbookViewId="0">
      <pane ySplit="1" topLeftCell="A476" activePane="bottomLeft" state="frozen"/>
      <selection activeCell="D1475" sqref="D1475"/>
      <selection pane="bottomLeft" activeCell="D501" sqref="D501"/>
    </sheetView>
  </sheetViews>
  <sheetFormatPr defaultColWidth="9" defaultRowHeight="14.25"/>
  <cols>
    <col min="1" max="1" width="12.25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10.75" style="157" customWidth="1"/>
    <col min="7" max="7" width="6.25" style="132" customWidth="1"/>
    <col min="8" max="8" width="5.25" style="138" customWidth="1"/>
    <col min="9" max="9" width="24" style="140" bestFit="1" customWidth="1"/>
    <col min="10" max="10" width="19" style="139" customWidth="1"/>
    <col min="11" max="11" width="6.25" style="140" customWidth="1"/>
    <col min="12" max="12" width="10.25" style="141" customWidth="1"/>
    <col min="13" max="13" width="5.25" style="140" customWidth="1"/>
    <col min="14" max="14" width="6.2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6.37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5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ht="15" customHeight="1">
      <c r="A2" s="181" t="s">
        <v>2744</v>
      </c>
      <c r="B2" s="114" t="str">
        <f>VLOOKUP(A2,'Data pick slip'!B:F,5,FALSE)</f>
        <v>KHJ-MC100-00</v>
      </c>
      <c r="C2" s="169" t="s">
        <v>2745</v>
      </c>
      <c r="D2" s="311" t="s">
        <v>2746</v>
      </c>
      <c r="E2" s="281" t="s">
        <v>2745</v>
      </c>
      <c r="F2" s="170" t="s">
        <v>1381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2747</v>
      </c>
      <c r="B3" s="114" t="str">
        <f>VLOOKUP(A3,'Data pick slip'!B:F,5,FALSE)</f>
        <v>KHJ-MC200-00</v>
      </c>
      <c r="C3" s="169" t="s">
        <v>2745</v>
      </c>
      <c r="D3" s="311" t="s">
        <v>2746</v>
      </c>
      <c r="E3" s="281" t="s">
        <v>2745</v>
      </c>
      <c r="F3" s="170" t="s">
        <v>1381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2748</v>
      </c>
      <c r="B4" s="114" t="str">
        <f>VLOOKUP(A4,'Data pick slip'!B:F,5,FALSE)</f>
        <v>KHJ-MC400-00</v>
      </c>
      <c r="C4" s="169" t="s">
        <v>2745</v>
      </c>
      <c r="D4" s="311" t="s">
        <v>2746</v>
      </c>
      <c r="E4" s="281" t="s">
        <v>2745</v>
      </c>
      <c r="F4" s="170" t="s">
        <v>1381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2749</v>
      </c>
      <c r="B5" s="114" t="str">
        <f>VLOOKUP(A5,'Data pick slip'!B:F,5,FALSE)</f>
        <v>KHJ-MC500-00</v>
      </c>
      <c r="C5" s="169" t="s">
        <v>2745</v>
      </c>
      <c r="D5" s="311" t="s">
        <v>2746</v>
      </c>
      <c r="E5" s="281" t="s">
        <v>2745</v>
      </c>
      <c r="F5" s="170" t="s">
        <v>1381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2750</v>
      </c>
      <c r="B6" s="114" t="str">
        <f>VLOOKUP(A6,'Data pick slip'!B:F,5,FALSE)</f>
        <v>KHJ-MC600-00</v>
      </c>
      <c r="C6" s="169" t="s">
        <v>2745</v>
      </c>
      <c r="D6" s="311" t="s">
        <v>2746</v>
      </c>
      <c r="E6" s="281" t="s">
        <v>2745</v>
      </c>
      <c r="F6" s="170" t="s">
        <v>1381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2751</v>
      </c>
      <c r="B7" s="114" t="str">
        <f>VLOOKUP(A7,'Data pick slip'!B:F,5,FALSE)</f>
        <v>KHJ-MC700-00</v>
      </c>
      <c r="C7" s="169" t="s">
        <v>2745</v>
      </c>
      <c r="D7" s="311" t="s">
        <v>2746</v>
      </c>
      <c r="E7" s="281" t="s">
        <v>2745</v>
      </c>
      <c r="F7" s="170" t="s">
        <v>1381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2752</v>
      </c>
      <c r="B8" s="114" t="str">
        <f>VLOOKUP(A8,'Data pick slip'!B:F,5,FALSE)</f>
        <v>KHJ-MC800-00</v>
      </c>
      <c r="C8" s="169" t="s">
        <v>2745</v>
      </c>
      <c r="D8" s="311" t="s">
        <v>2746</v>
      </c>
      <c r="E8" s="281" t="s">
        <v>2745</v>
      </c>
      <c r="F8" s="170" t="s">
        <v>1381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2744</v>
      </c>
      <c r="B9" s="114" t="str">
        <f>VLOOKUP(A9,'Data pick slip'!B:F,5,FALSE)</f>
        <v>KHJ-MC100-00</v>
      </c>
      <c r="C9" s="169" t="s">
        <v>2745</v>
      </c>
      <c r="D9" s="311" t="s">
        <v>2746</v>
      </c>
      <c r="E9" s="281" t="s">
        <v>2745</v>
      </c>
      <c r="F9" s="170" t="s">
        <v>2753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2747</v>
      </c>
      <c r="B10" s="114" t="str">
        <f>VLOOKUP(A10,'Data pick slip'!B:F,5,FALSE)</f>
        <v>KHJ-MC200-00</v>
      </c>
      <c r="C10" s="169" t="s">
        <v>2745</v>
      </c>
      <c r="D10" s="311" t="s">
        <v>2746</v>
      </c>
      <c r="E10" s="281" t="s">
        <v>2745</v>
      </c>
      <c r="F10" s="170" t="s">
        <v>2753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2748</v>
      </c>
      <c r="B11" s="114" t="str">
        <f>VLOOKUP(A11,'Data pick slip'!B:F,5,FALSE)</f>
        <v>KHJ-MC400-00</v>
      </c>
      <c r="C11" s="169" t="s">
        <v>2745</v>
      </c>
      <c r="D11" s="311" t="s">
        <v>2746</v>
      </c>
      <c r="E11" s="281" t="s">
        <v>2745</v>
      </c>
      <c r="F11" s="170" t="s">
        <v>2753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2749</v>
      </c>
      <c r="B12" s="114" t="str">
        <f>VLOOKUP(A12,'Data pick slip'!B:F,5,FALSE)</f>
        <v>KHJ-MC500-00</v>
      </c>
      <c r="C12" s="169" t="s">
        <v>2745</v>
      </c>
      <c r="D12" s="311" t="s">
        <v>2746</v>
      </c>
      <c r="E12" s="281" t="s">
        <v>2745</v>
      </c>
      <c r="F12" s="170" t="s">
        <v>2753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2750</v>
      </c>
      <c r="B13" s="114" t="str">
        <f>VLOOKUP(A13,'Data pick slip'!B:F,5,FALSE)</f>
        <v>KHJ-MC600-00</v>
      </c>
      <c r="C13" s="169" t="s">
        <v>2745</v>
      </c>
      <c r="D13" s="311" t="s">
        <v>2746</v>
      </c>
      <c r="E13" s="281" t="s">
        <v>2745</v>
      </c>
      <c r="F13" s="170" t="s">
        <v>2753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2751</v>
      </c>
      <c r="B14" s="114" t="str">
        <f>VLOOKUP(A14,'Data pick slip'!B:F,5,FALSE)</f>
        <v>KHJ-MC700-00</v>
      </c>
      <c r="C14" s="169" t="s">
        <v>2745</v>
      </c>
      <c r="D14" s="311" t="s">
        <v>2746</v>
      </c>
      <c r="E14" s="281" t="s">
        <v>2745</v>
      </c>
      <c r="F14" s="170" t="s">
        <v>2753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2752</v>
      </c>
      <c r="B15" s="114" t="str">
        <f>VLOOKUP(A15,'Data pick slip'!B:F,5,FALSE)</f>
        <v>KHJ-MC800-00</v>
      </c>
      <c r="C15" s="169" t="s">
        <v>2745</v>
      </c>
      <c r="D15" s="311" t="s">
        <v>2746</v>
      </c>
      <c r="E15" s="281" t="s">
        <v>2745</v>
      </c>
      <c r="F15" s="170" t="s">
        <v>2753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2754</v>
      </c>
      <c r="B16" s="114" t="str">
        <f>VLOOKUP(A16,'Data pick slip'!B:F,5,FALSE)</f>
        <v>KLJ-MCN00-20</v>
      </c>
      <c r="C16" s="169" t="s">
        <v>2745</v>
      </c>
      <c r="D16" s="311" t="s">
        <v>2746</v>
      </c>
      <c r="E16" s="281" t="s">
        <v>2745</v>
      </c>
      <c r="F16" s="170" t="s">
        <v>1381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2755</v>
      </c>
      <c r="B17" s="114" t="str">
        <f>VLOOKUP(A17,'Data pick slip'!B:F,5,FALSE)</f>
        <v>KLJ-MC100-00</v>
      </c>
      <c r="C17" s="169" t="s">
        <v>2745</v>
      </c>
      <c r="D17" s="311" t="s">
        <v>2746</v>
      </c>
      <c r="E17" s="281" t="s">
        <v>2745</v>
      </c>
      <c r="F17" s="170" t="s">
        <v>1381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2756</v>
      </c>
      <c r="B18" s="114" t="str">
        <f>VLOOKUP(A18,'Data pick slip'!B:F,5,FALSE)</f>
        <v>KLJ-MC200-00</v>
      </c>
      <c r="C18" s="169" t="s">
        <v>2745</v>
      </c>
      <c r="D18" s="311" t="s">
        <v>2746</v>
      </c>
      <c r="E18" s="281" t="s">
        <v>2745</v>
      </c>
      <c r="F18" s="170" t="s">
        <v>1381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2757</v>
      </c>
      <c r="B19" s="114" t="str">
        <f>VLOOKUP(A19,'Data pick slip'!B:F,5,FALSE)</f>
        <v>KLJ-MC400-00</v>
      </c>
      <c r="C19" s="169" t="s">
        <v>2745</v>
      </c>
      <c r="D19" s="311" t="s">
        <v>2746</v>
      </c>
      <c r="E19" s="281" t="s">
        <v>2745</v>
      </c>
      <c r="F19" s="170" t="s">
        <v>1381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2758</v>
      </c>
      <c r="B20" s="114" t="str">
        <f>VLOOKUP(A20,'Data pick slip'!B:F,5,FALSE)</f>
        <v>KLJ-MC500-00</v>
      </c>
      <c r="C20" s="169" t="s">
        <v>2745</v>
      </c>
      <c r="D20" s="311" t="s">
        <v>2746</v>
      </c>
      <c r="E20" s="281" t="s">
        <v>2745</v>
      </c>
      <c r="F20" s="170" t="s">
        <v>1381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2759</v>
      </c>
      <c r="B21" s="114" t="str">
        <f>VLOOKUP(A21,'Data pick slip'!B:F,5,FALSE)</f>
        <v>KLJ-MC600-00</v>
      </c>
      <c r="C21" s="169" t="s">
        <v>2745</v>
      </c>
      <c r="D21" s="311" t="s">
        <v>2746</v>
      </c>
      <c r="E21" s="281" t="s">
        <v>2745</v>
      </c>
      <c r="F21" s="170" t="s">
        <v>1381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2760</v>
      </c>
      <c r="B22" s="114" t="str">
        <f>VLOOKUP(A22,'Data pick slip'!B:F,5,FALSE)</f>
        <v>KLJ-MC700-00</v>
      </c>
      <c r="C22" s="169" t="s">
        <v>2745</v>
      </c>
      <c r="D22" s="311" t="s">
        <v>2746</v>
      </c>
      <c r="E22" s="281" t="s">
        <v>2745</v>
      </c>
      <c r="F22" s="170" t="s">
        <v>1381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2754</v>
      </c>
      <c r="B23" s="114" t="str">
        <f>VLOOKUP(A23,'Data pick slip'!B:F,5,FALSE)</f>
        <v>KLJ-MCN00-20</v>
      </c>
      <c r="C23" s="169" t="s">
        <v>2745</v>
      </c>
      <c r="D23" s="311" t="s">
        <v>2746</v>
      </c>
      <c r="E23" s="281" t="s">
        <v>2745</v>
      </c>
      <c r="F23" s="170" t="s">
        <v>2753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2755</v>
      </c>
      <c r="B24" s="114" t="str">
        <f>VLOOKUP(A24,'Data pick slip'!B:F,5,FALSE)</f>
        <v>KLJ-MC100-00</v>
      </c>
      <c r="C24" s="169" t="s">
        <v>2745</v>
      </c>
      <c r="D24" s="311" t="s">
        <v>2746</v>
      </c>
      <c r="E24" s="281" t="s">
        <v>2745</v>
      </c>
      <c r="F24" s="170" t="s">
        <v>2753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2756</v>
      </c>
      <c r="B25" s="114" t="str">
        <f>VLOOKUP(A25,'Data pick slip'!B:F,5,FALSE)</f>
        <v>KLJ-MC200-00</v>
      </c>
      <c r="C25" s="169" t="s">
        <v>2745</v>
      </c>
      <c r="D25" s="311" t="s">
        <v>2746</v>
      </c>
      <c r="E25" s="281" t="s">
        <v>2745</v>
      </c>
      <c r="F25" s="170" t="s">
        <v>2753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2757</v>
      </c>
      <c r="B26" s="114" t="str">
        <f>VLOOKUP(A26,'Data pick slip'!B:F,5,FALSE)</f>
        <v>KLJ-MC400-00</v>
      </c>
      <c r="C26" s="169" t="s">
        <v>2745</v>
      </c>
      <c r="D26" s="311" t="s">
        <v>2746</v>
      </c>
      <c r="E26" s="281" t="s">
        <v>2745</v>
      </c>
      <c r="F26" s="170" t="s">
        <v>2753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2758</v>
      </c>
      <c r="B27" s="114" t="str">
        <f>VLOOKUP(A27,'Data pick slip'!B:F,5,FALSE)</f>
        <v>KLJ-MC500-00</v>
      </c>
      <c r="C27" s="169" t="s">
        <v>2745</v>
      </c>
      <c r="D27" s="311" t="s">
        <v>2746</v>
      </c>
      <c r="E27" s="281" t="s">
        <v>2745</v>
      </c>
      <c r="F27" s="170" t="s">
        <v>2753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2759</v>
      </c>
      <c r="B28" s="114" t="str">
        <f>VLOOKUP(A28,'Data pick slip'!B:F,5,FALSE)</f>
        <v>KLJ-MC600-00</v>
      </c>
      <c r="C28" s="169" t="s">
        <v>2745</v>
      </c>
      <c r="D28" s="311" t="s">
        <v>2746</v>
      </c>
      <c r="E28" s="281" t="s">
        <v>2745</v>
      </c>
      <c r="F28" s="170" t="s">
        <v>2753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2760</v>
      </c>
      <c r="B29" s="114" t="str">
        <f>VLOOKUP(A29,'Data pick slip'!B:F,5,FALSE)</f>
        <v>KLJ-MC700-00</v>
      </c>
      <c r="C29" s="169" t="s">
        <v>2745</v>
      </c>
      <c r="D29" s="311" t="s">
        <v>2746</v>
      </c>
      <c r="E29" s="281" t="s">
        <v>2745</v>
      </c>
      <c r="F29" s="170" t="s">
        <v>2753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2761</v>
      </c>
      <c r="B30" s="114" t="str">
        <f>VLOOKUP(A30,'Data pick slip'!B:F,5,FALSE)</f>
        <v>KLJ-MC800-00</v>
      </c>
      <c r="C30" s="169">
        <v>111247</v>
      </c>
      <c r="D30" s="169" t="str">
        <f>VLOOKUP(C30,Stock_list!D:L,2,FALSE)</f>
        <v>耕创名义下单</v>
      </c>
      <c r="E30" s="281">
        <f>VLOOKUP(C30,Stock_list!D:L,9,FALSE)</f>
        <v>45054</v>
      </c>
      <c r="F30" s="170" t="s">
        <v>2753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2744</v>
      </c>
      <c r="B31" s="114" t="str">
        <f>VLOOKUP(A31,'Data pick slip'!B:F,5,FALSE)</f>
        <v>KHJ-MC100-00</v>
      </c>
      <c r="C31" s="169"/>
      <c r="D31" s="169"/>
      <c r="E31" s="281" t="s">
        <v>3859</v>
      </c>
      <c r="F31" s="170" t="s">
        <v>2753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2747</v>
      </c>
      <c r="B32" s="114" t="str">
        <f>VLOOKUP(A32,'Data pick slip'!B:F,5,FALSE)</f>
        <v>KHJ-MC200-00</v>
      </c>
      <c r="C32" s="169"/>
      <c r="D32" s="169"/>
      <c r="E32" s="281" t="s">
        <v>3859</v>
      </c>
      <c r="F32" s="170" t="s">
        <v>2753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2750</v>
      </c>
      <c r="B33" s="114" t="str">
        <f>VLOOKUP(A33,'Data pick slip'!B:F,5,FALSE)</f>
        <v>KHJ-MC600-00</v>
      </c>
      <c r="C33" s="169"/>
      <c r="D33" s="169"/>
      <c r="E33" s="281" t="s">
        <v>3859</v>
      </c>
      <c r="F33" s="170" t="s">
        <v>2753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2744</v>
      </c>
      <c r="B34" s="114" t="str">
        <f>VLOOKUP(A34,'Data pick slip'!B:F,5,FALSE)</f>
        <v>KHJ-MC100-00</v>
      </c>
      <c r="C34" s="169"/>
      <c r="D34" s="169"/>
      <c r="E34" s="281" t="s">
        <v>3910</v>
      </c>
      <c r="F34" s="170" t="s">
        <v>2753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2747</v>
      </c>
      <c r="B35" s="114" t="str">
        <f>VLOOKUP(A35,'Data pick slip'!B:F,5,FALSE)</f>
        <v>KHJ-MC200-00</v>
      </c>
      <c r="C35" s="169"/>
      <c r="D35" s="169"/>
      <c r="E35" s="281" t="s">
        <v>3910</v>
      </c>
      <c r="F35" s="170" t="s">
        <v>2753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2748</v>
      </c>
      <c r="B36" s="114" t="str">
        <f>VLOOKUP(A36,'Data pick slip'!B:F,5,FALSE)</f>
        <v>KHJ-MC400-00</v>
      </c>
      <c r="C36" s="169"/>
      <c r="D36" s="169"/>
      <c r="E36" s="281" t="s">
        <v>3910</v>
      </c>
      <c r="F36" s="170" t="s">
        <v>2753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2749</v>
      </c>
      <c r="B37" s="114" t="str">
        <f>VLOOKUP(A37,'Data pick slip'!B:F,5,FALSE)</f>
        <v>KHJ-MC500-00</v>
      </c>
      <c r="C37" s="169"/>
      <c r="D37" s="169"/>
      <c r="E37" s="281" t="s">
        <v>3910</v>
      </c>
      <c r="F37" s="170" t="s">
        <v>2753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2744</v>
      </c>
      <c r="B38" s="114" t="str">
        <f>VLOOKUP(A38,'Data pick slip'!B:F,5,FALSE)</f>
        <v>KHJ-MC100-00</v>
      </c>
      <c r="C38" s="169"/>
      <c r="D38" s="169"/>
      <c r="E38" s="281" t="s">
        <v>3967</v>
      </c>
      <c r="F38" s="170" t="s">
        <v>2753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2747</v>
      </c>
      <c r="B39" s="114" t="str">
        <f>VLOOKUP(A39,'Data pick slip'!B:F,5,FALSE)</f>
        <v>KHJ-MC200-00</v>
      </c>
      <c r="C39" s="169"/>
      <c r="D39" s="169"/>
      <c r="E39" s="281" t="s">
        <v>3967</v>
      </c>
      <c r="F39" s="170" t="s">
        <v>2753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2748</v>
      </c>
      <c r="B40" s="114" t="str">
        <f>VLOOKUP(A40,'Data pick slip'!B:F,5,FALSE)</f>
        <v>KHJ-MC400-00</v>
      </c>
      <c r="C40" s="169"/>
      <c r="D40" s="169"/>
      <c r="E40" s="281" t="s">
        <v>3967</v>
      </c>
      <c r="F40" s="170" t="s">
        <v>2753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2749</v>
      </c>
      <c r="B41" s="114" t="str">
        <f>VLOOKUP(A41,'Data pick slip'!B:F,5,FALSE)</f>
        <v>KHJ-MC500-00</v>
      </c>
      <c r="C41" s="169"/>
      <c r="D41" s="169"/>
      <c r="E41" s="281" t="s">
        <v>3967</v>
      </c>
      <c r="F41" s="170" t="s">
        <v>2753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2744</v>
      </c>
      <c r="B42" s="114" t="str">
        <f>VLOOKUP(A42,'Data pick slip'!B:F,5,FALSE)</f>
        <v>KHJ-MC100-00</v>
      </c>
      <c r="E42" s="281" t="s">
        <v>3977</v>
      </c>
      <c r="F42" s="170" t="s">
        <v>2753</v>
      </c>
      <c r="G42" s="171">
        <v>200</v>
      </c>
      <c r="I42" s="389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2755</v>
      </c>
      <c r="B43" s="114" t="str">
        <f>VLOOKUP(A43,'Data pick slip'!B:F,5,FALSE)</f>
        <v>KLJ-MC100-00</v>
      </c>
      <c r="E43" s="281" t="s">
        <v>3977</v>
      </c>
      <c r="F43" s="170" t="s">
        <v>2753</v>
      </c>
      <c r="G43" s="171">
        <v>200</v>
      </c>
      <c r="I43" s="389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2747</v>
      </c>
      <c r="B44" s="114" t="str">
        <f>VLOOKUP(A44,'Data pick slip'!B:F,5,FALSE)</f>
        <v>KHJ-MC200-00</v>
      </c>
      <c r="E44" s="281" t="s">
        <v>3977</v>
      </c>
      <c r="F44" s="170" t="s">
        <v>2753</v>
      </c>
      <c r="G44" s="171">
        <v>50</v>
      </c>
      <c r="I44" s="389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2754</v>
      </c>
      <c r="B45" s="114" t="str">
        <f>VLOOKUP(A45,'Data pick slip'!B:F,5,FALSE)</f>
        <v>KLJ-MCN00-20</v>
      </c>
      <c r="E45" s="281" t="s">
        <v>3978</v>
      </c>
      <c r="F45" s="170" t="s">
        <v>2753</v>
      </c>
      <c r="G45" s="171">
        <v>1</v>
      </c>
      <c r="I45" s="389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2744</v>
      </c>
      <c r="B46" s="114" t="str">
        <f>VLOOKUP(A46,'Data pick slip'!B:F,5,FALSE)</f>
        <v>KHJ-MC100-00</v>
      </c>
      <c r="E46" s="281" t="s">
        <v>3978</v>
      </c>
      <c r="F46" s="170" t="s">
        <v>2753</v>
      </c>
      <c r="G46" s="171">
        <v>370</v>
      </c>
      <c r="I46" s="389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2755</v>
      </c>
      <c r="B47" s="114" t="str">
        <f>VLOOKUP(A47,'Data pick slip'!B:F,5,FALSE)</f>
        <v>KLJ-MC100-00</v>
      </c>
      <c r="E47" s="281" t="s">
        <v>3978</v>
      </c>
      <c r="F47" s="170" t="s">
        <v>2753</v>
      </c>
      <c r="G47" s="171">
        <v>60</v>
      </c>
      <c r="I47" s="389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2747</v>
      </c>
      <c r="B48" s="114" t="str">
        <f>VLOOKUP(A48,'Data pick slip'!B:F,5,FALSE)</f>
        <v>KHJ-MC200-00</v>
      </c>
      <c r="E48" s="281" t="s">
        <v>3978</v>
      </c>
      <c r="F48" s="170" t="s">
        <v>2753</v>
      </c>
      <c r="G48" s="171">
        <v>119</v>
      </c>
      <c r="I48" s="389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2744</v>
      </c>
      <c r="B49" s="114" t="str">
        <f>VLOOKUP(A49,'Data pick slip'!B:F,5,FALSE)</f>
        <v>KHJ-MC100-00</v>
      </c>
      <c r="C49" s="169"/>
      <c r="D49" s="169" t="s">
        <v>4021</v>
      </c>
      <c r="E49" s="169" t="s">
        <v>4021</v>
      </c>
      <c r="F49" s="170" t="s">
        <v>2753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2747</v>
      </c>
      <c r="B50" s="114" t="str">
        <f>VLOOKUP(A50,'Data pick slip'!B:F,5,FALSE)</f>
        <v>KHJ-MC200-00</v>
      </c>
      <c r="C50" s="169"/>
      <c r="D50" s="169" t="s">
        <v>4021</v>
      </c>
      <c r="E50" s="169" t="s">
        <v>4021</v>
      </c>
      <c r="F50" s="170" t="s">
        <v>2753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2748</v>
      </c>
      <c r="B51" s="114" t="str">
        <f>VLOOKUP(A51,'Data pick slip'!B:F,5,FALSE)</f>
        <v>KHJ-MC400-00</v>
      </c>
      <c r="C51" s="169"/>
      <c r="D51" s="169" t="s">
        <v>4021</v>
      </c>
      <c r="E51" s="169" t="s">
        <v>4021</v>
      </c>
      <c r="F51" s="170" t="s">
        <v>2753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2750</v>
      </c>
      <c r="B52" s="114" t="str">
        <f>VLOOKUP(A52,'Data pick slip'!B:F,5,FALSE)</f>
        <v>KHJ-MC600-00</v>
      </c>
      <c r="C52" s="169"/>
      <c r="D52" s="169" t="s">
        <v>4021</v>
      </c>
      <c r="E52" s="169" t="s">
        <v>4021</v>
      </c>
      <c r="F52" s="170" t="s">
        <v>2753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2751</v>
      </c>
      <c r="B53" s="114" t="str">
        <f>VLOOKUP(A53,'Data pick slip'!B:F,5,FALSE)</f>
        <v>KHJ-MC700-00</v>
      </c>
      <c r="C53" s="169"/>
      <c r="D53" s="169" t="s">
        <v>4021</v>
      </c>
      <c r="E53" s="169" t="s">
        <v>4021</v>
      </c>
      <c r="F53" s="170" t="s">
        <v>2753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2756</v>
      </c>
      <c r="B54" s="114" t="str">
        <f>VLOOKUP(A54,'Data pick slip'!B:F,5,FALSE)</f>
        <v>KLJ-MC200-00</v>
      </c>
      <c r="C54" s="169"/>
      <c r="D54" s="169" t="s">
        <v>4021</v>
      </c>
      <c r="E54" s="169" t="s">
        <v>4021</v>
      </c>
      <c r="F54" s="170" t="s">
        <v>2753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2744</v>
      </c>
      <c r="B55" s="114" t="s">
        <v>2763</v>
      </c>
      <c r="C55" s="169"/>
      <c r="D55" s="169"/>
      <c r="E55" s="281" t="s">
        <v>4049</v>
      </c>
      <c r="F55" s="170" t="s">
        <v>2753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2747</v>
      </c>
      <c r="B56" s="114" t="s">
        <v>2764</v>
      </c>
      <c r="C56" s="169"/>
      <c r="D56" s="169"/>
      <c r="E56" s="281" t="s">
        <v>4049</v>
      </c>
      <c r="F56" s="170" t="s">
        <v>2753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2748</v>
      </c>
      <c r="B57" s="114" t="s">
        <v>2765</v>
      </c>
      <c r="C57" s="169"/>
      <c r="D57" s="169"/>
      <c r="E57" s="281" t="s">
        <v>4049</v>
      </c>
      <c r="F57" s="170" t="s">
        <v>2753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2749</v>
      </c>
      <c r="B58" s="114" t="s">
        <v>2769</v>
      </c>
      <c r="C58" s="169"/>
      <c r="D58" s="169"/>
      <c r="E58" s="281" t="s">
        <v>4049</v>
      </c>
      <c r="F58" s="170" t="s">
        <v>2753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2755</v>
      </c>
      <c r="B59" s="114" t="s">
        <v>2770</v>
      </c>
      <c r="C59" s="169"/>
      <c r="D59" s="169"/>
      <c r="E59" s="281" t="s">
        <v>4049</v>
      </c>
      <c r="F59" s="170" t="s">
        <v>2753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2754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1">
        <f>VLOOKUP(C60,Stock_list!D:L,9,FALSE)</f>
        <v>45205</v>
      </c>
      <c r="F60" s="170" t="s">
        <v>1381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2744</v>
      </c>
      <c r="B61" s="114" t="str">
        <f>VLOOKUP(A61,'Data pick slip'!B:F,5,FALSE)</f>
        <v>KHJ-MC100-00</v>
      </c>
      <c r="C61" s="169"/>
      <c r="D61" s="169"/>
      <c r="E61" s="281" t="s">
        <v>4081</v>
      </c>
      <c r="F61" s="170" t="s">
        <v>2753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2744</v>
      </c>
      <c r="B62" s="114" t="str">
        <f>VLOOKUP(A62,'Data pick slip'!B:F,5,FALSE)</f>
        <v>KHJ-MC100-00</v>
      </c>
      <c r="D62" s="395" t="s">
        <v>4100</v>
      </c>
      <c r="E62" s="392" t="s">
        <v>4086</v>
      </c>
      <c r="F62" s="393" t="s">
        <v>2753</v>
      </c>
      <c r="G62" s="394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2747</v>
      </c>
      <c r="B63" s="114" t="str">
        <f>VLOOKUP(A63,'Data pick slip'!B:F,5,FALSE)</f>
        <v>KHJ-MC200-00</v>
      </c>
      <c r="D63" s="395" t="s">
        <v>4100</v>
      </c>
      <c r="E63" s="392" t="s">
        <v>4086</v>
      </c>
      <c r="F63" s="393" t="s">
        <v>2753</v>
      </c>
      <c r="G63" s="394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2749</v>
      </c>
      <c r="B64" s="114" t="str">
        <f>VLOOKUP(A64,'Data pick slip'!B:F,5,FALSE)</f>
        <v>KHJ-MC500-00</v>
      </c>
      <c r="D64" s="395" t="s">
        <v>4100</v>
      </c>
      <c r="E64" s="392" t="s">
        <v>4086</v>
      </c>
      <c r="F64" s="393" t="s">
        <v>2753</v>
      </c>
      <c r="G64" s="394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2750</v>
      </c>
      <c r="B65" s="114" t="str">
        <f>VLOOKUP(A65,'Data pick slip'!B:F,5,FALSE)</f>
        <v>KHJ-MC600-00</v>
      </c>
      <c r="D65" s="395" t="s">
        <v>4100</v>
      </c>
      <c r="E65" s="392" t="s">
        <v>4086</v>
      </c>
      <c r="F65" s="393" t="s">
        <v>2753</v>
      </c>
      <c r="G65" s="394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2755</v>
      </c>
      <c r="B66" s="114" t="str">
        <f>VLOOKUP(A66,'Data pick slip'!B:F,5,FALSE)</f>
        <v>KLJ-MC100-00</v>
      </c>
      <c r="D66" s="395" t="s">
        <v>4100</v>
      </c>
      <c r="E66" s="392" t="s">
        <v>4086</v>
      </c>
      <c r="F66" s="393" t="s">
        <v>2753</v>
      </c>
      <c r="G66" s="394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2760</v>
      </c>
      <c r="B67" s="114" t="str">
        <f>VLOOKUP(A67,'Data pick slip'!B:F,5,FALSE)</f>
        <v>KLJ-MC700-00</v>
      </c>
      <c r="D67" s="395" t="s">
        <v>4100</v>
      </c>
      <c r="E67" s="392" t="s">
        <v>4086</v>
      </c>
      <c r="F67" s="393" t="s">
        <v>2753</v>
      </c>
      <c r="G67" s="394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2755</v>
      </c>
      <c r="B68" s="114" t="str">
        <f>VLOOKUP(A68,'Data pick slip'!B:F,5,FALSE)</f>
        <v>KLJ-MC100-00</v>
      </c>
      <c r="E68" s="404" t="s">
        <v>4145</v>
      </c>
      <c r="F68" s="170" t="s">
        <v>2753</v>
      </c>
      <c r="G68" s="171">
        <v>3</v>
      </c>
      <c r="I68" s="389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2744</v>
      </c>
      <c r="B69" s="114" t="str">
        <f>VLOOKUP(A69,'Data pick slip'!B:F,5,FALSE)</f>
        <v>KHJ-MC100-00</v>
      </c>
      <c r="E69" s="404" t="s">
        <v>4145</v>
      </c>
      <c r="F69" s="170" t="s">
        <v>2753</v>
      </c>
      <c r="G69" s="171">
        <v>6</v>
      </c>
      <c r="I69" s="389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2744</v>
      </c>
      <c r="B70" s="114" t="str">
        <f>VLOOKUP(A70,'Data pick slip'!B:F,5,FALSE)</f>
        <v>KHJ-MC100-00</v>
      </c>
      <c r="E70" s="404" t="s">
        <v>4183</v>
      </c>
      <c r="F70" s="170" t="s">
        <v>2753</v>
      </c>
      <c r="G70" s="171">
        <v>150</v>
      </c>
      <c r="I70" s="389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2747</v>
      </c>
      <c r="B71" s="114" t="str">
        <f>VLOOKUP(A71,'Data pick slip'!B:F,5,FALSE)</f>
        <v>KHJ-MC200-00</v>
      </c>
      <c r="E71" s="404" t="s">
        <v>4183</v>
      </c>
      <c r="F71" s="170" t="s">
        <v>2753</v>
      </c>
      <c r="G71" s="171">
        <v>54</v>
      </c>
      <c r="I71" s="389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2748</v>
      </c>
      <c r="B72" s="114" t="str">
        <f>VLOOKUP(A72,'Data pick slip'!B:F,5,FALSE)</f>
        <v>KHJ-MC400-00</v>
      </c>
      <c r="E72" s="404" t="s">
        <v>4183</v>
      </c>
      <c r="F72" s="170" t="s">
        <v>2753</v>
      </c>
      <c r="G72" s="171">
        <v>7</v>
      </c>
      <c r="I72" s="389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2749</v>
      </c>
      <c r="B73" s="114" t="str">
        <f>VLOOKUP(A73,'Data pick slip'!B:F,5,FALSE)</f>
        <v>KHJ-MC500-00</v>
      </c>
      <c r="E73" s="404" t="s">
        <v>4183</v>
      </c>
      <c r="F73" s="170" t="s">
        <v>2753</v>
      </c>
      <c r="G73" s="171">
        <v>2</v>
      </c>
      <c r="I73" s="389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2760</v>
      </c>
      <c r="B74" s="114" t="str">
        <f>VLOOKUP(A74,'Data pick slip'!B:F,5,FALSE)</f>
        <v>KLJ-MC700-00</v>
      </c>
      <c r="E74" s="404" t="s">
        <v>4235</v>
      </c>
      <c r="F74" s="157" t="s">
        <v>2753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2755</v>
      </c>
      <c r="B75" s="114" t="str">
        <f>VLOOKUP(A75,'Data pick slip'!B:F,5,FALSE)</f>
        <v>KLJ-MC100-00</v>
      </c>
      <c r="D75" s="389" t="s">
        <v>3970</v>
      </c>
      <c r="E75" s="139" t="s">
        <v>4235</v>
      </c>
      <c r="F75" s="157" t="s">
        <v>2753</v>
      </c>
      <c r="G75" s="321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2757</v>
      </c>
      <c r="B76" s="114" t="str">
        <f>VLOOKUP(A76,'Data pick slip'!B:F,5,FALSE)</f>
        <v>KLJ-MC400-00</v>
      </c>
      <c r="D76" s="389" t="s">
        <v>3970</v>
      </c>
      <c r="E76" s="139" t="s">
        <v>4235</v>
      </c>
      <c r="F76" s="157" t="s">
        <v>2753</v>
      </c>
      <c r="G76" s="321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2756</v>
      </c>
      <c r="B77" s="114" t="str">
        <f>VLOOKUP(A77,'Data pick slip'!B:F,5,FALSE)</f>
        <v>KLJ-MC200-00</v>
      </c>
      <c r="D77" s="389" t="s">
        <v>3970</v>
      </c>
      <c r="E77" s="139" t="s">
        <v>4235</v>
      </c>
      <c r="F77" s="157" t="s">
        <v>2753</v>
      </c>
      <c r="G77" s="321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2757</v>
      </c>
      <c r="B78" s="114" t="str">
        <f>VLOOKUP(A78,'Data pick slip'!B:F,5,FALSE)</f>
        <v>KLJ-MC400-00</v>
      </c>
      <c r="D78" s="389" t="s">
        <v>3970</v>
      </c>
      <c r="E78" s="269" t="s">
        <v>4406</v>
      </c>
      <c r="F78" s="157" t="s">
        <v>2753</v>
      </c>
      <c r="G78" s="158">
        <v>6</v>
      </c>
      <c r="I78" s="389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2759</v>
      </c>
      <c r="B79" s="114" t="str">
        <f>VLOOKUP(A79,'Data pick slip'!B:F,5,FALSE)</f>
        <v>KLJ-MC600-00</v>
      </c>
      <c r="D79" s="389" t="s">
        <v>3970</v>
      </c>
      <c r="E79" s="269" t="s">
        <v>4406</v>
      </c>
      <c r="F79" s="157" t="s">
        <v>2753</v>
      </c>
      <c r="G79" s="158">
        <v>1</v>
      </c>
      <c r="I79" s="389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2755</v>
      </c>
      <c r="B80" s="114" t="str">
        <f>VLOOKUP(A80,'Data pick slip'!B:F,5,FALSE)</f>
        <v>KLJ-MC100-00</v>
      </c>
      <c r="C80" s="169"/>
      <c r="D80" s="389" t="s">
        <v>3970</v>
      </c>
      <c r="E80" s="269" t="s">
        <v>4461</v>
      </c>
      <c r="F80" s="170" t="s">
        <v>2753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 t="s">
        <v>2744</v>
      </c>
      <c r="B81" s="114" t="str">
        <f>VLOOKUP(A81,'Data pick slip'!B:F,5,FALSE)</f>
        <v>KHJ-MC100-00</v>
      </c>
      <c r="C81" s="169">
        <v>111556</v>
      </c>
      <c r="D81" s="169" t="s">
        <v>4583</v>
      </c>
      <c r="E81" s="281" t="e">
        <f>VLOOKUP(C81,Stock_list!D:L,9,FALSE)</f>
        <v>#N/A</v>
      </c>
      <c r="F81" s="170" t="s">
        <v>2762</v>
      </c>
      <c r="G81" s="171">
        <v>165</v>
      </c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/>
      <c r="B82" s="114" t="e">
        <f>VLOOKUP(A82,'Data pick slip'!B:F,5,FALSE)</f>
        <v>#N/A</v>
      </c>
      <c r="C82" s="169"/>
      <c r="D82" s="169" t="e">
        <f>VLOOKUP(C82,Stock_list!D:L,2,FALSE)</f>
        <v>#N/A</v>
      </c>
      <c r="E82" s="281" t="e">
        <f>VLOOKUP(C82,Stock_list!D:L,9,FALSE)</f>
        <v>#N/A</v>
      </c>
      <c r="F82" s="170"/>
      <c r="G82" s="171"/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1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1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1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1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1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1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1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1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4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2744</v>
      </c>
      <c r="B92" s="114" t="str">
        <f>VLOOKUP(A92,'Data pick slip'!B:F,5,FALSE)</f>
        <v>KHJ-MC100-00</v>
      </c>
      <c r="F92" s="157" t="s">
        <v>2753</v>
      </c>
      <c r="H92" s="138">
        <v>1427</v>
      </c>
      <c r="I92" s="140" t="s">
        <v>124</v>
      </c>
      <c r="J92" s="139" t="s">
        <v>213</v>
      </c>
      <c r="K92" s="51" t="s">
        <v>21</v>
      </c>
      <c r="L92" s="4">
        <v>44454</v>
      </c>
      <c r="O92" s="132">
        <v>40</v>
      </c>
      <c r="P92" s="4" t="s">
        <v>25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2744</v>
      </c>
      <c r="B93" s="114" t="str">
        <f>VLOOKUP(A93,'Data pick slip'!B:F,5,FALSE)</f>
        <v>KHJ-MC100-00</v>
      </c>
      <c r="F93" s="157" t="s">
        <v>2753</v>
      </c>
      <c r="H93" s="138">
        <v>1764</v>
      </c>
      <c r="I93" s="140" t="str">
        <f>VLOOKUP(H93,Stock_list!A:R,18,FALSE)</f>
        <v>乐迪泰</v>
      </c>
      <c r="J93" s="139" t="str">
        <f>VLOOKUP(H93,Stock_list!A:S,17,FALSE)</f>
        <v>C49SZX20220125RZ</v>
      </c>
      <c r="K93" s="51" t="str">
        <f>VLOOKUP(H93,Stock_list!A:T,16,FALSE)</f>
        <v>RMB</v>
      </c>
      <c r="L93" s="4">
        <v>44904</v>
      </c>
      <c r="M93" s="140">
        <v>10</v>
      </c>
      <c r="P93" s="4" t="str">
        <f>VLOOKUP(H93,Stock_list!A:Y,25,FALSE)</f>
        <v>Yes</v>
      </c>
      <c r="Q93" s="143"/>
      <c r="T93" s="144"/>
      <c r="U93" s="145" t="str">
        <f>VLOOKUP(H93,Stock_list!A:N,14,FALSE)</f>
        <v>DEC 22</v>
      </c>
    </row>
    <row r="94" spans="1:21" ht="16.5" customHeight="1">
      <c r="A94" s="159" t="s">
        <v>2747</v>
      </c>
      <c r="B94" s="114" t="str">
        <f>VLOOKUP(A94,'Data pick slip'!B:F,5,FALSE)</f>
        <v>KHJ-MC200-00</v>
      </c>
      <c r="F94" s="157" t="s">
        <v>2753</v>
      </c>
      <c r="H94" s="138">
        <v>1764</v>
      </c>
      <c r="I94" s="140" t="str">
        <f>VLOOKUP(H94,Stock_list!A:R,18,FALSE)</f>
        <v>乐迪泰</v>
      </c>
      <c r="J94" s="139" t="str">
        <f>VLOOKUP(H94,Stock_list!A:S,17,FALSE)</f>
        <v>C49SZX20220125RZ</v>
      </c>
      <c r="K94" s="51" t="str">
        <f>VLOOKUP(H94,Stock_list!A:T,16,FALSE)</f>
        <v>RMB</v>
      </c>
      <c r="L94" s="4">
        <v>44904</v>
      </c>
      <c r="M94" s="140">
        <v>10</v>
      </c>
      <c r="P94" s="4" t="str">
        <f>VLOOKUP(H94,Stock_list!A:Y,25,FALSE)</f>
        <v>Yes</v>
      </c>
      <c r="Q94" s="143"/>
      <c r="T94" s="144"/>
      <c r="U94" s="145" t="str">
        <f>VLOOKUP(H94,Stock_list!A:N,14,FALSE)</f>
        <v>DEC 22</v>
      </c>
    </row>
    <row r="95" spans="1:21" ht="16.5" customHeight="1">
      <c r="A95" s="159" t="s">
        <v>2744</v>
      </c>
      <c r="B95" s="114" t="str">
        <f>VLOOKUP(A95,'Data pick slip'!B:F,5,FALSE)</f>
        <v>KHJ-MC100-00</v>
      </c>
      <c r="F95" s="157" t="s">
        <v>2753</v>
      </c>
      <c r="H95" s="138">
        <v>1763</v>
      </c>
      <c r="I95" s="140" t="str">
        <f>VLOOKUP(H95,Stock_list!A:R,18,FALSE)</f>
        <v>莫思特</v>
      </c>
      <c r="J95" s="139" t="str">
        <f>VLOOKUP(H95,Stock_list!A:S,17,FALSE)</f>
        <v>C49SZX20220122SX</v>
      </c>
      <c r="K95" s="51" t="str">
        <f>VLOOKUP(H95,Stock_list!A:T,16,FALSE)</f>
        <v>RMB</v>
      </c>
      <c r="L95" s="4">
        <v>44900</v>
      </c>
      <c r="M95" s="140">
        <v>30</v>
      </c>
      <c r="P95" s="4" t="str">
        <f>VLOOKUP(H95,Stock_list!A:Y,25,FALSE)</f>
        <v>Yes</v>
      </c>
      <c r="Q95" s="143"/>
      <c r="T95" s="144"/>
      <c r="U95" s="145" t="str">
        <f>VLOOKUP(H95,Stock_list!A:N,14,FALSE)</f>
        <v>DEC 22</v>
      </c>
    </row>
    <row r="96" spans="1:21" ht="16.5" customHeight="1">
      <c r="A96" s="159" t="s">
        <v>2747</v>
      </c>
      <c r="B96" s="114" t="str">
        <f>VLOOKUP(A96,'Data pick slip'!B:F,5,FALSE)</f>
        <v>KHJ-MC200-00</v>
      </c>
      <c r="F96" s="157" t="s">
        <v>2753</v>
      </c>
      <c r="H96" s="138">
        <v>1763</v>
      </c>
      <c r="I96" s="140" t="str">
        <f>VLOOKUP(H96,Stock_list!A:R,18,FALSE)</f>
        <v>莫思特</v>
      </c>
      <c r="J96" s="139" t="str">
        <f>VLOOKUP(H96,Stock_list!A:S,17,FALSE)</f>
        <v>C49SZX20220122SX</v>
      </c>
      <c r="K96" s="51" t="str">
        <f>VLOOKUP(H96,Stock_list!A:T,16,FALSE)</f>
        <v>RMB</v>
      </c>
      <c r="L96" s="4">
        <v>44900</v>
      </c>
      <c r="M96" s="140">
        <v>10</v>
      </c>
      <c r="P96" s="4" t="str">
        <f>VLOOKUP(H96,Stock_list!A:Y,25,FALSE)</f>
        <v>Yes</v>
      </c>
      <c r="Q96" s="143"/>
      <c r="T96" s="144"/>
      <c r="U96" s="145" t="str">
        <f>VLOOKUP(H96,Stock_list!A:N,14,FALSE)</f>
        <v>DEC 22</v>
      </c>
    </row>
    <row r="97" spans="1:21" ht="16.5" customHeight="1">
      <c r="A97" s="159" t="s">
        <v>2748</v>
      </c>
      <c r="B97" s="114" t="str">
        <f>VLOOKUP(A97,'Data pick slip'!B:F,5,FALSE)</f>
        <v>KHJ-MC400-00</v>
      </c>
      <c r="F97" s="157" t="s">
        <v>2753</v>
      </c>
      <c r="H97" s="138">
        <v>1763</v>
      </c>
      <c r="I97" s="140" t="str">
        <f>VLOOKUP(H97,Stock_list!A:R,18,FALSE)</f>
        <v>莫思特</v>
      </c>
      <c r="J97" s="139" t="str">
        <f>VLOOKUP(H97,Stock_list!A:S,17,FALSE)</f>
        <v>C49SZX20220122SX</v>
      </c>
      <c r="K97" s="51" t="str">
        <f>VLOOKUP(H97,Stock_list!A:T,16,FALSE)</f>
        <v>RMB</v>
      </c>
      <c r="L97" s="4">
        <v>44900</v>
      </c>
      <c r="M97" s="140">
        <v>5</v>
      </c>
      <c r="P97" s="4" t="str">
        <f>VLOOKUP(H97,Stock_list!A:Y,25,FALSE)</f>
        <v>Yes</v>
      </c>
      <c r="Q97" s="143"/>
      <c r="T97" s="144"/>
      <c r="U97" s="145" t="str">
        <f>VLOOKUP(H97,Stock_list!A:N,14,FALSE)</f>
        <v>DEC 22</v>
      </c>
    </row>
    <row r="98" spans="1:21" ht="16.5" customHeight="1">
      <c r="A98" s="159" t="s">
        <v>2744</v>
      </c>
      <c r="B98" s="114" t="s">
        <v>2763</v>
      </c>
      <c r="F98" s="157" t="s">
        <v>1381</v>
      </c>
      <c r="H98" s="138">
        <v>1130</v>
      </c>
      <c r="I98" s="140" t="s">
        <v>119</v>
      </c>
      <c r="J98" s="139" t="s">
        <v>118</v>
      </c>
      <c r="K98" s="51" t="s">
        <v>21</v>
      </c>
      <c r="L98" s="4"/>
      <c r="N98" s="132">
        <v>20</v>
      </c>
      <c r="P98" s="4" t="s">
        <v>25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2747</v>
      </c>
      <c r="B99" s="114" t="s">
        <v>2764</v>
      </c>
      <c r="F99" s="157" t="s">
        <v>1381</v>
      </c>
      <c r="H99" s="138">
        <v>1130</v>
      </c>
      <c r="I99" s="140" t="s">
        <v>119</v>
      </c>
      <c r="J99" s="139" t="s">
        <v>118</v>
      </c>
      <c r="K99" s="51" t="s">
        <v>21</v>
      </c>
      <c r="L99" s="4"/>
      <c r="N99" s="132">
        <v>10</v>
      </c>
      <c r="P99" s="4" t="s">
        <v>25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2748</v>
      </c>
      <c r="B100" s="114" t="s">
        <v>2765</v>
      </c>
      <c r="F100" s="157" t="s">
        <v>1381</v>
      </c>
      <c r="H100" s="138">
        <v>1130</v>
      </c>
      <c r="I100" s="140" t="s">
        <v>119</v>
      </c>
      <c r="J100" s="139" t="s">
        <v>118</v>
      </c>
      <c r="K100" s="51" t="s">
        <v>21</v>
      </c>
      <c r="L100" s="4"/>
      <c r="N100" s="132">
        <v>1</v>
      </c>
      <c r="P100" s="4" t="s">
        <v>25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2744</v>
      </c>
      <c r="B101" s="114" t="s">
        <v>2763</v>
      </c>
      <c r="F101" s="157" t="s">
        <v>1381</v>
      </c>
      <c r="H101" s="138">
        <v>1294</v>
      </c>
      <c r="I101" s="140" t="s">
        <v>2766</v>
      </c>
      <c r="J101" s="139" t="s">
        <v>2767</v>
      </c>
      <c r="K101" s="51" t="s">
        <v>21</v>
      </c>
      <c r="L101" s="4"/>
      <c r="N101" s="132">
        <v>45</v>
      </c>
      <c r="P101" s="4" t="s">
        <v>25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2747</v>
      </c>
      <c r="B102" s="114" t="s">
        <v>2764</v>
      </c>
      <c r="F102" s="157" t="s">
        <v>1381</v>
      </c>
      <c r="H102" s="138">
        <v>1294</v>
      </c>
      <c r="I102" s="140" t="s">
        <v>2766</v>
      </c>
      <c r="J102" s="139" t="s">
        <v>2767</v>
      </c>
      <c r="K102" s="51" t="s">
        <v>21</v>
      </c>
      <c r="L102" s="4"/>
      <c r="N102" s="132">
        <v>5</v>
      </c>
      <c r="P102" s="4" t="s">
        <v>25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2768</v>
      </c>
      <c r="B103" s="114" t="s">
        <v>2763</v>
      </c>
      <c r="F103" s="157" t="s">
        <v>1381</v>
      </c>
      <c r="H103" s="138">
        <v>1427</v>
      </c>
      <c r="I103" s="140" t="s">
        <v>124</v>
      </c>
      <c r="J103" s="139" t="s">
        <v>213</v>
      </c>
      <c r="K103" s="51" t="s">
        <v>21</v>
      </c>
      <c r="L103" s="4"/>
      <c r="N103" s="132">
        <v>70</v>
      </c>
      <c r="P103" s="4" t="s">
        <v>25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2747</v>
      </c>
      <c r="B104" s="114" t="s">
        <v>2764</v>
      </c>
      <c r="F104" s="157" t="s">
        <v>1381</v>
      </c>
      <c r="H104" s="138">
        <v>1427</v>
      </c>
      <c r="I104" s="140" t="s">
        <v>124</v>
      </c>
      <c r="J104" s="139" t="s">
        <v>213</v>
      </c>
      <c r="K104" s="51" t="s">
        <v>21</v>
      </c>
      <c r="L104" s="4"/>
      <c r="N104" s="132">
        <v>20</v>
      </c>
      <c r="P104" s="4" t="s">
        <v>25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2748</v>
      </c>
      <c r="B105" s="114" t="s">
        <v>2765</v>
      </c>
      <c r="F105" s="157" t="s">
        <v>1381</v>
      </c>
      <c r="H105" s="138">
        <v>1427</v>
      </c>
      <c r="I105" s="140" t="s">
        <v>124</v>
      </c>
      <c r="J105" s="139" t="s">
        <v>213</v>
      </c>
      <c r="K105" s="51" t="s">
        <v>21</v>
      </c>
      <c r="L105" s="4"/>
      <c r="N105" s="132">
        <v>4</v>
      </c>
      <c r="P105" s="4" t="s">
        <v>25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2768</v>
      </c>
      <c r="B106" s="114" t="s">
        <v>2763</v>
      </c>
      <c r="F106" s="157" t="s">
        <v>1381</v>
      </c>
      <c r="H106" s="138">
        <v>1480</v>
      </c>
      <c r="I106" s="140" t="s">
        <v>225</v>
      </c>
      <c r="J106" s="139" t="s">
        <v>224</v>
      </c>
      <c r="K106" s="51" t="s">
        <v>21</v>
      </c>
      <c r="L106" s="4">
        <v>45068</v>
      </c>
      <c r="M106" s="143">
        <v>70</v>
      </c>
      <c r="P106" s="4" t="s">
        <v>25</v>
      </c>
      <c r="Q106" s="143"/>
      <c r="T106" s="144"/>
      <c r="U106" s="145" t="str">
        <f>VLOOKUP(H106,Stock_list!A:N,14,FALSE)</f>
        <v>MAY 23</v>
      </c>
    </row>
    <row r="107" spans="1:21" ht="16.5" customHeight="1">
      <c r="A107" s="159" t="s">
        <v>2747</v>
      </c>
      <c r="B107" s="114" t="s">
        <v>2764</v>
      </c>
      <c r="F107" s="157" t="s">
        <v>1381</v>
      </c>
      <c r="H107" s="138">
        <v>1480</v>
      </c>
      <c r="I107" s="140" t="s">
        <v>225</v>
      </c>
      <c r="J107" s="139" t="s">
        <v>224</v>
      </c>
      <c r="K107" s="51" t="s">
        <v>21</v>
      </c>
      <c r="L107" s="4">
        <v>45068</v>
      </c>
      <c r="M107" s="143">
        <v>11</v>
      </c>
      <c r="P107" s="4" t="s">
        <v>25</v>
      </c>
      <c r="Q107" s="143"/>
      <c r="T107" s="144"/>
      <c r="U107" s="145" t="str">
        <f>VLOOKUP(H107,Stock_list!A:N,14,FALSE)</f>
        <v>MAY 23</v>
      </c>
    </row>
    <row r="108" spans="1:21" ht="16.5" customHeight="1">
      <c r="A108" s="159" t="s">
        <v>2748</v>
      </c>
      <c r="B108" s="114" t="s">
        <v>2765</v>
      </c>
      <c r="F108" s="157" t="s">
        <v>1381</v>
      </c>
      <c r="H108" s="138">
        <v>1480</v>
      </c>
      <c r="I108" s="140" t="s">
        <v>225</v>
      </c>
      <c r="J108" s="139" t="s">
        <v>224</v>
      </c>
      <c r="K108" s="51" t="s">
        <v>21</v>
      </c>
      <c r="L108" s="4">
        <v>45068</v>
      </c>
      <c r="M108" s="143">
        <v>4</v>
      </c>
      <c r="P108" s="4" t="s">
        <v>25</v>
      </c>
      <c r="Q108" s="143"/>
      <c r="T108" s="144"/>
      <c r="U108" s="145" t="str">
        <f>VLOOKUP(H108,Stock_list!A:N,14,FALSE)</f>
        <v>MAY 23</v>
      </c>
    </row>
    <row r="109" spans="1:21" ht="16.5" customHeight="1">
      <c r="A109" s="159" t="s">
        <v>2749</v>
      </c>
      <c r="B109" s="114" t="s">
        <v>2769</v>
      </c>
      <c r="F109" s="157" t="s">
        <v>1381</v>
      </c>
      <c r="H109" s="138">
        <v>1480</v>
      </c>
      <c r="I109" s="140" t="s">
        <v>225</v>
      </c>
      <c r="J109" s="139" t="s">
        <v>224</v>
      </c>
      <c r="K109" s="51" t="s">
        <v>21</v>
      </c>
      <c r="L109" s="4">
        <v>45068</v>
      </c>
      <c r="M109" s="143">
        <v>1</v>
      </c>
      <c r="P109" s="4" t="s">
        <v>25</v>
      </c>
      <c r="Q109" s="143"/>
      <c r="T109" s="144"/>
      <c r="U109" s="145" t="str">
        <f>VLOOKUP(H109,Stock_list!A:N,14,FALSE)</f>
        <v>MAY 23</v>
      </c>
    </row>
    <row r="110" spans="1:21" ht="16.5" customHeight="1">
      <c r="A110" s="159" t="s">
        <v>2755</v>
      </c>
      <c r="B110" s="114" t="s">
        <v>2770</v>
      </c>
      <c r="F110" s="157" t="s">
        <v>1381</v>
      </c>
      <c r="H110" s="138">
        <v>1532</v>
      </c>
      <c r="I110" s="140" t="s">
        <v>209</v>
      </c>
      <c r="J110" s="139" t="s">
        <v>210</v>
      </c>
      <c r="K110" s="51" t="s">
        <v>21</v>
      </c>
      <c r="L110" s="290">
        <v>45138</v>
      </c>
      <c r="M110" s="132">
        <v>50</v>
      </c>
      <c r="P110" s="4" t="s">
        <v>25</v>
      </c>
      <c r="Q110" s="143"/>
      <c r="T110" s="144"/>
      <c r="U110" s="145" t="str">
        <f>VLOOKUP(H110,Stock_list!A:N,14,FALSE)</f>
        <v>JUL 23</v>
      </c>
    </row>
    <row r="111" spans="1:21" ht="16.5" customHeight="1">
      <c r="A111" s="159" t="s">
        <v>2744</v>
      </c>
      <c r="B111" s="114" t="s">
        <v>2763</v>
      </c>
      <c r="F111" s="157" t="s">
        <v>1381</v>
      </c>
      <c r="H111" s="138">
        <v>1652</v>
      </c>
      <c r="I111" s="140" t="s">
        <v>211</v>
      </c>
      <c r="J111" s="139" t="s">
        <v>212</v>
      </c>
      <c r="K111" s="51" t="s">
        <v>21</v>
      </c>
      <c r="L111" s="4">
        <v>44789</v>
      </c>
      <c r="M111" s="331">
        <v>30</v>
      </c>
      <c r="N111" s="132">
        <v>50</v>
      </c>
      <c r="P111" s="4" t="s">
        <v>25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2754</v>
      </c>
      <c r="B112" s="114" t="s">
        <v>2772</v>
      </c>
      <c r="F112" s="157" t="s">
        <v>2773</v>
      </c>
      <c r="H112" s="138">
        <v>1656</v>
      </c>
      <c r="I112" s="140" t="s">
        <v>230</v>
      </c>
      <c r="J112" s="139" t="s">
        <v>229</v>
      </c>
      <c r="K112" s="51" t="s">
        <v>36</v>
      </c>
      <c r="L112" s="4">
        <v>45156</v>
      </c>
      <c r="M112" s="132">
        <v>2</v>
      </c>
      <c r="P112" s="4" t="s">
        <v>25</v>
      </c>
      <c r="Q112" s="143"/>
      <c r="T112" s="144"/>
      <c r="U112" s="145" t="str">
        <f>VLOOKUP(H112,Stock_list!A:N,14,FALSE)</f>
        <v>AUG 23</v>
      </c>
    </row>
    <row r="113" spans="1:21" ht="16.5" customHeight="1">
      <c r="A113" s="159" t="s">
        <v>2744</v>
      </c>
      <c r="B113" s="114" t="s">
        <v>2763</v>
      </c>
      <c r="F113" s="157" t="s">
        <v>2773</v>
      </c>
      <c r="H113" s="138">
        <v>1656</v>
      </c>
      <c r="I113" s="140" t="s">
        <v>230</v>
      </c>
      <c r="J113" s="139" t="s">
        <v>229</v>
      </c>
      <c r="K113" s="51" t="s">
        <v>36</v>
      </c>
      <c r="L113" s="4">
        <v>45156</v>
      </c>
      <c r="M113" s="132">
        <v>80</v>
      </c>
      <c r="P113" s="4" t="s">
        <v>25</v>
      </c>
      <c r="Q113" s="143"/>
      <c r="T113" s="144"/>
      <c r="U113" s="145" t="str">
        <f>VLOOKUP(H113,Stock_list!A:N,14,FALSE)</f>
        <v>AUG 23</v>
      </c>
    </row>
    <row r="114" spans="1:21" ht="16.5" customHeight="1">
      <c r="A114" s="159" t="s">
        <v>2747</v>
      </c>
      <c r="B114" s="114" t="s">
        <v>2764</v>
      </c>
      <c r="F114" s="157" t="s">
        <v>2773</v>
      </c>
      <c r="H114" s="138">
        <v>1656</v>
      </c>
      <c r="I114" s="140" t="s">
        <v>230</v>
      </c>
      <c r="J114" s="139" t="s">
        <v>229</v>
      </c>
      <c r="K114" s="51" t="s">
        <v>36</v>
      </c>
      <c r="L114" s="4">
        <v>45156</v>
      </c>
      <c r="M114" s="132">
        <v>20</v>
      </c>
      <c r="P114" s="4" t="s">
        <v>25</v>
      </c>
      <c r="Q114" s="143"/>
      <c r="T114" s="144"/>
      <c r="U114" s="145" t="str">
        <f>VLOOKUP(H114,Stock_list!A:N,14,FALSE)</f>
        <v>AUG 23</v>
      </c>
    </row>
    <row r="115" spans="1:21" ht="16.5" customHeight="1">
      <c r="A115" s="159" t="s">
        <v>2748</v>
      </c>
      <c r="B115" s="114" t="s">
        <v>2765</v>
      </c>
      <c r="F115" s="157" t="s">
        <v>2773</v>
      </c>
      <c r="H115" s="138">
        <v>1656</v>
      </c>
      <c r="I115" s="140" t="s">
        <v>230</v>
      </c>
      <c r="J115" s="139" t="s">
        <v>229</v>
      </c>
      <c r="K115" s="51" t="s">
        <v>36</v>
      </c>
      <c r="L115" s="4">
        <v>45156</v>
      </c>
      <c r="M115" s="132">
        <v>10</v>
      </c>
      <c r="P115" s="4" t="s">
        <v>25</v>
      </c>
      <c r="Q115" s="143"/>
      <c r="T115" s="144"/>
      <c r="U115" s="145" t="str">
        <f>VLOOKUP(H115,Stock_list!A:N,14,FALSE)</f>
        <v>AUG 23</v>
      </c>
    </row>
    <row r="116" spans="1:21" ht="16.5" customHeight="1">
      <c r="A116" s="159" t="s">
        <v>2749</v>
      </c>
      <c r="B116" s="114" t="s">
        <v>2769</v>
      </c>
      <c r="F116" s="157" t="s">
        <v>2773</v>
      </c>
      <c r="H116" s="138">
        <v>1656</v>
      </c>
      <c r="I116" s="140" t="s">
        <v>230</v>
      </c>
      <c r="J116" s="139" t="s">
        <v>229</v>
      </c>
      <c r="K116" s="51" t="s">
        <v>36</v>
      </c>
      <c r="L116" s="4">
        <v>45156</v>
      </c>
      <c r="M116" s="132">
        <v>2</v>
      </c>
      <c r="P116" s="4" t="s">
        <v>25</v>
      </c>
      <c r="Q116" s="143"/>
      <c r="T116" s="144"/>
      <c r="U116" s="145" t="str">
        <f>VLOOKUP(H116,Stock_list!A:N,14,FALSE)</f>
        <v>AUG 23</v>
      </c>
    </row>
    <row r="117" spans="1:21" ht="16.5" customHeight="1">
      <c r="A117" s="159" t="s">
        <v>2750</v>
      </c>
      <c r="B117" s="114" t="s">
        <v>2774</v>
      </c>
      <c r="F117" s="157" t="s">
        <v>2773</v>
      </c>
      <c r="H117" s="138">
        <v>1656</v>
      </c>
      <c r="I117" s="140" t="s">
        <v>230</v>
      </c>
      <c r="J117" s="139" t="s">
        <v>229</v>
      </c>
      <c r="K117" s="51" t="s">
        <v>36</v>
      </c>
      <c r="L117" s="4">
        <v>45156</v>
      </c>
      <c r="M117" s="132">
        <v>1</v>
      </c>
      <c r="P117" s="4" t="s">
        <v>25</v>
      </c>
      <c r="Q117" s="143"/>
      <c r="T117" s="144"/>
      <c r="U117" s="145" t="str">
        <f>VLOOKUP(H117,Stock_list!A:N,14,FALSE)</f>
        <v>AUG 23</v>
      </c>
    </row>
    <row r="118" spans="1:21" ht="16.5" customHeight="1">
      <c r="A118" s="159" t="s">
        <v>2751</v>
      </c>
      <c r="B118" s="114" t="s">
        <v>2775</v>
      </c>
      <c r="F118" s="157" t="s">
        <v>2773</v>
      </c>
      <c r="H118" s="138">
        <v>1656</v>
      </c>
      <c r="I118" s="140" t="s">
        <v>230</v>
      </c>
      <c r="J118" s="139" t="s">
        <v>229</v>
      </c>
      <c r="K118" s="51" t="s">
        <v>36</v>
      </c>
      <c r="L118" s="4">
        <v>45156</v>
      </c>
      <c r="M118" s="132">
        <v>1</v>
      </c>
      <c r="P118" s="4" t="s">
        <v>25</v>
      </c>
      <c r="Q118" s="143"/>
      <c r="T118" s="144"/>
      <c r="U118" s="145" t="str">
        <f>VLOOKUP(H118,Stock_list!A:N,14,FALSE)</f>
        <v>AUG 23</v>
      </c>
    </row>
    <row r="119" spans="1:21" ht="16.5" customHeight="1">
      <c r="A119" s="159" t="s">
        <v>2744</v>
      </c>
      <c r="B119" s="114" t="s">
        <v>2763</v>
      </c>
      <c r="F119" s="157" t="s">
        <v>2753</v>
      </c>
      <c r="H119" s="138">
        <v>1719</v>
      </c>
      <c r="I119" s="140" t="s">
        <v>228</v>
      </c>
      <c r="J119" s="139" t="s">
        <v>227</v>
      </c>
      <c r="K119" s="51" t="s">
        <v>36</v>
      </c>
      <c r="L119" s="4">
        <v>45121</v>
      </c>
      <c r="M119" s="132">
        <v>32</v>
      </c>
      <c r="P119" s="4" t="s">
        <v>25</v>
      </c>
      <c r="Q119" s="143"/>
      <c r="T119" s="144"/>
      <c r="U119" s="145" t="str">
        <f>VLOOKUP(H119,Stock_list!A:N,14,FALSE)</f>
        <v>JUL 23</v>
      </c>
    </row>
    <row r="120" spans="1:21" ht="16.5" customHeight="1">
      <c r="A120" s="159" t="s">
        <v>2747</v>
      </c>
      <c r="B120" s="114" t="s">
        <v>2764</v>
      </c>
      <c r="F120" s="157" t="s">
        <v>2753</v>
      </c>
      <c r="H120" s="138">
        <v>1719</v>
      </c>
      <c r="I120" s="140" t="s">
        <v>228</v>
      </c>
      <c r="J120" s="139" t="s">
        <v>227</v>
      </c>
      <c r="K120" s="51" t="s">
        <v>36</v>
      </c>
      <c r="L120" s="4">
        <v>45121</v>
      </c>
      <c r="M120" s="132">
        <v>7</v>
      </c>
      <c r="P120" s="4" t="s">
        <v>25</v>
      </c>
      <c r="Q120" s="143"/>
      <c r="T120" s="144"/>
      <c r="U120" s="145" t="str">
        <f>VLOOKUP(H120,Stock_list!A:N,14,FALSE)</f>
        <v>JUL 23</v>
      </c>
    </row>
    <row r="121" spans="1:21" ht="16.5" customHeight="1">
      <c r="A121" s="159" t="s">
        <v>2748</v>
      </c>
      <c r="B121" s="114" t="s">
        <v>2765</v>
      </c>
      <c r="F121" s="157" t="s">
        <v>2753</v>
      </c>
      <c r="H121" s="138">
        <v>1719</v>
      </c>
      <c r="I121" s="140" t="s">
        <v>228</v>
      </c>
      <c r="J121" s="139" t="s">
        <v>227</v>
      </c>
      <c r="K121" s="51" t="s">
        <v>36</v>
      </c>
      <c r="L121" s="4">
        <v>45121</v>
      </c>
      <c r="M121" s="132">
        <v>2</v>
      </c>
      <c r="P121" s="4" t="s">
        <v>25</v>
      </c>
      <c r="Q121" s="143"/>
      <c r="T121" s="144"/>
      <c r="U121" s="145" t="str">
        <f>VLOOKUP(H121,Stock_list!A:N,14,FALSE)</f>
        <v>JUL 23</v>
      </c>
    </row>
    <row r="122" spans="1:21" ht="16.5" customHeight="1">
      <c r="A122" s="159" t="s">
        <v>2755</v>
      </c>
      <c r="B122" s="114" t="s">
        <v>2770</v>
      </c>
      <c r="F122" s="157" t="s">
        <v>2753</v>
      </c>
      <c r="H122" s="138">
        <v>1767</v>
      </c>
      <c r="I122" s="140" t="s">
        <v>150</v>
      </c>
      <c r="J122" s="139" t="s">
        <v>2776</v>
      </c>
      <c r="K122" s="51" t="s">
        <v>36</v>
      </c>
      <c r="L122" s="4">
        <v>44910</v>
      </c>
      <c r="M122" s="140">
        <v>6</v>
      </c>
      <c r="P122" s="4" t="s">
        <v>25</v>
      </c>
      <c r="Q122" s="143"/>
      <c r="T122" s="144"/>
      <c r="U122" s="145" t="str">
        <f>VLOOKUP(H122,Stock_list!A:N,14,FALSE)</f>
        <v>DEC 22</v>
      </c>
    </row>
    <row r="123" spans="1:21" ht="16.5" customHeight="1">
      <c r="A123" s="159" t="s">
        <v>2744</v>
      </c>
      <c r="B123" s="114" t="s">
        <v>2763</v>
      </c>
      <c r="F123" s="157" t="s">
        <v>2753</v>
      </c>
      <c r="H123" s="138">
        <v>1770</v>
      </c>
      <c r="I123" s="140" t="s">
        <v>129</v>
      </c>
      <c r="J123" s="139" t="s">
        <v>218</v>
      </c>
      <c r="K123" s="51" t="s">
        <v>36</v>
      </c>
      <c r="L123" s="4">
        <v>44973</v>
      </c>
      <c r="M123" s="143">
        <v>113</v>
      </c>
      <c r="P123" s="4" t="str">
        <f>VLOOKUP(H123,Stock_list!A:Y,25,FALSE)</f>
        <v>Yes</v>
      </c>
      <c r="T123" s="144"/>
      <c r="U123" s="145" t="str">
        <f>VLOOKUP(H123,Stock_list!A:N,14,FALSE)</f>
        <v>FEB 23</v>
      </c>
    </row>
    <row r="124" spans="1:21" ht="16.5" customHeight="1">
      <c r="A124" s="159" t="s">
        <v>2747</v>
      </c>
      <c r="B124" s="114" t="s">
        <v>2764</v>
      </c>
      <c r="F124" s="157" t="s">
        <v>2753</v>
      </c>
      <c r="H124" s="138">
        <v>1770</v>
      </c>
      <c r="I124" s="140" t="s">
        <v>129</v>
      </c>
      <c r="J124" s="139" t="s">
        <v>218</v>
      </c>
      <c r="K124" s="51" t="s">
        <v>36</v>
      </c>
      <c r="L124" s="4">
        <v>44973</v>
      </c>
      <c r="M124" s="143">
        <v>10</v>
      </c>
      <c r="P124" s="4" t="str">
        <f>VLOOKUP(H124,Stock_list!A:Y,25,FALSE)</f>
        <v>Yes</v>
      </c>
      <c r="T124" s="144"/>
      <c r="U124" s="145" t="str">
        <f>VLOOKUP(H124,Stock_list!A:N,14,FALSE)</f>
        <v>FEB 23</v>
      </c>
    </row>
    <row r="125" spans="1:21" ht="16.5" customHeight="1">
      <c r="A125" s="159" t="s">
        <v>2748</v>
      </c>
      <c r="B125" s="114" t="s">
        <v>2765</v>
      </c>
      <c r="F125" s="157" t="s">
        <v>2753</v>
      </c>
      <c r="H125" s="138">
        <v>1770</v>
      </c>
      <c r="I125" s="140" t="s">
        <v>129</v>
      </c>
      <c r="J125" s="139" t="s">
        <v>218</v>
      </c>
      <c r="K125" s="51" t="s">
        <v>36</v>
      </c>
      <c r="L125" s="4">
        <v>44973</v>
      </c>
      <c r="M125" s="143">
        <v>5</v>
      </c>
      <c r="P125" s="4" t="str">
        <f>VLOOKUP(H125,Stock_list!A:Y,25,FALSE)</f>
        <v>Yes</v>
      </c>
      <c r="T125" s="144"/>
      <c r="U125" s="145" t="str">
        <f>VLOOKUP(H125,Stock_list!A:N,14,FALSE)</f>
        <v>FEB 23</v>
      </c>
    </row>
    <row r="126" spans="1:21" ht="16.5" customHeight="1">
      <c r="A126" s="159" t="s">
        <v>2744</v>
      </c>
      <c r="B126" s="114" t="str">
        <f>VLOOKUP(A126,'Data pick slip'!B:F,5,FALSE)</f>
        <v>KHJ-MC100-00</v>
      </c>
      <c r="F126" s="157" t="s">
        <v>2753</v>
      </c>
      <c r="H126" s="138">
        <v>1783</v>
      </c>
      <c r="I126" s="140" t="str">
        <f>VLOOKUP(H126,Stock_list!A:R,18,FALSE)</f>
        <v>海红天远</v>
      </c>
      <c r="J126" s="139" t="str">
        <f>VLOOKUP(H126,Stock_list!A:S,17,FALSE)</f>
        <v>C49SZX20220127EC</v>
      </c>
      <c r="K126" s="51" t="str">
        <f>VLOOKUP(H126,Stock_list!A:T,16,FALSE)</f>
        <v>RMB</v>
      </c>
      <c r="L126" s="4">
        <v>44925</v>
      </c>
      <c r="M126" s="143">
        <v>210</v>
      </c>
      <c r="P126" s="4" t="str">
        <f>VLOOKUP(H126,Stock_list!A:Y,25,FALSE)</f>
        <v>Yes</v>
      </c>
      <c r="T126" s="144"/>
      <c r="U126" s="145" t="str">
        <f>VLOOKUP(H126,Stock_list!A:N,14,FALSE)</f>
        <v>DEC 22</v>
      </c>
    </row>
    <row r="127" spans="1:21" ht="16.5" customHeight="1">
      <c r="A127" s="159" t="s">
        <v>2747</v>
      </c>
      <c r="B127" s="114" t="str">
        <f>VLOOKUP(A127,'Data pick slip'!B:F,5,FALSE)</f>
        <v>KHJ-MC200-00</v>
      </c>
      <c r="F127" s="157" t="s">
        <v>2753</v>
      </c>
      <c r="H127" s="138">
        <v>1783</v>
      </c>
      <c r="I127" s="140" t="str">
        <f>VLOOKUP(H127,Stock_list!A:R,18,FALSE)</f>
        <v>海红天远</v>
      </c>
      <c r="J127" s="139" t="str">
        <f>VLOOKUP(H127,Stock_list!A:S,17,FALSE)</f>
        <v>C49SZX20220127EC</v>
      </c>
      <c r="K127" s="51" t="str">
        <f>VLOOKUP(H127,Stock_list!A:T,16,FALSE)</f>
        <v>RMB</v>
      </c>
      <c r="L127" s="4">
        <v>44925</v>
      </c>
      <c r="M127" s="143">
        <v>60</v>
      </c>
      <c r="P127" s="4" t="str">
        <f>VLOOKUP(H127,Stock_list!A:Y,25,FALSE)</f>
        <v>Yes</v>
      </c>
      <c r="T127" s="144"/>
      <c r="U127" s="145" t="str">
        <f>VLOOKUP(H127,Stock_list!A:N,14,FALSE)</f>
        <v>DEC 22</v>
      </c>
    </row>
    <row r="128" spans="1:21" ht="16.5" customHeight="1">
      <c r="A128" s="159" t="s">
        <v>2748</v>
      </c>
      <c r="B128" s="114" t="str">
        <f>VLOOKUP(A128,'Data pick slip'!B:F,5,FALSE)</f>
        <v>KHJ-MC400-00</v>
      </c>
      <c r="F128" s="157" t="s">
        <v>2753</v>
      </c>
      <c r="H128" s="138">
        <v>1783</v>
      </c>
      <c r="I128" s="140" t="str">
        <f>VLOOKUP(H128,Stock_list!A:R,18,FALSE)</f>
        <v>海红天远</v>
      </c>
      <c r="J128" s="139" t="str">
        <f>VLOOKUP(H128,Stock_list!A:S,17,FALSE)</f>
        <v>C49SZX20220127EC</v>
      </c>
      <c r="K128" s="51" t="str">
        <f>VLOOKUP(H128,Stock_list!A:T,16,FALSE)</f>
        <v>RMB</v>
      </c>
      <c r="L128" s="4">
        <v>44925</v>
      </c>
      <c r="M128" s="143">
        <v>8</v>
      </c>
      <c r="P128" s="4" t="str">
        <f>VLOOKUP(H128,Stock_list!A:Y,25,FALSE)</f>
        <v>Yes</v>
      </c>
      <c r="T128" s="144"/>
      <c r="U128" s="145" t="str">
        <f>VLOOKUP(H128,Stock_list!A:N,14,FALSE)</f>
        <v>DEC 22</v>
      </c>
    </row>
    <row r="129" spans="1:21" ht="16.5" customHeight="1">
      <c r="A129" s="159" t="s">
        <v>2749</v>
      </c>
      <c r="B129" s="114" t="str">
        <f>VLOOKUP(A129,'Data pick slip'!B:F,5,FALSE)</f>
        <v>KHJ-MC500-00</v>
      </c>
      <c r="F129" s="157" t="s">
        <v>2753</v>
      </c>
      <c r="H129" s="138">
        <v>1783</v>
      </c>
      <c r="I129" s="140" t="str">
        <f>VLOOKUP(H129,Stock_list!A:R,18,FALSE)</f>
        <v>海红天远</v>
      </c>
      <c r="J129" s="139" t="str">
        <f>VLOOKUP(H129,Stock_list!A:S,17,FALSE)</f>
        <v>C49SZX20220127EC</v>
      </c>
      <c r="K129" s="51" t="str">
        <f>VLOOKUP(H129,Stock_list!A:T,16,FALSE)</f>
        <v>RMB</v>
      </c>
      <c r="L129" s="4">
        <v>44925</v>
      </c>
      <c r="M129" s="143">
        <v>5</v>
      </c>
      <c r="P129" s="4" t="str">
        <f>VLOOKUP(H129,Stock_list!A:Y,25,FALSE)</f>
        <v>Yes</v>
      </c>
      <c r="T129" s="144"/>
      <c r="U129" s="145" t="str">
        <f>VLOOKUP(H129,Stock_list!A:N,14,FALSE)</f>
        <v>DEC 22</v>
      </c>
    </row>
    <row r="130" spans="1:21" ht="16.5" customHeight="1">
      <c r="A130" s="159" t="s">
        <v>2750</v>
      </c>
      <c r="B130" s="114" t="str">
        <f>VLOOKUP(A130,'Data pick slip'!B:F,5,FALSE)</f>
        <v>KHJ-MC600-00</v>
      </c>
      <c r="F130" s="157" t="s">
        <v>2753</v>
      </c>
      <c r="H130" s="138">
        <v>1783</v>
      </c>
      <c r="I130" s="140" t="str">
        <f>VLOOKUP(H130,Stock_list!A:R,18,FALSE)</f>
        <v>海红天远</v>
      </c>
      <c r="J130" s="139" t="str">
        <f>VLOOKUP(H130,Stock_list!A:S,17,FALSE)</f>
        <v>C49SZX20220127EC</v>
      </c>
      <c r="K130" s="51" t="str">
        <f>VLOOKUP(H130,Stock_list!A:T,16,FALSE)</f>
        <v>RMB</v>
      </c>
      <c r="L130" s="4">
        <v>44925</v>
      </c>
      <c r="M130" s="143">
        <v>2</v>
      </c>
      <c r="P130" s="4" t="str">
        <f>VLOOKUP(H130,Stock_list!A:Y,25,FALSE)</f>
        <v>Yes</v>
      </c>
      <c r="T130" s="144"/>
      <c r="U130" s="145" t="str">
        <f>VLOOKUP(H130,Stock_list!A:N,14,FALSE)</f>
        <v>DEC 22</v>
      </c>
    </row>
    <row r="131" spans="1:21" ht="16.5" customHeight="1">
      <c r="A131" s="159" t="s">
        <v>2751</v>
      </c>
      <c r="B131" s="114" t="str">
        <f>VLOOKUP(A131,'Data pick slip'!B:F,5,FALSE)</f>
        <v>KHJ-MC700-00</v>
      </c>
      <c r="F131" s="157" t="s">
        <v>2753</v>
      </c>
      <c r="H131" s="138">
        <v>1783</v>
      </c>
      <c r="I131" s="140" t="str">
        <f>VLOOKUP(H131,Stock_list!A:R,18,FALSE)</f>
        <v>海红天远</v>
      </c>
      <c r="J131" s="139" t="str">
        <f>VLOOKUP(H131,Stock_list!A:S,17,FALSE)</f>
        <v>C49SZX20220127EC</v>
      </c>
      <c r="K131" s="51" t="str">
        <f>VLOOKUP(H131,Stock_list!A:T,16,FALSE)</f>
        <v>RMB</v>
      </c>
      <c r="L131" s="4">
        <v>44925</v>
      </c>
      <c r="M131" s="143">
        <v>3</v>
      </c>
      <c r="P131" s="4" t="str">
        <f>VLOOKUP(H131,Stock_list!A:Y,25,FALSE)</f>
        <v>Yes</v>
      </c>
      <c r="T131" s="144"/>
      <c r="U131" s="145" t="str">
        <f>VLOOKUP(H131,Stock_list!A:N,14,FALSE)</f>
        <v>DEC 22</v>
      </c>
    </row>
    <row r="132" spans="1:21" ht="16.5" customHeight="1">
      <c r="A132" s="159" t="s">
        <v>2744</v>
      </c>
      <c r="B132" s="114" t="str">
        <f>VLOOKUP(A132,'Data pick slip'!B:F,5,FALSE)</f>
        <v>KHJ-MC100-00</v>
      </c>
      <c r="F132" s="157" t="s">
        <v>1381</v>
      </c>
      <c r="H132" s="138">
        <v>1788</v>
      </c>
      <c r="I132" s="140" t="str">
        <f>VLOOKUP(H132,Stock_list!A:R,18,FALSE)</f>
        <v>海红天远</v>
      </c>
      <c r="J132" s="139" t="str">
        <f>VLOOKUP(H132,Stock_list!A:S,17,FALSE)</f>
        <v>C49SZX20220128EC</v>
      </c>
      <c r="K132" s="51" t="str">
        <f>VLOOKUP(H132,Stock_list!A:T,16,FALSE)</f>
        <v>JPY</v>
      </c>
      <c r="L132" s="4">
        <v>45013</v>
      </c>
      <c r="M132" s="140">
        <v>235</v>
      </c>
      <c r="N132" s="143"/>
      <c r="P132" s="4" t="str">
        <f>VLOOKUP(H132,Stock_list!A:Y,25,FALSE)</f>
        <v>Yes</v>
      </c>
      <c r="T132" s="144"/>
      <c r="U132" s="145" t="str">
        <f>VLOOKUP(H132,Stock_list!A:N,14,FALSE)</f>
        <v>MAR 23</v>
      </c>
    </row>
    <row r="133" spans="1:21" ht="16.5" customHeight="1">
      <c r="A133" s="159" t="s">
        <v>2747</v>
      </c>
      <c r="B133" s="114" t="str">
        <f>VLOOKUP(A133,'Data pick slip'!B:F,5,FALSE)</f>
        <v>KHJ-MC200-00</v>
      </c>
      <c r="F133" s="157" t="s">
        <v>1381</v>
      </c>
      <c r="H133" s="138">
        <v>1788</v>
      </c>
      <c r="I133" s="140" t="str">
        <f>VLOOKUP(H133,Stock_list!A:R,18,FALSE)</f>
        <v>海红天远</v>
      </c>
      <c r="J133" s="139" t="str">
        <f>VLOOKUP(H133,Stock_list!A:S,17,FALSE)</f>
        <v>C49SZX20220128EC</v>
      </c>
      <c r="K133" s="51" t="str">
        <f>VLOOKUP(H133,Stock_list!A:T,16,FALSE)</f>
        <v>JPY</v>
      </c>
      <c r="L133" s="4">
        <v>45013</v>
      </c>
      <c r="M133" s="140">
        <v>50</v>
      </c>
      <c r="N133" s="143"/>
      <c r="P133" s="4" t="str">
        <f>VLOOKUP(H133,Stock_list!A:Y,25,FALSE)</f>
        <v>Yes</v>
      </c>
      <c r="T133" s="144"/>
      <c r="U133" s="145" t="str">
        <f>VLOOKUP(H133,Stock_list!A:N,14,FALSE)</f>
        <v>MAR 23</v>
      </c>
    </row>
    <row r="134" spans="1:21" ht="16.5" customHeight="1">
      <c r="A134" s="159" t="s">
        <v>2748</v>
      </c>
      <c r="B134" s="114" t="str">
        <f>VLOOKUP(A134,'Data pick slip'!B:F,5,FALSE)</f>
        <v>KHJ-MC400-00</v>
      </c>
      <c r="F134" s="157" t="s">
        <v>1381</v>
      </c>
      <c r="H134" s="138">
        <v>1788</v>
      </c>
      <c r="I134" s="140" t="str">
        <f>VLOOKUP(H134,Stock_list!A:R,18,FALSE)</f>
        <v>海红天远</v>
      </c>
      <c r="J134" s="139" t="str">
        <f>VLOOKUP(H134,Stock_list!A:S,17,FALSE)</f>
        <v>C49SZX20220128EC</v>
      </c>
      <c r="K134" s="51" t="str">
        <f>VLOOKUP(H134,Stock_list!A:T,16,FALSE)</f>
        <v>JPY</v>
      </c>
      <c r="L134" s="4">
        <v>45013</v>
      </c>
      <c r="M134" s="140">
        <v>5</v>
      </c>
      <c r="N134" s="143"/>
      <c r="P134" s="4" t="str">
        <f>VLOOKUP(H134,Stock_list!A:Y,25,FALSE)</f>
        <v>Yes</v>
      </c>
      <c r="T134" s="144"/>
      <c r="U134" s="145" t="str">
        <f>VLOOKUP(H134,Stock_list!A:N,14,FALSE)</f>
        <v>MAR 23</v>
      </c>
    </row>
    <row r="135" spans="1:21" ht="16.5" customHeight="1">
      <c r="A135" s="159" t="s">
        <v>2749</v>
      </c>
      <c r="B135" s="114" t="str">
        <f>VLOOKUP(A135,'Data pick slip'!B:F,5,FALSE)</f>
        <v>KHJ-MC500-00</v>
      </c>
      <c r="F135" s="157" t="s">
        <v>1381</v>
      </c>
      <c r="H135" s="138">
        <v>1788</v>
      </c>
      <c r="I135" s="140" t="str">
        <f>VLOOKUP(H135,Stock_list!A:R,18,FALSE)</f>
        <v>海红天远</v>
      </c>
      <c r="J135" s="139" t="str">
        <f>VLOOKUP(H135,Stock_list!A:S,17,FALSE)</f>
        <v>C49SZX20220128EC</v>
      </c>
      <c r="K135" s="51" t="str">
        <f>VLOOKUP(H135,Stock_list!A:T,16,FALSE)</f>
        <v>JPY</v>
      </c>
      <c r="L135" s="4">
        <v>45013</v>
      </c>
      <c r="M135" s="140">
        <v>5</v>
      </c>
      <c r="N135" s="143"/>
      <c r="P135" s="4" t="str">
        <f>VLOOKUP(H135,Stock_list!A:Y,25,FALSE)</f>
        <v>Yes</v>
      </c>
      <c r="T135" s="144"/>
      <c r="U135" s="145" t="str">
        <f>VLOOKUP(H135,Stock_list!A:N,14,FALSE)</f>
        <v>MAR 23</v>
      </c>
    </row>
    <row r="136" spans="1:21" ht="16.5" customHeight="1">
      <c r="A136" s="159" t="s">
        <v>2750</v>
      </c>
      <c r="B136" s="114" t="str">
        <f>VLOOKUP(A136,'Data pick slip'!B:F,5,FALSE)</f>
        <v>KHJ-MC600-00</v>
      </c>
      <c r="F136" s="157" t="s">
        <v>1381</v>
      </c>
      <c r="H136" s="138">
        <v>1788</v>
      </c>
      <c r="I136" s="140" t="str">
        <f>VLOOKUP(H136,Stock_list!A:R,18,FALSE)</f>
        <v>海红天远</v>
      </c>
      <c r="J136" s="139" t="str">
        <f>VLOOKUP(H136,Stock_list!A:S,17,FALSE)</f>
        <v>C49SZX20220128EC</v>
      </c>
      <c r="K136" s="51" t="str">
        <f>VLOOKUP(H136,Stock_list!A:T,16,FALSE)</f>
        <v>JPY</v>
      </c>
      <c r="L136" s="4">
        <v>45013</v>
      </c>
      <c r="M136" s="140">
        <v>2</v>
      </c>
      <c r="N136" s="143"/>
      <c r="P136" s="4" t="str">
        <f>VLOOKUP(H136,Stock_list!A:Y,25,FALSE)</f>
        <v>Yes</v>
      </c>
      <c r="T136" s="144"/>
      <c r="U136" s="145" t="str">
        <f>VLOOKUP(H136,Stock_list!A:N,14,FALSE)</f>
        <v>MAR 23</v>
      </c>
    </row>
    <row r="137" spans="1:21" ht="16.5" customHeight="1">
      <c r="A137" s="159" t="s">
        <v>2751</v>
      </c>
      <c r="B137" s="114" t="str">
        <f>VLOOKUP(A137,'Data pick slip'!B:F,5,FALSE)</f>
        <v>KHJ-MC700-00</v>
      </c>
      <c r="F137" s="157" t="s">
        <v>2753</v>
      </c>
      <c r="H137" s="138">
        <v>1788</v>
      </c>
      <c r="I137" s="140" t="str">
        <f>VLOOKUP(H137,Stock_list!A:R,18,FALSE)</f>
        <v>海红天远</v>
      </c>
      <c r="J137" s="139" t="str">
        <f>VLOOKUP(H137,Stock_list!A:S,17,FALSE)</f>
        <v>C49SZX20220128EC</v>
      </c>
      <c r="K137" s="51" t="str">
        <f>VLOOKUP(H137,Stock_list!A:T,16,FALSE)</f>
        <v>JPY</v>
      </c>
      <c r="L137" s="4">
        <v>45013</v>
      </c>
      <c r="M137" s="140">
        <v>2</v>
      </c>
      <c r="N137" s="143"/>
      <c r="P137" s="4" t="str">
        <f>VLOOKUP(H137,Stock_list!A:Y,25,FALSE)</f>
        <v>Yes</v>
      </c>
      <c r="S137" s="268" t="s">
        <v>2778</v>
      </c>
      <c r="T137" s="266" t="s">
        <v>2779</v>
      </c>
      <c r="U137" s="145" t="str">
        <f>VLOOKUP(H137,Stock_list!A:N,14,FALSE)</f>
        <v>MAR 23</v>
      </c>
    </row>
    <row r="138" spans="1:21" ht="16.5" customHeight="1">
      <c r="A138" s="159" t="s">
        <v>2744</v>
      </c>
      <c r="B138" s="114" t="str">
        <f>VLOOKUP(A138,'Data pick slip'!B:F,5,FALSE)</f>
        <v>KHJ-MC100-00</v>
      </c>
      <c r="F138" s="157" t="s">
        <v>2753</v>
      </c>
      <c r="H138" s="138">
        <v>1790</v>
      </c>
      <c r="I138" s="140" t="str">
        <f>VLOOKUP(H138,Stock_list!A:R,18,FALSE)</f>
        <v>福瑞康</v>
      </c>
      <c r="J138" s="139" t="str">
        <f>VLOOKUP(H138,Stock_list!A:S,17,FALSE)</f>
        <v>C49SZX20220135EC</v>
      </c>
      <c r="K138" s="51" t="str">
        <f>VLOOKUP(H138,Stock_list!A:T,16,FALSE)</f>
        <v>RMB</v>
      </c>
      <c r="L138" s="4">
        <v>44918</v>
      </c>
      <c r="M138" s="143">
        <v>30</v>
      </c>
      <c r="P138" s="4" t="str">
        <f>VLOOKUP(H138,Stock_list!A:Y,25,FALSE)</f>
        <v>Yes</v>
      </c>
      <c r="T138" s="144"/>
      <c r="U138" s="145" t="str">
        <f>VLOOKUP(H138,Stock_list!A:N,14,FALSE)</f>
        <v>DEC 22</v>
      </c>
    </row>
    <row r="139" spans="1:21" ht="16.5" customHeight="1">
      <c r="A139" s="159" t="s">
        <v>2747</v>
      </c>
      <c r="B139" s="114" t="str">
        <f>VLOOKUP(A139,'Data pick slip'!B:F,5,FALSE)</f>
        <v>KHJ-MC200-00</v>
      </c>
      <c r="F139" s="157" t="s">
        <v>2753</v>
      </c>
      <c r="H139" s="138">
        <v>1790</v>
      </c>
      <c r="I139" s="140" t="str">
        <f>VLOOKUP(H139,Stock_list!A:R,18,FALSE)</f>
        <v>福瑞康</v>
      </c>
      <c r="J139" s="139" t="str">
        <f>VLOOKUP(H139,Stock_list!A:S,17,FALSE)</f>
        <v>C49SZX20220135EC</v>
      </c>
      <c r="K139" s="51" t="str">
        <f>VLOOKUP(H139,Stock_list!A:T,16,FALSE)</f>
        <v>RMB</v>
      </c>
      <c r="L139" s="4">
        <v>44918</v>
      </c>
      <c r="M139" s="143">
        <v>13</v>
      </c>
      <c r="P139" s="4" t="str">
        <f>VLOOKUP(H139,Stock_list!A:Y,25,FALSE)</f>
        <v>Yes</v>
      </c>
      <c r="T139" s="144"/>
      <c r="U139" s="145" t="str">
        <f>VLOOKUP(H139,Stock_list!A:N,14,FALSE)</f>
        <v>DEC 22</v>
      </c>
    </row>
    <row r="140" spans="1:21" ht="16.5" customHeight="1">
      <c r="A140" s="159" t="s">
        <v>2748</v>
      </c>
      <c r="B140" s="114" t="str">
        <f>VLOOKUP(A140,'Data pick slip'!B:F,5,FALSE)</f>
        <v>KHJ-MC400-00</v>
      </c>
      <c r="F140" s="157" t="s">
        <v>2753</v>
      </c>
      <c r="H140" s="138">
        <v>1790</v>
      </c>
      <c r="I140" s="140" t="str">
        <f>VLOOKUP(H140,Stock_list!A:R,18,FALSE)</f>
        <v>福瑞康</v>
      </c>
      <c r="J140" s="139" t="str">
        <f>VLOOKUP(H140,Stock_list!A:S,17,FALSE)</f>
        <v>C49SZX20220135EC</v>
      </c>
      <c r="K140" s="51" t="str">
        <f>VLOOKUP(H140,Stock_list!A:T,16,FALSE)</f>
        <v>RMB</v>
      </c>
      <c r="L140" s="4">
        <v>44918</v>
      </c>
      <c r="M140" s="143">
        <v>4</v>
      </c>
      <c r="P140" s="4" t="str">
        <f>VLOOKUP(H140,Stock_list!A:Y,25,FALSE)</f>
        <v>Yes</v>
      </c>
      <c r="T140" s="144"/>
      <c r="U140" s="145" t="str">
        <f>VLOOKUP(H140,Stock_list!A:N,14,FALSE)</f>
        <v>DEC 22</v>
      </c>
    </row>
    <row r="141" spans="1:21" ht="16.5" customHeight="1">
      <c r="A141" s="159" t="s">
        <v>2749</v>
      </c>
      <c r="B141" s="114" t="str">
        <f>VLOOKUP(A141,'Data pick slip'!B:F,5,FALSE)</f>
        <v>KHJ-MC500-00</v>
      </c>
      <c r="F141" s="157" t="s">
        <v>2753</v>
      </c>
      <c r="H141" s="138">
        <v>1790</v>
      </c>
      <c r="I141" s="140" t="str">
        <f>VLOOKUP(H141,Stock_list!A:R,18,FALSE)</f>
        <v>福瑞康</v>
      </c>
      <c r="J141" s="139" t="str">
        <f>VLOOKUP(H141,Stock_list!A:S,17,FALSE)</f>
        <v>C49SZX20220135EC</v>
      </c>
      <c r="K141" s="51" t="str">
        <f>VLOOKUP(H141,Stock_list!A:T,16,FALSE)</f>
        <v>RMB</v>
      </c>
      <c r="L141" s="4">
        <v>44918</v>
      </c>
      <c r="M141" s="143">
        <v>2</v>
      </c>
      <c r="P141" s="4" t="str">
        <f>VLOOKUP(H141,Stock_list!A:Y,25,FALSE)</f>
        <v>Yes</v>
      </c>
      <c r="T141" s="144"/>
      <c r="U141" s="145" t="str">
        <f>VLOOKUP(H141,Stock_list!A:N,14,FALSE)</f>
        <v>DEC 22</v>
      </c>
    </row>
    <row r="142" spans="1:21" ht="16.5" customHeight="1">
      <c r="A142" s="159" t="s">
        <v>2750</v>
      </c>
      <c r="B142" s="114" t="str">
        <f>VLOOKUP(A142,'Data pick slip'!B:F,5,FALSE)</f>
        <v>KHJ-MC600-00</v>
      </c>
      <c r="F142" s="157" t="s">
        <v>2753</v>
      </c>
      <c r="H142" s="138">
        <v>1790</v>
      </c>
      <c r="I142" s="140" t="str">
        <f>VLOOKUP(H142,Stock_list!A:R,18,FALSE)</f>
        <v>福瑞康</v>
      </c>
      <c r="J142" s="139" t="str">
        <f>VLOOKUP(H142,Stock_list!A:S,17,FALSE)</f>
        <v>C49SZX20220135EC</v>
      </c>
      <c r="K142" s="51" t="str">
        <f>VLOOKUP(H142,Stock_list!A:T,16,FALSE)</f>
        <v>RMB</v>
      </c>
      <c r="L142" s="4">
        <v>44918</v>
      </c>
      <c r="M142" s="143">
        <v>1</v>
      </c>
      <c r="P142" s="4" t="str">
        <f>VLOOKUP(H142,Stock_list!A:Y,25,FALSE)</f>
        <v>Yes</v>
      </c>
      <c r="T142" s="144"/>
      <c r="U142" s="145" t="str">
        <f>VLOOKUP(H142,Stock_list!A:N,14,FALSE)</f>
        <v>DEC 22</v>
      </c>
    </row>
    <row r="143" spans="1:21" ht="16.5" customHeight="1">
      <c r="A143" s="159" t="s">
        <v>2744</v>
      </c>
      <c r="B143" s="114" t="str">
        <f>VLOOKUP(A143,'Data pick slip'!B:F,5,FALSE)</f>
        <v>KHJ-MC100-00</v>
      </c>
      <c r="F143" s="157" t="s">
        <v>2753</v>
      </c>
      <c r="H143" s="138">
        <v>1791</v>
      </c>
      <c r="I143" s="140" t="str">
        <f>VLOOKUP(H143,Stock_list!A:R,18,FALSE)</f>
        <v>乐凡</v>
      </c>
      <c r="J143" s="139" t="str">
        <f>VLOOKUP(H143,Stock_list!A:S,17,FALSE)</f>
        <v>C49SZX20220141SS</v>
      </c>
      <c r="K143" s="51" t="str">
        <f>VLOOKUP(H143,Stock_list!A:T,16,FALSE)</f>
        <v>RMB</v>
      </c>
      <c r="L143" s="4">
        <v>44932</v>
      </c>
      <c r="M143" s="143">
        <v>45</v>
      </c>
      <c r="P143" s="4" t="str">
        <f>VLOOKUP(H143,Stock_list!A:Y,25,FALSE)</f>
        <v>Yes</v>
      </c>
      <c r="T143" s="144"/>
      <c r="U143" s="145" t="str">
        <f>VLOOKUP(H143,Stock_list!A:N,14,FALSE)</f>
        <v>JAN 23</v>
      </c>
    </row>
    <row r="144" spans="1:21" ht="16.5" customHeight="1">
      <c r="A144" s="159" t="s">
        <v>2747</v>
      </c>
      <c r="B144" s="114" t="str">
        <f>VLOOKUP(A144,'Data pick slip'!B:F,5,FALSE)</f>
        <v>KHJ-MC200-00</v>
      </c>
      <c r="F144" s="157" t="s">
        <v>2753</v>
      </c>
      <c r="H144" s="138">
        <v>1791</v>
      </c>
      <c r="I144" s="140" t="str">
        <f>VLOOKUP(H144,Stock_list!A:R,18,FALSE)</f>
        <v>乐凡</v>
      </c>
      <c r="J144" s="139" t="str">
        <f>VLOOKUP(H144,Stock_list!A:S,17,FALSE)</f>
        <v>C49SZX20220141SS</v>
      </c>
      <c r="K144" s="51" t="str">
        <f>VLOOKUP(H144,Stock_list!A:T,16,FALSE)</f>
        <v>RMB</v>
      </c>
      <c r="L144" s="4">
        <v>44932</v>
      </c>
      <c r="M144" s="143">
        <v>10</v>
      </c>
      <c r="P144" s="4" t="str">
        <f>VLOOKUP(H144,Stock_list!A:Y,25,FALSE)</f>
        <v>Yes</v>
      </c>
      <c r="T144" s="144"/>
      <c r="U144" s="145" t="str">
        <f>VLOOKUP(H144,Stock_list!A:N,14,FALSE)</f>
        <v>JAN 23</v>
      </c>
    </row>
    <row r="145" spans="1:21" ht="16.5" customHeight="1">
      <c r="A145" s="159" t="s">
        <v>2748</v>
      </c>
      <c r="B145" s="114" t="str">
        <f>VLOOKUP(A145,'Data pick slip'!B:F,5,FALSE)</f>
        <v>KHJ-MC400-00</v>
      </c>
      <c r="F145" s="157" t="s">
        <v>2753</v>
      </c>
      <c r="H145" s="138">
        <v>1791</v>
      </c>
      <c r="I145" s="140" t="str">
        <f>VLOOKUP(H145,Stock_list!A:R,18,FALSE)</f>
        <v>乐凡</v>
      </c>
      <c r="J145" s="139" t="str">
        <f>VLOOKUP(H145,Stock_list!A:S,17,FALSE)</f>
        <v>C49SZX20220141SS</v>
      </c>
      <c r="K145" s="51" t="str">
        <f>VLOOKUP(H145,Stock_list!A:T,16,FALSE)</f>
        <v>RMB</v>
      </c>
      <c r="L145" s="4">
        <v>44932</v>
      </c>
      <c r="M145" s="143">
        <v>5</v>
      </c>
      <c r="P145" s="4" t="str">
        <f>VLOOKUP(H145,Stock_list!A:Y,25,FALSE)</f>
        <v>Yes</v>
      </c>
      <c r="T145" s="144"/>
      <c r="U145" s="145" t="str">
        <f>VLOOKUP(H145,Stock_list!A:N,14,FALSE)</f>
        <v>JAN 23</v>
      </c>
    </row>
    <row r="146" spans="1:21" ht="16.5" customHeight="1">
      <c r="A146" s="159" t="s">
        <v>2744</v>
      </c>
      <c r="B146" s="114" t="str">
        <f>VLOOKUP(A146,'Data pick slip'!B:F,5,FALSE)</f>
        <v>KHJ-MC100-00</v>
      </c>
      <c r="F146" s="157" t="s">
        <v>2753</v>
      </c>
      <c r="H146" s="138">
        <v>1795</v>
      </c>
      <c r="I146" s="140" t="str">
        <f>VLOOKUP(H146,Stock_list!A:R,18,FALSE)</f>
        <v>蓝极光</v>
      </c>
      <c r="J146" s="139" t="str">
        <f>VLOOKUP(H146,Stock_list!A:S,17,FALSE)</f>
        <v>C49SZX20230008SS</v>
      </c>
      <c r="K146" s="51" t="str">
        <f>VLOOKUP(H146,Stock_list!A:T,16,FALSE)</f>
        <v>RMB</v>
      </c>
      <c r="L146" s="4">
        <v>44959</v>
      </c>
      <c r="M146" s="140">
        <v>80</v>
      </c>
      <c r="N146" s="143"/>
      <c r="P146" s="4" t="str">
        <f>VLOOKUP(H146,Stock_list!A:Y,25,FALSE)</f>
        <v>Yes</v>
      </c>
      <c r="T146" s="144"/>
      <c r="U146" s="145" t="str">
        <f>VLOOKUP(H146,Stock_list!A:N,14,FALSE)</f>
        <v>FEB 23</v>
      </c>
    </row>
    <row r="147" spans="1:21" ht="16.5" customHeight="1">
      <c r="A147" s="159" t="s">
        <v>2744</v>
      </c>
      <c r="B147" s="114" t="str">
        <f>VLOOKUP(A147,'Data pick slip'!B:F,5,FALSE)</f>
        <v>KHJ-MC100-00</v>
      </c>
      <c r="F147" s="157" t="s">
        <v>2753</v>
      </c>
      <c r="H147" s="138">
        <v>1813</v>
      </c>
      <c r="I147" s="140" t="str">
        <f>VLOOKUP(H147,Stock_list!A:R,18,FALSE)</f>
        <v>利速达</v>
      </c>
      <c r="J147" s="139" t="str">
        <f>VLOOKUP(H147,Stock_list!A:S,17,FALSE)</f>
        <v>C49SZX20230009SX</v>
      </c>
      <c r="K147" s="51" t="str">
        <f>VLOOKUP(H147,Stock_list!A:T,16,FALSE)</f>
        <v>RMB</v>
      </c>
      <c r="L147" s="4">
        <v>44995</v>
      </c>
      <c r="M147" s="140">
        <v>10</v>
      </c>
      <c r="P147" s="4" t="str">
        <f>VLOOKUP(H147,Stock_list!A:Y,25,FALSE)</f>
        <v>Yes</v>
      </c>
      <c r="Q147" s="143"/>
      <c r="T147" s="144"/>
      <c r="U147" s="145" t="str">
        <f>VLOOKUP(H147,Stock_list!A:N,14,FALSE)</f>
        <v>MAR 23</v>
      </c>
    </row>
    <row r="148" spans="1:21" ht="16.5" customHeight="1">
      <c r="A148" s="159" t="s">
        <v>2744</v>
      </c>
      <c r="B148" s="114" t="str">
        <f>VLOOKUP(A148,'Data pick slip'!B:F,5,FALSE)</f>
        <v>KHJ-MC100-00</v>
      </c>
      <c r="F148" s="157" t="s">
        <v>2753</v>
      </c>
      <c r="H148" s="138">
        <v>1815</v>
      </c>
      <c r="I148" s="140" t="str">
        <f>VLOOKUP(H148,Stock_list!A:R,18,FALSE)</f>
        <v>嘉普达</v>
      </c>
      <c r="J148" s="139" t="str">
        <f>VLOOKUP(H148,Stock_list!A:S,17,FALSE)</f>
        <v>C49SZX20230010SX</v>
      </c>
      <c r="K148" s="51" t="str">
        <f>VLOOKUP(H148,Stock_list!A:T,16,FALSE)</f>
        <v>RMB</v>
      </c>
      <c r="L148" s="4">
        <v>44939</v>
      </c>
      <c r="M148" s="143">
        <v>53</v>
      </c>
      <c r="P148" s="4" t="str">
        <f>VLOOKUP(H148,Stock_list!A:Y,25,FALSE)</f>
        <v>Yes</v>
      </c>
      <c r="T148" s="144"/>
      <c r="U148" s="145" t="str">
        <f>VLOOKUP(H148,Stock_list!A:N,14,FALSE)</f>
        <v>JAN 23</v>
      </c>
    </row>
    <row r="149" spans="1:21" ht="16.5" customHeight="1">
      <c r="A149" s="159" t="s">
        <v>2747</v>
      </c>
      <c r="B149" s="114" t="str">
        <f>VLOOKUP(A149,'Data pick slip'!B:F,5,FALSE)</f>
        <v>KHJ-MC200-00</v>
      </c>
      <c r="F149" s="157" t="s">
        <v>2753</v>
      </c>
      <c r="H149" s="138">
        <v>1815</v>
      </c>
      <c r="I149" s="140" t="str">
        <f>VLOOKUP(H149,Stock_list!A:R,18,FALSE)</f>
        <v>嘉普达</v>
      </c>
      <c r="J149" s="139" t="str">
        <f>VLOOKUP(H149,Stock_list!A:S,17,FALSE)</f>
        <v>C49SZX20230010SX</v>
      </c>
      <c r="K149" s="51" t="str">
        <f>VLOOKUP(H149,Stock_list!A:T,16,FALSE)</f>
        <v>RMB</v>
      </c>
      <c r="L149" s="4">
        <v>44939</v>
      </c>
      <c r="M149" s="143">
        <v>20</v>
      </c>
      <c r="P149" s="4" t="str">
        <f>VLOOKUP(H149,Stock_list!A:Y,25,FALSE)</f>
        <v>Yes</v>
      </c>
      <c r="T149" s="144"/>
      <c r="U149" s="145" t="str">
        <f>VLOOKUP(H149,Stock_list!A:N,14,FALSE)</f>
        <v>JAN 23</v>
      </c>
    </row>
    <row r="150" spans="1:21" ht="16.5" customHeight="1">
      <c r="A150" s="159" t="s">
        <v>2744</v>
      </c>
      <c r="B150" s="114" t="str">
        <f>VLOOKUP(A150,'Data pick slip'!B:F,5,FALSE)</f>
        <v>KHJ-MC100-00</v>
      </c>
      <c r="F150" s="157" t="s">
        <v>2753</v>
      </c>
      <c r="H150" s="138">
        <v>1816</v>
      </c>
      <c r="I150" s="140" t="str">
        <f>VLOOKUP(H150,Stock_list!A:R,18,FALSE)</f>
        <v>德润通</v>
      </c>
      <c r="J150" s="139" t="str">
        <f>VLOOKUP(H150,Stock_list!A:S,17,FALSE)</f>
        <v>C49SZX20230005SQ</v>
      </c>
      <c r="K150" s="51" t="str">
        <f>VLOOKUP(H150,Stock_list!A:T,16,FALSE)</f>
        <v>RMB</v>
      </c>
      <c r="L150" s="4">
        <v>44999</v>
      </c>
      <c r="M150" s="140">
        <v>12</v>
      </c>
      <c r="N150" s="143"/>
      <c r="P150" s="4" t="str">
        <f>VLOOKUP(H150,Stock_list!A:Y,25,FALSE)</f>
        <v>Yes</v>
      </c>
      <c r="T150" s="144"/>
      <c r="U150" s="145" t="str">
        <f>VLOOKUP(H150,Stock_list!A:N,14,FALSE)</f>
        <v>MAR 23</v>
      </c>
    </row>
    <row r="151" spans="1:21" ht="16.5" customHeight="1">
      <c r="A151" s="159" t="s">
        <v>2747</v>
      </c>
      <c r="B151" s="114" t="str">
        <f>VLOOKUP(A151,'Data pick slip'!B:F,5,FALSE)</f>
        <v>KHJ-MC200-00</v>
      </c>
      <c r="F151" s="157" t="s">
        <v>2753</v>
      </c>
      <c r="H151" s="138">
        <v>1816</v>
      </c>
      <c r="I151" s="140" t="str">
        <f>VLOOKUP(H151,Stock_list!A:R,18,FALSE)</f>
        <v>德润通</v>
      </c>
      <c r="J151" s="139" t="str">
        <f>VLOOKUP(H151,Stock_list!A:S,17,FALSE)</f>
        <v>C49SZX20230005SQ</v>
      </c>
      <c r="K151" s="51" t="str">
        <f>VLOOKUP(H151,Stock_list!A:T,16,FALSE)</f>
        <v>RMB</v>
      </c>
      <c r="L151" s="4">
        <v>44999</v>
      </c>
      <c r="M151" s="140">
        <v>4</v>
      </c>
      <c r="N151" s="143"/>
      <c r="P151" s="4" t="str">
        <f>VLOOKUP(H151,Stock_list!A:Y,25,FALSE)</f>
        <v>Yes</v>
      </c>
      <c r="T151" s="144"/>
      <c r="U151" s="145" t="str">
        <f>VLOOKUP(H151,Stock_list!A:N,14,FALSE)</f>
        <v>MAR 23</v>
      </c>
    </row>
    <row r="152" spans="1:21" ht="16.5" customHeight="1">
      <c r="A152" s="159" t="s">
        <v>2744</v>
      </c>
      <c r="B152" s="114" t="str">
        <f>VLOOKUP(A152,'Data pick slip'!B:F,5,FALSE)</f>
        <v>KHJ-MC100-00</v>
      </c>
      <c r="F152" s="157" t="s">
        <v>2753</v>
      </c>
      <c r="H152" s="138">
        <v>1820</v>
      </c>
      <c r="I152" s="140" t="str">
        <f>VLOOKUP(H152,Stock_list!A:R,18,FALSE)</f>
        <v>雷特</v>
      </c>
      <c r="J152" s="139" t="str">
        <f>VLOOKUP(H152,Stock_list!A:S,17,FALSE)</f>
        <v>C49SZX20230007SX</v>
      </c>
      <c r="K152" s="51" t="str">
        <f>VLOOKUP(H152,Stock_list!A:T,16,FALSE)</f>
        <v>RMB</v>
      </c>
      <c r="L152" s="4">
        <v>45001</v>
      </c>
      <c r="M152" s="140">
        <f>150+48</f>
        <v>198</v>
      </c>
      <c r="N152" s="143"/>
      <c r="P152" s="4" t="str">
        <f>VLOOKUP(H152,Stock_list!A:Y,25,FALSE)</f>
        <v>Yes</v>
      </c>
      <c r="T152" s="144"/>
      <c r="U152" s="145" t="str">
        <f>VLOOKUP(H152,Stock_list!A:N,14,FALSE)</f>
        <v>MAR 23</v>
      </c>
    </row>
    <row r="153" spans="1:21" ht="16.5" customHeight="1">
      <c r="A153" s="159" t="s">
        <v>2747</v>
      </c>
      <c r="B153" s="114" t="str">
        <f>VLOOKUP(A153,'Data pick slip'!B:F,5,FALSE)</f>
        <v>KHJ-MC200-00</v>
      </c>
      <c r="F153" s="157" t="s">
        <v>2753</v>
      </c>
      <c r="H153" s="138">
        <v>1820</v>
      </c>
      <c r="I153" s="140" t="str">
        <f>VLOOKUP(H153,Stock_list!A:R,18,FALSE)</f>
        <v>雷特</v>
      </c>
      <c r="J153" s="139" t="str">
        <f>VLOOKUP(H153,Stock_list!A:S,17,FALSE)</f>
        <v>C49SZX20230007SX</v>
      </c>
      <c r="K153" s="51" t="str">
        <f>VLOOKUP(H153,Stock_list!A:T,16,FALSE)</f>
        <v>RMB</v>
      </c>
      <c r="L153" s="4">
        <v>45001</v>
      </c>
      <c r="M153" s="140">
        <f>40+20</f>
        <v>60</v>
      </c>
      <c r="N153" s="143"/>
      <c r="P153" s="4" t="str">
        <f>VLOOKUP(H153,Stock_list!A:Y,25,FALSE)</f>
        <v>Yes</v>
      </c>
      <c r="T153" s="144"/>
      <c r="U153" s="145" t="str">
        <f>VLOOKUP(H153,Stock_list!A:N,14,FALSE)</f>
        <v>MAR 23</v>
      </c>
    </row>
    <row r="154" spans="1:21" ht="16.5" customHeight="1">
      <c r="A154" s="159" t="s">
        <v>2748</v>
      </c>
      <c r="B154" s="114" t="str">
        <f>VLOOKUP(A154,'Data pick slip'!B:F,5,FALSE)</f>
        <v>KHJ-MC400-00</v>
      </c>
      <c r="F154" s="157" t="s">
        <v>2753</v>
      </c>
      <c r="H154" s="138">
        <v>1820</v>
      </c>
      <c r="I154" s="140" t="str">
        <f>VLOOKUP(H154,Stock_list!A:R,18,FALSE)</f>
        <v>雷特</v>
      </c>
      <c r="J154" s="139" t="str">
        <f>VLOOKUP(H154,Stock_list!A:S,17,FALSE)</f>
        <v>C49SZX20230007SX</v>
      </c>
      <c r="K154" s="51" t="str">
        <f>VLOOKUP(H154,Stock_list!A:T,16,FALSE)</f>
        <v>RMB</v>
      </c>
      <c r="L154" s="4">
        <v>45001</v>
      </c>
      <c r="M154" s="140">
        <f>5+1</f>
        <v>6</v>
      </c>
      <c r="N154" s="143"/>
      <c r="P154" s="4" t="str">
        <f>VLOOKUP(H154,Stock_list!A:Y,25,FALSE)</f>
        <v>Yes</v>
      </c>
      <c r="T154" s="144"/>
      <c r="U154" s="145" t="str">
        <f>VLOOKUP(H154,Stock_list!A:N,14,FALSE)</f>
        <v>MAR 23</v>
      </c>
    </row>
    <row r="155" spans="1:21" ht="16.5" customHeight="1">
      <c r="A155" s="159" t="s">
        <v>2749</v>
      </c>
      <c r="B155" s="114" t="str">
        <f>VLOOKUP(A155,'Data pick slip'!B:F,5,FALSE)</f>
        <v>KHJ-MC500-00</v>
      </c>
      <c r="F155" s="157" t="s">
        <v>2753</v>
      </c>
      <c r="H155" s="138">
        <v>1820</v>
      </c>
      <c r="I155" s="140" t="str">
        <f>VLOOKUP(H155,Stock_list!A:R,18,FALSE)</f>
        <v>雷特</v>
      </c>
      <c r="J155" s="139" t="str">
        <f>VLOOKUP(H155,Stock_list!A:S,17,FALSE)</f>
        <v>C49SZX20230007SX</v>
      </c>
      <c r="K155" s="51" t="str">
        <f>VLOOKUP(H155,Stock_list!A:T,16,FALSE)</f>
        <v>RMB</v>
      </c>
      <c r="L155" s="4">
        <v>45001</v>
      </c>
      <c r="M155" s="140">
        <f>5+1</f>
        <v>6</v>
      </c>
      <c r="N155" s="143"/>
      <c r="P155" s="4" t="str">
        <f>VLOOKUP(H155,Stock_list!A:Y,25,FALSE)</f>
        <v>Yes</v>
      </c>
      <c r="T155" s="144"/>
      <c r="U155" s="145" t="str">
        <f>VLOOKUP(H155,Stock_list!A:N,14,FALSE)</f>
        <v>MAR 23</v>
      </c>
    </row>
    <row r="156" spans="1:21" ht="16.5" customHeight="1">
      <c r="A156" s="159" t="s">
        <v>2750</v>
      </c>
      <c r="B156" s="114" t="str">
        <f>VLOOKUP(A156,'Data pick slip'!B:F,5,FALSE)</f>
        <v>KHJ-MC600-00</v>
      </c>
      <c r="F156" s="157" t="s">
        <v>2753</v>
      </c>
      <c r="H156" s="138">
        <v>1820</v>
      </c>
      <c r="I156" s="140" t="str">
        <f>VLOOKUP(H156,Stock_list!A:R,18,FALSE)</f>
        <v>雷特</v>
      </c>
      <c r="J156" s="139" t="str">
        <f>VLOOKUP(H156,Stock_list!A:S,17,FALSE)</f>
        <v>C49SZX20230007SX</v>
      </c>
      <c r="K156" s="51" t="str">
        <f>VLOOKUP(H156,Stock_list!A:T,16,FALSE)</f>
        <v>RMB</v>
      </c>
      <c r="L156" s="4">
        <v>45001</v>
      </c>
      <c r="M156" s="140">
        <v>2</v>
      </c>
      <c r="N156" s="143"/>
      <c r="P156" s="4" t="str">
        <f>VLOOKUP(H156,Stock_list!A:Y,25,FALSE)</f>
        <v>Yes</v>
      </c>
      <c r="T156" s="144"/>
      <c r="U156" s="145" t="str">
        <f>VLOOKUP(H156,Stock_list!A:N,14,FALSE)</f>
        <v>MAR 23</v>
      </c>
    </row>
    <row r="157" spans="1:21" ht="16.5" customHeight="1">
      <c r="A157" s="159" t="s">
        <v>2751</v>
      </c>
      <c r="B157" s="114" t="str">
        <f>VLOOKUP(A157,'Data pick slip'!B:F,5,FALSE)</f>
        <v>KHJ-MC700-00</v>
      </c>
      <c r="F157" s="157" t="s">
        <v>2753</v>
      </c>
      <c r="H157" s="138">
        <v>1820</v>
      </c>
      <c r="I157" s="140" t="str">
        <f>VLOOKUP(H157,Stock_list!A:R,18,FALSE)</f>
        <v>雷特</v>
      </c>
      <c r="J157" s="139" t="str">
        <f>VLOOKUP(H157,Stock_list!A:S,17,FALSE)</f>
        <v>C49SZX20230007SX</v>
      </c>
      <c r="K157" s="51" t="str">
        <f>VLOOKUP(H157,Stock_list!A:T,16,FALSE)</f>
        <v>RMB</v>
      </c>
      <c r="L157" s="4">
        <v>45001</v>
      </c>
      <c r="M157" s="140">
        <v>2</v>
      </c>
      <c r="N157" s="143"/>
      <c r="P157" s="4" t="str">
        <f>VLOOKUP(H157,Stock_list!A:Y,25,FALSE)</f>
        <v>Yes</v>
      </c>
      <c r="T157" s="144"/>
      <c r="U157" s="145" t="str">
        <f>VLOOKUP(H157,Stock_list!A:N,14,FALSE)</f>
        <v>MAR 23</v>
      </c>
    </row>
    <row r="158" spans="1:21" ht="16.5" customHeight="1">
      <c r="A158" s="159" t="s">
        <v>2744</v>
      </c>
      <c r="B158" s="114" t="str">
        <f>VLOOKUP(A158,'Data pick slip'!B:F,5,FALSE)</f>
        <v>KHJ-MC100-00</v>
      </c>
      <c r="F158" s="157" t="s">
        <v>2753</v>
      </c>
      <c r="H158" s="138">
        <v>1821</v>
      </c>
      <c r="I158" s="140" t="str">
        <f>VLOOKUP(H158,Stock_list!A:R,18,FALSE)</f>
        <v>益田科技</v>
      </c>
      <c r="J158" s="139" t="str">
        <f>VLOOKUP(H158,Stock_list!A:S,17,FALSE)</f>
        <v>C49SZX202300011SX</v>
      </c>
      <c r="K158" s="51" t="str">
        <f>VLOOKUP(H158,Stock_list!A:T,16,FALSE)</f>
        <v>RMB</v>
      </c>
      <c r="L158" s="4">
        <v>44980</v>
      </c>
      <c r="M158" s="140">
        <v>242</v>
      </c>
      <c r="N158" s="143"/>
      <c r="P158" s="4" t="str">
        <f>VLOOKUP(H158,Stock_list!A:Y,25,FALSE)</f>
        <v>Yes</v>
      </c>
      <c r="T158" s="144"/>
      <c r="U158" s="145" t="str">
        <f>VLOOKUP(H158,Stock_list!A:N,14,FALSE)</f>
        <v>FEB 23</v>
      </c>
    </row>
    <row r="159" spans="1:21" ht="16.5" customHeight="1">
      <c r="A159" s="159" t="s">
        <v>2747</v>
      </c>
      <c r="B159" s="114" t="str">
        <f>VLOOKUP(A159,'Data pick slip'!B:F,5,FALSE)</f>
        <v>KHJ-MC200-00</v>
      </c>
      <c r="F159" s="157" t="s">
        <v>2753</v>
      </c>
      <c r="H159" s="138">
        <v>1821</v>
      </c>
      <c r="I159" s="140" t="str">
        <f>VLOOKUP(H159,Stock_list!A:R,18,FALSE)</f>
        <v>益田科技</v>
      </c>
      <c r="J159" s="139" t="str">
        <f>VLOOKUP(H159,Stock_list!A:S,17,FALSE)</f>
        <v>C49SZX202300011SX</v>
      </c>
      <c r="K159" s="51" t="str">
        <f>VLOOKUP(H159,Stock_list!A:T,16,FALSE)</f>
        <v>RMB</v>
      </c>
      <c r="L159" s="4">
        <v>44980</v>
      </c>
      <c r="M159" s="140">
        <v>5</v>
      </c>
      <c r="N159" s="143"/>
      <c r="P159" s="4" t="str">
        <f>VLOOKUP(H159,Stock_list!A:Y,25,FALSE)</f>
        <v>Yes</v>
      </c>
      <c r="T159" s="144"/>
      <c r="U159" s="145" t="str">
        <f>VLOOKUP(H159,Stock_list!A:N,14,FALSE)</f>
        <v>FEB 23</v>
      </c>
    </row>
    <row r="160" spans="1:21" ht="16.5" customHeight="1">
      <c r="A160" s="159" t="s">
        <v>2744</v>
      </c>
      <c r="B160" s="114" t="str">
        <f>VLOOKUP(A160,'Data pick slip'!B:F,5,FALSE)</f>
        <v>KHJ-MC100-00</v>
      </c>
      <c r="F160" s="157" t="s">
        <v>2753</v>
      </c>
      <c r="H160" s="138">
        <v>1835</v>
      </c>
      <c r="I160" s="140" t="str">
        <f>VLOOKUP(H160,Stock_list!A:R,18,FALSE)</f>
        <v>德天伟</v>
      </c>
      <c r="J160" s="139" t="str">
        <f>VLOOKUP(H160,Stock_list!A:S,17,FALSE)</f>
        <v>C49SZX20230013JY</v>
      </c>
      <c r="K160" s="51" t="str">
        <f>VLOOKUP(H160,Stock_list!A:T,16,FALSE)</f>
        <v>RMB</v>
      </c>
      <c r="L160" s="4">
        <v>44978</v>
      </c>
      <c r="M160" s="143">
        <v>20</v>
      </c>
      <c r="P160" s="4" t="str">
        <f>VLOOKUP(H160,Stock_list!A:Y,25,FALSE)</f>
        <v>Yes</v>
      </c>
      <c r="T160" s="144"/>
      <c r="U160" s="145" t="str">
        <f>VLOOKUP(H160,Stock_list!A:N,14,FALSE)</f>
        <v>FEB 23</v>
      </c>
    </row>
    <row r="161" spans="1:21" ht="16.5" customHeight="1">
      <c r="A161" s="159" t="s">
        <v>2747</v>
      </c>
      <c r="B161" s="114" t="str">
        <f>VLOOKUP(A161,'Data pick slip'!B:F,5,FALSE)</f>
        <v>KHJ-MC200-00</v>
      </c>
      <c r="F161" s="157" t="s">
        <v>2753</v>
      </c>
      <c r="H161" s="138">
        <v>1835</v>
      </c>
      <c r="I161" s="140" t="str">
        <f>VLOOKUP(H161,Stock_list!A:R,18,FALSE)</f>
        <v>德天伟</v>
      </c>
      <c r="J161" s="139" t="str">
        <f>VLOOKUP(H161,Stock_list!A:S,17,FALSE)</f>
        <v>C49SZX20230013JY</v>
      </c>
      <c r="K161" s="51" t="str">
        <f>VLOOKUP(H161,Stock_list!A:T,16,FALSE)</f>
        <v>RMB</v>
      </c>
      <c r="L161" s="4">
        <v>44978</v>
      </c>
      <c r="M161" s="143">
        <v>2</v>
      </c>
      <c r="P161" s="4" t="str">
        <f>VLOOKUP(H161,Stock_list!A:Y,25,FALSE)</f>
        <v>Yes</v>
      </c>
      <c r="T161" s="144"/>
      <c r="U161" s="145" t="str">
        <f>VLOOKUP(H161,Stock_list!A:N,14,FALSE)</f>
        <v>FEB 23</v>
      </c>
    </row>
    <row r="162" spans="1:21" ht="16.5" customHeight="1">
      <c r="A162" s="159" t="s">
        <v>2748</v>
      </c>
      <c r="B162" s="114" t="str">
        <f>VLOOKUP(A162,'Data pick slip'!B:F,5,FALSE)</f>
        <v>KHJ-MC400-00</v>
      </c>
      <c r="F162" s="157" t="s">
        <v>2753</v>
      </c>
      <c r="H162" s="138">
        <v>1835</v>
      </c>
      <c r="I162" s="140" t="str">
        <f>VLOOKUP(H162,Stock_list!A:R,18,FALSE)</f>
        <v>德天伟</v>
      </c>
      <c r="J162" s="139" t="str">
        <f>VLOOKUP(H162,Stock_list!A:S,17,FALSE)</f>
        <v>C49SZX20230013JY</v>
      </c>
      <c r="K162" s="51" t="str">
        <f>VLOOKUP(H162,Stock_list!A:T,16,FALSE)</f>
        <v>RMB</v>
      </c>
      <c r="L162" s="4">
        <v>44978</v>
      </c>
      <c r="M162" s="143">
        <v>1</v>
      </c>
      <c r="P162" s="4" t="str">
        <f>VLOOKUP(H162,Stock_list!A:Y,25,FALSE)</f>
        <v>Yes</v>
      </c>
      <c r="T162" s="144"/>
      <c r="U162" s="145" t="str">
        <f>VLOOKUP(H162,Stock_list!A:N,14,FALSE)</f>
        <v>FEB 23</v>
      </c>
    </row>
    <row r="163" spans="1:21" ht="16.5" customHeight="1">
      <c r="A163" s="159" t="s">
        <v>2744</v>
      </c>
      <c r="B163" s="114" t="str">
        <f>VLOOKUP(A163,'Data pick slip'!B:F,5,FALSE)</f>
        <v>KHJ-MC100-00</v>
      </c>
      <c r="F163" s="157" t="s">
        <v>2753</v>
      </c>
      <c r="H163" s="138">
        <v>1839</v>
      </c>
      <c r="I163" s="140" t="str">
        <f>VLOOKUP(H163,Stock_list!A:R,18,FALSE)</f>
        <v>锐诚</v>
      </c>
      <c r="J163" s="139" t="str">
        <f>VLOOKUP(H163,Stock_list!A:S,17,FALSE)</f>
        <v>C49SZX20230022SX</v>
      </c>
      <c r="K163" s="51" t="str">
        <f>VLOOKUP(H163,Stock_list!A:T,16,FALSE)</f>
        <v>RMB</v>
      </c>
      <c r="L163" s="4">
        <v>44991</v>
      </c>
      <c r="M163" s="140">
        <v>30</v>
      </c>
      <c r="P163" s="4" t="str">
        <f>VLOOKUP(H163,Stock_list!A:Y,25,FALSE)</f>
        <v>Yes</v>
      </c>
      <c r="Q163" s="143"/>
      <c r="T163" s="144"/>
      <c r="U163" s="145" t="str">
        <f>VLOOKUP(H163,Stock_list!A:N,14,FALSE)</f>
        <v>MAR 23</v>
      </c>
    </row>
    <row r="164" spans="1:21" ht="16.5" customHeight="1">
      <c r="A164" s="159" t="s">
        <v>2744</v>
      </c>
      <c r="B164" s="114" t="str">
        <f>VLOOKUP(A164,'Data pick slip'!B:F,5,FALSE)</f>
        <v>KHJ-MC100-00</v>
      </c>
      <c r="F164" s="157" t="s">
        <v>1381</v>
      </c>
      <c r="H164" s="138">
        <v>1840</v>
      </c>
      <c r="I164" s="388" t="str">
        <f>VLOOKUP(H164,Stock_list!A:R,18,FALSE)</f>
        <v>SUPERIOR丰卓</v>
      </c>
      <c r="J164" s="139" t="str">
        <f>VLOOKUP(H164,Stock_list!A:S,17,FALSE)</f>
        <v>SUESE#001/23</v>
      </c>
      <c r="K164" s="51" t="str">
        <f>VLOOKUP(H164,Stock_list!A:T,16,FALSE)</f>
        <v>USD</v>
      </c>
      <c r="L164" s="4">
        <v>45001</v>
      </c>
      <c r="M164" s="140">
        <v>83</v>
      </c>
      <c r="N164" s="143"/>
      <c r="P164" s="4" t="str">
        <f>VLOOKUP(H164,Stock_list!A:Y,25,FALSE)</f>
        <v>Yes</v>
      </c>
      <c r="T164" s="144"/>
      <c r="U164" s="145" t="str">
        <f>VLOOKUP(H164,Stock_list!A:N,14,FALSE)</f>
        <v>MAR 23</v>
      </c>
    </row>
    <row r="165" spans="1:21" ht="16.5" customHeight="1">
      <c r="A165" s="159" t="s">
        <v>2747</v>
      </c>
      <c r="B165" s="114" t="str">
        <f>VLOOKUP(A165,'Data pick slip'!B:F,5,FALSE)</f>
        <v>KHJ-MC200-00</v>
      </c>
      <c r="F165" s="157" t="s">
        <v>1381</v>
      </c>
      <c r="H165" s="138">
        <v>1840</v>
      </c>
      <c r="I165" s="140" t="str">
        <f>VLOOKUP(H165,Stock_list!A:R,18,FALSE)</f>
        <v>SUPERIOR丰卓</v>
      </c>
      <c r="J165" s="139" t="str">
        <f>VLOOKUP(H165,Stock_list!A:S,17,FALSE)</f>
        <v>SUESE#001/23</v>
      </c>
      <c r="K165" s="51" t="str">
        <f>VLOOKUP(H165,Stock_list!A:T,16,FALSE)</f>
        <v>USD</v>
      </c>
      <c r="L165" s="4">
        <v>45001</v>
      </c>
      <c r="M165" s="140">
        <v>10</v>
      </c>
      <c r="N165" s="143"/>
      <c r="P165" s="4" t="str">
        <f>VLOOKUP(H165,Stock_list!A:Y,25,FALSE)</f>
        <v>Yes</v>
      </c>
      <c r="T165" s="144"/>
      <c r="U165" s="145" t="str">
        <f>VLOOKUP(H165,Stock_list!A:N,14,FALSE)</f>
        <v>MAR 23</v>
      </c>
    </row>
    <row r="166" spans="1:21" ht="16.5" customHeight="1">
      <c r="A166" s="159" t="s">
        <v>2748</v>
      </c>
      <c r="B166" s="114" t="str">
        <f>VLOOKUP(A166,'Data pick slip'!B:F,5,FALSE)</f>
        <v>KHJ-MC400-00</v>
      </c>
      <c r="F166" s="157" t="s">
        <v>1381</v>
      </c>
      <c r="H166" s="138">
        <v>1840</v>
      </c>
      <c r="I166" s="140" t="str">
        <f>VLOOKUP(H166,Stock_list!A:R,18,FALSE)</f>
        <v>SUPERIOR丰卓</v>
      </c>
      <c r="J166" s="139" t="str">
        <f>VLOOKUP(H166,Stock_list!A:S,17,FALSE)</f>
        <v>SUESE#001/23</v>
      </c>
      <c r="K166" s="51" t="str">
        <f>VLOOKUP(H166,Stock_list!A:T,16,FALSE)</f>
        <v>USD</v>
      </c>
      <c r="L166" s="4">
        <v>45001</v>
      </c>
      <c r="M166" s="140">
        <v>5</v>
      </c>
      <c r="N166" s="143"/>
      <c r="P166" s="4" t="str">
        <f>VLOOKUP(H166,Stock_list!A:Y,25,FALSE)</f>
        <v>Yes</v>
      </c>
      <c r="T166" s="144"/>
      <c r="U166" s="145" t="str">
        <f>VLOOKUP(H166,Stock_list!A:N,14,FALSE)</f>
        <v>MAR 23</v>
      </c>
    </row>
    <row r="167" spans="1:21" ht="16.5" customHeight="1">
      <c r="A167" s="159" t="s">
        <v>2749</v>
      </c>
      <c r="B167" s="114" t="str">
        <f>VLOOKUP(A167,'Data pick slip'!B:F,5,FALSE)</f>
        <v>KHJ-MC500-00</v>
      </c>
      <c r="F167" s="157" t="s">
        <v>1381</v>
      </c>
      <c r="H167" s="138">
        <v>1840</v>
      </c>
      <c r="I167" s="140" t="str">
        <f>VLOOKUP(H167,Stock_list!A:R,18,FALSE)</f>
        <v>SUPERIOR丰卓</v>
      </c>
      <c r="J167" s="139" t="str">
        <f>VLOOKUP(H167,Stock_list!A:S,17,FALSE)</f>
        <v>SUESE#001/23</v>
      </c>
      <c r="K167" s="51" t="str">
        <f>VLOOKUP(H167,Stock_list!A:T,16,FALSE)</f>
        <v>USD</v>
      </c>
      <c r="L167" s="4">
        <v>45001</v>
      </c>
      <c r="M167" s="140">
        <v>2</v>
      </c>
      <c r="N167" s="143"/>
      <c r="P167" s="4" t="str">
        <f>VLOOKUP(H167,Stock_list!A:Y,25,FALSE)</f>
        <v>Yes</v>
      </c>
      <c r="T167" s="144"/>
      <c r="U167" s="145" t="str">
        <f>VLOOKUP(H167,Stock_list!A:N,14,FALSE)</f>
        <v>MAR 23</v>
      </c>
    </row>
    <row r="168" spans="1:21" ht="16.5" customHeight="1">
      <c r="A168" s="159" t="s">
        <v>2755</v>
      </c>
      <c r="B168" s="114" t="str">
        <f>VLOOKUP(A168,'Data pick slip'!B:F,5,FALSE)</f>
        <v>KLJ-MC100-00</v>
      </c>
      <c r="F168" s="157" t="s">
        <v>2753</v>
      </c>
      <c r="H168" s="138">
        <v>1842</v>
      </c>
      <c r="I168" s="140" t="str">
        <f>VLOOKUP(H168,Stock_list!A:R,18,FALSE)</f>
        <v>深圳耕创</v>
      </c>
      <c r="J168" s="139" t="str">
        <f>VLOOKUP(H168,Stock_list!A:S,17,FALSE)</f>
        <v>C49SZX20230015DZ</v>
      </c>
      <c r="K168" s="51" t="str">
        <f>VLOOKUP(H168,Stock_list!A:T,16,FALSE)</f>
        <v>RMB</v>
      </c>
      <c r="L168" s="4">
        <v>45058</v>
      </c>
      <c r="M168" s="140">
        <v>10</v>
      </c>
      <c r="P168" s="4" t="str">
        <f>VLOOKUP(H168,Stock_list!A:Y,25,FALSE)</f>
        <v>Yes</v>
      </c>
      <c r="Q168" s="143"/>
      <c r="T168" s="144"/>
      <c r="U168" s="145" t="str">
        <f>VLOOKUP(H168,Stock_list!A:N,14,FALSE)</f>
        <v>MAY 23</v>
      </c>
    </row>
    <row r="169" spans="1:21" ht="16.5" customHeight="1">
      <c r="A169" s="159" t="s">
        <v>2755</v>
      </c>
      <c r="B169" s="114" t="str">
        <f>VLOOKUP(A169,'Data pick slip'!B:F,5,FALSE)</f>
        <v>KLJ-MC100-00</v>
      </c>
      <c r="F169" s="157" t="s">
        <v>2753</v>
      </c>
      <c r="H169" s="138">
        <v>1843</v>
      </c>
      <c r="I169" s="140" t="str">
        <f>VLOOKUP(H169,Stock_list!A:R,18,FALSE)</f>
        <v>惠州耕创</v>
      </c>
      <c r="J169" s="139" t="str">
        <f>VLOOKUP(H169,Stock_list!A:S,17,FALSE)</f>
        <v>C49SZX20230016DZ</v>
      </c>
      <c r="K169" s="51" t="str">
        <f>VLOOKUP(H169,Stock_list!A:T,16,FALSE)</f>
        <v>RMB</v>
      </c>
      <c r="L169" s="4">
        <v>45058</v>
      </c>
      <c r="M169" s="140">
        <v>60</v>
      </c>
      <c r="P169" s="4" t="str">
        <f>VLOOKUP(H169,Stock_list!A:Y,25,FALSE)</f>
        <v>Yes</v>
      </c>
      <c r="Q169" s="143"/>
      <c r="T169" s="144"/>
      <c r="U169" s="145" t="str">
        <f>VLOOKUP(H169,Stock_list!A:N,14,FALSE)</f>
        <v>MAY 23</v>
      </c>
    </row>
    <row r="170" spans="1:21" ht="16.5" customHeight="1">
      <c r="A170" s="159" t="s">
        <v>2744</v>
      </c>
      <c r="B170" s="114" t="str">
        <f>VLOOKUP(A170,'Data pick slip'!B:F,5,FALSE)</f>
        <v>KHJ-MC100-00</v>
      </c>
      <c r="F170" s="157" t="s">
        <v>2753</v>
      </c>
      <c r="H170" s="138">
        <v>1846</v>
      </c>
      <c r="I170" s="140" t="str">
        <f>VLOOKUP(H170,Stock_list!A:R,18,FALSE)</f>
        <v>裕达盛</v>
      </c>
      <c r="J170" s="139" t="str">
        <f>VLOOKUP(H170,Stock_list!A:S,17,FALSE)</f>
        <v>C49SZX20230023R1SX</v>
      </c>
      <c r="K170" s="51" t="str">
        <f>VLOOKUP(H170,Stock_list!A:T,16,FALSE)</f>
        <v>RMB</v>
      </c>
      <c r="L170" s="4">
        <v>45007</v>
      </c>
      <c r="M170" s="140">
        <v>10</v>
      </c>
      <c r="P170" s="4" t="str">
        <f>VLOOKUP(H170,Stock_list!A:Y,25,FALSE)</f>
        <v>Yes</v>
      </c>
      <c r="Q170" s="143"/>
      <c r="T170" s="144"/>
      <c r="U170" s="145" t="str">
        <f>VLOOKUP(H170,Stock_list!A:N,14,FALSE)</f>
        <v>MAR 23</v>
      </c>
    </row>
    <row r="171" spans="1:21" ht="16.5" customHeight="1">
      <c r="A171" s="159" t="s">
        <v>2748</v>
      </c>
      <c r="B171" s="114" t="str">
        <f>VLOOKUP(A171,'Data pick slip'!B:F,5,FALSE)</f>
        <v>KHJ-MC400-00</v>
      </c>
      <c r="F171" s="157" t="s">
        <v>2753</v>
      </c>
      <c r="H171" s="138">
        <v>1846</v>
      </c>
      <c r="I171" s="140" t="str">
        <f>VLOOKUP(H171,Stock_list!A:R,18,FALSE)</f>
        <v>裕达盛</v>
      </c>
      <c r="J171" s="139" t="str">
        <f>VLOOKUP(H171,Stock_list!A:S,17,FALSE)</f>
        <v>C49SZX20230023R1SX</v>
      </c>
      <c r="K171" s="51" t="str">
        <f>VLOOKUP(H171,Stock_list!A:T,16,FALSE)</f>
        <v>RMB</v>
      </c>
      <c r="L171" s="4">
        <v>45007</v>
      </c>
      <c r="M171" s="140">
        <v>1</v>
      </c>
      <c r="P171" s="4" t="str">
        <f>VLOOKUP(H171,Stock_list!A:Y,25,FALSE)</f>
        <v>Yes</v>
      </c>
      <c r="Q171" s="143"/>
      <c r="T171" s="144"/>
      <c r="U171" s="145" t="str">
        <f>VLOOKUP(H171,Stock_list!A:N,14,FALSE)</f>
        <v>MAR 23</v>
      </c>
    </row>
    <row r="172" spans="1:21" ht="16.5" customHeight="1">
      <c r="A172" s="159" t="s">
        <v>2744</v>
      </c>
      <c r="B172" s="114" t="str">
        <f>VLOOKUP(A172,'Data pick slip'!B:F,5,FALSE)</f>
        <v>KHJ-MC100-00</v>
      </c>
      <c r="F172" s="157" t="s">
        <v>2753</v>
      </c>
      <c r="H172" s="138">
        <v>1849</v>
      </c>
      <c r="I172" s="140" t="str">
        <f>VLOOKUP(H172,Stock_list!A:R,18,FALSE)</f>
        <v>建航</v>
      </c>
      <c r="J172" s="139" t="str">
        <f>VLOOKUP(H172,Stock_list!A:S,17,FALSE)</f>
        <v>C49SZX20230028JY</v>
      </c>
      <c r="K172" s="51" t="str">
        <f>VLOOKUP(H172,Stock_list!A:T,16,FALSE)</f>
        <v>RMB</v>
      </c>
      <c r="L172" s="4">
        <v>45031</v>
      </c>
      <c r="M172" s="132">
        <v>100</v>
      </c>
      <c r="P172" s="4" t="str">
        <f>VLOOKUP(H172,Stock_list!A:Y,25,FALSE)</f>
        <v>Yes</v>
      </c>
      <c r="Q172" s="143"/>
      <c r="T172" s="144"/>
      <c r="U172" s="145" t="str">
        <f>VLOOKUP(H172,Stock_list!A:N,14,FALSE)</f>
        <v>APR 23</v>
      </c>
    </row>
    <row r="173" spans="1:21" ht="16.5" customHeight="1">
      <c r="A173" s="159" t="s">
        <v>2747</v>
      </c>
      <c r="B173" s="114" t="str">
        <f>VLOOKUP(A173,'Data pick slip'!B:F,5,FALSE)</f>
        <v>KHJ-MC200-00</v>
      </c>
      <c r="F173" s="157" t="s">
        <v>2753</v>
      </c>
      <c r="H173" s="138">
        <v>1849</v>
      </c>
      <c r="I173" s="140" t="str">
        <f>VLOOKUP(H173,Stock_list!A:R,18,FALSE)</f>
        <v>建航</v>
      </c>
      <c r="J173" s="139" t="str">
        <f>VLOOKUP(H173,Stock_list!A:S,17,FALSE)</f>
        <v>C49SZX20230028JY</v>
      </c>
      <c r="K173" s="51" t="str">
        <f>VLOOKUP(H173,Stock_list!A:T,16,FALSE)</f>
        <v>RMB</v>
      </c>
      <c r="L173" s="4">
        <v>45031</v>
      </c>
      <c r="M173" s="132">
        <v>15</v>
      </c>
      <c r="P173" s="4" t="str">
        <f>VLOOKUP(H173,Stock_list!A:Y,25,FALSE)</f>
        <v>Yes</v>
      </c>
      <c r="Q173" s="143"/>
      <c r="T173" s="144"/>
      <c r="U173" s="145" t="str">
        <f>VLOOKUP(H173,Stock_list!A:N,14,FALSE)</f>
        <v>APR 23</v>
      </c>
    </row>
    <row r="174" spans="1:21" ht="16.5" customHeight="1">
      <c r="A174" s="159" t="s">
        <v>2748</v>
      </c>
      <c r="B174" s="114" t="str">
        <f>VLOOKUP(A174,'Data pick slip'!B:F,5,FALSE)</f>
        <v>KHJ-MC400-00</v>
      </c>
      <c r="F174" s="157" t="s">
        <v>2753</v>
      </c>
      <c r="H174" s="138">
        <v>1849</v>
      </c>
      <c r="I174" s="140" t="str">
        <f>VLOOKUP(H174,Stock_list!A:R,18,FALSE)</f>
        <v>建航</v>
      </c>
      <c r="J174" s="139" t="str">
        <f>VLOOKUP(H174,Stock_list!A:S,17,FALSE)</f>
        <v>C49SZX20230028JY</v>
      </c>
      <c r="K174" s="51" t="str">
        <f>VLOOKUP(H174,Stock_list!A:T,16,FALSE)</f>
        <v>RMB</v>
      </c>
      <c r="L174" s="4">
        <v>45031</v>
      </c>
      <c r="M174" s="132">
        <v>2</v>
      </c>
      <c r="P174" s="4" t="str">
        <f>VLOOKUP(H174,Stock_list!A:Y,25,FALSE)</f>
        <v>Yes</v>
      </c>
      <c r="Q174" s="143"/>
      <c r="T174" s="144"/>
      <c r="U174" s="145" t="str">
        <f>VLOOKUP(H174,Stock_list!A:N,14,FALSE)</f>
        <v>APR 23</v>
      </c>
    </row>
    <row r="175" spans="1:21" ht="16.5" customHeight="1">
      <c r="A175" s="159" t="s">
        <v>2749</v>
      </c>
      <c r="B175" s="114" t="str">
        <f>VLOOKUP(A175,'Data pick slip'!B:F,5,FALSE)</f>
        <v>KHJ-MC500-00</v>
      </c>
      <c r="F175" s="157" t="s">
        <v>2753</v>
      </c>
      <c r="H175" s="138">
        <v>1849</v>
      </c>
      <c r="I175" s="140" t="str">
        <f>VLOOKUP(H175,Stock_list!A:R,18,FALSE)</f>
        <v>建航</v>
      </c>
      <c r="J175" s="139" t="str">
        <f>VLOOKUP(H175,Stock_list!A:S,17,FALSE)</f>
        <v>C49SZX20230028JY</v>
      </c>
      <c r="K175" s="51" t="str">
        <f>VLOOKUP(H175,Stock_list!A:T,16,FALSE)</f>
        <v>RMB</v>
      </c>
      <c r="L175" s="4">
        <v>45031</v>
      </c>
      <c r="M175" s="132">
        <v>2</v>
      </c>
      <c r="P175" s="4" t="str">
        <f>VLOOKUP(H175,Stock_list!A:Y,25,FALSE)</f>
        <v>Yes</v>
      </c>
      <c r="Q175" s="143"/>
      <c r="T175" s="144"/>
      <c r="U175" s="145" t="str">
        <f>VLOOKUP(H175,Stock_list!A:N,14,FALSE)</f>
        <v>APR 23</v>
      </c>
    </row>
    <row r="176" spans="1:21" ht="16.5" customHeight="1">
      <c r="A176" s="159" t="s">
        <v>2750</v>
      </c>
      <c r="B176" s="114" t="str">
        <f>VLOOKUP(A176,'Data pick slip'!B:F,5,FALSE)</f>
        <v>KHJ-MC600-00</v>
      </c>
      <c r="F176" s="157" t="s">
        <v>2753</v>
      </c>
      <c r="H176" s="138">
        <v>1850</v>
      </c>
      <c r="I176" s="140" t="str">
        <f>VLOOKUP(H176,Stock_list!A:R,18,FALSE)</f>
        <v>兆晖</v>
      </c>
      <c r="J176" s="139" t="str">
        <f>VLOOKUP(H176,Stock_list!A:S,17,FALSE)</f>
        <v>C49SZX20230025DZ</v>
      </c>
      <c r="K176" s="51" t="str">
        <f>VLOOKUP(H176,Stock_list!A:T,16,FALSE)</f>
        <v>RMB</v>
      </c>
      <c r="L176" s="4">
        <v>44999</v>
      </c>
      <c r="M176" s="140">
        <v>1</v>
      </c>
      <c r="P176" s="4" t="str">
        <f>VLOOKUP(H176,Stock_list!A:Y,25,FALSE)</f>
        <v>Yes</v>
      </c>
      <c r="Q176" s="143"/>
      <c r="T176" s="144"/>
      <c r="U176" s="145" t="str">
        <f>VLOOKUP(H176,Stock_list!A:N,14,FALSE)</f>
        <v>MAR 23</v>
      </c>
    </row>
    <row r="177" spans="1:21" ht="16.5" customHeight="1">
      <c r="A177" s="159" t="s">
        <v>2744</v>
      </c>
      <c r="B177" s="114" t="str">
        <f>VLOOKUP(A177,'Data pick slip'!B:F,5,FALSE)</f>
        <v>KHJ-MC100-00</v>
      </c>
      <c r="F177" s="157" t="s">
        <v>2753</v>
      </c>
      <c r="H177" s="138">
        <v>1852</v>
      </c>
      <c r="I177" s="140" t="str">
        <f>VLOOKUP(H177,Stock_list!A:R,18,FALSE)</f>
        <v>乐福源</v>
      </c>
      <c r="J177" s="139" t="str">
        <f>VLOOKUP(H177,Stock_list!A:S,17,FALSE)</f>
        <v>C49SZX20230026EC</v>
      </c>
      <c r="K177" s="51" t="str">
        <f>VLOOKUP(H177,Stock_list!A:T,16,FALSE)</f>
        <v>RMB</v>
      </c>
      <c r="L177" s="4">
        <v>45028</v>
      </c>
      <c r="M177" s="132">
        <v>100</v>
      </c>
      <c r="P177" s="4" t="str">
        <f>VLOOKUP(H177,Stock_list!A:Y,25,FALSE)</f>
        <v>Yes</v>
      </c>
      <c r="Q177" s="143"/>
      <c r="T177" s="144"/>
      <c r="U177" s="145" t="str">
        <f>VLOOKUP(H177,Stock_list!A:N,14,FALSE)</f>
        <v>APR 23</v>
      </c>
    </row>
    <row r="178" spans="1:21" ht="16.5" customHeight="1">
      <c r="A178" s="159" t="s">
        <v>2747</v>
      </c>
      <c r="B178" s="114" t="str">
        <f>VLOOKUP(A178,'Data pick slip'!B:F,5,FALSE)</f>
        <v>KHJ-MC200-00</v>
      </c>
      <c r="F178" s="157" t="s">
        <v>2753</v>
      </c>
      <c r="H178" s="138">
        <v>1852</v>
      </c>
      <c r="I178" s="140" t="str">
        <f>VLOOKUP(H178,Stock_list!A:R,18,FALSE)</f>
        <v>乐福源</v>
      </c>
      <c r="J178" s="139" t="str">
        <f>VLOOKUP(H178,Stock_list!A:S,17,FALSE)</f>
        <v>C49SZX20230026EC</v>
      </c>
      <c r="K178" s="51" t="str">
        <f>VLOOKUP(H178,Stock_list!A:T,16,FALSE)</f>
        <v>RMB</v>
      </c>
      <c r="L178" s="4">
        <v>45028</v>
      </c>
      <c r="M178" s="132">
        <v>8</v>
      </c>
      <c r="P178" s="4" t="str">
        <f>VLOOKUP(H178,Stock_list!A:Y,25,FALSE)</f>
        <v>Yes</v>
      </c>
      <c r="Q178" s="143"/>
      <c r="T178" s="144"/>
      <c r="U178" s="145" t="str">
        <f>VLOOKUP(H178,Stock_list!A:N,14,FALSE)</f>
        <v>APR 23</v>
      </c>
    </row>
    <row r="179" spans="1:21" ht="16.5" customHeight="1">
      <c r="A179" s="159" t="s">
        <v>2748</v>
      </c>
      <c r="B179" s="114" t="str">
        <f>VLOOKUP(A179,'Data pick slip'!B:F,5,FALSE)</f>
        <v>KHJ-MC400-00</v>
      </c>
      <c r="F179" s="157" t="s">
        <v>2753</v>
      </c>
      <c r="H179" s="138">
        <v>1852</v>
      </c>
      <c r="I179" s="140" t="str">
        <f>VLOOKUP(H179,Stock_list!A:R,18,FALSE)</f>
        <v>乐福源</v>
      </c>
      <c r="J179" s="139" t="str">
        <f>VLOOKUP(H179,Stock_list!A:S,17,FALSE)</f>
        <v>C49SZX20230026EC</v>
      </c>
      <c r="K179" s="51" t="str">
        <f>VLOOKUP(H179,Stock_list!A:T,16,FALSE)</f>
        <v>RMB</v>
      </c>
      <c r="L179" s="4">
        <v>45028</v>
      </c>
      <c r="M179" s="132">
        <v>2</v>
      </c>
      <c r="P179" s="4" t="str">
        <f>VLOOKUP(H179,Stock_list!A:Y,25,FALSE)</f>
        <v>Yes</v>
      </c>
      <c r="Q179" s="143"/>
      <c r="T179" s="144"/>
      <c r="U179" s="145" t="str">
        <f>VLOOKUP(H179,Stock_list!A:N,14,FALSE)</f>
        <v>APR 23</v>
      </c>
    </row>
    <row r="180" spans="1:21" ht="16.5" customHeight="1">
      <c r="A180" s="159" t="s">
        <v>2744</v>
      </c>
      <c r="B180" s="114" t="str">
        <f>VLOOKUP(A180,'Data pick slip'!B:F,5,FALSE)</f>
        <v>KHJ-MC100-00</v>
      </c>
      <c r="F180" s="157" t="s">
        <v>2753</v>
      </c>
      <c r="H180" s="138">
        <v>1854</v>
      </c>
      <c r="I180" s="140" t="str">
        <f>VLOOKUP(H180,Stock_list!A:R,18,FALSE)</f>
        <v>和创永泰</v>
      </c>
      <c r="J180" s="139" t="str">
        <f>VLOOKUP(H180,Stock_list!A:S,17,FALSE)</f>
        <v>C49SZX20230030JY</v>
      </c>
      <c r="K180" s="51" t="str">
        <f>VLOOKUP(H180,Stock_list!A:T,16,FALSE)</f>
        <v>RMB</v>
      </c>
      <c r="L180" s="4">
        <v>44987</v>
      </c>
      <c r="M180" s="140">
        <v>20</v>
      </c>
      <c r="P180" s="4" t="str">
        <f>VLOOKUP(H180,Stock_list!A:Y,25,FALSE)</f>
        <v>Yes</v>
      </c>
      <c r="Q180" s="143"/>
      <c r="T180" s="144"/>
      <c r="U180" s="145" t="str">
        <f>VLOOKUP(H180,Stock_list!A:N,14,FALSE)</f>
        <v>MAR 23</v>
      </c>
    </row>
    <row r="181" spans="1:21" ht="16.5" customHeight="1">
      <c r="A181" s="159" t="s">
        <v>2747</v>
      </c>
      <c r="B181" s="114" t="str">
        <f>VLOOKUP(A181,'Data pick slip'!B:F,5,FALSE)</f>
        <v>KHJ-MC200-00</v>
      </c>
      <c r="F181" s="157" t="s">
        <v>2753</v>
      </c>
      <c r="H181" s="138">
        <v>1854</v>
      </c>
      <c r="I181" s="140" t="str">
        <f>VLOOKUP(H181,Stock_list!A:R,18,FALSE)</f>
        <v>和创永泰</v>
      </c>
      <c r="J181" s="139" t="str">
        <f>VLOOKUP(H181,Stock_list!A:S,17,FALSE)</f>
        <v>C49SZX20230030JY</v>
      </c>
      <c r="K181" s="51" t="str">
        <f>VLOOKUP(H181,Stock_list!A:T,16,FALSE)</f>
        <v>RMB</v>
      </c>
      <c r="L181" s="4">
        <v>44987</v>
      </c>
      <c r="M181" s="140">
        <v>8</v>
      </c>
      <c r="P181" s="4" t="str">
        <f>VLOOKUP(H181,Stock_list!A:Y,25,FALSE)</f>
        <v>Yes</v>
      </c>
      <c r="Q181" s="143"/>
      <c r="T181" s="144"/>
      <c r="U181" s="145" t="str">
        <f>VLOOKUP(H181,Stock_list!A:N,14,FALSE)</f>
        <v>MAR 23</v>
      </c>
    </row>
    <row r="182" spans="1:21" ht="16.5" customHeight="1">
      <c r="A182" s="159" t="s">
        <v>2748</v>
      </c>
      <c r="B182" s="114" t="str">
        <f>VLOOKUP(A182,'Data pick slip'!B:F,5,FALSE)</f>
        <v>KHJ-MC400-00</v>
      </c>
      <c r="F182" s="157" t="s">
        <v>2753</v>
      </c>
      <c r="H182" s="138">
        <v>1854</v>
      </c>
      <c r="I182" s="140" t="str">
        <f>VLOOKUP(H182,Stock_list!A:R,18,FALSE)</f>
        <v>和创永泰</v>
      </c>
      <c r="J182" s="139" t="str">
        <f>VLOOKUP(H182,Stock_list!A:S,17,FALSE)</f>
        <v>C49SZX20230030JY</v>
      </c>
      <c r="K182" s="51" t="str">
        <f>VLOOKUP(H182,Stock_list!A:T,16,FALSE)</f>
        <v>RMB</v>
      </c>
      <c r="L182" s="4">
        <v>44987</v>
      </c>
      <c r="M182" s="140">
        <v>4</v>
      </c>
      <c r="P182" s="4" t="str">
        <f>VLOOKUP(H182,Stock_list!A:Y,25,FALSE)</f>
        <v>Yes</v>
      </c>
      <c r="Q182" s="143"/>
      <c r="T182" s="144"/>
      <c r="U182" s="145" t="str">
        <f>VLOOKUP(H182,Stock_list!A:N,14,FALSE)</f>
        <v>MAR 23</v>
      </c>
    </row>
    <row r="183" spans="1:21" ht="16.5" customHeight="1">
      <c r="A183" s="159" t="s">
        <v>2751</v>
      </c>
      <c r="B183" s="114" t="str">
        <f>VLOOKUP(A183,'Data pick slip'!B:F,5,FALSE)</f>
        <v>KHJ-MC700-00</v>
      </c>
      <c r="F183" s="157" t="s">
        <v>2753</v>
      </c>
      <c r="H183" s="138">
        <v>1788</v>
      </c>
      <c r="I183" s="140" t="str">
        <f>VLOOKUP(H183,Stock_list!A:R,18,FALSE)</f>
        <v>海红天远</v>
      </c>
      <c r="J183" s="139" t="str">
        <f>VLOOKUP(H183,Stock_list!A:S,17,FALSE)</f>
        <v>C49SZX20220128EC</v>
      </c>
      <c r="K183" s="51" t="str">
        <f>VLOOKUP(H183,Stock_list!A:T,16,FALSE)</f>
        <v>JPY</v>
      </c>
      <c r="L183" s="290">
        <v>45013</v>
      </c>
      <c r="M183" s="140">
        <v>1</v>
      </c>
      <c r="P183" s="4" t="str">
        <f>VLOOKUP(H183,Stock_list!A:Y,25,FALSE)</f>
        <v>Yes</v>
      </c>
      <c r="Q183" s="143"/>
      <c r="S183" s="268" t="s">
        <v>2778</v>
      </c>
      <c r="T183" s="266" t="s">
        <v>2780</v>
      </c>
      <c r="U183" s="145"/>
    </row>
    <row r="184" spans="1:21" ht="16.5" customHeight="1">
      <c r="A184" s="159" t="s">
        <v>2758</v>
      </c>
      <c r="B184" s="114" t="str">
        <f>VLOOKUP(A184,'Data pick slip'!B:F,5,FALSE)</f>
        <v>KLJ-MC500-00</v>
      </c>
      <c r="F184" s="157" t="s">
        <v>2753</v>
      </c>
      <c r="H184" s="138">
        <v>1854</v>
      </c>
      <c r="I184" s="335" t="str">
        <f>VLOOKUP(H184,Stock_list!A:R,18,FALSE)</f>
        <v>和创永泰</v>
      </c>
      <c r="J184" s="332" t="str">
        <f>VLOOKUP(H184,Stock_list!A:S,17,FALSE)</f>
        <v>C49SZX20230030JY</v>
      </c>
      <c r="K184" s="333" t="str">
        <f>VLOOKUP(H184,Stock_list!A:T,16,FALSE)</f>
        <v>RMB</v>
      </c>
      <c r="L184" s="334" t="s">
        <v>2781</v>
      </c>
      <c r="M184" s="335">
        <v>4</v>
      </c>
      <c r="P184" s="4" t="str">
        <f>VLOOKUP(H184,Stock_list!A:Y,25,FALSE)</f>
        <v>Yes</v>
      </c>
      <c r="Q184" s="143"/>
      <c r="T184" s="144"/>
      <c r="U184" s="145"/>
    </row>
    <row r="185" spans="1:21" ht="16.5" customHeight="1">
      <c r="A185" s="159" t="s">
        <v>2759</v>
      </c>
      <c r="B185" s="114" t="str">
        <f>VLOOKUP(A185,'Data pick slip'!B:F,5,FALSE)</f>
        <v>KLJ-MC600-00</v>
      </c>
      <c r="F185" s="157" t="s">
        <v>2753</v>
      </c>
      <c r="H185" s="138">
        <v>1854</v>
      </c>
      <c r="I185" s="335" t="str">
        <f>VLOOKUP(H185,Stock_list!A:R,18,FALSE)</f>
        <v>和创永泰</v>
      </c>
      <c r="J185" s="332" t="str">
        <f>VLOOKUP(H185,Stock_list!A:S,17,FALSE)</f>
        <v>C49SZX20230030JY</v>
      </c>
      <c r="K185" s="333" t="str">
        <f>VLOOKUP(H185,Stock_list!A:T,16,FALSE)</f>
        <v>RMB</v>
      </c>
      <c r="L185" s="334" t="s">
        <v>2781</v>
      </c>
      <c r="M185" s="335">
        <v>3</v>
      </c>
      <c r="P185" s="4" t="str">
        <f>VLOOKUP(H185,Stock_list!A:Y,25,FALSE)</f>
        <v>Yes</v>
      </c>
      <c r="Q185" s="143"/>
      <c r="T185" s="144"/>
      <c r="U185" s="145"/>
    </row>
    <row r="186" spans="1:21" ht="16.5" customHeight="1">
      <c r="A186" s="159" t="s">
        <v>2744</v>
      </c>
      <c r="B186" s="114" t="str">
        <f>VLOOKUP(A186,'Data pick slip'!B:F,5,FALSE)</f>
        <v>KHJ-MC100-00</v>
      </c>
      <c r="F186" s="157" t="s">
        <v>2753</v>
      </c>
      <c r="H186" s="138">
        <v>1855</v>
      </c>
      <c r="I186" s="140" t="str">
        <f>VLOOKUP(H186,Stock_list!A:R,18,FALSE)</f>
        <v>奕东</v>
      </c>
      <c r="J186" s="139" t="str">
        <f>VLOOKUP(H186,Stock_list!A:S,17,FALSE)</f>
        <v>C49SZX20230020SX</v>
      </c>
      <c r="K186" s="51" t="str">
        <f>VLOOKUP(H186,Stock_list!A:T,16,FALSE)</f>
        <v>RMB</v>
      </c>
      <c r="L186" s="4">
        <v>45089</v>
      </c>
      <c r="M186" s="143">
        <v>9</v>
      </c>
      <c r="P186" s="4" t="str">
        <f>VLOOKUP(H186,Stock_list!A:Y,25,FALSE)</f>
        <v>Yes</v>
      </c>
      <c r="T186" s="144"/>
      <c r="U186" s="145" t="str">
        <f>VLOOKUP(H186,Stock_list!A:N,14,FALSE)</f>
        <v>JUN 23</v>
      </c>
    </row>
    <row r="187" spans="1:21" ht="16.5" customHeight="1">
      <c r="A187" s="159" t="s">
        <v>2747</v>
      </c>
      <c r="B187" s="114" t="str">
        <f>VLOOKUP(A187,'Data pick slip'!B:F,5,FALSE)</f>
        <v>KHJ-MC200-00</v>
      </c>
      <c r="F187" s="157" t="s">
        <v>2753</v>
      </c>
      <c r="H187" s="138">
        <v>1855</v>
      </c>
      <c r="I187" s="140" t="str">
        <f>VLOOKUP(H187,Stock_list!A:R,18,FALSE)</f>
        <v>奕东</v>
      </c>
      <c r="J187" s="139" t="str">
        <f>VLOOKUP(H187,Stock_list!A:S,17,FALSE)</f>
        <v>C49SZX20230020SX</v>
      </c>
      <c r="K187" s="51" t="str">
        <f>VLOOKUP(H187,Stock_list!A:T,16,FALSE)</f>
        <v>RMB</v>
      </c>
      <c r="L187" s="4">
        <v>45089</v>
      </c>
      <c r="M187" s="143">
        <v>4</v>
      </c>
      <c r="P187" s="4" t="str">
        <f>VLOOKUP(H187,Stock_list!A:Y,25,FALSE)</f>
        <v>Yes</v>
      </c>
      <c r="T187" s="144"/>
      <c r="U187" s="145" t="str">
        <f>VLOOKUP(H187,Stock_list!A:N,14,FALSE)</f>
        <v>JUN 23</v>
      </c>
    </row>
    <row r="188" spans="1:21" ht="16.5" customHeight="1">
      <c r="A188" s="159" t="s">
        <v>2748</v>
      </c>
      <c r="B188" s="114" t="str">
        <f>VLOOKUP(A188,'Data pick slip'!B:F,5,FALSE)</f>
        <v>KHJ-MC400-00</v>
      </c>
      <c r="F188" s="157" t="s">
        <v>2753</v>
      </c>
      <c r="H188" s="138">
        <v>1855</v>
      </c>
      <c r="I188" s="140" t="str">
        <f>VLOOKUP(H188,Stock_list!A:R,18,FALSE)</f>
        <v>奕东</v>
      </c>
      <c r="J188" s="139" t="str">
        <f>VLOOKUP(H188,Stock_list!A:S,17,FALSE)</f>
        <v>C49SZX20230020SX</v>
      </c>
      <c r="K188" s="51" t="str">
        <f>VLOOKUP(H188,Stock_list!A:T,16,FALSE)</f>
        <v>RMB</v>
      </c>
      <c r="L188" s="4">
        <v>45089</v>
      </c>
      <c r="M188" s="143">
        <v>3</v>
      </c>
      <c r="P188" s="4" t="str">
        <f>VLOOKUP(H188,Stock_list!A:Y,25,FALSE)</f>
        <v>Yes</v>
      </c>
      <c r="T188" s="144"/>
      <c r="U188" s="145" t="str">
        <f>VLOOKUP(H188,Stock_list!A:N,14,FALSE)</f>
        <v>JUN 23</v>
      </c>
    </row>
    <row r="189" spans="1:21" ht="16.5" customHeight="1">
      <c r="A189" s="159" t="s">
        <v>2749</v>
      </c>
      <c r="B189" s="114" t="str">
        <f>VLOOKUP(A189,'Data pick slip'!B:F,5,FALSE)</f>
        <v>KHJ-MC500-00</v>
      </c>
      <c r="F189" s="157" t="s">
        <v>2753</v>
      </c>
      <c r="H189" s="138">
        <v>1855</v>
      </c>
      <c r="I189" s="140" t="str">
        <f>VLOOKUP(H189,Stock_list!A:R,18,FALSE)</f>
        <v>奕东</v>
      </c>
      <c r="J189" s="139" t="str">
        <f>VLOOKUP(H189,Stock_list!A:S,17,FALSE)</f>
        <v>C49SZX20230020SX</v>
      </c>
      <c r="K189" s="51" t="str">
        <f>VLOOKUP(H189,Stock_list!A:T,16,FALSE)</f>
        <v>RMB</v>
      </c>
      <c r="L189" s="4">
        <v>45089</v>
      </c>
      <c r="M189" s="143">
        <v>3</v>
      </c>
      <c r="P189" s="4" t="str">
        <f>VLOOKUP(H189,Stock_list!A:Y,25,FALSE)</f>
        <v>Yes</v>
      </c>
      <c r="T189" s="144"/>
      <c r="U189" s="145" t="str">
        <f>VLOOKUP(H189,Stock_list!A:N,14,FALSE)</f>
        <v>JUN 23</v>
      </c>
    </row>
    <row r="190" spans="1:21" ht="16.5" customHeight="1">
      <c r="A190" s="159" t="s">
        <v>2750</v>
      </c>
      <c r="B190" s="114" t="str">
        <f>VLOOKUP(A190,'Data pick slip'!B:F,5,FALSE)</f>
        <v>KHJ-MC600-00</v>
      </c>
      <c r="F190" s="157" t="s">
        <v>2753</v>
      </c>
      <c r="H190" s="138">
        <v>1855</v>
      </c>
      <c r="I190" s="140" t="str">
        <f>VLOOKUP(H190,Stock_list!A:R,18,FALSE)</f>
        <v>奕东</v>
      </c>
      <c r="J190" s="139" t="str">
        <f>VLOOKUP(H190,Stock_list!A:S,17,FALSE)</f>
        <v>C49SZX20230020SX</v>
      </c>
      <c r="K190" s="51" t="str">
        <f>VLOOKUP(H190,Stock_list!A:T,16,FALSE)</f>
        <v>RMB</v>
      </c>
      <c r="L190" s="4">
        <v>45089</v>
      </c>
      <c r="M190" s="143">
        <v>2</v>
      </c>
      <c r="P190" s="4" t="str">
        <f>VLOOKUP(H190,Stock_list!A:Y,25,FALSE)</f>
        <v>Yes</v>
      </c>
      <c r="T190" s="144"/>
      <c r="U190" s="145" t="str">
        <f>VLOOKUP(H190,Stock_list!A:N,14,FALSE)</f>
        <v>JUN 23</v>
      </c>
    </row>
    <row r="191" spans="1:21" ht="16.5" customHeight="1">
      <c r="A191" s="159" t="s">
        <v>2751</v>
      </c>
      <c r="B191" s="114" t="str">
        <f>VLOOKUP(A191,'Data pick slip'!B:F,5,FALSE)</f>
        <v>KHJ-MC700-00</v>
      </c>
      <c r="F191" s="157" t="s">
        <v>2753</v>
      </c>
      <c r="H191" s="138">
        <v>1855</v>
      </c>
      <c r="I191" s="140" t="str">
        <f>VLOOKUP(H191,Stock_list!A:R,18,FALSE)</f>
        <v>奕东</v>
      </c>
      <c r="J191" s="139" t="str">
        <f>VLOOKUP(H191,Stock_list!A:S,17,FALSE)</f>
        <v>C49SZX20230020SX</v>
      </c>
      <c r="K191" s="51" t="str">
        <f>VLOOKUP(H191,Stock_list!A:T,16,FALSE)</f>
        <v>RMB</v>
      </c>
      <c r="L191" s="4">
        <v>45089</v>
      </c>
      <c r="M191" s="143">
        <v>2</v>
      </c>
      <c r="P191" s="4" t="str">
        <f>VLOOKUP(H191,Stock_list!A:Y,25,FALSE)</f>
        <v>Yes</v>
      </c>
      <c r="T191" s="144"/>
      <c r="U191" s="145" t="str">
        <f>VLOOKUP(H191,Stock_list!A:N,14,FALSE)</f>
        <v>JUN 23</v>
      </c>
    </row>
    <row r="192" spans="1:21" ht="16.5" customHeight="1">
      <c r="A192" s="159" t="s">
        <v>2752</v>
      </c>
      <c r="B192" s="114" t="str">
        <f>VLOOKUP(A192,'Data pick slip'!B:F,5,FALSE)</f>
        <v>KHJ-MC800-00</v>
      </c>
      <c r="F192" s="157" t="s">
        <v>2753</v>
      </c>
      <c r="H192" s="138">
        <v>1855</v>
      </c>
      <c r="I192" s="140" t="str">
        <f>VLOOKUP(H192,Stock_list!A:R,18,FALSE)</f>
        <v>奕东</v>
      </c>
      <c r="J192" s="139" t="str">
        <f>VLOOKUP(H192,Stock_list!A:S,17,FALSE)</f>
        <v>C49SZX20230020SX</v>
      </c>
      <c r="K192" s="51" t="str">
        <f>VLOOKUP(H192,Stock_list!A:T,16,FALSE)</f>
        <v>RMB</v>
      </c>
      <c r="L192" s="4">
        <v>45089</v>
      </c>
      <c r="M192" s="143">
        <v>1</v>
      </c>
      <c r="P192" s="4" t="str">
        <f>VLOOKUP(H192,Stock_list!A:Y,25,FALSE)</f>
        <v>Yes</v>
      </c>
      <c r="T192" s="144"/>
      <c r="U192" s="145" t="str">
        <f>VLOOKUP(H192,Stock_list!A:N,14,FALSE)</f>
        <v>JUN 23</v>
      </c>
    </row>
    <row r="193" spans="1:21" ht="16.5" customHeight="1">
      <c r="A193" s="159" t="s">
        <v>2761</v>
      </c>
      <c r="B193" s="114" t="str">
        <f>VLOOKUP(A193,'Data pick slip'!B:F,5,FALSE)</f>
        <v>KLJ-MC800-00</v>
      </c>
      <c r="F193" s="157" t="s">
        <v>2753</v>
      </c>
      <c r="H193" s="138">
        <v>1855</v>
      </c>
      <c r="I193" s="140" t="str">
        <f>VLOOKUP(H193,Stock_list!A:R,18,FALSE)</f>
        <v>奕东</v>
      </c>
      <c r="J193" s="139" t="str">
        <f>VLOOKUP(H193,Stock_list!A:S,17,FALSE)</f>
        <v>C49SZX20230020SX</v>
      </c>
      <c r="K193" s="51" t="str">
        <f>VLOOKUP(H193,Stock_list!A:T,16,FALSE)</f>
        <v>RMB</v>
      </c>
      <c r="L193" s="4">
        <v>45089</v>
      </c>
      <c r="M193" s="143">
        <v>1</v>
      </c>
      <c r="P193" s="4" t="str">
        <f>VLOOKUP(H193,Stock_list!A:Y,25,FALSE)</f>
        <v>Yes</v>
      </c>
      <c r="T193" s="144"/>
      <c r="U193" s="145" t="str">
        <f>VLOOKUP(H193,Stock_list!A:N,14,FALSE)</f>
        <v>JUN 23</v>
      </c>
    </row>
    <row r="194" spans="1:21" ht="16.5" customHeight="1">
      <c r="A194" s="159" t="s">
        <v>2755</v>
      </c>
      <c r="B194" s="114" t="str">
        <f>VLOOKUP(A194,'Data pick slip'!B:F,5,FALSE)</f>
        <v>KLJ-MC100-00</v>
      </c>
      <c r="F194" s="157" t="s">
        <v>2753</v>
      </c>
      <c r="H194" s="138">
        <v>1856</v>
      </c>
      <c r="I194" s="140" t="str">
        <f>VLOOKUP(H194,Stock_list!A:R,18,FALSE)</f>
        <v>龙大光电</v>
      </c>
      <c r="J194" s="139" t="str">
        <f>VLOOKUP(H194,Stock_list!A:S,17,FALSE)</f>
        <v>C49SZX20230029SS</v>
      </c>
      <c r="K194" s="51" t="str">
        <f>VLOOKUP(H194,Stock_list!A:T,16,FALSE)</f>
        <v>RMB</v>
      </c>
      <c r="L194" s="4">
        <v>45042</v>
      </c>
      <c r="M194" s="140">
        <v>80</v>
      </c>
      <c r="P194" s="4" t="str">
        <f>VLOOKUP(H194,Stock_list!A:Y,25,FALSE)</f>
        <v>Yes</v>
      </c>
      <c r="Q194" s="143"/>
      <c r="T194" s="144"/>
      <c r="U194" s="145" t="str">
        <f>VLOOKUP(H194,Stock_list!A:N,14,FALSE)</f>
        <v>APR 23</v>
      </c>
    </row>
    <row r="195" spans="1:21" ht="16.5" customHeight="1">
      <c r="A195" s="159" t="s">
        <v>2744</v>
      </c>
      <c r="B195" s="114" t="str">
        <f>VLOOKUP(A195,'Data pick slip'!B:F,5,FALSE)</f>
        <v>KHJ-MC100-00</v>
      </c>
      <c r="F195" s="157" t="s">
        <v>2753</v>
      </c>
      <c r="H195" s="138">
        <v>1866</v>
      </c>
      <c r="I195" s="140" t="str">
        <f>VLOOKUP(H195,Stock_list!A:R,18,FALSE)</f>
        <v>博祯</v>
      </c>
      <c r="J195" s="139" t="str">
        <f>VLOOKUP(H195,Stock_list!A:S,17,FALSE)</f>
        <v>C49SZX20230035SX</v>
      </c>
      <c r="K195" s="51" t="str">
        <f>VLOOKUP(H195,Stock_list!A:T,16,FALSE)</f>
        <v>RMB</v>
      </c>
      <c r="L195" s="4">
        <v>45003</v>
      </c>
      <c r="M195" s="140">
        <v>90</v>
      </c>
      <c r="P195" s="4" t="str">
        <f>VLOOKUP(H195,Stock_list!A:Y,25,FALSE)</f>
        <v>Yes</v>
      </c>
      <c r="Q195" s="143"/>
      <c r="T195" s="144"/>
      <c r="U195" s="145" t="str">
        <f>VLOOKUP(H195,Stock_list!A:N,14,FALSE)</f>
        <v>MAR 23</v>
      </c>
    </row>
    <row r="196" spans="1:21" ht="16.5" customHeight="1">
      <c r="A196" s="159" t="s">
        <v>2747</v>
      </c>
      <c r="B196" s="114" t="str">
        <f>VLOOKUP(A196,'Data pick slip'!B:F,5,FALSE)</f>
        <v>KHJ-MC200-00</v>
      </c>
      <c r="F196" s="157" t="s">
        <v>2753</v>
      </c>
      <c r="H196" s="138">
        <v>1866</v>
      </c>
      <c r="I196" s="140" t="str">
        <f>VLOOKUP(H196,Stock_list!A:R,18,FALSE)</f>
        <v>博祯</v>
      </c>
      <c r="J196" s="139" t="str">
        <f>VLOOKUP(H196,Stock_list!A:S,17,FALSE)</f>
        <v>C49SZX20230035SX</v>
      </c>
      <c r="K196" s="51" t="str">
        <f>VLOOKUP(H196,Stock_list!A:T,16,FALSE)</f>
        <v>RMB</v>
      </c>
      <c r="L196" s="4">
        <v>45003</v>
      </c>
      <c r="M196" s="140">
        <v>10</v>
      </c>
      <c r="P196" s="4" t="str">
        <f>VLOOKUP(H196,Stock_list!A:Y,25,FALSE)</f>
        <v>Yes</v>
      </c>
      <c r="Q196" s="143"/>
      <c r="T196" s="144"/>
      <c r="U196" s="145" t="str">
        <f>VLOOKUP(H196,Stock_list!A:N,14,FALSE)</f>
        <v>MAR 23</v>
      </c>
    </row>
    <row r="197" spans="1:21" ht="16.5" customHeight="1">
      <c r="A197" s="159" t="s">
        <v>2748</v>
      </c>
      <c r="B197" s="114" t="str">
        <f>VLOOKUP(A197,'Data pick slip'!B:F,5,FALSE)</f>
        <v>KHJ-MC400-00</v>
      </c>
      <c r="F197" s="157" t="s">
        <v>2753</v>
      </c>
      <c r="H197" s="138">
        <v>1866</v>
      </c>
      <c r="I197" s="140" t="str">
        <f>VLOOKUP(H197,Stock_list!A:R,18,FALSE)</f>
        <v>博祯</v>
      </c>
      <c r="J197" s="139" t="str">
        <f>VLOOKUP(H197,Stock_list!A:S,17,FALSE)</f>
        <v>C49SZX20230035SX</v>
      </c>
      <c r="K197" s="51" t="str">
        <f>VLOOKUP(H197,Stock_list!A:T,16,FALSE)</f>
        <v>RMB</v>
      </c>
      <c r="L197" s="4">
        <v>45003</v>
      </c>
      <c r="M197" s="140">
        <v>5</v>
      </c>
      <c r="P197" s="4" t="str">
        <f>VLOOKUP(H197,Stock_list!A:Y,25,FALSE)</f>
        <v>Yes</v>
      </c>
      <c r="Q197" s="143"/>
      <c r="T197" s="144"/>
      <c r="U197" s="145" t="str">
        <f>VLOOKUP(H197,Stock_list!A:N,14,FALSE)</f>
        <v>MAR 23</v>
      </c>
    </row>
    <row r="198" spans="1:21" ht="16.5" customHeight="1">
      <c r="A198" s="159" t="s">
        <v>2749</v>
      </c>
      <c r="B198" s="114" t="str">
        <f>VLOOKUP(A198,'Data pick slip'!B:F,5,FALSE)</f>
        <v>KHJ-MC500-00</v>
      </c>
      <c r="F198" s="157" t="s">
        <v>2753</v>
      </c>
      <c r="H198" s="138">
        <v>1866</v>
      </c>
      <c r="I198" s="140" t="str">
        <f>VLOOKUP(H198,Stock_list!A:R,18,FALSE)</f>
        <v>博祯</v>
      </c>
      <c r="J198" s="139" t="str">
        <f>VLOOKUP(H198,Stock_list!A:S,17,FALSE)</f>
        <v>C49SZX20230035SX</v>
      </c>
      <c r="K198" s="51" t="str">
        <f>VLOOKUP(H198,Stock_list!A:T,16,FALSE)</f>
        <v>RMB</v>
      </c>
      <c r="L198" s="4">
        <v>45003</v>
      </c>
      <c r="M198" s="140">
        <v>5</v>
      </c>
      <c r="P198" s="4" t="str">
        <f>VLOOKUP(H198,Stock_list!A:Y,25,FALSE)</f>
        <v>Yes</v>
      </c>
      <c r="Q198" s="143"/>
      <c r="T198" s="144"/>
      <c r="U198" s="145" t="str">
        <f>VLOOKUP(H198,Stock_list!A:N,14,FALSE)</f>
        <v>MAR 23</v>
      </c>
    </row>
    <row r="199" spans="1:21" ht="16.5" customHeight="1">
      <c r="A199" s="159" t="s">
        <v>2750</v>
      </c>
      <c r="B199" s="114" t="str">
        <f>VLOOKUP(A199,'Data pick slip'!B:F,5,FALSE)</f>
        <v>KHJ-MC600-00</v>
      </c>
      <c r="F199" s="157" t="s">
        <v>2753</v>
      </c>
      <c r="H199" s="138">
        <v>1866</v>
      </c>
      <c r="I199" s="140" t="str">
        <f>VLOOKUP(H199,Stock_list!A:R,18,FALSE)</f>
        <v>博祯</v>
      </c>
      <c r="J199" s="139" t="str">
        <f>VLOOKUP(H199,Stock_list!A:S,17,FALSE)</f>
        <v>C49SZX20230035SX</v>
      </c>
      <c r="K199" s="51" t="str">
        <f>VLOOKUP(H199,Stock_list!A:T,16,FALSE)</f>
        <v>RMB</v>
      </c>
      <c r="L199" s="4">
        <v>45003</v>
      </c>
      <c r="M199" s="140">
        <v>3</v>
      </c>
      <c r="P199" s="4" t="str">
        <f>VLOOKUP(H199,Stock_list!A:Y,25,FALSE)</f>
        <v>Yes</v>
      </c>
      <c r="Q199" s="143"/>
      <c r="T199" s="144"/>
      <c r="U199" s="145" t="str">
        <f>VLOOKUP(H199,Stock_list!A:N,14,FALSE)</f>
        <v>MAR 23</v>
      </c>
    </row>
    <row r="200" spans="1:21" ht="16.5" customHeight="1">
      <c r="A200" s="159" t="s">
        <v>2744</v>
      </c>
      <c r="B200" s="114" t="str">
        <f>VLOOKUP(A200,'Data pick slip'!B:F,5,FALSE)</f>
        <v>KHJ-MC100-00</v>
      </c>
      <c r="F200" s="157" t="s">
        <v>2753</v>
      </c>
      <c r="H200" s="138">
        <v>1866</v>
      </c>
      <c r="I200" s="140" t="str">
        <f>VLOOKUP(H200,Stock_list!A:R,18,FALSE)</f>
        <v>博祯</v>
      </c>
      <c r="J200" s="139" t="str">
        <f>VLOOKUP(H200,Stock_list!A:S,17,FALSE)</f>
        <v>C49SZX20230035SX</v>
      </c>
      <c r="K200" s="51" t="str">
        <f>VLOOKUP(H200,Stock_list!A:T,16,FALSE)</f>
        <v>RMB</v>
      </c>
      <c r="L200" s="290">
        <v>45142</v>
      </c>
      <c r="M200" s="140">
        <v>89</v>
      </c>
      <c r="P200" s="4" t="str">
        <f>VLOOKUP(H200,Stock_list!A:Y,25,FALSE)</f>
        <v>Yes</v>
      </c>
      <c r="Q200" s="143"/>
      <c r="T200" s="144"/>
      <c r="U200" s="145" t="str">
        <f>VLOOKUP(H200,Stock_list!A:N,14,FALSE)</f>
        <v>MAR 23</v>
      </c>
    </row>
    <row r="201" spans="1:21" ht="16.5" customHeight="1">
      <c r="A201" s="159" t="s">
        <v>2747</v>
      </c>
      <c r="B201" s="114" t="str">
        <f>VLOOKUP(A201,'Data pick slip'!B:F,5,FALSE)</f>
        <v>KHJ-MC200-00</v>
      </c>
      <c r="F201" s="157" t="s">
        <v>2753</v>
      </c>
      <c r="H201" s="138">
        <v>1866</v>
      </c>
      <c r="I201" s="140" t="str">
        <f>VLOOKUP(H201,Stock_list!A:R,18,FALSE)</f>
        <v>博祯</v>
      </c>
      <c r="J201" s="139" t="str">
        <f>VLOOKUP(H201,Stock_list!A:S,17,FALSE)</f>
        <v>C49SZX20230035SX</v>
      </c>
      <c r="K201" s="51" t="str">
        <f>VLOOKUP(H201,Stock_list!A:T,16,FALSE)</f>
        <v>RMB</v>
      </c>
      <c r="L201" s="290">
        <v>45142</v>
      </c>
      <c r="M201" s="140">
        <v>20</v>
      </c>
      <c r="P201" s="4" t="str">
        <f>VLOOKUP(H201,Stock_list!A:Y,25,FALSE)</f>
        <v>Yes</v>
      </c>
      <c r="Q201" s="143"/>
      <c r="T201" s="144"/>
      <c r="U201" s="145" t="str">
        <f>VLOOKUP(H201,Stock_list!A:N,14,FALSE)</f>
        <v>MAR 23</v>
      </c>
    </row>
    <row r="202" spans="1:21" ht="16.5" customHeight="1">
      <c r="A202" s="159" t="s">
        <v>2748</v>
      </c>
      <c r="B202" s="114" t="str">
        <f>VLOOKUP(A202,'Data pick slip'!B:F,5,FALSE)</f>
        <v>KHJ-MC400-00</v>
      </c>
      <c r="F202" s="157" t="s">
        <v>2753</v>
      </c>
      <c r="H202" s="138">
        <v>1866</v>
      </c>
      <c r="I202" s="140" t="str">
        <f>VLOOKUP(H202,Stock_list!A:R,18,FALSE)</f>
        <v>博祯</v>
      </c>
      <c r="J202" s="139" t="str">
        <f>VLOOKUP(H202,Stock_list!A:S,17,FALSE)</f>
        <v>C49SZX20230035SX</v>
      </c>
      <c r="K202" s="51" t="str">
        <f>VLOOKUP(H202,Stock_list!A:T,16,FALSE)</f>
        <v>RMB</v>
      </c>
      <c r="L202" s="290">
        <v>45142</v>
      </c>
      <c r="M202" s="140">
        <v>2</v>
      </c>
      <c r="P202" s="4" t="str">
        <f>VLOOKUP(H202,Stock_list!A:Y,25,FALSE)</f>
        <v>Yes</v>
      </c>
      <c r="Q202" s="143"/>
      <c r="T202" s="144"/>
      <c r="U202" s="145" t="str">
        <f>VLOOKUP(H202,Stock_list!A:N,14,FALSE)</f>
        <v>MAR 23</v>
      </c>
    </row>
    <row r="203" spans="1:21" ht="16.5" customHeight="1">
      <c r="A203" s="159" t="s">
        <v>2749</v>
      </c>
      <c r="B203" s="114" t="str">
        <f>VLOOKUP(A203,'Data pick slip'!B:F,5,FALSE)</f>
        <v>KHJ-MC500-00</v>
      </c>
      <c r="F203" s="157" t="s">
        <v>2753</v>
      </c>
      <c r="H203" s="138">
        <v>1866</v>
      </c>
      <c r="I203" s="140" t="str">
        <f>VLOOKUP(H203,Stock_list!A:R,18,FALSE)</f>
        <v>博祯</v>
      </c>
      <c r="J203" s="139" t="str">
        <f>VLOOKUP(H203,Stock_list!A:S,17,FALSE)</f>
        <v>C49SZX20230035SX</v>
      </c>
      <c r="K203" s="51" t="str">
        <f>VLOOKUP(H203,Stock_list!A:T,16,FALSE)</f>
        <v>RMB</v>
      </c>
      <c r="L203" s="290">
        <v>45142</v>
      </c>
      <c r="M203" s="140">
        <v>2</v>
      </c>
      <c r="P203" s="4" t="str">
        <f>VLOOKUP(H203,Stock_list!A:Y,25,FALSE)</f>
        <v>Yes</v>
      </c>
      <c r="Q203" s="143"/>
      <c r="T203" s="144"/>
      <c r="U203" s="145" t="str">
        <f>VLOOKUP(H203,Stock_list!A:N,14,FALSE)</f>
        <v>MAR 23</v>
      </c>
    </row>
    <row r="204" spans="1:21" ht="16.5" customHeight="1">
      <c r="A204" s="159" t="s">
        <v>2750</v>
      </c>
      <c r="B204" s="114" t="str">
        <f>VLOOKUP(A204,'Data pick slip'!B:F,5,FALSE)</f>
        <v>KHJ-MC600-00</v>
      </c>
      <c r="F204" s="157" t="s">
        <v>2753</v>
      </c>
      <c r="H204" s="138">
        <v>1866</v>
      </c>
      <c r="I204" s="140" t="str">
        <f>VLOOKUP(H204,Stock_list!A:R,18,FALSE)</f>
        <v>博祯</v>
      </c>
      <c r="J204" s="139" t="str">
        <f>VLOOKUP(H204,Stock_list!A:S,17,FALSE)</f>
        <v>C49SZX20230035SX</v>
      </c>
      <c r="K204" s="51" t="str">
        <f>VLOOKUP(H204,Stock_list!A:T,16,FALSE)</f>
        <v>RMB</v>
      </c>
      <c r="L204" s="290">
        <v>45142</v>
      </c>
      <c r="M204" s="140">
        <v>2</v>
      </c>
      <c r="P204" s="4" t="str">
        <f>VLOOKUP(H204,Stock_list!A:Y,25,FALSE)</f>
        <v>Yes</v>
      </c>
      <c r="Q204" s="143"/>
      <c r="T204" s="144"/>
      <c r="U204" s="145" t="str">
        <f>VLOOKUP(H204,Stock_list!A:N,14,FALSE)</f>
        <v>MAR 23</v>
      </c>
    </row>
    <row r="205" spans="1:21" ht="16.5" customHeight="1">
      <c r="A205" s="159" t="s">
        <v>2755</v>
      </c>
      <c r="B205" s="114" t="str">
        <f>VLOOKUP(A205,'Data pick slip'!B:F,5,FALSE)</f>
        <v>KLJ-MC100-00</v>
      </c>
      <c r="F205" s="157" t="s">
        <v>2753</v>
      </c>
      <c r="H205" s="138">
        <v>1867</v>
      </c>
      <c r="I205" s="140" t="str">
        <f>VLOOKUP(H205,Stock_list!A:R,18,FALSE)</f>
        <v>龙大光电</v>
      </c>
      <c r="J205" s="139" t="str">
        <f>VLOOKUP(H205,Stock_list!A:S,17,FALSE)</f>
        <v>C49SZX20230036SS</v>
      </c>
      <c r="K205" s="51" t="str">
        <f>VLOOKUP(H205,Stock_list!A:T,16,FALSE)</f>
        <v>RMB</v>
      </c>
      <c r="L205" s="4">
        <v>45057</v>
      </c>
      <c r="M205" s="140">
        <v>20</v>
      </c>
      <c r="P205" s="4" t="str">
        <f>VLOOKUP(H205,Stock_list!A:Y,25,FALSE)</f>
        <v>Yes</v>
      </c>
      <c r="Q205" s="143"/>
      <c r="T205" s="144"/>
      <c r="U205" s="145" t="str">
        <f>VLOOKUP(H205,Stock_list!A:N,14,FALSE)</f>
        <v>MAY 23</v>
      </c>
    </row>
    <row r="206" spans="1:21" ht="16.5" customHeight="1">
      <c r="A206" s="159" t="s">
        <v>2744</v>
      </c>
      <c r="B206" s="114" t="str">
        <f>VLOOKUP(A206,'Data pick slip'!B:F,5,FALSE)</f>
        <v>KHJ-MC100-00</v>
      </c>
      <c r="F206" s="157" t="s">
        <v>2753</v>
      </c>
      <c r="H206" s="138">
        <v>1788</v>
      </c>
      <c r="I206" s="140" t="str">
        <f>VLOOKUP(H206,Stock_list!A:R,18,FALSE)</f>
        <v>海红天远</v>
      </c>
      <c r="J206" s="139" t="str">
        <f>VLOOKUP(H206,Stock_list!A:S,17,FALSE)</f>
        <v>C49SZX20220128EC</v>
      </c>
      <c r="K206" s="51" t="str">
        <f>VLOOKUP(H206,Stock_list!A:T,16,FALSE)</f>
        <v>JPY</v>
      </c>
      <c r="L206" s="290">
        <v>45013</v>
      </c>
      <c r="M206" s="140">
        <v>5</v>
      </c>
      <c r="P206" s="4" t="str">
        <f>VLOOKUP(H206,Stock_list!A:Y,25,FALSE)</f>
        <v>Yes</v>
      </c>
      <c r="Q206" s="143"/>
      <c r="S206" s="268" t="s">
        <v>2778</v>
      </c>
      <c r="T206" s="266" t="s">
        <v>2782</v>
      </c>
      <c r="U206" s="145" t="str">
        <f>VLOOKUP(H206,Stock_list!A:N,14,FALSE)</f>
        <v>MAR 23</v>
      </c>
    </row>
    <row r="207" spans="1:21" ht="16.5" customHeight="1">
      <c r="A207" s="159" t="s">
        <v>2744</v>
      </c>
      <c r="B207" s="114" t="str">
        <f>VLOOKUP(A207,'Data pick slip'!B:F,5,FALSE)</f>
        <v>KHJ-MC100-00</v>
      </c>
      <c r="F207" s="157" t="s">
        <v>2753</v>
      </c>
      <c r="H207" s="138">
        <v>1869</v>
      </c>
      <c r="I207" s="140" t="str">
        <f>VLOOKUP(H207,Stock_list!A:R,18,FALSE)</f>
        <v>清禾实业</v>
      </c>
      <c r="J207" s="139" t="str">
        <f>VLOOKUP(H207,Stock_list!A:S,17,FALSE)</f>
        <v>C49SZX20230037SS</v>
      </c>
      <c r="K207" s="51" t="str">
        <f>VLOOKUP(H207,Stock_list!A:T,16,FALSE)</f>
        <v>RMB</v>
      </c>
      <c r="L207" s="4">
        <v>45008</v>
      </c>
      <c r="M207" s="140">
        <v>31</v>
      </c>
      <c r="P207" s="4" t="str">
        <f>VLOOKUP(H207,Stock_list!A:Y,25,FALSE)</f>
        <v>Yes</v>
      </c>
      <c r="Q207" s="143"/>
      <c r="T207" s="144"/>
      <c r="U207" s="145" t="str">
        <f>VLOOKUP(H207,Stock_list!A:N,14,FALSE)</f>
        <v>MAR 23</v>
      </c>
    </row>
    <row r="208" spans="1:21" ht="16.5" customHeight="1">
      <c r="A208" s="159" t="s">
        <v>2747</v>
      </c>
      <c r="B208" s="114" t="str">
        <f>VLOOKUP(A208,'Data pick slip'!B:F,5,FALSE)</f>
        <v>KHJ-MC200-00</v>
      </c>
      <c r="F208" s="157" t="s">
        <v>2753</v>
      </c>
      <c r="H208" s="138">
        <v>1869</v>
      </c>
      <c r="I208" s="140" t="str">
        <f>VLOOKUP(H208,Stock_list!A:R,18,FALSE)</f>
        <v>清禾实业</v>
      </c>
      <c r="J208" s="139" t="str">
        <f>VLOOKUP(H208,Stock_list!A:S,17,FALSE)</f>
        <v>C49SZX20230037SS</v>
      </c>
      <c r="K208" s="51" t="str">
        <f>VLOOKUP(H208,Stock_list!A:T,16,FALSE)</f>
        <v>RMB</v>
      </c>
      <c r="L208" s="4">
        <v>45008</v>
      </c>
      <c r="M208" s="140">
        <v>2</v>
      </c>
      <c r="P208" s="4" t="str">
        <f>VLOOKUP(H208,Stock_list!A:Y,25,FALSE)</f>
        <v>Yes</v>
      </c>
      <c r="Q208" s="143"/>
      <c r="T208" s="144"/>
      <c r="U208" s="145" t="str">
        <f>VLOOKUP(H208,Stock_list!A:N,14,FALSE)</f>
        <v>MAR 23</v>
      </c>
    </row>
    <row r="209" spans="1:21" ht="16.5" customHeight="1">
      <c r="A209" s="159" t="s">
        <v>2744</v>
      </c>
      <c r="B209" s="114" t="str">
        <f>VLOOKUP(A209,'Data pick slip'!B:F,5,FALSE)</f>
        <v>KHJ-MC100-00</v>
      </c>
      <c r="F209" s="157" t="s">
        <v>2753</v>
      </c>
      <c r="H209" s="138">
        <v>1870</v>
      </c>
      <c r="I209" s="140" t="str">
        <f>VLOOKUP(H209,Stock_list!A:R,18,FALSE)</f>
        <v>清禾电路</v>
      </c>
      <c r="J209" s="139" t="str">
        <f>VLOOKUP(H209,Stock_list!A:S,17,FALSE)</f>
        <v>C49SZX20230038SS</v>
      </c>
      <c r="K209" s="51" t="str">
        <f>VLOOKUP(H209,Stock_list!A:T,16,FALSE)</f>
        <v>RMB</v>
      </c>
      <c r="L209" s="4">
        <v>45000</v>
      </c>
      <c r="M209" s="140">
        <v>14</v>
      </c>
      <c r="P209" s="4" t="str">
        <f>VLOOKUP(H209,Stock_list!A:Y,25,FALSE)</f>
        <v>Yes</v>
      </c>
      <c r="Q209" s="143"/>
      <c r="T209" s="144"/>
      <c r="U209" s="145" t="str">
        <f>VLOOKUP(H209,Stock_list!A:N,14,FALSE)</f>
        <v>MAR 23</v>
      </c>
    </row>
    <row r="210" spans="1:21" ht="16.5" customHeight="1">
      <c r="A210" s="159" t="s">
        <v>2744</v>
      </c>
      <c r="B210" s="114" t="str">
        <f>VLOOKUP(A210,'Data pick slip'!B:F,5,FALSE)</f>
        <v>KHJ-MC100-00</v>
      </c>
      <c r="F210" s="157" t="s">
        <v>2753</v>
      </c>
      <c r="H210" s="138">
        <v>1860</v>
      </c>
      <c r="I210" s="140" t="str">
        <f>VLOOKUP(H210,Stock_list!A:R,18,FALSE)</f>
        <v>四川三创（End use:阿姆斯特）</v>
      </c>
      <c r="J210" s="139" t="str">
        <f>VLOOKUP(H210,Stock_list!A:S,17,FALSE)</f>
        <v>C49SZX20230032R1SS</v>
      </c>
      <c r="K210" s="51" t="str">
        <f>VLOOKUP(H210,Stock_list!A:T,16,FALSE)</f>
        <v>RMB</v>
      </c>
      <c r="L210" s="4">
        <v>44987</v>
      </c>
      <c r="M210" s="140">
        <v>2</v>
      </c>
      <c r="P210" s="4" t="str">
        <f>VLOOKUP(H210,Stock_list!A:Y,25,FALSE)</f>
        <v>Yes</v>
      </c>
      <c r="Q210" s="143"/>
      <c r="T210" s="144"/>
      <c r="U210" s="145" t="str">
        <f>VLOOKUP(H210,Stock_list!A:N,14,FALSE)</f>
        <v>MAR 23</v>
      </c>
    </row>
    <row r="211" spans="1:21" ht="16.5" customHeight="1">
      <c r="A211" s="159" t="s">
        <v>2744</v>
      </c>
      <c r="B211" s="114" t="str">
        <f>VLOOKUP(A211,'Data pick slip'!B:F,5,FALSE)</f>
        <v>KHJ-MC100-00</v>
      </c>
      <c r="F211" s="157" t="s">
        <v>2753</v>
      </c>
      <c r="H211" s="138">
        <v>1871</v>
      </c>
      <c r="I211" s="140" t="str">
        <f>VLOOKUP(H211,Stock_list!A:R,18,FALSE)</f>
        <v>百纳海</v>
      </c>
      <c r="J211" s="139" t="str">
        <f>VLOOKUP(H211,Stock_list!A:S,17,FALSE)</f>
        <v>C49SZX20230040JY</v>
      </c>
      <c r="K211" s="51" t="str">
        <f>VLOOKUP(H211,Stock_list!A:T,16,FALSE)</f>
        <v>RMB</v>
      </c>
      <c r="L211" s="4">
        <v>45007</v>
      </c>
      <c r="M211" s="140">
        <v>100</v>
      </c>
      <c r="P211" s="4" t="str">
        <f>VLOOKUP(H211,Stock_list!A:Y,25,FALSE)</f>
        <v>Yes</v>
      </c>
      <c r="Q211" s="143"/>
      <c r="T211" s="144"/>
      <c r="U211" s="145" t="str">
        <f>VLOOKUP(H211,Stock_list!A:N,14,FALSE)</f>
        <v>MAR 23</v>
      </c>
    </row>
    <row r="212" spans="1:21" ht="16.5" customHeight="1">
      <c r="A212" s="159" t="s">
        <v>2747</v>
      </c>
      <c r="B212" s="114" t="str">
        <f>VLOOKUP(A212,'Data pick slip'!B:F,5,FALSE)</f>
        <v>KHJ-MC200-00</v>
      </c>
      <c r="F212" s="157" t="s">
        <v>2753</v>
      </c>
      <c r="H212" s="138">
        <v>1871</v>
      </c>
      <c r="I212" s="140" t="str">
        <f>VLOOKUP(H212,Stock_list!A:R,18,FALSE)</f>
        <v>百纳海</v>
      </c>
      <c r="J212" s="139" t="str">
        <f>VLOOKUP(H212,Stock_list!A:S,17,FALSE)</f>
        <v>C49SZX20230040JY</v>
      </c>
      <c r="K212" s="51" t="str">
        <f>VLOOKUP(H212,Stock_list!A:T,16,FALSE)</f>
        <v>RMB</v>
      </c>
      <c r="L212" s="4">
        <v>45007</v>
      </c>
      <c r="M212" s="140">
        <v>10</v>
      </c>
      <c r="P212" s="4" t="str">
        <f>VLOOKUP(H212,Stock_list!A:Y,25,FALSE)</f>
        <v>Yes</v>
      </c>
      <c r="Q212" s="143"/>
      <c r="T212" s="144"/>
      <c r="U212" s="145" t="str">
        <f>VLOOKUP(H212,Stock_list!A:N,14,FALSE)</f>
        <v>MAR 23</v>
      </c>
    </row>
    <row r="213" spans="1:21" ht="16.5" customHeight="1">
      <c r="A213" s="159" t="s">
        <v>2744</v>
      </c>
      <c r="B213" s="114" t="str">
        <f>VLOOKUP(A213,'Data pick slip'!B:F,5,FALSE)</f>
        <v>KHJ-MC100-00</v>
      </c>
      <c r="F213" s="157" t="s">
        <v>2753</v>
      </c>
      <c r="H213" s="138">
        <v>1873</v>
      </c>
      <c r="I213" s="140" t="str">
        <f>VLOOKUP(H213,Stock_list!A:R,18,FALSE)</f>
        <v>徕芬</v>
      </c>
      <c r="J213" s="139" t="str">
        <f>VLOOKUP(H213,Stock_list!A:S,17,FALSE)</f>
        <v>C49SZX20230018MX</v>
      </c>
      <c r="K213" s="51" t="str">
        <f>VLOOKUP(H213,Stock_list!A:T,16,FALSE)</f>
        <v>RMB</v>
      </c>
      <c r="L213" s="4">
        <v>45012</v>
      </c>
      <c r="M213" s="140">
        <v>22</v>
      </c>
      <c r="P213" s="4" t="str">
        <f>VLOOKUP(H213,Stock_list!A:Y,25,FALSE)</f>
        <v>Yes</v>
      </c>
      <c r="Q213" s="143"/>
      <c r="T213" s="144"/>
      <c r="U213" s="145" t="str">
        <f>VLOOKUP(H213,Stock_list!A:N,14,FALSE)</f>
        <v>MAR 23</v>
      </c>
    </row>
    <row r="214" spans="1:21" ht="16.5" customHeight="1">
      <c r="A214" s="159" t="s">
        <v>2747</v>
      </c>
      <c r="B214" s="114" t="str">
        <f>VLOOKUP(A214,'Data pick slip'!B:F,5,FALSE)</f>
        <v>KHJ-MC200-00</v>
      </c>
      <c r="F214" s="157" t="s">
        <v>2753</v>
      </c>
      <c r="H214" s="138">
        <v>1873</v>
      </c>
      <c r="I214" s="140" t="str">
        <f>VLOOKUP(H214,Stock_list!A:R,18,FALSE)</f>
        <v>徕芬</v>
      </c>
      <c r="J214" s="139" t="str">
        <f>VLOOKUP(H214,Stock_list!A:S,17,FALSE)</f>
        <v>C49SZX20230018MX</v>
      </c>
      <c r="K214" s="51" t="str">
        <f>VLOOKUP(H214,Stock_list!A:T,16,FALSE)</f>
        <v>RMB</v>
      </c>
      <c r="L214" s="4">
        <v>45012</v>
      </c>
      <c r="M214" s="140">
        <v>6</v>
      </c>
      <c r="P214" s="4" t="str">
        <f>VLOOKUP(H214,Stock_list!A:Y,25,FALSE)</f>
        <v>Yes</v>
      </c>
      <c r="Q214" s="143"/>
      <c r="T214" s="144"/>
      <c r="U214" s="145" t="str">
        <f>VLOOKUP(H214,Stock_list!A:N,14,FALSE)</f>
        <v>MAR 23</v>
      </c>
    </row>
    <row r="215" spans="1:21" ht="16.5" customHeight="1">
      <c r="A215" s="159" t="s">
        <v>2744</v>
      </c>
      <c r="B215" s="114" t="str">
        <f>VLOOKUP(A215,'Data pick slip'!B:F,5,FALSE)</f>
        <v>KHJ-MC100-00</v>
      </c>
      <c r="F215" s="157" t="s">
        <v>2753</v>
      </c>
      <c r="H215" s="138">
        <v>1892</v>
      </c>
      <c r="I215" s="140" t="str">
        <f>VLOOKUP(H215,Stock_list!A:R,18,FALSE)</f>
        <v>安林</v>
      </c>
      <c r="J215" s="139" t="str">
        <f>VLOOKUP(H215,Stock_list!A:S,17,FALSE)</f>
        <v>C49SZX20230045RSX</v>
      </c>
      <c r="K215" s="51" t="str">
        <f>VLOOKUP(H215,Stock_list!A:T,16,FALSE)</f>
        <v>RMB</v>
      </c>
      <c r="L215" s="4">
        <v>45008</v>
      </c>
      <c r="M215" s="140">
        <v>108</v>
      </c>
      <c r="P215" s="4" t="str">
        <f>VLOOKUP(H215,Stock_list!A:Y,25,FALSE)</f>
        <v>Yes</v>
      </c>
      <c r="Q215" s="143"/>
      <c r="T215" s="144"/>
      <c r="U215" s="145" t="str">
        <f>VLOOKUP(H215,Stock_list!A:N,14,FALSE)</f>
        <v>MAR 23</v>
      </c>
    </row>
    <row r="216" spans="1:21" ht="16.5" customHeight="1">
      <c r="A216" s="159" t="s">
        <v>2748</v>
      </c>
      <c r="B216" s="114" t="str">
        <f>VLOOKUP(A216,'Data pick slip'!B:F,5,FALSE)</f>
        <v>KHJ-MC400-00</v>
      </c>
      <c r="F216" s="157" t="s">
        <v>2753</v>
      </c>
      <c r="H216" s="138">
        <v>1892</v>
      </c>
      <c r="I216" s="140" t="str">
        <f>VLOOKUP(H216,Stock_list!A:R,18,FALSE)</f>
        <v>安林</v>
      </c>
      <c r="J216" s="139" t="str">
        <f>VLOOKUP(H216,Stock_list!A:S,17,FALSE)</f>
        <v>C49SZX20230045RSX</v>
      </c>
      <c r="K216" s="51" t="str">
        <f>VLOOKUP(H216,Stock_list!A:T,16,FALSE)</f>
        <v>RMB</v>
      </c>
      <c r="L216" s="4">
        <v>45008</v>
      </c>
      <c r="M216" s="140">
        <v>10</v>
      </c>
      <c r="P216" s="4" t="str">
        <f>VLOOKUP(H216,Stock_list!A:Y,25,FALSE)</f>
        <v>Yes</v>
      </c>
      <c r="Q216" s="143"/>
      <c r="T216" s="144"/>
      <c r="U216" s="145" t="str">
        <f>VLOOKUP(H216,Stock_list!A:N,14,FALSE)</f>
        <v>MAR 23</v>
      </c>
    </row>
    <row r="217" spans="1:21" ht="16.5" customHeight="1">
      <c r="A217" s="159" t="s">
        <v>2749</v>
      </c>
      <c r="B217" s="114" t="str">
        <f>VLOOKUP(A217,'Data pick slip'!B:F,5,FALSE)</f>
        <v>KHJ-MC500-00</v>
      </c>
      <c r="F217" s="157" t="s">
        <v>2753</v>
      </c>
      <c r="H217" s="138">
        <v>1892</v>
      </c>
      <c r="I217" s="140" t="str">
        <f>VLOOKUP(H217,Stock_list!A:R,18,FALSE)</f>
        <v>安林</v>
      </c>
      <c r="J217" s="139" t="str">
        <f>VLOOKUP(H217,Stock_list!A:S,17,FALSE)</f>
        <v>C49SZX20230045RSX</v>
      </c>
      <c r="K217" s="51" t="str">
        <f>VLOOKUP(H217,Stock_list!A:T,16,FALSE)</f>
        <v>RMB</v>
      </c>
      <c r="L217" s="4">
        <v>45008</v>
      </c>
      <c r="M217" s="140">
        <v>2</v>
      </c>
      <c r="P217" s="4" t="str">
        <f>VLOOKUP(H217,Stock_list!A:Y,25,FALSE)</f>
        <v>Yes</v>
      </c>
      <c r="Q217" s="143"/>
      <c r="T217" s="144"/>
      <c r="U217" s="145" t="str">
        <f>VLOOKUP(H217,Stock_list!A:N,14,FALSE)</f>
        <v>MAR 23</v>
      </c>
    </row>
    <row r="218" spans="1:21" ht="16.5" customHeight="1">
      <c r="A218" s="159" t="s">
        <v>2744</v>
      </c>
      <c r="B218" s="114" t="str">
        <f>VLOOKUP(A218,'Data pick slip'!B:F,5,FALSE)</f>
        <v>KHJ-MC100-00</v>
      </c>
      <c r="F218" s="157" t="s">
        <v>2753</v>
      </c>
      <c r="H218" s="138">
        <v>1893</v>
      </c>
      <c r="I218" s="140" t="str">
        <f>VLOOKUP(H218,Stock_list!A:R,18,FALSE)</f>
        <v>菲帆</v>
      </c>
      <c r="J218" s="139" t="str">
        <f>VLOOKUP(H218,Stock_list!A:S,17,FALSE)</f>
        <v>C49SZX20230046DM</v>
      </c>
      <c r="K218" s="51" t="str">
        <f>VLOOKUP(H218,Stock_list!A:T,16,FALSE)</f>
        <v>RMB</v>
      </c>
      <c r="L218" s="4">
        <v>45037</v>
      </c>
      <c r="M218" s="132">
        <v>158</v>
      </c>
      <c r="P218" s="4" t="str">
        <f>VLOOKUP(H218,Stock_list!A:Y,25,FALSE)</f>
        <v>Yes</v>
      </c>
      <c r="Q218" s="143"/>
      <c r="T218" s="144"/>
      <c r="U218" s="145" t="str">
        <f>VLOOKUP(H218,Stock_list!A:N,14,FALSE)</f>
        <v>APR 23</v>
      </c>
    </row>
    <row r="219" spans="1:21" ht="16.5" customHeight="1">
      <c r="A219" s="159" t="s">
        <v>2747</v>
      </c>
      <c r="B219" s="114" t="str">
        <f>VLOOKUP(A219,'Data pick slip'!B:F,5,FALSE)</f>
        <v>KHJ-MC200-00</v>
      </c>
      <c r="F219" s="157" t="s">
        <v>2753</v>
      </c>
      <c r="H219" s="138">
        <v>1893</v>
      </c>
      <c r="I219" s="140" t="str">
        <f>VLOOKUP(H219,Stock_list!A:R,18,FALSE)</f>
        <v>菲帆</v>
      </c>
      <c r="J219" s="139" t="str">
        <f>VLOOKUP(H219,Stock_list!A:S,17,FALSE)</f>
        <v>C49SZX20230046DM</v>
      </c>
      <c r="K219" s="51" t="str">
        <f>VLOOKUP(H219,Stock_list!A:T,16,FALSE)</f>
        <v>RMB</v>
      </c>
      <c r="L219" s="4">
        <v>45037</v>
      </c>
      <c r="M219" s="132">
        <v>30</v>
      </c>
      <c r="P219" s="4" t="str">
        <f>VLOOKUP(H219,Stock_list!A:Y,25,FALSE)</f>
        <v>Yes</v>
      </c>
      <c r="Q219" s="143"/>
      <c r="T219" s="144"/>
      <c r="U219" s="145" t="str">
        <f>VLOOKUP(H219,Stock_list!A:N,14,FALSE)</f>
        <v>APR 23</v>
      </c>
    </row>
    <row r="220" spans="1:21" ht="16.5" customHeight="1">
      <c r="A220" s="159" t="s">
        <v>2748</v>
      </c>
      <c r="B220" s="114" t="str">
        <f>VLOOKUP(A220,'Data pick slip'!B:F,5,FALSE)</f>
        <v>KHJ-MC400-00</v>
      </c>
      <c r="F220" s="157" t="s">
        <v>2753</v>
      </c>
      <c r="H220" s="138">
        <v>1893</v>
      </c>
      <c r="I220" s="140" t="str">
        <f>VLOOKUP(H220,Stock_list!A:R,18,FALSE)</f>
        <v>菲帆</v>
      </c>
      <c r="J220" s="139" t="str">
        <f>VLOOKUP(H220,Stock_list!A:S,17,FALSE)</f>
        <v>C49SZX20230046DM</v>
      </c>
      <c r="K220" s="51" t="str">
        <f>VLOOKUP(H220,Stock_list!A:T,16,FALSE)</f>
        <v>RMB</v>
      </c>
      <c r="L220" s="4">
        <v>45037</v>
      </c>
      <c r="M220" s="132">
        <v>5</v>
      </c>
      <c r="P220" s="4" t="str">
        <f>VLOOKUP(H220,Stock_list!A:Y,25,FALSE)</f>
        <v>Yes</v>
      </c>
      <c r="Q220" s="143"/>
      <c r="T220" s="144"/>
      <c r="U220" s="145" t="str">
        <f>VLOOKUP(H220,Stock_list!A:N,14,FALSE)</f>
        <v>APR 23</v>
      </c>
    </row>
    <row r="221" spans="1:21" ht="16.5" customHeight="1">
      <c r="A221" s="159" t="s">
        <v>2749</v>
      </c>
      <c r="B221" s="114" t="str">
        <f>VLOOKUP(A221,'Data pick slip'!B:F,5,FALSE)</f>
        <v>KHJ-MC500-00</v>
      </c>
      <c r="F221" s="157" t="s">
        <v>2753</v>
      </c>
      <c r="H221" s="138">
        <v>1893</v>
      </c>
      <c r="I221" s="140" t="str">
        <f>VLOOKUP(H221,Stock_list!A:R,18,FALSE)</f>
        <v>菲帆</v>
      </c>
      <c r="J221" s="139" t="str">
        <f>VLOOKUP(H221,Stock_list!A:S,17,FALSE)</f>
        <v>C49SZX20230046DM</v>
      </c>
      <c r="K221" s="51" t="str">
        <f>VLOOKUP(H221,Stock_list!A:T,16,FALSE)</f>
        <v>RMB</v>
      </c>
      <c r="L221" s="4">
        <v>45037</v>
      </c>
      <c r="M221" s="132">
        <v>2</v>
      </c>
      <c r="P221" s="4" t="str">
        <f>VLOOKUP(H221,Stock_list!A:Y,25,FALSE)</f>
        <v>Yes</v>
      </c>
      <c r="Q221" s="143"/>
      <c r="T221" s="144"/>
      <c r="U221" s="145" t="str">
        <f>VLOOKUP(H221,Stock_list!A:N,14,FALSE)</f>
        <v>APR 23</v>
      </c>
    </row>
    <row r="222" spans="1:21" ht="16.5" customHeight="1">
      <c r="A222" s="159" t="s">
        <v>2750</v>
      </c>
      <c r="B222" s="114" t="str">
        <f>VLOOKUP(A222,'Data pick slip'!B:F,5,FALSE)</f>
        <v>KHJ-MC600-00</v>
      </c>
      <c r="F222" s="157" t="s">
        <v>2753</v>
      </c>
      <c r="H222" s="138">
        <v>1893</v>
      </c>
      <c r="I222" s="140" t="str">
        <f>VLOOKUP(H222,Stock_list!A:R,18,FALSE)</f>
        <v>菲帆</v>
      </c>
      <c r="J222" s="139" t="str">
        <f>VLOOKUP(H222,Stock_list!A:S,17,FALSE)</f>
        <v>C49SZX20230046DM</v>
      </c>
      <c r="K222" s="51" t="str">
        <f>VLOOKUP(H222,Stock_list!A:T,16,FALSE)</f>
        <v>RMB</v>
      </c>
      <c r="L222" s="4">
        <v>45037</v>
      </c>
      <c r="M222" s="132">
        <v>2</v>
      </c>
      <c r="P222" s="4" t="str">
        <f>VLOOKUP(H222,Stock_list!A:Y,25,FALSE)</f>
        <v>Yes</v>
      </c>
      <c r="Q222" s="143"/>
      <c r="T222" s="144"/>
      <c r="U222" s="145" t="str">
        <f>VLOOKUP(H222,Stock_list!A:N,14,FALSE)</f>
        <v>APR 23</v>
      </c>
    </row>
    <row r="223" spans="1:21" ht="16.5" customHeight="1">
      <c r="A223" s="159" t="s">
        <v>2747</v>
      </c>
      <c r="B223" s="114" t="str">
        <f>VLOOKUP(A223,'Data pick slip'!B:F,5,FALSE)</f>
        <v>KHJ-MC200-00</v>
      </c>
      <c r="F223" s="157" t="s">
        <v>2753</v>
      </c>
      <c r="H223" s="138">
        <v>1895</v>
      </c>
      <c r="I223" s="140" t="str">
        <f>VLOOKUP(H223,Stock_list!A:R,18,FALSE)</f>
        <v>阿姆斯特</v>
      </c>
      <c r="J223" s="139" t="str">
        <f>VLOOKUP(H223,Stock_list!A:S,17,FALSE)</f>
        <v>C49SZX20230047R1SS</v>
      </c>
      <c r="K223" s="51" t="str">
        <f>VLOOKUP(H223,Stock_list!A:T,16,FALSE)</f>
        <v>RMB</v>
      </c>
      <c r="L223" s="4">
        <v>45013</v>
      </c>
      <c r="M223" s="140">
        <v>3</v>
      </c>
      <c r="P223" s="4" t="str">
        <f>VLOOKUP(H223,Stock_list!A:Y,25,FALSE)</f>
        <v>Yes</v>
      </c>
      <c r="Q223" s="143"/>
      <c r="T223" s="144"/>
      <c r="U223" s="145" t="str">
        <f>VLOOKUP(H223,Stock_list!A:N,14,FALSE)</f>
        <v>MAR 23</v>
      </c>
    </row>
    <row r="224" spans="1:21" ht="16.5" customHeight="1">
      <c r="A224" s="159" t="s">
        <v>2744</v>
      </c>
      <c r="B224" s="114" t="str">
        <f>VLOOKUP(A224,'Data pick slip'!B:F,5,FALSE)</f>
        <v>KHJ-MC100-00</v>
      </c>
      <c r="F224" s="157" t="s">
        <v>2753</v>
      </c>
      <c r="H224" s="138">
        <v>1890</v>
      </c>
      <c r="I224" s="140" t="str">
        <f>VLOOKUP(H224,Stock_list!A:R,18,FALSE)</f>
        <v>力通威</v>
      </c>
      <c r="J224" s="139" t="str">
        <f>VLOOKUP(H224,Stock_list!A:S,17,FALSE)</f>
        <v>C49SZX20230033JL</v>
      </c>
      <c r="K224" s="51" t="str">
        <f>VLOOKUP(H224,Stock_list!A:T,16,FALSE)</f>
        <v>RMB</v>
      </c>
      <c r="L224" s="4">
        <v>45010</v>
      </c>
      <c r="M224" s="132">
        <v>30</v>
      </c>
      <c r="P224" s="4" t="str">
        <f>VLOOKUP(H224,Stock_list!A:Y,25,FALSE)</f>
        <v>Yes</v>
      </c>
      <c r="Q224" s="143"/>
      <c r="T224" s="144"/>
      <c r="U224" s="145" t="str">
        <f>VLOOKUP(H224,Stock_list!A:N,14,FALSE)</f>
        <v>MAR 23</v>
      </c>
    </row>
    <row r="225" spans="1:21" ht="16.5" customHeight="1">
      <c r="A225" s="159" t="s">
        <v>2747</v>
      </c>
      <c r="B225" s="114" t="str">
        <f>VLOOKUP(A225,'Data pick slip'!B:F,5,FALSE)</f>
        <v>KHJ-MC200-00</v>
      </c>
      <c r="F225" s="157" t="s">
        <v>2753</v>
      </c>
      <c r="H225" s="138">
        <v>1890</v>
      </c>
      <c r="I225" s="140" t="str">
        <f>VLOOKUP(H225,Stock_list!A:R,18,FALSE)</f>
        <v>力通威</v>
      </c>
      <c r="J225" s="139" t="str">
        <f>VLOOKUP(H225,Stock_list!A:S,17,FALSE)</f>
        <v>C49SZX20230033JL</v>
      </c>
      <c r="K225" s="51" t="str">
        <f>VLOOKUP(H225,Stock_list!A:T,16,FALSE)</f>
        <v>RMB</v>
      </c>
      <c r="L225" s="4">
        <v>45010</v>
      </c>
      <c r="M225" s="132">
        <v>8</v>
      </c>
      <c r="P225" s="4" t="str">
        <f>VLOOKUP(H225,Stock_list!A:Y,25,FALSE)</f>
        <v>Yes</v>
      </c>
      <c r="Q225" s="143"/>
      <c r="T225" s="144"/>
      <c r="U225" s="145" t="str">
        <f>VLOOKUP(H225,Stock_list!A:N,14,FALSE)</f>
        <v>MAR 23</v>
      </c>
    </row>
    <row r="226" spans="1:21" ht="16.5" customHeight="1">
      <c r="A226" s="159" t="s">
        <v>2750</v>
      </c>
      <c r="B226" s="114" t="str">
        <f>VLOOKUP(A226,'Data pick slip'!B:F,5,FALSE)</f>
        <v>KHJ-MC600-00</v>
      </c>
      <c r="F226" s="157" t="s">
        <v>2753</v>
      </c>
      <c r="H226" s="138">
        <v>1890</v>
      </c>
      <c r="I226" s="140" t="str">
        <f>VLOOKUP(H226,Stock_list!A:R,18,FALSE)</f>
        <v>力通威</v>
      </c>
      <c r="J226" s="139" t="str">
        <f>VLOOKUP(H226,Stock_list!A:S,17,FALSE)</f>
        <v>C49SZX20230033JL</v>
      </c>
      <c r="K226" s="51" t="str">
        <f>VLOOKUP(H226,Stock_list!A:T,16,FALSE)</f>
        <v>RMB</v>
      </c>
      <c r="L226" s="4">
        <v>45010</v>
      </c>
      <c r="M226" s="132">
        <v>1</v>
      </c>
      <c r="P226" s="4" t="str">
        <f>VLOOKUP(H226,Stock_list!A:Y,25,FALSE)</f>
        <v>Yes</v>
      </c>
      <c r="Q226" s="143"/>
      <c r="T226" s="144"/>
      <c r="U226" s="145" t="str">
        <f>VLOOKUP(H226,Stock_list!A:N,14,FALSE)</f>
        <v>MAR 23</v>
      </c>
    </row>
    <row r="227" spans="1:21" ht="24.75" customHeight="1">
      <c r="A227" s="159" t="s">
        <v>2744</v>
      </c>
      <c r="B227" s="114" t="str">
        <f>VLOOKUP(A227,'Data pick slip'!B:F,5,FALSE)</f>
        <v>KHJ-MC100-00</v>
      </c>
      <c r="F227" s="157" t="s">
        <v>2753</v>
      </c>
      <c r="I227" s="140" t="s">
        <v>3861</v>
      </c>
      <c r="J227" s="267" t="s">
        <v>3860</v>
      </c>
      <c r="K227" s="51" t="s">
        <v>3862</v>
      </c>
      <c r="L227" s="4">
        <v>45013</v>
      </c>
      <c r="M227" s="140">
        <v>50</v>
      </c>
      <c r="P227" s="4" t="s">
        <v>3863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2744</v>
      </c>
      <c r="B228" s="114" t="str">
        <f>VLOOKUP(A228,'Data pick slip'!B:F,5,FALSE)</f>
        <v>KHJ-MC100-00</v>
      </c>
      <c r="F228" s="157" t="s">
        <v>3864</v>
      </c>
      <c r="I228" s="389" t="s">
        <v>3970</v>
      </c>
      <c r="J228" s="139" t="s">
        <v>3865</v>
      </c>
      <c r="K228" s="51" t="s">
        <v>3003</v>
      </c>
      <c r="L228" s="4">
        <v>45007</v>
      </c>
      <c r="M228" s="140">
        <v>80</v>
      </c>
      <c r="P228" s="4" t="s">
        <v>3863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2747</v>
      </c>
      <c r="B229" s="114" t="str">
        <f>VLOOKUP(A229,'Data pick slip'!B:F,5,FALSE)</f>
        <v>KHJ-MC200-00</v>
      </c>
      <c r="F229" s="157" t="s">
        <v>3864</v>
      </c>
      <c r="I229" s="389" t="s">
        <v>3970</v>
      </c>
      <c r="J229" s="139" t="s">
        <v>3865</v>
      </c>
      <c r="K229" s="51" t="s">
        <v>3003</v>
      </c>
      <c r="L229" s="4">
        <v>45007</v>
      </c>
      <c r="M229" s="140">
        <v>8</v>
      </c>
      <c r="P229" s="4" t="s">
        <v>3863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2750</v>
      </c>
      <c r="B230" s="114" t="str">
        <f>VLOOKUP(A230,'Data pick slip'!B:F,5,FALSE)</f>
        <v>KHJ-MC600-00</v>
      </c>
      <c r="F230" s="157" t="s">
        <v>3864</v>
      </c>
      <c r="I230" s="389" t="s">
        <v>3970</v>
      </c>
      <c r="J230" s="139" t="s">
        <v>3865</v>
      </c>
      <c r="K230" s="51" t="s">
        <v>3003</v>
      </c>
      <c r="L230" s="4">
        <v>45007</v>
      </c>
      <c r="M230" s="140">
        <v>1</v>
      </c>
      <c r="P230" s="4" t="s">
        <v>3863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2744</v>
      </c>
      <c r="B231" s="114" t="str">
        <f>VLOOKUP(A231,'Data pick slip'!B:F,5,FALSE)</f>
        <v>KHJ-MC100-00</v>
      </c>
      <c r="F231" s="157" t="s">
        <v>2753</v>
      </c>
      <c r="I231" s="140" t="s">
        <v>3287</v>
      </c>
      <c r="J231" s="267" t="s">
        <v>3869</v>
      </c>
      <c r="K231" s="51" t="s">
        <v>1246</v>
      </c>
      <c r="L231" s="4">
        <v>45026</v>
      </c>
      <c r="M231" s="140">
        <v>167</v>
      </c>
      <c r="N231" s="146"/>
      <c r="P231" s="4" t="s">
        <v>291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2747</v>
      </c>
      <c r="B232" s="114" t="str">
        <f>VLOOKUP(A232,'Data pick slip'!B:F,5,FALSE)</f>
        <v>KHJ-MC200-00</v>
      </c>
      <c r="F232" s="157" t="s">
        <v>2753</v>
      </c>
      <c r="I232" s="140" t="s">
        <v>3287</v>
      </c>
      <c r="J232" s="267" t="s">
        <v>3869</v>
      </c>
      <c r="K232" s="51" t="s">
        <v>1246</v>
      </c>
      <c r="L232" s="4">
        <v>45026</v>
      </c>
      <c r="M232" s="140">
        <v>80</v>
      </c>
      <c r="N232" s="146"/>
      <c r="P232" s="4" t="s">
        <v>291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2748</v>
      </c>
      <c r="B233" s="114" t="str">
        <f>VLOOKUP(A233,'Data pick slip'!B:F,5,FALSE)</f>
        <v>KHJ-MC400-00</v>
      </c>
      <c r="F233" s="157" t="s">
        <v>2753</v>
      </c>
      <c r="I233" s="140" t="s">
        <v>3287</v>
      </c>
      <c r="J233" s="267" t="s">
        <v>3869</v>
      </c>
      <c r="K233" s="51" t="s">
        <v>1246</v>
      </c>
      <c r="L233" s="4">
        <v>45026</v>
      </c>
      <c r="M233" s="140">
        <v>21</v>
      </c>
      <c r="N233" s="146"/>
      <c r="P233" s="4" t="s">
        <v>291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2749</v>
      </c>
      <c r="B234" s="114" t="str">
        <f>VLOOKUP(A234,'Data pick slip'!B:F,5,FALSE)</f>
        <v>KHJ-MC500-00</v>
      </c>
      <c r="F234" s="157" t="s">
        <v>2753</v>
      </c>
      <c r="I234" s="140" t="s">
        <v>3287</v>
      </c>
      <c r="J234" s="267" t="s">
        <v>3869</v>
      </c>
      <c r="K234" s="51" t="s">
        <v>1246</v>
      </c>
      <c r="L234" s="4">
        <v>45026</v>
      </c>
      <c r="M234" s="140">
        <v>4</v>
      </c>
      <c r="N234" s="146"/>
      <c r="P234" s="4" t="s">
        <v>291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2750</v>
      </c>
      <c r="B235" s="114" t="str">
        <f>VLOOKUP(A235,'Data pick slip'!B:F,5,FALSE)</f>
        <v>KHJ-MC600-00</v>
      </c>
      <c r="F235" s="157" t="s">
        <v>2753</v>
      </c>
      <c r="I235" s="140" t="s">
        <v>3287</v>
      </c>
      <c r="J235" s="267" t="s">
        <v>3869</v>
      </c>
      <c r="K235" s="51" t="s">
        <v>1246</v>
      </c>
      <c r="L235" s="4">
        <v>45026</v>
      </c>
      <c r="M235" s="140">
        <v>14</v>
      </c>
      <c r="N235" s="146"/>
      <c r="P235" s="4" t="s">
        <v>291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2751</v>
      </c>
      <c r="B236" s="114" t="str">
        <f>VLOOKUP(A236,'Data pick slip'!B:F,5,FALSE)</f>
        <v>KHJ-MC700-00</v>
      </c>
      <c r="F236" s="157" t="s">
        <v>2753</v>
      </c>
      <c r="I236" s="140" t="s">
        <v>3287</v>
      </c>
      <c r="J236" s="267" t="s">
        <v>3869</v>
      </c>
      <c r="K236" s="51" t="s">
        <v>1246</v>
      </c>
      <c r="L236" s="4">
        <v>45026</v>
      </c>
      <c r="M236" s="140">
        <v>1</v>
      </c>
      <c r="P236" s="4" t="s">
        <v>291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2750</v>
      </c>
      <c r="B237" s="114" t="str">
        <f>VLOOKUP(A237,'Data pick slip'!B:F,5,FALSE)</f>
        <v>KHJ-MC600-00</v>
      </c>
      <c r="F237" s="157" t="s">
        <v>2753</v>
      </c>
      <c r="I237" s="140" t="s">
        <v>3287</v>
      </c>
      <c r="J237" s="267" t="s">
        <v>3869</v>
      </c>
      <c r="K237" s="51" t="s">
        <v>1246</v>
      </c>
      <c r="L237" s="4">
        <v>45026</v>
      </c>
      <c r="M237" s="140">
        <v>9</v>
      </c>
      <c r="P237" s="4" t="s">
        <v>291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2744</v>
      </c>
      <c r="B238" s="114" t="str">
        <f>VLOOKUP(A238,'Data pick slip'!B:F,5,FALSE)</f>
        <v>KHJ-MC100-00</v>
      </c>
      <c r="F238" s="157" t="s">
        <v>2753</v>
      </c>
      <c r="H238" s="138">
        <v>1777</v>
      </c>
      <c r="I238" s="140" t="str">
        <f>VLOOKUP(H238,Stock_list!A:R,18,FALSE)</f>
        <v>海星</v>
      </c>
      <c r="J238" s="139" t="str">
        <f>VLOOKUP(H238,Stock_list!A:S,17,FALSE)</f>
        <v>C49SZX20220132R1ZX(H207006-BET-221214 ESE)</v>
      </c>
      <c r="K238" s="51" t="str">
        <f>VLOOKUP(H238,Stock_list!A:T,16,FALSE)</f>
        <v>RMB</v>
      </c>
      <c r="L238" s="4">
        <v>45027</v>
      </c>
      <c r="M238" s="143">
        <v>69</v>
      </c>
      <c r="P238" s="4" t="str">
        <f>VLOOKUP(H238,Stock_list!A:Y,25,FALSE)</f>
        <v>Yes</v>
      </c>
      <c r="T238" s="144"/>
      <c r="U238" s="145" t="str">
        <f>VLOOKUP(H238,Stock_list!A:N,14,FALSE)</f>
        <v>APR 23</v>
      </c>
    </row>
    <row r="239" spans="1:21" ht="28.5" customHeight="1">
      <c r="A239" s="159" t="s">
        <v>2747</v>
      </c>
      <c r="B239" s="114" t="str">
        <f>VLOOKUP(A239,'Data pick slip'!B:F,5,FALSE)</f>
        <v>KHJ-MC200-00</v>
      </c>
      <c r="F239" s="157" t="s">
        <v>2753</v>
      </c>
      <c r="H239" s="138">
        <v>1777</v>
      </c>
      <c r="I239" s="140" t="str">
        <f>VLOOKUP(H239,Stock_list!A:R,18,FALSE)</f>
        <v>海星</v>
      </c>
      <c r="J239" s="139" t="str">
        <f>VLOOKUP(H239,Stock_list!A:S,17,FALSE)</f>
        <v>C49SZX20220132R1ZX(H207006-BET-221214 ESE)</v>
      </c>
      <c r="K239" s="51" t="str">
        <f>VLOOKUP(H239,Stock_list!A:T,16,FALSE)</f>
        <v>RMB</v>
      </c>
      <c r="L239" s="4">
        <v>45027</v>
      </c>
      <c r="M239" s="143">
        <v>8</v>
      </c>
      <c r="P239" s="4" t="str">
        <f>VLOOKUP(H239,Stock_list!A:Y,25,FALSE)</f>
        <v>Yes</v>
      </c>
      <c r="T239" s="144"/>
      <c r="U239" s="145" t="str">
        <f>VLOOKUP(H239,Stock_list!A:N,14,FALSE)</f>
        <v>APR 23</v>
      </c>
    </row>
    <row r="240" spans="1:21" ht="20.25" customHeight="1">
      <c r="A240" s="159" t="s">
        <v>2748</v>
      </c>
      <c r="B240" s="114" t="str">
        <f>VLOOKUP(A240,'Data pick slip'!B:F,5,FALSE)</f>
        <v>KHJ-MC400-00</v>
      </c>
      <c r="F240" s="157" t="s">
        <v>2753</v>
      </c>
      <c r="H240" s="138">
        <v>1777</v>
      </c>
      <c r="I240" s="140" t="str">
        <f>VLOOKUP(H240,Stock_list!A:R,18,FALSE)</f>
        <v>海星</v>
      </c>
      <c r="J240" s="139" t="str">
        <f>VLOOKUP(H240,Stock_list!A:S,17,FALSE)</f>
        <v>C49SZX20220132R1ZX(H207006-BET-221214 ESE)</v>
      </c>
      <c r="K240" s="51" t="str">
        <f>VLOOKUP(H240,Stock_list!A:T,16,FALSE)</f>
        <v>RMB</v>
      </c>
      <c r="L240" s="4">
        <v>45027</v>
      </c>
      <c r="M240" s="143">
        <v>4</v>
      </c>
      <c r="P240" s="4" t="str">
        <f>VLOOKUP(H240,Stock_list!A:Y,25,FALSE)</f>
        <v>Yes</v>
      </c>
      <c r="T240" s="144"/>
      <c r="U240" s="145" t="str">
        <f>VLOOKUP(H240,Stock_list!A:N,14,FALSE)</f>
        <v>APR 23</v>
      </c>
    </row>
    <row r="241" spans="1:21" ht="22.5" customHeight="1">
      <c r="A241" s="159" t="s">
        <v>2749</v>
      </c>
      <c r="B241" s="114" t="str">
        <f>VLOOKUP(A241,'Data pick slip'!B:F,5,FALSE)</f>
        <v>KHJ-MC500-00</v>
      </c>
      <c r="F241" s="157" t="s">
        <v>2753</v>
      </c>
      <c r="H241" s="138">
        <v>1777</v>
      </c>
      <c r="I241" s="140" t="str">
        <f>VLOOKUP(H241,Stock_list!A:R,18,FALSE)</f>
        <v>海星</v>
      </c>
      <c r="J241" s="139" t="str">
        <f>VLOOKUP(H241,Stock_list!A:S,17,FALSE)</f>
        <v>C49SZX20220132R1ZX(H207006-BET-221214 ESE)</v>
      </c>
      <c r="K241" s="51" t="str">
        <f>VLOOKUP(H241,Stock_list!A:T,16,FALSE)</f>
        <v>RMB</v>
      </c>
      <c r="L241" s="4">
        <v>45027</v>
      </c>
      <c r="M241" s="143">
        <v>1</v>
      </c>
      <c r="P241" s="4" t="str">
        <f>VLOOKUP(H241,Stock_list!A:Y,25,FALSE)</f>
        <v>Yes</v>
      </c>
      <c r="T241" s="144"/>
      <c r="U241" s="145" t="str">
        <f>VLOOKUP(H241,Stock_list!A:N,14,FALSE)</f>
        <v>APR 23</v>
      </c>
    </row>
    <row r="242" spans="1:21" ht="20.25" customHeight="1">
      <c r="A242" s="159" t="s">
        <v>2755</v>
      </c>
      <c r="B242" s="114" t="str">
        <f>VLOOKUP(A242,'Data pick slip'!B:F,5,FALSE)</f>
        <v>KLJ-MC100-00</v>
      </c>
      <c r="F242" s="157" t="s">
        <v>2753</v>
      </c>
      <c r="H242" s="138">
        <v>1898</v>
      </c>
      <c r="I242" s="140" t="str">
        <f>VLOOKUP(H242,Stock_list!A:R,18,FALSE)</f>
        <v>清水湾（End use:呈承）</v>
      </c>
      <c r="J242" s="139" t="str">
        <f>VLOOKUP(H242,Stock_list!A:S,17,FALSE)</f>
        <v>YJY-2023040701</v>
      </c>
      <c r="K242" s="51" t="str">
        <f>VLOOKUP(H242,Stock_list!A:T,16,FALSE)</f>
        <v>RMB</v>
      </c>
      <c r="L242" s="4">
        <v>45035</v>
      </c>
      <c r="M242" s="143">
        <v>120</v>
      </c>
      <c r="P242" s="4" t="str">
        <f>VLOOKUP(H242,Stock_list!A:Y,25,FALSE)</f>
        <v>Yes</v>
      </c>
      <c r="T242" s="144"/>
      <c r="U242" s="145" t="str">
        <f>VLOOKUP(H242,Stock_list!A:N,14,FALSE)</f>
        <v>APR 23</v>
      </c>
    </row>
    <row r="243" spans="1:21" ht="23.25" customHeight="1">
      <c r="A243" s="159" t="s">
        <v>2756</v>
      </c>
      <c r="B243" s="114" t="str">
        <f>VLOOKUP(A243,'Data pick slip'!B:F,5,FALSE)</f>
        <v>KLJ-MC200-00</v>
      </c>
      <c r="F243" s="157" t="s">
        <v>2753</v>
      </c>
      <c r="H243" s="138">
        <v>1898</v>
      </c>
      <c r="I243" s="140" t="str">
        <f>VLOOKUP(H243,Stock_list!A:R,18,FALSE)</f>
        <v>清水湾（End use:呈承）</v>
      </c>
      <c r="J243" s="139" t="str">
        <f>VLOOKUP(H243,Stock_list!A:S,17,FALSE)</f>
        <v>YJY-2023040701</v>
      </c>
      <c r="K243" s="51" t="str">
        <f>VLOOKUP(H243,Stock_list!A:T,16,FALSE)</f>
        <v>RMB</v>
      </c>
      <c r="L243" s="4">
        <v>45035</v>
      </c>
      <c r="M243" s="143">
        <v>30</v>
      </c>
      <c r="P243" s="4" t="str">
        <f>VLOOKUP(H243,Stock_list!A:Y,25,FALSE)</f>
        <v>Yes</v>
      </c>
      <c r="T243" s="144"/>
      <c r="U243" s="145" t="str">
        <f>VLOOKUP(H243,Stock_list!A:N,14,FALSE)</f>
        <v>APR 23</v>
      </c>
    </row>
    <row r="244" spans="1:21" ht="18" customHeight="1">
      <c r="A244" s="159" t="s">
        <v>2757</v>
      </c>
      <c r="B244" s="114" t="str">
        <f>VLOOKUP(A244,'Data pick slip'!B:F,5,FALSE)</f>
        <v>KLJ-MC400-00</v>
      </c>
      <c r="F244" s="157" t="s">
        <v>2753</v>
      </c>
      <c r="H244" s="138">
        <v>1898</v>
      </c>
      <c r="I244" s="140" t="str">
        <f>VLOOKUP(H244,Stock_list!A:R,18,FALSE)</f>
        <v>清水湾（End use:呈承）</v>
      </c>
      <c r="J244" s="139" t="str">
        <f>VLOOKUP(H244,Stock_list!A:S,17,FALSE)</f>
        <v>YJY-2023040701</v>
      </c>
      <c r="K244" s="51" t="str">
        <f>VLOOKUP(H244,Stock_list!A:T,16,FALSE)</f>
        <v>RMB</v>
      </c>
      <c r="L244" s="4">
        <v>45035</v>
      </c>
      <c r="M244" s="143">
        <v>12</v>
      </c>
      <c r="P244" s="4" t="str">
        <f>VLOOKUP(H244,Stock_list!A:Y,25,FALSE)</f>
        <v>Yes</v>
      </c>
      <c r="T244" s="144"/>
      <c r="U244" s="145" t="str">
        <f>VLOOKUP(H244,Stock_list!A:N,14,FALSE)</f>
        <v>APR 23</v>
      </c>
    </row>
    <row r="245" spans="1:21" ht="16.5" customHeight="1">
      <c r="A245" s="159" t="s">
        <v>2758</v>
      </c>
      <c r="B245" s="114" t="str">
        <f>VLOOKUP(A245,'Data pick slip'!B:F,5,FALSE)</f>
        <v>KLJ-MC500-00</v>
      </c>
      <c r="F245" s="157" t="s">
        <v>2753</v>
      </c>
      <c r="H245" s="138">
        <v>1898</v>
      </c>
      <c r="I245" s="140" t="str">
        <f>VLOOKUP(H245,Stock_list!A:R,18,FALSE)</f>
        <v>清水湾（End use:呈承）</v>
      </c>
      <c r="J245" s="139" t="str">
        <f>VLOOKUP(H245,Stock_list!A:S,17,FALSE)</f>
        <v>YJY-2023040701</v>
      </c>
      <c r="K245" s="51" t="str">
        <f>VLOOKUP(H245,Stock_list!A:T,16,FALSE)</f>
        <v>RMB</v>
      </c>
      <c r="L245" s="4">
        <v>45035</v>
      </c>
      <c r="M245" s="143">
        <v>3</v>
      </c>
      <c r="P245" s="4" t="str">
        <f>VLOOKUP(H245,Stock_list!A:Y,25,FALSE)</f>
        <v>Yes</v>
      </c>
      <c r="T245" s="144"/>
      <c r="U245" s="145" t="str">
        <f>VLOOKUP(H245,Stock_list!A:N,14,FALSE)</f>
        <v>APR 23</v>
      </c>
    </row>
    <row r="246" spans="1:21" ht="16.5" customHeight="1">
      <c r="A246" s="159" t="s">
        <v>2759</v>
      </c>
      <c r="B246" s="114" t="str">
        <f>VLOOKUP(A246,'Data pick slip'!B:F,5,FALSE)</f>
        <v>KLJ-MC600-00</v>
      </c>
      <c r="F246" s="157" t="s">
        <v>2753</v>
      </c>
      <c r="H246" s="138">
        <v>1898</v>
      </c>
      <c r="I246" s="140" t="str">
        <f>VLOOKUP(H246,Stock_list!A:R,18,FALSE)</f>
        <v>清水湾（End use:呈承）</v>
      </c>
      <c r="J246" s="139" t="str">
        <f>VLOOKUP(H246,Stock_list!A:S,17,FALSE)</f>
        <v>YJY-2023040701</v>
      </c>
      <c r="K246" s="51" t="str">
        <f>VLOOKUP(H246,Stock_list!A:T,16,FALSE)</f>
        <v>RMB</v>
      </c>
      <c r="L246" s="4">
        <v>45035</v>
      </c>
      <c r="M246" s="143">
        <v>1</v>
      </c>
      <c r="P246" s="4" t="str">
        <f>VLOOKUP(H246,Stock_list!A:Y,25,FALSE)</f>
        <v>Yes</v>
      </c>
      <c r="T246" s="144"/>
      <c r="U246" s="145" t="str">
        <f>VLOOKUP(H246,Stock_list!A:N,14,FALSE)</f>
        <v>APR 23</v>
      </c>
    </row>
    <row r="247" spans="1:21" ht="16.5" customHeight="1">
      <c r="A247" s="159" t="s">
        <v>2760</v>
      </c>
      <c r="B247" s="114" t="str">
        <f>VLOOKUP(A247,'Data pick slip'!B:F,5,FALSE)</f>
        <v>KLJ-MC700-00</v>
      </c>
      <c r="F247" s="157" t="s">
        <v>2753</v>
      </c>
      <c r="H247" s="138">
        <v>1898</v>
      </c>
      <c r="I247" s="140" t="str">
        <f>VLOOKUP(H247,Stock_list!A:R,18,FALSE)</f>
        <v>清水湾（End use:呈承）</v>
      </c>
      <c r="J247" s="139" t="str">
        <f>VLOOKUP(H247,Stock_list!A:S,17,FALSE)</f>
        <v>YJY-2023040701</v>
      </c>
      <c r="K247" s="51" t="str">
        <f>VLOOKUP(H247,Stock_list!A:T,16,FALSE)</f>
        <v>RMB</v>
      </c>
      <c r="L247" s="4">
        <v>45035</v>
      </c>
      <c r="M247" s="143">
        <v>1</v>
      </c>
      <c r="P247" s="4" t="str">
        <f>VLOOKUP(H247,Stock_list!A:Y,25,FALSE)</f>
        <v>Yes</v>
      </c>
      <c r="T247" s="144"/>
      <c r="U247" s="145" t="str">
        <f>VLOOKUP(H247,Stock_list!A:N,14,FALSE)</f>
        <v>APR 23</v>
      </c>
    </row>
    <row r="248" spans="1:21" ht="21.75" customHeight="1">
      <c r="A248" s="159" t="s">
        <v>2744</v>
      </c>
      <c r="B248" s="114" t="str">
        <f>VLOOKUP(A248,'Data pick slip'!B:F,5,FALSE)</f>
        <v>KHJ-MC100-00</v>
      </c>
      <c r="F248" s="157" t="s">
        <v>2936</v>
      </c>
      <c r="I248" s="389" t="s">
        <v>3970</v>
      </c>
      <c r="J248" s="269" t="s">
        <v>3910</v>
      </c>
      <c r="K248" s="51" t="s">
        <v>3003</v>
      </c>
      <c r="L248" s="4">
        <v>45034</v>
      </c>
      <c r="M248" s="140">
        <v>167</v>
      </c>
      <c r="N248" s="146"/>
      <c r="P248" s="4" t="s">
        <v>291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2747</v>
      </c>
      <c r="B249" s="114" t="str">
        <f>VLOOKUP(A249,'Data pick slip'!B:F,5,FALSE)</f>
        <v>KHJ-MC200-00</v>
      </c>
      <c r="F249" s="157" t="s">
        <v>2936</v>
      </c>
      <c r="I249" s="389" t="s">
        <v>3970</v>
      </c>
      <c r="J249" s="269" t="s">
        <v>3910</v>
      </c>
      <c r="K249" s="51" t="s">
        <v>3003</v>
      </c>
      <c r="L249" s="4">
        <v>45034</v>
      </c>
      <c r="M249" s="140">
        <v>80</v>
      </c>
      <c r="N249" s="146"/>
      <c r="P249" s="4" t="s">
        <v>291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2748</v>
      </c>
      <c r="B250" s="114" t="str">
        <f>VLOOKUP(A250,'Data pick slip'!B:F,5,FALSE)</f>
        <v>KHJ-MC400-00</v>
      </c>
      <c r="F250" s="157" t="s">
        <v>2936</v>
      </c>
      <c r="I250" s="389" t="s">
        <v>3970</v>
      </c>
      <c r="J250" s="269" t="s">
        <v>3910</v>
      </c>
      <c r="K250" s="51" t="s">
        <v>3003</v>
      </c>
      <c r="L250" s="4">
        <v>45034</v>
      </c>
      <c r="M250" s="140">
        <v>23</v>
      </c>
      <c r="N250" s="146"/>
      <c r="P250" s="4" t="s">
        <v>291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2749</v>
      </c>
      <c r="B251" s="114" t="str">
        <f>VLOOKUP(A251,'Data pick slip'!B:F,5,FALSE)</f>
        <v>KHJ-MC500-00</v>
      </c>
      <c r="F251" s="157" t="s">
        <v>2936</v>
      </c>
      <c r="I251" s="389" t="s">
        <v>3970</v>
      </c>
      <c r="J251" s="269" t="s">
        <v>3910</v>
      </c>
      <c r="K251" s="51" t="s">
        <v>3003</v>
      </c>
      <c r="L251" s="4">
        <v>45034</v>
      </c>
      <c r="M251" s="140">
        <v>4</v>
      </c>
      <c r="N251" s="146"/>
      <c r="P251" s="4" t="s">
        <v>291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2755</v>
      </c>
      <c r="B252" s="114" t="str">
        <f>VLOOKUP(A252,'Data pick slip'!B:F,5,FALSE)</f>
        <v>KLJ-MC100-00</v>
      </c>
      <c r="F252" s="157" t="s">
        <v>2936</v>
      </c>
      <c r="I252" s="140" t="s">
        <v>2854</v>
      </c>
      <c r="J252" s="270" t="s">
        <v>3907</v>
      </c>
      <c r="K252" s="51" t="s">
        <v>3906</v>
      </c>
      <c r="L252" s="4">
        <v>45034</v>
      </c>
      <c r="M252" s="140">
        <v>10</v>
      </c>
      <c r="P252" s="4" t="s">
        <v>291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2756</v>
      </c>
      <c r="B253" s="114" t="str">
        <f>VLOOKUP(A253,'Data pick slip'!B:F,5,FALSE)</f>
        <v>KLJ-MC200-00</v>
      </c>
      <c r="F253" s="157" t="s">
        <v>2936</v>
      </c>
      <c r="I253" s="140" t="s">
        <v>2854</v>
      </c>
      <c r="J253" s="270" t="s">
        <v>3907</v>
      </c>
      <c r="K253" s="51" t="s">
        <v>3906</v>
      </c>
      <c r="L253" s="4">
        <v>45034</v>
      </c>
      <c r="M253" s="140">
        <v>1</v>
      </c>
      <c r="P253" s="4" t="s">
        <v>291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2744</v>
      </c>
      <c r="B254" s="114" t="str">
        <f>VLOOKUP(A254,'Data pick slip'!B:F,5,FALSE)</f>
        <v>KHJ-MC100-00</v>
      </c>
      <c r="F254" s="157" t="s">
        <v>2753</v>
      </c>
      <c r="H254" s="138">
        <v>1900</v>
      </c>
      <c r="I254" s="140" t="str">
        <f>VLOOKUP(H254,Stock_list!A:R,18,FALSE)</f>
        <v>旭宇盛翔</v>
      </c>
      <c r="J254" s="139" t="str">
        <f>VLOOKUP(H254,Stock_list!A:S,17,FALSE)</f>
        <v>C49SZX20230048SQ</v>
      </c>
      <c r="K254" s="51" t="str">
        <f>VLOOKUP(H254,Stock_list!A:T,16,FALSE)</f>
        <v>RMB</v>
      </c>
      <c r="L254" s="4">
        <v>45156</v>
      </c>
      <c r="M254" s="140">
        <v>22</v>
      </c>
      <c r="N254" s="143"/>
      <c r="P254" s="4" t="str">
        <f>VLOOKUP(H254,Stock_list!A:Y,25,FALSE)</f>
        <v>Yes</v>
      </c>
      <c r="T254" s="144"/>
      <c r="U254" s="145" t="str">
        <f>VLOOKUP(H254,Stock_list!A:N,14,FALSE)</f>
        <v>AUG 23</v>
      </c>
    </row>
    <row r="255" spans="1:21" ht="16.5" customHeight="1">
      <c r="A255" s="159" t="s">
        <v>2747</v>
      </c>
      <c r="B255" s="114" t="str">
        <f>VLOOKUP(A255,'Data pick slip'!B:F,5,FALSE)</f>
        <v>KHJ-MC200-00</v>
      </c>
      <c r="F255" s="157" t="s">
        <v>2753</v>
      </c>
      <c r="H255" s="138">
        <v>1900</v>
      </c>
      <c r="I255" s="140" t="str">
        <f>VLOOKUP(H255,Stock_list!A:R,18,FALSE)</f>
        <v>旭宇盛翔</v>
      </c>
      <c r="J255" s="139" t="str">
        <f>VLOOKUP(H255,Stock_list!A:S,17,FALSE)</f>
        <v>C49SZX20230048SQ</v>
      </c>
      <c r="K255" s="51" t="str">
        <f>VLOOKUP(H255,Stock_list!A:T,16,FALSE)</f>
        <v>RMB</v>
      </c>
      <c r="L255" s="4">
        <v>45156</v>
      </c>
      <c r="M255" s="140">
        <v>2</v>
      </c>
      <c r="N255" s="143"/>
      <c r="P255" s="4" t="str">
        <f>VLOOKUP(H255,Stock_list!A:Y,25,FALSE)</f>
        <v>Yes</v>
      </c>
      <c r="T255" s="144"/>
      <c r="U255" s="145" t="str">
        <f>VLOOKUP(H255,Stock_list!A:N,14,FALSE)</f>
        <v>AUG 23</v>
      </c>
    </row>
    <row r="256" spans="1:21" ht="16.5" customHeight="1">
      <c r="A256" s="159" t="s">
        <v>2744</v>
      </c>
      <c r="B256" s="114" t="str">
        <f>VLOOKUP(A256,'Data pick slip'!B:F,5,FALSE)</f>
        <v>KHJ-MC100-00</v>
      </c>
      <c r="F256" s="157" t="s">
        <v>2753</v>
      </c>
      <c r="H256" s="138">
        <v>1902</v>
      </c>
      <c r="I256" s="140" t="str">
        <f>VLOOKUP(H256,Stock_list!A:R,18,FALSE)</f>
        <v>和创永泰</v>
      </c>
      <c r="J256" s="139" t="str">
        <f>VLOOKUP(H256,Stock_list!A:S,17,FALSE)</f>
        <v>C49SZX20230049JY</v>
      </c>
      <c r="K256" s="51" t="str">
        <f>VLOOKUP(H256,Stock_list!A:T,16,FALSE)</f>
        <v>RMB</v>
      </c>
      <c r="L256" s="4">
        <v>45042</v>
      </c>
      <c r="M256" s="143">
        <v>120</v>
      </c>
      <c r="P256" s="4" t="str">
        <f>VLOOKUP(H256,Stock_list!A:Y,25,FALSE)</f>
        <v>Yes</v>
      </c>
      <c r="T256" s="144"/>
      <c r="U256" s="145" t="str">
        <f>VLOOKUP(H256,Stock_list!A:N,14,FALSE)</f>
        <v>APR 23</v>
      </c>
    </row>
    <row r="257" spans="1:21" ht="16.5" customHeight="1">
      <c r="A257" s="159" t="s">
        <v>2747</v>
      </c>
      <c r="B257" s="114" t="str">
        <f>VLOOKUP(A257,'Data pick slip'!B:F,5,FALSE)</f>
        <v>KHJ-MC200-00</v>
      </c>
      <c r="F257" s="157" t="s">
        <v>2753</v>
      </c>
      <c r="H257" s="138">
        <v>1902</v>
      </c>
      <c r="I257" s="140" t="str">
        <f>VLOOKUP(H257,Stock_list!A:R,18,FALSE)</f>
        <v>和创永泰</v>
      </c>
      <c r="J257" s="139" t="str">
        <f>VLOOKUP(H257,Stock_list!A:S,17,FALSE)</f>
        <v>C49SZX20230049JY</v>
      </c>
      <c r="K257" s="51" t="str">
        <f>VLOOKUP(H257,Stock_list!A:T,16,FALSE)</f>
        <v>RMB</v>
      </c>
      <c r="L257" s="4">
        <v>45042</v>
      </c>
      <c r="M257" s="143">
        <v>25</v>
      </c>
      <c r="P257" s="4" t="str">
        <f>VLOOKUP(H257,Stock_list!A:Y,25,FALSE)</f>
        <v>Yes</v>
      </c>
      <c r="T257" s="144"/>
      <c r="U257" s="145" t="str">
        <f>VLOOKUP(H257,Stock_list!A:N,14,FALSE)</f>
        <v>APR 23</v>
      </c>
    </row>
    <row r="258" spans="1:21" ht="16.5" customHeight="1">
      <c r="A258" s="159" t="s">
        <v>2748</v>
      </c>
      <c r="B258" s="114" t="str">
        <f>VLOOKUP(A258,'Data pick slip'!B:F,5,FALSE)</f>
        <v>KHJ-MC400-00</v>
      </c>
      <c r="F258" s="157" t="s">
        <v>2753</v>
      </c>
      <c r="H258" s="138">
        <v>1902</v>
      </c>
      <c r="I258" s="140" t="str">
        <f>VLOOKUP(H258,Stock_list!A:R,18,FALSE)</f>
        <v>和创永泰</v>
      </c>
      <c r="J258" s="139" t="str">
        <f>VLOOKUP(H258,Stock_list!A:S,17,FALSE)</f>
        <v>C49SZX20230049JY</v>
      </c>
      <c r="K258" s="51" t="str">
        <f>VLOOKUP(H258,Stock_list!A:T,16,FALSE)</f>
        <v>RMB</v>
      </c>
      <c r="L258" s="4">
        <v>45042</v>
      </c>
      <c r="M258" s="143">
        <v>8</v>
      </c>
      <c r="P258" s="4" t="str">
        <f>VLOOKUP(H258,Stock_list!A:Y,25,FALSE)</f>
        <v>Yes</v>
      </c>
      <c r="T258" s="144"/>
      <c r="U258" s="145" t="str">
        <f>VLOOKUP(H258,Stock_list!A:N,14,FALSE)</f>
        <v>APR 23</v>
      </c>
    </row>
    <row r="259" spans="1:21" ht="16.5" customHeight="1">
      <c r="A259" s="159" t="s">
        <v>2749</v>
      </c>
      <c r="B259" s="114" t="str">
        <f>VLOOKUP(A259,'Data pick slip'!B:F,5,FALSE)</f>
        <v>KHJ-MC500-00</v>
      </c>
      <c r="F259" s="157" t="s">
        <v>2753</v>
      </c>
      <c r="H259" s="138">
        <v>1902</v>
      </c>
      <c r="I259" s="140" t="str">
        <f>VLOOKUP(H259,Stock_list!A:R,18,FALSE)</f>
        <v>和创永泰</v>
      </c>
      <c r="J259" s="139" t="str">
        <f>VLOOKUP(H259,Stock_list!A:S,17,FALSE)</f>
        <v>C49SZX20230049JY</v>
      </c>
      <c r="K259" s="51" t="str">
        <f>VLOOKUP(H259,Stock_list!A:T,16,FALSE)</f>
        <v>RMB</v>
      </c>
      <c r="L259" s="4">
        <v>45042</v>
      </c>
      <c r="M259" s="143">
        <v>5</v>
      </c>
      <c r="P259" s="4" t="str">
        <f>VLOOKUP(H259,Stock_list!A:Y,25,FALSE)</f>
        <v>Yes</v>
      </c>
      <c r="T259" s="144"/>
      <c r="U259" s="145" t="str">
        <f>VLOOKUP(H259,Stock_list!A:N,14,FALSE)</f>
        <v>APR 23</v>
      </c>
    </row>
    <row r="260" spans="1:21" ht="16.5" customHeight="1">
      <c r="A260" s="159" t="s">
        <v>2750</v>
      </c>
      <c r="B260" s="114" t="str">
        <f>VLOOKUP(A260,'Data pick slip'!B:F,5,FALSE)</f>
        <v>KHJ-MC600-00</v>
      </c>
      <c r="F260" s="157" t="s">
        <v>2753</v>
      </c>
      <c r="H260" s="138">
        <v>1902</v>
      </c>
      <c r="I260" s="140" t="str">
        <f>VLOOKUP(H260,Stock_list!A:R,18,FALSE)</f>
        <v>和创永泰</v>
      </c>
      <c r="J260" s="139" t="str">
        <f>VLOOKUP(H260,Stock_list!A:S,17,FALSE)</f>
        <v>C49SZX20230049JY</v>
      </c>
      <c r="K260" s="51" t="str">
        <f>VLOOKUP(H260,Stock_list!A:T,16,FALSE)</f>
        <v>RMB</v>
      </c>
      <c r="L260" s="4">
        <v>45042</v>
      </c>
      <c r="M260" s="143">
        <v>1</v>
      </c>
      <c r="P260" s="4" t="str">
        <f>VLOOKUP(H260,Stock_list!A:Y,25,FALSE)</f>
        <v>Yes</v>
      </c>
      <c r="T260" s="144"/>
      <c r="U260" s="145" t="str">
        <f>VLOOKUP(H260,Stock_list!A:N,14,FALSE)</f>
        <v>APR 23</v>
      </c>
    </row>
    <row r="261" spans="1:21" ht="16.5" customHeight="1">
      <c r="A261" s="159" t="s">
        <v>2744</v>
      </c>
      <c r="B261" s="114" t="str">
        <f>VLOOKUP(A261,'Data pick slip'!B:F,5,FALSE)</f>
        <v>KHJ-MC100-00</v>
      </c>
      <c r="F261" s="157" t="s">
        <v>1381</v>
      </c>
      <c r="H261" s="138">
        <v>1905</v>
      </c>
      <c r="I261" s="140" t="str">
        <f>VLOOKUP(H261,Stock_list!A:R,18,FALSE)</f>
        <v>格第</v>
      </c>
      <c r="J261" s="139" t="str">
        <f>VLOOKUP(H261,Stock_list!A:S,17,FALSE)</f>
        <v>C49SZX20230054SQ</v>
      </c>
      <c r="K261" s="51" t="str">
        <f>VLOOKUP(H261,Stock_list!A:T,16,FALSE)</f>
        <v>JPY</v>
      </c>
      <c r="L261" s="4">
        <v>45044</v>
      </c>
      <c r="M261" s="143">
        <v>60</v>
      </c>
      <c r="P261" s="4" t="str">
        <f>VLOOKUP(H261,Stock_list!A:Y,25,FALSE)</f>
        <v>Yes</v>
      </c>
      <c r="T261" s="144"/>
      <c r="U261" s="145" t="str">
        <f>VLOOKUP(H261,Stock_list!A:N,14,FALSE)</f>
        <v>APR 23</v>
      </c>
    </row>
    <row r="262" spans="1:21" ht="16.5" customHeight="1">
      <c r="A262" s="159" t="s">
        <v>2747</v>
      </c>
      <c r="B262" s="114" t="str">
        <f>VLOOKUP(A262,'Data pick slip'!B:F,5,FALSE)</f>
        <v>KHJ-MC200-00</v>
      </c>
      <c r="F262" s="157" t="s">
        <v>1381</v>
      </c>
      <c r="H262" s="138">
        <v>1905</v>
      </c>
      <c r="I262" s="140" t="str">
        <f>VLOOKUP(H262,Stock_list!A:R,18,FALSE)</f>
        <v>格第</v>
      </c>
      <c r="J262" s="139" t="str">
        <f>VLOOKUP(H262,Stock_list!A:S,17,FALSE)</f>
        <v>C49SZX20230054SQ</v>
      </c>
      <c r="K262" s="51" t="str">
        <f>VLOOKUP(H262,Stock_list!A:T,16,FALSE)</f>
        <v>JPY</v>
      </c>
      <c r="L262" s="4">
        <v>45044</v>
      </c>
      <c r="M262" s="143">
        <v>12</v>
      </c>
      <c r="P262" s="4" t="str">
        <f>VLOOKUP(H262,Stock_list!A:Y,25,FALSE)</f>
        <v>Yes</v>
      </c>
      <c r="T262" s="144"/>
      <c r="U262" s="145" t="str">
        <f>VLOOKUP(H262,Stock_list!A:N,14,FALSE)</f>
        <v>APR 23</v>
      </c>
    </row>
    <row r="263" spans="1:21" ht="16.5" customHeight="1">
      <c r="A263" s="159" t="s">
        <v>2748</v>
      </c>
      <c r="B263" s="114" t="str">
        <f>VLOOKUP(A263,'Data pick slip'!B:F,5,FALSE)</f>
        <v>KHJ-MC400-00</v>
      </c>
      <c r="F263" s="157" t="s">
        <v>1381</v>
      </c>
      <c r="H263" s="138">
        <v>1905</v>
      </c>
      <c r="I263" s="140" t="str">
        <f>VLOOKUP(H263,Stock_list!A:R,18,FALSE)</f>
        <v>格第</v>
      </c>
      <c r="J263" s="139" t="str">
        <f>VLOOKUP(H263,Stock_list!A:S,17,FALSE)</f>
        <v>C49SZX20230054SQ</v>
      </c>
      <c r="K263" s="51" t="str">
        <f>VLOOKUP(H263,Stock_list!A:T,16,FALSE)</f>
        <v>JPY</v>
      </c>
      <c r="L263" s="4">
        <v>45044</v>
      </c>
      <c r="M263" s="143">
        <v>5</v>
      </c>
      <c r="P263" s="4" t="str">
        <f>VLOOKUP(H263,Stock_list!A:Y,25,FALSE)</f>
        <v>Yes</v>
      </c>
      <c r="T263" s="144"/>
      <c r="U263" s="145" t="str">
        <f>VLOOKUP(H263,Stock_list!A:N,14,FALSE)</f>
        <v>APR 23</v>
      </c>
    </row>
    <row r="264" spans="1:21" ht="16.5" customHeight="1">
      <c r="A264" s="159" t="s">
        <v>2749</v>
      </c>
      <c r="B264" s="114" t="str">
        <f>VLOOKUP(A264,'Data pick slip'!B:F,5,FALSE)</f>
        <v>KHJ-MC500-00</v>
      </c>
      <c r="F264" s="157" t="s">
        <v>1381</v>
      </c>
      <c r="H264" s="138">
        <v>1905</v>
      </c>
      <c r="I264" s="140" t="str">
        <f>VLOOKUP(H264,Stock_list!A:R,18,FALSE)</f>
        <v>格第</v>
      </c>
      <c r="J264" s="139" t="str">
        <f>VLOOKUP(H264,Stock_list!A:S,17,FALSE)</f>
        <v>C49SZX20230054SQ</v>
      </c>
      <c r="K264" s="51" t="str">
        <f>VLOOKUP(H264,Stock_list!A:T,16,FALSE)</f>
        <v>JPY</v>
      </c>
      <c r="L264" s="4">
        <v>45044</v>
      </c>
      <c r="M264" s="143">
        <v>3</v>
      </c>
      <c r="P264" s="4" t="str">
        <f>VLOOKUP(H264,Stock_list!A:Y,25,FALSE)</f>
        <v>Yes</v>
      </c>
      <c r="T264" s="144"/>
      <c r="U264" s="145" t="str">
        <f>VLOOKUP(H264,Stock_list!A:N,14,FALSE)</f>
        <v>APR 23</v>
      </c>
    </row>
    <row r="265" spans="1:21" ht="16.5" customHeight="1">
      <c r="A265" s="159" t="s">
        <v>2750</v>
      </c>
      <c r="B265" s="114" t="str">
        <f>VLOOKUP(A265,'Data pick slip'!B:F,5,FALSE)</f>
        <v>KHJ-MC600-00</v>
      </c>
      <c r="F265" s="157" t="s">
        <v>1381</v>
      </c>
      <c r="H265" s="138">
        <v>1905</v>
      </c>
      <c r="I265" s="140" t="str">
        <f>VLOOKUP(H265,Stock_list!A:R,18,FALSE)</f>
        <v>格第</v>
      </c>
      <c r="J265" s="139" t="str">
        <f>VLOOKUP(H265,Stock_list!A:S,17,FALSE)</f>
        <v>C49SZX20230054SQ</v>
      </c>
      <c r="K265" s="51" t="str">
        <f>VLOOKUP(H265,Stock_list!A:T,16,FALSE)</f>
        <v>JPY</v>
      </c>
      <c r="L265" s="4">
        <v>45044</v>
      </c>
      <c r="M265" s="143">
        <v>2</v>
      </c>
      <c r="P265" s="4" t="str">
        <f>VLOOKUP(H265,Stock_list!A:Y,25,FALSE)</f>
        <v>Yes</v>
      </c>
      <c r="T265" s="144"/>
      <c r="U265" s="145" t="str">
        <f>VLOOKUP(H265,Stock_list!A:N,14,FALSE)</f>
        <v>APR 23</v>
      </c>
    </row>
    <row r="266" spans="1:21" ht="16.5" customHeight="1">
      <c r="A266" s="159" t="s">
        <v>2744</v>
      </c>
      <c r="B266" s="114" t="str">
        <f>VLOOKUP(A266,'Data pick slip'!B:F,5,FALSE)</f>
        <v>KHJ-MC100-00</v>
      </c>
      <c r="F266" s="157" t="s">
        <v>2753</v>
      </c>
      <c r="H266" s="138">
        <v>1909</v>
      </c>
      <c r="I266" s="140" t="str">
        <f>VLOOKUP(H266,Stock_list!A:R,18,FALSE)</f>
        <v>佳润</v>
      </c>
      <c r="J266" s="139" t="str">
        <f>VLOOKUP(H266,Stock_list!A:S,17,FALSE)</f>
        <v>C49SZX20230052MZ</v>
      </c>
      <c r="K266" s="51" t="str">
        <f>VLOOKUP(H266,Stock_list!A:T,16,FALSE)</f>
        <v>RMB</v>
      </c>
      <c r="L266" s="4">
        <v>45054</v>
      </c>
      <c r="M266" s="143">
        <v>145</v>
      </c>
      <c r="P266" s="4" t="str">
        <f>VLOOKUP(H266,Stock_list!A:Y,25,FALSE)</f>
        <v>Yes</v>
      </c>
      <c r="T266" s="144"/>
      <c r="U266" s="145" t="str">
        <f>VLOOKUP(H266,Stock_list!A:N,14,FALSE)</f>
        <v>MAY 23</v>
      </c>
    </row>
    <row r="267" spans="1:21" ht="16.5" customHeight="1">
      <c r="A267" s="159" t="s">
        <v>2747</v>
      </c>
      <c r="B267" s="114" t="str">
        <f>VLOOKUP(A267,'Data pick slip'!B:F,5,FALSE)</f>
        <v>KHJ-MC200-00</v>
      </c>
      <c r="F267" s="157" t="s">
        <v>2753</v>
      </c>
      <c r="H267" s="138">
        <v>1909</v>
      </c>
      <c r="I267" s="140" t="str">
        <f>VLOOKUP(H267,Stock_list!A:R,18,FALSE)</f>
        <v>佳润</v>
      </c>
      <c r="J267" s="139" t="str">
        <f>VLOOKUP(H267,Stock_list!A:S,17,FALSE)</f>
        <v>C49SZX20230052MZ</v>
      </c>
      <c r="K267" s="51" t="str">
        <f>VLOOKUP(H267,Stock_list!A:T,16,FALSE)</f>
        <v>RMB</v>
      </c>
      <c r="L267" s="4">
        <v>45054</v>
      </c>
      <c r="M267" s="143">
        <v>5</v>
      </c>
      <c r="P267" s="4" t="str">
        <f>VLOOKUP(H267,Stock_list!A:Y,25,FALSE)</f>
        <v>Yes</v>
      </c>
      <c r="T267" s="144"/>
      <c r="U267" s="145" t="str">
        <f>VLOOKUP(H267,Stock_list!A:N,14,FALSE)</f>
        <v>MAY 23</v>
      </c>
    </row>
    <row r="268" spans="1:21" ht="16.5" customHeight="1">
      <c r="A268" s="159" t="s">
        <v>2750</v>
      </c>
      <c r="B268" s="114" t="str">
        <f>VLOOKUP(A268,'Data pick slip'!B:F,5,FALSE)</f>
        <v>KHJ-MC600-00</v>
      </c>
      <c r="F268" s="157" t="s">
        <v>2753</v>
      </c>
      <c r="H268" s="138">
        <v>1909</v>
      </c>
      <c r="I268" s="140" t="str">
        <f>VLOOKUP(H268,Stock_list!A:R,18,FALSE)</f>
        <v>佳润</v>
      </c>
      <c r="J268" s="139" t="str">
        <f>VLOOKUP(H268,Stock_list!A:S,17,FALSE)</f>
        <v>C49SZX20230052MZ</v>
      </c>
      <c r="K268" s="51" t="str">
        <f>VLOOKUP(H268,Stock_list!A:T,16,FALSE)</f>
        <v>RMB</v>
      </c>
      <c r="L268" s="4">
        <v>45054</v>
      </c>
      <c r="M268" s="143">
        <v>2</v>
      </c>
      <c r="P268" s="4" t="str">
        <f>VLOOKUP(H268,Stock_list!A:Y,25,FALSE)</f>
        <v>Yes</v>
      </c>
      <c r="T268" s="144"/>
      <c r="U268" s="145" t="str">
        <f>VLOOKUP(H268,Stock_list!A:N,14,FALSE)</f>
        <v>MAY 23</v>
      </c>
    </row>
    <row r="269" spans="1:21" ht="16.5" customHeight="1">
      <c r="A269" s="159" t="s">
        <v>2744</v>
      </c>
      <c r="B269" s="114" t="str">
        <f>VLOOKUP(A269,'Data pick slip'!B:F,5,FALSE)</f>
        <v>KHJ-MC100-00</v>
      </c>
      <c r="F269" s="157" t="s">
        <v>2753</v>
      </c>
      <c r="H269" s="138">
        <v>1910</v>
      </c>
      <c r="I269" s="140" t="str">
        <f>VLOOKUP(H269,Stock_list!A:R,18,FALSE)</f>
        <v>佳润</v>
      </c>
      <c r="J269" s="139" t="str">
        <f>VLOOKUP(H269,Stock_list!A:S,17,FALSE)</f>
        <v>C49SZX20230053MZ</v>
      </c>
      <c r="K269" s="51" t="str">
        <f>VLOOKUP(H269,Stock_list!A:T,16,FALSE)</f>
        <v>RMB</v>
      </c>
      <c r="L269" s="4">
        <v>45069</v>
      </c>
      <c r="M269" s="140">
        <v>160</v>
      </c>
      <c r="N269" s="143"/>
      <c r="P269" s="4" t="str">
        <f>VLOOKUP(H269,Stock_list!A:Y,25,FALSE)</f>
        <v>Yes</v>
      </c>
      <c r="T269" s="144"/>
      <c r="U269" s="145" t="str">
        <f>VLOOKUP(H269,Stock_list!A:N,14,FALSE)</f>
        <v>MAY 23</v>
      </c>
    </row>
    <row r="270" spans="1:21" ht="16.5" customHeight="1">
      <c r="A270" s="159" t="s">
        <v>2744</v>
      </c>
      <c r="B270" s="114" t="str">
        <f>VLOOKUP(A270,'Data pick slip'!B:F,5,FALSE)</f>
        <v>KHJ-MC100-00</v>
      </c>
      <c r="F270" s="157" t="s">
        <v>2753</v>
      </c>
      <c r="H270" s="138">
        <v>1911</v>
      </c>
      <c r="I270" s="140" t="str">
        <f>VLOOKUP(H270,Stock_list!A:R,18,FALSE)</f>
        <v>圣亨</v>
      </c>
      <c r="J270" s="139" t="str">
        <f>VLOOKUP(H270,Stock_list!A:S,17,FALSE)</f>
        <v>C49SZX20230058EC</v>
      </c>
      <c r="K270" s="51" t="str">
        <f>VLOOKUP(H270,Stock_list!A:T,16,FALSE)</f>
        <v>RMB</v>
      </c>
      <c r="L270" s="4">
        <v>45054</v>
      </c>
      <c r="M270" s="140">
        <v>40</v>
      </c>
      <c r="P270" s="4" t="str">
        <f>VLOOKUP(H270,Stock_list!A:Y,25,FALSE)</f>
        <v>Yes</v>
      </c>
      <c r="Q270" s="143"/>
      <c r="T270" s="144"/>
      <c r="U270" s="145" t="str">
        <f>VLOOKUP(H270,Stock_list!A:N,14,FALSE)</f>
        <v>MAY 23</v>
      </c>
    </row>
    <row r="271" spans="1:21" ht="16.5" customHeight="1">
      <c r="A271" s="159" t="s">
        <v>2744</v>
      </c>
      <c r="B271" s="114" t="str">
        <f>VLOOKUP(A271,'Data pick slip'!B:F,5,FALSE)</f>
        <v>KHJ-MC100-00</v>
      </c>
      <c r="F271" s="157" t="s">
        <v>2753</v>
      </c>
      <c r="H271" s="138">
        <v>1912</v>
      </c>
      <c r="I271" s="140" t="str">
        <f>VLOOKUP(H271,Stock_list!A:R,18,FALSE)</f>
        <v>台山新欣</v>
      </c>
      <c r="J271" s="139" t="str">
        <f>VLOOKUP(H271,Stock_list!A:S,17,FALSE)</f>
        <v>C49SZX20230056SX</v>
      </c>
      <c r="K271" s="51" t="str">
        <f>VLOOKUP(H271,Stock_list!A:T,16,FALSE)</f>
        <v>RMB</v>
      </c>
      <c r="L271" s="4">
        <v>45096</v>
      </c>
      <c r="M271" s="140">
        <v>20</v>
      </c>
      <c r="P271" s="4" t="str">
        <f>VLOOKUP(H271,Stock_list!A:Y,25,FALSE)</f>
        <v>Yes</v>
      </c>
      <c r="Q271" s="143"/>
      <c r="T271" s="144"/>
      <c r="U271" s="145" t="str">
        <f>VLOOKUP(H271,Stock_list!A:N,14,FALSE)</f>
        <v>JUN 23</v>
      </c>
    </row>
    <row r="272" spans="1:21" ht="16.5" customHeight="1">
      <c r="A272" s="159" t="s">
        <v>2747</v>
      </c>
      <c r="B272" s="114" t="str">
        <f>VLOOKUP(A272,'Data pick slip'!B:F,5,FALSE)</f>
        <v>KHJ-MC200-00</v>
      </c>
      <c r="F272" s="157" t="s">
        <v>2753</v>
      </c>
      <c r="H272" s="138">
        <v>1912</v>
      </c>
      <c r="I272" s="140" t="str">
        <f>VLOOKUP(H272,Stock_list!A:R,18,FALSE)</f>
        <v>台山新欣</v>
      </c>
      <c r="J272" s="139" t="str">
        <f>VLOOKUP(H272,Stock_list!A:S,17,FALSE)</f>
        <v>C49SZX20230056SX</v>
      </c>
      <c r="K272" s="51" t="str">
        <f>VLOOKUP(H272,Stock_list!A:T,16,FALSE)</f>
        <v>RMB</v>
      </c>
      <c r="L272" s="4">
        <v>45096</v>
      </c>
      <c r="M272" s="140">
        <v>5</v>
      </c>
      <c r="P272" s="4" t="str">
        <f>VLOOKUP(H272,Stock_list!A:Y,25,FALSE)</f>
        <v>Yes</v>
      </c>
      <c r="Q272" s="143"/>
      <c r="T272" s="144"/>
      <c r="U272" s="145" t="str">
        <f>VLOOKUP(H272,Stock_list!A:N,14,FALSE)</f>
        <v>JUN 23</v>
      </c>
    </row>
    <row r="273" spans="1:21" ht="16.5" customHeight="1">
      <c r="A273" s="159" t="s">
        <v>2744</v>
      </c>
      <c r="B273" s="114" t="str">
        <f>VLOOKUP(A273,'Data pick slip'!B:F,5,FALSE)</f>
        <v>KHJ-MC100-00</v>
      </c>
      <c r="F273" s="157" t="s">
        <v>2753</v>
      </c>
      <c r="H273" s="138">
        <v>1914</v>
      </c>
      <c r="I273" s="140" t="str">
        <f>VLOOKUP(H273,Stock_list!A:R,18,FALSE)</f>
        <v>艾为康</v>
      </c>
      <c r="J273" s="139" t="str">
        <f>VLOOKUP(H273,Stock_list!A:S,17,FALSE)</f>
        <v>C49SZX20230060RZ</v>
      </c>
      <c r="K273" s="51" t="str">
        <f>VLOOKUP(H273,Stock_list!A:T,16,FALSE)</f>
        <v>RMB</v>
      </c>
      <c r="L273" s="4">
        <v>45058</v>
      </c>
      <c r="M273" s="140">
        <v>97</v>
      </c>
      <c r="P273" s="4" t="str">
        <f>VLOOKUP(H273,Stock_list!A:Y,25,FALSE)</f>
        <v>Yes</v>
      </c>
      <c r="Q273" s="143"/>
      <c r="T273" s="144"/>
      <c r="U273" s="145" t="str">
        <f>VLOOKUP(H273,Stock_list!A:N,14,FALSE)</f>
        <v>MAY 23</v>
      </c>
    </row>
    <row r="274" spans="1:21" ht="16.5" customHeight="1">
      <c r="A274" s="159" t="s">
        <v>2747</v>
      </c>
      <c r="B274" s="114" t="str">
        <f>VLOOKUP(A274,'Data pick slip'!B:F,5,FALSE)</f>
        <v>KHJ-MC200-00</v>
      </c>
      <c r="F274" s="157" t="s">
        <v>2753</v>
      </c>
      <c r="H274" s="138">
        <v>1914</v>
      </c>
      <c r="I274" s="140" t="str">
        <f>VLOOKUP(H274,Stock_list!A:R,18,FALSE)</f>
        <v>艾为康</v>
      </c>
      <c r="J274" s="139" t="str">
        <f>VLOOKUP(H274,Stock_list!A:S,17,FALSE)</f>
        <v>C49SZX20230060RZ</v>
      </c>
      <c r="K274" s="51" t="str">
        <f>VLOOKUP(H274,Stock_list!A:T,16,FALSE)</f>
        <v>RMB</v>
      </c>
      <c r="L274" s="4">
        <v>45058</v>
      </c>
      <c r="M274" s="140">
        <v>3</v>
      </c>
      <c r="P274" s="4" t="str">
        <f>VLOOKUP(H274,Stock_list!A:Y,25,FALSE)</f>
        <v>Yes</v>
      </c>
      <c r="Q274" s="143"/>
      <c r="T274" s="144"/>
      <c r="U274" s="145" t="str">
        <f>VLOOKUP(H274,Stock_list!A:N,14,FALSE)</f>
        <v>MAY 23</v>
      </c>
    </row>
    <row r="275" spans="1:21" ht="21.75" customHeight="1">
      <c r="A275" s="159" t="s">
        <v>2744</v>
      </c>
      <c r="B275" s="114" t="str">
        <f>VLOOKUP(A275,'Data pick slip'!B:F,5,FALSE)</f>
        <v>KHJ-MC100-00</v>
      </c>
      <c r="F275" s="157" t="s">
        <v>2753</v>
      </c>
      <c r="I275" s="140" t="s">
        <v>3925</v>
      </c>
      <c r="J275" s="380" t="s">
        <v>4014</v>
      </c>
      <c r="K275" s="51" t="s">
        <v>3924</v>
      </c>
      <c r="L275" s="4">
        <v>45077</v>
      </c>
      <c r="M275" s="132">
        <v>15</v>
      </c>
      <c r="P275" s="4" t="s">
        <v>3926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2747</v>
      </c>
      <c r="B276" s="114" t="str">
        <f>VLOOKUP(A276,'Data pick slip'!B:F,5,FALSE)</f>
        <v>KHJ-MC200-00</v>
      </c>
      <c r="F276" s="157" t="s">
        <v>2753</v>
      </c>
      <c r="I276" s="140" t="s">
        <v>3925</v>
      </c>
      <c r="J276" s="139" t="s">
        <v>3922</v>
      </c>
      <c r="K276" s="51" t="s">
        <v>3924</v>
      </c>
      <c r="L276" s="4">
        <v>45077</v>
      </c>
      <c r="M276" s="132">
        <v>5</v>
      </c>
      <c r="P276" s="4" t="s">
        <v>3926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2750</v>
      </c>
      <c r="B277" s="114" t="str">
        <f>VLOOKUP(A277,'Data pick slip'!B:F,5,FALSE)</f>
        <v>KHJ-MC600-00</v>
      </c>
      <c r="F277" s="157" t="s">
        <v>2753</v>
      </c>
      <c r="I277" s="140" t="s">
        <v>3925</v>
      </c>
      <c r="J277" s="139" t="s">
        <v>3922</v>
      </c>
      <c r="K277" s="51" t="s">
        <v>3924</v>
      </c>
      <c r="L277" s="4">
        <v>45077</v>
      </c>
      <c r="M277" s="132">
        <v>2</v>
      </c>
      <c r="P277" s="4" t="s">
        <v>3926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2756</v>
      </c>
      <c r="B278" s="114" t="str">
        <f>VLOOKUP(A278,'Data pick slip'!B:F,5,FALSE)</f>
        <v>KLJ-MC200-00</v>
      </c>
      <c r="F278" s="157" t="s">
        <v>1381</v>
      </c>
      <c r="I278" s="140" t="s">
        <v>3929</v>
      </c>
      <c r="J278" s="267" t="s">
        <v>3927</v>
      </c>
      <c r="K278" s="51" t="s">
        <v>3928</v>
      </c>
      <c r="L278" s="4">
        <v>45071</v>
      </c>
      <c r="M278" s="140">
        <v>1</v>
      </c>
      <c r="P278" s="4" t="s">
        <v>3926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2749</v>
      </c>
      <c r="B279" s="114" t="str">
        <f>VLOOKUP(A279,'Data pick slip'!B:F,5,FALSE)</f>
        <v>KHJ-MC500-00</v>
      </c>
      <c r="F279" s="157" t="s">
        <v>2753</v>
      </c>
      <c r="I279" s="140" t="s">
        <v>3923</v>
      </c>
      <c r="J279" s="267" t="s">
        <v>3930</v>
      </c>
      <c r="K279" s="51" t="s">
        <v>3924</v>
      </c>
      <c r="L279" s="4">
        <v>45050</v>
      </c>
      <c r="M279" s="140">
        <v>3</v>
      </c>
      <c r="P279" s="4" t="s">
        <v>3926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2744</v>
      </c>
      <c r="B280" s="114" t="str">
        <f>VLOOKUP(A280,'Data pick slip'!B:F,5,FALSE)</f>
        <v>KHJ-MC100-00</v>
      </c>
      <c r="F280" s="157" t="s">
        <v>1381</v>
      </c>
      <c r="H280" s="138">
        <v>1916</v>
      </c>
      <c r="I280" s="140" t="str">
        <f>VLOOKUP(H280,Stock_list!A:R,18,FALSE)</f>
        <v>TBS</v>
      </c>
      <c r="J280" s="139" t="str">
        <f>VLOOKUP(H280,Stock_list!A:S,17,FALSE)</f>
        <v>C49SZX20230063TS</v>
      </c>
      <c r="K280" s="51" t="str">
        <f>VLOOKUP(H280,Stock_list!A:T,16,FALSE)</f>
        <v>HKD</v>
      </c>
      <c r="L280" s="4">
        <v>45069</v>
      </c>
      <c r="M280" s="143">
        <v>65</v>
      </c>
      <c r="P280" s="4" t="str">
        <f>VLOOKUP(H280,Stock_list!A:Y,25,FALSE)</f>
        <v>Yes</v>
      </c>
      <c r="T280" s="144"/>
      <c r="U280" s="145" t="str">
        <f>VLOOKUP(H280,Stock_list!A:N,14,FALSE)</f>
        <v>MAY 23</v>
      </c>
    </row>
    <row r="281" spans="1:21" ht="16.5" customHeight="1">
      <c r="A281" s="159" t="s">
        <v>2747</v>
      </c>
      <c r="B281" s="114" t="str">
        <f>VLOOKUP(A281,'Data pick slip'!B:F,5,FALSE)</f>
        <v>KHJ-MC200-00</v>
      </c>
      <c r="F281" s="157" t="s">
        <v>1381</v>
      </c>
      <c r="H281" s="138">
        <v>1916</v>
      </c>
      <c r="I281" s="140" t="str">
        <f>VLOOKUP(H281,Stock_list!A:R,18,FALSE)</f>
        <v>TBS</v>
      </c>
      <c r="J281" s="139" t="str">
        <f>VLOOKUP(H281,Stock_list!A:S,17,FALSE)</f>
        <v>C49SZX20230063TS</v>
      </c>
      <c r="K281" s="51" t="str">
        <f>VLOOKUP(H281,Stock_list!A:T,16,FALSE)</f>
        <v>HKD</v>
      </c>
      <c r="L281" s="4">
        <v>45069</v>
      </c>
      <c r="M281" s="143">
        <v>14</v>
      </c>
      <c r="P281" s="4" t="str">
        <f>VLOOKUP(H281,Stock_list!A:Y,25,FALSE)</f>
        <v>Yes</v>
      </c>
      <c r="T281" s="144"/>
      <c r="U281" s="145" t="str">
        <f>VLOOKUP(H281,Stock_list!A:N,14,FALSE)</f>
        <v>MAY 23</v>
      </c>
    </row>
    <row r="282" spans="1:21" ht="24" customHeight="1">
      <c r="A282" s="159" t="s">
        <v>2744</v>
      </c>
      <c r="B282" s="114" t="str">
        <f>VLOOKUP(A282,'Data pick slip'!B:F,5,FALSE)</f>
        <v>KHJ-MC100-00</v>
      </c>
      <c r="F282" s="157" t="s">
        <v>2753</v>
      </c>
      <c r="I282" s="140" t="s">
        <v>3962</v>
      </c>
      <c r="J282" s="267" t="s">
        <v>3963</v>
      </c>
      <c r="K282" s="51" t="s">
        <v>3964</v>
      </c>
      <c r="L282" s="4">
        <v>45063</v>
      </c>
      <c r="M282" s="132">
        <v>82</v>
      </c>
      <c r="P282" s="4" t="s">
        <v>291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2747</v>
      </c>
      <c r="B283" s="114" t="str">
        <f>VLOOKUP(A283,'Data pick slip'!B:F,5,FALSE)</f>
        <v>KHJ-MC200-00</v>
      </c>
      <c r="F283" s="157" t="s">
        <v>2753</v>
      </c>
      <c r="I283" s="140" t="s">
        <v>3962</v>
      </c>
      <c r="J283" s="267" t="s">
        <v>3963</v>
      </c>
      <c r="K283" s="51" t="s">
        <v>3964</v>
      </c>
      <c r="L283" s="4">
        <v>45063</v>
      </c>
      <c r="M283" s="132">
        <v>10</v>
      </c>
      <c r="P283" s="4" t="s">
        <v>291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2748</v>
      </c>
      <c r="B284" s="114" t="str">
        <f>VLOOKUP(A284,'Data pick slip'!B:F,5,FALSE)</f>
        <v>KHJ-MC400-00</v>
      </c>
      <c r="F284" s="157" t="s">
        <v>2753</v>
      </c>
      <c r="I284" s="140" t="s">
        <v>3962</v>
      </c>
      <c r="J284" s="267" t="s">
        <v>3963</v>
      </c>
      <c r="K284" s="51" t="s">
        <v>3964</v>
      </c>
      <c r="L284" s="4">
        <v>45063</v>
      </c>
      <c r="M284" s="132">
        <v>5</v>
      </c>
      <c r="P284" s="4" t="s">
        <v>291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2744</v>
      </c>
      <c r="B285" s="114" t="str">
        <f>VLOOKUP(A285,'Data pick slip'!B:F,5,FALSE)</f>
        <v>KHJ-MC100-00</v>
      </c>
      <c r="F285" s="157" t="s">
        <v>1381</v>
      </c>
      <c r="I285" s="389" t="s">
        <v>3970</v>
      </c>
      <c r="J285" s="139" t="s">
        <v>3968</v>
      </c>
      <c r="K285" s="51" t="s">
        <v>3003</v>
      </c>
      <c r="L285" s="4">
        <v>45057</v>
      </c>
      <c r="M285" s="140">
        <v>82</v>
      </c>
      <c r="P285" s="4" t="s">
        <v>3969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2747</v>
      </c>
      <c r="B286" s="114" t="str">
        <f>VLOOKUP(A286,'Data pick slip'!B:F,5,FALSE)</f>
        <v>KHJ-MC200-00</v>
      </c>
      <c r="F286" s="157" t="s">
        <v>1381</v>
      </c>
      <c r="I286" s="389" t="s">
        <v>3970</v>
      </c>
      <c r="J286" s="139" t="s">
        <v>3968</v>
      </c>
      <c r="K286" s="51" t="s">
        <v>3003</v>
      </c>
      <c r="L286" s="4">
        <v>45057</v>
      </c>
      <c r="M286" s="140">
        <v>10</v>
      </c>
      <c r="P286" s="4" t="s">
        <v>3969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2748</v>
      </c>
      <c r="B287" s="114" t="str">
        <f>VLOOKUP(A287,'Data pick slip'!B:F,5,FALSE)</f>
        <v>KHJ-MC400-00</v>
      </c>
      <c r="F287" s="157" t="s">
        <v>1381</v>
      </c>
      <c r="I287" s="389" t="s">
        <v>3970</v>
      </c>
      <c r="J287" s="139" t="s">
        <v>3968</v>
      </c>
      <c r="K287" s="51" t="s">
        <v>3003</v>
      </c>
      <c r="L287" s="4">
        <v>45057</v>
      </c>
      <c r="M287" s="140">
        <v>5</v>
      </c>
      <c r="P287" s="4" t="s">
        <v>3969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2749</v>
      </c>
      <c r="B288" s="114" t="str">
        <f>VLOOKUP(A288,'Data pick slip'!B:F,5,FALSE)</f>
        <v>KHJ-MC500-00</v>
      </c>
      <c r="F288" s="157" t="s">
        <v>1381</v>
      </c>
      <c r="I288" s="389" t="s">
        <v>3970</v>
      </c>
      <c r="J288" s="139" t="s">
        <v>3968</v>
      </c>
      <c r="K288" s="51" t="s">
        <v>3003</v>
      </c>
      <c r="L288" s="4">
        <v>45057</v>
      </c>
      <c r="M288" s="140">
        <v>3</v>
      </c>
      <c r="P288" s="4" t="s">
        <v>3969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2744</v>
      </c>
      <c r="B289" s="114" t="str">
        <f>VLOOKUP(A289,'Data pick slip'!B:F,5,FALSE)</f>
        <v>KHJ-MC100-00</v>
      </c>
      <c r="F289" s="157" t="s">
        <v>1381</v>
      </c>
      <c r="I289" s="389" t="s">
        <v>3972</v>
      </c>
      <c r="J289" s="139" t="s">
        <v>3973</v>
      </c>
      <c r="K289" s="51" t="s">
        <v>3974</v>
      </c>
      <c r="L289" s="4">
        <v>45057</v>
      </c>
      <c r="M289" s="140">
        <v>200</v>
      </c>
      <c r="P289" s="4" t="s">
        <v>3975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2755</v>
      </c>
      <c r="B290" s="114" t="str">
        <f>VLOOKUP(A290,'Data pick slip'!B:F,5,FALSE)</f>
        <v>KLJ-MC100-00</v>
      </c>
      <c r="F290" s="157" t="s">
        <v>1381</v>
      </c>
      <c r="I290" s="389" t="s">
        <v>3972</v>
      </c>
      <c r="J290" s="139" t="s">
        <v>3973</v>
      </c>
      <c r="K290" s="51" t="s">
        <v>3974</v>
      </c>
      <c r="L290" s="4">
        <v>45057</v>
      </c>
      <c r="M290" s="140">
        <v>200</v>
      </c>
      <c r="P290" s="4" t="s">
        <v>3975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2747</v>
      </c>
      <c r="B291" s="114" t="str">
        <f>VLOOKUP(A291,'Data pick slip'!B:F,5,FALSE)</f>
        <v>KHJ-MC200-00</v>
      </c>
      <c r="F291" s="157" t="s">
        <v>1381</v>
      </c>
      <c r="I291" s="389" t="s">
        <v>3972</v>
      </c>
      <c r="J291" s="139" t="s">
        <v>3973</v>
      </c>
      <c r="K291" s="51" t="s">
        <v>3974</v>
      </c>
      <c r="L291" s="4">
        <v>45057</v>
      </c>
      <c r="M291" s="140">
        <v>50</v>
      </c>
      <c r="P291" s="4" t="s">
        <v>3975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2754</v>
      </c>
      <c r="B292" s="114" t="str">
        <f>VLOOKUP(A292,'Data pick slip'!B:F,5,FALSE)</f>
        <v>KLJ-MCN00-20</v>
      </c>
      <c r="F292" s="157" t="s">
        <v>1381</v>
      </c>
      <c r="I292" s="389" t="s">
        <v>3972</v>
      </c>
      <c r="J292" s="139" t="s">
        <v>3976</v>
      </c>
      <c r="K292" s="51" t="s">
        <v>3974</v>
      </c>
      <c r="L292" s="4">
        <v>45061</v>
      </c>
      <c r="M292" s="140">
        <v>1</v>
      </c>
      <c r="P292" s="4" t="s">
        <v>3975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2744</v>
      </c>
      <c r="B293" s="114" t="str">
        <f>VLOOKUP(A293,'Data pick slip'!B:F,5,FALSE)</f>
        <v>KHJ-MC100-00</v>
      </c>
      <c r="F293" s="157" t="s">
        <v>1381</v>
      </c>
      <c r="I293" s="389" t="s">
        <v>3972</v>
      </c>
      <c r="J293" s="139" t="s">
        <v>3976</v>
      </c>
      <c r="K293" s="51" t="s">
        <v>3974</v>
      </c>
      <c r="L293" s="4">
        <v>45061</v>
      </c>
      <c r="M293" s="140">
        <v>370</v>
      </c>
      <c r="P293" s="4" t="s">
        <v>3975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2755</v>
      </c>
      <c r="B294" s="114" t="str">
        <f>VLOOKUP(A294,'Data pick slip'!B:F,5,FALSE)</f>
        <v>KLJ-MC100-00</v>
      </c>
      <c r="F294" s="157" t="s">
        <v>1381</v>
      </c>
      <c r="I294" s="389" t="s">
        <v>3972</v>
      </c>
      <c r="J294" s="139" t="s">
        <v>3976</v>
      </c>
      <c r="K294" s="51" t="s">
        <v>3974</v>
      </c>
      <c r="L294" s="4">
        <v>45061</v>
      </c>
      <c r="M294" s="140">
        <v>60</v>
      </c>
      <c r="P294" s="4" t="s">
        <v>3975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2747</v>
      </c>
      <c r="B295" s="114" t="str">
        <f>VLOOKUP(A295,'Data pick slip'!B:F,5,FALSE)</f>
        <v>KHJ-MC200-00</v>
      </c>
      <c r="F295" s="157" t="s">
        <v>1381</v>
      </c>
      <c r="I295" s="389" t="s">
        <v>3972</v>
      </c>
      <c r="J295" s="139" t="s">
        <v>3976</v>
      </c>
      <c r="K295" s="51" t="s">
        <v>3974</v>
      </c>
      <c r="L295" s="4">
        <v>45061</v>
      </c>
      <c r="M295" s="140">
        <v>119</v>
      </c>
      <c r="P295" s="4" t="s">
        <v>3975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2744</v>
      </c>
      <c r="B296" s="114" t="str">
        <f>VLOOKUP(A296,'Data pick slip'!B:F,5,FALSE)</f>
        <v>KHJ-MC100-00</v>
      </c>
      <c r="F296" s="157" t="s">
        <v>2753</v>
      </c>
      <c r="H296" s="138">
        <v>1918</v>
      </c>
      <c r="I296" s="140" t="str">
        <f>VLOOKUP(H296,Stock_list!A:R,18,FALSE)</f>
        <v>聚合信</v>
      </c>
      <c r="J296" s="139" t="str">
        <f>VLOOKUP(H296,Stock_list!A:S,17,FALSE)</f>
        <v>C49SZX20230065EC</v>
      </c>
      <c r="K296" s="51" t="str">
        <f>VLOOKUP(H296,Stock_list!A:T,16,FALSE)</f>
        <v>RMB</v>
      </c>
      <c r="L296" s="4">
        <v>45085</v>
      </c>
      <c r="M296" s="140">
        <v>20</v>
      </c>
      <c r="N296" s="143"/>
      <c r="P296" s="4" t="str">
        <f>VLOOKUP(H296,Stock_list!A:Y,25,FALSE)</f>
        <v>Yes</v>
      </c>
      <c r="Q296" s="143"/>
      <c r="T296" s="144"/>
      <c r="U296" s="145" t="str">
        <f>VLOOKUP(H296,Stock_list!A:N,14,FALSE)</f>
        <v>JUN 23</v>
      </c>
    </row>
    <row r="297" spans="1:21" ht="21" customHeight="1">
      <c r="A297" s="159" t="s">
        <v>2744</v>
      </c>
      <c r="B297" s="114" t="str">
        <f>VLOOKUP(A297,'Data pick slip'!B:F,5,FALSE)</f>
        <v>KHJ-MC100-00</v>
      </c>
      <c r="F297" s="157" t="s">
        <v>2753</v>
      </c>
      <c r="H297" s="138">
        <v>1919</v>
      </c>
      <c r="I297" s="140" t="str">
        <f>VLOOKUP(H297,Stock_list!A:R,18,FALSE)</f>
        <v>皓吉达</v>
      </c>
      <c r="J297" s="139" t="str">
        <f>VLOOKUP(H297,Stock_list!A:S,17,FALSE)</f>
        <v>C49SZX20230066JL/HJD23050525</v>
      </c>
      <c r="K297" s="51" t="str">
        <f>VLOOKUP(H297,Stock_list!A:T,16,FALSE)</f>
        <v>RMB</v>
      </c>
      <c r="L297" s="4">
        <v>45082</v>
      </c>
      <c r="M297" s="140">
        <v>3</v>
      </c>
      <c r="N297" s="143"/>
      <c r="P297" s="4" t="str">
        <f>VLOOKUP(H297,Stock_list!A:Y,25,FALSE)</f>
        <v>Yes</v>
      </c>
      <c r="Q297" s="143"/>
      <c r="T297" s="144"/>
      <c r="U297" s="145" t="str">
        <f>VLOOKUP(H297,Stock_list!A:N,14,FALSE)</f>
        <v>JUN 23</v>
      </c>
    </row>
    <row r="298" spans="1:21" ht="16.5" customHeight="1">
      <c r="A298" s="159" t="s">
        <v>2755</v>
      </c>
      <c r="B298" s="114" t="str">
        <f>VLOOKUP(A298,'Data pick slip'!B:F,5,FALSE)</f>
        <v>KLJ-MC100-00</v>
      </c>
      <c r="F298" s="157" t="s">
        <v>2753</v>
      </c>
      <c r="I298" s="140" t="s">
        <v>4012</v>
      </c>
      <c r="J298" s="269" t="s">
        <v>4037</v>
      </c>
      <c r="K298" s="51" t="s">
        <v>4013</v>
      </c>
      <c r="L298" s="4">
        <v>45097</v>
      </c>
      <c r="M298" s="140">
        <v>1</v>
      </c>
      <c r="P298" s="4" t="s">
        <v>4015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2744</v>
      </c>
      <c r="B299" s="114" t="str">
        <f>VLOOKUP(A299,'Data pick slip'!B:F,5,FALSE)</f>
        <v>KHJ-MC100-00</v>
      </c>
      <c r="F299" s="157" t="s">
        <v>2753</v>
      </c>
      <c r="I299" s="140" t="s">
        <v>4016</v>
      </c>
      <c r="J299" s="267" t="s">
        <v>4017</v>
      </c>
      <c r="K299" s="51" t="s">
        <v>4013</v>
      </c>
      <c r="L299" s="4">
        <v>45077</v>
      </c>
      <c r="M299" s="140">
        <v>3</v>
      </c>
      <c r="P299" s="4" t="s">
        <v>4015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2747</v>
      </c>
      <c r="B300" s="114" t="str">
        <f>VLOOKUP(A300,'Data pick slip'!B:F,5,FALSE)</f>
        <v>KHJ-MC200-00</v>
      </c>
      <c r="F300" s="157" t="s">
        <v>2753</v>
      </c>
      <c r="I300" s="140" t="s">
        <v>4016</v>
      </c>
      <c r="J300" s="267" t="s">
        <v>4017</v>
      </c>
      <c r="K300" s="51" t="s">
        <v>4013</v>
      </c>
      <c r="L300" s="4">
        <v>45077</v>
      </c>
      <c r="M300" s="140">
        <v>2</v>
      </c>
      <c r="P300" s="4" t="s">
        <v>4015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2748</v>
      </c>
      <c r="B301" s="114" t="str">
        <f>VLOOKUP(A301,'Data pick slip'!B:F,5,FALSE)</f>
        <v>KHJ-MC400-00</v>
      </c>
      <c r="F301" s="157" t="s">
        <v>2753</v>
      </c>
      <c r="I301" s="140" t="s">
        <v>4016</v>
      </c>
      <c r="J301" s="267" t="s">
        <v>4017</v>
      </c>
      <c r="K301" s="51" t="s">
        <v>4013</v>
      </c>
      <c r="L301" s="4">
        <v>45077</v>
      </c>
      <c r="M301" s="140">
        <v>1</v>
      </c>
      <c r="P301" s="4" t="s">
        <v>4015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2748</v>
      </c>
      <c r="B302" s="114" t="str">
        <f>VLOOKUP(A302,'Data pick slip'!B:F,5,FALSE)</f>
        <v>KHJ-MC400-00</v>
      </c>
      <c r="F302" s="157" t="s">
        <v>2753</v>
      </c>
      <c r="I302" s="140" t="s">
        <v>4018</v>
      </c>
      <c r="J302" s="267" t="s">
        <v>4020</v>
      </c>
      <c r="K302" s="51" t="s">
        <v>4019</v>
      </c>
      <c r="L302" s="4">
        <v>45078</v>
      </c>
      <c r="M302" s="140">
        <v>1</v>
      </c>
      <c r="P302" s="4" t="s">
        <v>291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2748</v>
      </c>
      <c r="B303" s="114" t="str">
        <f>VLOOKUP(A303,'Data pick slip'!B:F,5,FALSE)</f>
        <v>KHJ-MC400-00</v>
      </c>
      <c r="F303" s="157" t="s">
        <v>2753</v>
      </c>
      <c r="I303" s="140" t="s">
        <v>3094</v>
      </c>
      <c r="J303" s="267" t="s">
        <v>4052</v>
      </c>
      <c r="K303" s="51" t="s">
        <v>1246</v>
      </c>
      <c r="L303" s="4">
        <v>45039</v>
      </c>
      <c r="M303" s="140">
        <v>2</v>
      </c>
      <c r="P303" s="4" t="s">
        <v>291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2744</v>
      </c>
      <c r="B304" s="114" t="str">
        <f>VLOOKUP(A304,'Data pick slip'!B:F,5,FALSE)</f>
        <v>KHJ-MC100-00</v>
      </c>
      <c r="F304" s="157" t="s">
        <v>2753</v>
      </c>
      <c r="H304" s="138">
        <v>1921</v>
      </c>
      <c r="I304" s="140" t="str">
        <f>VLOOKUP(H304,Stock_list!A:R,18,FALSE)</f>
        <v>恒鑫（End user:开普）</v>
      </c>
      <c r="J304" s="139" t="str">
        <f>VLOOKUP(H304,Stock_list!A:S,17,FALSE)</f>
        <v>HX20230601A</v>
      </c>
      <c r="K304" s="51" t="str">
        <f>VLOOKUP(H304,Stock_list!A:T,16,FALSE)</f>
        <v>RMB</v>
      </c>
      <c r="L304" s="290">
        <v>45153</v>
      </c>
      <c r="M304" s="140">
        <v>20</v>
      </c>
      <c r="P304" s="4" t="str">
        <f>VLOOKUP(H304,Stock_list!A:Y,25,FALSE)</f>
        <v>Yes</v>
      </c>
      <c r="Q304" s="143"/>
      <c r="T304" s="144"/>
      <c r="U304" s="145" t="str">
        <f>VLOOKUP(H304,Stock_list!A:N,14,FALSE)</f>
        <v>AUG 23</v>
      </c>
    </row>
    <row r="305" spans="1:21" ht="16.5" customHeight="1">
      <c r="A305" s="159" t="s">
        <v>2747</v>
      </c>
      <c r="B305" s="114" t="str">
        <f>VLOOKUP(A305,'Data pick slip'!B:F,5,FALSE)</f>
        <v>KHJ-MC200-00</v>
      </c>
      <c r="F305" s="157" t="s">
        <v>2753</v>
      </c>
      <c r="H305" s="138">
        <v>1921</v>
      </c>
      <c r="I305" s="140" t="str">
        <f>VLOOKUP(H305,Stock_list!A:R,18,FALSE)</f>
        <v>恒鑫（End user:开普）</v>
      </c>
      <c r="J305" s="139" t="str">
        <f>VLOOKUP(H305,Stock_list!A:S,17,FALSE)</f>
        <v>HX20230601A</v>
      </c>
      <c r="K305" s="51" t="str">
        <f>VLOOKUP(H305,Stock_list!A:T,16,FALSE)</f>
        <v>RMB</v>
      </c>
      <c r="L305" s="290">
        <v>45153</v>
      </c>
      <c r="M305" s="140">
        <v>3</v>
      </c>
      <c r="P305" s="4" t="str">
        <f>VLOOKUP(H305,Stock_list!A:Y,25,FALSE)</f>
        <v>Yes</v>
      </c>
      <c r="Q305" s="143"/>
      <c r="T305" s="144"/>
      <c r="U305" s="145" t="str">
        <f>VLOOKUP(H305,Stock_list!A:N,14,FALSE)</f>
        <v>AUG 23</v>
      </c>
    </row>
    <row r="306" spans="1:21" ht="20.25" customHeight="1">
      <c r="A306" s="159" t="s">
        <v>2749</v>
      </c>
      <c r="B306" s="114" t="str">
        <f>VLOOKUP(A306,'Data pick slip'!B:F,5,FALSE)</f>
        <v>KHJ-MC500-00</v>
      </c>
      <c r="F306" s="157" t="s">
        <v>2753</v>
      </c>
      <c r="I306" s="140" t="s">
        <v>4024</v>
      </c>
      <c r="J306" s="267" t="s">
        <v>4025</v>
      </c>
      <c r="K306" s="51" t="s">
        <v>4026</v>
      </c>
      <c r="L306" s="4">
        <v>45086</v>
      </c>
      <c r="M306" s="140">
        <v>3</v>
      </c>
      <c r="P306" s="4" t="s">
        <v>4027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2744</v>
      </c>
      <c r="B307" s="114" t="str">
        <f>VLOOKUP(A307,'Data pick slip'!B:F,5,FALSE)</f>
        <v>KHJ-MC100-00</v>
      </c>
      <c r="F307" s="157" t="s">
        <v>1381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2747</v>
      </c>
      <c r="B308" s="114" t="str">
        <f>VLOOKUP(A308,'Data pick slip'!B:F,5,FALSE)</f>
        <v>KHJ-MC200-00</v>
      </c>
      <c r="F308" s="157" t="s">
        <v>1381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2748</v>
      </c>
      <c r="B309" s="114" t="str">
        <f>VLOOKUP(A309,'Data pick slip'!B:F,5,FALSE)</f>
        <v>KHJ-MC400-00</v>
      </c>
      <c r="F309" s="157" t="s">
        <v>1381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2754</v>
      </c>
      <c r="B310" s="114" t="str">
        <f>VLOOKUP(A310,'Data pick slip'!B:F,5,FALSE)</f>
        <v>KLJ-MCN00-20</v>
      </c>
      <c r="F310" s="157" t="s">
        <v>1381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2744</v>
      </c>
      <c r="B311" s="114" t="str">
        <f>VLOOKUP(A311,'Data pick slip'!B:F,5,FALSE)</f>
        <v>KHJ-MC100-00</v>
      </c>
      <c r="F311" s="157" t="s">
        <v>2753</v>
      </c>
      <c r="I311" s="140" t="s">
        <v>3094</v>
      </c>
      <c r="J311" s="270" t="s">
        <v>4028</v>
      </c>
      <c r="K311" s="51" t="s">
        <v>4030</v>
      </c>
      <c r="L311" s="4">
        <v>45107</v>
      </c>
      <c r="M311" s="132">
        <v>105</v>
      </c>
      <c r="P311" s="4" t="s">
        <v>4029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2747</v>
      </c>
      <c r="B312" s="114" t="str">
        <f>VLOOKUP(A312,'Data pick slip'!B:F,5,FALSE)</f>
        <v>KHJ-MC200-00</v>
      </c>
      <c r="F312" s="157" t="s">
        <v>2753</v>
      </c>
      <c r="I312" s="140" t="s">
        <v>3094</v>
      </c>
      <c r="J312" s="270" t="s">
        <v>4028</v>
      </c>
      <c r="K312" s="51" t="s">
        <v>4030</v>
      </c>
      <c r="L312" s="4">
        <v>45107</v>
      </c>
      <c r="M312" s="132">
        <v>12</v>
      </c>
      <c r="P312" s="4" t="s">
        <v>4029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2748</v>
      </c>
      <c r="B313" s="114" t="str">
        <f>VLOOKUP(A313,'Data pick slip'!B:F,5,FALSE)</f>
        <v>KHJ-MC400-00</v>
      </c>
      <c r="F313" s="157" t="s">
        <v>2753</v>
      </c>
      <c r="I313" s="140" t="s">
        <v>3094</v>
      </c>
      <c r="J313" s="270" t="s">
        <v>4028</v>
      </c>
      <c r="K313" s="51" t="s">
        <v>4030</v>
      </c>
      <c r="L313" s="4">
        <v>45107</v>
      </c>
      <c r="M313" s="132">
        <v>5</v>
      </c>
      <c r="P313" s="4" t="s">
        <v>4029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2747</v>
      </c>
      <c r="B314" s="114" t="str">
        <f>VLOOKUP(A314,'Data pick slip'!B:F,5,FALSE)</f>
        <v>KHJ-MC200-00</v>
      </c>
      <c r="F314" s="157" t="s">
        <v>1381</v>
      </c>
      <c r="I314" s="140" t="s">
        <v>4038</v>
      </c>
      <c r="J314" s="267" t="s">
        <v>4039</v>
      </c>
      <c r="K314" s="51" t="s">
        <v>4040</v>
      </c>
      <c r="L314" s="4">
        <v>45097</v>
      </c>
      <c r="M314" s="140">
        <v>2</v>
      </c>
      <c r="P314" s="4" t="s">
        <v>291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2744</v>
      </c>
      <c r="B315" s="114" t="str">
        <f>VLOOKUP(A315,'Data pick slip'!B:F,5,FALSE)</f>
        <v>KHJ-MC100-00</v>
      </c>
      <c r="F315" s="157" t="s">
        <v>1381</v>
      </c>
      <c r="H315" s="138">
        <v>1928</v>
      </c>
      <c r="I315" s="140" t="str">
        <f>VLOOKUP(H315,Stock_list!A:R,18,FALSE)</f>
        <v>方案集（End user:陆巡）</v>
      </c>
      <c r="J315" s="139" t="str">
        <f>VLOOKUP(H315,Stock_list!A:S,17,FALSE)</f>
        <v>C49SZX20230073MZ</v>
      </c>
      <c r="K315" s="51" t="str">
        <f>VLOOKUP(H315,Stock_list!A:T,16,FALSE)</f>
        <v>JPY</v>
      </c>
      <c r="L315" s="4">
        <v>45152</v>
      </c>
      <c r="M315" s="143">
        <v>100</v>
      </c>
      <c r="P315" s="4" t="str">
        <f>VLOOKUP(H315,Stock_list!A:Y,25,FALSE)</f>
        <v>Yes</v>
      </c>
      <c r="T315" s="144"/>
      <c r="U315" s="145" t="str">
        <f>VLOOKUP(H315,Stock_list!A:N,14,FALSE)</f>
        <v>AUG 23</v>
      </c>
    </row>
    <row r="316" spans="1:21" ht="16.5" customHeight="1">
      <c r="A316" s="159" t="s">
        <v>2747</v>
      </c>
      <c r="B316" s="114" t="str">
        <f>VLOOKUP(A316,'Data pick slip'!B:F,5,FALSE)</f>
        <v>KHJ-MC200-00</v>
      </c>
      <c r="F316" s="157" t="s">
        <v>1381</v>
      </c>
      <c r="H316" s="138">
        <v>1928</v>
      </c>
      <c r="I316" s="140" t="str">
        <f>VLOOKUP(H316,Stock_list!A:R,18,FALSE)</f>
        <v>方案集（End user:陆巡）</v>
      </c>
      <c r="J316" s="139" t="str">
        <f>VLOOKUP(H316,Stock_list!A:S,17,FALSE)</f>
        <v>C49SZX20230073MZ</v>
      </c>
      <c r="K316" s="51" t="str">
        <f>VLOOKUP(H316,Stock_list!A:T,16,FALSE)</f>
        <v>JPY</v>
      </c>
      <c r="L316" s="4">
        <v>45152</v>
      </c>
      <c r="M316" s="143">
        <v>10</v>
      </c>
      <c r="P316" s="4" t="str">
        <f>VLOOKUP(H316,Stock_list!A:Y,25,FALSE)</f>
        <v>Yes</v>
      </c>
      <c r="T316" s="144"/>
      <c r="U316" s="145" t="str">
        <f>VLOOKUP(H316,Stock_list!A:N,14,FALSE)</f>
        <v>AUG 23</v>
      </c>
    </row>
    <row r="317" spans="1:21" ht="16.5" customHeight="1">
      <c r="A317" s="159" t="s">
        <v>2749</v>
      </c>
      <c r="B317" s="114" t="str">
        <f>VLOOKUP(A317,'Data pick slip'!B:F,5,FALSE)</f>
        <v>KHJ-MC500-00</v>
      </c>
      <c r="F317" s="157" t="s">
        <v>1381</v>
      </c>
      <c r="H317" s="138">
        <v>1928</v>
      </c>
      <c r="I317" s="140" t="str">
        <f>VLOOKUP(H317,Stock_list!A:R,18,FALSE)</f>
        <v>方案集（End user:陆巡）</v>
      </c>
      <c r="J317" s="139" t="str">
        <f>VLOOKUP(H317,Stock_list!A:S,17,FALSE)</f>
        <v>C49SZX20230073MZ</v>
      </c>
      <c r="K317" s="51" t="str">
        <f>VLOOKUP(H317,Stock_list!A:T,16,FALSE)</f>
        <v>JPY</v>
      </c>
      <c r="L317" s="4">
        <v>45152</v>
      </c>
      <c r="M317" s="143">
        <v>1</v>
      </c>
      <c r="P317" s="4" t="str">
        <f>VLOOKUP(H317,Stock_list!A:Y,25,FALSE)</f>
        <v>Yes</v>
      </c>
      <c r="T317" s="144"/>
      <c r="U317" s="145" t="str">
        <f>VLOOKUP(H317,Stock_list!A:N,14,FALSE)</f>
        <v>AUG 23</v>
      </c>
    </row>
    <row r="318" spans="1:21" ht="16.5" customHeight="1">
      <c r="A318" s="159" t="s">
        <v>2750</v>
      </c>
      <c r="B318" s="114" t="str">
        <f>VLOOKUP(A318,'Data pick slip'!B:F,5,FALSE)</f>
        <v>KHJ-MC600-00</v>
      </c>
      <c r="F318" s="157" t="s">
        <v>1381</v>
      </c>
      <c r="H318" s="138">
        <v>1928</v>
      </c>
      <c r="I318" s="140" t="str">
        <f>VLOOKUP(H318,Stock_list!A:R,18,FALSE)</f>
        <v>方案集（End user:陆巡）</v>
      </c>
      <c r="J318" s="139" t="str">
        <f>VLOOKUP(H318,Stock_list!A:S,17,FALSE)</f>
        <v>C49SZX20230073MZ</v>
      </c>
      <c r="K318" s="51" t="str">
        <f>VLOOKUP(H318,Stock_list!A:T,16,FALSE)</f>
        <v>JPY</v>
      </c>
      <c r="L318" s="4">
        <v>45152</v>
      </c>
      <c r="M318" s="143">
        <v>2</v>
      </c>
      <c r="P318" s="4" t="str">
        <f>VLOOKUP(H318,Stock_list!A:Y,25,FALSE)</f>
        <v>Yes</v>
      </c>
      <c r="T318" s="144"/>
      <c r="U318" s="145" t="str">
        <f>VLOOKUP(H318,Stock_list!A:N,14,FALSE)</f>
        <v>AUG 23</v>
      </c>
    </row>
    <row r="319" spans="1:21" ht="21" customHeight="1">
      <c r="A319" s="159" t="s">
        <v>2744</v>
      </c>
      <c r="B319" s="114" t="str">
        <f>VLOOKUP(A319,'Data pick slip'!B:F,5,FALSE)</f>
        <v>KHJ-MC100-00</v>
      </c>
      <c r="F319" s="157" t="s">
        <v>1381</v>
      </c>
      <c r="I319" s="140" t="s">
        <v>4044</v>
      </c>
      <c r="J319" s="270" t="s">
        <v>4041</v>
      </c>
      <c r="K319" s="51" t="s">
        <v>4042</v>
      </c>
      <c r="L319" s="4">
        <v>45127</v>
      </c>
      <c r="M319" s="132">
        <v>500</v>
      </c>
      <c r="P319" s="4" t="s">
        <v>4043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2744</v>
      </c>
      <c r="B320" s="114" t="str">
        <f>VLOOKUP(A320,'Data pick slip'!B:F,5,FALSE)</f>
        <v>KHJ-MC100-00</v>
      </c>
      <c r="F320" s="157" t="s">
        <v>2753</v>
      </c>
      <c r="I320" s="140" t="s">
        <v>3094</v>
      </c>
      <c r="J320" s="139" t="s">
        <v>4046</v>
      </c>
      <c r="K320" s="51" t="s">
        <v>1246</v>
      </c>
      <c r="L320" s="4">
        <v>45103</v>
      </c>
      <c r="M320" s="140">
        <v>1</v>
      </c>
      <c r="P320" s="4" t="s">
        <v>4047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2744</v>
      </c>
      <c r="B321" s="114" t="str">
        <f>VLOOKUP(A321,'Data pick slip'!B:F,5,FALSE)</f>
        <v>KHJ-MC100-00</v>
      </c>
      <c r="F321" s="157" t="s">
        <v>1381</v>
      </c>
      <c r="I321" s="389" t="s">
        <v>3970</v>
      </c>
      <c r="J321" s="139" t="s">
        <v>4048</v>
      </c>
      <c r="K321" s="51" t="s">
        <v>1246</v>
      </c>
      <c r="L321" s="4">
        <v>45103</v>
      </c>
      <c r="M321" s="140">
        <v>109</v>
      </c>
      <c r="P321" s="4" t="s">
        <v>4047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2747</v>
      </c>
      <c r="B322" s="114" t="str">
        <f>VLOOKUP(A322,'Data pick slip'!B:F,5,FALSE)</f>
        <v>KHJ-MC200-00</v>
      </c>
      <c r="F322" s="157" t="s">
        <v>1381</v>
      </c>
      <c r="I322" s="389" t="s">
        <v>3970</v>
      </c>
      <c r="J322" s="139" t="s">
        <v>4048</v>
      </c>
      <c r="K322" s="51" t="s">
        <v>1246</v>
      </c>
      <c r="L322" s="4">
        <v>45103</v>
      </c>
      <c r="M322" s="140">
        <v>14</v>
      </c>
      <c r="P322" s="4" t="s">
        <v>4047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2748</v>
      </c>
      <c r="B323" s="114" t="str">
        <f>VLOOKUP(A323,'Data pick slip'!B:F,5,FALSE)</f>
        <v>KHJ-MC400-00</v>
      </c>
      <c r="F323" s="157" t="s">
        <v>1381</v>
      </c>
      <c r="I323" s="389" t="s">
        <v>3970</v>
      </c>
      <c r="J323" s="139" t="s">
        <v>4048</v>
      </c>
      <c r="K323" s="51" t="s">
        <v>1246</v>
      </c>
      <c r="L323" s="4">
        <v>45103</v>
      </c>
      <c r="M323" s="140">
        <v>7</v>
      </c>
      <c r="P323" s="4" t="s">
        <v>4047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2749</v>
      </c>
      <c r="B324" s="114" t="str">
        <f>VLOOKUP(A324,'Data pick slip'!B:F,5,FALSE)</f>
        <v>KHJ-MC500-00</v>
      </c>
      <c r="F324" s="157" t="s">
        <v>1381</v>
      </c>
      <c r="I324" s="389" t="s">
        <v>3970</v>
      </c>
      <c r="J324" s="139" t="s">
        <v>4048</v>
      </c>
      <c r="K324" s="51" t="s">
        <v>1246</v>
      </c>
      <c r="L324" s="4">
        <v>45103</v>
      </c>
      <c r="M324" s="140">
        <v>3</v>
      </c>
      <c r="P324" s="4" t="s">
        <v>4047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2755</v>
      </c>
      <c r="B325" s="114" t="str">
        <f>VLOOKUP(A325,'Data pick slip'!B:F,5,FALSE)</f>
        <v>KLJ-MC100-00</v>
      </c>
      <c r="F325" s="157" t="s">
        <v>1381</v>
      </c>
      <c r="I325" s="389" t="s">
        <v>3970</v>
      </c>
      <c r="J325" s="139" t="s">
        <v>4048</v>
      </c>
      <c r="K325" s="51" t="s">
        <v>1246</v>
      </c>
      <c r="L325" s="4">
        <v>45103</v>
      </c>
      <c r="M325" s="140">
        <v>1</v>
      </c>
      <c r="P325" s="4" t="s">
        <v>4047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2744</v>
      </c>
      <c r="B326" s="114" t="str">
        <f>VLOOKUP(A326,'Data pick slip'!B:F,5,FALSE)</f>
        <v>KHJ-MC100-00</v>
      </c>
      <c r="F326" s="157" t="s">
        <v>2753</v>
      </c>
      <c r="H326" s="138" t="s">
        <v>4124</v>
      </c>
      <c r="I326" s="140">
        <v>66</v>
      </c>
      <c r="J326" s="267" t="s">
        <v>4067</v>
      </c>
      <c r="K326" s="51" t="s">
        <v>1246</v>
      </c>
      <c r="L326" s="4">
        <v>45113</v>
      </c>
      <c r="M326" s="140">
        <v>5</v>
      </c>
      <c r="P326" s="4" t="s">
        <v>4139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2744</v>
      </c>
      <c r="B327" s="114" t="str">
        <f>VLOOKUP(A327,'Data pick slip'!B:F,5,FALSE)</f>
        <v>KHJ-MC100-00</v>
      </c>
      <c r="F327" s="157" t="s">
        <v>2753</v>
      </c>
      <c r="H327" s="138">
        <v>1933</v>
      </c>
      <c r="I327" s="140" t="str">
        <f>VLOOKUP(H327,Stock_list!A:R,18,FALSE)</f>
        <v>兴原星</v>
      </c>
      <c r="J327" s="139" t="str">
        <f>VLOOKUP(H327,Stock_list!A:S,17,FALSE)</f>
        <v>C49SZX20230083LC</v>
      </c>
      <c r="K327" s="51" t="str">
        <f>VLOOKUP(H327,Stock_list!A:T,16,FALSE)</f>
        <v>RMB</v>
      </c>
      <c r="L327" s="4">
        <v>45152</v>
      </c>
      <c r="M327" s="140">
        <v>30</v>
      </c>
      <c r="P327" s="4" t="str">
        <f>VLOOKUP(H327,Stock_list!A:Y,25,FALSE)</f>
        <v>Yes</v>
      </c>
      <c r="Q327" s="143"/>
      <c r="T327" s="144"/>
      <c r="U327" s="145" t="str">
        <f>VLOOKUP(H327,Stock_list!A:N,14,FALSE)</f>
        <v>AUG 23</v>
      </c>
    </row>
    <row r="328" spans="1:21" ht="16.5" customHeight="1">
      <c r="A328" s="159" t="s">
        <v>2747</v>
      </c>
      <c r="B328" s="114" t="str">
        <f>VLOOKUP(A328,'Data pick slip'!B:F,5,FALSE)</f>
        <v>KHJ-MC200-00</v>
      </c>
      <c r="F328" s="157" t="s">
        <v>2753</v>
      </c>
      <c r="H328" s="138">
        <v>1933</v>
      </c>
      <c r="I328" s="140" t="str">
        <f>VLOOKUP(H328,Stock_list!A:R,18,FALSE)</f>
        <v>兴原星</v>
      </c>
      <c r="J328" s="139" t="str">
        <f>VLOOKUP(H328,Stock_list!A:S,17,FALSE)</f>
        <v>C49SZX20230083LC</v>
      </c>
      <c r="K328" s="51" t="str">
        <f>VLOOKUP(H328,Stock_list!A:T,16,FALSE)</f>
        <v>RMB</v>
      </c>
      <c r="L328" s="4">
        <v>45152</v>
      </c>
      <c r="M328" s="140">
        <v>3</v>
      </c>
      <c r="P328" s="4" t="str">
        <f>VLOOKUP(H328,Stock_list!A:Y,25,FALSE)</f>
        <v>Yes</v>
      </c>
      <c r="Q328" s="143"/>
      <c r="T328" s="144"/>
      <c r="U328" s="145" t="str">
        <f>VLOOKUP(H328,Stock_list!A:N,14,FALSE)</f>
        <v>AUG 23</v>
      </c>
    </row>
    <row r="329" spans="1:21" ht="16.5" customHeight="1">
      <c r="A329" s="159" t="s">
        <v>2744</v>
      </c>
      <c r="B329" s="114" t="str">
        <f>VLOOKUP(A329,'Data pick slip'!B:F,5,FALSE)</f>
        <v>KHJ-MC100-00</v>
      </c>
      <c r="F329" s="157" t="s">
        <v>2753</v>
      </c>
      <c r="H329" s="138">
        <v>1934</v>
      </c>
      <c r="I329" s="140" t="str">
        <f>VLOOKUP(H329,Stock_list!A:R,18,FALSE)</f>
        <v>铣米</v>
      </c>
      <c r="J329" s="139" t="str">
        <f>VLOOKUP(H329,Stock_list!A:S,17,FALSE)</f>
        <v>C49SZX20230086SS</v>
      </c>
      <c r="K329" s="51" t="str">
        <f>VLOOKUP(H329,Stock_list!A:T,16,FALSE)</f>
        <v>RMB</v>
      </c>
      <c r="L329" s="4">
        <v>45148</v>
      </c>
      <c r="M329" s="140">
        <v>2</v>
      </c>
      <c r="N329" s="143"/>
      <c r="P329" s="4" t="str">
        <f>VLOOKUP(H329,Stock_list!A:Y,25,FALSE)</f>
        <v>Yes</v>
      </c>
      <c r="T329" s="144"/>
      <c r="U329" s="145" t="str">
        <f>VLOOKUP(H329,Stock_list!A:N,14,FALSE)</f>
        <v>AUG 23</v>
      </c>
    </row>
    <row r="330" spans="1:21" ht="23.25" customHeight="1">
      <c r="A330" s="159" t="s">
        <v>2744</v>
      </c>
      <c r="B330" s="114" t="str">
        <f>VLOOKUP(A330,'Data pick slip'!B:F,5,FALSE)</f>
        <v>KHJ-MC100-00</v>
      </c>
      <c r="F330" s="157" t="s">
        <v>2753</v>
      </c>
      <c r="I330" s="140" t="s">
        <v>4074</v>
      </c>
      <c r="J330" s="267" t="s">
        <v>4073</v>
      </c>
      <c r="K330" s="51" t="s">
        <v>4075</v>
      </c>
      <c r="L330" s="4">
        <v>45156</v>
      </c>
      <c r="M330" s="132">
        <v>110</v>
      </c>
      <c r="P330" s="4" t="s">
        <v>4076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2747</v>
      </c>
      <c r="B331" s="114" t="str">
        <f>VLOOKUP(A331,'Data pick slip'!B:F,5,FALSE)</f>
        <v>KHJ-MC200-00</v>
      </c>
      <c r="F331" s="157" t="s">
        <v>2753</v>
      </c>
      <c r="I331" s="140" t="s">
        <v>4074</v>
      </c>
      <c r="J331" s="267" t="s">
        <v>4073</v>
      </c>
      <c r="K331" s="51" t="s">
        <v>4075</v>
      </c>
      <c r="L331" s="4">
        <v>45156</v>
      </c>
      <c r="M331" s="132">
        <v>25</v>
      </c>
      <c r="P331" s="4" t="s">
        <v>4076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2749</v>
      </c>
      <c r="B332" s="114" t="str">
        <f>VLOOKUP(A332,'Data pick slip'!B:F,5,FALSE)</f>
        <v>KHJ-MC500-00</v>
      </c>
      <c r="F332" s="157" t="s">
        <v>2753</v>
      </c>
      <c r="I332" s="140" t="s">
        <v>4074</v>
      </c>
      <c r="J332" s="267" t="s">
        <v>4073</v>
      </c>
      <c r="K332" s="51" t="s">
        <v>4075</v>
      </c>
      <c r="L332" s="4">
        <v>45156</v>
      </c>
      <c r="M332" s="132">
        <v>2</v>
      </c>
      <c r="P332" s="4" t="s">
        <v>4076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2750</v>
      </c>
      <c r="B333" s="114" t="str">
        <f>VLOOKUP(A333,'Data pick slip'!B:F,5,FALSE)</f>
        <v>KHJ-MC600-00</v>
      </c>
      <c r="F333" s="157" t="s">
        <v>2753</v>
      </c>
      <c r="I333" s="140" t="s">
        <v>4074</v>
      </c>
      <c r="J333" s="267" t="s">
        <v>4073</v>
      </c>
      <c r="K333" s="51" t="s">
        <v>4075</v>
      </c>
      <c r="L333" s="4">
        <v>45156</v>
      </c>
      <c r="M333" s="132">
        <v>2</v>
      </c>
      <c r="P333" s="4" t="s">
        <v>4076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2755</v>
      </c>
      <c r="B334" s="114" t="str">
        <f>VLOOKUP(A334,'Data pick slip'!B:F,5,FALSE)</f>
        <v>KLJ-MC100-00</v>
      </c>
      <c r="F334" s="157" t="s">
        <v>2753</v>
      </c>
      <c r="I334" s="140" t="s">
        <v>4078</v>
      </c>
      <c r="J334" s="267" t="s">
        <v>4077</v>
      </c>
      <c r="K334" s="51" t="s">
        <v>4075</v>
      </c>
      <c r="L334" s="4">
        <v>45177</v>
      </c>
      <c r="M334" s="140">
        <v>40</v>
      </c>
      <c r="P334" s="4" t="s">
        <v>4076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2760</v>
      </c>
      <c r="B335" s="114" t="str">
        <f>VLOOKUP(A335,'Data pick slip'!B:F,5,FALSE)</f>
        <v>KLJ-MC700-00</v>
      </c>
      <c r="F335" s="157" t="s">
        <v>2753</v>
      </c>
      <c r="I335" s="140" t="s">
        <v>4078</v>
      </c>
      <c r="J335" s="269" t="s">
        <v>4079</v>
      </c>
      <c r="K335" s="51" t="s">
        <v>4075</v>
      </c>
      <c r="L335" s="4">
        <v>45149</v>
      </c>
      <c r="M335" s="140">
        <v>1</v>
      </c>
      <c r="P335" s="4" t="s">
        <v>4076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2744</v>
      </c>
      <c r="B336" s="114" t="str">
        <f>VLOOKUP(A336,'Data pick slip'!B:F,5,FALSE)</f>
        <v>KHJ-MC100-00</v>
      </c>
      <c r="F336" s="157" t="s">
        <v>2753</v>
      </c>
      <c r="H336" s="138">
        <v>1938</v>
      </c>
      <c r="I336" s="140" t="str">
        <f>VLOOKUP(H336,Stock_list!A:R,18,FALSE)</f>
        <v>万赢丰</v>
      </c>
      <c r="J336" s="139" t="str">
        <f>VLOOKUP(H336,Stock_list!A:S,17,FALSE)</f>
        <v>C49SZX20230091SX</v>
      </c>
      <c r="K336" s="51" t="str">
        <f>VLOOKUP(H336,Stock_list!A:T,16,FALSE)</f>
        <v>RMB</v>
      </c>
      <c r="L336" s="4">
        <v>45250</v>
      </c>
      <c r="M336" s="140">
        <v>34</v>
      </c>
      <c r="P336" s="4" t="str">
        <f>VLOOKUP(H336,Stock_list!A:Y,25,FALSE)</f>
        <v>Yes</v>
      </c>
      <c r="Q336" s="143"/>
      <c r="T336" s="144"/>
      <c r="U336" s="145" t="str">
        <f>VLOOKUP(H336,Stock_list!A:N,14,FALSE)</f>
        <v>NOV 23</v>
      </c>
    </row>
    <row r="337" spans="1:21" ht="16.5" customHeight="1">
      <c r="A337" s="159" t="s">
        <v>2747</v>
      </c>
      <c r="B337" s="114" t="str">
        <f>VLOOKUP(A337,'Data pick slip'!B:F,5,FALSE)</f>
        <v>KHJ-MC200-00</v>
      </c>
      <c r="F337" s="157" t="s">
        <v>2753</v>
      </c>
      <c r="H337" s="138">
        <v>1938</v>
      </c>
      <c r="I337" s="140" t="str">
        <f>VLOOKUP(H337,Stock_list!A:R,18,FALSE)</f>
        <v>万赢丰</v>
      </c>
      <c r="J337" s="139" t="str">
        <f>VLOOKUP(H337,Stock_list!A:S,17,FALSE)</f>
        <v>C49SZX20230091SX</v>
      </c>
      <c r="K337" s="51" t="str">
        <f>VLOOKUP(H337,Stock_list!A:T,16,FALSE)</f>
        <v>RMB</v>
      </c>
      <c r="L337" s="4">
        <v>45250</v>
      </c>
      <c r="M337" s="140">
        <v>10</v>
      </c>
      <c r="P337" s="4" t="str">
        <f>VLOOKUP(H337,Stock_list!A:Y,25,FALSE)</f>
        <v>Yes</v>
      </c>
      <c r="Q337" s="143"/>
      <c r="T337" s="144"/>
      <c r="U337" s="145" t="str">
        <f>VLOOKUP(H337,Stock_list!A:N,14,FALSE)</f>
        <v>NOV 23</v>
      </c>
    </row>
    <row r="338" spans="1:21" ht="16.5" customHeight="1">
      <c r="A338" s="159" t="s">
        <v>2744</v>
      </c>
      <c r="B338" s="114" t="str">
        <f>VLOOKUP(A338,'Data pick slip'!B:F,5,FALSE)</f>
        <v>KHJ-MC100-00</v>
      </c>
      <c r="F338" s="157" t="s">
        <v>1381</v>
      </c>
      <c r="H338" s="138">
        <v>1940</v>
      </c>
      <c r="I338" s="140" t="str">
        <f>VLOOKUP(H338,Stock_list!A:R,18,FALSE)</f>
        <v>领德创</v>
      </c>
      <c r="J338" s="139" t="str">
        <f>VLOOKUP(H338,Stock_list!A:S,17,FALSE)</f>
        <v>C49SZX20230089EC</v>
      </c>
      <c r="K338" s="51" t="str">
        <f>VLOOKUP(H338,Stock_list!A:T,16,FALSE)</f>
        <v>JPY</v>
      </c>
      <c r="L338" s="4">
        <v>45247</v>
      </c>
      <c r="M338" s="132">
        <v>100</v>
      </c>
      <c r="P338" s="4" t="str">
        <f>VLOOKUP(H338,Stock_list!A:Y,25,FALSE)</f>
        <v>Yes</v>
      </c>
      <c r="Q338" s="143"/>
      <c r="T338" s="144"/>
      <c r="U338" s="145" t="str">
        <f>VLOOKUP(H338,Stock_list!A:N,14,FALSE)</f>
        <v>NOV 23</v>
      </c>
    </row>
    <row r="339" spans="1:21" ht="16.5" customHeight="1">
      <c r="A339" s="159" t="s">
        <v>2747</v>
      </c>
      <c r="B339" s="114" t="str">
        <f>VLOOKUP(A339,'Data pick slip'!B:F,5,FALSE)</f>
        <v>KHJ-MC200-00</v>
      </c>
      <c r="F339" s="157" t="s">
        <v>1381</v>
      </c>
      <c r="H339" s="138">
        <v>1940</v>
      </c>
      <c r="I339" s="140" t="str">
        <f>VLOOKUP(H339,Stock_list!A:R,18,FALSE)</f>
        <v>领德创</v>
      </c>
      <c r="J339" s="139" t="str">
        <f>VLOOKUP(H339,Stock_list!A:S,17,FALSE)</f>
        <v>C49SZX20230089EC</v>
      </c>
      <c r="K339" s="51" t="str">
        <f>VLOOKUP(H339,Stock_list!A:T,16,FALSE)</f>
        <v>JPY</v>
      </c>
      <c r="L339" s="4">
        <v>45247</v>
      </c>
      <c r="M339" s="132">
        <v>10</v>
      </c>
      <c r="P339" s="4" t="str">
        <f>VLOOKUP(H339,Stock_list!A:Y,25,FALSE)</f>
        <v>Yes</v>
      </c>
      <c r="Q339" s="143"/>
      <c r="T339" s="144"/>
      <c r="U339" s="145" t="str">
        <f>VLOOKUP(H339,Stock_list!A:N,14,FALSE)</f>
        <v>NOV 23</v>
      </c>
    </row>
    <row r="340" spans="1:21" ht="16.5" customHeight="1">
      <c r="A340" s="159" t="s">
        <v>2748</v>
      </c>
      <c r="B340" s="114" t="str">
        <f>VLOOKUP(A340,'Data pick slip'!B:F,5,FALSE)</f>
        <v>KHJ-MC400-00</v>
      </c>
      <c r="F340" s="157" t="s">
        <v>2753</v>
      </c>
      <c r="H340" s="138">
        <v>1940</v>
      </c>
      <c r="I340" s="140" t="str">
        <f>VLOOKUP(H340,Stock_list!A:R,18,FALSE)</f>
        <v>领德创</v>
      </c>
      <c r="J340" s="139" t="str">
        <f>VLOOKUP(H340,Stock_list!A:S,17,FALSE)</f>
        <v>C49SZX20230089EC</v>
      </c>
      <c r="K340" s="51" t="str">
        <f>VLOOKUP(H340,Stock_list!A:T,16,FALSE)</f>
        <v>JPY</v>
      </c>
      <c r="L340" s="4">
        <v>45247</v>
      </c>
      <c r="M340" s="132">
        <v>3</v>
      </c>
      <c r="P340" s="4" t="str">
        <f>VLOOKUP(H340,Stock_list!A:Y,25,FALSE)</f>
        <v>Yes</v>
      </c>
      <c r="Q340" s="143"/>
      <c r="T340" s="144"/>
      <c r="U340" s="145" t="str">
        <f>VLOOKUP(H340,Stock_list!A:N,14,FALSE)</f>
        <v>NOV 23</v>
      </c>
    </row>
    <row r="341" spans="1:21" ht="16.5" customHeight="1">
      <c r="A341" s="159" t="s">
        <v>2749</v>
      </c>
      <c r="B341" s="114" t="str">
        <f>VLOOKUP(A341,'Data pick slip'!B:F,5,FALSE)</f>
        <v>KHJ-MC500-00</v>
      </c>
      <c r="F341" s="157" t="s">
        <v>1381</v>
      </c>
      <c r="H341" s="138">
        <v>1940</v>
      </c>
      <c r="I341" s="140" t="str">
        <f>VLOOKUP(H341,Stock_list!A:R,18,FALSE)</f>
        <v>领德创</v>
      </c>
      <c r="J341" s="139" t="str">
        <f>VLOOKUP(H341,Stock_list!A:S,17,FALSE)</f>
        <v>C49SZX20230089EC</v>
      </c>
      <c r="K341" s="51" t="str">
        <f>VLOOKUP(H341,Stock_list!A:T,16,FALSE)</f>
        <v>JPY</v>
      </c>
      <c r="L341" s="4">
        <v>45247</v>
      </c>
      <c r="M341" s="132">
        <v>2</v>
      </c>
      <c r="P341" s="4" t="str">
        <f>VLOOKUP(H341,Stock_list!A:Y,25,FALSE)</f>
        <v>Yes</v>
      </c>
      <c r="Q341" s="143"/>
      <c r="T341" s="144"/>
      <c r="U341" s="145" t="str">
        <f>VLOOKUP(H341,Stock_list!A:N,14,FALSE)</f>
        <v>NOV 23</v>
      </c>
    </row>
    <row r="342" spans="1:21" ht="16.5" customHeight="1">
      <c r="A342" s="159" t="s">
        <v>2744</v>
      </c>
      <c r="B342" s="114" t="str">
        <f>VLOOKUP(A342,'Data pick slip'!B:F,5,FALSE)</f>
        <v>KHJ-MC100-00</v>
      </c>
      <c r="F342" s="157" t="s">
        <v>1381</v>
      </c>
      <c r="I342" s="389" t="s">
        <v>3970</v>
      </c>
      <c r="J342" s="139" t="s">
        <v>4080</v>
      </c>
      <c r="K342" s="51" t="s">
        <v>3003</v>
      </c>
      <c r="L342" s="4">
        <v>45132</v>
      </c>
      <c r="M342" s="140">
        <v>5</v>
      </c>
      <c r="P342" s="4" t="s">
        <v>291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2744</v>
      </c>
      <c r="B343" s="114" t="str">
        <f>VLOOKUP(A343,'Data pick slip'!B:F,5,FALSE)</f>
        <v>KHJ-MC100-00</v>
      </c>
      <c r="F343" s="157" t="s">
        <v>2753</v>
      </c>
      <c r="H343" s="138">
        <v>1946</v>
      </c>
      <c r="I343" s="140" t="str">
        <f>VLOOKUP(H343,Stock_list!A:R,18,FALSE)</f>
        <v>益田科技(End uer:泓裕）</v>
      </c>
      <c r="J343" s="139" t="str">
        <f>VLOOKUP(H343,Stock_list!A:S,17,FALSE)</f>
        <v>C49SZX20230093SX</v>
      </c>
      <c r="K343" s="51" t="str">
        <f>VLOOKUP(H343,Stock_list!A:T,16,FALSE)</f>
        <v>RMB</v>
      </c>
      <c r="L343" s="4">
        <v>45190</v>
      </c>
      <c r="M343" s="140">
        <v>210</v>
      </c>
      <c r="N343" s="143"/>
      <c r="P343" s="4" t="str">
        <f>VLOOKUP(H343,Stock_list!A:Y,25,FALSE)</f>
        <v>Yes</v>
      </c>
      <c r="T343" s="144"/>
      <c r="U343" s="145" t="str">
        <f>VLOOKUP(H343,Stock_list!A:N,14,FALSE)</f>
        <v>SEP 23</v>
      </c>
    </row>
    <row r="344" spans="1:21" ht="16.5" customHeight="1">
      <c r="A344" s="159" t="s">
        <v>2747</v>
      </c>
      <c r="B344" s="114" t="str">
        <f>VLOOKUP(A344,'Data pick slip'!B:F,5,FALSE)</f>
        <v>KHJ-MC200-00</v>
      </c>
      <c r="F344" s="157" t="s">
        <v>2753</v>
      </c>
      <c r="H344" s="138">
        <v>1946</v>
      </c>
      <c r="I344" s="140" t="str">
        <f>VLOOKUP(H344,Stock_list!A:R,18,FALSE)</f>
        <v>益田科技(End uer:泓裕）</v>
      </c>
      <c r="J344" s="139" t="str">
        <f>VLOOKUP(H344,Stock_list!A:S,17,FALSE)</f>
        <v>C49SZX20230093SX</v>
      </c>
      <c r="K344" s="51" t="str">
        <f>VLOOKUP(H344,Stock_list!A:T,16,FALSE)</f>
        <v>RMB</v>
      </c>
      <c r="L344" s="4">
        <v>45190</v>
      </c>
      <c r="M344" s="140">
        <v>10</v>
      </c>
      <c r="N344" s="143"/>
      <c r="P344" s="4" t="str">
        <f>VLOOKUP(H344,Stock_list!A:Y,25,FALSE)</f>
        <v>Yes</v>
      </c>
      <c r="T344" s="144"/>
      <c r="U344" s="145" t="str">
        <f>VLOOKUP(H344,Stock_list!A:N,14,FALSE)</f>
        <v>SEP 23</v>
      </c>
    </row>
    <row r="345" spans="1:21" ht="16.5" customHeight="1">
      <c r="A345" s="159" t="s">
        <v>2748</v>
      </c>
      <c r="B345" s="114" t="str">
        <f>VLOOKUP(A345,'Data pick slip'!B:F,5,FALSE)</f>
        <v>KHJ-MC400-00</v>
      </c>
      <c r="F345" s="157" t="s">
        <v>2753</v>
      </c>
      <c r="H345" s="138">
        <v>1946</v>
      </c>
      <c r="I345" s="140" t="str">
        <f>VLOOKUP(H345,Stock_list!A:R,18,FALSE)</f>
        <v>益田科技(End uer:泓裕）</v>
      </c>
      <c r="J345" s="139" t="str">
        <f>VLOOKUP(H345,Stock_list!A:S,17,FALSE)</f>
        <v>C49SZX20230093SX</v>
      </c>
      <c r="K345" s="51" t="str">
        <f>VLOOKUP(H345,Stock_list!A:T,16,FALSE)</f>
        <v>RMB</v>
      </c>
      <c r="L345" s="4">
        <v>45190</v>
      </c>
      <c r="M345" s="140">
        <v>6</v>
      </c>
      <c r="N345" s="143"/>
      <c r="P345" s="4" t="str">
        <f>VLOOKUP(H345,Stock_list!A:Y,25,FALSE)</f>
        <v>Yes</v>
      </c>
      <c r="T345" s="144"/>
      <c r="U345" s="145" t="str">
        <f>VLOOKUP(H345,Stock_list!A:N,14,FALSE)</f>
        <v>SEP 23</v>
      </c>
    </row>
    <row r="346" spans="1:21" ht="16.5" customHeight="1">
      <c r="A346" s="159" t="s">
        <v>2749</v>
      </c>
      <c r="B346" s="114" t="str">
        <f>VLOOKUP(A346,'Data pick slip'!B:F,5,FALSE)</f>
        <v>KHJ-MC500-00</v>
      </c>
      <c r="F346" s="157" t="s">
        <v>2753</v>
      </c>
      <c r="H346" s="138">
        <v>1946</v>
      </c>
      <c r="I346" s="140" t="str">
        <f>VLOOKUP(H346,Stock_list!A:R,18,FALSE)</f>
        <v>益田科技(End uer:泓裕）</v>
      </c>
      <c r="J346" s="139" t="str">
        <f>VLOOKUP(H346,Stock_list!A:S,17,FALSE)</f>
        <v>C49SZX20230093SX</v>
      </c>
      <c r="K346" s="51" t="str">
        <f>VLOOKUP(H346,Stock_list!A:T,16,FALSE)</f>
        <v>RMB</v>
      </c>
      <c r="L346" s="4">
        <v>45190</v>
      </c>
      <c r="M346" s="140">
        <v>2</v>
      </c>
      <c r="N346" s="143"/>
      <c r="P346" s="4" t="str">
        <f>VLOOKUP(H346,Stock_list!A:Y,25,FALSE)</f>
        <v>Yes</v>
      </c>
      <c r="T346" s="144"/>
      <c r="U346" s="145" t="str">
        <f>VLOOKUP(H346,Stock_list!A:N,14,FALSE)</f>
        <v>SEP 23</v>
      </c>
    </row>
    <row r="347" spans="1:21" ht="16.5" customHeight="1">
      <c r="A347" s="159" t="s">
        <v>2744</v>
      </c>
      <c r="B347" s="114" t="str">
        <f>VLOOKUP(A347,'Data pick slip'!B:F,5,FALSE)</f>
        <v>KHJ-MC100-00</v>
      </c>
      <c r="F347" s="157" t="s">
        <v>2753</v>
      </c>
      <c r="H347" s="138">
        <v>1954</v>
      </c>
      <c r="I347" s="140" t="str">
        <f>VLOOKUP(H347,Stock_list!A:R,18,FALSE)</f>
        <v>莱帝亚</v>
      </c>
      <c r="J347" s="139" t="str">
        <f>VLOOKUP(H347,Stock_list!A:S,17,FALSE)</f>
        <v>LDY-2023071801</v>
      </c>
      <c r="K347" s="51" t="str">
        <f>VLOOKUP(H347,Stock_list!A:T,16,FALSE)</f>
        <v>RMB</v>
      </c>
      <c r="L347" s="4">
        <v>45168</v>
      </c>
      <c r="M347" s="143">
        <v>40</v>
      </c>
      <c r="P347" s="4" t="str">
        <f>VLOOKUP(H347,Stock_list!A:Y,25,FALSE)</f>
        <v>Yes</v>
      </c>
      <c r="T347" s="144"/>
      <c r="U347" s="145" t="str">
        <f>VLOOKUP(H347,Stock_list!A:N,14,FALSE)</f>
        <v>AUG 23</v>
      </c>
    </row>
    <row r="348" spans="1:21" ht="16.5" customHeight="1">
      <c r="A348" s="159" t="s">
        <v>2747</v>
      </c>
      <c r="B348" s="114" t="str">
        <f>VLOOKUP(A348,'Data pick slip'!B:F,5,FALSE)</f>
        <v>KHJ-MC200-00</v>
      </c>
      <c r="F348" s="157" t="s">
        <v>2753</v>
      </c>
      <c r="H348" s="138">
        <v>1954</v>
      </c>
      <c r="I348" s="140" t="str">
        <f>VLOOKUP(H348,Stock_list!A:R,18,FALSE)</f>
        <v>莱帝亚</v>
      </c>
      <c r="J348" s="139" t="str">
        <f>VLOOKUP(H348,Stock_list!A:S,17,FALSE)</f>
        <v>LDY-2023071801</v>
      </c>
      <c r="K348" s="51" t="str">
        <f>VLOOKUP(H348,Stock_list!A:T,16,FALSE)</f>
        <v>RMB</v>
      </c>
      <c r="L348" s="4">
        <v>45168</v>
      </c>
      <c r="M348" s="143">
        <v>10</v>
      </c>
      <c r="P348" s="4" t="str">
        <f>VLOOKUP(H348,Stock_list!A:Y,25,FALSE)</f>
        <v>Yes</v>
      </c>
      <c r="T348" s="144"/>
      <c r="U348" s="145" t="str">
        <f>VLOOKUP(H348,Stock_list!A:N,14,FALSE)</f>
        <v>AUG 23</v>
      </c>
    </row>
    <row r="349" spans="1:21" ht="16.5" customHeight="1">
      <c r="A349" s="159" t="s">
        <v>2748</v>
      </c>
      <c r="B349" s="114" t="str">
        <f>VLOOKUP(A349,'Data pick slip'!B:F,5,FALSE)</f>
        <v>KHJ-MC400-00</v>
      </c>
      <c r="F349" s="157" t="s">
        <v>2753</v>
      </c>
      <c r="H349" s="138">
        <v>1954</v>
      </c>
      <c r="I349" s="140" t="str">
        <f>VLOOKUP(H349,Stock_list!A:R,18,FALSE)</f>
        <v>莱帝亚</v>
      </c>
      <c r="J349" s="139" t="str">
        <f>VLOOKUP(H349,Stock_list!A:S,17,FALSE)</f>
        <v>LDY-2023071801</v>
      </c>
      <c r="K349" s="51" t="str">
        <f>VLOOKUP(H349,Stock_list!A:T,16,FALSE)</f>
        <v>RMB</v>
      </c>
      <c r="L349" s="4">
        <v>45168</v>
      </c>
      <c r="M349" s="143">
        <v>3</v>
      </c>
      <c r="P349" s="4" t="str">
        <f>VLOOKUP(H349,Stock_list!A:Y,25,FALSE)</f>
        <v>Yes</v>
      </c>
      <c r="T349" s="144"/>
      <c r="U349" s="145" t="str">
        <f>VLOOKUP(H349,Stock_list!A:N,14,FALSE)</f>
        <v>AUG 23</v>
      </c>
    </row>
    <row r="350" spans="1:21" ht="16.5" customHeight="1">
      <c r="A350" s="159" t="s">
        <v>2744</v>
      </c>
      <c r="B350" s="114" t="str">
        <f>VLOOKUP(A350,'Data pick slip'!B:F,5,FALSE)</f>
        <v>KHJ-MC100-00</v>
      </c>
      <c r="F350" s="157" t="s">
        <v>1381</v>
      </c>
      <c r="I350" s="140" t="s">
        <v>4082</v>
      </c>
      <c r="J350" s="139" t="s">
        <v>4085</v>
      </c>
      <c r="K350" s="51" t="s">
        <v>4084</v>
      </c>
      <c r="L350" s="4">
        <v>45138</v>
      </c>
      <c r="M350" s="140">
        <v>110</v>
      </c>
      <c r="P350" s="4" t="s">
        <v>4083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2747</v>
      </c>
      <c r="B351" s="114" t="str">
        <f>VLOOKUP(A351,'Data pick slip'!B:F,5,FALSE)</f>
        <v>KHJ-MC200-00</v>
      </c>
      <c r="F351" s="157" t="s">
        <v>1381</v>
      </c>
      <c r="I351" s="140" t="s">
        <v>4082</v>
      </c>
      <c r="J351" s="139" t="s">
        <v>4085</v>
      </c>
      <c r="K351" s="51" t="s">
        <v>4084</v>
      </c>
      <c r="L351" s="4">
        <v>45138</v>
      </c>
      <c r="M351" s="140">
        <v>25</v>
      </c>
      <c r="P351" s="4" t="s">
        <v>4083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2749</v>
      </c>
      <c r="B352" s="114" t="str">
        <f>VLOOKUP(A352,'Data pick slip'!B:F,5,FALSE)</f>
        <v>KHJ-MC500-00</v>
      </c>
      <c r="F352" s="157" t="s">
        <v>1381</v>
      </c>
      <c r="I352" s="140" t="s">
        <v>4082</v>
      </c>
      <c r="J352" s="139" t="s">
        <v>4085</v>
      </c>
      <c r="K352" s="51" t="s">
        <v>4084</v>
      </c>
      <c r="L352" s="4">
        <v>45138</v>
      </c>
      <c r="M352" s="140">
        <v>2</v>
      </c>
      <c r="P352" s="4" t="s">
        <v>4083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2750</v>
      </c>
      <c r="B353" s="114" t="str">
        <f>VLOOKUP(A353,'Data pick slip'!B:F,5,FALSE)</f>
        <v>KHJ-MC600-00</v>
      </c>
      <c r="F353" s="157" t="s">
        <v>1381</v>
      </c>
      <c r="I353" s="140" t="s">
        <v>4082</v>
      </c>
      <c r="J353" s="139" t="s">
        <v>4085</v>
      </c>
      <c r="K353" s="51" t="s">
        <v>4084</v>
      </c>
      <c r="L353" s="4">
        <v>45138</v>
      </c>
      <c r="M353" s="140">
        <v>2</v>
      </c>
      <c r="P353" s="4" t="s">
        <v>4083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2755</v>
      </c>
      <c r="B354" s="114" t="str">
        <f>VLOOKUP(A354,'Data pick slip'!B:F,5,FALSE)</f>
        <v>KLJ-MC100-00</v>
      </c>
      <c r="F354" s="157" t="s">
        <v>1381</v>
      </c>
      <c r="I354" s="140" t="s">
        <v>4082</v>
      </c>
      <c r="J354" s="139" t="s">
        <v>4085</v>
      </c>
      <c r="K354" s="51" t="s">
        <v>4084</v>
      </c>
      <c r="L354" s="4">
        <v>45138</v>
      </c>
      <c r="M354" s="140">
        <v>40</v>
      </c>
      <c r="P354" s="4" t="s">
        <v>4083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2760</v>
      </c>
      <c r="B355" s="114" t="str">
        <f>VLOOKUP(A355,'Data pick slip'!B:F,5,FALSE)</f>
        <v>KLJ-MC700-00</v>
      </c>
      <c r="F355" s="157" t="s">
        <v>1381</v>
      </c>
      <c r="I355" s="140" t="s">
        <v>4082</v>
      </c>
      <c r="J355" s="139" t="s">
        <v>4085</v>
      </c>
      <c r="K355" s="51" t="s">
        <v>4084</v>
      </c>
      <c r="L355" s="4">
        <v>45138</v>
      </c>
      <c r="M355" s="140">
        <v>1</v>
      </c>
      <c r="P355" s="4" t="s">
        <v>4083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2748</v>
      </c>
      <c r="B356" s="114" t="str">
        <f>VLOOKUP(A356,'Data pick slip'!B:F,5,FALSE)</f>
        <v>KHJ-MC400-00</v>
      </c>
      <c r="F356" s="157" t="s">
        <v>2753</v>
      </c>
      <c r="H356" s="138" t="s">
        <v>4124</v>
      </c>
      <c r="I356" s="140">
        <v>66</v>
      </c>
      <c r="J356" s="270" t="s">
        <v>4112</v>
      </c>
      <c r="K356" s="51" t="s">
        <v>4113</v>
      </c>
      <c r="L356" s="4">
        <v>45146</v>
      </c>
      <c r="M356" s="140">
        <v>1</v>
      </c>
      <c r="P356" s="4" t="s">
        <v>4138</v>
      </c>
      <c r="Q356" s="143"/>
      <c r="S356" s="123" t="s">
        <v>4123</v>
      </c>
      <c r="T356" s="144"/>
      <c r="U356" s="145" t="e">
        <f>VLOOKUP(H356,Stock_list!A:N,14,FALSE)</f>
        <v>#N/A</v>
      </c>
    </row>
    <row r="357" spans="1:21" ht="18" customHeight="1">
      <c r="A357" s="159" t="s">
        <v>2755</v>
      </c>
      <c r="B357" s="114" t="str">
        <f>VLOOKUP(A357,'Data pick slip'!B:F,5,FALSE)</f>
        <v>KLJ-MC100-00</v>
      </c>
      <c r="F357" s="157" t="s">
        <v>2753</v>
      </c>
      <c r="H357" s="138" t="s">
        <v>4125</v>
      </c>
      <c r="I357" s="140">
        <v>66</v>
      </c>
      <c r="J357" s="403" t="s">
        <v>4126</v>
      </c>
      <c r="K357" s="51" t="s">
        <v>1246</v>
      </c>
      <c r="L357" s="4">
        <v>45148</v>
      </c>
      <c r="M357" s="140">
        <v>3</v>
      </c>
      <c r="P357" s="4" t="s">
        <v>4139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2744</v>
      </c>
      <c r="B358" s="114" t="str">
        <f>VLOOKUP(A358,'Data pick slip'!B:F,5,FALSE)</f>
        <v>KHJ-MC100-00</v>
      </c>
      <c r="F358" s="157" t="s">
        <v>2753</v>
      </c>
      <c r="I358" s="140" t="s">
        <v>4132</v>
      </c>
      <c r="J358" s="270" t="s">
        <v>4131</v>
      </c>
      <c r="K358" s="51" t="s">
        <v>4133</v>
      </c>
      <c r="L358" s="4">
        <v>45173</v>
      </c>
      <c r="M358" s="140">
        <v>70</v>
      </c>
      <c r="P358" s="4" t="s">
        <v>4134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2747</v>
      </c>
      <c r="B359" s="114" t="str">
        <f>VLOOKUP(A359,'Data pick slip'!B:F,5,FALSE)</f>
        <v>KHJ-MC200-00</v>
      </c>
      <c r="F359" s="157" t="s">
        <v>2753</v>
      </c>
      <c r="I359" s="140" t="s">
        <v>4132</v>
      </c>
      <c r="J359" s="270" t="s">
        <v>4131</v>
      </c>
      <c r="K359" s="51" t="s">
        <v>4133</v>
      </c>
      <c r="L359" s="4">
        <v>45173</v>
      </c>
      <c r="M359" s="140">
        <v>9</v>
      </c>
      <c r="P359" s="4" t="s">
        <v>4134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2747</v>
      </c>
      <c r="B360" s="114" t="str">
        <f>VLOOKUP(A360,'Data pick slip'!B:F,5,FALSE)</f>
        <v>KHJ-MC200-00</v>
      </c>
      <c r="F360" s="157" t="s">
        <v>2753</v>
      </c>
      <c r="H360" s="138" t="s">
        <v>4137</v>
      </c>
      <c r="I360" s="140">
        <v>66</v>
      </c>
      <c r="J360" s="267" t="s">
        <v>4136</v>
      </c>
      <c r="K360" s="51" t="s">
        <v>1246</v>
      </c>
      <c r="L360" s="4">
        <v>45156</v>
      </c>
      <c r="M360" s="140">
        <v>5</v>
      </c>
      <c r="P360" s="4" t="s">
        <v>4356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2744</v>
      </c>
      <c r="B361" s="114" t="str">
        <f>VLOOKUP(A361,'Data pick slip'!B:F,5,FALSE)</f>
        <v>KHJ-MC100-00</v>
      </c>
      <c r="F361" s="157" t="s">
        <v>2753</v>
      </c>
      <c r="H361" s="138" t="s">
        <v>4223</v>
      </c>
      <c r="I361" s="140">
        <v>66</v>
      </c>
      <c r="J361" s="269" t="s">
        <v>4141</v>
      </c>
      <c r="K361" s="51" t="s">
        <v>4142</v>
      </c>
      <c r="L361" s="4">
        <v>45156</v>
      </c>
      <c r="M361" s="140">
        <v>2</v>
      </c>
      <c r="P361" s="4" t="s">
        <v>4140</v>
      </c>
      <c r="Q361" s="143"/>
      <c r="S361" s="123" t="s">
        <v>4123</v>
      </c>
      <c r="T361" s="144"/>
      <c r="U361" s="145" t="e">
        <f>VLOOKUP(H361,Stock_list!A:N,14,FALSE)</f>
        <v>#N/A</v>
      </c>
    </row>
    <row r="362" spans="1:21" ht="16.5" customHeight="1">
      <c r="A362" s="159" t="s">
        <v>2744</v>
      </c>
      <c r="B362" s="114" t="str">
        <f>VLOOKUP(A362,'Data pick slip'!B:F,5,FALSE)</f>
        <v>KHJ-MC100-00</v>
      </c>
      <c r="F362" s="157" t="s">
        <v>2753</v>
      </c>
      <c r="H362" s="138" t="s">
        <v>4137</v>
      </c>
      <c r="I362" s="140">
        <v>66</v>
      </c>
      <c r="J362" s="267" t="s">
        <v>4143</v>
      </c>
      <c r="K362" s="51" t="s">
        <v>1246</v>
      </c>
      <c r="L362" s="4">
        <v>45159</v>
      </c>
      <c r="M362" s="140">
        <v>6</v>
      </c>
      <c r="P362" s="4" t="s">
        <v>4139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2755</v>
      </c>
      <c r="B363" s="114" t="str">
        <f>VLOOKUP(A363,'Data pick slip'!B:F,5,FALSE)</f>
        <v>KLJ-MC100-00</v>
      </c>
      <c r="F363" s="157" t="s">
        <v>1381</v>
      </c>
      <c r="I363" s="389" t="s">
        <v>3970</v>
      </c>
      <c r="J363" s="139" t="s">
        <v>4145</v>
      </c>
      <c r="K363" s="51" t="s">
        <v>1246</v>
      </c>
      <c r="L363" s="4">
        <v>45162</v>
      </c>
      <c r="M363" s="140">
        <v>3</v>
      </c>
      <c r="P363" s="4" t="s">
        <v>4146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2744</v>
      </c>
      <c r="B364" s="114" t="str">
        <f>VLOOKUP(A364,'Data pick slip'!B:F,5,FALSE)</f>
        <v>KHJ-MC100-00</v>
      </c>
      <c r="F364" s="157" t="s">
        <v>1381</v>
      </c>
      <c r="I364" s="389" t="s">
        <v>3970</v>
      </c>
      <c r="J364" s="139" t="s">
        <v>4145</v>
      </c>
      <c r="K364" s="51" t="s">
        <v>1246</v>
      </c>
      <c r="L364" s="4">
        <v>45162</v>
      </c>
      <c r="M364" s="140">
        <v>6</v>
      </c>
      <c r="P364" s="4" t="s">
        <v>4146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2748</v>
      </c>
      <c r="B365" s="114" t="str">
        <f>VLOOKUP(A365,'Data pick slip'!B:F,5,FALSE)</f>
        <v>KHJ-MC400-00</v>
      </c>
      <c r="F365" s="157" t="s">
        <v>2753</v>
      </c>
      <c r="H365" s="138" t="s">
        <v>4149</v>
      </c>
      <c r="I365" s="140">
        <v>66</v>
      </c>
      <c r="J365" s="267" t="s">
        <v>4148</v>
      </c>
      <c r="K365" s="51" t="s">
        <v>4150</v>
      </c>
      <c r="L365" s="4">
        <v>45163</v>
      </c>
      <c r="M365" s="140">
        <v>1</v>
      </c>
      <c r="P365" s="4" t="s">
        <v>4139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2748</v>
      </c>
      <c r="B366" s="114" t="str">
        <f>VLOOKUP(A366,'Data pick slip'!B:F,5,FALSE)</f>
        <v>KHJ-MC400-00</v>
      </c>
      <c r="F366" s="157" t="s">
        <v>2753</v>
      </c>
      <c r="H366" s="138" t="s">
        <v>4124</v>
      </c>
      <c r="I366" s="140">
        <v>66</v>
      </c>
      <c r="J366" s="267" t="s">
        <v>4151</v>
      </c>
      <c r="K366" s="51" t="s">
        <v>1246</v>
      </c>
      <c r="L366" s="4">
        <v>45167</v>
      </c>
      <c r="M366" s="140">
        <v>1</v>
      </c>
      <c r="P366" s="4" t="s">
        <v>4139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2747</v>
      </c>
      <c r="B367" s="114" t="str">
        <f>VLOOKUP(A367,'Data pick slip'!B:F,5,FALSE)</f>
        <v>KHJ-MC200-00</v>
      </c>
      <c r="F367" s="157" t="s">
        <v>2753</v>
      </c>
      <c r="H367" s="138" t="s">
        <v>4161</v>
      </c>
      <c r="I367" s="140">
        <v>66</v>
      </c>
      <c r="J367" s="267" t="s">
        <v>4162</v>
      </c>
      <c r="K367" s="51" t="s">
        <v>4163</v>
      </c>
      <c r="L367" s="4">
        <v>45169</v>
      </c>
      <c r="M367" s="140">
        <v>4</v>
      </c>
      <c r="P367" s="4" t="s">
        <v>4139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2744</v>
      </c>
      <c r="B368" s="114" t="str">
        <f>VLOOKUP(A368,'Data pick slip'!B:F,5,FALSE)</f>
        <v>KHJ-MC100-00</v>
      </c>
      <c r="F368" s="157" t="s">
        <v>2753</v>
      </c>
      <c r="H368" s="138">
        <v>1971</v>
      </c>
      <c r="I368" s="140" t="str">
        <f>VLOOKUP(H368,Stock_list!A:R,18,FALSE)</f>
        <v>和兴美成</v>
      </c>
      <c r="J368" s="139" t="str">
        <f>VLOOKUP(H368,Stock_list!A:S,17,FALSE)</f>
        <v>C49SZX20230099EC</v>
      </c>
      <c r="K368" s="51" t="str">
        <f>VLOOKUP(H368,Stock_list!A:T,16,FALSE)</f>
        <v>RMB</v>
      </c>
      <c r="L368" s="4">
        <v>45207</v>
      </c>
      <c r="M368" s="140">
        <v>30</v>
      </c>
      <c r="P368" s="4" t="str">
        <f>VLOOKUP(H368,Stock_list!A:Y,25,FALSE)</f>
        <v>Yes</v>
      </c>
      <c r="Q368" s="143"/>
      <c r="T368" s="144"/>
      <c r="U368" s="145" t="str">
        <f>VLOOKUP(H368,Stock_list!A:N,14,FALSE)</f>
        <v>OCT 23</v>
      </c>
    </row>
    <row r="369" spans="1:21" ht="16.5" customHeight="1">
      <c r="A369" s="159" t="s">
        <v>2755</v>
      </c>
      <c r="B369" s="114" t="str">
        <f>VLOOKUP(A369,'Data pick slip'!B:F,5,FALSE)</f>
        <v>KLJ-MC100-00</v>
      </c>
      <c r="F369" s="157" t="s">
        <v>1381</v>
      </c>
      <c r="H369" s="138" t="s">
        <v>4172</v>
      </c>
      <c r="I369" s="140">
        <v>66</v>
      </c>
      <c r="J369" s="267" t="s">
        <v>4170</v>
      </c>
      <c r="K369" s="51" t="s">
        <v>4171</v>
      </c>
      <c r="L369" s="4">
        <v>45173</v>
      </c>
      <c r="M369" s="140">
        <v>10</v>
      </c>
      <c r="P369" s="4" t="s">
        <v>4138</v>
      </c>
      <c r="Q369" s="143"/>
      <c r="S369" s="543" t="s">
        <v>4390</v>
      </c>
      <c r="T369" s="144"/>
      <c r="U369" s="145" t="e">
        <f>VLOOKUP(H369,Stock_list!A:N,14,FALSE)</f>
        <v>#N/A</v>
      </c>
    </row>
    <row r="370" spans="1:21" ht="16.5" customHeight="1">
      <c r="A370" s="159" t="s">
        <v>2744</v>
      </c>
      <c r="B370" s="114" t="str">
        <f>VLOOKUP(A370,'Data pick slip'!B:F,5,FALSE)</f>
        <v>KHJ-MC100-00</v>
      </c>
      <c r="F370" s="157" t="s">
        <v>2753</v>
      </c>
      <c r="I370" s="140" t="s">
        <v>4173</v>
      </c>
      <c r="J370" s="269" t="s">
        <v>4175</v>
      </c>
      <c r="K370" s="51" t="s">
        <v>4174</v>
      </c>
      <c r="L370" s="4">
        <v>45194</v>
      </c>
      <c r="M370" s="132">
        <v>150</v>
      </c>
      <c r="P370" s="4" t="s">
        <v>291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2747</v>
      </c>
      <c r="B371" s="114" t="str">
        <f>VLOOKUP(A371,'Data pick slip'!B:F,5,FALSE)</f>
        <v>KHJ-MC200-00</v>
      </c>
      <c r="F371" s="157" t="s">
        <v>2753</v>
      </c>
      <c r="I371" s="140" t="s">
        <v>4173</v>
      </c>
      <c r="J371" s="269" t="s">
        <v>4175</v>
      </c>
      <c r="K371" s="51" t="s">
        <v>4174</v>
      </c>
      <c r="L371" s="4">
        <v>45194</v>
      </c>
      <c r="M371" s="132">
        <v>50</v>
      </c>
      <c r="P371" s="4" t="s">
        <v>291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2748</v>
      </c>
      <c r="B372" s="114" t="str">
        <f>VLOOKUP(A372,'Data pick slip'!B:F,5,FALSE)</f>
        <v>KHJ-MC400-00</v>
      </c>
      <c r="F372" s="157" t="s">
        <v>2753</v>
      </c>
      <c r="I372" s="140" t="s">
        <v>4173</v>
      </c>
      <c r="J372" s="269" t="s">
        <v>4175</v>
      </c>
      <c r="K372" s="51" t="s">
        <v>4174</v>
      </c>
      <c r="L372" s="4">
        <v>45194</v>
      </c>
      <c r="M372" s="132">
        <v>5</v>
      </c>
      <c r="P372" s="4" t="s">
        <v>291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2749</v>
      </c>
      <c r="B373" s="114" t="str">
        <f>VLOOKUP(A373,'Data pick slip'!B:F,5,FALSE)</f>
        <v>KHJ-MC500-00</v>
      </c>
      <c r="F373" s="157" t="s">
        <v>2753</v>
      </c>
      <c r="I373" s="140" t="s">
        <v>4173</v>
      </c>
      <c r="J373" s="269" t="s">
        <v>4175</v>
      </c>
      <c r="K373" s="51" t="s">
        <v>4174</v>
      </c>
      <c r="L373" s="4">
        <v>45194</v>
      </c>
      <c r="M373" s="132">
        <v>2</v>
      </c>
      <c r="P373" s="4" t="s">
        <v>291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2744</v>
      </c>
      <c r="B374" s="114" t="str">
        <f>VLOOKUP(A374,'Data pick slip'!B:F,5,FALSE)</f>
        <v>KHJ-MC100-00</v>
      </c>
      <c r="F374" s="157" t="s">
        <v>2753</v>
      </c>
      <c r="H374" s="138">
        <v>1955</v>
      </c>
      <c r="I374" s="140" t="str">
        <f>VLOOKUP(H374,Stock_list!A:R,18,FALSE)</f>
        <v>泰永</v>
      </c>
      <c r="J374" s="139" t="str">
        <f>VLOOKUP(H374,Stock_list!A:S,17,FALSE)</f>
        <v>GD-20230250</v>
      </c>
      <c r="K374" s="51" t="str">
        <f>VLOOKUP(H374,Stock_list!A:T,16,FALSE)</f>
        <v>RMB</v>
      </c>
      <c r="L374" s="4">
        <v>45182</v>
      </c>
      <c r="M374" s="143">
        <v>50</v>
      </c>
      <c r="P374" s="4" t="str">
        <f>VLOOKUP(H374,Stock_list!A:Y,25,FALSE)</f>
        <v>Yes</v>
      </c>
      <c r="T374" s="144"/>
      <c r="U374" s="145" t="str">
        <f>VLOOKUP(H374,Stock_list!A:N,14,FALSE)</f>
        <v>SEP 23</v>
      </c>
    </row>
    <row r="375" spans="1:21" ht="16.5" customHeight="1">
      <c r="A375" s="159" t="s">
        <v>2747</v>
      </c>
      <c r="B375" s="114" t="str">
        <f>VLOOKUP(A375,'Data pick slip'!B:F,5,FALSE)</f>
        <v>KHJ-MC200-00</v>
      </c>
      <c r="F375" s="157" t="s">
        <v>2753</v>
      </c>
      <c r="H375" s="138">
        <v>1955</v>
      </c>
      <c r="I375" s="140" t="str">
        <f>VLOOKUP(H375,Stock_list!A:R,18,FALSE)</f>
        <v>泰永</v>
      </c>
      <c r="J375" s="139" t="str">
        <f>VLOOKUP(H375,Stock_list!A:S,17,FALSE)</f>
        <v>GD-20230250</v>
      </c>
      <c r="K375" s="51" t="str">
        <f>VLOOKUP(H375,Stock_list!A:T,16,FALSE)</f>
        <v>RMB</v>
      </c>
      <c r="L375" s="4">
        <v>45182</v>
      </c>
      <c r="M375" s="143">
        <v>14</v>
      </c>
      <c r="P375" s="4" t="str">
        <f>VLOOKUP(H375,Stock_list!A:Y,25,FALSE)</f>
        <v>Yes</v>
      </c>
      <c r="T375" s="144"/>
      <c r="U375" s="145" t="str">
        <f>VLOOKUP(H375,Stock_list!A:N,14,FALSE)</f>
        <v>SEP 23</v>
      </c>
    </row>
    <row r="376" spans="1:21" ht="16.5" customHeight="1">
      <c r="A376" s="159" t="s">
        <v>2748</v>
      </c>
      <c r="B376" s="114" t="str">
        <f>VLOOKUP(A376,'Data pick slip'!B:F,5,FALSE)</f>
        <v>KHJ-MC400-00</v>
      </c>
      <c r="F376" s="157" t="s">
        <v>2753</v>
      </c>
      <c r="H376" s="138">
        <v>1955</v>
      </c>
      <c r="I376" s="140" t="str">
        <f>VLOOKUP(H376,Stock_list!A:R,18,FALSE)</f>
        <v>泰永</v>
      </c>
      <c r="J376" s="139" t="str">
        <f>VLOOKUP(H376,Stock_list!A:S,17,FALSE)</f>
        <v>GD-20230250</v>
      </c>
      <c r="K376" s="51" t="str">
        <f>VLOOKUP(H376,Stock_list!A:T,16,FALSE)</f>
        <v>RMB</v>
      </c>
      <c r="L376" s="4">
        <v>45182</v>
      </c>
      <c r="M376" s="143">
        <v>1</v>
      </c>
      <c r="P376" s="4" t="str">
        <f>VLOOKUP(H376,Stock_list!A:Y,25,FALSE)</f>
        <v>Yes</v>
      </c>
      <c r="T376" s="144"/>
      <c r="U376" s="145" t="str">
        <f>VLOOKUP(H376,Stock_list!A:N,14,FALSE)</f>
        <v>SEP 23</v>
      </c>
    </row>
    <row r="377" spans="1:21" ht="16.5" customHeight="1">
      <c r="A377" s="159" t="s">
        <v>2747</v>
      </c>
      <c r="B377" s="114" t="str">
        <f>VLOOKUP(A377,'Data pick slip'!B:F,5,FALSE)</f>
        <v>KHJ-MC200-00</v>
      </c>
      <c r="F377" s="157" t="s">
        <v>2753</v>
      </c>
      <c r="H377" s="138">
        <v>1974</v>
      </c>
      <c r="I377" s="140" t="str">
        <f>VLOOKUP(H377,Stock_list!A:R,18,FALSE)</f>
        <v>海龙智通</v>
      </c>
      <c r="J377" s="139" t="str">
        <f>VLOOKUP(H377,Stock_list!A:S,17,FALSE)</f>
        <v>C49SZX20230100JL</v>
      </c>
      <c r="K377" s="51" t="str">
        <f>VLOOKUP(H377,Stock_list!A:T,16,FALSE)</f>
        <v>JPY</v>
      </c>
      <c r="L377" s="4">
        <v>45190</v>
      </c>
      <c r="M377" s="140">
        <v>5</v>
      </c>
      <c r="P377" s="4" t="str">
        <f>VLOOKUP(H377,Stock_list!A:Y,25,FALSE)</f>
        <v>Yes</v>
      </c>
      <c r="Q377" s="143"/>
      <c r="S377" s="268" t="s">
        <v>4237</v>
      </c>
      <c r="T377" s="284" t="s">
        <v>4238</v>
      </c>
      <c r="U377" s="145" t="str">
        <f>VLOOKUP(H377,Stock_list!A:N,14,FALSE)</f>
        <v>SEP 23</v>
      </c>
    </row>
    <row r="378" spans="1:21" ht="16.5" customHeight="1">
      <c r="A378" s="159" t="s">
        <v>2744</v>
      </c>
      <c r="B378" s="114" t="str">
        <f>VLOOKUP(A378,'Data pick slip'!B:F,5,FALSE)</f>
        <v>KHJ-MC100-00</v>
      </c>
      <c r="F378" s="157" t="s">
        <v>1381</v>
      </c>
      <c r="I378" s="389" t="s">
        <v>3970</v>
      </c>
      <c r="J378" s="139" t="s">
        <v>4183</v>
      </c>
      <c r="K378" s="51" t="s">
        <v>1246</v>
      </c>
      <c r="L378" s="4">
        <v>45184</v>
      </c>
      <c r="M378" s="140">
        <v>150</v>
      </c>
      <c r="P378" s="4" t="s">
        <v>4184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2747</v>
      </c>
      <c r="B379" s="114" t="str">
        <f>VLOOKUP(A379,'Data pick slip'!B:F,5,FALSE)</f>
        <v>KHJ-MC200-00</v>
      </c>
      <c r="F379" s="157" t="s">
        <v>1381</v>
      </c>
      <c r="I379" s="389" t="s">
        <v>3970</v>
      </c>
      <c r="J379" s="139" t="s">
        <v>4183</v>
      </c>
      <c r="K379" s="51" t="s">
        <v>1246</v>
      </c>
      <c r="L379" s="4">
        <v>45184</v>
      </c>
      <c r="M379" s="140">
        <v>54</v>
      </c>
      <c r="P379" s="4" t="s">
        <v>4184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2748</v>
      </c>
      <c r="B380" s="114" t="str">
        <f>VLOOKUP(A380,'Data pick slip'!B:F,5,FALSE)</f>
        <v>KHJ-MC400-00</v>
      </c>
      <c r="F380" s="157" t="s">
        <v>1381</v>
      </c>
      <c r="I380" s="389" t="s">
        <v>3970</v>
      </c>
      <c r="J380" s="139" t="s">
        <v>4183</v>
      </c>
      <c r="K380" s="51" t="s">
        <v>1246</v>
      </c>
      <c r="L380" s="4">
        <v>45184</v>
      </c>
      <c r="M380" s="140">
        <v>7</v>
      </c>
      <c r="P380" s="4" t="s">
        <v>4184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2749</v>
      </c>
      <c r="B381" s="114" t="str">
        <f>VLOOKUP(A381,'Data pick slip'!B:F,5,FALSE)</f>
        <v>KHJ-MC500-00</v>
      </c>
      <c r="F381" s="157" t="s">
        <v>1381</v>
      </c>
      <c r="I381" s="389" t="s">
        <v>3970</v>
      </c>
      <c r="J381" s="139" t="s">
        <v>4183</v>
      </c>
      <c r="K381" s="51" t="s">
        <v>1246</v>
      </c>
      <c r="L381" s="4">
        <v>45184</v>
      </c>
      <c r="M381" s="140">
        <v>2</v>
      </c>
      <c r="P381" s="4" t="s">
        <v>4184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2744</v>
      </c>
      <c r="B382" s="114" t="str">
        <f>VLOOKUP(A382,'Data pick slip'!B:F,5,FALSE)</f>
        <v>KHJ-MC100-00</v>
      </c>
      <c r="F382" s="157" t="s">
        <v>1381</v>
      </c>
      <c r="H382" s="138">
        <v>1976</v>
      </c>
      <c r="I382" s="140" t="str">
        <f>VLOOKUP(H382,Stock_list!A:R,18,FALSE)</f>
        <v>太美亚</v>
      </c>
      <c r="J382" s="139" t="str">
        <f>VLOOKUP(H382,Stock_list!A:S,17,FALSE)</f>
        <v>C49SZX20230102SX</v>
      </c>
      <c r="K382" s="51" t="str">
        <f>VLOOKUP(H382,Stock_list!A:T,16,FALSE)</f>
        <v>JPY</v>
      </c>
      <c r="L382" s="4">
        <v>45189</v>
      </c>
      <c r="M382" s="132">
        <v>300</v>
      </c>
      <c r="P382" s="4" t="str">
        <f>VLOOKUP(H382,Stock_list!A:Y,25,FALSE)</f>
        <v>Yes</v>
      </c>
      <c r="Q382" s="143"/>
      <c r="T382" s="144"/>
      <c r="U382" s="145" t="str">
        <f>VLOOKUP(H382,Stock_list!A:N,14,FALSE)</f>
        <v>SEP 23</v>
      </c>
    </row>
    <row r="383" spans="1:21" ht="16.5" customHeight="1">
      <c r="A383" s="159" t="s">
        <v>2747</v>
      </c>
      <c r="B383" s="114" t="str">
        <f>VLOOKUP(A383,'Data pick slip'!B:F,5,FALSE)</f>
        <v>KHJ-MC200-00</v>
      </c>
      <c r="F383" s="157" t="s">
        <v>1381</v>
      </c>
      <c r="H383" s="138">
        <v>1976</v>
      </c>
      <c r="I383" s="140" t="str">
        <f>VLOOKUP(H383,Stock_list!A:R,18,FALSE)</f>
        <v>太美亚</v>
      </c>
      <c r="J383" s="139" t="str">
        <f>VLOOKUP(H383,Stock_list!A:S,17,FALSE)</f>
        <v>C49SZX20230102SX</v>
      </c>
      <c r="K383" s="51" t="str">
        <f>VLOOKUP(H383,Stock_list!A:T,16,FALSE)</f>
        <v>JPY</v>
      </c>
      <c r="L383" s="4">
        <v>45189</v>
      </c>
      <c r="M383" s="132">
        <v>70</v>
      </c>
      <c r="P383" s="4" t="str">
        <f>VLOOKUP(H383,Stock_list!A:Y,25,FALSE)</f>
        <v>Yes</v>
      </c>
      <c r="Q383" s="143"/>
      <c r="T383" s="144"/>
      <c r="U383" s="145" t="str">
        <f>VLOOKUP(H383,Stock_list!A:N,14,FALSE)</f>
        <v>SEP 23</v>
      </c>
    </row>
    <row r="384" spans="1:21" ht="16.5" customHeight="1">
      <c r="A384" s="159" t="s">
        <v>2748</v>
      </c>
      <c r="B384" s="114" t="str">
        <f>VLOOKUP(A384,'Data pick slip'!B:F,5,FALSE)</f>
        <v>KHJ-MC400-00</v>
      </c>
      <c r="F384" s="157" t="s">
        <v>2753</v>
      </c>
      <c r="H384" s="138">
        <v>1976</v>
      </c>
      <c r="I384" s="140" t="str">
        <f>VLOOKUP(H384,Stock_list!A:R,18,FALSE)</f>
        <v>太美亚</v>
      </c>
      <c r="J384" s="139" t="str">
        <f>VLOOKUP(H384,Stock_list!A:S,17,FALSE)</f>
        <v>C49SZX20230102SX</v>
      </c>
      <c r="K384" s="51" t="str">
        <f>VLOOKUP(H384,Stock_list!A:T,16,FALSE)</f>
        <v>JPY</v>
      </c>
      <c r="L384" s="4">
        <v>45189</v>
      </c>
      <c r="M384" s="132">
        <v>10</v>
      </c>
      <c r="P384" s="4" t="str">
        <f>VLOOKUP(H384,Stock_list!A:Y,25,FALSE)</f>
        <v>Yes</v>
      </c>
      <c r="Q384" s="143"/>
      <c r="S384" s="268" t="s">
        <v>4237</v>
      </c>
      <c r="T384" s="284" t="s">
        <v>4238</v>
      </c>
      <c r="U384" s="145" t="str">
        <f>VLOOKUP(H384,Stock_list!A:N,14,FALSE)</f>
        <v>SEP 23</v>
      </c>
    </row>
    <row r="385" spans="1:21" ht="16.5" customHeight="1">
      <c r="A385" s="159" t="s">
        <v>2749</v>
      </c>
      <c r="B385" s="114" t="str">
        <f>VLOOKUP(A385,'Data pick slip'!B:F,5,FALSE)</f>
        <v>KHJ-MC500-00</v>
      </c>
      <c r="F385" s="157" t="s">
        <v>1381</v>
      </c>
      <c r="H385" s="138">
        <v>1976</v>
      </c>
      <c r="I385" s="140" t="str">
        <f>VLOOKUP(H385,Stock_list!A:R,18,FALSE)</f>
        <v>太美亚</v>
      </c>
      <c r="J385" s="139" t="str">
        <f>VLOOKUP(H385,Stock_list!A:S,17,FALSE)</f>
        <v>C49SZX20230102SX</v>
      </c>
      <c r="K385" s="51" t="str">
        <f>VLOOKUP(H385,Stock_list!A:T,16,FALSE)</f>
        <v>JPY</v>
      </c>
      <c r="L385" s="4">
        <v>45189</v>
      </c>
      <c r="M385" s="132">
        <v>2</v>
      </c>
      <c r="P385" s="4" t="str">
        <f>VLOOKUP(H385,Stock_list!A:Y,25,FALSE)</f>
        <v>Yes</v>
      </c>
      <c r="Q385" s="143"/>
      <c r="T385" s="144"/>
      <c r="U385" s="145" t="str">
        <f>VLOOKUP(H385,Stock_list!A:N,14,FALSE)</f>
        <v>SEP 23</v>
      </c>
    </row>
    <row r="386" spans="1:21" ht="16.5" customHeight="1">
      <c r="A386" s="159" t="s">
        <v>2750</v>
      </c>
      <c r="B386" s="114" t="str">
        <f>VLOOKUP(A386,'Data pick slip'!B:F,5,FALSE)</f>
        <v>KHJ-MC600-00</v>
      </c>
      <c r="F386" s="157" t="s">
        <v>1381</v>
      </c>
      <c r="H386" s="138">
        <v>1976</v>
      </c>
      <c r="I386" s="140" t="str">
        <f>VLOOKUP(H386,Stock_list!A:R,18,FALSE)</f>
        <v>太美亚</v>
      </c>
      <c r="J386" s="139" t="str">
        <f>VLOOKUP(H386,Stock_list!A:S,17,FALSE)</f>
        <v>C49SZX20230102SX</v>
      </c>
      <c r="K386" s="51" t="str">
        <f>VLOOKUP(H386,Stock_list!A:T,16,FALSE)</f>
        <v>JPY</v>
      </c>
      <c r="L386" s="4">
        <v>45189</v>
      </c>
      <c r="M386" s="132">
        <v>1</v>
      </c>
      <c r="P386" s="4" t="str">
        <f>VLOOKUP(H386,Stock_list!A:Y,25,FALSE)</f>
        <v>Yes</v>
      </c>
      <c r="Q386" s="143"/>
      <c r="T386" s="144"/>
      <c r="U386" s="145" t="str">
        <f>VLOOKUP(H386,Stock_list!A:N,14,FALSE)</f>
        <v>SEP 23</v>
      </c>
    </row>
    <row r="387" spans="1:21" ht="16.5" customHeight="1">
      <c r="A387" s="159" t="s">
        <v>2760</v>
      </c>
      <c r="B387" s="114" t="str">
        <f>VLOOKUP(A387,'Data pick slip'!B:F,5,FALSE)</f>
        <v>KLJ-MC700-00</v>
      </c>
      <c r="F387" s="157" t="s">
        <v>2753</v>
      </c>
      <c r="H387" s="138" t="s">
        <v>4124</v>
      </c>
      <c r="I387" s="140">
        <v>66</v>
      </c>
      <c r="J387" s="267" t="s">
        <v>4234</v>
      </c>
      <c r="K387" s="51" t="s">
        <v>4232</v>
      </c>
      <c r="L387" s="4">
        <v>45189</v>
      </c>
      <c r="M387" s="140">
        <v>1</v>
      </c>
      <c r="P387" s="4" t="s">
        <v>4139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2760</v>
      </c>
      <c r="B388" s="114" t="str">
        <f>VLOOKUP(A388,'Data pick slip'!B:F,5,FALSE)</f>
        <v>KLJ-MC700-00</v>
      </c>
      <c r="F388" s="157" t="s">
        <v>1381</v>
      </c>
      <c r="H388" s="138" t="s">
        <v>4124</v>
      </c>
      <c r="I388" s="389" t="s">
        <v>3970</v>
      </c>
      <c r="J388" s="139" t="s">
        <v>4235</v>
      </c>
      <c r="K388" s="51" t="s">
        <v>1246</v>
      </c>
      <c r="L388" s="4">
        <v>45188</v>
      </c>
      <c r="M388" s="140">
        <v>1</v>
      </c>
      <c r="P388" s="4" t="s">
        <v>4233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2744</v>
      </c>
      <c r="B389" s="114" t="str">
        <f>VLOOKUP(A389,'Data pick slip'!B:F,5,FALSE)</f>
        <v>KHJ-MC100-00</v>
      </c>
      <c r="F389" s="157" t="s">
        <v>1381</v>
      </c>
      <c r="H389" s="138">
        <v>1981</v>
      </c>
      <c r="I389" s="140" t="str">
        <f>VLOOKUP(H389,Stock_list!A:R,18,FALSE)</f>
        <v>菲帆</v>
      </c>
      <c r="J389" s="139" t="str">
        <f>VLOOKUP(H389,Stock_list!A:S,17,FALSE)</f>
        <v>C49SZX20230101R1DM</v>
      </c>
      <c r="K389" s="51" t="str">
        <f>VLOOKUP(H389,Stock_list!A:T,16,FALSE)</f>
        <v>JPY</v>
      </c>
      <c r="L389" s="4">
        <v>45225</v>
      </c>
      <c r="M389" s="140">
        <v>14</v>
      </c>
      <c r="P389" s="4" t="str">
        <f>VLOOKUP(H389,Stock_list!A:Y,25,FALSE)</f>
        <v>Yes</v>
      </c>
      <c r="Q389" s="143"/>
      <c r="T389" s="144"/>
      <c r="U389" s="145" t="str">
        <f>VLOOKUP(H389,Stock_list!A:N,14,FALSE)</f>
        <v>OCT 23</v>
      </c>
    </row>
    <row r="390" spans="1:21" ht="16.5" customHeight="1">
      <c r="A390" s="159" t="s">
        <v>2749</v>
      </c>
      <c r="B390" s="114" t="str">
        <f>VLOOKUP(A390,'Data pick slip'!B:F,5,FALSE)</f>
        <v>KHJ-MC500-00</v>
      </c>
      <c r="F390" s="157" t="s">
        <v>1381</v>
      </c>
      <c r="H390" s="138">
        <v>1981</v>
      </c>
      <c r="I390" s="140" t="str">
        <f>VLOOKUP(H390,Stock_list!A:R,18,FALSE)</f>
        <v>菲帆</v>
      </c>
      <c r="J390" s="139" t="str">
        <f>VLOOKUP(H390,Stock_list!A:S,17,FALSE)</f>
        <v>C49SZX20230101R1DM</v>
      </c>
      <c r="K390" s="51" t="str">
        <f>VLOOKUP(H390,Stock_list!A:T,16,FALSE)</f>
        <v>JPY</v>
      </c>
      <c r="L390" s="4">
        <v>45225</v>
      </c>
      <c r="M390" s="140">
        <v>2</v>
      </c>
      <c r="P390" s="4" t="str">
        <f>VLOOKUP(H390,Stock_list!A:Y,25,FALSE)</f>
        <v>Yes</v>
      </c>
      <c r="Q390" s="143"/>
      <c r="T390" s="144"/>
      <c r="U390" s="145" t="str">
        <f>VLOOKUP(H390,Stock_list!A:N,14,FALSE)</f>
        <v>OCT 23</v>
      </c>
    </row>
    <row r="391" spans="1:21" ht="16.5" customHeight="1">
      <c r="A391" s="159" t="s">
        <v>2756</v>
      </c>
      <c r="B391" s="114" t="str">
        <f>VLOOKUP(A391,'Data pick slip'!B:F,5,FALSE)</f>
        <v>KLJ-MC200-00</v>
      </c>
      <c r="F391" s="157" t="s">
        <v>1381</v>
      </c>
      <c r="H391" s="138" t="s">
        <v>4241</v>
      </c>
      <c r="I391" s="140">
        <v>66</v>
      </c>
      <c r="J391" s="267" t="s">
        <v>4242</v>
      </c>
      <c r="K391" s="51" t="s">
        <v>4243</v>
      </c>
      <c r="L391" s="4">
        <v>45191</v>
      </c>
      <c r="M391" s="140">
        <v>1</v>
      </c>
      <c r="P391" s="4" t="s">
        <v>4138</v>
      </c>
      <c r="Q391" s="143"/>
      <c r="S391" s="543" t="s">
        <v>4390</v>
      </c>
      <c r="T391" s="144"/>
      <c r="U391" s="145" t="e">
        <f>VLOOKUP(H391,Stock_list!A:N,14,FALSE)</f>
        <v>#N/A</v>
      </c>
    </row>
    <row r="392" spans="1:21" ht="16.5" customHeight="1">
      <c r="A392" s="159" t="s">
        <v>2744</v>
      </c>
      <c r="B392" s="114" t="str">
        <f>VLOOKUP(A392,'Data pick slip'!B:F,5,FALSE)</f>
        <v>KHJ-MC100-00</v>
      </c>
      <c r="F392" s="157" t="s">
        <v>2753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>
        <f>VLOOKUP(H392,Stock_list!A:N,14,FALSE)</f>
        <v>0</v>
      </c>
    </row>
    <row r="393" spans="1:21" ht="16.5" customHeight="1">
      <c r="A393" s="159" t="s">
        <v>2747</v>
      </c>
      <c r="B393" s="114" t="str">
        <f>VLOOKUP(A393,'Data pick slip'!B:F,5,FALSE)</f>
        <v>KHJ-MC200-00</v>
      </c>
      <c r="F393" s="157" t="s">
        <v>2753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>
        <f>VLOOKUP(H393,Stock_list!A:N,14,FALSE)</f>
        <v>0</v>
      </c>
    </row>
    <row r="394" spans="1:21" ht="16.5" customHeight="1">
      <c r="A394" s="159" t="s">
        <v>2748</v>
      </c>
      <c r="B394" s="114" t="str">
        <f>VLOOKUP(A394,'Data pick slip'!B:F,5,FALSE)</f>
        <v>KHJ-MC400-00</v>
      </c>
      <c r="F394" s="157" t="s">
        <v>2753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>
        <f>VLOOKUP(H394,Stock_list!A:N,14,FALSE)</f>
        <v>0</v>
      </c>
    </row>
    <row r="395" spans="1:21" ht="16.5" customHeight="1">
      <c r="A395" s="159" t="s">
        <v>2749</v>
      </c>
      <c r="B395" s="114" t="str">
        <f>VLOOKUP(A395,'Data pick slip'!B:F,5,FALSE)</f>
        <v>KHJ-MC500-00</v>
      </c>
      <c r="F395" s="157" t="s">
        <v>2753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>
        <f>VLOOKUP(H395,Stock_list!A:N,14,FALSE)</f>
        <v>0</v>
      </c>
    </row>
    <row r="396" spans="1:21" ht="16.5" customHeight="1">
      <c r="A396" s="159" t="s">
        <v>2750</v>
      </c>
      <c r="B396" s="114" t="str">
        <f>VLOOKUP(A396,'Data pick slip'!B:F,5,FALSE)</f>
        <v>KHJ-MC600-00</v>
      </c>
      <c r="F396" s="157" t="s">
        <v>2753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>
        <f>VLOOKUP(H396,Stock_list!A:N,14,FALSE)</f>
        <v>0</v>
      </c>
    </row>
    <row r="397" spans="1:21" ht="16.5" customHeight="1">
      <c r="A397" s="159" t="s">
        <v>2751</v>
      </c>
      <c r="B397" s="114" t="str">
        <f>VLOOKUP(A397,'Data pick slip'!B:F,5,FALSE)</f>
        <v>KHJ-MC700-00</v>
      </c>
      <c r="F397" s="157" t="s">
        <v>2753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>
        <f>VLOOKUP(H397,Stock_list!A:N,14,FALSE)</f>
        <v>0</v>
      </c>
    </row>
    <row r="398" spans="1:21" ht="16.5" customHeight="1">
      <c r="A398" s="159" t="s">
        <v>2757</v>
      </c>
      <c r="B398" s="114" t="str">
        <f>VLOOKUP(A398,'Data pick slip'!B:F,5,FALSE)</f>
        <v>KLJ-MC400-00</v>
      </c>
      <c r="F398" s="157" t="s">
        <v>2753</v>
      </c>
      <c r="H398" s="138" t="s">
        <v>4291</v>
      </c>
      <c r="I398" s="140">
        <v>66</v>
      </c>
      <c r="J398" s="267" t="s">
        <v>4293</v>
      </c>
      <c r="K398" s="51" t="s">
        <v>4292</v>
      </c>
      <c r="L398" s="4">
        <v>45197</v>
      </c>
      <c r="M398" s="140">
        <v>1</v>
      </c>
      <c r="P398" s="4" t="s">
        <v>4138</v>
      </c>
      <c r="Q398" s="143"/>
      <c r="S398" s="123" t="s">
        <v>4294</v>
      </c>
      <c r="T398" s="144"/>
      <c r="U398" s="145" t="e">
        <f>VLOOKUP(H398,Stock_list!A:N,14,FALSE)</f>
        <v>#N/A</v>
      </c>
    </row>
    <row r="399" spans="1:21" ht="16.5" customHeight="1">
      <c r="A399" s="159" t="s">
        <v>2755</v>
      </c>
      <c r="B399" s="114" t="str">
        <f>VLOOKUP(A399,'Data pick slip'!B:F,5,FALSE)</f>
        <v>KLJ-MC100-00</v>
      </c>
      <c r="F399" s="157" t="s">
        <v>2753</v>
      </c>
      <c r="H399" s="138" t="s">
        <v>4291</v>
      </c>
      <c r="I399" s="140">
        <v>66</v>
      </c>
      <c r="J399" s="139" t="s">
        <v>4295</v>
      </c>
      <c r="K399" s="51" t="s">
        <v>4296</v>
      </c>
      <c r="L399" s="4">
        <v>45206</v>
      </c>
      <c r="M399" s="140">
        <v>30</v>
      </c>
      <c r="P399" s="4" t="s">
        <v>4356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2756</v>
      </c>
      <c r="B400" s="114" t="str">
        <f>VLOOKUP(A400,'Data pick slip'!B:F,5,FALSE)</f>
        <v>KLJ-MC200-00</v>
      </c>
      <c r="F400" s="157" t="s">
        <v>2753</v>
      </c>
      <c r="H400" s="138" t="s">
        <v>4291</v>
      </c>
      <c r="I400" s="140">
        <v>66</v>
      </c>
      <c r="J400" s="139" t="s">
        <v>4295</v>
      </c>
      <c r="K400" s="51" t="s">
        <v>4296</v>
      </c>
      <c r="L400" s="4">
        <v>45206</v>
      </c>
      <c r="M400" s="140">
        <v>3</v>
      </c>
      <c r="P400" s="4" t="s">
        <v>4356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2757</v>
      </c>
      <c r="B401" s="114" t="str">
        <f>VLOOKUP(A401,'Data pick slip'!B:F,5,FALSE)</f>
        <v>KLJ-MC400-00</v>
      </c>
      <c r="F401" s="157" t="s">
        <v>2753</v>
      </c>
      <c r="H401" s="138" t="s">
        <v>4291</v>
      </c>
      <c r="I401" s="140">
        <v>66</v>
      </c>
      <c r="J401" s="139" t="s">
        <v>4295</v>
      </c>
      <c r="K401" s="51" t="s">
        <v>4296</v>
      </c>
      <c r="L401" s="4">
        <v>45206</v>
      </c>
      <c r="M401" s="140">
        <v>3</v>
      </c>
      <c r="P401" s="4" t="s">
        <v>4356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2755</v>
      </c>
      <c r="B402" s="114" t="str">
        <f>VLOOKUP(A402,'Data pick slip'!B:F,5,FALSE)</f>
        <v>KLJ-MC100-00</v>
      </c>
      <c r="F402" s="157" t="s">
        <v>2753</v>
      </c>
      <c r="H402" s="138" t="s">
        <v>4326</v>
      </c>
      <c r="I402" s="140">
        <v>66</v>
      </c>
      <c r="J402" s="270" t="s">
        <v>4325</v>
      </c>
      <c r="K402" s="51" t="s">
        <v>1246</v>
      </c>
      <c r="L402" s="4">
        <v>45208</v>
      </c>
      <c r="M402" s="140">
        <v>9</v>
      </c>
      <c r="P402" s="4" t="s">
        <v>4139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2757</v>
      </c>
      <c r="B403" s="114" t="str">
        <f>VLOOKUP(A403,'Data pick slip'!B:F,5,FALSE)</f>
        <v>KLJ-MC400-00</v>
      </c>
      <c r="F403" s="157" t="s">
        <v>2753</v>
      </c>
      <c r="H403" s="138" t="s">
        <v>4326</v>
      </c>
      <c r="I403" s="140">
        <v>66</v>
      </c>
      <c r="J403" s="270" t="s">
        <v>4325</v>
      </c>
      <c r="K403" s="51" t="s">
        <v>1246</v>
      </c>
      <c r="L403" s="4">
        <v>45208</v>
      </c>
      <c r="M403" s="140">
        <v>1</v>
      </c>
      <c r="P403" s="4" t="s">
        <v>4139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2756</v>
      </c>
      <c r="B404" s="114" t="str">
        <f>VLOOKUP(A404,'Data pick slip'!B:F,5,FALSE)</f>
        <v>KLJ-MC200-00</v>
      </c>
      <c r="F404" s="157" t="s">
        <v>2753</v>
      </c>
      <c r="H404" s="138" t="s">
        <v>4124</v>
      </c>
      <c r="I404" s="140">
        <v>66</v>
      </c>
      <c r="J404" t="s">
        <v>4328</v>
      </c>
      <c r="K404" s="51" t="s">
        <v>1246</v>
      </c>
      <c r="L404" s="4">
        <v>45209</v>
      </c>
      <c r="M404" s="140">
        <v>5</v>
      </c>
      <c r="P404" s="4" t="s">
        <v>4139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2755</v>
      </c>
      <c r="B405" s="280" t="str">
        <f>VLOOKUP(A405,'Data pick slip'!B:F,5,FALSE)</f>
        <v>KLJ-MC100-00</v>
      </c>
      <c r="F405" s="157" t="s">
        <v>1381</v>
      </c>
      <c r="I405" s="389" t="s">
        <v>3970</v>
      </c>
      <c r="J405" s="139" t="s">
        <v>4235</v>
      </c>
      <c r="K405" s="51" t="s">
        <v>4345</v>
      </c>
      <c r="L405" s="4">
        <v>45222</v>
      </c>
      <c r="M405" s="140">
        <v>9</v>
      </c>
      <c r="P405" s="4" t="s">
        <v>291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2757</v>
      </c>
      <c r="B406" s="280" t="str">
        <f>VLOOKUP(A406,'Data pick slip'!B:F,5,FALSE)</f>
        <v>KLJ-MC400-00</v>
      </c>
      <c r="F406" s="157" t="s">
        <v>1381</v>
      </c>
      <c r="I406" s="389" t="s">
        <v>3970</v>
      </c>
      <c r="J406" s="139" t="s">
        <v>4235</v>
      </c>
      <c r="K406" s="51" t="s">
        <v>4345</v>
      </c>
      <c r="L406" s="4">
        <v>45222</v>
      </c>
      <c r="M406" s="140">
        <f>1+4</f>
        <v>5</v>
      </c>
      <c r="P406" s="4" t="s">
        <v>291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2756</v>
      </c>
      <c r="B407" s="280" t="str">
        <f>VLOOKUP(A407,'Data pick slip'!B:F,5,FALSE)</f>
        <v>KLJ-MC200-00</v>
      </c>
      <c r="F407" s="157" t="s">
        <v>1381</v>
      </c>
      <c r="I407" s="389" t="s">
        <v>3970</v>
      </c>
      <c r="J407" s="139" t="s">
        <v>4235</v>
      </c>
      <c r="K407" s="51" t="s">
        <v>4345</v>
      </c>
      <c r="L407" s="4">
        <v>45222</v>
      </c>
      <c r="M407" s="140">
        <v>5</v>
      </c>
      <c r="P407" s="4" t="s">
        <v>291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2757</v>
      </c>
      <c r="B408" s="114" t="str">
        <f>VLOOKUP(A408,'Data pick slip'!B:F,5,FALSE)</f>
        <v>KLJ-MC400-00</v>
      </c>
      <c r="F408" s="157" t="s">
        <v>2753</v>
      </c>
      <c r="H408" s="138" t="s">
        <v>4339</v>
      </c>
      <c r="I408" s="140">
        <v>66</v>
      </c>
      <c r="J408" s="267" t="s">
        <v>4341</v>
      </c>
      <c r="K408" s="51" t="s">
        <v>4340</v>
      </c>
      <c r="L408" s="4">
        <v>45215</v>
      </c>
      <c r="M408" s="140">
        <v>4</v>
      </c>
      <c r="P408" s="4" t="s">
        <v>4139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2744</v>
      </c>
      <c r="B409" s="114" t="str">
        <f>VLOOKUP(A409,'Data pick slip'!B:F,5,FALSE)</f>
        <v>KHJ-MC100-00</v>
      </c>
      <c r="F409" s="157" t="s">
        <v>1381</v>
      </c>
      <c r="H409" s="138" t="s">
        <v>4347</v>
      </c>
      <c r="I409" s="140">
        <v>66</v>
      </c>
      <c r="J409" s="267" t="s">
        <v>4346</v>
      </c>
      <c r="K409" s="51" t="s">
        <v>4348</v>
      </c>
      <c r="L409" s="4">
        <v>45223</v>
      </c>
      <c r="M409" s="140">
        <v>2</v>
      </c>
      <c r="P409" s="4" t="s">
        <v>4138</v>
      </c>
      <c r="Q409" s="143"/>
      <c r="S409" s="543" t="s">
        <v>4390</v>
      </c>
      <c r="T409" s="144"/>
      <c r="U409" s="145" t="e">
        <f>VLOOKUP(H409,Stock_list!A:N,14,FALSE)</f>
        <v>#N/A</v>
      </c>
    </row>
    <row r="410" spans="1:21" ht="16.5" customHeight="1">
      <c r="A410" s="159" t="s">
        <v>2744</v>
      </c>
      <c r="B410" s="114" t="str">
        <f>VLOOKUP(A410,'Data pick slip'!B:F,5,FALSE)</f>
        <v>KHJ-MC100-00</v>
      </c>
      <c r="F410" s="157" t="s">
        <v>1381</v>
      </c>
      <c r="H410" s="138">
        <v>1998</v>
      </c>
      <c r="I410" s="140" t="str">
        <f>VLOOKUP(H410,Stock_list!A:R,18,FALSE)</f>
        <v>骏孚</v>
      </c>
      <c r="J410" s="139" t="str">
        <f>VLOOKUP(H410,Stock_list!A:S,17,FALSE)</f>
        <v>C49SZX20230113EC</v>
      </c>
      <c r="K410" s="51" t="str">
        <f>VLOOKUP(H410,Stock_list!A:T,16,FALSE)</f>
        <v>JPY</v>
      </c>
      <c r="L410" s="290">
        <v>45236</v>
      </c>
      <c r="M410" s="143">
        <v>60</v>
      </c>
      <c r="P410" s="4" t="str">
        <f>VLOOKUP(H410,Stock_list!A:Y,25,FALSE)</f>
        <v>Yes</v>
      </c>
      <c r="T410" s="144"/>
      <c r="U410" s="145" t="str">
        <f>VLOOKUP(H410,Stock_list!A:N,14,FALSE)</f>
        <v>NOV 23</v>
      </c>
    </row>
    <row r="411" spans="1:21" ht="16.5" customHeight="1">
      <c r="A411" s="159" t="s">
        <v>2747</v>
      </c>
      <c r="B411" s="114" t="str">
        <f>VLOOKUP(A411,'Data pick slip'!B:F,5,FALSE)</f>
        <v>KHJ-MC200-00</v>
      </c>
      <c r="F411" s="157" t="s">
        <v>1381</v>
      </c>
      <c r="H411" s="138">
        <v>1998</v>
      </c>
      <c r="I411" s="140" t="str">
        <f>VLOOKUP(H411,Stock_list!A:R,18,FALSE)</f>
        <v>骏孚</v>
      </c>
      <c r="J411" s="139" t="str">
        <f>VLOOKUP(H411,Stock_list!A:S,17,FALSE)</f>
        <v>C49SZX20230113EC</v>
      </c>
      <c r="K411" s="51" t="str">
        <f>VLOOKUP(H411,Stock_list!A:T,16,FALSE)</f>
        <v>JPY</v>
      </c>
      <c r="L411" s="290">
        <v>45236</v>
      </c>
      <c r="M411" s="143">
        <v>10</v>
      </c>
      <c r="P411" s="4" t="str">
        <f>VLOOKUP(H411,Stock_list!A:Y,25,FALSE)</f>
        <v>Yes</v>
      </c>
      <c r="T411" s="144"/>
      <c r="U411" s="145" t="str">
        <f>VLOOKUP(H411,Stock_list!A:N,14,FALSE)</f>
        <v>NOV 23</v>
      </c>
    </row>
    <row r="412" spans="1:21" ht="16.5" customHeight="1">
      <c r="A412" s="159" t="s">
        <v>2749</v>
      </c>
      <c r="B412" s="114" t="str">
        <f>VLOOKUP(A412,'Data pick slip'!B:F,5,FALSE)</f>
        <v>KHJ-MC500-00</v>
      </c>
      <c r="F412" s="157" t="s">
        <v>1381</v>
      </c>
      <c r="H412" s="138">
        <v>1998</v>
      </c>
      <c r="I412" s="140" t="str">
        <f>VLOOKUP(H412,Stock_list!A:R,18,FALSE)</f>
        <v>骏孚</v>
      </c>
      <c r="J412" s="139" t="str">
        <f>VLOOKUP(H412,Stock_list!A:S,17,FALSE)</f>
        <v>C49SZX20230113EC</v>
      </c>
      <c r="K412" s="51" t="str">
        <f>VLOOKUP(H412,Stock_list!A:T,16,FALSE)</f>
        <v>JPY</v>
      </c>
      <c r="L412" s="290">
        <v>45236</v>
      </c>
      <c r="M412" s="143">
        <v>1</v>
      </c>
      <c r="P412" s="4" t="str">
        <f>VLOOKUP(H412,Stock_list!A:Y,25,FALSE)</f>
        <v>Yes</v>
      </c>
      <c r="T412" s="144"/>
      <c r="U412" s="145" t="str">
        <f>VLOOKUP(H412,Stock_list!A:N,14,FALSE)</f>
        <v>NOV 23</v>
      </c>
    </row>
    <row r="413" spans="1:21" ht="16.5" customHeight="1">
      <c r="A413" s="159" t="s">
        <v>2750</v>
      </c>
      <c r="B413" s="114" t="str">
        <f>VLOOKUP(A413,'Data pick slip'!B:F,5,FALSE)</f>
        <v>KHJ-MC600-00</v>
      </c>
      <c r="F413" s="157" t="s">
        <v>1381</v>
      </c>
      <c r="H413" s="138">
        <v>1998</v>
      </c>
      <c r="I413" s="140" t="str">
        <f>VLOOKUP(H413,Stock_list!A:R,18,FALSE)</f>
        <v>骏孚</v>
      </c>
      <c r="J413" s="139" t="str">
        <f>VLOOKUP(H413,Stock_list!A:S,17,FALSE)</f>
        <v>C49SZX20230113EC</v>
      </c>
      <c r="K413" s="51" t="str">
        <f>VLOOKUP(H413,Stock_list!A:T,16,FALSE)</f>
        <v>JPY</v>
      </c>
      <c r="L413" s="290">
        <v>45236</v>
      </c>
      <c r="M413" s="143">
        <v>1</v>
      </c>
      <c r="P413" s="4" t="str">
        <f>VLOOKUP(H413,Stock_list!A:Y,25,FALSE)</f>
        <v>Yes</v>
      </c>
      <c r="T413" s="144"/>
      <c r="U413" s="145" t="str">
        <f>VLOOKUP(H413,Stock_list!A:N,14,FALSE)</f>
        <v>NOV 23</v>
      </c>
    </row>
    <row r="414" spans="1:21" ht="16.5" customHeight="1">
      <c r="A414" s="159" t="s">
        <v>2755</v>
      </c>
      <c r="B414" s="114" t="str">
        <f>VLOOKUP(A414,'Data pick slip'!B:F,5,FALSE)</f>
        <v>KLJ-MC100-00</v>
      </c>
      <c r="F414" s="157" t="s">
        <v>2753</v>
      </c>
      <c r="H414" s="138" t="s">
        <v>4353</v>
      </c>
      <c r="I414" s="140">
        <v>66</v>
      </c>
      <c r="J414" s="267" t="s">
        <v>4354</v>
      </c>
      <c r="K414" s="51" t="s">
        <v>4355</v>
      </c>
      <c r="L414" s="4">
        <v>45229</v>
      </c>
      <c r="M414" s="140">
        <v>20</v>
      </c>
      <c r="P414" s="4" t="s">
        <v>4356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2756</v>
      </c>
      <c r="B415" s="114" t="str">
        <f>VLOOKUP(A415,'Data pick slip'!B:F,5,FALSE)</f>
        <v>KLJ-MC200-00</v>
      </c>
      <c r="F415" s="157" t="s">
        <v>2753</v>
      </c>
      <c r="H415" s="138" t="s">
        <v>4353</v>
      </c>
      <c r="I415" s="140">
        <v>66</v>
      </c>
      <c r="J415" s="267" t="s">
        <v>4354</v>
      </c>
      <c r="K415" s="51" t="s">
        <v>4355</v>
      </c>
      <c r="L415" s="4">
        <v>45229</v>
      </c>
      <c r="M415" s="140">
        <v>8</v>
      </c>
      <c r="P415" s="4" t="s">
        <v>4356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2757</v>
      </c>
      <c r="B416" s="114" t="str">
        <f>VLOOKUP(A416,'Data pick slip'!B:F,5,FALSE)</f>
        <v>KLJ-MC400-00</v>
      </c>
      <c r="F416" s="157" t="s">
        <v>2753</v>
      </c>
      <c r="H416" s="138" t="s">
        <v>4353</v>
      </c>
      <c r="I416" s="140">
        <v>66</v>
      </c>
      <c r="J416" s="267" t="s">
        <v>4354</v>
      </c>
      <c r="K416" s="51" t="s">
        <v>4355</v>
      </c>
      <c r="L416" s="4">
        <v>45229</v>
      </c>
      <c r="M416" s="140">
        <v>4</v>
      </c>
      <c r="P416" s="4" t="s">
        <v>4356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2744</v>
      </c>
      <c r="B417" s="114" t="str">
        <f>VLOOKUP(A417,'Data pick slip'!B:F,5,FALSE)</f>
        <v>KHJ-MC100-00</v>
      </c>
      <c r="F417" s="157" t="s">
        <v>2753</v>
      </c>
      <c r="I417" s="140" t="s">
        <v>4357</v>
      </c>
      <c r="J417" s="269" t="s">
        <v>4359</v>
      </c>
      <c r="K417" s="51" t="s">
        <v>4355</v>
      </c>
      <c r="L417" s="4">
        <v>45229</v>
      </c>
      <c r="O417" s="132">
        <f>1-1</f>
        <v>0</v>
      </c>
      <c r="P417" s="4" t="s">
        <v>4358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2755</v>
      </c>
      <c r="B418" s="114" t="str">
        <f>VLOOKUP(A418,'Data pick slip'!B:F,5,FALSE)</f>
        <v>KLJ-MC100-00</v>
      </c>
      <c r="F418" s="157" t="s">
        <v>2753</v>
      </c>
      <c r="I418" s="140" t="s">
        <v>4357</v>
      </c>
      <c r="J418" s="269" t="s">
        <v>4359</v>
      </c>
      <c r="K418" s="51" t="s">
        <v>1246</v>
      </c>
      <c r="L418" s="4">
        <v>45229</v>
      </c>
      <c r="O418" s="132">
        <f>30-30</f>
        <v>0</v>
      </c>
      <c r="P418" s="4" t="s">
        <v>291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2757</v>
      </c>
      <c r="B419" s="114" t="str">
        <f>VLOOKUP(A419,'Data pick slip'!B:F,5,FALSE)</f>
        <v>KLJ-MC400-00</v>
      </c>
      <c r="F419" s="157" t="s">
        <v>2753</v>
      </c>
      <c r="H419" s="138" t="s">
        <v>4361</v>
      </c>
      <c r="I419" s="140">
        <v>66</v>
      </c>
      <c r="J419" s="267" t="s">
        <v>4360</v>
      </c>
      <c r="K419" s="51" t="s">
        <v>4362</v>
      </c>
      <c r="L419" s="4">
        <v>45231</v>
      </c>
      <c r="M419" s="140">
        <v>1</v>
      </c>
      <c r="P419" s="4" t="s">
        <v>4363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2744</v>
      </c>
      <c r="B420" s="114" t="str">
        <f>VLOOKUP(A420,'Data pick slip'!B:F,5,FALSE)</f>
        <v>KHJ-MC100-00</v>
      </c>
      <c r="F420" s="157" t="s">
        <v>2753</v>
      </c>
      <c r="H420" s="138" t="s">
        <v>4365</v>
      </c>
      <c r="I420" s="140">
        <v>66</v>
      </c>
      <c r="J420" s="139" t="s">
        <v>4366</v>
      </c>
      <c r="K420" s="51" t="s">
        <v>4367</v>
      </c>
      <c r="L420" s="4">
        <v>45233</v>
      </c>
      <c r="M420" s="140">
        <v>30</v>
      </c>
      <c r="P420" s="4" t="s">
        <v>4368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2750</v>
      </c>
      <c r="B421" s="114" t="str">
        <f>VLOOKUP(A421,'Data pick slip'!B:F,5,FALSE)</f>
        <v>KHJ-MC600-00</v>
      </c>
      <c r="F421" s="157" t="s">
        <v>2753</v>
      </c>
      <c r="H421" s="138" t="s">
        <v>4365</v>
      </c>
      <c r="I421" s="140">
        <v>66</v>
      </c>
      <c r="J421" s="139" t="s">
        <v>4366</v>
      </c>
      <c r="K421" s="51" t="s">
        <v>4367</v>
      </c>
      <c r="L421" s="4">
        <v>45233</v>
      </c>
      <c r="M421" s="140">
        <v>1</v>
      </c>
      <c r="P421" s="4" t="s">
        <v>4368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2747</v>
      </c>
      <c r="B422" s="114" t="str">
        <f>VLOOKUP(A422,'Data pick slip'!B:F,5,FALSE)</f>
        <v>KHJ-MC200-00</v>
      </c>
      <c r="F422" s="157" t="s">
        <v>2753</v>
      </c>
      <c r="H422" s="138" t="s">
        <v>4370</v>
      </c>
      <c r="I422" s="140">
        <v>66</v>
      </c>
      <c r="J422" s="139" t="s">
        <v>4369</v>
      </c>
      <c r="K422" s="51" t="s">
        <v>4367</v>
      </c>
      <c r="L422" s="4">
        <v>45232</v>
      </c>
      <c r="M422" s="140">
        <v>5</v>
      </c>
      <c r="P422" s="4" t="s">
        <v>4368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2748</v>
      </c>
      <c r="B423" s="114" t="str">
        <f>VLOOKUP(A423,'Data pick slip'!B:F,5,FALSE)</f>
        <v>KHJ-MC400-00</v>
      </c>
      <c r="F423" s="157" t="s">
        <v>2753</v>
      </c>
      <c r="H423" s="138" t="s">
        <v>4370</v>
      </c>
      <c r="I423" s="140">
        <v>66</v>
      </c>
      <c r="J423" s="139" t="s">
        <v>4369</v>
      </c>
      <c r="K423" s="51" t="s">
        <v>4367</v>
      </c>
      <c r="L423" s="4">
        <v>45232</v>
      </c>
      <c r="M423" s="140">
        <v>5</v>
      </c>
      <c r="P423" s="4" t="s">
        <v>4368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2744</v>
      </c>
      <c r="B424" s="114" t="str">
        <f>VLOOKUP(A424,'Data pick slip'!B:F,5,FALSE)</f>
        <v>KHJ-MC100-00</v>
      </c>
      <c r="F424" s="157" t="s">
        <v>2753</v>
      </c>
      <c r="H424" s="138">
        <v>1999</v>
      </c>
      <c r="I424" s="140" t="str">
        <f>VLOOKUP(H424,Stock_list!A:R,18,FALSE)</f>
        <v>易通</v>
      </c>
      <c r="J424" s="139" t="str">
        <f>VLOOKUP(H424,Stock_list!A:S,17,FALSE)</f>
        <v>C49SZX20230118SS</v>
      </c>
      <c r="K424" s="51" t="str">
        <f>VLOOKUP(H424,Stock_list!A:T,16,FALSE)</f>
        <v>RMB</v>
      </c>
      <c r="L424" s="4">
        <v>45251</v>
      </c>
      <c r="M424" s="140">
        <v>10</v>
      </c>
      <c r="P424" s="4" t="str">
        <f>VLOOKUP(H424,Stock_list!A:Y,25,FALSE)</f>
        <v>Yes</v>
      </c>
      <c r="Q424" s="143"/>
      <c r="T424" s="144"/>
      <c r="U424" s="145" t="str">
        <f>VLOOKUP(H424,Stock_list!A:N,14,FALSE)</f>
        <v>NOV 23</v>
      </c>
    </row>
    <row r="425" spans="1:21" ht="16.5" customHeight="1">
      <c r="A425" s="159" t="s">
        <v>2744</v>
      </c>
      <c r="B425" s="114" t="str">
        <f>VLOOKUP(A425,'Data pick slip'!B:F,5,FALSE)</f>
        <v>KHJ-MC100-00</v>
      </c>
      <c r="F425" s="157" t="s">
        <v>1381</v>
      </c>
      <c r="H425" s="138">
        <v>2017</v>
      </c>
      <c r="I425" s="140" t="str">
        <f>VLOOKUP(H425,Stock_list!A:R,18,FALSE)</f>
        <v>兴开泰（end user:兴连）</v>
      </c>
      <c r="J425" s="139" t="str">
        <f>VLOOKUP(H425,Stock_list!A:S,17,FALSE)</f>
        <v>C49SZX20230111SX</v>
      </c>
      <c r="K425" s="51" t="str">
        <f>VLOOKUP(H425,Stock_list!A:T,16,FALSE)</f>
        <v>JPY</v>
      </c>
      <c r="L425" s="4">
        <v>45323</v>
      </c>
      <c r="M425" s="143">
        <v>120</v>
      </c>
      <c r="P425" s="4" t="str">
        <f>VLOOKUP(H425,Stock_list!A:Y,25,FALSE)</f>
        <v>Yes</v>
      </c>
      <c r="T425" s="144"/>
      <c r="U425" s="145" t="str">
        <f>VLOOKUP(H425,Stock_list!A:N,14,FALSE)</f>
        <v>JAN 24</v>
      </c>
    </row>
    <row r="426" spans="1:21" ht="16.5" customHeight="1">
      <c r="A426" s="159" t="s">
        <v>2747</v>
      </c>
      <c r="B426" s="114" t="str">
        <f>VLOOKUP(A426,'Data pick slip'!B:F,5,FALSE)</f>
        <v>KHJ-MC200-00</v>
      </c>
      <c r="F426" s="157" t="s">
        <v>1381</v>
      </c>
      <c r="H426" s="138">
        <v>2017</v>
      </c>
      <c r="I426" s="140" t="str">
        <f>VLOOKUP(H426,Stock_list!A:R,18,FALSE)</f>
        <v>兴开泰（end user:兴连）</v>
      </c>
      <c r="J426" s="139" t="str">
        <f>VLOOKUP(H426,Stock_list!A:S,17,FALSE)</f>
        <v>C49SZX20230111SX</v>
      </c>
      <c r="K426" s="51" t="str">
        <f>VLOOKUP(H426,Stock_list!A:T,16,FALSE)</f>
        <v>JPY</v>
      </c>
      <c r="L426" s="4">
        <v>45323</v>
      </c>
      <c r="M426" s="143">
        <v>11</v>
      </c>
      <c r="N426" s="146"/>
      <c r="P426" s="4" t="str">
        <f>VLOOKUP(H426,Stock_list!A:Y,25,FALSE)</f>
        <v>Yes</v>
      </c>
      <c r="T426" s="144"/>
      <c r="U426" s="145" t="str">
        <f>VLOOKUP(H426,Stock_list!A:N,14,FALSE)</f>
        <v>JAN 24</v>
      </c>
    </row>
    <row r="427" spans="1:21" ht="16.5" customHeight="1">
      <c r="A427" s="159" t="s">
        <v>2747</v>
      </c>
      <c r="B427" s="114" t="str">
        <f>VLOOKUP(A427,'Data pick slip'!B:F,5,FALSE)</f>
        <v>KHJ-MC200-00</v>
      </c>
      <c r="F427" s="157" t="s">
        <v>2753</v>
      </c>
      <c r="H427" s="138">
        <v>2017</v>
      </c>
      <c r="I427" s="832" t="str">
        <f>VLOOKUP(H427,Stock_list!A:R,18,FALSE)</f>
        <v>兴开泰（end user:兴连）</v>
      </c>
      <c r="J427" s="833" t="str">
        <f>VLOOKUP(H427,Stock_list!A:S,17,FALSE)</f>
        <v>C49SZX20230111SX</v>
      </c>
      <c r="K427" s="834" t="str">
        <f>VLOOKUP(H427,Stock_list!A:T,16,FALSE)</f>
        <v>JPY</v>
      </c>
      <c r="L427" s="835">
        <v>45323</v>
      </c>
      <c r="M427" s="836">
        <v>69</v>
      </c>
      <c r="N427" s="837"/>
      <c r="O427" s="838"/>
      <c r="P427" s="835" t="str">
        <f>VLOOKUP(H427,Stock_list!A:Y,25,FALSE)</f>
        <v>Yes</v>
      </c>
      <c r="Q427" s="838"/>
      <c r="R427" s="839"/>
      <c r="S427" s="840" t="s">
        <v>4548</v>
      </c>
      <c r="T427" s="144"/>
      <c r="U427" s="145" t="str">
        <f>VLOOKUP(H427,Stock_list!A:N,14,FALSE)</f>
        <v>JAN 24</v>
      </c>
    </row>
    <row r="428" spans="1:21" ht="16.5" customHeight="1">
      <c r="A428" s="159" t="s">
        <v>2748</v>
      </c>
      <c r="B428" s="114" t="str">
        <f>VLOOKUP(A428,'Data pick slip'!B:F,5,FALSE)</f>
        <v>KHJ-MC400-00</v>
      </c>
      <c r="F428" s="157" t="s">
        <v>2753</v>
      </c>
      <c r="H428" s="138">
        <v>2017</v>
      </c>
      <c r="I428" s="832" t="str">
        <f>VLOOKUP(H428,Stock_list!A:R,18,FALSE)</f>
        <v>兴开泰（end user:兴连）</v>
      </c>
      <c r="J428" s="833" t="str">
        <f>VLOOKUP(H428,Stock_list!A:S,17,FALSE)</f>
        <v>C49SZX20230111SX</v>
      </c>
      <c r="K428" s="834" t="str">
        <f>VLOOKUP(H428,Stock_list!A:T,16,FALSE)</f>
        <v>JPY</v>
      </c>
      <c r="L428" s="835">
        <v>45323</v>
      </c>
      <c r="M428" s="836">
        <v>20</v>
      </c>
      <c r="N428" s="837"/>
      <c r="O428" s="838"/>
      <c r="P428" s="835" t="str">
        <f>VLOOKUP(H428,Stock_list!A:Y,25,FALSE)</f>
        <v>Yes</v>
      </c>
      <c r="Q428" s="838"/>
      <c r="R428" s="839"/>
      <c r="S428" s="840" t="s">
        <v>4548</v>
      </c>
      <c r="T428" s="144"/>
      <c r="U428" s="145" t="str">
        <f>VLOOKUP(H428,Stock_list!A:N,14,FALSE)</f>
        <v>JAN 24</v>
      </c>
    </row>
    <row r="429" spans="1:21" ht="16.5" customHeight="1">
      <c r="A429" s="159" t="s">
        <v>2749</v>
      </c>
      <c r="B429" s="114" t="str">
        <f>VLOOKUP(A429,'Data pick slip'!B:F,5,FALSE)</f>
        <v>KHJ-MC500-00</v>
      </c>
      <c r="F429" s="157" t="s">
        <v>1381</v>
      </c>
      <c r="H429" s="138">
        <v>2017</v>
      </c>
      <c r="I429" s="140" t="str">
        <f>VLOOKUP(H429,Stock_list!A:R,18,FALSE)</f>
        <v>兴开泰（end user:兴连）</v>
      </c>
      <c r="J429" s="139" t="str">
        <f>VLOOKUP(H429,Stock_list!A:S,17,FALSE)</f>
        <v>C49SZX20230111SX</v>
      </c>
      <c r="K429" s="51" t="str">
        <f>VLOOKUP(H429,Stock_list!A:T,16,FALSE)</f>
        <v>JPY</v>
      </c>
      <c r="L429" s="4">
        <v>45323</v>
      </c>
      <c r="M429" s="143">
        <v>4</v>
      </c>
      <c r="N429" s="146"/>
      <c r="P429" s="4" t="str">
        <f>VLOOKUP(H429,Stock_list!A:Y,25,FALSE)</f>
        <v>Yes</v>
      </c>
      <c r="T429" s="144"/>
      <c r="U429" s="145" t="str">
        <f>VLOOKUP(H429,Stock_list!A:N,14,FALSE)</f>
        <v>JAN 24</v>
      </c>
    </row>
    <row r="430" spans="1:21" ht="16.5" customHeight="1">
      <c r="A430" s="159" t="s">
        <v>2750</v>
      </c>
      <c r="B430" s="114" t="str">
        <f>VLOOKUP(A430,'Data pick slip'!B:F,5,FALSE)</f>
        <v>KHJ-MC600-00</v>
      </c>
      <c r="F430" s="157" t="s">
        <v>1381</v>
      </c>
      <c r="H430" s="138">
        <v>2017</v>
      </c>
      <c r="I430" s="140" t="str">
        <f>VLOOKUP(H430,Stock_list!A:R,18,FALSE)</f>
        <v>兴开泰（end user:兴连）</v>
      </c>
      <c r="J430" s="139" t="str">
        <f>VLOOKUP(H430,Stock_list!A:S,17,FALSE)</f>
        <v>C49SZX20230111SX</v>
      </c>
      <c r="K430" s="51" t="str">
        <f>VLOOKUP(H430,Stock_list!A:T,16,FALSE)</f>
        <v>JPY</v>
      </c>
      <c r="L430" s="4">
        <v>45323</v>
      </c>
      <c r="M430" s="143">
        <v>2</v>
      </c>
      <c r="N430" s="146"/>
      <c r="P430" s="4" t="str">
        <f>VLOOKUP(H430,Stock_list!A:Y,25,FALSE)</f>
        <v>Yes</v>
      </c>
      <c r="T430" s="144"/>
      <c r="U430" s="145" t="str">
        <f>VLOOKUP(H430,Stock_list!A:N,14,FALSE)</f>
        <v>JAN 24</v>
      </c>
    </row>
    <row r="431" spans="1:21" ht="16.5" customHeight="1">
      <c r="A431" s="159" t="s">
        <v>2744</v>
      </c>
      <c r="B431" s="114" t="str">
        <f>VLOOKUP(A431,'Data pick slip'!B:F,5,FALSE)</f>
        <v>KHJ-MC100-00</v>
      </c>
      <c r="F431" s="157" t="s">
        <v>1381</v>
      </c>
      <c r="H431" s="138">
        <v>2018</v>
      </c>
      <c r="I431" s="140" t="str">
        <f>VLOOKUP(H431,Stock_list!A:R,18,FALSE)</f>
        <v>永顺创</v>
      </c>
      <c r="J431" s="139" t="str">
        <f>VLOOKUP(H431,Stock_list!A:S,17,FALSE)</f>
        <v>C49SZX20230123SX</v>
      </c>
      <c r="K431" s="51" t="str">
        <f>VLOOKUP(H431,Stock_list!A:T,16,FALSE)</f>
        <v>JPY</v>
      </c>
      <c r="L431" s="4">
        <v>45257</v>
      </c>
      <c r="M431" s="140">
        <v>5</v>
      </c>
      <c r="P431" s="4" t="str">
        <f>VLOOKUP(H431,Stock_list!A:Y,25,FALSE)</f>
        <v>Yes</v>
      </c>
      <c r="Q431" s="143"/>
      <c r="T431" s="144"/>
      <c r="U431" s="145" t="str">
        <f>VLOOKUP(H431,Stock_list!A:N,14,FALSE)</f>
        <v>NOV 23</v>
      </c>
    </row>
    <row r="432" spans="1:21" ht="16.5" customHeight="1">
      <c r="A432" s="159" t="s">
        <v>2755</v>
      </c>
      <c r="B432" s="114" t="str">
        <f>VLOOKUP(A432,'Data pick slip'!B:F,5,FALSE)</f>
        <v>KLJ-MC100-00</v>
      </c>
      <c r="F432" s="157" t="s">
        <v>2753</v>
      </c>
      <c r="H432" s="138" t="s">
        <v>4387</v>
      </c>
      <c r="I432" s="140">
        <v>66</v>
      </c>
      <c r="J432" s="267" t="s">
        <v>4389</v>
      </c>
      <c r="K432" s="51" t="s">
        <v>4388</v>
      </c>
      <c r="L432" s="4">
        <v>45246</v>
      </c>
      <c r="M432" s="140">
        <v>200</v>
      </c>
      <c r="P432" s="4" t="s">
        <v>4356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2755</v>
      </c>
      <c r="B433" s="114" t="str">
        <f>VLOOKUP(A433,'Data pick slip'!B:F,5,FALSE)</f>
        <v>KLJ-MC100-00</v>
      </c>
      <c r="F433" s="157" t="s">
        <v>2753</v>
      </c>
      <c r="H433" s="138" t="s">
        <v>4387</v>
      </c>
      <c r="I433" s="140">
        <v>66</v>
      </c>
      <c r="J433" s="267" t="s">
        <v>4391</v>
      </c>
      <c r="K433" s="51" t="s">
        <v>4388</v>
      </c>
      <c r="L433" s="4">
        <v>45246</v>
      </c>
      <c r="M433" s="140">
        <v>45</v>
      </c>
      <c r="P433" s="4" t="s">
        <v>4138</v>
      </c>
      <c r="Q433" s="143"/>
      <c r="S433" s="543" t="s">
        <v>4399</v>
      </c>
      <c r="T433" s="144"/>
      <c r="U433" s="145" t="e">
        <f>VLOOKUP(H433,Stock_list!A:N,14,FALSE)</f>
        <v>#N/A</v>
      </c>
    </row>
    <row r="434" spans="1:21" ht="16.5" customHeight="1">
      <c r="A434" s="159" t="s">
        <v>2755</v>
      </c>
      <c r="B434" s="114" t="str">
        <f>VLOOKUP(A434,'Data pick slip'!B:F,5,FALSE)</f>
        <v>KLJ-MC100-00</v>
      </c>
      <c r="F434" s="157" t="s">
        <v>1381</v>
      </c>
      <c r="H434" s="138" t="s">
        <v>4387</v>
      </c>
      <c r="I434" s="140">
        <v>66</v>
      </c>
      <c r="J434" s="267" t="s">
        <v>4391</v>
      </c>
      <c r="K434" s="51" t="s">
        <v>4388</v>
      </c>
      <c r="L434" s="4">
        <v>45246</v>
      </c>
      <c r="M434" s="140">
        <v>55</v>
      </c>
      <c r="P434" s="4" t="s">
        <v>4138</v>
      </c>
      <c r="Q434" s="143"/>
      <c r="S434" s="543" t="s">
        <v>4390</v>
      </c>
      <c r="T434" s="144"/>
      <c r="U434" s="145" t="e">
        <f>VLOOKUP(H434,Stock_list!A:N,14,FALSE)</f>
        <v>#N/A</v>
      </c>
    </row>
    <row r="435" spans="1:21" ht="16.5" customHeight="1">
      <c r="A435" s="159" t="s">
        <v>2744</v>
      </c>
      <c r="B435" s="114" t="str">
        <f>VLOOKUP(A435,'Data pick slip'!B:F,5,FALSE)</f>
        <v>KHJ-MC100-00</v>
      </c>
      <c r="F435" s="157" t="s">
        <v>1381</v>
      </c>
      <c r="H435" s="138">
        <v>2023</v>
      </c>
      <c r="I435" s="140" t="str">
        <f>VLOOKUP(H435,Stock_list!A:R,18,FALSE)</f>
        <v>江西奕东</v>
      </c>
      <c r="J435" s="139" t="str">
        <f>VLOOKUP(H435,Stock_list!A:S,17,FALSE)</f>
        <v>C49SZX20230128SX</v>
      </c>
      <c r="K435" s="51" t="str">
        <f>VLOOKUP(H435,Stock_list!A:T,16,FALSE)</f>
        <v>JPY</v>
      </c>
      <c r="L435" s="4">
        <v>45254</v>
      </c>
      <c r="M435" s="140">
        <v>24</v>
      </c>
      <c r="P435" s="4" t="str">
        <f>VLOOKUP(H435,Stock_list!A:Y,25,FALSE)</f>
        <v>Yes</v>
      </c>
      <c r="Q435" s="143"/>
      <c r="T435" s="144"/>
      <c r="U435" s="145" t="str">
        <f>VLOOKUP(H435,Stock_list!A:N,14,FALSE)</f>
        <v>NOV 23</v>
      </c>
    </row>
    <row r="436" spans="1:21" ht="16.5" customHeight="1">
      <c r="A436" s="159" t="s">
        <v>2747</v>
      </c>
      <c r="B436" s="114" t="str">
        <f>VLOOKUP(A436,'Data pick slip'!B:F,5,FALSE)</f>
        <v>KHJ-MC200-00</v>
      </c>
      <c r="F436" s="157" t="s">
        <v>1381</v>
      </c>
      <c r="H436" s="138">
        <v>2023</v>
      </c>
      <c r="I436" s="140" t="str">
        <f>VLOOKUP(H436,Stock_list!A:R,18,FALSE)</f>
        <v>江西奕东</v>
      </c>
      <c r="J436" s="139" t="str">
        <f>VLOOKUP(H436,Stock_list!A:S,17,FALSE)</f>
        <v>C49SZX20230128SX</v>
      </c>
      <c r="K436" s="51" t="str">
        <f>VLOOKUP(H436,Stock_list!A:T,16,FALSE)</f>
        <v>JPY</v>
      </c>
      <c r="L436" s="4">
        <v>45254</v>
      </c>
      <c r="M436" s="140">
        <v>20</v>
      </c>
      <c r="P436" s="4" t="str">
        <f>VLOOKUP(H436,Stock_list!A:Y,25,FALSE)</f>
        <v>Yes</v>
      </c>
      <c r="Q436" s="143"/>
      <c r="T436" s="144"/>
      <c r="U436" s="145" t="str">
        <f>VLOOKUP(H436,Stock_list!A:N,14,FALSE)</f>
        <v>NOV 23</v>
      </c>
    </row>
    <row r="437" spans="1:21" ht="16.5" customHeight="1">
      <c r="A437" s="159" t="s">
        <v>2748</v>
      </c>
      <c r="B437" s="114" t="str">
        <f>VLOOKUP(A437,'Data pick slip'!B:F,5,FALSE)</f>
        <v>KHJ-MC400-00</v>
      </c>
      <c r="F437" s="157" t="s">
        <v>2753</v>
      </c>
      <c r="H437" s="138">
        <v>2023</v>
      </c>
      <c r="I437" s="140" t="str">
        <f>VLOOKUP(H437,Stock_list!A:R,18,FALSE)</f>
        <v>江西奕东</v>
      </c>
      <c r="J437" s="139" t="str">
        <f>VLOOKUP(H437,Stock_list!A:S,17,FALSE)</f>
        <v>C49SZX20230128SX</v>
      </c>
      <c r="K437" s="51" t="str">
        <f>VLOOKUP(H437,Stock_list!A:T,16,FALSE)</f>
        <v>JPY</v>
      </c>
      <c r="L437" s="4">
        <v>45254</v>
      </c>
      <c r="M437" s="140">
        <v>8</v>
      </c>
      <c r="P437" s="4" t="str">
        <f>VLOOKUP(H437,Stock_list!A:Y,25,FALSE)</f>
        <v>Yes</v>
      </c>
      <c r="Q437" s="143"/>
      <c r="S437" s="123" t="s">
        <v>4400</v>
      </c>
      <c r="T437" s="144"/>
      <c r="U437" s="145" t="str">
        <f>VLOOKUP(H437,Stock_list!A:N,14,FALSE)</f>
        <v>NOV 23</v>
      </c>
    </row>
    <row r="438" spans="1:21" ht="16.5" customHeight="1">
      <c r="A438" s="159" t="s">
        <v>2749</v>
      </c>
      <c r="B438" s="114" t="str">
        <f>VLOOKUP(A438,'Data pick slip'!B:F,5,FALSE)</f>
        <v>KHJ-MC500-00</v>
      </c>
      <c r="F438" s="157" t="s">
        <v>1381</v>
      </c>
      <c r="H438" s="138">
        <v>2023</v>
      </c>
      <c r="I438" s="140" t="str">
        <f>VLOOKUP(H438,Stock_list!A:R,18,FALSE)</f>
        <v>江西奕东</v>
      </c>
      <c r="J438" s="139" t="str">
        <f>VLOOKUP(H438,Stock_list!A:S,17,FALSE)</f>
        <v>C49SZX20230128SX</v>
      </c>
      <c r="K438" s="51" t="str">
        <f>VLOOKUP(H438,Stock_list!A:T,16,FALSE)</f>
        <v>JPY</v>
      </c>
      <c r="L438" s="4">
        <v>45254</v>
      </c>
      <c r="M438" s="140">
        <v>4</v>
      </c>
      <c r="P438" s="4" t="str">
        <f>VLOOKUP(H438,Stock_list!A:Y,25,FALSE)</f>
        <v>Yes</v>
      </c>
      <c r="Q438" s="143"/>
      <c r="T438" s="144"/>
      <c r="U438" s="145" t="str">
        <f>VLOOKUP(H438,Stock_list!A:N,14,FALSE)</f>
        <v>NOV 23</v>
      </c>
    </row>
    <row r="439" spans="1:21" ht="16.5" customHeight="1">
      <c r="A439" s="159" t="s">
        <v>2757</v>
      </c>
      <c r="B439" s="114" t="str">
        <f>VLOOKUP(A439,'Data pick slip'!B:F,5,FALSE)</f>
        <v>KLJ-MC400-00</v>
      </c>
      <c r="F439" s="157" t="s">
        <v>2753</v>
      </c>
      <c r="H439" s="138" t="s">
        <v>4401</v>
      </c>
      <c r="I439" s="140">
        <v>66</v>
      </c>
      <c r="J439" s="267" t="s">
        <v>4402</v>
      </c>
      <c r="K439" s="51" t="s">
        <v>1246</v>
      </c>
      <c r="L439" s="4">
        <v>45253</v>
      </c>
      <c r="M439" s="140">
        <v>5</v>
      </c>
      <c r="P439" s="4" t="s">
        <v>291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2759</v>
      </c>
      <c r="B440" s="114" t="str">
        <f>VLOOKUP(A440,'Data pick slip'!B:F,5,FALSE)</f>
        <v>KLJ-MC600-00</v>
      </c>
      <c r="F440" s="157" t="s">
        <v>2753</v>
      </c>
      <c r="H440" s="138" t="s">
        <v>4401</v>
      </c>
      <c r="I440" s="140">
        <v>66</v>
      </c>
      <c r="J440" s="267" t="s">
        <v>4402</v>
      </c>
      <c r="K440" s="51" t="s">
        <v>1246</v>
      </c>
      <c r="L440" s="4">
        <v>45253</v>
      </c>
      <c r="M440" s="140">
        <v>1</v>
      </c>
      <c r="P440" s="4" t="s">
        <v>291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2757</v>
      </c>
      <c r="B441" s="114" t="str">
        <f>VLOOKUP(A441,'Data pick slip'!B:F,5,FALSE)</f>
        <v>KLJ-MC400-00</v>
      </c>
      <c r="F441" s="157" t="s">
        <v>1381</v>
      </c>
      <c r="I441" s="389" t="s">
        <v>3970</v>
      </c>
      <c r="J441" s="269" t="s">
        <v>4406</v>
      </c>
      <c r="K441" s="51" t="s">
        <v>4362</v>
      </c>
      <c r="L441" s="4">
        <v>45260</v>
      </c>
      <c r="M441" s="132">
        <v>6</v>
      </c>
      <c r="P441" s="4" t="s">
        <v>4364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2759</v>
      </c>
      <c r="B442" s="114" t="str">
        <f>VLOOKUP(A442,'Data pick slip'!B:F,5,FALSE)</f>
        <v>KLJ-MC600-00</v>
      </c>
      <c r="F442" s="157" t="s">
        <v>1381</v>
      </c>
      <c r="I442" s="389" t="s">
        <v>3970</v>
      </c>
      <c r="J442" s="269" t="s">
        <v>4406</v>
      </c>
      <c r="K442" s="51" t="s">
        <v>1246</v>
      </c>
      <c r="L442" s="4">
        <v>45260</v>
      </c>
      <c r="M442" s="132">
        <v>1</v>
      </c>
      <c r="P442" s="4" t="s">
        <v>291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2744</v>
      </c>
      <c r="B443" s="114" t="str">
        <f>VLOOKUP(A443,'Data pick slip'!B:F,5,FALSE)</f>
        <v>KHJ-MC100-00</v>
      </c>
      <c r="F443" s="157" t="s">
        <v>1381</v>
      </c>
      <c r="H443" s="138">
        <v>2027</v>
      </c>
      <c r="I443" s="140" t="str">
        <f>VLOOKUP(H443,Stock_list!A:R,18,FALSE)</f>
        <v>精莞盈</v>
      </c>
      <c r="J443" s="139" t="str">
        <f>VLOOKUP(H443,Stock_list!A:S,17,FALSE)</f>
        <v>C49SZX20230130JY</v>
      </c>
      <c r="K443" s="51" t="str">
        <f>VLOOKUP(H443,Stock_list!A:T,16,FALSE)</f>
        <v>JPY</v>
      </c>
      <c r="L443" s="4">
        <v>45275</v>
      </c>
      <c r="M443" s="143">
        <v>40</v>
      </c>
      <c r="P443" s="4" t="str">
        <f>VLOOKUP(H443,Stock_list!A:Y,25,FALSE)</f>
        <v>Yes</v>
      </c>
      <c r="T443" s="144"/>
      <c r="U443" s="145" t="str">
        <f>VLOOKUP(H443,Stock_list!A:N,14,FALSE)</f>
        <v>DEC 23</v>
      </c>
    </row>
    <row r="444" spans="1:21" ht="16.5" customHeight="1">
      <c r="A444" s="159" t="s">
        <v>2747</v>
      </c>
      <c r="B444" s="114" t="str">
        <f>VLOOKUP(A444,'Data pick slip'!B:F,5,FALSE)</f>
        <v>KHJ-MC200-00</v>
      </c>
      <c r="F444" s="157" t="s">
        <v>1381</v>
      </c>
      <c r="H444" s="138">
        <v>2027</v>
      </c>
      <c r="I444" s="140" t="str">
        <f>VLOOKUP(H444,Stock_list!A:R,18,FALSE)</f>
        <v>精莞盈</v>
      </c>
      <c r="J444" s="139" t="str">
        <f>VLOOKUP(H444,Stock_list!A:S,17,FALSE)</f>
        <v>C49SZX20230130JY</v>
      </c>
      <c r="K444" s="51" t="str">
        <f>VLOOKUP(H444,Stock_list!A:T,16,FALSE)</f>
        <v>JPY</v>
      </c>
      <c r="L444" s="4">
        <v>45275</v>
      </c>
      <c r="M444" s="143">
        <v>4</v>
      </c>
      <c r="P444" s="4" t="str">
        <f>VLOOKUP(H444,Stock_list!A:Y,25,FALSE)</f>
        <v>Yes</v>
      </c>
      <c r="T444" s="144"/>
      <c r="U444" s="145" t="str">
        <f>VLOOKUP(H444,Stock_list!A:N,14,FALSE)</f>
        <v>DEC 23</v>
      </c>
    </row>
    <row r="445" spans="1:21" ht="16.5" customHeight="1">
      <c r="A445" s="159" t="s">
        <v>2748</v>
      </c>
      <c r="B445" s="114" t="str">
        <f>VLOOKUP(A445,'Data pick slip'!B:F,5,FALSE)</f>
        <v>KHJ-MC400-00</v>
      </c>
      <c r="F445" s="157" t="s">
        <v>2753</v>
      </c>
      <c r="H445" s="138">
        <v>2027</v>
      </c>
      <c r="I445" s="140" t="str">
        <f>VLOOKUP(H445,Stock_list!A:R,18,FALSE)</f>
        <v>精莞盈</v>
      </c>
      <c r="J445" s="139" t="str">
        <f>VLOOKUP(H445,Stock_list!A:S,17,FALSE)</f>
        <v>C49SZX20230130JY</v>
      </c>
      <c r="K445" s="51" t="str">
        <f>VLOOKUP(H445,Stock_list!A:T,16,FALSE)</f>
        <v>JPY</v>
      </c>
      <c r="L445" s="4">
        <v>45275</v>
      </c>
      <c r="M445" s="143">
        <v>2</v>
      </c>
      <c r="P445" s="4" t="str">
        <f>VLOOKUP(H445,Stock_list!A:Y,25,FALSE)</f>
        <v>Yes</v>
      </c>
      <c r="S445" s="268" t="s">
        <v>4441</v>
      </c>
      <c r="T445" s="266" t="s">
        <v>4442</v>
      </c>
      <c r="U445" s="145" t="str">
        <f>VLOOKUP(H445,Stock_list!A:N,14,FALSE)</f>
        <v>DEC 23</v>
      </c>
    </row>
    <row r="446" spans="1:21" ht="16.5" customHeight="1">
      <c r="A446" s="159" t="s">
        <v>2755</v>
      </c>
      <c r="B446" s="114" t="str">
        <f>VLOOKUP(A446,'Data pick slip'!B:F,5,FALSE)</f>
        <v>KLJ-MC100-00</v>
      </c>
      <c r="F446" s="157" t="s">
        <v>1381</v>
      </c>
      <c r="H446" s="138">
        <v>2030</v>
      </c>
      <c r="I446" s="140" t="str">
        <f>VLOOKUP(H446,Stock_list!A:R,18,FALSE)</f>
        <v>声韵</v>
      </c>
      <c r="J446" s="139" t="str">
        <f>VLOOKUP(H446,Stock_list!A:S,17,FALSE)</f>
        <v>C49SZX20230132LC</v>
      </c>
      <c r="K446" s="51" t="str">
        <f>VLOOKUP(H446,Stock_list!A:T,16,FALSE)</f>
        <v>JPY</v>
      </c>
      <c r="L446" s="4">
        <v>45287</v>
      </c>
      <c r="M446" s="140">
        <v>35</v>
      </c>
      <c r="N446" s="143"/>
      <c r="P446" s="4" t="str">
        <f>VLOOKUP(H446,Stock_list!A:Y,25,FALSE)</f>
        <v>Yes</v>
      </c>
      <c r="T446" s="144"/>
      <c r="U446" s="145" t="str">
        <f>VLOOKUP(H446,Stock_list!A:N,14,FALSE)</f>
        <v>DEC 23</v>
      </c>
    </row>
    <row r="447" spans="1:21" ht="16.5" customHeight="1">
      <c r="A447" s="159" t="s">
        <v>2756</v>
      </c>
      <c r="B447" s="114" t="str">
        <f>VLOOKUP(A447,'Data pick slip'!B:F,5,FALSE)</f>
        <v>KLJ-MC200-00</v>
      </c>
      <c r="F447" s="157" t="s">
        <v>1381</v>
      </c>
      <c r="H447" s="138">
        <v>2030</v>
      </c>
      <c r="I447" s="140" t="str">
        <f>VLOOKUP(H447,Stock_list!A:R,18,FALSE)</f>
        <v>声韵</v>
      </c>
      <c r="J447" s="139" t="str">
        <f>VLOOKUP(H447,Stock_list!A:S,17,FALSE)</f>
        <v>C49SZX20230132LC</v>
      </c>
      <c r="K447" s="51" t="str">
        <f>VLOOKUP(H447,Stock_list!A:T,16,FALSE)</f>
        <v>JPY</v>
      </c>
      <c r="L447" s="4">
        <v>45287</v>
      </c>
      <c r="M447" s="140">
        <v>10</v>
      </c>
      <c r="N447" s="143"/>
      <c r="P447" s="4" t="str">
        <f>VLOOKUP(H447,Stock_list!A:Y,25,FALSE)</f>
        <v>Yes</v>
      </c>
      <c r="T447" s="144"/>
      <c r="U447" s="145" t="str">
        <f>VLOOKUP(H447,Stock_list!A:N,14,FALSE)</f>
        <v>DEC 23</v>
      </c>
    </row>
    <row r="448" spans="1:21" ht="16.5" customHeight="1">
      <c r="A448" s="159" t="s">
        <v>2755</v>
      </c>
      <c r="B448" s="114" t="str">
        <f>VLOOKUP(A448,'Data pick slip'!B:F,5,FALSE)</f>
        <v>KLJ-MC100-00</v>
      </c>
      <c r="F448" s="157" t="s">
        <v>1381</v>
      </c>
      <c r="H448" s="138">
        <v>2031</v>
      </c>
      <c r="I448" s="140" t="str">
        <f>VLOOKUP(H448,Stock_list!A:R,18,FALSE)</f>
        <v>福瑞康</v>
      </c>
      <c r="J448" s="139" t="str">
        <f>VLOOKUP(H448,Stock_list!A:S,17,FALSE)</f>
        <v>C49SZX20230131EC</v>
      </c>
      <c r="K448" s="51" t="str">
        <f>VLOOKUP(H448,Stock_list!A:T,16,FALSE)</f>
        <v>JPY</v>
      </c>
      <c r="L448" s="4">
        <v>45272</v>
      </c>
      <c r="M448" s="143">
        <v>26</v>
      </c>
      <c r="P448" s="4" t="str">
        <f>VLOOKUP(H448,Stock_list!A:Y,25,FALSE)</f>
        <v>Yes</v>
      </c>
      <c r="T448" s="144"/>
      <c r="U448" s="145" t="str">
        <f>VLOOKUP(H448,Stock_list!A:N,14,FALSE)</f>
        <v>DEC 23</v>
      </c>
    </row>
    <row r="449" spans="1:21" ht="16.5" customHeight="1">
      <c r="A449" s="159" t="s">
        <v>2756</v>
      </c>
      <c r="B449" s="114" t="str">
        <f>VLOOKUP(A449,'Data pick slip'!B:F,5,FALSE)</f>
        <v>KLJ-MC200-00</v>
      </c>
      <c r="F449" s="157" t="s">
        <v>1381</v>
      </c>
      <c r="H449" s="138">
        <v>2031</v>
      </c>
      <c r="I449" s="140" t="str">
        <f>VLOOKUP(H449,Stock_list!A:R,18,FALSE)</f>
        <v>福瑞康</v>
      </c>
      <c r="J449" s="139" t="str">
        <f>VLOOKUP(H449,Stock_list!A:S,17,FALSE)</f>
        <v>C49SZX20230131EC</v>
      </c>
      <c r="K449" s="51" t="str">
        <f>VLOOKUP(H449,Stock_list!A:T,16,FALSE)</f>
        <v>JPY</v>
      </c>
      <c r="L449" s="4">
        <v>45272</v>
      </c>
      <c r="M449" s="143">
        <v>3</v>
      </c>
      <c r="P449" s="4" t="str">
        <f>VLOOKUP(H449,Stock_list!A:Y,25,FALSE)</f>
        <v>Yes</v>
      </c>
      <c r="T449" s="144"/>
      <c r="U449" s="145" t="str">
        <f>VLOOKUP(H449,Stock_list!A:N,14,FALSE)</f>
        <v>DEC 23</v>
      </c>
    </row>
    <row r="450" spans="1:21" ht="16.5" customHeight="1">
      <c r="A450" s="159" t="s">
        <v>2757</v>
      </c>
      <c r="B450" s="114" t="str">
        <f>VLOOKUP(A450,'Data pick slip'!B:F,5,FALSE)</f>
        <v>KLJ-MC400-00</v>
      </c>
      <c r="F450" s="157" t="s">
        <v>1381</v>
      </c>
      <c r="H450" s="138">
        <v>2031</v>
      </c>
      <c r="I450" s="140" t="str">
        <f>VLOOKUP(H450,Stock_list!A:R,18,FALSE)</f>
        <v>福瑞康</v>
      </c>
      <c r="J450" s="139" t="str">
        <f>VLOOKUP(H450,Stock_list!A:S,17,FALSE)</f>
        <v>C49SZX20230131EC</v>
      </c>
      <c r="K450" s="51" t="str">
        <f>VLOOKUP(H450,Stock_list!A:T,16,FALSE)</f>
        <v>JPY</v>
      </c>
      <c r="L450" s="4">
        <v>45272</v>
      </c>
      <c r="M450" s="143">
        <v>3</v>
      </c>
      <c r="P450" s="4" t="str">
        <f>VLOOKUP(H450,Stock_list!A:Y,25,FALSE)</f>
        <v>Yes</v>
      </c>
      <c r="T450" s="144"/>
      <c r="U450" s="145" t="str">
        <f>VLOOKUP(H450,Stock_list!A:N,14,FALSE)</f>
        <v>DEC 23</v>
      </c>
    </row>
    <row r="451" spans="1:21" ht="16.5" customHeight="1">
      <c r="A451" s="159" t="s">
        <v>2744</v>
      </c>
      <c r="B451" s="114" t="str">
        <f>VLOOKUP(A451,'Data pick slip'!B:F,5,FALSE)</f>
        <v>KHJ-MC100-00</v>
      </c>
      <c r="F451" s="157" t="s">
        <v>2753</v>
      </c>
      <c r="H451" s="138">
        <v>2034</v>
      </c>
      <c r="I451" s="140" t="str">
        <f>VLOOKUP(H451,Stock_list!A:R,18,FALSE)</f>
        <v>徕芬</v>
      </c>
      <c r="J451" s="139" t="str">
        <f>VLOOKUP(H451,Stock_list!A:S,17,FALSE)</f>
        <v>CG20231204009</v>
      </c>
      <c r="K451" s="51" t="str">
        <f>VLOOKUP(H451,Stock_list!A:T,16,FALSE)</f>
        <v>RMB</v>
      </c>
      <c r="L451" s="4">
        <v>45296</v>
      </c>
      <c r="M451" s="140">
        <v>68</v>
      </c>
      <c r="N451" s="143"/>
      <c r="P451" s="4" t="str">
        <f>VLOOKUP(H451,Stock_list!A:Y,25,FALSE)</f>
        <v>Yes</v>
      </c>
      <c r="T451" s="144"/>
      <c r="U451" s="145" t="str">
        <f>VLOOKUP(H451,Stock_list!A:N,14,FALSE)</f>
        <v>JAN 24</v>
      </c>
    </row>
    <row r="452" spans="1:21" ht="16.5" customHeight="1">
      <c r="A452" s="159" t="s">
        <v>2747</v>
      </c>
      <c r="B452" s="114" t="str">
        <f>VLOOKUP(A452,'Data pick slip'!B:F,5,FALSE)</f>
        <v>KHJ-MC200-00</v>
      </c>
      <c r="F452" s="157" t="s">
        <v>2753</v>
      </c>
      <c r="H452" s="138">
        <v>2034</v>
      </c>
      <c r="I452" s="140" t="str">
        <f>VLOOKUP(H452,Stock_list!A:R,18,FALSE)</f>
        <v>徕芬</v>
      </c>
      <c r="J452" s="139" t="str">
        <f>VLOOKUP(H452,Stock_list!A:S,17,FALSE)</f>
        <v>CG20231204009</v>
      </c>
      <c r="K452" s="51" t="str">
        <f>VLOOKUP(H452,Stock_list!A:T,16,FALSE)</f>
        <v>RMB</v>
      </c>
      <c r="L452" s="4">
        <v>45296</v>
      </c>
      <c r="M452" s="140">
        <v>11</v>
      </c>
      <c r="N452" s="143"/>
      <c r="P452" s="4" t="str">
        <f>VLOOKUP(H452,Stock_list!A:Y,25,FALSE)</f>
        <v>Yes</v>
      </c>
      <c r="T452" s="144"/>
      <c r="U452" s="145" t="str">
        <f>VLOOKUP(H452,Stock_list!A:N,14,FALSE)</f>
        <v>JAN 24</v>
      </c>
    </row>
    <row r="453" spans="1:21" ht="16.5" customHeight="1">
      <c r="A453" s="159" t="s">
        <v>2748</v>
      </c>
      <c r="B453" s="114" t="str">
        <f>VLOOKUP(A453,'Data pick slip'!B:F,5,FALSE)</f>
        <v>KHJ-MC400-00</v>
      </c>
      <c r="F453" s="157" t="s">
        <v>2753</v>
      </c>
      <c r="H453" s="138">
        <v>2034</v>
      </c>
      <c r="I453" s="140" t="str">
        <f>VLOOKUP(H453,Stock_list!A:R,18,FALSE)</f>
        <v>徕芬</v>
      </c>
      <c r="J453" s="139" t="str">
        <f>VLOOKUP(H453,Stock_list!A:S,17,FALSE)</f>
        <v>CG20231204009</v>
      </c>
      <c r="K453" s="51" t="str">
        <f>VLOOKUP(H453,Stock_list!A:T,16,FALSE)</f>
        <v>RMB</v>
      </c>
      <c r="L453" s="4">
        <v>45296</v>
      </c>
      <c r="M453" s="140">
        <v>3</v>
      </c>
      <c r="N453" s="143"/>
      <c r="P453" s="4" t="str">
        <f>VLOOKUP(H453,Stock_list!A:Y,25,FALSE)</f>
        <v>Yes</v>
      </c>
      <c r="T453" s="144"/>
      <c r="U453" s="145" t="str">
        <f>VLOOKUP(H453,Stock_list!A:N,14,FALSE)</f>
        <v>JAN 24</v>
      </c>
    </row>
    <row r="454" spans="1:21" ht="16.5" customHeight="1">
      <c r="A454" s="159" t="s">
        <v>2744</v>
      </c>
      <c r="B454" s="114" t="str">
        <f>VLOOKUP(A454,'Data pick slip'!B:F,5,FALSE)</f>
        <v>KHJ-MC100-00</v>
      </c>
      <c r="F454" s="157" t="s">
        <v>2753</v>
      </c>
      <c r="H454" s="138">
        <v>2035</v>
      </c>
      <c r="I454" s="140" t="str">
        <f>VLOOKUP(H454,Stock_list!A:R,18,FALSE)</f>
        <v>徕芬</v>
      </c>
      <c r="J454" s="139" t="str">
        <f>VLOOKUP(H454,Stock_list!A:S,17,FALSE)</f>
        <v>CG20231204009</v>
      </c>
      <c r="K454" s="51" t="str">
        <f>VLOOKUP(H454,Stock_list!A:T,16,FALSE)</f>
        <v>RMB</v>
      </c>
      <c r="L454" s="4"/>
      <c r="N454" s="143">
        <v>52</v>
      </c>
      <c r="P454" s="4" t="str">
        <f>VLOOKUP(H454,Stock_list!A:Y,25,FALSE)</f>
        <v>Yes</v>
      </c>
      <c r="T454" s="144"/>
      <c r="U454" s="145" t="str">
        <f>VLOOKUP(H454,Stock_list!A:N,14,FALSE)</f>
        <v>JAN 24</v>
      </c>
    </row>
    <row r="455" spans="1:21" ht="16.5" customHeight="1">
      <c r="A455" s="159" t="s">
        <v>2747</v>
      </c>
      <c r="B455" s="114" t="str">
        <f>VLOOKUP(A455,'Data pick slip'!B:F,5,FALSE)</f>
        <v>KHJ-MC200-00</v>
      </c>
      <c r="F455" s="157" t="s">
        <v>2753</v>
      </c>
      <c r="H455" s="138">
        <v>2035</v>
      </c>
      <c r="I455" s="140" t="str">
        <f>VLOOKUP(H455,Stock_list!A:R,18,FALSE)</f>
        <v>徕芬</v>
      </c>
      <c r="J455" s="139" t="str">
        <f>VLOOKUP(H455,Stock_list!A:S,17,FALSE)</f>
        <v>CG20231204009</v>
      </c>
      <c r="K455" s="51" t="str">
        <f>VLOOKUP(H455,Stock_list!A:T,16,FALSE)</f>
        <v>RMB</v>
      </c>
      <c r="L455" s="4"/>
      <c r="N455" s="143">
        <v>4</v>
      </c>
      <c r="P455" s="4" t="str">
        <f>VLOOKUP(H455,Stock_list!A:Y,25,FALSE)</f>
        <v>Yes</v>
      </c>
      <c r="T455" s="144"/>
      <c r="U455" s="145" t="str">
        <f>VLOOKUP(H455,Stock_list!A:N,14,FALSE)</f>
        <v>JAN 24</v>
      </c>
    </row>
    <row r="456" spans="1:21" ht="16.5" customHeight="1">
      <c r="A456" s="159" t="s">
        <v>2748</v>
      </c>
      <c r="B456" s="114" t="str">
        <f>VLOOKUP(A456,'Data pick slip'!B:F,5,FALSE)</f>
        <v>KHJ-MC400-00</v>
      </c>
      <c r="F456" s="157" t="s">
        <v>2753</v>
      </c>
      <c r="H456" s="138">
        <v>2035</v>
      </c>
      <c r="I456" s="140" t="str">
        <f>VLOOKUP(H456,Stock_list!A:R,18,FALSE)</f>
        <v>徕芬</v>
      </c>
      <c r="J456" s="139" t="str">
        <f>VLOOKUP(H456,Stock_list!A:S,17,FALSE)</f>
        <v>CG20231204009</v>
      </c>
      <c r="K456" s="51" t="str">
        <f>VLOOKUP(H456,Stock_list!A:T,16,FALSE)</f>
        <v>RMB</v>
      </c>
      <c r="L456" s="4"/>
      <c r="N456" s="143">
        <v>2</v>
      </c>
      <c r="P456" s="4" t="str">
        <f>VLOOKUP(H456,Stock_list!A:Y,25,FALSE)</f>
        <v>Yes</v>
      </c>
      <c r="T456" s="144"/>
      <c r="U456" s="145" t="str">
        <f>VLOOKUP(H456,Stock_list!A:N,14,FALSE)</f>
        <v>JAN 24</v>
      </c>
    </row>
    <row r="457" spans="1:21" ht="16.5" customHeight="1">
      <c r="A457" s="159" t="s">
        <v>2744</v>
      </c>
      <c r="B457" s="114" t="str">
        <f>VLOOKUP(A457,'Data pick slip'!B:F,5,FALSE)</f>
        <v>KHJ-MC100-00</v>
      </c>
      <c r="F457" s="157" t="s">
        <v>1381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/>
      <c r="N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FEB 24</v>
      </c>
    </row>
    <row r="458" spans="1:21" ht="16.5" customHeight="1">
      <c r="A458" s="159" t="s">
        <v>2757</v>
      </c>
      <c r="B458" s="114" t="str">
        <f>VLOOKUP(A458,'Data pick slip'!B:F,5,FALSE)</f>
        <v>KLJ-MC400-00</v>
      </c>
      <c r="F458" s="157" t="s">
        <v>1381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/>
      <c r="N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FEB 24</v>
      </c>
    </row>
    <row r="459" spans="1:21" ht="16.5" customHeight="1">
      <c r="A459" s="159" t="s">
        <v>2758</v>
      </c>
      <c r="B459" s="114" t="str">
        <f>VLOOKUP(A459,'Data pick slip'!B:F,5,FALSE)</f>
        <v>KLJ-MC500-00</v>
      </c>
      <c r="F459" s="157" t="s">
        <v>1381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/>
      <c r="N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FEB 24</v>
      </c>
    </row>
    <row r="460" spans="1:21" ht="16.5" customHeight="1">
      <c r="A460" s="159" t="s">
        <v>2759</v>
      </c>
      <c r="B460" s="114" t="str">
        <f>VLOOKUP(A460,'Data pick slip'!B:F,5,FALSE)</f>
        <v>KLJ-MC600-00</v>
      </c>
      <c r="F460" s="157" t="s">
        <v>1381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/>
      <c r="N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FEB 24</v>
      </c>
    </row>
    <row r="461" spans="1:21" ht="16.5" customHeight="1">
      <c r="A461" s="159" t="s">
        <v>2744</v>
      </c>
      <c r="B461" s="114" t="str">
        <f>VLOOKUP(A461,'Data pick slip'!B:F,5,FALSE)</f>
        <v>KHJ-MC100-00</v>
      </c>
      <c r="F461" s="157" t="s">
        <v>1381</v>
      </c>
      <c r="H461" s="138">
        <v>2044</v>
      </c>
      <c r="I461" s="140" t="str">
        <f>VLOOKUP(H461,Stock_list!A:R,18,FALSE)</f>
        <v>派勤</v>
      </c>
      <c r="J461" s="139" t="str">
        <f>VLOOKUP(H461,Stock_list!A:S,17,FALSE)</f>
        <v>C49SZX202300141SS</v>
      </c>
      <c r="K461" s="51" t="str">
        <f>VLOOKUP(H461,Stock_list!A:T,16,FALSE)</f>
        <v>JPY</v>
      </c>
      <c r="L461" s="4">
        <v>45285</v>
      </c>
      <c r="M461" s="140">
        <v>54</v>
      </c>
      <c r="P461" s="4" t="str">
        <f>VLOOKUP(H461,Stock_list!A:Y,25,FALSE)</f>
        <v>Yes</v>
      </c>
      <c r="Q461" s="143"/>
      <c r="T461" s="144"/>
      <c r="U461" s="145" t="str">
        <f>VLOOKUP(H461,Stock_list!A:N,14,FALSE)</f>
        <v>DEC 23</v>
      </c>
    </row>
    <row r="462" spans="1:21" ht="16.5" customHeight="1">
      <c r="A462" s="159" t="s">
        <v>2755</v>
      </c>
      <c r="B462" s="114" t="str">
        <f>VLOOKUP(A462,'Data pick slip'!B:F,5,FALSE)</f>
        <v>KLJ-MC100-00</v>
      </c>
      <c r="F462" s="157" t="s">
        <v>1381</v>
      </c>
      <c r="H462" s="138" t="s">
        <v>4425</v>
      </c>
      <c r="I462" s="140">
        <v>66</v>
      </c>
      <c r="J462" s="267" t="s">
        <v>4426</v>
      </c>
      <c r="K462" s="51" t="s">
        <v>4427</v>
      </c>
      <c r="L462" s="4">
        <v>45274</v>
      </c>
      <c r="M462" s="140">
        <v>6</v>
      </c>
      <c r="P462" s="4" t="s">
        <v>4138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2756</v>
      </c>
      <c r="B463" s="114" t="str">
        <f>VLOOKUP(A463,'Data pick slip'!B:F,5,FALSE)</f>
        <v>KLJ-MC200-00</v>
      </c>
      <c r="F463" s="157" t="s">
        <v>1381</v>
      </c>
      <c r="H463" s="138" t="s">
        <v>4425</v>
      </c>
      <c r="I463" s="140">
        <v>66</v>
      </c>
      <c r="J463" s="267" t="s">
        <v>4426</v>
      </c>
      <c r="K463" s="51" t="s">
        <v>4427</v>
      </c>
      <c r="L463" s="4">
        <v>45274</v>
      </c>
      <c r="M463" s="140">
        <v>2</v>
      </c>
      <c r="P463" s="4" t="s">
        <v>4138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2758</v>
      </c>
      <c r="B464" s="114" t="str">
        <f>VLOOKUP(A464,'Data pick slip'!B:F,5,FALSE)</f>
        <v>KLJ-MC500-00</v>
      </c>
      <c r="F464" s="157" t="s">
        <v>1381</v>
      </c>
      <c r="H464" s="138" t="s">
        <v>4425</v>
      </c>
      <c r="I464" s="140">
        <v>66</v>
      </c>
      <c r="J464" s="267" t="s">
        <v>4426</v>
      </c>
      <c r="K464" s="51" t="s">
        <v>4427</v>
      </c>
      <c r="L464" s="4">
        <v>45274</v>
      </c>
      <c r="M464" s="140">
        <v>1</v>
      </c>
      <c r="P464" s="4" t="s">
        <v>4138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4438</v>
      </c>
      <c r="B465" s="114" t="str">
        <f>VLOOKUP(A465,'Data pick slip'!B:F,5,FALSE)</f>
        <v>KLJ-MC100-00</v>
      </c>
      <c r="F465" s="157" t="s">
        <v>1381</v>
      </c>
      <c r="H465" s="138" t="s">
        <v>4425</v>
      </c>
      <c r="I465" s="140">
        <v>66</v>
      </c>
      <c r="J465" s="267" t="s">
        <v>4430</v>
      </c>
      <c r="K465" s="51" t="s">
        <v>4427</v>
      </c>
      <c r="L465" s="290">
        <v>45275</v>
      </c>
      <c r="M465" s="140">
        <v>125</v>
      </c>
      <c r="P465" s="4" t="s">
        <v>4138</v>
      </c>
      <c r="Q465" s="143"/>
      <c r="S465" s="543" t="s">
        <v>4443</v>
      </c>
      <c r="T465" s="144"/>
      <c r="U465" s="145" t="e">
        <f>VLOOKUP(H465,Stock_list!A:N,14,FALSE)</f>
        <v>#N/A</v>
      </c>
    </row>
    <row r="466" spans="1:21" ht="16.5" customHeight="1">
      <c r="A466" s="159" t="s">
        <v>2744</v>
      </c>
      <c r="B466" s="114" t="str">
        <f>VLOOKUP(A466,'Data pick slip'!B:F,5,FALSE)</f>
        <v>KHJ-MC100-00</v>
      </c>
      <c r="F466" s="157" t="s">
        <v>2753</v>
      </c>
      <c r="H466" s="138" t="s">
        <v>4432</v>
      </c>
      <c r="I466" s="140">
        <v>66</v>
      </c>
      <c r="J466" s="267" t="s">
        <v>4433</v>
      </c>
      <c r="K466" s="51" t="s">
        <v>4434</v>
      </c>
      <c r="L466" s="4">
        <v>45274</v>
      </c>
      <c r="M466" s="140">
        <v>5</v>
      </c>
      <c r="P466" s="4" t="s">
        <v>4356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4438</v>
      </c>
      <c r="B467" s="114" t="str">
        <f>VLOOKUP(A467,'Data pick slip'!B:F,5,FALSE)</f>
        <v>KLJ-MC100-00</v>
      </c>
      <c r="F467" s="157" t="s">
        <v>2753</v>
      </c>
      <c r="H467" s="138" t="s">
        <v>4436</v>
      </c>
      <c r="I467" s="140">
        <v>66</v>
      </c>
      <c r="J467" s="267" t="s">
        <v>4435</v>
      </c>
      <c r="K467" s="51" t="s">
        <v>4437</v>
      </c>
      <c r="L467" s="4">
        <v>45275</v>
      </c>
      <c r="M467" s="140">
        <v>15</v>
      </c>
      <c r="P467" s="4" t="s">
        <v>4139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4438</v>
      </c>
      <c r="B468" s="114" t="str">
        <f>VLOOKUP(A468,'Data pick slip'!B:F,5,FALSE)</f>
        <v>KLJ-MC100-00</v>
      </c>
      <c r="F468" s="157" t="s">
        <v>1381</v>
      </c>
      <c r="I468" s="389" t="s">
        <v>3970</v>
      </c>
      <c r="J468" s="269" t="s">
        <v>4461</v>
      </c>
      <c r="K468" s="51" t="s">
        <v>1246</v>
      </c>
      <c r="L468" s="4">
        <v>45280</v>
      </c>
      <c r="M468" s="140">
        <v>15</v>
      </c>
      <c r="P468" s="4" t="s">
        <v>4439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2744</v>
      </c>
      <c r="B469" s="114" t="str">
        <f>VLOOKUP(A469,'Data pick slip'!B:F,5,FALSE)</f>
        <v>KHJ-MC100-00</v>
      </c>
      <c r="F469" s="157" t="s">
        <v>1381</v>
      </c>
      <c r="H469" s="138">
        <v>2045</v>
      </c>
      <c r="I469" s="140" t="str">
        <f>VLOOKUP(H469,Stock_list!A:R,18,FALSE)</f>
        <v>朗格邦定</v>
      </c>
      <c r="J469" s="139" t="str">
        <f>VLOOKUP(H469,Stock_list!A:S,17,FALSE)</f>
        <v>C49SZX20230142MZ</v>
      </c>
      <c r="K469" s="51" t="str">
        <f>VLOOKUP(H469,Stock_list!A:T,16,FALSE)</f>
        <v>JPY</v>
      </c>
      <c r="L469" s="4">
        <v>45315</v>
      </c>
      <c r="M469" s="140">
        <v>40</v>
      </c>
      <c r="P469" s="4" t="str">
        <f>VLOOKUP(H469,Stock_list!A:Y,25,FALSE)</f>
        <v>Yes</v>
      </c>
      <c r="Q469" s="143"/>
      <c r="T469" s="144"/>
      <c r="U469" s="145" t="str">
        <f>VLOOKUP(H469,Stock_list!A:N,14,FALSE)</f>
        <v>JAN 24</v>
      </c>
    </row>
    <row r="470" spans="1:21" ht="16.5" customHeight="1">
      <c r="A470" s="159" t="s">
        <v>2747</v>
      </c>
      <c r="B470" s="114" t="str">
        <f>VLOOKUP(A470,'Data pick slip'!B:F,5,FALSE)</f>
        <v>KHJ-MC200-00</v>
      </c>
      <c r="F470" s="157" t="s">
        <v>1381</v>
      </c>
      <c r="H470" s="138">
        <v>2045</v>
      </c>
      <c r="I470" s="140" t="str">
        <f>VLOOKUP(H470,Stock_list!A:R,18,FALSE)</f>
        <v>朗格邦定</v>
      </c>
      <c r="J470" s="139" t="str">
        <f>VLOOKUP(H470,Stock_list!A:S,17,FALSE)</f>
        <v>C49SZX20230142MZ</v>
      </c>
      <c r="K470" s="51" t="str">
        <f>VLOOKUP(H470,Stock_list!A:T,16,FALSE)</f>
        <v>JPY</v>
      </c>
      <c r="L470" s="4">
        <v>45315</v>
      </c>
      <c r="M470" s="140">
        <v>4</v>
      </c>
      <c r="P470" s="4" t="str">
        <f>VLOOKUP(H470,Stock_list!A:Y,25,FALSE)</f>
        <v>Yes</v>
      </c>
      <c r="Q470" s="143"/>
      <c r="T470" s="144"/>
      <c r="U470" s="145" t="str">
        <f>VLOOKUP(H470,Stock_list!A:N,14,FALSE)</f>
        <v>JAN 24</v>
      </c>
    </row>
    <row r="471" spans="1:21" ht="16.5" customHeight="1">
      <c r="A471" s="159" t="s">
        <v>2744</v>
      </c>
      <c r="B471" s="114" t="str">
        <f>VLOOKUP(A471,'Data pick slip'!B:F,5,FALSE)</f>
        <v>KHJ-MC100-00</v>
      </c>
      <c r="F471" s="157" t="s">
        <v>1381</v>
      </c>
      <c r="H471" s="138">
        <v>2047</v>
      </c>
      <c r="I471" s="140" t="str">
        <f>VLOOKUP(H471,Stock_list!A:R,18,FALSE)</f>
        <v>联鸿精密（end user:倍美斯）</v>
      </c>
      <c r="J471" s="139" t="str">
        <f>VLOOKUP(H471,Stock_list!A:S,17,FALSE)</f>
        <v>C49SZX20230139DX</v>
      </c>
      <c r="K471" s="51" t="str">
        <f>VLOOKUP(H471,Stock_list!A:T,16,FALSE)</f>
        <v>JPY</v>
      </c>
      <c r="L471" s="4">
        <v>45281</v>
      </c>
      <c r="M471" s="143">
        <v>50</v>
      </c>
      <c r="P471" s="4" t="str">
        <f>VLOOKUP(H471,Stock_list!A:Y,25,FALSE)</f>
        <v>Yes</v>
      </c>
      <c r="T471" s="144"/>
      <c r="U471" s="145" t="str">
        <f>VLOOKUP(H471,Stock_list!A:N,14,FALSE)</f>
        <v>DEC 23</v>
      </c>
    </row>
    <row r="472" spans="1:21" ht="16.5" customHeight="1">
      <c r="A472" s="159" t="s">
        <v>2747</v>
      </c>
      <c r="B472" s="114" t="str">
        <f>VLOOKUP(A472,'Data pick slip'!B:F,5,FALSE)</f>
        <v>KHJ-MC200-00</v>
      </c>
      <c r="F472" s="157" t="s">
        <v>1381</v>
      </c>
      <c r="H472" s="138">
        <v>2047</v>
      </c>
      <c r="I472" s="140" t="str">
        <f>VLOOKUP(H472,Stock_list!A:R,18,FALSE)</f>
        <v>联鸿精密（end user:倍美斯）</v>
      </c>
      <c r="J472" s="139" t="str">
        <f>VLOOKUP(H472,Stock_list!A:S,17,FALSE)</f>
        <v>C49SZX20230139DX</v>
      </c>
      <c r="K472" s="51" t="str">
        <f>VLOOKUP(H472,Stock_list!A:T,16,FALSE)</f>
        <v>JPY</v>
      </c>
      <c r="L472" s="4">
        <v>45281</v>
      </c>
      <c r="M472" s="143">
        <v>8</v>
      </c>
      <c r="P472" s="4" t="str">
        <f>VLOOKUP(H472,Stock_list!A:Y,25,FALSE)</f>
        <v>Yes</v>
      </c>
      <c r="T472" s="144"/>
      <c r="U472" s="145" t="str">
        <f>VLOOKUP(H472,Stock_list!A:N,14,FALSE)</f>
        <v>DEC 23</v>
      </c>
    </row>
    <row r="473" spans="1:21" ht="16.5" customHeight="1">
      <c r="A473" s="159" t="s">
        <v>2748</v>
      </c>
      <c r="B473" s="114" t="str">
        <f>VLOOKUP(A473,'Data pick slip'!B:F,5,FALSE)</f>
        <v>KHJ-MC400-00</v>
      </c>
      <c r="F473" s="157" t="s">
        <v>2753</v>
      </c>
      <c r="H473" s="138">
        <v>2047</v>
      </c>
      <c r="I473" s="140" t="str">
        <f>VLOOKUP(H473,Stock_list!A:R,18,FALSE)</f>
        <v>联鸿精密（end user:倍美斯）</v>
      </c>
      <c r="J473" s="139" t="str">
        <f>VLOOKUP(H473,Stock_list!A:S,17,FALSE)</f>
        <v>C49SZX20230139DX</v>
      </c>
      <c r="K473" s="51" t="str">
        <f>VLOOKUP(H473,Stock_list!A:T,16,FALSE)</f>
        <v>JPY</v>
      </c>
      <c r="L473" s="4">
        <v>45281</v>
      </c>
      <c r="M473" s="143">
        <v>2</v>
      </c>
      <c r="P473" s="4" t="str">
        <f>VLOOKUP(H473,Stock_list!A:Y,25,FALSE)</f>
        <v>Yes</v>
      </c>
      <c r="S473" s="268" t="s">
        <v>2778</v>
      </c>
      <c r="T473" s="266" t="s">
        <v>4442</v>
      </c>
      <c r="U473" s="145" t="str">
        <f>VLOOKUP(H473,Stock_list!A:N,14,FALSE)</f>
        <v>DEC 23</v>
      </c>
    </row>
    <row r="474" spans="1:21" ht="16.5" customHeight="1">
      <c r="A474" s="159" t="s">
        <v>2744</v>
      </c>
      <c r="B474" s="114" t="str">
        <f>VLOOKUP(A474,'Data pick slip'!B:F,5,FALSE)</f>
        <v>KHJ-MC100-00</v>
      </c>
      <c r="F474" s="157" t="s">
        <v>1381</v>
      </c>
      <c r="H474" s="138">
        <v>2050</v>
      </c>
      <c r="I474" s="140" t="str">
        <f>VLOOKUP(H474,Stock_list!A:R,18,FALSE)</f>
        <v>盈通恒翼</v>
      </c>
      <c r="J474" s="139" t="str">
        <f>VLOOKUP(H474,Stock_list!A:S,17,FALSE)</f>
        <v>C49SZX20230142SS</v>
      </c>
      <c r="K474" s="51" t="str">
        <f>VLOOKUP(H474,Stock_list!A:T,16,FALSE)</f>
        <v>JPY</v>
      </c>
      <c r="L474" s="4">
        <v>45314</v>
      </c>
      <c r="M474" s="140">
        <v>44</v>
      </c>
      <c r="N474" s="143"/>
      <c r="P474" s="4" t="str">
        <f>VLOOKUP(H474,Stock_list!A:Y,25,FALSE)</f>
        <v>Yes</v>
      </c>
      <c r="T474" s="144"/>
      <c r="U474" s="145" t="str">
        <f>VLOOKUP(H474,Stock_list!A:N,14,FALSE)</f>
        <v>JAN 24</v>
      </c>
    </row>
    <row r="475" spans="1:21" ht="16.5" customHeight="1">
      <c r="A475" s="159" t="s">
        <v>2747</v>
      </c>
      <c r="B475" s="114" t="str">
        <f>VLOOKUP(A475,'Data pick slip'!B:F,5,FALSE)</f>
        <v>KHJ-MC200-00</v>
      </c>
      <c r="F475" s="157" t="s">
        <v>1381</v>
      </c>
      <c r="H475" s="138">
        <v>2050</v>
      </c>
      <c r="I475" s="140" t="str">
        <f>VLOOKUP(H475,Stock_list!A:R,18,FALSE)</f>
        <v>盈通恒翼</v>
      </c>
      <c r="J475" s="139" t="str">
        <f>VLOOKUP(H475,Stock_list!A:S,17,FALSE)</f>
        <v>C49SZX20230142SS</v>
      </c>
      <c r="K475" s="51" t="str">
        <f>VLOOKUP(H475,Stock_list!A:T,16,FALSE)</f>
        <v>JPY</v>
      </c>
      <c r="L475" s="4">
        <v>45314</v>
      </c>
      <c r="M475" s="140">
        <v>16</v>
      </c>
      <c r="N475" s="143"/>
      <c r="P475" s="4" t="str">
        <f>VLOOKUP(H475,Stock_list!A:Y,25,FALSE)</f>
        <v>Yes</v>
      </c>
      <c r="T475" s="144"/>
      <c r="U475" s="145" t="str">
        <f>VLOOKUP(H475,Stock_list!A:N,14,FALSE)</f>
        <v>JAN 24</v>
      </c>
    </row>
    <row r="476" spans="1:21" ht="16.5" customHeight="1">
      <c r="A476" s="159" t="s">
        <v>2744</v>
      </c>
      <c r="B476" s="114" t="str">
        <f>VLOOKUP(A476,'Data pick slip'!B:F,5,FALSE)</f>
        <v>KHJ-MC100-00</v>
      </c>
      <c r="F476" s="157" t="s">
        <v>1381</v>
      </c>
      <c r="H476" s="138">
        <v>2058</v>
      </c>
      <c r="I476" s="140" t="str">
        <f>VLOOKUP(H476,Stock_list!A:R,18,FALSE)</f>
        <v>柏星</v>
      </c>
      <c r="J476" s="139" t="str">
        <f>VLOOKUP(H476,Stock_list!A:S,17,FALSE)</f>
        <v>C49SZX20230143SX</v>
      </c>
      <c r="K476" s="51" t="str">
        <f>VLOOKUP(H476,Stock_list!A:T,16,FALSE)</f>
        <v>JPY</v>
      </c>
      <c r="L476" s="4">
        <v>45306</v>
      </c>
      <c r="M476" s="143">
        <v>30</v>
      </c>
      <c r="P476" s="4" t="str">
        <f>VLOOKUP(H476,Stock_list!A:Y,25,FALSE)</f>
        <v>Yes</v>
      </c>
      <c r="T476" s="144"/>
      <c r="U476" s="145" t="str">
        <f>VLOOKUP(H476,Stock_list!A:N,14,FALSE)</f>
        <v>JAN 24</v>
      </c>
    </row>
    <row r="477" spans="1:21" ht="16.5" customHeight="1">
      <c r="A477" s="159" t="s">
        <v>2747</v>
      </c>
      <c r="B477" s="114" t="str">
        <f>VLOOKUP(A477,'Data pick slip'!B:F,5,FALSE)</f>
        <v>KHJ-MC200-00</v>
      </c>
      <c r="F477" s="157" t="s">
        <v>1381</v>
      </c>
      <c r="H477" s="138">
        <v>2058</v>
      </c>
      <c r="I477" s="140" t="str">
        <f>VLOOKUP(H477,Stock_list!A:R,18,FALSE)</f>
        <v>柏星</v>
      </c>
      <c r="J477" s="139" t="str">
        <f>VLOOKUP(H477,Stock_list!A:S,17,FALSE)</f>
        <v>C49SZX20230143SX</v>
      </c>
      <c r="K477" s="51" t="str">
        <f>VLOOKUP(H477,Stock_list!A:T,16,FALSE)</f>
        <v>JPY</v>
      </c>
      <c r="L477" s="4">
        <v>45306</v>
      </c>
      <c r="M477" s="143">
        <v>10</v>
      </c>
      <c r="P477" s="4" t="str">
        <f>VLOOKUP(H477,Stock_list!A:Y,25,FALSE)</f>
        <v>Yes</v>
      </c>
      <c r="T477" s="144"/>
      <c r="U477" s="145" t="str">
        <f>VLOOKUP(H477,Stock_list!A:N,14,FALSE)</f>
        <v>JAN 24</v>
      </c>
    </row>
    <row r="478" spans="1:21" ht="28.5" customHeight="1">
      <c r="A478" s="159" t="s">
        <v>2744</v>
      </c>
      <c r="B478" s="114" t="str">
        <f>VLOOKUP(A478,'Data pick slip'!B:F,5,FALSE)</f>
        <v>KHJ-MC100-00</v>
      </c>
      <c r="F478" s="157" t="s">
        <v>2753</v>
      </c>
      <c r="H478" s="138" t="s">
        <v>4489</v>
      </c>
      <c r="I478" s="140">
        <v>66</v>
      </c>
      <c r="J478" s="380" t="s">
        <v>4491</v>
      </c>
      <c r="K478" s="51" t="s">
        <v>4490</v>
      </c>
      <c r="L478" s="4">
        <v>45294</v>
      </c>
      <c r="M478" s="140">
        <v>10</v>
      </c>
      <c r="P478" s="4" t="s">
        <v>4356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2751</v>
      </c>
      <c r="B479" s="114" t="str">
        <f>VLOOKUP(A479,'Data pick slip'!B:F,5,FALSE)</f>
        <v>KHJ-MC700-00</v>
      </c>
      <c r="F479" s="157" t="s">
        <v>2753</v>
      </c>
      <c r="H479" s="138" t="s">
        <v>4489</v>
      </c>
      <c r="I479" s="140">
        <v>66</v>
      </c>
      <c r="J479" s="269" t="s">
        <v>4492</v>
      </c>
      <c r="K479" s="51" t="s">
        <v>4490</v>
      </c>
      <c r="L479" s="4">
        <v>45294</v>
      </c>
      <c r="M479" s="140">
        <v>1</v>
      </c>
      <c r="P479" s="4" t="s">
        <v>4356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2755</v>
      </c>
      <c r="B480" s="114" t="str">
        <f>VLOOKUP(A480,'Data pick slip'!B:F,5,FALSE)</f>
        <v>KLJ-MC100-00</v>
      </c>
      <c r="F480" s="157" t="s">
        <v>1381</v>
      </c>
      <c r="H480" s="138" t="s">
        <v>4497</v>
      </c>
      <c r="I480" s="140">
        <v>66</v>
      </c>
      <c r="J480" s="267" t="s">
        <v>4502</v>
      </c>
      <c r="K480" s="51" t="s">
        <v>4498</v>
      </c>
      <c r="L480" s="290">
        <v>45316</v>
      </c>
      <c r="M480" s="132">
        <v>120</v>
      </c>
      <c r="P480" s="4" t="s">
        <v>4139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2756</v>
      </c>
      <c r="B481" s="114" t="str">
        <f>VLOOKUP(A481,'Data pick slip'!B:F,5,FALSE)</f>
        <v>KLJ-MC200-00</v>
      </c>
      <c r="F481" s="157" t="s">
        <v>1381</v>
      </c>
      <c r="H481" s="138" t="s">
        <v>4497</v>
      </c>
      <c r="I481" s="140">
        <v>66</v>
      </c>
      <c r="J481" s="267" t="s">
        <v>4502</v>
      </c>
      <c r="K481" s="51" t="s">
        <v>4498</v>
      </c>
      <c r="L481" s="290">
        <v>45316</v>
      </c>
      <c r="M481" s="132">
        <v>14</v>
      </c>
      <c r="P481" s="4" t="s">
        <v>4139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2757</v>
      </c>
      <c r="B482" s="114" t="str">
        <f>VLOOKUP(A482,'Data pick slip'!B:F,5,FALSE)</f>
        <v>KLJ-MC400-00</v>
      </c>
      <c r="F482" s="157" t="s">
        <v>1381</v>
      </c>
      <c r="H482" s="138" t="s">
        <v>4497</v>
      </c>
      <c r="I482" s="140">
        <v>66</v>
      </c>
      <c r="J482" s="267" t="s">
        <v>4502</v>
      </c>
      <c r="K482" s="51" t="s">
        <v>4498</v>
      </c>
      <c r="L482" s="290">
        <v>45316</v>
      </c>
      <c r="M482" s="132">
        <v>5</v>
      </c>
      <c r="P482" s="4" t="s">
        <v>4139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2758</v>
      </c>
      <c r="B483" s="114" t="str">
        <f>VLOOKUP(A483,'Data pick slip'!B:F,5,FALSE)</f>
        <v>KLJ-MC500-00</v>
      </c>
      <c r="F483" s="157" t="s">
        <v>1381</v>
      </c>
      <c r="H483" s="138" t="s">
        <v>4497</v>
      </c>
      <c r="I483" s="140">
        <v>66</v>
      </c>
      <c r="J483" s="267" t="s">
        <v>4502</v>
      </c>
      <c r="K483" s="51" t="s">
        <v>4498</v>
      </c>
      <c r="L483" s="290">
        <v>45316</v>
      </c>
      <c r="M483" s="132">
        <v>3</v>
      </c>
      <c r="P483" s="4" t="s">
        <v>4139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2759</v>
      </c>
      <c r="B484" s="114" t="str">
        <f>VLOOKUP(A484,'Data pick slip'!B:F,5,FALSE)</f>
        <v>KLJ-MC600-00</v>
      </c>
      <c r="F484" s="157" t="s">
        <v>1381</v>
      </c>
      <c r="H484" s="138" t="s">
        <v>4497</v>
      </c>
      <c r="I484" s="140">
        <v>66</v>
      </c>
      <c r="J484" s="267" t="s">
        <v>4502</v>
      </c>
      <c r="K484" s="51" t="s">
        <v>4498</v>
      </c>
      <c r="L484" s="290">
        <v>45316</v>
      </c>
      <c r="M484" s="132">
        <v>2</v>
      </c>
      <c r="P484" s="4" t="s">
        <v>4139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2744</v>
      </c>
      <c r="B485" s="114" t="str">
        <f>VLOOKUP(A485,'Data pick slip'!B:F,5,FALSE)</f>
        <v>KHJ-MC100-00</v>
      </c>
      <c r="F485" s="157" t="s">
        <v>2753</v>
      </c>
      <c r="H485" s="138">
        <v>2061</v>
      </c>
      <c r="I485" s="832" t="str">
        <f>VLOOKUP(H485,Stock_list!A:R,18,FALSE)</f>
        <v>豫龙辉</v>
      </c>
      <c r="J485" s="833" t="str">
        <f>VLOOKUP(H485,Stock_list!A:S,17,FALSE)</f>
        <v>C49SZX20240001JY</v>
      </c>
      <c r="K485" s="834" t="str">
        <f>VLOOKUP(H485,Stock_list!A:T,16,FALSE)</f>
        <v>JPY</v>
      </c>
      <c r="L485" s="835">
        <v>45349</v>
      </c>
      <c r="M485" s="832">
        <v>20</v>
      </c>
      <c r="N485" s="838"/>
      <c r="O485" s="838"/>
      <c r="P485" s="835" t="str">
        <f>VLOOKUP(H485,Stock_list!A:Y,25,FALSE)</f>
        <v>Yes</v>
      </c>
      <c r="Q485" s="836"/>
      <c r="R485" s="839"/>
      <c r="S485" s="840" t="s">
        <v>4613</v>
      </c>
      <c r="T485" s="144"/>
      <c r="U485" s="145" t="str">
        <f>VLOOKUP(H485,Stock_list!A:N,14,FALSE)</f>
        <v>FEB 24</v>
      </c>
    </row>
    <row r="486" spans="1:21" ht="16.5" customHeight="1">
      <c r="A486" s="159" t="s">
        <v>2747</v>
      </c>
      <c r="B486" s="114" t="str">
        <f>VLOOKUP(A486,'Data pick slip'!B:F,5,FALSE)</f>
        <v>KHJ-MC200-00</v>
      </c>
      <c r="F486" s="157" t="s">
        <v>2753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>
        <v>45349</v>
      </c>
      <c r="M486" s="140">
        <v>3</v>
      </c>
      <c r="P486" s="4" t="str">
        <f>VLOOKUP(H486,Stock_list!A:Y,25,FALSE)</f>
        <v>Yes</v>
      </c>
      <c r="Q486" s="143"/>
      <c r="S486" s="123" t="s">
        <v>4614</v>
      </c>
      <c r="T486" s="144"/>
      <c r="U486" s="145" t="str">
        <f>VLOOKUP(H486,Stock_list!A:N,14,FALSE)</f>
        <v>FEB 24</v>
      </c>
    </row>
    <row r="487" spans="1:21" ht="16.5" customHeight="1">
      <c r="A487" s="159" t="s">
        <v>2744</v>
      </c>
      <c r="B487" s="114" t="str">
        <f>VLOOKUP(A487,'Data pick slip'!B:F,5,FALSE)</f>
        <v>KHJ-MC100-00</v>
      </c>
      <c r="F487" s="157" t="s">
        <v>2753</v>
      </c>
      <c r="H487" s="138" t="s">
        <v>4519</v>
      </c>
      <c r="I487" s="140">
        <v>66</v>
      </c>
      <c r="J487" s="139" t="s">
        <v>4518</v>
      </c>
      <c r="K487" s="51" t="s">
        <v>4520</v>
      </c>
      <c r="L487" s="4">
        <v>45303</v>
      </c>
      <c r="M487" s="140">
        <v>20</v>
      </c>
      <c r="P487" s="4" t="s">
        <v>4356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2750</v>
      </c>
      <c r="B488" s="114" t="str">
        <f>VLOOKUP(A488,'Data pick slip'!B:F,5,FALSE)</f>
        <v>KHJ-MC600-00</v>
      </c>
      <c r="F488" s="157" t="s">
        <v>2753</v>
      </c>
      <c r="H488" s="138" t="s">
        <v>4519</v>
      </c>
      <c r="I488" s="140">
        <v>66</v>
      </c>
      <c r="J488" s="139" t="s">
        <v>4518</v>
      </c>
      <c r="K488" s="51" t="s">
        <v>4520</v>
      </c>
      <c r="L488" s="4">
        <v>45303</v>
      </c>
      <c r="M488" s="140">
        <v>1</v>
      </c>
      <c r="P488" s="4" t="s">
        <v>4356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2751</v>
      </c>
      <c r="B489" s="114" t="str">
        <f>VLOOKUP(A489,'Data pick slip'!B:F,5,FALSE)</f>
        <v>KHJ-MC700-00</v>
      </c>
      <c r="F489" s="157" t="s">
        <v>2753</v>
      </c>
      <c r="H489" s="138" t="s">
        <v>4519</v>
      </c>
      <c r="I489" s="140">
        <v>66</v>
      </c>
      <c r="J489" s="139" t="s">
        <v>4518</v>
      </c>
      <c r="K489" s="51" t="s">
        <v>4520</v>
      </c>
      <c r="L489" s="4">
        <v>45303</v>
      </c>
      <c r="M489" s="140">
        <v>1</v>
      </c>
      <c r="P489" s="4" t="s">
        <v>4356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2757</v>
      </c>
      <c r="B490" s="114" t="str">
        <f>VLOOKUP(A490,'Data pick slip'!B:F,5,FALSE)</f>
        <v>KLJ-MC400-00</v>
      </c>
      <c r="F490" s="157" t="s">
        <v>1381</v>
      </c>
      <c r="H490" s="138" t="s">
        <v>4524</v>
      </c>
      <c r="I490" s="140">
        <v>66</v>
      </c>
      <c r="J490" s="139" t="s">
        <v>4523</v>
      </c>
      <c r="K490" s="51" t="s">
        <v>1246</v>
      </c>
      <c r="L490" s="290">
        <v>45316</v>
      </c>
      <c r="M490" s="140">
        <v>3</v>
      </c>
      <c r="N490" s="140"/>
      <c r="P490" s="4" t="s">
        <v>4139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2758</v>
      </c>
      <c r="B491" s="114" t="str">
        <f>VLOOKUP(A491,'Data pick slip'!B:F,5,FALSE)</f>
        <v>KLJ-MC500-00</v>
      </c>
      <c r="F491" s="157" t="s">
        <v>1381</v>
      </c>
      <c r="H491" s="138" t="s">
        <v>4524</v>
      </c>
      <c r="I491" s="140">
        <v>66</v>
      </c>
      <c r="J491" s="139" t="s">
        <v>4523</v>
      </c>
      <c r="K491" s="51" t="s">
        <v>1246</v>
      </c>
      <c r="L491" s="290">
        <v>45316</v>
      </c>
      <c r="M491" s="140">
        <v>2</v>
      </c>
      <c r="N491" s="140"/>
      <c r="P491" s="4" t="s">
        <v>4139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2744</v>
      </c>
      <c r="B492" s="114" t="str">
        <f>VLOOKUP(A492,'Data pick slip'!B:F,5,FALSE)</f>
        <v>KHJ-MC100-00</v>
      </c>
      <c r="F492" s="157" t="s">
        <v>2753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2747</v>
      </c>
      <c r="B493" s="114" t="str">
        <f>VLOOKUP(A493,'Data pick slip'!B:F,5,FALSE)</f>
        <v>KHJ-MC200-00</v>
      </c>
      <c r="F493" s="157" t="s">
        <v>2753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2748</v>
      </c>
      <c r="B494" s="114" t="str">
        <f>VLOOKUP(A494,'Data pick slip'!B:F,5,FALSE)</f>
        <v>KHJ-MC400-00</v>
      </c>
      <c r="F494" s="157" t="s">
        <v>2753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2749</v>
      </c>
      <c r="B495" s="114" t="str">
        <f>VLOOKUP(A495,'Data pick slip'!B:F,5,FALSE)</f>
        <v>KHJ-MC500-00</v>
      </c>
      <c r="F495" s="157" t="s">
        <v>2753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2750</v>
      </c>
      <c r="B496" s="114" t="str">
        <f>VLOOKUP(A496,'Data pick slip'!B:F,5,FALSE)</f>
        <v>KHJ-MC600-00</v>
      </c>
      <c r="F496" s="157" t="s">
        <v>2753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2744</v>
      </c>
      <c r="B497" s="114" t="str">
        <f>VLOOKUP(A497,'Data pick slip'!B:F,5,FALSE)</f>
        <v>KHJ-MC100-00</v>
      </c>
      <c r="F497" s="157" t="s">
        <v>2753</v>
      </c>
      <c r="H497" s="138">
        <v>2063</v>
      </c>
      <c r="I497" s="832" t="str">
        <f>VLOOKUP(H497,Stock_list!A:R,18,FALSE)</f>
        <v>诺亚兴</v>
      </c>
      <c r="J497" s="833" t="str">
        <f>VLOOKUP(H497,Stock_list!A:S,17,FALSE)</f>
        <v>C49SZX20240005EC</v>
      </c>
      <c r="K497" s="834" t="str">
        <f>VLOOKUP(H497,Stock_list!A:T,16,FALSE)</f>
        <v>JPY</v>
      </c>
      <c r="L497" s="835">
        <v>45320</v>
      </c>
      <c r="M497" s="832">
        <v>2</v>
      </c>
      <c r="N497" s="836"/>
      <c r="O497" s="838"/>
      <c r="P497" s="835" t="str">
        <f>VLOOKUP(H497,Stock_list!A:Y,25,FALSE)</f>
        <v>Yes</v>
      </c>
      <c r="Q497" s="838"/>
      <c r="R497" s="839"/>
      <c r="S497" s="840" t="s">
        <v>4548</v>
      </c>
      <c r="T497" s="144"/>
      <c r="U497" s="145" t="str">
        <f>VLOOKUP(H497,Stock_list!A:N,14,FALSE)</f>
        <v>JAN 24</v>
      </c>
    </row>
    <row r="498" spans="1:21" ht="16.5" customHeight="1">
      <c r="A498" s="159" t="s">
        <v>2748</v>
      </c>
      <c r="B498" s="114" t="str">
        <f>VLOOKUP(A498,'Data pick slip'!B:F,5,FALSE)</f>
        <v>KHJ-MC400-00</v>
      </c>
      <c r="F498" s="157" t="s">
        <v>2753</v>
      </c>
      <c r="H498" s="138" t="s">
        <v>4560</v>
      </c>
      <c r="I498" s="140">
        <v>66</v>
      </c>
      <c r="J498" s="267" t="s">
        <v>4529</v>
      </c>
      <c r="K498" s="51" t="s">
        <v>4530</v>
      </c>
      <c r="L498" s="4">
        <v>45313</v>
      </c>
      <c r="M498" s="140">
        <v>2</v>
      </c>
      <c r="P498" s="4" t="s">
        <v>4356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2748</v>
      </c>
      <c r="B499" s="114" t="str">
        <f>VLOOKUP(A499,'Data pick slip'!B:F,5,FALSE)</f>
        <v>KHJ-MC400-00</v>
      </c>
      <c r="F499" s="157" t="s">
        <v>2753</v>
      </c>
      <c r="H499" s="138" t="s">
        <v>4560</v>
      </c>
      <c r="I499" s="140">
        <v>66</v>
      </c>
      <c r="J499" s="267" t="s">
        <v>4533</v>
      </c>
      <c r="K499" s="51" t="s">
        <v>4530</v>
      </c>
      <c r="L499" s="4">
        <v>45313</v>
      </c>
      <c r="M499" s="140">
        <v>1</v>
      </c>
      <c r="P499" s="4" t="s">
        <v>4356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2750</v>
      </c>
      <c r="B500" s="114" t="str">
        <f>VLOOKUP(A500,'Data pick slip'!B:F,5,FALSE)</f>
        <v>KHJ-MC600-00</v>
      </c>
      <c r="F500" s="157" t="s">
        <v>2753</v>
      </c>
      <c r="H500" s="138" t="s">
        <v>4560</v>
      </c>
      <c r="I500" s="140">
        <v>66</v>
      </c>
      <c r="J500" s="267" t="s">
        <v>4533</v>
      </c>
      <c r="K500" s="51" t="s">
        <v>4530</v>
      </c>
      <c r="L500" s="4"/>
      <c r="M500" s="140">
        <v>1</v>
      </c>
      <c r="P500" s="4" t="s">
        <v>4356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2755</v>
      </c>
      <c r="B501" s="114" t="str">
        <f>VLOOKUP(A501,'Data pick slip'!B:F,5,FALSE)</f>
        <v>KLJ-MC100-00</v>
      </c>
      <c r="F501" s="157" t="s">
        <v>1381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C49SZX20230009MZ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MAR 24</v>
      </c>
    </row>
    <row r="502" spans="1:21" ht="17.25" customHeight="1">
      <c r="A502" s="159" t="s">
        <v>2755</v>
      </c>
      <c r="B502" s="114" t="str">
        <f>VLOOKUP(A502,'Data pick slip'!B:F,5,FALSE)</f>
        <v>KLJ-MC100-00</v>
      </c>
      <c r="F502" s="157" t="s">
        <v>2762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C49SZX20230010MZ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2755</v>
      </c>
      <c r="B503" s="114" t="str">
        <f>VLOOKUP(A503,'Data pick slip'!B:F,5,FALSE)</f>
        <v>KLJ-MC100-00</v>
      </c>
      <c r="F503" s="157" t="s">
        <v>2753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/>
      <c r="N503" s="132">
        <v>20</v>
      </c>
      <c r="P503" s="4" t="str">
        <f>VLOOKUP(H503,Stock_list!A:Y,25,FALSE)</f>
        <v>Yes</v>
      </c>
      <c r="Q503" s="143"/>
      <c r="T503" s="144"/>
      <c r="U503" s="145" t="str">
        <f>VLOOKUP(H503,Stock_list!A:N,14,FALSE)</f>
        <v>FEB 24</v>
      </c>
    </row>
    <row r="504" spans="1:21" ht="16.5" customHeight="1">
      <c r="A504" s="159" t="s">
        <v>2744</v>
      </c>
      <c r="B504" s="114" t="str">
        <f>VLOOKUP(A504,'Data pick slip'!B:F,5,FALSE)</f>
        <v>KHJ-MC100-00</v>
      </c>
      <c r="F504" s="157" t="s">
        <v>2753</v>
      </c>
      <c r="H504" s="138">
        <v>2081</v>
      </c>
      <c r="I504" s="832" t="str">
        <f>VLOOKUP(H504,Stock_list!A:R,18,FALSE)</f>
        <v>斯迈</v>
      </c>
      <c r="J504" s="833" t="str">
        <f>VLOOKUP(H504,Stock_list!A:S,17,FALSE)</f>
        <v>C49SZX20240018DZ</v>
      </c>
      <c r="K504" s="834" t="str">
        <f>VLOOKUP(H504,Stock_list!A:T,16,FALSE)</f>
        <v>JPY</v>
      </c>
      <c r="L504" s="835">
        <v>45323</v>
      </c>
      <c r="M504" s="836">
        <v>123</v>
      </c>
      <c r="N504" s="838"/>
      <c r="O504" s="838"/>
      <c r="P504" s="835" t="str">
        <f>VLOOKUP(H504,Stock_list!A:Y,25,FALSE)</f>
        <v>Yes</v>
      </c>
      <c r="Q504" s="838"/>
      <c r="R504" s="839"/>
      <c r="S504" s="840" t="s">
        <v>4548</v>
      </c>
      <c r="T504" s="144"/>
      <c r="U504" s="145" t="str">
        <f>VLOOKUP(H504,Stock_list!A:N,14,FALSE)</f>
        <v>FEB 24</v>
      </c>
    </row>
    <row r="505" spans="1:21" ht="16.5" customHeight="1">
      <c r="A505" s="159" t="s">
        <v>2744</v>
      </c>
      <c r="B505" s="114" t="str">
        <f>VLOOKUP(A505,'Data pick slip'!B:F,5,FALSE)</f>
        <v>KHJ-MC100-00</v>
      </c>
      <c r="F505" s="157" t="s">
        <v>1381</v>
      </c>
      <c r="H505" s="138">
        <v>2081</v>
      </c>
      <c r="I505" s="140" t="str">
        <f>VLOOKUP(H505,Stock_list!A:R,18,FALSE)</f>
        <v>斯迈</v>
      </c>
      <c r="J505" s="139" t="str">
        <f>VLOOKUP(H505,Stock_list!A:S,17,FALSE)</f>
        <v>C49SZX20240018DZ</v>
      </c>
      <c r="K505" s="51" t="str">
        <f>VLOOKUP(H505,Stock_list!A:T,16,FALSE)</f>
        <v>JPY</v>
      </c>
      <c r="L505" s="4">
        <v>45323</v>
      </c>
      <c r="M505" s="143">
        <v>1</v>
      </c>
      <c r="P505" s="4" t="str">
        <f>VLOOKUP(H505,Stock_list!A:Y,25,FALSE)</f>
        <v>Yes</v>
      </c>
      <c r="S505" s="543"/>
      <c r="T505" s="144"/>
      <c r="U505" s="145" t="str">
        <f>VLOOKUP(H505,Stock_list!A:N,14,FALSE)</f>
        <v>FEB 24</v>
      </c>
    </row>
    <row r="506" spans="1:21" ht="16.5" customHeight="1">
      <c r="A506" s="159" t="s">
        <v>2749</v>
      </c>
      <c r="B506" s="114" t="str">
        <f>VLOOKUP(A506,'Data pick slip'!B:F,5,FALSE)</f>
        <v>KHJ-MC500-00</v>
      </c>
      <c r="F506" s="157" t="s">
        <v>1381</v>
      </c>
      <c r="H506" s="138">
        <v>2081</v>
      </c>
      <c r="I506" s="140" t="str">
        <f>VLOOKUP(H506,Stock_list!A:R,18,FALSE)</f>
        <v>斯迈</v>
      </c>
      <c r="J506" s="139" t="str">
        <f>VLOOKUP(H506,Stock_list!A:S,17,FALSE)</f>
        <v>C49SZX20240018DZ</v>
      </c>
      <c r="K506" s="51" t="str">
        <f>VLOOKUP(H506,Stock_list!A:T,16,FALSE)</f>
        <v>JPY</v>
      </c>
      <c r="L506" s="4">
        <v>45323</v>
      </c>
      <c r="M506" s="143">
        <v>1</v>
      </c>
      <c r="P506" s="4" t="str">
        <f>VLOOKUP(H506,Stock_list!A:Y,25,FALSE)</f>
        <v>Yes</v>
      </c>
      <c r="T506" s="144"/>
      <c r="U506" s="145" t="str">
        <f>VLOOKUP(H506,Stock_list!A:N,14,FALSE)</f>
        <v>FEB 24</v>
      </c>
    </row>
    <row r="507" spans="1:21" ht="16.5" customHeight="1">
      <c r="A507" s="159" t="s">
        <v>2744</v>
      </c>
      <c r="B507" s="114" t="str">
        <f>VLOOKUP(A507,'Data pick slip'!B:F,5,FALSE)</f>
        <v>KHJ-MC100-00</v>
      </c>
      <c r="F507" s="157" t="s">
        <v>2753</v>
      </c>
      <c r="H507" s="138">
        <v>2085</v>
      </c>
      <c r="I507" s="140" t="str">
        <f>VLOOKUP(H507,Stock_list!A:R,18,FALSE)</f>
        <v>江西优控</v>
      </c>
      <c r="J507" s="139" t="str">
        <f>VLOOKUP(H507,Stock_list!A:S,17,FALSE)</f>
        <v>C49SZX20240013SX</v>
      </c>
      <c r="K507" s="51" t="str">
        <f>VLOOKUP(H507,Stock_list!A:T,16,FALSE)</f>
        <v>JPY</v>
      </c>
      <c r="L507" s="4">
        <v>45346</v>
      </c>
      <c r="M507" s="140">
        <v>20</v>
      </c>
      <c r="P507" s="4" t="str">
        <f>VLOOKUP(H507,Stock_list!A:Y,25,FALSE)</f>
        <v>Yes</v>
      </c>
      <c r="Q507" s="143"/>
      <c r="S507" s="123" t="s">
        <v>4606</v>
      </c>
      <c r="T507" s="144"/>
      <c r="U507" s="145" t="str">
        <f>VLOOKUP(H507,Stock_list!A:N,14,FALSE)</f>
        <v>FEB 24</v>
      </c>
    </row>
    <row r="508" spans="1:21" ht="16.5" customHeight="1">
      <c r="A508" s="159" t="s">
        <v>2744</v>
      </c>
      <c r="B508" s="114" t="str">
        <f>VLOOKUP(A508,'Data pick slip'!B:F,5,FALSE)</f>
        <v>KHJ-MC100-00</v>
      </c>
      <c r="F508" s="157" t="s">
        <v>1381</v>
      </c>
      <c r="H508" s="138">
        <v>2087</v>
      </c>
      <c r="I508" s="140" t="str">
        <f>VLOOKUP(H508,Stock_list!A:R,18,FALSE)</f>
        <v>佳日兴（end user:广基达）</v>
      </c>
      <c r="J508" s="139" t="str">
        <f>VLOOKUP(H508,Stock_list!A:S,17,FALSE)</f>
        <v>C49SZX20240019SX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FEB 24</v>
      </c>
    </row>
    <row r="509" spans="1:21" ht="16.5" customHeight="1">
      <c r="A509" s="159" t="s">
        <v>2756</v>
      </c>
      <c r="B509" s="114" t="str">
        <f>VLOOKUP(A509,'Data pick slip'!B:F,5,FALSE)</f>
        <v>KLJ-MC200-00</v>
      </c>
      <c r="F509" s="157" t="s">
        <v>1381</v>
      </c>
      <c r="H509" s="138">
        <v>2087</v>
      </c>
      <c r="I509" s="140" t="str">
        <f>VLOOKUP(H509,Stock_list!A:R,18,FALSE)</f>
        <v>佳日兴（end user:广基达）</v>
      </c>
      <c r="J509" s="139" t="str">
        <f>VLOOKUP(H509,Stock_list!A:S,17,FALSE)</f>
        <v>C49SZX20240019SX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FEB 24</v>
      </c>
    </row>
    <row r="510" spans="1:21" ht="16.5" customHeight="1">
      <c r="A510" s="159" t="s">
        <v>2757</v>
      </c>
      <c r="B510" s="114" t="str">
        <f>VLOOKUP(A510,'Data pick slip'!B:F,5,FALSE)</f>
        <v>KLJ-MC400-00</v>
      </c>
      <c r="F510" s="157" t="s">
        <v>1381</v>
      </c>
      <c r="H510" s="138">
        <v>2087</v>
      </c>
      <c r="I510" s="140" t="str">
        <f>VLOOKUP(H510,Stock_list!A:R,18,FALSE)</f>
        <v>佳日兴（end user:广基达）</v>
      </c>
      <c r="J510" s="139" t="str">
        <f>VLOOKUP(H510,Stock_list!A:S,17,FALSE)</f>
        <v>C49SZX20240019SX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FEB 24</v>
      </c>
    </row>
    <row r="511" spans="1:21" ht="16.5" customHeight="1">
      <c r="A511" s="159" t="s">
        <v>2758</v>
      </c>
      <c r="B511" s="114" t="str">
        <f>VLOOKUP(A511,'Data pick slip'!B:F,5,FALSE)</f>
        <v>KLJ-MC500-00</v>
      </c>
      <c r="F511" s="157" t="s">
        <v>1381</v>
      </c>
      <c r="H511" s="138">
        <v>2087</v>
      </c>
      <c r="I511" s="140" t="str">
        <f>VLOOKUP(H511,Stock_list!A:R,18,FALSE)</f>
        <v>佳日兴（end user:广基达）</v>
      </c>
      <c r="J511" s="139" t="str">
        <f>VLOOKUP(H511,Stock_list!A:S,17,FALSE)</f>
        <v>C49SZX20240019SX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FEB 24</v>
      </c>
    </row>
    <row r="512" spans="1:21" ht="16.5" customHeight="1">
      <c r="A512" s="159" t="s">
        <v>2744</v>
      </c>
      <c r="B512" s="114" t="str">
        <f>VLOOKUP(A512,'Data pick slip'!B:F,5,FALSE)</f>
        <v>KHJ-MC100-00</v>
      </c>
      <c r="F512" s="157" t="s">
        <v>2753</v>
      </c>
      <c r="H512" s="138">
        <v>2090</v>
      </c>
      <c r="I512" s="832" t="str">
        <f>VLOOKUP(H512,Stock_list!A:R,18,FALSE)</f>
        <v>格美通</v>
      </c>
      <c r="J512" s="833" t="str">
        <f>VLOOKUP(H512,Stock_list!A:S,17,FALSE)</f>
        <v>C49SZX20240021EC</v>
      </c>
      <c r="K512" s="834" t="str">
        <f>VLOOKUP(H512,Stock_list!A:T,16,FALSE)</f>
        <v>JPY</v>
      </c>
      <c r="L512" s="835">
        <v>45341</v>
      </c>
      <c r="M512" s="832">
        <v>28</v>
      </c>
      <c r="N512" s="836"/>
      <c r="O512" s="838"/>
      <c r="P512" s="835" t="str">
        <f>VLOOKUP(H512,Stock_list!A:Y,25,FALSE)</f>
        <v>Yes</v>
      </c>
      <c r="Q512" s="838"/>
      <c r="R512" s="839"/>
      <c r="S512" s="840" t="s">
        <v>4548</v>
      </c>
      <c r="T512" s="144"/>
      <c r="U512" s="145" t="str">
        <f>VLOOKUP(H512,Stock_list!A:N,14,FALSE)</f>
        <v>FEB 24</v>
      </c>
    </row>
    <row r="513" spans="1:21" ht="16.5" customHeight="1">
      <c r="A513" s="159" t="s">
        <v>2744</v>
      </c>
      <c r="B513" s="114" t="str">
        <f>VLOOKUP(A513,'Data pick slip'!B:F,5,FALSE)</f>
        <v>KHJ-MC100-00</v>
      </c>
      <c r="F513" s="157" t="s">
        <v>2762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>
        <f>VLOOKUP(H513,Stock_list!A:N,14,FALSE)</f>
        <v>0</v>
      </c>
    </row>
    <row r="514" spans="1:21" ht="16.5" customHeight="1">
      <c r="A514" s="159" t="s">
        <v>2747</v>
      </c>
      <c r="B514" s="114" t="str">
        <f>VLOOKUP(A514,'Data pick slip'!B:F,5,FALSE)</f>
        <v>KHJ-MC200-00</v>
      </c>
      <c r="F514" s="157" t="s">
        <v>2762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>
        <f>VLOOKUP(H514,Stock_list!A:N,14,FALSE)</f>
        <v>0</v>
      </c>
    </row>
    <row r="515" spans="1:21" ht="16.5" customHeight="1">
      <c r="A515" s="159" t="s">
        <v>2748</v>
      </c>
      <c r="B515" s="114" t="str">
        <f>VLOOKUP(A515,'Data pick slip'!B:F,5,FALSE)</f>
        <v>KHJ-MC400-00</v>
      </c>
      <c r="F515" s="157" t="s">
        <v>2762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>
        <f>VLOOKUP(H515,Stock_list!A:N,14,FALSE)</f>
        <v>0</v>
      </c>
    </row>
    <row r="516" spans="1:21" ht="16.5" customHeight="1">
      <c r="A516" s="159" t="s">
        <v>2759</v>
      </c>
      <c r="B516" s="114" t="str">
        <f>VLOOKUP(A516,'Data pick slip'!B:F,5,FALSE)</f>
        <v>KLJ-MC600-00</v>
      </c>
      <c r="F516" s="157" t="s">
        <v>1381</v>
      </c>
      <c r="H516" s="138" t="s">
        <v>4563</v>
      </c>
      <c r="I516" s="140">
        <v>66</v>
      </c>
      <c r="J516" s="139" t="s">
        <v>4561</v>
      </c>
      <c r="K516" s="51" t="s">
        <v>4565</v>
      </c>
      <c r="L516" s="4">
        <v>45296</v>
      </c>
      <c r="M516" s="140">
        <v>1</v>
      </c>
      <c r="P516" s="4" t="s">
        <v>4564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2759</v>
      </c>
      <c r="B517" s="114" t="str">
        <f>VLOOKUP(A517,'Data pick slip'!B:F,5,FALSE)</f>
        <v>KLJ-MC600-00</v>
      </c>
      <c r="F517" s="157" t="s">
        <v>1381</v>
      </c>
      <c r="H517" s="138" t="s">
        <v>4563</v>
      </c>
      <c r="I517" s="140">
        <v>66</v>
      </c>
      <c r="J517" s="139" t="s">
        <v>4562</v>
      </c>
      <c r="K517" s="51" t="s">
        <v>4565</v>
      </c>
      <c r="L517" s="4">
        <v>45308</v>
      </c>
      <c r="M517" s="140">
        <v>1</v>
      </c>
      <c r="P517" s="4" t="s">
        <v>4564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 t="s">
        <v>2747</v>
      </c>
      <c r="B518" s="114" t="str">
        <f>VLOOKUP(A518,'Data pick slip'!B:F,5,FALSE)</f>
        <v>KHJ-MC200-00</v>
      </c>
      <c r="F518" s="157" t="s">
        <v>2762</v>
      </c>
      <c r="H518" s="138">
        <v>2098</v>
      </c>
      <c r="I518" s="140" t="str">
        <f>VLOOKUP(H518,Stock_list!A:R,18,FALSE)</f>
        <v>建航</v>
      </c>
      <c r="J518" s="139" t="str">
        <f>VLOOKUP(H518,Stock_list!A:S,17,FALSE)</f>
        <v>C49SZX20240029JY</v>
      </c>
      <c r="K518" s="51" t="str">
        <f>VLOOKUP(H518,Stock_list!A:T,16,FALSE)</f>
        <v>JPY</v>
      </c>
      <c r="L518" s="4"/>
      <c r="P518" s="4" t="str">
        <f>VLOOKUP(H518,Stock_list!A:Y,25,FALSE)</f>
        <v>Yes</v>
      </c>
      <c r="Q518" s="143">
        <v>15</v>
      </c>
      <c r="T518" s="144"/>
      <c r="U518" s="145" t="str">
        <f>VLOOKUP(H518,Stock_list!A:N,14,FALSE)</f>
        <v>MAR 24</v>
      </c>
    </row>
    <row r="519" spans="1:21" ht="16.5" customHeight="1">
      <c r="A519" s="159" t="s">
        <v>2748</v>
      </c>
      <c r="B519" s="114" t="str">
        <f>VLOOKUP(A519,'Data pick slip'!B:F,5,FALSE)</f>
        <v>KHJ-MC400-00</v>
      </c>
      <c r="F519" s="157" t="s">
        <v>2762</v>
      </c>
      <c r="H519" s="138">
        <v>2098</v>
      </c>
      <c r="I519" s="140" t="str">
        <f>VLOOKUP(H519,Stock_list!A:R,18,FALSE)</f>
        <v>建航</v>
      </c>
      <c r="J519" s="139" t="str">
        <f>VLOOKUP(H519,Stock_list!A:S,17,FALSE)</f>
        <v>C49SZX20240029JY</v>
      </c>
      <c r="K519" s="51" t="str">
        <f>VLOOKUP(H519,Stock_list!A:T,16,FALSE)</f>
        <v>JPY</v>
      </c>
      <c r="L519" s="4"/>
      <c r="P519" s="4" t="str">
        <f>VLOOKUP(H519,Stock_list!A:Y,25,FALSE)</f>
        <v>Yes</v>
      </c>
      <c r="Q519" s="143">
        <v>4</v>
      </c>
      <c r="T519" s="144"/>
      <c r="U519" s="145" t="str">
        <f>VLOOKUP(H519,Stock_list!A:N,14,FALSE)</f>
        <v>MAR 24</v>
      </c>
    </row>
    <row r="520" spans="1:21" ht="16.5" customHeight="1">
      <c r="A520" s="159"/>
      <c r="B520" s="114" t="e">
        <f>VLOOKUP(A520,'Data pick slip'!B:F,5,FALSE)</f>
        <v>#N/A</v>
      </c>
      <c r="I520" s="140" t="e">
        <f>VLOOKUP(H520,Stock_list!A:R,18,FALSE)</f>
        <v>#N/A</v>
      </c>
      <c r="J520" s="139" t="e">
        <f>VLOOKUP(H520,Stock_list!A:S,17,FALSE)</f>
        <v>#N/A</v>
      </c>
      <c r="K520" s="51" t="e">
        <f>VLOOKUP(H520,Stock_list!A:T,16,FALSE)</f>
        <v>#N/A</v>
      </c>
      <c r="L520" s="4"/>
      <c r="P520" s="4" t="e">
        <f>VLOOKUP(H520,Stock_list!A:Y,25,FALSE)</f>
        <v>#N/A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/>
      <c r="B521" s="114" t="e">
        <f>VLOOKUP(A521,'Data pick slip'!B:F,5,FALSE)</f>
        <v>#N/A</v>
      </c>
      <c r="I521" s="140" t="e">
        <f>VLOOKUP(H521,Stock_list!A:R,18,FALSE)</f>
        <v>#N/A</v>
      </c>
      <c r="J521" s="139" t="e">
        <f>VLOOKUP(H521,Stock_list!A:S,17,FALSE)</f>
        <v>#N/A</v>
      </c>
      <c r="K521" s="51" t="e">
        <f>VLOOKUP(H521,Stock_list!A:T,16,FALSE)</f>
        <v>#N/A</v>
      </c>
      <c r="L521" s="4"/>
      <c r="P521" s="4" t="e">
        <f>VLOOKUP(H521,Stock_list!A:Y,25,FALSE)</f>
        <v>#N/A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/>
      <c r="B522" s="114" t="e">
        <f>VLOOKUP(A522,'Data pick slip'!B:F,5,FALSE)</f>
        <v>#N/A</v>
      </c>
      <c r="I522" s="140" t="e">
        <f>VLOOKUP(H522,Stock_list!A:R,18,FALSE)</f>
        <v>#N/A</v>
      </c>
      <c r="J522" s="139" t="e">
        <f>VLOOKUP(H522,Stock_list!A:S,17,FALSE)</f>
        <v>#N/A</v>
      </c>
      <c r="K522" s="51" t="e">
        <f>VLOOKUP(H522,Stock_list!A:T,16,FALSE)</f>
        <v>#N/A</v>
      </c>
      <c r="L522" s="4"/>
      <c r="P522" s="4" t="e">
        <f>VLOOKUP(H522,Stock_list!A:Y,25,FALSE)</f>
        <v>#N/A</v>
      </c>
      <c r="Q522" s="143"/>
      <c r="T522" s="144"/>
      <c r="U522" s="145" t="e">
        <f>VLOOKUP(H522,Stock_list!A:N,14,FALSE)</f>
        <v>#N/A</v>
      </c>
    </row>
    <row r="523" spans="1:21" ht="16.5" customHeight="1">
      <c r="A523" s="159"/>
      <c r="B523" s="114" t="e">
        <f>VLOOKUP(A523,'Data pick slip'!B:F,5,FALSE)</f>
        <v>#N/A</v>
      </c>
      <c r="I523" s="140" t="e">
        <f>VLOOKUP(H523,Stock_list!A:R,18,FALSE)</f>
        <v>#N/A</v>
      </c>
      <c r="J523" s="139" t="e">
        <f>VLOOKUP(H523,Stock_list!A:S,17,FALSE)</f>
        <v>#N/A</v>
      </c>
      <c r="K523" s="51" t="e">
        <f>VLOOKUP(H523,Stock_list!A:T,16,FALSE)</f>
        <v>#N/A</v>
      </c>
      <c r="L523" s="4"/>
      <c r="P523" s="4" t="e">
        <f>VLOOKUP(H523,Stock_list!A:Y,25,FALSE)</f>
        <v>#N/A</v>
      </c>
      <c r="Q523" s="143"/>
      <c r="T523" s="144"/>
      <c r="U523" s="145" t="e">
        <f>VLOOKUP(H523,Stock_list!A:N,14,FALSE)</f>
        <v>#N/A</v>
      </c>
    </row>
    <row r="524" spans="1:21" ht="16.5" customHeight="1">
      <c r="A524" s="210" t="s">
        <v>2744</v>
      </c>
      <c r="B524" s="114" t="str">
        <f>VLOOKUP(A524,'Data pick slip'!B:F,5,FALSE)</f>
        <v>KHJ-MC100-00</v>
      </c>
      <c r="C524" s="211"/>
      <c r="D524" s="212"/>
      <c r="E524" s="306"/>
      <c r="F524" s="213" t="s">
        <v>3874</v>
      </c>
      <c r="G524" s="214"/>
      <c r="H524" s="215"/>
      <c r="I524" s="217" t="s">
        <v>2784</v>
      </c>
      <c r="J524" s="216" t="s">
        <v>2784</v>
      </c>
      <c r="K524" s="93"/>
      <c r="L524" s="9"/>
      <c r="M524" s="217"/>
      <c r="N524" s="340">
        <f>500</f>
        <v>500</v>
      </c>
      <c r="P524" s="4"/>
      <c r="Q524" s="143"/>
      <c r="T524" s="144"/>
      <c r="U524" s="145" t="e">
        <f>VLOOKUP(H524,Stock_list!A:N,14,FALSE)</f>
        <v>#N/A</v>
      </c>
    </row>
    <row r="525" spans="1:21" ht="16.5" customHeight="1">
      <c r="A525" s="210" t="s">
        <v>2747</v>
      </c>
      <c r="B525" s="114" t="str">
        <f>VLOOKUP(A525,'Data pick slip'!B:F,5,FALSE)</f>
        <v>KHJ-MC200-00</v>
      </c>
      <c r="C525" s="211"/>
      <c r="D525" s="212"/>
      <c r="E525" s="306"/>
      <c r="F525" s="213" t="s">
        <v>3874</v>
      </c>
      <c r="G525" s="214"/>
      <c r="H525" s="215"/>
      <c r="I525" s="217" t="s">
        <v>2784</v>
      </c>
      <c r="J525" s="216" t="s">
        <v>2784</v>
      </c>
      <c r="K525" s="93"/>
      <c r="L525" s="9"/>
      <c r="M525" s="217"/>
      <c r="N525" s="340">
        <f>100</f>
        <v>100</v>
      </c>
      <c r="P525" s="4"/>
      <c r="Q525" s="143"/>
      <c r="T525" s="144"/>
      <c r="U525" s="145" t="e">
        <f>VLOOKUP(H525,Stock_list!A:N,14,FALSE)</f>
        <v>#N/A</v>
      </c>
    </row>
    <row r="526" spans="1:21" ht="16.5" customHeight="1">
      <c r="A526" s="210" t="s">
        <v>2748</v>
      </c>
      <c r="B526" s="114" t="str">
        <f>VLOOKUP(A526,'Data pick slip'!B:F,5,FALSE)</f>
        <v>KHJ-MC400-00</v>
      </c>
      <c r="C526" s="211"/>
      <c r="D526" s="212"/>
      <c r="E526" s="306"/>
      <c r="F526" s="213" t="s">
        <v>3874</v>
      </c>
      <c r="G526" s="214"/>
      <c r="H526" s="215"/>
      <c r="I526" s="217" t="s">
        <v>2784</v>
      </c>
      <c r="J526" s="216" t="s">
        <v>2784</v>
      </c>
      <c r="K526" s="93"/>
      <c r="L526" s="9"/>
      <c r="M526" s="217"/>
      <c r="N526" s="340">
        <f>30</f>
        <v>30</v>
      </c>
      <c r="P526" s="4"/>
      <c r="Q526" s="143"/>
      <c r="T526" s="144"/>
      <c r="U526" s="145"/>
    </row>
    <row r="527" spans="1:21" ht="16.5" customHeight="1">
      <c r="A527" s="210" t="s">
        <v>2749</v>
      </c>
      <c r="B527" s="114" t="str">
        <f>VLOOKUP(A527,'Data pick slip'!B:F,5,FALSE)</f>
        <v>KHJ-MC500-00</v>
      </c>
      <c r="C527" s="211"/>
      <c r="D527" s="212"/>
      <c r="E527" s="306"/>
      <c r="F527" s="213" t="s">
        <v>3874</v>
      </c>
      <c r="G527" s="214"/>
      <c r="H527" s="215"/>
      <c r="I527" s="217" t="s">
        <v>2784</v>
      </c>
      <c r="J527" s="216" t="s">
        <v>2784</v>
      </c>
      <c r="K527" s="93"/>
      <c r="L527" s="9"/>
      <c r="M527" s="217"/>
      <c r="N527" s="340">
        <f>15</f>
        <v>15</v>
      </c>
      <c r="P527" s="4"/>
      <c r="Q527" s="143"/>
      <c r="T527" s="144"/>
      <c r="U527" s="145"/>
    </row>
    <row r="528" spans="1:21" ht="16.5" customHeight="1">
      <c r="A528" s="210" t="s">
        <v>2750</v>
      </c>
      <c r="B528" s="114" t="str">
        <f>VLOOKUP(A528,'Data pick slip'!B:F,5,FALSE)</f>
        <v>KHJ-MC600-00</v>
      </c>
      <c r="C528" s="211"/>
      <c r="D528" s="212"/>
      <c r="E528" s="306"/>
      <c r="F528" s="213" t="s">
        <v>3874</v>
      </c>
      <c r="G528" s="214"/>
      <c r="H528" s="215"/>
      <c r="I528" s="217" t="s">
        <v>2784</v>
      </c>
      <c r="J528" s="216" t="s">
        <v>2784</v>
      </c>
      <c r="K528" s="93"/>
      <c r="L528" s="9"/>
      <c r="M528" s="217"/>
      <c r="N528" s="340">
        <f>6</f>
        <v>6</v>
      </c>
      <c r="P528" s="4"/>
      <c r="Q528" s="143"/>
      <c r="T528" s="144"/>
      <c r="U528" s="145"/>
    </row>
    <row r="529" spans="1:21" ht="16.5" customHeight="1">
      <c r="A529" s="210" t="s">
        <v>2751</v>
      </c>
      <c r="B529" s="114" t="str">
        <f>VLOOKUP(A529,'Data pick slip'!B:F,5,FALSE)</f>
        <v>KHJ-MC700-00</v>
      </c>
      <c r="C529" s="211"/>
      <c r="D529" s="212"/>
      <c r="E529" s="306"/>
      <c r="F529" s="213" t="s">
        <v>3874</v>
      </c>
      <c r="G529" s="214"/>
      <c r="H529" s="215"/>
      <c r="I529" s="217" t="s">
        <v>2784</v>
      </c>
      <c r="J529" s="216" t="s">
        <v>2784</v>
      </c>
      <c r="K529" s="93"/>
      <c r="L529" s="9"/>
      <c r="M529" s="217"/>
      <c r="N529" s="340">
        <f>2</f>
        <v>2</v>
      </c>
      <c r="P529" s="4"/>
      <c r="Q529" s="143"/>
      <c r="T529" s="144"/>
      <c r="U529" s="145"/>
    </row>
    <row r="530" spans="1:21" ht="16.5" customHeight="1">
      <c r="A530" s="210" t="s">
        <v>2752</v>
      </c>
      <c r="B530" s="114" t="str">
        <f>VLOOKUP(A530,'Data pick slip'!B:F,5,FALSE)</f>
        <v>KHJ-MC800-00</v>
      </c>
      <c r="C530" s="211"/>
      <c r="D530" s="212"/>
      <c r="E530" s="306"/>
      <c r="F530" s="213" t="s">
        <v>3874</v>
      </c>
      <c r="G530" s="214"/>
      <c r="H530" s="215"/>
      <c r="I530" s="217" t="s">
        <v>2784</v>
      </c>
      <c r="J530" s="216" t="s">
        <v>2784</v>
      </c>
      <c r="K530" s="93"/>
      <c r="L530" s="9"/>
      <c r="M530" s="217"/>
      <c r="N530" s="340">
        <v>0</v>
      </c>
      <c r="P530" s="4"/>
      <c r="Q530" s="143"/>
      <c r="T530" s="144"/>
      <c r="U530" s="145"/>
    </row>
    <row r="531" spans="1:21" ht="16.5" customHeight="1">
      <c r="A531" s="210" t="s">
        <v>2755</v>
      </c>
      <c r="B531" s="114" t="str">
        <f>VLOOKUP(A531,'Data pick slip'!B:F,5,FALSE)</f>
        <v>KLJ-MC100-00</v>
      </c>
      <c r="C531" s="211"/>
      <c r="D531" s="212"/>
      <c r="E531" s="306"/>
      <c r="F531" s="213" t="s">
        <v>3874</v>
      </c>
      <c r="G531" s="214"/>
      <c r="H531" s="215"/>
      <c r="I531" s="217" t="s">
        <v>2784</v>
      </c>
      <c r="J531" s="216" t="s">
        <v>2784</v>
      </c>
      <c r="K531" s="93"/>
      <c r="L531" s="9"/>
      <c r="M531" s="217"/>
      <c r="N531" s="340">
        <v>200</v>
      </c>
      <c r="P531" s="4"/>
      <c r="Q531" s="143"/>
      <c r="T531" s="144"/>
      <c r="U531" s="145"/>
    </row>
    <row r="532" spans="1:21" ht="16.5" customHeight="1">
      <c r="A532" s="210" t="s">
        <v>2756</v>
      </c>
      <c r="B532" s="114" t="str">
        <f>VLOOKUP(A532,'Data pick slip'!B:F,5,FALSE)</f>
        <v>KLJ-MC200-00</v>
      </c>
      <c r="C532" s="211"/>
      <c r="D532" s="212"/>
      <c r="E532" s="306"/>
      <c r="F532" s="213" t="s">
        <v>3874</v>
      </c>
      <c r="G532" s="214"/>
      <c r="H532" s="215"/>
      <c r="I532" s="217" t="s">
        <v>2784</v>
      </c>
      <c r="J532" s="216" t="s">
        <v>2784</v>
      </c>
      <c r="K532" s="93"/>
      <c r="L532" s="9"/>
      <c r="M532" s="217"/>
      <c r="N532" s="340">
        <v>30</v>
      </c>
      <c r="P532" s="4"/>
      <c r="T532" s="144"/>
      <c r="U532" s="145"/>
    </row>
    <row r="533" spans="1:21" ht="16.5" customHeight="1">
      <c r="A533" s="210" t="s">
        <v>2757</v>
      </c>
      <c r="B533" s="114" t="str">
        <f>VLOOKUP(A533,'Data pick slip'!B:F,5,FALSE)</f>
        <v>KLJ-MC400-00</v>
      </c>
      <c r="C533" s="211"/>
      <c r="D533" s="212"/>
      <c r="E533" s="306"/>
      <c r="F533" s="213" t="s">
        <v>3874</v>
      </c>
      <c r="G533" s="214"/>
      <c r="H533" s="215"/>
      <c r="I533" s="217" t="s">
        <v>2784</v>
      </c>
      <c r="J533" s="216" t="s">
        <v>2784</v>
      </c>
      <c r="K533" s="93"/>
      <c r="L533" s="9"/>
      <c r="M533" s="217"/>
      <c r="N533" s="340">
        <v>10</v>
      </c>
      <c r="P533" s="4"/>
      <c r="Q533" s="143"/>
      <c r="T533" s="144"/>
      <c r="U533" s="145"/>
    </row>
    <row r="534" spans="1:21" ht="16.5" customHeight="1">
      <c r="A534" s="210" t="s">
        <v>2758</v>
      </c>
      <c r="B534" s="114" t="str">
        <f>VLOOKUP(A534,'Data pick slip'!B:F,5,FALSE)</f>
        <v>KLJ-MC500-00</v>
      </c>
      <c r="C534" s="211"/>
      <c r="D534" s="212"/>
      <c r="E534" s="306"/>
      <c r="F534" s="213" t="s">
        <v>3874</v>
      </c>
      <c r="G534" s="214"/>
      <c r="H534" s="215"/>
      <c r="I534" s="217" t="s">
        <v>2784</v>
      </c>
      <c r="J534" s="216" t="s">
        <v>2784</v>
      </c>
      <c r="K534" s="93"/>
      <c r="L534" s="9"/>
      <c r="M534" s="217"/>
      <c r="N534" s="340">
        <v>5</v>
      </c>
      <c r="P534" s="4"/>
      <c r="Q534" s="143"/>
      <c r="T534" s="144"/>
      <c r="U534" s="145"/>
    </row>
    <row r="535" spans="1:21" ht="16.5" customHeight="1">
      <c r="A535" s="210" t="s">
        <v>2759</v>
      </c>
      <c r="B535" s="114" t="str">
        <f>VLOOKUP(A535,'Data pick slip'!B:F,5,FALSE)</f>
        <v>KLJ-MC600-00</v>
      </c>
      <c r="C535" s="211"/>
      <c r="D535" s="212"/>
      <c r="E535" s="306"/>
      <c r="F535" s="213" t="s">
        <v>3874</v>
      </c>
      <c r="G535" s="214"/>
      <c r="H535" s="215"/>
      <c r="I535" s="217" t="s">
        <v>2784</v>
      </c>
      <c r="J535" s="216" t="s">
        <v>2784</v>
      </c>
      <c r="K535" s="93"/>
      <c r="L535" s="9"/>
      <c r="M535" s="217"/>
      <c r="N535" s="340">
        <v>0</v>
      </c>
      <c r="P535" s="4"/>
      <c r="Q535" s="143"/>
      <c r="T535" s="144"/>
      <c r="U535" s="145"/>
    </row>
    <row r="536" spans="1:21" ht="16.5" customHeight="1">
      <c r="A536" s="210" t="s">
        <v>2760</v>
      </c>
      <c r="B536" s="114" t="str">
        <f>VLOOKUP(A536,'Data pick slip'!B:F,5,FALSE)</f>
        <v>KLJ-MC700-00</v>
      </c>
      <c r="C536" s="211"/>
      <c r="D536" s="212"/>
      <c r="E536" s="306"/>
      <c r="F536" s="213" t="s">
        <v>3874</v>
      </c>
      <c r="G536" s="214"/>
      <c r="H536" s="215"/>
      <c r="I536" s="217" t="s">
        <v>2784</v>
      </c>
      <c r="J536" s="216" t="s">
        <v>2784</v>
      </c>
      <c r="K536" s="93"/>
      <c r="L536" s="9"/>
      <c r="M536" s="217"/>
      <c r="N536" s="340">
        <v>0</v>
      </c>
      <c r="P536" s="4"/>
      <c r="Q536" s="143"/>
      <c r="T536" s="144"/>
      <c r="U536" s="145"/>
    </row>
    <row r="537" spans="1:21" ht="16.5" customHeight="1">
      <c r="A537" s="210" t="s">
        <v>2761</v>
      </c>
      <c r="B537" s="114" t="str">
        <f>VLOOKUP(A537,'Data pick slip'!B:F,5,FALSE)</f>
        <v>KLJ-MC800-00</v>
      </c>
      <c r="C537" s="211"/>
      <c r="D537" s="212"/>
      <c r="E537" s="306"/>
      <c r="F537" s="213" t="s">
        <v>3874</v>
      </c>
      <c r="G537" s="214"/>
      <c r="H537" s="215"/>
      <c r="I537" s="217" t="s">
        <v>2784</v>
      </c>
      <c r="J537" s="216" t="s">
        <v>2784</v>
      </c>
      <c r="K537" s="93"/>
      <c r="L537" s="9"/>
      <c r="M537" s="217"/>
      <c r="N537" s="340">
        <v>0</v>
      </c>
      <c r="P537" s="4"/>
      <c r="Q537" s="143"/>
      <c r="T537" s="144"/>
      <c r="U537" s="145"/>
    </row>
    <row r="538" spans="1:21" ht="16.5" customHeight="1">
      <c r="A538" s="218" t="s">
        <v>2744</v>
      </c>
      <c r="B538" s="114" t="str">
        <f>VLOOKUP(A538,'Data pick slip'!B:F,5,FALSE)</f>
        <v>KHJ-MC100-00</v>
      </c>
      <c r="C538" s="219"/>
      <c r="D538" s="220"/>
      <c r="E538" s="255"/>
      <c r="F538" s="213" t="s">
        <v>3874</v>
      </c>
      <c r="G538" s="222"/>
      <c r="H538" s="223"/>
      <c r="I538" s="225" t="s">
        <v>2786</v>
      </c>
      <c r="J538" s="224" t="s">
        <v>2786</v>
      </c>
      <c r="K538" s="94"/>
      <c r="L538" s="10"/>
      <c r="M538" s="225"/>
      <c r="N538" s="341">
        <f>300</f>
        <v>300</v>
      </c>
      <c r="P538" s="4"/>
      <c r="Q538" s="143"/>
      <c r="T538" s="144"/>
      <c r="U538" s="145"/>
    </row>
    <row r="539" spans="1:21" ht="16.5" customHeight="1">
      <c r="A539" s="218" t="s">
        <v>2747</v>
      </c>
      <c r="B539" s="114" t="str">
        <f>VLOOKUP(A539,'Data pick slip'!B:F,5,FALSE)</f>
        <v>KHJ-MC200-00</v>
      </c>
      <c r="C539" s="219"/>
      <c r="D539" s="220"/>
      <c r="E539" s="255"/>
      <c r="F539" s="213" t="s">
        <v>3874</v>
      </c>
      <c r="G539" s="222"/>
      <c r="H539" s="223"/>
      <c r="I539" s="225" t="s">
        <v>2786</v>
      </c>
      <c r="J539" s="224" t="s">
        <v>2786</v>
      </c>
      <c r="K539" s="94"/>
      <c r="L539" s="10"/>
      <c r="M539" s="225"/>
      <c r="N539" s="341">
        <f>150</f>
        <v>150</v>
      </c>
      <c r="P539" s="4"/>
      <c r="Q539" s="143"/>
      <c r="T539" s="144"/>
      <c r="U539" s="145"/>
    </row>
    <row r="540" spans="1:21" ht="16.5" customHeight="1">
      <c r="A540" s="218" t="s">
        <v>2748</v>
      </c>
      <c r="B540" s="114" t="str">
        <f>VLOOKUP(A540,'Data pick slip'!B:F,5,FALSE)</f>
        <v>KHJ-MC400-00</v>
      </c>
      <c r="C540" s="219"/>
      <c r="D540" s="220"/>
      <c r="E540" s="255"/>
      <c r="F540" s="213" t="s">
        <v>3874</v>
      </c>
      <c r="G540" s="222"/>
      <c r="H540" s="223"/>
      <c r="I540" s="225" t="s">
        <v>2786</v>
      </c>
      <c r="J540" s="224" t="s">
        <v>2786</v>
      </c>
      <c r="K540" s="94"/>
      <c r="L540" s="10"/>
      <c r="M540" s="225"/>
      <c r="N540" s="341">
        <f>25</f>
        <v>25</v>
      </c>
      <c r="P540" s="4"/>
      <c r="Q540" s="143"/>
      <c r="T540" s="144"/>
      <c r="U540" s="145"/>
    </row>
    <row r="541" spans="1:21" ht="16.5" customHeight="1">
      <c r="A541" s="218" t="s">
        <v>2749</v>
      </c>
      <c r="B541" s="114" t="str">
        <f>VLOOKUP(A541,'Data pick slip'!B:F,5,FALSE)</f>
        <v>KHJ-MC500-00</v>
      </c>
      <c r="C541" s="219"/>
      <c r="D541" s="220"/>
      <c r="E541" s="255"/>
      <c r="F541" s="213" t="s">
        <v>3874</v>
      </c>
      <c r="G541" s="222"/>
      <c r="H541" s="223"/>
      <c r="I541" s="225" t="s">
        <v>2786</v>
      </c>
      <c r="J541" s="224" t="s">
        <v>2786</v>
      </c>
      <c r="K541" s="94"/>
      <c r="L541" s="10"/>
      <c r="M541" s="225"/>
      <c r="N541" s="341">
        <f>15</f>
        <v>15</v>
      </c>
      <c r="P541" s="4"/>
      <c r="Q541" s="143"/>
      <c r="T541" s="144"/>
      <c r="U541" s="145"/>
    </row>
    <row r="542" spans="1:21" ht="16.5" customHeight="1">
      <c r="A542" s="218" t="s">
        <v>2750</v>
      </c>
      <c r="B542" s="114" t="str">
        <f>VLOOKUP(A542,'Data pick slip'!B:F,5,FALSE)</f>
        <v>KHJ-MC600-00</v>
      </c>
      <c r="C542" s="219"/>
      <c r="D542" s="220"/>
      <c r="E542" s="255"/>
      <c r="F542" s="213" t="s">
        <v>3874</v>
      </c>
      <c r="G542" s="222"/>
      <c r="H542" s="223"/>
      <c r="I542" s="225" t="s">
        <v>2786</v>
      </c>
      <c r="J542" s="224" t="s">
        <v>2786</v>
      </c>
      <c r="K542" s="94"/>
      <c r="L542" s="10"/>
      <c r="M542" s="225"/>
      <c r="N542" s="341">
        <f>12</f>
        <v>12</v>
      </c>
      <c r="P542" s="4"/>
      <c r="Q542" s="143"/>
      <c r="T542" s="144"/>
      <c r="U542" s="145"/>
    </row>
    <row r="543" spans="1:21" ht="16.5" customHeight="1">
      <c r="A543" s="218" t="s">
        <v>2751</v>
      </c>
      <c r="B543" s="114" t="str">
        <f>VLOOKUP(A543,'Data pick slip'!B:F,5,FALSE)</f>
        <v>KHJ-MC700-00</v>
      </c>
      <c r="C543" s="219"/>
      <c r="D543" s="220"/>
      <c r="E543" s="255"/>
      <c r="F543" s="213" t="s">
        <v>3874</v>
      </c>
      <c r="G543" s="222"/>
      <c r="H543" s="223"/>
      <c r="I543" s="225" t="s">
        <v>2786</v>
      </c>
      <c r="J543" s="224" t="s">
        <v>2786</v>
      </c>
      <c r="K543" s="94"/>
      <c r="L543" s="10"/>
      <c r="M543" s="225"/>
      <c r="N543" s="341">
        <v>1</v>
      </c>
      <c r="P543" s="4"/>
      <c r="Q543" s="143"/>
      <c r="T543" s="144"/>
      <c r="U543" s="145"/>
    </row>
    <row r="544" spans="1:21" ht="16.5" customHeight="1">
      <c r="A544" s="218" t="s">
        <v>2752</v>
      </c>
      <c r="B544" s="114" t="str">
        <f>VLOOKUP(A544,'Data pick slip'!B:F,5,FALSE)</f>
        <v>KHJ-MC800-00</v>
      </c>
      <c r="C544" s="219"/>
      <c r="D544" s="220"/>
      <c r="E544" s="255"/>
      <c r="F544" s="213" t="s">
        <v>3874</v>
      </c>
      <c r="G544" s="222"/>
      <c r="H544" s="223"/>
      <c r="I544" s="225" t="s">
        <v>2786</v>
      </c>
      <c r="J544" s="224" t="s">
        <v>2786</v>
      </c>
      <c r="K544" s="94"/>
      <c r="L544" s="10"/>
      <c r="M544" s="225"/>
      <c r="N544" s="341">
        <v>0</v>
      </c>
      <c r="P544" s="4"/>
      <c r="Q544" s="143"/>
      <c r="T544" s="144"/>
      <c r="U544" s="145"/>
    </row>
    <row r="545" spans="1:21" ht="16.5" customHeight="1">
      <c r="A545" s="218" t="s">
        <v>2755</v>
      </c>
      <c r="B545" s="114" t="str">
        <f>VLOOKUP(A545,'Data pick slip'!B:F,5,FALSE)</f>
        <v>KLJ-MC100-00</v>
      </c>
      <c r="C545" s="219"/>
      <c r="D545" s="220"/>
      <c r="E545" s="255"/>
      <c r="F545" s="213" t="s">
        <v>3874</v>
      </c>
      <c r="G545" s="222"/>
      <c r="H545" s="223"/>
      <c r="I545" s="225" t="s">
        <v>2786</v>
      </c>
      <c r="J545" s="224" t="s">
        <v>2786</v>
      </c>
      <c r="K545" s="94"/>
      <c r="L545" s="10"/>
      <c r="M545" s="225"/>
      <c r="N545" s="341">
        <v>100</v>
      </c>
      <c r="P545" s="4"/>
      <c r="Q545" s="143"/>
      <c r="T545" s="144"/>
      <c r="U545" s="145"/>
    </row>
    <row r="546" spans="1:21" ht="16.5" customHeight="1">
      <c r="A546" s="218" t="s">
        <v>2756</v>
      </c>
      <c r="B546" s="114" t="str">
        <f>VLOOKUP(A546,'Data pick slip'!B:F,5,FALSE)</f>
        <v>KLJ-MC200-00</v>
      </c>
      <c r="C546" s="219"/>
      <c r="D546" s="220"/>
      <c r="E546" s="255"/>
      <c r="F546" s="213" t="s">
        <v>3874</v>
      </c>
      <c r="G546" s="222"/>
      <c r="H546" s="223"/>
      <c r="I546" s="225" t="s">
        <v>2786</v>
      </c>
      <c r="J546" s="224" t="s">
        <v>2786</v>
      </c>
      <c r="K546" s="94"/>
      <c r="L546" s="10"/>
      <c r="M546" s="225"/>
      <c r="N546" s="341">
        <v>10</v>
      </c>
      <c r="P546" s="4"/>
      <c r="T546" s="144"/>
      <c r="U546" s="145"/>
    </row>
    <row r="547" spans="1:21" ht="16.5" customHeight="1">
      <c r="A547" s="218" t="s">
        <v>2757</v>
      </c>
      <c r="B547" s="114" t="str">
        <f>VLOOKUP(A547,'Data pick slip'!B:F,5,FALSE)</f>
        <v>KLJ-MC400-00</v>
      </c>
      <c r="C547" s="219"/>
      <c r="D547" s="220"/>
      <c r="E547" s="255"/>
      <c r="F547" s="213" t="s">
        <v>3874</v>
      </c>
      <c r="G547" s="222"/>
      <c r="H547" s="223"/>
      <c r="I547" s="225" t="s">
        <v>2786</v>
      </c>
      <c r="J547" s="224" t="s">
        <v>2786</v>
      </c>
      <c r="K547" s="94"/>
      <c r="L547" s="10"/>
      <c r="M547" s="225"/>
      <c r="N547" s="222">
        <v>0</v>
      </c>
      <c r="P547" s="4"/>
      <c r="Q547" s="143"/>
      <c r="T547" s="144"/>
      <c r="U547" s="145"/>
    </row>
    <row r="548" spans="1:21" ht="16.5" customHeight="1">
      <c r="A548" s="218" t="s">
        <v>2758</v>
      </c>
      <c r="B548" s="114" t="str">
        <f>VLOOKUP(A548,'Data pick slip'!B:F,5,FALSE)</f>
        <v>KLJ-MC500-00</v>
      </c>
      <c r="C548" s="219"/>
      <c r="D548" s="220"/>
      <c r="E548" s="255"/>
      <c r="F548" s="213" t="s">
        <v>3874</v>
      </c>
      <c r="G548" s="222"/>
      <c r="H548" s="223"/>
      <c r="I548" s="225" t="s">
        <v>2786</v>
      </c>
      <c r="J548" s="224" t="s">
        <v>2786</v>
      </c>
      <c r="K548" s="94"/>
      <c r="L548" s="10"/>
      <c r="M548" s="225"/>
      <c r="N548" s="222">
        <v>0</v>
      </c>
      <c r="P548" s="4"/>
      <c r="Q548" s="143"/>
      <c r="T548" s="144"/>
      <c r="U548" s="145"/>
    </row>
    <row r="549" spans="1:21" ht="16.5" customHeight="1">
      <c r="A549" s="218" t="s">
        <v>2759</v>
      </c>
      <c r="B549" s="114" t="str">
        <f>VLOOKUP(A549,'Data pick slip'!B:F,5,FALSE)</f>
        <v>KLJ-MC600-00</v>
      </c>
      <c r="C549" s="219"/>
      <c r="D549" s="220"/>
      <c r="E549" s="255"/>
      <c r="F549" s="213" t="s">
        <v>3874</v>
      </c>
      <c r="G549" s="222"/>
      <c r="H549" s="223"/>
      <c r="I549" s="225" t="s">
        <v>2786</v>
      </c>
      <c r="J549" s="224" t="s">
        <v>2786</v>
      </c>
      <c r="K549" s="94"/>
      <c r="L549" s="10"/>
      <c r="M549" s="225"/>
      <c r="N549" s="222">
        <v>0</v>
      </c>
      <c r="P549" s="4"/>
      <c r="Q549" s="143"/>
      <c r="T549" s="144"/>
      <c r="U549" s="145"/>
    </row>
    <row r="550" spans="1:21" ht="16.5" customHeight="1">
      <c r="A550" s="218" t="s">
        <v>2760</v>
      </c>
      <c r="B550" s="114" t="str">
        <f>VLOOKUP(A550,'Data pick slip'!B:F,5,FALSE)</f>
        <v>KLJ-MC700-00</v>
      </c>
      <c r="C550" s="219"/>
      <c r="D550" s="220"/>
      <c r="E550" s="255"/>
      <c r="F550" s="213" t="s">
        <v>3874</v>
      </c>
      <c r="G550" s="222"/>
      <c r="H550" s="223"/>
      <c r="I550" s="225" t="s">
        <v>2786</v>
      </c>
      <c r="J550" s="224" t="s">
        <v>2786</v>
      </c>
      <c r="K550" s="94"/>
      <c r="L550" s="10"/>
      <c r="M550" s="225"/>
      <c r="N550" s="222">
        <v>0</v>
      </c>
      <c r="P550" s="4"/>
      <c r="Q550" s="143"/>
      <c r="T550" s="144"/>
      <c r="U550" s="145"/>
    </row>
    <row r="551" spans="1:21" ht="16.5" customHeight="1">
      <c r="A551" s="218" t="s">
        <v>2761</v>
      </c>
      <c r="B551" s="114" t="str">
        <f>VLOOKUP(A551,'Data pick slip'!B:F,5,FALSE)</f>
        <v>KLJ-MC800-00</v>
      </c>
      <c r="C551" s="219"/>
      <c r="D551" s="220"/>
      <c r="E551" s="255"/>
      <c r="F551" s="213" t="s">
        <v>3874</v>
      </c>
      <c r="G551" s="222"/>
      <c r="H551" s="223"/>
      <c r="I551" s="225" t="s">
        <v>2786</v>
      </c>
      <c r="J551" s="224" t="s">
        <v>2786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/>
      <c r="B552" s="114"/>
      <c r="C552" s="219"/>
      <c r="D552" s="220"/>
      <c r="E552" s="255"/>
      <c r="F552" s="213"/>
      <c r="G552" s="222"/>
      <c r="H552" s="223"/>
      <c r="I552" s="225"/>
      <c r="J552" s="224"/>
      <c r="K552" s="94"/>
      <c r="L552" s="10"/>
      <c r="M552" s="225"/>
      <c r="N552" s="222"/>
      <c r="P552" s="4"/>
      <c r="Q552" s="143"/>
      <c r="T552" s="423"/>
      <c r="U552" s="145"/>
    </row>
    <row r="553" spans="1:21" ht="16.5" customHeight="1">
      <c r="A553" s="210" t="s">
        <v>2744</v>
      </c>
      <c r="B553" s="114" t="str">
        <f>VLOOKUP(A553,'Data pick slip'!B:F,5,FALSE)</f>
        <v>KHJ-MC100-00</v>
      </c>
      <c r="C553" s="219"/>
      <c r="D553" s="212">
        <v>2</v>
      </c>
      <c r="E553" s="306" t="e">
        <f>VLOOKUP(C553,Stock_list!D:L,9,FALSE)</f>
        <v>#N/A</v>
      </c>
      <c r="F553" s="213" t="s">
        <v>20</v>
      </c>
      <c r="G553" s="214"/>
      <c r="H553" s="215"/>
      <c r="I553" s="390" t="s">
        <v>3868</v>
      </c>
      <c r="J553" s="424" t="s">
        <v>4245</v>
      </c>
      <c r="K553" s="93">
        <f>SUMIFS(Stock_list!$J$1:$J$1601,Stock_list!$F$1:$F$1601,"S20",Stock_list!$B$1:$B$1601,"TBA.",Stock_list!$P$1:$P$1601,"#N/A")</f>
        <v>0</v>
      </c>
      <c r="L553" s="10"/>
      <c r="M553" s="225"/>
      <c r="N553" s="214">
        <f>D553*K553</f>
        <v>0</v>
      </c>
      <c r="P553" s="4"/>
      <c r="Q553" s="143"/>
      <c r="T553" s="423"/>
      <c r="U553" s="145"/>
    </row>
    <row r="554" spans="1:21" ht="16.5" customHeight="1">
      <c r="A554" s="210" t="s">
        <v>2744</v>
      </c>
      <c r="B554" s="114" t="str">
        <f>VLOOKUP(A554,'Data pick slip'!B:F,5,FALSE)</f>
        <v>KHJ-MC100-00</v>
      </c>
      <c r="C554" s="219"/>
      <c r="D554" s="212">
        <v>2</v>
      </c>
      <c r="E554" s="306" t="e">
        <f>VLOOKUP(C554,Stock_list!D:L,9,FALSE)</f>
        <v>#N/A</v>
      </c>
      <c r="F554" s="213" t="s">
        <v>75</v>
      </c>
      <c r="G554" s="214"/>
      <c r="H554" s="215"/>
      <c r="I554" s="390" t="s">
        <v>3868</v>
      </c>
      <c r="J554" s="424" t="s">
        <v>4245</v>
      </c>
      <c r="K554" s="93">
        <f>SUMIFS(Stock_list!$J$1:$J$1601,Stock_list!$F$1:$F$1601,"S20",Stock_list!$B$1:$B$1601,"已经到货",Stock_list!$P$1:$P$1601,"#N/A")</f>
        <v>0</v>
      </c>
      <c r="L554" s="10"/>
      <c r="M554" s="225"/>
      <c r="N554" s="214">
        <f>D554*K554</f>
        <v>0</v>
      </c>
      <c r="P554" s="4"/>
      <c r="Q554" s="143"/>
      <c r="T554" s="423"/>
      <c r="U554" s="145"/>
    </row>
    <row r="555" spans="1:21" ht="15">
      <c r="A555" s="210" t="s">
        <v>2744</v>
      </c>
      <c r="B555" s="114" t="str">
        <f>VLOOKUP(A555,'Data pick slip'!B:F,5,FALSE)</f>
        <v>KHJ-MC100-00</v>
      </c>
      <c r="C555" s="211"/>
      <c r="D555" s="212">
        <v>2</v>
      </c>
      <c r="E555" s="306" t="e">
        <f>VLOOKUP(C555,Stock_list!D:L,9,FALSE)</f>
        <v>#N/A</v>
      </c>
      <c r="F555" s="213" t="s">
        <v>2980</v>
      </c>
      <c r="G555" s="214"/>
      <c r="H555" s="215"/>
      <c r="I555" s="390" t="s">
        <v>3868</v>
      </c>
      <c r="J555" s="424" t="s">
        <v>4245</v>
      </c>
      <c r="K555" s="93">
        <f>SUMIFS(Stock_list!$J$1:$J$1601,Stock_list!$F$1:$F$1601,"S20",Stock_list!$B$1:$B$1601,"有交期",Stock_list!$P$1:$P$1601,"#N/A")</f>
        <v>0</v>
      </c>
      <c r="L555" s="9"/>
      <c r="M555" s="217"/>
      <c r="N555" s="214">
        <f t="shared" ref="N555" si="0">D555*K555</f>
        <v>0</v>
      </c>
      <c r="O555" s="122"/>
      <c r="P555" s="4"/>
      <c r="Q555" s="143"/>
      <c r="S555" s="278" t="s">
        <v>17</v>
      </c>
      <c r="T555" s="329">
        <v>35</v>
      </c>
      <c r="U555" s="145"/>
    </row>
    <row r="556" spans="1:21" ht="16.5" customHeight="1">
      <c r="A556" s="210" t="s">
        <v>2744</v>
      </c>
      <c r="B556" s="114" t="str">
        <f>VLOOKUP(A556,'Data pick slip'!B:F,5,FALSE)</f>
        <v>KHJ-MC100-00</v>
      </c>
      <c r="C556" s="211"/>
      <c r="D556" s="212">
        <v>25</v>
      </c>
      <c r="E556" s="306" t="e">
        <f>VLOOKUP(C556,Stock_list!D:L,9,FALSE)</f>
        <v>#N/A</v>
      </c>
      <c r="F556" s="213" t="s">
        <v>20</v>
      </c>
      <c r="G556" s="214"/>
      <c r="H556" s="215"/>
      <c r="I556" s="217" t="s">
        <v>2787</v>
      </c>
      <c r="J556" s="425" t="s">
        <v>2788</v>
      </c>
      <c r="K556" s="93">
        <f>SUMIFS(Stock_list!$J$1:$J$1601,Stock_list!$F$1:$F$1601,"YSM10",Stock_list!$B$1:$B$1601,"TBA.",Stock_list!$P$1:$P$1601,"#N/A")</f>
        <v>11</v>
      </c>
      <c r="L556" s="9"/>
      <c r="M556" s="217"/>
      <c r="N556" s="214">
        <f>D556*K556</f>
        <v>275</v>
      </c>
      <c r="O556" s="122"/>
      <c r="P556" s="4"/>
      <c r="Q556" s="344"/>
      <c r="R556" s="344"/>
      <c r="S556" s="344"/>
      <c r="U556" s="145"/>
    </row>
    <row r="557" spans="1:21" ht="16.5" customHeight="1">
      <c r="A557" s="210" t="s">
        <v>2747</v>
      </c>
      <c r="B557" s="114" t="str">
        <f>VLOOKUP(A557,'Data pick slip'!B:F,5,FALSE)</f>
        <v>KHJ-MC200-00</v>
      </c>
      <c r="C557" s="211"/>
      <c r="D557" s="212">
        <v>10</v>
      </c>
      <c r="E557" s="306" t="e">
        <f>VLOOKUP(C557,Stock_list!D:L,9,FALSE)</f>
        <v>#N/A</v>
      </c>
      <c r="F557" s="213" t="s">
        <v>20</v>
      </c>
      <c r="G557" s="214"/>
      <c r="H557" s="215"/>
      <c r="I557" s="217" t="s">
        <v>2787</v>
      </c>
      <c r="J557" s="425" t="s">
        <v>2788</v>
      </c>
      <c r="K557" s="93">
        <f>SUMIFS(Stock_list!$J$1:$J$1601,Stock_list!$F$1:$F$1601,"YSM10",Stock_list!$B$1:$B$1601,"TBA.",Stock_list!$P$1:$P$1601,"#N/A")</f>
        <v>11</v>
      </c>
      <c r="L557" s="9"/>
      <c r="M557" s="217"/>
      <c r="N557" s="214">
        <f>D557*K557</f>
        <v>110</v>
      </c>
      <c r="O557" s="122"/>
      <c r="P557" s="4"/>
      <c r="Q557" s="344"/>
      <c r="R557" s="344"/>
      <c r="S557" s="344"/>
      <c r="U557" s="145"/>
    </row>
    <row r="558" spans="1:21" ht="16.5" customHeight="1">
      <c r="A558" s="210" t="s">
        <v>2748</v>
      </c>
      <c r="B558" s="114" t="str">
        <f>VLOOKUP(A558,'Data pick slip'!B:F,5,FALSE)</f>
        <v>KHJ-MC400-00</v>
      </c>
      <c r="C558" s="211"/>
      <c r="D558" s="212">
        <v>2</v>
      </c>
      <c r="E558" s="306" t="e">
        <f>VLOOKUP(C558,Stock_list!D:L,9,FALSE)</f>
        <v>#N/A</v>
      </c>
      <c r="F558" s="213" t="s">
        <v>20</v>
      </c>
      <c r="G558" s="214"/>
      <c r="H558" s="215"/>
      <c r="I558" s="217" t="s">
        <v>2787</v>
      </c>
      <c r="J558" s="425" t="s">
        <v>2788</v>
      </c>
      <c r="K558" s="93">
        <f>SUMIFS(Stock_list!$J$1:$J$1601,Stock_list!$F$1:$F$1601,"YSM10",Stock_list!$B$1:$B$1601,"TBA.",Stock_list!$P$1:$P$1601,"#N/A")</f>
        <v>11</v>
      </c>
      <c r="L558" s="9"/>
      <c r="M558" s="217"/>
      <c r="N558" s="214">
        <f t="shared" ref="N558:N561" si="1">D558*K558</f>
        <v>22</v>
      </c>
      <c r="O558" s="122"/>
      <c r="P558" s="4"/>
      <c r="Q558" s="344"/>
      <c r="R558" s="344"/>
      <c r="S558" s="344"/>
      <c r="U558" s="145"/>
    </row>
    <row r="559" spans="1:21" ht="15">
      <c r="A559" s="210" t="s">
        <v>2744</v>
      </c>
      <c r="B559" s="114" t="str">
        <f>VLOOKUP(A559,'Data pick slip'!B:F,5,FALSE)</f>
        <v>KHJ-MC100-00</v>
      </c>
      <c r="C559" s="211"/>
      <c r="D559" s="212">
        <v>25</v>
      </c>
      <c r="E559" s="306" t="e">
        <f>VLOOKUP(C559,Stock_list!D:L,9,FALSE)</f>
        <v>#N/A</v>
      </c>
      <c r="F559" s="213" t="s">
        <v>75</v>
      </c>
      <c r="G559" s="214"/>
      <c r="H559" s="215"/>
      <c r="I559" s="217" t="s">
        <v>2787</v>
      </c>
      <c r="J559" s="425" t="s">
        <v>2788</v>
      </c>
      <c r="K559" s="93">
        <f>SUMIFS(Stock_list!$J$1:$J$1601,Stock_list!$F$1:$F$1601,"YSM10",Stock_list!$B$1:$B$1601,"已经到货",Stock_list!$P$1:$P$1601,"#N/A")</f>
        <v>0</v>
      </c>
      <c r="L559" s="9"/>
      <c r="M559" s="217"/>
      <c r="N559" s="214">
        <f t="shared" si="1"/>
        <v>0</v>
      </c>
      <c r="O559" s="122"/>
      <c r="P559" s="4"/>
      <c r="Q559" s="344"/>
      <c r="R559" s="344"/>
      <c r="S559" s="328" t="s">
        <v>9</v>
      </c>
      <c r="T559" s="48" t="s">
        <v>231</v>
      </c>
      <c r="U559" s="145"/>
    </row>
    <row r="560" spans="1:21" ht="16.5" customHeight="1">
      <c r="A560" s="210" t="s">
        <v>2747</v>
      </c>
      <c r="B560" s="114" t="str">
        <f>VLOOKUP(A560,'Data pick slip'!B:F,5,FALSE)</f>
        <v>KHJ-MC200-00</v>
      </c>
      <c r="C560" s="211"/>
      <c r="D560" s="212">
        <v>10</v>
      </c>
      <c r="E560" s="306" t="e">
        <f>VLOOKUP(C560,Stock_list!D:L,9,FALSE)</f>
        <v>#N/A</v>
      </c>
      <c r="F560" s="213" t="s">
        <v>75</v>
      </c>
      <c r="G560" s="214"/>
      <c r="H560" s="215"/>
      <c r="I560" s="217" t="s">
        <v>2787</v>
      </c>
      <c r="J560" s="425" t="s">
        <v>2788</v>
      </c>
      <c r="K560" s="93">
        <f>SUMIFS(Stock_list!$J$1:$J$1601,Stock_list!$F$1:$F$1601,"YSM10",Stock_list!$B$1:$B$1601,"已经到货",Stock_list!$P$1:$P$1601,"#N/A")</f>
        <v>0</v>
      </c>
      <c r="L560" s="9"/>
      <c r="M560" s="217"/>
      <c r="N560" s="214">
        <f t="shared" si="1"/>
        <v>0</v>
      </c>
      <c r="O560" s="122"/>
      <c r="P560" s="4"/>
      <c r="Q560" s="344"/>
      <c r="R560" s="344"/>
      <c r="S560" s="1"/>
      <c r="T560" s="48"/>
      <c r="U560" s="145"/>
    </row>
    <row r="561" spans="1:21" ht="15">
      <c r="A561" s="210" t="s">
        <v>2748</v>
      </c>
      <c r="B561" s="114" t="str">
        <f>VLOOKUP(A561,'Data pick slip'!B:F,5,FALSE)</f>
        <v>KHJ-MC400-00</v>
      </c>
      <c r="C561" s="211"/>
      <c r="D561" s="212">
        <v>2</v>
      </c>
      <c r="E561" s="306" t="e">
        <f>VLOOKUP(C561,Stock_list!D:L,9,FALSE)</f>
        <v>#N/A</v>
      </c>
      <c r="F561" s="213" t="s">
        <v>75</v>
      </c>
      <c r="G561" s="214"/>
      <c r="H561" s="215"/>
      <c r="I561" s="217" t="s">
        <v>2787</v>
      </c>
      <c r="J561" s="425" t="s">
        <v>2788</v>
      </c>
      <c r="K561" s="426">
        <f>SUMIFS(Stock_list!$J$1:$J$1601,Stock_list!$F$1:$F$1601,"YSM10",Stock_list!$B$1:$B$1601,"已经到货",Stock_list!$P$1:$P$1601,"#N/A")</f>
        <v>0</v>
      </c>
      <c r="L561" s="9"/>
      <c r="M561" s="217"/>
      <c r="N561" s="214">
        <f t="shared" si="1"/>
        <v>0</v>
      </c>
      <c r="O561" s="122"/>
      <c r="P561" s="4"/>
      <c r="Q561" s="344"/>
      <c r="R561" s="344"/>
      <c r="S561" s="328" t="s">
        <v>234</v>
      </c>
      <c r="T561" s="48" t="s">
        <v>232</v>
      </c>
      <c r="U561" s="145"/>
    </row>
    <row r="562" spans="1:21" ht="15">
      <c r="A562" s="210" t="s">
        <v>2744</v>
      </c>
      <c r="B562" s="114" t="str">
        <f>VLOOKUP(A562,'Data pick slip'!B:F,5,FALSE)</f>
        <v>KHJ-MC100-00</v>
      </c>
      <c r="C562" s="211"/>
      <c r="D562" s="212">
        <v>25</v>
      </c>
      <c r="E562" s="306" t="e">
        <f>VLOOKUP(C562,Stock_list!D:L,9,FALSE)</f>
        <v>#N/A</v>
      </c>
      <c r="F562" s="213" t="s">
        <v>2980</v>
      </c>
      <c r="G562" s="214"/>
      <c r="H562" s="215"/>
      <c r="I562" s="390" t="s">
        <v>3868</v>
      </c>
      <c r="J562" s="425" t="s">
        <v>2788</v>
      </c>
      <c r="K562" s="93">
        <f>SUMIFS(Stock_list!$J$1:$J$1601,Stock_list!$F$1:$F$1601,"YSM10",Stock_list!$B$1:$B$1601,"有交期",Stock_list!$P$1:$P$1601,"#N/A")</f>
        <v>1</v>
      </c>
      <c r="L562" s="9"/>
      <c r="M562" s="217"/>
      <c r="N562" s="214">
        <f t="shared" ref="N562:N563" si="2">D562*K562</f>
        <v>25</v>
      </c>
      <c r="O562" s="122"/>
      <c r="P562" s="4"/>
      <c r="Q562" s="143"/>
      <c r="S562" s="278" t="s">
        <v>17</v>
      </c>
      <c r="T562" s="329">
        <v>35</v>
      </c>
      <c r="U562" s="145"/>
    </row>
    <row r="563" spans="1:21" ht="15">
      <c r="A563" s="210" t="s">
        <v>2747</v>
      </c>
      <c r="B563" s="114" t="str">
        <f>VLOOKUP(A563,'Data pick slip'!B:F,5,FALSE)</f>
        <v>KHJ-MC200-00</v>
      </c>
      <c r="C563" s="211"/>
      <c r="D563" s="212">
        <v>10</v>
      </c>
      <c r="E563" s="306" t="e">
        <f>VLOOKUP(C563,Stock_list!D:L,9,FALSE)</f>
        <v>#N/A</v>
      </c>
      <c r="F563" s="213" t="s">
        <v>2980</v>
      </c>
      <c r="G563" s="214"/>
      <c r="H563" s="215"/>
      <c r="I563" s="217" t="s">
        <v>2787</v>
      </c>
      <c r="J563" s="425" t="s">
        <v>2788</v>
      </c>
      <c r="K563" s="93">
        <f>SUMIFS(Stock_list!$J$1:$J$1601,Stock_list!$F$1:$F$1601,"YSM10",Stock_list!$B$1:$B$1601,"有交期",Stock_list!$P$1:$P$1601,"#N/A")</f>
        <v>1</v>
      </c>
      <c r="L563" s="9"/>
      <c r="M563" s="217"/>
      <c r="N563" s="214">
        <f t="shared" si="2"/>
        <v>10</v>
      </c>
      <c r="O563" s="122"/>
      <c r="P563" s="4"/>
      <c r="Q563" s="143"/>
      <c r="S563" s="279" t="s">
        <v>206</v>
      </c>
      <c r="T563" s="48">
        <v>35</v>
      </c>
      <c r="U563" s="145"/>
    </row>
    <row r="564" spans="1:21" ht="15">
      <c r="A564" s="210" t="s">
        <v>2748</v>
      </c>
      <c r="B564" s="114" t="str">
        <f>VLOOKUP(A564,'Data pick slip'!B:F,5,FALSE)</f>
        <v>KHJ-MC400-00</v>
      </c>
      <c r="C564" s="211"/>
      <c r="D564" s="212">
        <v>2</v>
      </c>
      <c r="E564" s="306" t="e">
        <f>VLOOKUP(C564,Stock_list!D:L,9,FALSE)</f>
        <v>#N/A</v>
      </c>
      <c r="F564" s="213" t="s">
        <v>2980</v>
      </c>
      <c r="G564" s="214"/>
      <c r="H564" s="215"/>
      <c r="I564" s="217" t="s">
        <v>2787</v>
      </c>
      <c r="J564" s="425" t="s">
        <v>2788</v>
      </c>
      <c r="K564" s="93">
        <f>SUMIFS(Stock_list!$J$1:$J$1601,Stock_list!$F$1:$F$1601,"YSM10",Stock_list!$B$1:$B$1601,"有交期",Stock_list!$P$1:$P$1601,"#N/A")</f>
        <v>1</v>
      </c>
      <c r="L564" s="9"/>
      <c r="M564" s="217"/>
      <c r="N564" s="214">
        <f>D564*K564</f>
        <v>2</v>
      </c>
      <c r="O564" s="122"/>
      <c r="P564" s="4"/>
      <c r="Q564" s="47"/>
      <c r="R564" s="343"/>
      <c r="S564" s="336" t="s">
        <v>20</v>
      </c>
      <c r="T564" s="48">
        <v>10</v>
      </c>
      <c r="U564" s="145"/>
    </row>
    <row r="565" spans="1:21" ht="15">
      <c r="A565" s="210" t="s">
        <v>2744</v>
      </c>
      <c r="B565" s="114" t="str">
        <f>VLOOKUP(A565,'Data pick slip'!B:F,5,FALSE)</f>
        <v>KHJ-MC100-00</v>
      </c>
      <c r="C565" s="211"/>
      <c r="D565" s="212">
        <v>50</v>
      </c>
      <c r="E565" s="306" t="e">
        <f>VLOOKUP(C565,Stock_list!D:L,9,FALSE)</f>
        <v>#N/A</v>
      </c>
      <c r="F565" s="213" t="s">
        <v>20</v>
      </c>
      <c r="G565" s="214"/>
      <c r="H565" s="215"/>
      <c r="I565" s="217" t="s">
        <v>2787</v>
      </c>
      <c r="J565" s="216" t="s">
        <v>2790</v>
      </c>
      <c r="K565" s="93">
        <f>SUMIFS(Stock_list!$J$1:$J$1601,Stock_list!$F$1:$F$1601,"YSM20R-2",Stock_list!$B$1:$B$1601,"TBA.",Stock_list!$P$1:$P$1601,"#N/A")</f>
        <v>9</v>
      </c>
      <c r="L565" s="9"/>
      <c r="M565" s="217"/>
      <c r="N565" s="214">
        <f>D565*K565</f>
        <v>450</v>
      </c>
      <c r="O565" s="122"/>
      <c r="P565" s="4"/>
      <c r="Q565" s="143"/>
      <c r="S565" s="336" t="s">
        <v>75</v>
      </c>
      <c r="T565" s="48">
        <v>17</v>
      </c>
      <c r="U565" s="145"/>
    </row>
    <row r="566" spans="1:21" ht="15">
      <c r="A566" s="210" t="s">
        <v>2747</v>
      </c>
      <c r="B566" s="114" t="str">
        <f>VLOOKUP(A566,'Data pick slip'!B:F,5,FALSE)</f>
        <v>KHJ-MC200-00</v>
      </c>
      <c r="C566" s="211"/>
      <c r="D566" s="212">
        <v>5</v>
      </c>
      <c r="E566" s="306" t="e">
        <f>VLOOKUP(C566,Stock_list!D:L,9,FALSE)</f>
        <v>#N/A</v>
      </c>
      <c r="F566" s="213" t="s">
        <v>20</v>
      </c>
      <c r="G566" s="214"/>
      <c r="H566" s="215"/>
      <c r="I566" s="217" t="s">
        <v>2787</v>
      </c>
      <c r="J566" s="216" t="s">
        <v>2790</v>
      </c>
      <c r="K566" s="93">
        <f>SUMIFS(Stock_list!$J$1:$J$1601,Stock_list!$F$1:$F$1601,"YSM20R-2",Stock_list!$B$1:$B$1601,"TBA.",Stock_list!$P$1:$P$1601,"#N/A")</f>
        <v>9</v>
      </c>
      <c r="L566" s="9"/>
      <c r="M566" s="217"/>
      <c r="N566" s="214">
        <f t="shared" ref="N566" si="3">D566*K566</f>
        <v>45</v>
      </c>
      <c r="O566" s="122"/>
      <c r="P566" s="4"/>
      <c r="Q566" s="143"/>
      <c r="S566" s="336" t="s">
        <v>2980</v>
      </c>
      <c r="T566" s="48">
        <v>8</v>
      </c>
      <c r="U566" s="145"/>
    </row>
    <row r="567" spans="1:21" ht="15">
      <c r="A567" s="376" t="s">
        <v>2748</v>
      </c>
      <c r="B567" s="114" t="str">
        <f>VLOOKUP(A567,'Data pick slip'!B:F,5,FALSE)</f>
        <v>KHJ-MC400-00</v>
      </c>
      <c r="C567" s="211"/>
      <c r="D567" s="212">
        <v>1</v>
      </c>
      <c r="E567" s="306" t="e">
        <f>VLOOKUP(C567,Stock_list!D:L,9,FALSE)</f>
        <v>#N/A</v>
      </c>
      <c r="F567" s="213" t="s">
        <v>20</v>
      </c>
      <c r="G567" s="214"/>
      <c r="H567" s="215"/>
      <c r="I567" s="217" t="s">
        <v>2787</v>
      </c>
      <c r="J567" s="216" t="s">
        <v>2790</v>
      </c>
      <c r="K567" s="93">
        <f>SUMIFS(Stock_list!$J$1:$J$1601,Stock_list!$F$1:$F$1601,"YSM20R-2",Stock_list!$B$1:$B$1601,"TBA.",Stock_list!$P$1:$P$1601,"#N/A")</f>
        <v>9</v>
      </c>
      <c r="L567" s="9"/>
      <c r="M567" s="217"/>
      <c r="N567" s="214">
        <f t="shared" ref="N567:N572" si="4">D567*K567</f>
        <v>9</v>
      </c>
      <c r="O567" s="122"/>
      <c r="P567" s="4"/>
      <c r="Q567" s="143"/>
      <c r="S567" s="278" t="s">
        <v>58</v>
      </c>
      <c r="T567" s="329">
        <v>31</v>
      </c>
    </row>
    <row r="568" spans="1:21" ht="15">
      <c r="A568" s="210" t="s">
        <v>2744</v>
      </c>
      <c r="B568" s="114" t="str">
        <f>VLOOKUP(A568,'Data pick slip'!B:F,5,FALSE)</f>
        <v>KHJ-MC100-00</v>
      </c>
      <c r="C568" s="211"/>
      <c r="D568" s="212">
        <v>50</v>
      </c>
      <c r="E568" s="306" t="e">
        <f>VLOOKUP(C568,Stock_list!D:L,9,FALSE)</f>
        <v>#N/A</v>
      </c>
      <c r="F568" s="213" t="s">
        <v>75</v>
      </c>
      <c r="G568" s="214"/>
      <c r="H568" s="215"/>
      <c r="I568" s="217" t="s">
        <v>2787</v>
      </c>
      <c r="J568" s="216" t="s">
        <v>2790</v>
      </c>
      <c r="K568" s="426">
        <f>SUMIFS(Stock_list!$J$1:$J$1601,Stock_list!$F$1:$F$1601,"YSM20R-2",Stock_list!$B$1:$B$1601,"已经到货",Stock_list!$P$1:$P$1601,"#N/A")</f>
        <v>4</v>
      </c>
      <c r="L568" s="9"/>
      <c r="M568" s="217"/>
      <c r="N568" s="214">
        <f t="shared" si="4"/>
        <v>200</v>
      </c>
      <c r="O568" s="122"/>
      <c r="P568" s="4"/>
      <c r="Q568" s="344"/>
      <c r="R568" s="344"/>
      <c r="S568" s="279" t="s">
        <v>206</v>
      </c>
      <c r="T568" s="48">
        <v>31</v>
      </c>
      <c r="U568" s="145"/>
    </row>
    <row r="569" spans="1:21" ht="15">
      <c r="A569" s="210" t="s">
        <v>2747</v>
      </c>
      <c r="B569" s="114" t="str">
        <f>VLOOKUP(A569,'Data pick slip'!B:F,5,FALSE)</f>
        <v>KHJ-MC200-00</v>
      </c>
      <c r="C569" s="211"/>
      <c r="D569" s="212">
        <v>5</v>
      </c>
      <c r="E569" s="306" t="e">
        <f>VLOOKUP(C569,Stock_list!D:L,9,FALSE)</f>
        <v>#N/A</v>
      </c>
      <c r="F569" s="213" t="s">
        <v>75</v>
      </c>
      <c r="G569" s="214"/>
      <c r="H569" s="215"/>
      <c r="I569" s="217" t="s">
        <v>2787</v>
      </c>
      <c r="J569" s="216" t="s">
        <v>2790</v>
      </c>
      <c r="K569" s="93">
        <f>SUMIFS(Stock_list!$J$1:$J$1601,Stock_list!$F$1:$F$1601,"YSM20R-2",Stock_list!$B$1:$B$1601,"已经到货",Stock_list!$P$1:$P$1601,"#N/A")</f>
        <v>4</v>
      </c>
      <c r="L569" s="9"/>
      <c r="M569" s="217"/>
      <c r="N569" s="214">
        <f t="shared" si="4"/>
        <v>20</v>
      </c>
      <c r="O569" s="122"/>
      <c r="P569" s="4"/>
      <c r="Q569" s="344"/>
      <c r="R569" s="344"/>
      <c r="S569" s="336" t="s">
        <v>20</v>
      </c>
      <c r="T569" s="48">
        <v>10</v>
      </c>
      <c r="U569" s="145"/>
    </row>
    <row r="570" spans="1:21" ht="15">
      <c r="A570" s="376" t="s">
        <v>2748</v>
      </c>
      <c r="B570" s="379" t="str">
        <f>VLOOKUP(A570,'Data pick slip'!B:F,5,FALSE)</f>
        <v>KHJ-MC400-00</v>
      </c>
      <c r="C570" s="211"/>
      <c r="D570" s="212">
        <v>1</v>
      </c>
      <c r="E570" s="306" t="e">
        <f>VLOOKUP(C570,Stock_list!D:L,9,FALSE)</f>
        <v>#N/A</v>
      </c>
      <c r="F570" s="213" t="s">
        <v>75</v>
      </c>
      <c r="G570" s="214"/>
      <c r="H570" s="215"/>
      <c r="I570" s="217" t="s">
        <v>2787</v>
      </c>
      <c r="J570" s="216" t="s">
        <v>2790</v>
      </c>
      <c r="K570" s="93">
        <f>SUMIFS(Stock_list!$J$1:$J$1601,Stock_list!$F$1:$F$1601,"YSM20R-2",Stock_list!$B$1:$B$1601,"已经到货",Stock_list!$P$1:$P$1601,"#N/A")</f>
        <v>4</v>
      </c>
      <c r="L570" s="9"/>
      <c r="M570" s="217"/>
      <c r="N570" s="214">
        <f t="shared" si="4"/>
        <v>4</v>
      </c>
      <c r="O570" s="122"/>
      <c r="P570" s="4"/>
      <c r="Q570" s="344"/>
      <c r="R570" s="344"/>
      <c r="S570" s="336" t="s">
        <v>75</v>
      </c>
      <c r="T570" s="48">
        <v>15</v>
      </c>
    </row>
    <row r="571" spans="1:21" s="251" customFormat="1" ht="15">
      <c r="A571" s="362" t="s">
        <v>2744</v>
      </c>
      <c r="B571" s="196" t="str">
        <f>VLOOKUP(A571,'Data pick slip'!B:F,5,FALSE)</f>
        <v>KHJ-MC100-00</v>
      </c>
      <c r="C571" s="363"/>
      <c r="D571" s="364">
        <v>50</v>
      </c>
      <c r="E571" s="365" t="e">
        <f>VLOOKUP(C571,Stock_list!D:L,9,FALSE)</f>
        <v>#N/A</v>
      </c>
      <c r="F571" s="366" t="s">
        <v>2980</v>
      </c>
      <c r="G571" s="367"/>
      <c r="H571" s="368"/>
      <c r="I571" s="372" t="s">
        <v>2787</v>
      </c>
      <c r="J571" s="369" t="s">
        <v>2790</v>
      </c>
      <c r="K571" s="370">
        <f>SUMIFS(Stock_list!$J$1:$J$1601,Stock_list!$F$1:$F$1601,"YSM20R-2",Stock_list!$B$1:$B$1601,"有交期",Stock_list!$P$1:$P$1601,"#N/A")</f>
        <v>1</v>
      </c>
      <c r="L571" s="371"/>
      <c r="M571" s="372"/>
      <c r="N571" s="367">
        <f t="shared" si="4"/>
        <v>50</v>
      </c>
      <c r="O571" s="373"/>
      <c r="P571" s="12"/>
      <c r="Q571" s="374"/>
      <c r="R571" s="374"/>
      <c r="S571" s="336" t="s">
        <v>2980</v>
      </c>
      <c r="T571" s="48">
        <v>6</v>
      </c>
      <c r="U571" s="375"/>
    </row>
    <row r="572" spans="1:21" ht="15">
      <c r="A572" s="210" t="s">
        <v>2747</v>
      </c>
      <c r="B572" s="114" t="str">
        <f>VLOOKUP(A572,'Data pick slip'!B:F,5,FALSE)</f>
        <v>KHJ-MC200-00</v>
      </c>
      <c r="C572" s="211"/>
      <c r="D572" s="212">
        <v>5</v>
      </c>
      <c r="E572" s="306" t="e">
        <f>VLOOKUP(C572,Stock_list!D:L,9,FALSE)</f>
        <v>#N/A</v>
      </c>
      <c r="F572" s="213" t="s">
        <v>2980</v>
      </c>
      <c r="G572" s="214"/>
      <c r="H572" s="215"/>
      <c r="I572" s="217" t="s">
        <v>2787</v>
      </c>
      <c r="J572" s="216" t="s">
        <v>2790</v>
      </c>
      <c r="K572" s="93">
        <f>SUMIFS(Stock_list!$J$1:$J$1601,Stock_list!$F$1:$F$1601,"YSM20R-2",Stock_list!$B$1:$B$1601,"有交期",Stock_list!$P$1:$P$1601,"#N/A")</f>
        <v>1</v>
      </c>
      <c r="L572" s="9"/>
      <c r="M572" s="217"/>
      <c r="N572" s="214">
        <f t="shared" si="4"/>
        <v>5</v>
      </c>
      <c r="O572" s="122"/>
      <c r="P572" s="4"/>
      <c r="Q572" s="47"/>
      <c r="R572" s="343"/>
      <c r="S572" s="49" t="s">
        <v>214</v>
      </c>
      <c r="T572" s="48">
        <v>66</v>
      </c>
      <c r="U572" s="145"/>
    </row>
    <row r="573" spans="1:21" s="241" customFormat="1" ht="16.5" customHeight="1" thickBot="1">
      <c r="A573" s="226" t="s">
        <v>2748</v>
      </c>
      <c r="B573" s="377" t="str">
        <f>VLOOKUP(A573,'Data pick slip'!B:F,5,FALSE)</f>
        <v>KHJ-MC400-00</v>
      </c>
      <c r="C573" s="228"/>
      <c r="D573" s="229">
        <v>1</v>
      </c>
      <c r="E573" s="307" t="e">
        <f>VLOOKUP(C573,Stock_list!D:L,9,FALSE)</f>
        <v>#N/A</v>
      </c>
      <c r="F573" s="230" t="s">
        <v>2980</v>
      </c>
      <c r="G573" s="231"/>
      <c r="H573" s="232"/>
      <c r="I573" s="234" t="s">
        <v>2787</v>
      </c>
      <c r="J573" s="233" t="s">
        <v>2790</v>
      </c>
      <c r="K573" s="95">
        <f>SUMIFS(Stock_list!$J$1:$J$1601,Stock_list!$F$1:$F$1601,"YSM20R-2",Stock_list!$B$1:$B$1601,"有交期",Stock_list!$P$1:$P$1601,"#N/A")</f>
        <v>1</v>
      </c>
      <c r="L573" s="11"/>
      <c r="M573" s="234"/>
      <c r="N573" s="231">
        <f t="shared" ref="N573" si="5">D573*K573</f>
        <v>1</v>
      </c>
      <c r="O573" s="235"/>
      <c r="P573" s="8"/>
      <c r="Q573" s="378"/>
      <c r="R573" s="378"/>
      <c r="S573" s="378"/>
      <c r="T573" s="238"/>
      <c r="U573" s="240"/>
    </row>
    <row r="574" spans="1:21" s="251" customFormat="1" ht="16.5" customHeight="1">
      <c r="A574" s="242"/>
      <c r="B574" s="242"/>
      <c r="C574" s="197"/>
      <c r="D574" s="243"/>
      <c r="E574" s="305"/>
      <c r="F574" s="198"/>
      <c r="G574" s="244">
        <f>SUM(G11:G573)</f>
        <v>5228</v>
      </c>
      <c r="H574" s="200"/>
      <c r="I574" s="245"/>
      <c r="J574" s="201"/>
      <c r="K574" s="247">
        <f>K573+K564+K561+K568+K558+K565</f>
        <v>26</v>
      </c>
      <c r="L574" s="246"/>
      <c r="M574" s="247">
        <f>SUM(M11:M573)</f>
        <v>11010</v>
      </c>
      <c r="N574" s="244">
        <f>SUM(N11:N573)</f>
        <v>3491</v>
      </c>
      <c r="O574" s="244">
        <f>SUM(O11:O573)</f>
        <v>40</v>
      </c>
      <c r="P574" s="248"/>
      <c r="Q574" s="202"/>
      <c r="R574" s="249"/>
      <c r="S574" s="203"/>
      <c r="T574" s="203"/>
      <c r="U574" s="250"/>
    </row>
    <row r="575" spans="1:21" s="251" customFormat="1" ht="16.5" customHeight="1">
      <c r="A575" s="242"/>
      <c r="B575" s="345"/>
      <c r="C575" s="197"/>
      <c r="D575" s="243"/>
      <c r="E575" s="305"/>
      <c r="F575" s="198"/>
      <c r="G575" s="244"/>
      <c r="H575" s="200"/>
      <c r="I575" s="245"/>
      <c r="J575" s="201"/>
      <c r="K575" s="247"/>
      <c r="L575" s="246"/>
      <c r="M575" s="247"/>
      <c r="N575" s="244"/>
      <c r="O575" s="244"/>
      <c r="P575" s="248"/>
      <c r="Q575" s="202"/>
      <c r="R575" s="249"/>
      <c r="S575" s="203"/>
      <c r="T575" s="203"/>
      <c r="U575" s="250"/>
    </row>
    <row r="576" spans="1:21" ht="16.5" customHeight="1">
      <c r="B576" s="114"/>
      <c r="P576" s="4"/>
      <c r="Q576" s="143"/>
    </row>
    <row r="577" spans="1:21" ht="16.5" customHeight="1">
      <c r="B577" s="114"/>
      <c r="P577" s="4"/>
      <c r="Q577" s="143"/>
    </row>
    <row r="578" spans="1:21" ht="16.5" customHeight="1">
      <c r="B578" s="114"/>
      <c r="M578" s="253"/>
      <c r="P578" s="4"/>
      <c r="Q578" s="143"/>
    </row>
    <row r="579" spans="1:21">
      <c r="B579" s="114"/>
      <c r="I579" s="343"/>
      <c r="J579" s="343"/>
      <c r="K579" s="47"/>
      <c r="P579" s="4"/>
      <c r="Q579" s="143"/>
    </row>
    <row r="580" spans="1:21" ht="16.5" customHeight="1">
      <c r="B580" s="114"/>
      <c r="I580" s="343"/>
      <c r="J580" s="343"/>
      <c r="K580" s="47"/>
      <c r="M580" s="253"/>
      <c r="P580" s="4"/>
      <c r="Q580" s="143"/>
    </row>
    <row r="581" spans="1:21">
      <c r="B581" s="114"/>
      <c r="I581" s="313"/>
      <c r="J581" s="344"/>
      <c r="K581" s="344"/>
      <c r="Q581" s="143"/>
    </row>
    <row r="582" spans="1:21">
      <c r="I582" s="313"/>
      <c r="J582" s="344"/>
      <c r="K582" s="344"/>
      <c r="M582" s="253"/>
      <c r="Q582" s="143"/>
    </row>
    <row r="583" spans="1:21">
      <c r="I583" s="313"/>
      <c r="J583" s="344"/>
      <c r="K583" s="344"/>
      <c r="Q583" s="133"/>
    </row>
    <row r="584" spans="1:21" ht="15">
      <c r="A584" s="218"/>
      <c r="B584" s="254"/>
      <c r="C584" s="219"/>
      <c r="D584" s="220"/>
      <c r="E584" s="255"/>
      <c r="F584" s="221"/>
      <c r="G584" s="222"/>
      <c r="H584" s="223"/>
      <c r="I584" s="313"/>
      <c r="J584" s="344"/>
      <c r="K584" s="344"/>
      <c r="L584" s="10"/>
      <c r="M584" s="225"/>
      <c r="N584" s="222"/>
      <c r="P584" s="4"/>
      <c r="Q584" s="133"/>
      <c r="T584" s="144"/>
      <c r="U584" s="145"/>
    </row>
    <row r="585" spans="1:21">
      <c r="B585" s="114"/>
      <c r="F585" s="221"/>
      <c r="G585" s="222"/>
      <c r="H585" s="223"/>
      <c r="I585" s="313"/>
      <c r="J585" s="344"/>
      <c r="K585" s="344"/>
      <c r="P585" s="4"/>
    </row>
    <row r="586" spans="1:21">
      <c r="B586" s="114"/>
      <c r="F586" s="221"/>
      <c r="G586" s="222"/>
      <c r="H586" s="223"/>
      <c r="I586" s="313"/>
      <c r="J586" s="344"/>
      <c r="K586" s="344"/>
      <c r="P586" s="4"/>
    </row>
    <row r="587" spans="1:21">
      <c r="I587" s="313"/>
      <c r="J587" s="344"/>
      <c r="K587" s="344"/>
    </row>
    <row r="588" spans="1:21">
      <c r="I588" s="313"/>
      <c r="J588" s="344"/>
      <c r="K588" s="344"/>
    </row>
    <row r="589" spans="1:21">
      <c r="I589" s="313"/>
      <c r="J589" s="344"/>
      <c r="K589" s="344"/>
    </row>
    <row r="590" spans="1:21">
      <c r="I590" s="313"/>
      <c r="J590" s="344"/>
      <c r="K590" s="344"/>
    </row>
    <row r="591" spans="1:21">
      <c r="I591" s="313"/>
      <c r="J591" s="344"/>
    </row>
    <row r="592" spans="1:21">
      <c r="I592" s="313"/>
      <c r="J592" s="344"/>
    </row>
    <row r="605" spans="4:4">
      <c r="D605" s="206" t="s">
        <v>2795</v>
      </c>
    </row>
  </sheetData>
  <autoFilter ref="A1:U586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176"/>
  <sheetViews>
    <sheetView topLeftCell="A69" workbookViewId="0">
      <selection activeCell="E119" sqref="E119:I121"/>
    </sheetView>
  </sheetViews>
  <sheetFormatPr defaultColWidth="9" defaultRowHeight="14.25"/>
  <cols>
    <col min="1" max="1" width="13.75" style="1" customWidth="1"/>
    <col min="2" max="2" width="11.25" style="48" customWidth="1"/>
    <col min="3" max="3" width="10.375" style="48" customWidth="1"/>
    <col min="4" max="4" width="10.25" style="48" customWidth="1"/>
    <col min="5" max="5" width="13.25" style="48" customWidth="1"/>
    <col min="6" max="6" width="16" style="48" customWidth="1"/>
    <col min="7" max="7" width="13" style="66" customWidth="1"/>
    <col min="8" max="8" width="11.75" style="48" customWidth="1"/>
    <col min="9" max="9" width="11.375" style="48" customWidth="1"/>
    <col min="10" max="10" width="14.75" style="48" customWidth="1"/>
    <col min="11" max="11" width="12.25" style="65" customWidth="1"/>
    <col min="12" max="12" width="11.375" style="48" customWidth="1"/>
    <col min="13" max="13" width="9.375" style="48" customWidth="1"/>
    <col min="14" max="14" width="7.75" style="48" customWidth="1"/>
    <col min="15" max="15" width="8.25" style="48" customWidth="1"/>
    <col min="16" max="16" width="7.75" style="1" customWidth="1"/>
    <col min="17" max="17" width="15.25" style="1" customWidth="1"/>
    <col min="18" max="16384" width="9" style="1"/>
  </cols>
  <sheetData>
    <row r="1" spans="1:15" hidden="1"/>
    <row r="2" spans="1:15" ht="17.25" hidden="1" customHeight="1">
      <c r="A2" s="2" t="s">
        <v>235</v>
      </c>
      <c r="B2" s="52" t="s">
        <v>265</v>
      </c>
      <c r="C2" s="52" t="s">
        <v>2796</v>
      </c>
      <c r="D2" s="52" t="s">
        <v>2797</v>
      </c>
      <c r="E2" s="53" t="s">
        <v>2798</v>
      </c>
      <c r="F2" s="52" t="s">
        <v>2799</v>
      </c>
      <c r="G2" s="52" t="s">
        <v>2800</v>
      </c>
      <c r="H2" s="67" t="s">
        <v>2801</v>
      </c>
      <c r="I2" s="67" t="s">
        <v>2802</v>
      </c>
      <c r="J2" s="67" t="s">
        <v>2803</v>
      </c>
      <c r="K2" s="83"/>
      <c r="L2" s="52" t="s">
        <v>2804</v>
      </c>
      <c r="M2" s="52" t="s">
        <v>2805</v>
      </c>
      <c r="N2" s="52" t="s">
        <v>2804</v>
      </c>
      <c r="O2" s="80" t="s">
        <v>2806</v>
      </c>
    </row>
    <row r="3" spans="1:15" hidden="1">
      <c r="A3" s="1" t="s">
        <v>2807</v>
      </c>
      <c r="B3" s="48" t="s">
        <v>2753</v>
      </c>
      <c r="C3" s="48">
        <f>SUMIFS('NEW Feeder Reserved'!$G$1:$G$573,'NEW Feeder Reserved'!$A$1:$A$573,"SS 8mm",'NEW Feeder Reserved'!$F$1:$F$573,"深圳仓库")</f>
        <v>7018</v>
      </c>
      <c r="F3" s="48">
        <f>SUMIFS('NEW Feeder Reserved'!$M$1:$M$573,'NEW Feeder Reserved'!$A$1:$A$573,"SS 8mm",'NEW Feeder Reserved'!$F$1:$F$573,"深圳仓库")</f>
        <v>4297</v>
      </c>
      <c r="G3" s="66">
        <f>SUMIFS('NEW Feeder Reserved'!$O$1:$O$573,'NEW Feeder Reserved'!$A$1:$A$573,"SS 8mm",'NEW Feeder Reserved'!$F$1:$F$573,"深圳仓库")</f>
        <v>40</v>
      </c>
      <c r="H3" s="48">
        <f>SUMIFS('NEW Feeder Reserved'!$N$1:$N$573,'NEW Feeder Reserved'!$A$1:$A$573,"SS 8mm",'NEW Feeder Reserved'!$F$1:$F$573,"深圳仓库")</f>
        <v>94</v>
      </c>
      <c r="L3" s="48">
        <f>C3-F3-H3</f>
        <v>2627</v>
      </c>
      <c r="O3" s="48">
        <f>G3+H3+L3</f>
        <v>2761</v>
      </c>
    </row>
    <row r="4" spans="1:15" s="7" customFormat="1" hidden="1">
      <c r="A4" s="1" t="s">
        <v>2807</v>
      </c>
      <c r="B4" s="54" t="s">
        <v>1381</v>
      </c>
      <c r="C4" s="54">
        <f>SUMIFS('NEW Feeder Reserved'!$G$1:$G$573,'NEW Feeder Reserved'!$A$1:$A$573,"SS 8mm",'NEW Feeder Reserved'!$F$1:$F$573,"HK 仓库")</f>
        <v>3306</v>
      </c>
      <c r="D4" s="54"/>
      <c r="E4" s="54"/>
      <c r="F4" s="54">
        <f>SUMIFS('NEW Feeder Reserved'!$M$1:$M$573,'NEW Feeder Reserved'!$A$1:$A$573,"SS 8mm",'NEW Feeder Reserved'!$F$1:$F$573,"HK 仓库")</f>
        <v>3306</v>
      </c>
      <c r="G4" s="66">
        <f>SUMIFS('NEW Feeder Reserved'!$O$1:$O$573,'NEW Feeder Reserved'!$A$1:$A$573,"SS 8mm",'NEW Feeder Reserved'!$F$1:$F$573,"HK 仓库")</f>
        <v>0</v>
      </c>
      <c r="H4" s="54">
        <f>SUMIFS('NEW Feeder Reserved'!$N$1:$N$573,'NEW Feeder Reserved'!$A$1:$A$573,"SS 8mm",'NEW Feeder Reserved'!$F$1:$F$573,"HK 仓库")</f>
        <v>410</v>
      </c>
      <c r="I4" s="54"/>
      <c r="J4" s="54"/>
      <c r="K4" s="84"/>
      <c r="L4" s="54">
        <f>C4-F4-H4</f>
        <v>-410</v>
      </c>
      <c r="M4" s="54"/>
      <c r="N4" s="54"/>
      <c r="O4" s="54">
        <f>G4+H4+L4</f>
        <v>0</v>
      </c>
    </row>
    <row r="5" spans="1:15" hidden="1">
      <c r="A5" s="1" t="s">
        <v>2807</v>
      </c>
      <c r="B5" s="48" t="s">
        <v>2797</v>
      </c>
      <c r="D5" s="48">
        <f>SUMIFS('NEW Feeder Reserved'!$G$1:$G$573,'NEW Feeder Reserved'!$A$1:$A$573,"SS 8mm",'NEW Feeder Reserved'!$F$1:$F$573,"Incoming")</f>
        <v>165</v>
      </c>
      <c r="E5" s="48">
        <f>SUMIFS('NEW Feeder Reserved'!$G$1:$G$573,'NEW Feeder Reserved'!$A$1:$A$573,"SS 8mm",'NEW Feeder Reserved'!$F$1:$F$573,"有交期")</f>
        <v>0</v>
      </c>
      <c r="I5" s="48">
        <f>SUMIFS('NEW Feeder Reserved'!$N$1:$N$573,'NEW Feeder Reserved'!$A$1:$A$573,"SS 8mm",'NEW Feeder Reserved'!$F$1:$F$573,"Incoming")</f>
        <v>0</v>
      </c>
      <c r="J5" s="48">
        <f>SUMIFS('NEW Feeder Reserved'!$N$1:$N$573,'NEW Feeder Reserved'!$A$1:$A$573,"SS 8mm",'NEW Feeder Reserved'!$F$1:$F$573,"有交期")</f>
        <v>75</v>
      </c>
      <c r="M5" s="48">
        <f>D5+E5-I5-J5</f>
        <v>90</v>
      </c>
      <c r="N5" s="48">
        <f>SUM(L3:L4)</f>
        <v>2217</v>
      </c>
    </row>
    <row r="6" spans="1:15" ht="15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2808</v>
      </c>
      <c r="L6" s="90">
        <f>SUM(M5:N5)</f>
        <v>2307</v>
      </c>
      <c r="M6" s="90"/>
      <c r="N6" s="90"/>
    </row>
    <row r="7" spans="1:15" hidden="1">
      <c r="A7" s="1" t="s">
        <v>2809</v>
      </c>
      <c r="B7" s="48" t="s">
        <v>2753</v>
      </c>
      <c r="C7" s="48">
        <f>SUMIFS('NEW Feeder Reserved'!$G$1:$G$573,'NEW Feeder Reserved'!$A$1:$A$573,"SS 12/16mm",'NEW Feeder Reserved'!$F$1:$F$573,"深圳仓库")</f>
        <v>1398</v>
      </c>
      <c r="F7" s="48">
        <f>SUMIFS('NEW Feeder Reserved'!$M$1:$M$573,'NEW Feeder Reserved'!$A$1:$A$573,"SS 12/16mm",'NEW Feeder Reserved'!$F$1:$F$573,"深圳仓库")</f>
        <v>748</v>
      </c>
      <c r="G7" s="66">
        <f>SUMIFS('NEW Feeder Reserved'!$O$1:$O$573,'NEW Feeder Reserved'!$A$1:$A$573,"SS 12/16mm",'NEW Feeder Reserved'!$F$1:$F$573,"深圳仓库")</f>
        <v>0</v>
      </c>
      <c r="H7" s="48">
        <f>SUMIFS('NEW Feeder Reserved'!$N$1:$N$573,'NEW Feeder Reserved'!$A$1:$A$573,"SS 12/16mm",'NEW Feeder Reserved'!$F$1:$F$573,"深圳仓库")</f>
        <v>16</v>
      </c>
      <c r="L7" s="48">
        <f>C7-F7-H7</f>
        <v>634</v>
      </c>
      <c r="O7" s="48">
        <f>G7+H7+L7</f>
        <v>650</v>
      </c>
    </row>
    <row r="8" spans="1:15" s="7" customFormat="1" hidden="1">
      <c r="A8" s="1" t="s">
        <v>2809</v>
      </c>
      <c r="B8" s="54" t="s">
        <v>1381</v>
      </c>
      <c r="C8" s="54">
        <f>SUMIFS('NEW Feeder Reserved'!$G$1:$G$573,'NEW Feeder Reserved'!$A$1:$A$573,"SS 12/16mm",'NEW Feeder Reserved'!$F$1:$F$573,"HK 仓库")</f>
        <v>632</v>
      </c>
      <c r="D8" s="54"/>
      <c r="E8" s="54"/>
      <c r="F8" s="54">
        <f>SUMIFS('NEW Feeder Reserved'!$M$1:$M$573,'NEW Feeder Reserved'!$A$1:$A$573,"SS 12/16mm",'NEW Feeder Reserved'!$F$1:$F$573,"HK 仓库")</f>
        <v>632</v>
      </c>
      <c r="G8" s="66">
        <f>SUMIFS('NEW Feeder Reserved'!$O$1:$O$573,'NEW Feeder Reserved'!$A$1:$A$573,"SS 12/16mm",'NEW Feeder Reserved'!$F$1:$F$573,"HK 仓库")</f>
        <v>0</v>
      </c>
      <c r="H8" s="54">
        <f>SUMIFS('NEW Feeder Reserved'!$N$1:$N$573,'NEW Feeder Reserved'!$A$1:$A$573,"SS 12/16mm",'NEW Feeder Reserved'!$F$1:$F$573,"HK 仓库")</f>
        <v>47</v>
      </c>
      <c r="I8" s="54"/>
      <c r="J8" s="54"/>
      <c r="K8" s="84"/>
      <c r="L8" s="54">
        <f>C8-F8-H8</f>
        <v>-47</v>
      </c>
      <c r="M8" s="54"/>
      <c r="N8" s="54"/>
      <c r="O8" s="54">
        <f>G8+H8+L8</f>
        <v>0</v>
      </c>
    </row>
    <row r="9" spans="1:15" hidden="1">
      <c r="A9" s="1" t="s">
        <v>2809</v>
      </c>
      <c r="B9" s="48" t="s">
        <v>2762</v>
      </c>
      <c r="D9" s="48">
        <f>SUMIFS('NEW Feeder Reserved'!$G$1:$G$573,'NEW Feeder Reserved'!$A$1:$A$573,"SS 12/16mm",'NEW Feeder Reserved'!$F$1:$F$573,"Incoming")</f>
        <v>0</v>
      </c>
      <c r="E9" s="48">
        <f>SUMIFS('NEW Feeder Reserved'!$G$1:$G$573,'NEW Feeder Reserved'!$A$1:$A$573,"SS 12/16mm",'NEW Feeder Reserved'!$F$1:$F$573,"有交期")</f>
        <v>0</v>
      </c>
      <c r="I9" s="48">
        <f>SUMIFS('NEW Feeder Reserved'!$N$1:$N$573,'NEW Feeder Reserved'!$A$1:$A$573,"SS 12/16mm",'NEW Feeder Reserved'!$F$1:$F$573,"Incoming")</f>
        <v>0</v>
      </c>
      <c r="J9" s="48">
        <f>SUMIFS('NEW Feeder Reserved'!$N$1:$N$573,'NEW Feeder Reserved'!$A$1:$A$573,"SS 12/16mm",'NEW Feeder Reserved'!$F$1:$F$573,"有交期")</f>
        <v>15</v>
      </c>
      <c r="M9" s="48">
        <f>D9+E9-I9-J9</f>
        <v>-15</v>
      </c>
      <c r="N9" s="48">
        <f>SUM(L7:L8)</f>
        <v>587</v>
      </c>
    </row>
    <row r="10" spans="1:15" ht="15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2810</v>
      </c>
      <c r="L10" s="90">
        <f>SUM(M9:N9)</f>
        <v>572</v>
      </c>
      <c r="M10" s="90"/>
      <c r="N10" s="90"/>
    </row>
    <row r="11" spans="1:15" hidden="1">
      <c r="A11" s="1" t="s">
        <v>2777</v>
      </c>
      <c r="B11" s="48" t="s">
        <v>2753</v>
      </c>
      <c r="C11" s="48">
        <f>SUMIFS('NEW Feeder Reserved'!$G$1:$G$573,'NEW Feeder Reserved'!$A$1:$A$573,"SS 24mm",'NEW Feeder Reserved'!$F$1:$F$573,"深圳仓库")</f>
        <v>342</v>
      </c>
      <c r="F11" s="48">
        <f>SUMIFS('NEW Feeder Reserved'!$M$1:$M$573,'NEW Feeder Reserved'!$A$1:$A$573,"SS 24mm",'NEW Feeder Reserved'!$F$1:$F$573,"深圳仓库")</f>
        <v>201</v>
      </c>
      <c r="G11" s="66">
        <f>SUMIFS('NEW Feeder Reserved'!$O$1:$O$573,'NEW Feeder Reserved'!$A$1:$A$573,"SS 24mm",'NEW Feeder Reserved'!$F$1:$F$573,"深圳仓库")</f>
        <v>0</v>
      </c>
      <c r="H11" s="48">
        <f>SUMIFS('NEW Feeder Reserved'!$N$1:$N$573,'NEW Feeder Reserved'!$A$1:$A$573,"SS 24mm",'NEW Feeder Reserved'!$F$1:$F$573,"深圳仓库")</f>
        <v>6</v>
      </c>
      <c r="L11" s="48">
        <f>C11-F11-H11</f>
        <v>135</v>
      </c>
      <c r="O11" s="48">
        <f>G11+H11+L11</f>
        <v>141</v>
      </c>
    </row>
    <row r="12" spans="1:15" s="7" customFormat="1" hidden="1">
      <c r="A12" s="1" t="s">
        <v>2777</v>
      </c>
      <c r="B12" s="54" t="s">
        <v>1381</v>
      </c>
      <c r="C12" s="54">
        <f>SUMIFS('NEW Feeder Reserved'!$G$1:$G$573,'NEW Feeder Reserved'!$A$1:$A$573,"SS 24mm",'NEW Feeder Reserved'!$F$1:$F$573,"HK 仓库")</f>
        <v>61</v>
      </c>
      <c r="D12" s="54"/>
      <c r="E12" s="54"/>
      <c r="F12" s="54">
        <f>SUMIFS('NEW Feeder Reserved'!$M$1:$M$573,'NEW Feeder Reserved'!$A$1:$A$573,"SS 24mm",'NEW Feeder Reserved'!$F$1:$F$573,"HK 仓库")</f>
        <v>61</v>
      </c>
      <c r="G12" s="66">
        <f>SUMIFS('NEW Feeder Reserved'!$O$1:$O$573,'NEW Feeder Reserved'!$A$1:$A$573,"SS 24mm",'NEW Feeder Reserved'!$F$1:$F$573,"HK 仓库")</f>
        <v>0</v>
      </c>
      <c r="H12" s="54">
        <f>SUMIFS('NEW Feeder Reserved'!$N$1:$N$573,'NEW Feeder Reserved'!$A$1:$A$573,"SS 24mm",'NEW Feeder Reserved'!$F$1:$F$573,"HK 仓库")</f>
        <v>8</v>
      </c>
      <c r="I12" s="54"/>
      <c r="J12" s="54"/>
      <c r="K12" s="84"/>
      <c r="L12" s="54">
        <f>C12-F12-H12</f>
        <v>-8</v>
      </c>
      <c r="M12" s="54"/>
      <c r="N12" s="54"/>
      <c r="O12" s="54">
        <f>G12+H12+L12</f>
        <v>0</v>
      </c>
    </row>
    <row r="13" spans="1:15" hidden="1">
      <c r="A13" s="1" t="s">
        <v>2777</v>
      </c>
      <c r="B13" s="48" t="s">
        <v>2762</v>
      </c>
      <c r="D13" s="48">
        <f>SUMIFS('NEW Feeder Reserved'!$G$1:$G$573,'NEW Feeder Reserved'!$A$1:$A$573,"SS 24mm",'NEW Feeder Reserved'!$F$1:$F$573,"Incoming")</f>
        <v>0</v>
      </c>
      <c r="E13" s="48">
        <f>SUMIFS('NEW Feeder Reserved'!$G$1:$G$573,'NEW Feeder Reserved'!$A$1:$A$573,"SS 24mm",'NEW Feeder Reserved'!$F$1:$F$573,"有交期")</f>
        <v>0</v>
      </c>
      <c r="I13" s="48">
        <f>SUMIFS('NEW Feeder Reserved'!$N$1:$N$573,'NEW Feeder Reserved'!$A$1:$A$573,"SS 24mm",'NEW Feeder Reserved'!$F$1:$F$573,"Incoming")</f>
        <v>0</v>
      </c>
      <c r="J13" s="48">
        <f>SUMIFS('NEW Feeder Reserved'!$N$1:$N$573,'NEW Feeder Reserved'!$A$1:$A$573,"SS 24mm",'NEW Feeder Reserved'!$F$1:$F$573,"有交期")</f>
        <v>3</v>
      </c>
      <c r="M13" s="48">
        <f>D13+E13-I13-J13</f>
        <v>-3</v>
      </c>
      <c r="N13" s="48">
        <f>SUM(L11:L12)</f>
        <v>127</v>
      </c>
    </row>
    <row r="14" spans="1:15" ht="15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2811</v>
      </c>
      <c r="L14" s="90">
        <f>SUM(M13:N13)</f>
        <v>124</v>
      </c>
      <c r="M14" s="90"/>
      <c r="N14" s="90"/>
    </row>
    <row r="15" spans="1:15" ht="15" hidden="1" customHeight="1">
      <c r="A15" s="1" t="s">
        <v>2812</v>
      </c>
      <c r="B15" s="48" t="s">
        <v>2753</v>
      </c>
      <c r="C15" s="48">
        <f>SUMIFS('NEW Feeder Reserved'!$G$1:$G$573,'NEW Feeder Reserved'!$A$1:$A$573,"SS 32mm",'NEW Feeder Reserved'!$F$1:$F$573,"深圳仓库")</f>
        <v>197</v>
      </c>
      <c r="F15" s="48">
        <f>SUMIFS('NEW Feeder Reserved'!$M$1:$M$573,'NEW Feeder Reserved'!$A$1:$A$573,"SS 32mm",'NEW Feeder Reserved'!$F$1:$F$573,"深圳仓库")</f>
        <v>53</v>
      </c>
      <c r="G15" s="66">
        <f>SUMIFS('NEW Feeder Reserved'!$O$1:$O$573,'NEW Feeder Reserved'!$A$1:$A$573,"SS 32mm",'NEW Feeder Reserved'!$F$1:$F$573,"深圳仓库")</f>
        <v>0</v>
      </c>
      <c r="H15" s="48">
        <f>SUMIFS('NEW Feeder Reserved'!$N$1:$N$573,'NEW Feeder Reserved'!$A$1:$A$573,"SS 32mm",'NEW Feeder Reserved'!$F$1:$F$573,"深圳仓库")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2812</v>
      </c>
      <c r="B16" s="54" t="s">
        <v>1381</v>
      </c>
      <c r="C16" s="54">
        <f>SUMIFS('NEW Feeder Reserved'!$G$1:$G$573,'NEW Feeder Reserved'!$A$1:$A$573,"SS 32mm",'NEW Feeder Reserved'!$F$1:$F$573,"HK 仓库")</f>
        <v>98</v>
      </c>
      <c r="D16" s="54"/>
      <c r="E16" s="54"/>
      <c r="F16" s="54">
        <f>SUMIFS('NEW Feeder Reserved'!$M$1:$M$573,'NEW Feeder Reserved'!$A$1:$A$573,"SS 32mm",'NEW Feeder Reserved'!$F$1:$F$573,"HK 仓库")</f>
        <v>42</v>
      </c>
      <c r="G16" s="66">
        <f>SUMIFS('NEW Feeder Reserved'!$O$1:$O$573,'NEW Feeder Reserved'!$A$1:$A$573,"SS 32mm",'NEW Feeder Reserved'!$F$1:$F$573,"HK 仓库")</f>
        <v>0</v>
      </c>
      <c r="H16" s="54">
        <f>SUMIFS('NEW Feeder Reserved'!$N$1:$N$573,'NEW Feeder Reserved'!$A$1:$A$573,"SS 32mm",'NEW Feeder Reserved'!$F$1:$F$573,"HK 仓库")</f>
        <v>0</v>
      </c>
      <c r="I16" s="54"/>
      <c r="J16" s="54"/>
      <c r="K16" s="84"/>
      <c r="L16" s="54">
        <f>C16-F16-H16</f>
        <v>56</v>
      </c>
      <c r="M16" s="54"/>
      <c r="N16" s="54"/>
      <c r="O16" s="54">
        <f>G16+H16+L16</f>
        <v>56</v>
      </c>
    </row>
    <row r="17" spans="1:15" hidden="1">
      <c r="A17" s="1" t="s">
        <v>2812</v>
      </c>
      <c r="B17" s="48" t="s">
        <v>2762</v>
      </c>
      <c r="D17" s="48">
        <f>SUMIFS('NEW Feeder Reserved'!$G$1:$G$573,'NEW Feeder Reserved'!$A$1:$A$573,"SS 32mm",'NEW Feeder Reserved'!$F$1:$F$573,"Incoming")</f>
        <v>0</v>
      </c>
      <c r="E17" s="48">
        <f>SUMIFS('NEW Feeder Reserved'!$G$1:$G$573,'NEW Feeder Reserved'!$A$1:$A$573,"SS 32mm",'NEW Feeder Reserved'!$F$1:$F$573,"有交期")</f>
        <v>0</v>
      </c>
      <c r="I17" s="48">
        <f>SUMIFS('NEW Feeder Reserved'!$N$1:$N$573,'NEW Feeder Reserved'!$A$1:$A$573,"SS 32mm",'NEW Feeder Reserved'!$F$1:$F$573,"Incoming")</f>
        <v>0</v>
      </c>
      <c r="J17" s="48">
        <f>SUMIFS('NEW Feeder Reserved'!$N$1:$N$573,'NEW Feeder Reserved'!$A$1:$A$573,"SS 32mm",'NEW Feeder Reserved'!$F$1:$F$573,"有交期")</f>
        <v>0</v>
      </c>
      <c r="M17" s="48">
        <f>D17+E17-I17-J17</f>
        <v>0</v>
      </c>
      <c r="N17" s="48">
        <f>SUM(L15:L16)</f>
        <v>196</v>
      </c>
    </row>
    <row r="18" spans="1:15" ht="15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2813</v>
      </c>
      <c r="L18" s="90">
        <f>SUM(M17:N17)</f>
        <v>196</v>
      </c>
      <c r="M18" s="90"/>
      <c r="N18" s="90"/>
    </row>
    <row r="19" spans="1:15" hidden="1">
      <c r="A19" s="1" t="s">
        <v>2814</v>
      </c>
      <c r="B19" s="48" t="s">
        <v>2753</v>
      </c>
      <c r="C19" s="48">
        <f>SUMIFS('NEW Feeder Reserved'!$G$1:$G$573,'NEW Feeder Reserved'!$A$1:$A$573,"SS 44mm",'NEW Feeder Reserved'!$F$1:$F$573,"深圳仓库")</f>
        <v>108</v>
      </c>
      <c r="F19" s="48">
        <f>SUMIFS('NEW Feeder Reserved'!$M$1:$M$573,'NEW Feeder Reserved'!$A$1:$A$573,"SS 44mm",'NEW Feeder Reserved'!$F$1:$F$573,"深圳仓库")</f>
        <v>50</v>
      </c>
      <c r="G19" s="66">
        <f>SUMIFS('NEW Feeder Reserved'!$O$1:$O$573,'NEW Feeder Reserved'!$A$1:$A$573,"SS 44mm",'NEW Feeder Reserved'!$F$1:$F$573,"深圳仓库")</f>
        <v>0</v>
      </c>
      <c r="H19" s="48">
        <f>SUMIFS('NEW Feeder Reserved'!$N$1:$N$573,'NEW Feeder Reserved'!$A$1:$A$573,"SS 44mm",'NEW Feeder Reserved'!$F$1:$F$573,"深圳仓库")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2814</v>
      </c>
      <c r="B20" s="54" t="s">
        <v>1381</v>
      </c>
      <c r="C20" s="54">
        <f>SUMIFS('NEW Feeder Reserved'!$G$1:$G$573,'NEW Feeder Reserved'!$A$1:$A$573,"SS 44mm",'NEW Feeder Reserved'!$F$1:$F$573,"HK 仓库")</f>
        <v>17</v>
      </c>
      <c r="D20" s="54"/>
      <c r="E20" s="54"/>
      <c r="F20" s="54">
        <f>SUMIFS('NEW Feeder Reserved'!$M$1:$M$573,'NEW Feeder Reserved'!$A$1:$A$573,"SS 44mm",'NEW Feeder Reserved'!$F$1:$F$573,"HK 仓库")</f>
        <v>13</v>
      </c>
      <c r="G20" s="66">
        <f>SUMIFS('NEW Feeder Reserved'!$O$1:$O$573,'NEW Feeder Reserved'!$A$1:$A$573,"SS 44mm",'NEW Feeder Reserved'!$F$1:$F$573,"HK 仓库")</f>
        <v>0</v>
      </c>
      <c r="H20" s="54">
        <f>SUMIFS('NEW Feeder Reserved'!$N$1:$N$573,'NEW Feeder Reserved'!$A$1:$A$573,"SS 44mm",'NEW Feeder Reserved'!$F$1:$F$573,"HK 仓库")</f>
        <v>0</v>
      </c>
      <c r="I20" s="54"/>
      <c r="J20" s="54"/>
      <c r="K20" s="84"/>
      <c r="L20" s="54">
        <f>C20-F20-H20</f>
        <v>4</v>
      </c>
      <c r="M20" s="54"/>
      <c r="N20" s="54"/>
      <c r="O20" s="54">
        <f>G20+H20+L20</f>
        <v>4</v>
      </c>
    </row>
    <row r="21" spans="1:15" hidden="1">
      <c r="A21" s="1" t="s">
        <v>2814</v>
      </c>
      <c r="B21" s="48" t="s">
        <v>2762</v>
      </c>
      <c r="D21" s="48">
        <f>SUMIFS('NEW Feeder Reserved'!$G$1:$G$573,'NEW Feeder Reserved'!$A$1:$A$573,"SS 44mm",'NEW Feeder Reserved'!$F$1:$F$573,"Incoming")</f>
        <v>0</v>
      </c>
      <c r="E21" s="48">
        <f>SUMIFS('NEW Feeder Reserved'!$G$1:$G$573,'NEW Feeder Reserved'!$A$1:$A$573,"SS 44mm",'NEW Feeder Reserved'!$F$1:$F$573,"有交期")</f>
        <v>0</v>
      </c>
      <c r="I21" s="48">
        <f>SUMIFS('NEW Feeder Reserved'!$N$1:$N$573,'NEW Feeder Reserved'!$A$1:$A$573,"SS 44mm",'NEW Feeder Reserved'!$F$1:$F$573,"Incoming")</f>
        <v>0</v>
      </c>
      <c r="J21" s="48">
        <f>SUMIFS('NEW Feeder Reserved'!$N$1:$N$573,'NEW Feeder Reserved'!$A$1:$A$573,"SS 44mm",'NEW Feeder Reserved'!$F$1:$F$573,"有交期")</f>
        <v>0</v>
      </c>
      <c r="M21" s="48">
        <f>D21+E21-I21-J21</f>
        <v>0</v>
      </c>
      <c r="N21" s="48">
        <f>SUM(L19:L20)</f>
        <v>58</v>
      </c>
    </row>
    <row r="22" spans="1:15" ht="15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2815</v>
      </c>
      <c r="L22" s="90">
        <f>SUM(M21:N21)</f>
        <v>58</v>
      </c>
      <c r="M22" s="90"/>
      <c r="N22" s="90"/>
    </row>
    <row r="23" spans="1:15" hidden="1">
      <c r="A23" s="1" t="s">
        <v>2816</v>
      </c>
      <c r="B23" s="48" t="s">
        <v>2753</v>
      </c>
      <c r="C23" s="48">
        <f>SUMIFS('NEW Feeder Reserved'!$G$1:$G$573,'NEW Feeder Reserved'!$A$1:$A$573,"SS 56mm",'NEW Feeder Reserved'!$F$1:$F$573,"深圳仓库")</f>
        <v>18</v>
      </c>
      <c r="F23" s="48">
        <f>SUMIFS('NEW Feeder Reserved'!$M$1:$M$573,'NEW Feeder Reserved'!$A$1:$A$573,"SS 56mm",'NEW Feeder Reserved'!$F$1:$F$573,"深圳仓库")</f>
        <v>14</v>
      </c>
      <c r="G23" s="66">
        <f>SUMIFS('NEW Feeder Reserved'!$O$1:$O$573,'NEW Feeder Reserved'!$A$1:$A$573,"SS 56mm",'NEW Feeder Reserved'!$F$1:$F$573,"深圳仓库")</f>
        <v>0</v>
      </c>
      <c r="H23" s="48">
        <f>SUMIFS('NEW Feeder Reserved'!$N$1:$N$573,'NEW Feeder Reserved'!$A$1:$A$573,"SS 56mm",'NEW Feeder Reserved'!$F$1:$F$573,"深圳仓库")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2816</v>
      </c>
      <c r="B24" s="54" t="s">
        <v>1381</v>
      </c>
      <c r="C24" s="54">
        <f>SUMIFS('NEW Feeder Reserved'!$G$1:$G$573,'NEW Feeder Reserved'!$A$1:$A$573,"SS 56mm",'NEW Feeder Reserved'!$F$1:$F$573,"HK 仓库")</f>
        <v>0</v>
      </c>
      <c r="D24" s="54"/>
      <c r="E24" s="54"/>
      <c r="F24" s="54">
        <f>SUMIFS('NEW Feeder Reserved'!$M$1:$M$573,'NEW Feeder Reserved'!$A$1:$A$573,"SS 56mm",'NEW Feeder Reserved'!$F$1:$F$573,"HK 仓库")</f>
        <v>0</v>
      </c>
      <c r="G24" s="66">
        <f>SUMIFS('NEW Feeder Reserved'!$O$1:$O$573,'NEW Feeder Reserved'!$A$1:$A$573,"SS 56mm",'NEW Feeder Reserved'!$F$1:$F$573,"HK 仓库")</f>
        <v>0</v>
      </c>
      <c r="H24" s="54">
        <f>SUMIFS('NEW Feeder Reserved'!$N$1:$N$573,'NEW Feeder Reserved'!$A$1:$A$573,"SS 56mm",'NEW Feeder Reserved'!$F$1:$F$573,"HK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2816</v>
      </c>
      <c r="B25" s="48" t="s">
        <v>2762</v>
      </c>
      <c r="D25" s="48">
        <f>SUMIFS('NEW Feeder Reserved'!$G$1:$G$573,'NEW Feeder Reserved'!$A$1:$A$573,"SS 56mm",'NEW Feeder Reserved'!$F$1:$F$573,"Incoming")</f>
        <v>0</v>
      </c>
      <c r="E25" s="48">
        <f>SUMIFS('NEW Feeder Reserved'!$G$1:$G$573,'NEW Feeder Reserved'!$A$1:$A$573,"SS 56mm",'NEW Feeder Reserved'!$F$1:$F$573,"有交期")</f>
        <v>0</v>
      </c>
      <c r="I25" s="48">
        <f>SUMIFS('NEW Feeder Reserved'!$N$1:$N$573,'NEW Feeder Reserved'!$A$1:$A$573,"SS 56mm",'NEW Feeder Reserved'!$F$1:$F$573,"Incoming")</f>
        <v>0</v>
      </c>
      <c r="J25" s="48">
        <f>SUMIFS('NEW Feeder Reserved'!$N$1:$N$573,'NEW Feeder Reserved'!$A$1:$A$573,"SS 56mm",'NEW Feeder Reserved'!$F$1:$F$573,"有交期")</f>
        <v>0</v>
      </c>
      <c r="M25" s="48">
        <f>D25+E25-I25-J25</f>
        <v>0</v>
      </c>
      <c r="N25" s="48">
        <f>SUM(L23:L24)</f>
        <v>2</v>
      </c>
    </row>
    <row r="26" spans="1:15" ht="15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2817</v>
      </c>
      <c r="L26" s="90">
        <f>SUM(M25:N25)</f>
        <v>2</v>
      </c>
      <c r="M26" s="90"/>
      <c r="N26" s="90"/>
    </row>
    <row r="27" spans="1:15" hidden="1">
      <c r="A27" s="1" t="s">
        <v>2818</v>
      </c>
      <c r="B27" s="48" t="s">
        <v>2753</v>
      </c>
      <c r="C27" s="48">
        <f>SUMIFS('NEW Feeder Reserved'!$G$1:$G$573,'NEW Feeder Reserved'!$A$1:$A$573,"SS 72mm",'NEW Feeder Reserved'!$F$1:$F$573,"深圳仓库")</f>
        <v>1</v>
      </c>
      <c r="F27" s="48">
        <f>SUMIFS('NEW Feeder Reserved'!$M$1:$M$573,'NEW Feeder Reserved'!$A$1:$A$573,"SS 72mm",'NEW Feeder Reserved'!$F$1:$F$573,"深圳仓库")</f>
        <v>1</v>
      </c>
      <c r="G27" s="66">
        <f>SUMIFS('NEW Feeder Reserved'!$O$1:$O$573,'NEW Feeder Reserved'!$A$1:$A$573,"SS 72mm",'NEW Feeder Reserved'!$F$1:$F$573,"深圳仓库")</f>
        <v>0</v>
      </c>
      <c r="H27" s="48">
        <f>SUMIFS('NEW Feeder Reserved'!$N$1:$N$573,'NEW Feeder Reserved'!$A$1:$A$573,"SS 72mm",'NEW Feeder Reserved'!$F$1:$F$573,"深圳仓库")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2818</v>
      </c>
      <c r="B28" s="54" t="s">
        <v>1381</v>
      </c>
      <c r="C28" s="54">
        <f>SUMIFS('NEW Feeder Reserved'!$G$1:$G$573,'NEW Feeder Reserved'!$A$1:$A$573,"SS 72mm",'NEW Feeder Reserved'!$F$1:$F$573,"HK 仓库")</f>
        <v>0</v>
      </c>
      <c r="D28" s="54"/>
      <c r="E28" s="54"/>
      <c r="F28" s="54">
        <f>SUMIFS('NEW Feeder Reserved'!$M$1:$M$573,'NEW Feeder Reserved'!$A$1:$A$573,"SS 72mm",'NEW Feeder Reserved'!$F$1:$F$573,"HK 仓库")</f>
        <v>0</v>
      </c>
      <c r="G28" s="66">
        <f>SUMIFS('NEW Feeder Reserved'!$O$1:$O$573,'NEW Feeder Reserved'!$A$1:$A$573,"SS 72mm",'NEW Feeder Reserved'!$F$1:$F$573,"HK 仓库")</f>
        <v>0</v>
      </c>
      <c r="H28" s="54">
        <f>SUMIFS('NEW Feeder Reserved'!$N$1:$N$573,'NEW Feeder Reserved'!$A$1:$A$573,"SS 72mm",'NEW Feeder Reserved'!$F$1:$F$573,"HK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2818</v>
      </c>
      <c r="B29" s="48" t="s">
        <v>2762</v>
      </c>
      <c r="D29" s="48">
        <f>SUMIFS('NEW Feeder Reserved'!$G$1:$G$573,'NEW Feeder Reserved'!$A$1:$A$573,"SS 72mm",'NEW Feeder Reserved'!$F$1:$F$573,"Incoming")</f>
        <v>0</v>
      </c>
      <c r="E29" s="48">
        <f>SUMIFS('NEW Feeder Reserved'!$G$1:$G$573,'NEW Feeder Reserved'!$A$1:$A$573,"SS 72mm",'NEW Feeder Reserved'!$F$1:$F$573,"有交期")</f>
        <v>0</v>
      </c>
      <c r="I29" s="48">
        <f>SUMIFS('NEW Feeder Reserved'!$N$1:$N$573,'NEW Feeder Reserved'!$A$1:$A$573,"SS 72mm",'NEW Feeder Reserved'!$F$1:$F$573,"Incoming")</f>
        <v>0</v>
      </c>
      <c r="J29" s="48">
        <f>SUMIFS('NEW Feeder Reserved'!$N$1:$N$573,'NEW Feeder Reserved'!$A$1:$A$573,"SS 72mm",'NEW Feeder Reserved'!$F$1:$F$573,"有交期")</f>
        <v>0</v>
      </c>
      <c r="M29" s="48">
        <f>D29+E29-I29-J29</f>
        <v>0</v>
      </c>
      <c r="N29" s="48">
        <f>SUM(L27:L28)</f>
        <v>0</v>
      </c>
    </row>
    <row r="30" spans="1:15" ht="15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2819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2820</v>
      </c>
      <c r="B32" s="48" t="s">
        <v>2753</v>
      </c>
      <c r="C32" s="48">
        <f>SUMIFS('NEW Feeder Reserved'!$G$1:$G$573,'NEW Feeder Reserved'!$A$1:$A$573,"ZS 4mm",'NEW Feeder Reserved'!$F$1:$F$573,"深圳仓库")</f>
        <v>2</v>
      </c>
      <c r="F32" s="48">
        <f>SUMIFS('NEW Feeder Reserved'!$M$1:$M$573,'NEW Feeder Reserved'!$A$1:$A$573,"ZS 4mm",'NEW Feeder Reserved'!$F$1:$F$573,"深圳仓库")</f>
        <v>2</v>
      </c>
      <c r="G32" s="66">
        <f>SUMIFS('NEW Feeder Reserved'!$O$1:$O$573,'NEW Feeder Reserved'!$A$1:$A$573,"ZS 4mm",'NEW Feeder Reserved'!$F$1:$F$573,"深圳仓库")</f>
        <v>0</v>
      </c>
      <c r="H32" s="48">
        <f>SUMIFS('NEW Feeder Reserved'!$N$1:$N$573,'NEW Feeder Reserved'!$A$1:$A$573,"ZS 4mm",'NEW Feeder Reserved'!$F$1:$F$573,"深圳仓库")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2820</v>
      </c>
      <c r="B33" s="54" t="s">
        <v>1381</v>
      </c>
      <c r="C33" s="54">
        <f>SUMIFS('NEW Feeder Reserved'!$G$1:$G$573,'NEW Feeder Reserved'!$A$1:$A$573,"ZS 4mm",'NEW Feeder Reserved'!$F$1:$F$573,"HK 仓库")</f>
        <v>3</v>
      </c>
      <c r="D33" s="54"/>
      <c r="E33" s="54"/>
      <c r="F33" s="54">
        <f>SUMIFS('NEW Feeder Reserved'!$M$1:$M$573,'NEW Feeder Reserved'!$A$1:$A$573,"ZS 4mm",'NEW Feeder Reserved'!$F$1:$F$573,"HK 仓库")</f>
        <v>1</v>
      </c>
      <c r="G33" s="66">
        <f>SUMIFS('NEW Feeder Reserved'!$O$1:$O$573,'NEW Feeder Reserved'!$A$1:$A$573,"ZS 4mm",'NEW Feeder Reserved'!$F$1:$F$573,"HK 仓库")</f>
        <v>0</v>
      </c>
      <c r="H33" s="54">
        <f>SUMIFS('NEW Feeder Reserved'!$N$1:$N$573,'NEW Feeder Reserved'!$A$1:$A$573,"ZS 4mm",'NEW Feeder Reserved'!$F$1:$F$573,"HK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2820</v>
      </c>
      <c r="B34" s="48" t="s">
        <v>2762</v>
      </c>
      <c r="D34" s="48">
        <f>SUMIFS('NEW Feeder Reserved'!$G$1:$G$573,'NEW Feeder Reserved'!$A$1:$A$573,"ZS 4mm",'NEW Feeder Reserved'!$F$1:$F$573,"Incoming")</f>
        <v>0</v>
      </c>
      <c r="E34" s="48">
        <f>SUMIFS('NEW Feeder Reserved'!$G$1:$G$573,'NEW Feeder Reserved'!$A$1:$A$573,"ZS 4mm",'NEW Feeder Reserved'!$F$1:$F$573,"有交期")</f>
        <v>0</v>
      </c>
      <c r="I34" s="48">
        <f>SUMIFS('NEW Feeder Reserved'!$N$1:$N$573,'NEW Feeder Reserved'!$A$1:$A$573,"ZS 4mm",'NEW Feeder Reserved'!$F$1:$F$573,"Incoming")</f>
        <v>0</v>
      </c>
      <c r="J34" s="48">
        <f>SUMIFS('NEW Feeder Reserved'!$N$1:$N$573,'NEW Feeder Reserved'!$A$1:$A$573,"ZS 4mm",'NEW Feeder Reserved'!$F$1:$F$573,"有交期")</f>
        <v>0</v>
      </c>
      <c r="M34" s="48">
        <f>D34+E34-I34-J34</f>
        <v>0</v>
      </c>
      <c r="N34" s="48">
        <f>SUM(L32:L33)</f>
        <v>0</v>
      </c>
    </row>
    <row r="35" spans="1:15" ht="15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2821</v>
      </c>
      <c r="L35" s="57">
        <f>SUM(M34:N34)</f>
        <v>0</v>
      </c>
      <c r="M35" s="57"/>
      <c r="N35" s="57"/>
    </row>
    <row r="36" spans="1:15" hidden="1">
      <c r="A36" s="1" t="s">
        <v>2822</v>
      </c>
      <c r="B36" s="48" t="s">
        <v>2753</v>
      </c>
      <c r="C36" s="48">
        <f>SUMIFS('NEW Feeder Reserved'!$G$1:$G$573,'NEW Feeder Reserved'!$A$1:$A$573,"ZS 8mm",'NEW Feeder Reserved'!$F$1:$F$573,"深圳仓库")</f>
        <v>689</v>
      </c>
      <c r="F36" s="48">
        <f>SUMIFS('NEW Feeder Reserved'!$M$1:$M$573,'NEW Feeder Reserved'!$A$1:$A$573,"ZS 8mm",'NEW Feeder Reserved'!$F$1:$F$573,"深圳仓库")</f>
        <v>659</v>
      </c>
      <c r="G36" s="66">
        <f>SUMIFS('NEW Feeder Reserved'!$O$1:$O$573,'NEW Feeder Reserved'!$A$1:$A$573,"ZS 8mm",'NEW Feeder Reserved'!$F$1:$F$573,"深圳仓库")</f>
        <v>0</v>
      </c>
      <c r="H36" s="48">
        <f>SUMIFS('NEW Feeder Reserved'!$N$1:$N$573,'NEW Feeder Reserved'!$A$1:$A$573,"ZS 8mm",'NEW Feeder Reserved'!$F$1:$F$573,"深圳仓库")</f>
        <v>20</v>
      </c>
      <c r="L36" s="48">
        <f>C36-F36-H36</f>
        <v>10</v>
      </c>
      <c r="O36" s="48">
        <f>G36+H36+L36</f>
        <v>30</v>
      </c>
    </row>
    <row r="37" spans="1:15" s="7" customFormat="1" hidden="1">
      <c r="A37" s="1" t="s">
        <v>2822</v>
      </c>
      <c r="B37" s="54" t="s">
        <v>1381</v>
      </c>
      <c r="C37" s="54">
        <f>SUMIFS('NEW Feeder Reserved'!$G$1:$G$573,'NEW Feeder Reserved'!$A$1:$A$573,"ZS 8mm",'NEW Feeder Reserved'!$F$1:$F$573,"HK 仓库")</f>
        <v>928</v>
      </c>
      <c r="D37" s="54"/>
      <c r="E37" s="54"/>
      <c r="F37" s="54">
        <f>SUMIFS('NEW Feeder Reserved'!$M$1:$M$573,'NEW Feeder Reserved'!$A$1:$A$573,"ZS 8mm",'NEW Feeder Reserved'!$F$1:$F$573,"HK 仓库")</f>
        <v>765</v>
      </c>
      <c r="G37" s="66">
        <f>SUMIFS('NEW Feeder Reserved'!$O$1:$O$573,'NEW Feeder Reserved'!$A$1:$A$573,"ZS 8mm",'NEW Feeder Reserved'!$F$1:$F$573,"HK 仓库")</f>
        <v>0</v>
      </c>
      <c r="H37" s="54">
        <f>SUMIFS('NEW Feeder Reserved'!$N$1:$N$573,'NEW Feeder Reserved'!$A$1:$A$573,"ZS 8mm",'NEW Feeder Reserved'!$F$1:$F$573,"HK 仓库")</f>
        <v>100</v>
      </c>
      <c r="I37" s="54"/>
      <c r="J37" s="54"/>
      <c r="K37" s="84"/>
      <c r="L37" s="54">
        <f>C37-F37-H37</f>
        <v>63</v>
      </c>
      <c r="M37" s="54"/>
      <c r="N37" s="54"/>
      <c r="O37" s="54">
        <f>G37+H37+L37</f>
        <v>163</v>
      </c>
    </row>
    <row r="38" spans="1:15" hidden="1">
      <c r="A38" s="1" t="s">
        <v>2822</v>
      </c>
      <c r="B38" s="48" t="s">
        <v>2762</v>
      </c>
      <c r="D38" s="48">
        <f>SUMIFS('NEW Feeder Reserved'!$G$1:$G$573,'NEW Feeder Reserved'!$A$1:$A$573,"ZS 8mm",'NEW Feeder Reserved'!$F$1:$F$573,"Incoming")</f>
        <v>0</v>
      </c>
      <c r="E38" s="48">
        <f>SUMIFS('NEW Feeder Reserved'!$G$1:$G$573,'NEW Feeder Reserved'!$A$1:$A$573,"ZS 8mm",'NEW Feeder Reserved'!$F$1:$F$573,"有交期")</f>
        <v>0</v>
      </c>
      <c r="I38" s="48">
        <f>SUMIFS('NEW Feeder Reserved'!$N$1:$N$573,'NEW Feeder Reserved'!$A$1:$A$573,"ZS 8mm",'NEW Feeder Reserved'!$F$1:$F$573,"Incoming")</f>
        <v>0</v>
      </c>
      <c r="J38" s="48">
        <f>SUMIFS('NEW Feeder Reserved'!$N$1:$N$573,'NEW Feeder Reserved'!$A$1:$A$573,"ZS 8mm",'NEW Feeder Reserved'!$F$1:$F$573,"有交期")</f>
        <v>0</v>
      </c>
      <c r="M38" s="48">
        <f>D38+E38-I38-J38</f>
        <v>0</v>
      </c>
      <c r="N38" s="48">
        <f>SUM(L36:L37)</f>
        <v>73</v>
      </c>
    </row>
    <row r="39" spans="1:15" ht="15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2823</v>
      </c>
      <c r="L39" s="90">
        <f>SUM(M38:N38)</f>
        <v>73</v>
      </c>
      <c r="M39" s="90"/>
      <c r="N39" s="90"/>
    </row>
    <row r="40" spans="1:15" hidden="1">
      <c r="A40" s="1" t="s">
        <v>2824</v>
      </c>
      <c r="B40" s="48" t="s">
        <v>2753</v>
      </c>
      <c r="C40" s="48">
        <f>SUMIFS('NEW Feeder Reserved'!$G$1:$G$573,'NEW Feeder Reserved'!$A$1:$A$573,"ZS 12/16mm",'NEW Feeder Reserved'!$F$1:$F$573,"深圳仓库")</f>
        <v>123</v>
      </c>
      <c r="F40" s="48">
        <f>SUMIFS('NEW Feeder Reserved'!$M$1:$M$573,'NEW Feeder Reserved'!$A$1:$A$573,"ZS 12/16mm",'NEW Feeder Reserved'!$F$1:$F$573,"深圳仓库")</f>
        <v>46</v>
      </c>
      <c r="G40" s="66">
        <f>SUMIFS('NEW Feeder Reserved'!$O$1:$O$573,'NEW Feeder Reserved'!$A$1:$A$573,"ZS 12/16mm",'NEW Feeder Reserved'!$F$1:$F$573,"深圳仓库")</f>
        <v>0</v>
      </c>
      <c r="H40" s="48">
        <f>SUMIFS('NEW Feeder Reserved'!$N$1:$N$573,'NEW Feeder Reserved'!$A$1:$A$573,"ZS 12/16mm",'NEW Feeder Reserved'!$F$1:$F$573,"深圳仓库")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2824</v>
      </c>
      <c r="B41" s="54" t="s">
        <v>1381</v>
      </c>
      <c r="C41" s="54">
        <f>SUMIFS('NEW Feeder Reserved'!$G$1:$G$573,'NEW Feeder Reserved'!$A$1:$A$573,"ZS 12/16mm",'NEW Feeder Reserved'!$F$1:$F$573,"HK 仓库")</f>
        <v>367</v>
      </c>
      <c r="D41" s="54"/>
      <c r="E41" s="54"/>
      <c r="F41" s="54">
        <f>SUMIFS('NEW Feeder Reserved'!$M$1:$M$573,'NEW Feeder Reserved'!$A$1:$A$573,"ZS 12/16mm",'NEW Feeder Reserved'!$F$1:$F$573,"HK 仓库")</f>
        <v>37</v>
      </c>
      <c r="G41" s="66">
        <f>SUMIFS('NEW Feeder Reserved'!$O$1:$O$573,'NEW Feeder Reserved'!$A$1:$A$573,"ZS 12/16mm",'NEW Feeder Reserved'!$F$1:$F$573,"HK 仓库")</f>
        <v>0</v>
      </c>
      <c r="H41" s="54">
        <f>SUMIFS('NEW Feeder Reserved'!$N$1:$N$573,'NEW Feeder Reserved'!$A$1:$A$573,"ZS 12/16mm",'NEW Feeder Reserved'!$F$1:$F$573,"HK 仓库")</f>
        <v>20</v>
      </c>
      <c r="I41" s="54"/>
      <c r="J41" s="54"/>
      <c r="K41" s="84"/>
      <c r="L41" s="54">
        <f>C41-F41-H41</f>
        <v>310</v>
      </c>
      <c r="M41" s="54"/>
      <c r="N41" s="54"/>
      <c r="O41" s="54">
        <f>G41+H41+L41</f>
        <v>330</v>
      </c>
    </row>
    <row r="42" spans="1:15" hidden="1">
      <c r="A42" s="1" t="s">
        <v>2824</v>
      </c>
      <c r="B42" s="48" t="s">
        <v>2762</v>
      </c>
      <c r="D42" s="48">
        <f>SUMIFS('NEW Feeder Reserved'!$G$1:$G$573,'NEW Feeder Reserved'!$A$1:$A$573,"ZS 12/16mm",'NEW Feeder Reserved'!$F$1:$F$573,"Incoming")</f>
        <v>0</v>
      </c>
      <c r="E42" s="48">
        <f>SUMIFS('NEW Feeder Reserved'!$G$1:$G$573,'NEW Feeder Reserved'!$A$1:$A$573,"ZS 12/16mm",'NEW Feeder Reserved'!$F$1:$F$573,"有交期")</f>
        <v>0</v>
      </c>
      <c r="I42" s="48">
        <f>SUMIFS('NEW Feeder Reserved'!$N$1:$N$573,'NEW Feeder Reserved'!$A$1:$A$573,"ZS 12/16mm",'NEW Feeder Reserved'!$F$1:$F$573,"Incoming")</f>
        <v>0</v>
      </c>
      <c r="J42" s="48">
        <f>SUMIFS('NEW Feeder Reserved'!$N$1:$N$573,'NEW Feeder Reserved'!$A$1:$A$573,"ZS 12/16mm",'NEW Feeder Reserved'!$F$1:$F$573,"有交期")</f>
        <v>0</v>
      </c>
      <c r="M42" s="48">
        <f>D42+E42-I42-J42</f>
        <v>0</v>
      </c>
      <c r="N42" s="48">
        <f>SUM(L40:L41)</f>
        <v>387</v>
      </c>
    </row>
    <row r="43" spans="1:15" ht="15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2825</v>
      </c>
      <c r="L43" s="90">
        <f>SUM(M42:N42)</f>
        <v>387</v>
      </c>
      <c r="M43" s="90"/>
      <c r="N43" s="90"/>
    </row>
    <row r="44" spans="1:15" hidden="1">
      <c r="A44" s="1" t="s">
        <v>2826</v>
      </c>
      <c r="B44" s="48" t="s">
        <v>2753</v>
      </c>
      <c r="C44" s="48">
        <f>SUMIFS('NEW Feeder Reserved'!$G$1:$G$573,'NEW Feeder Reserved'!$A$1:$A$573,"ZS 24mm",'NEW Feeder Reserved'!$F$1:$F$573,"深圳仓库")</f>
        <v>89</v>
      </c>
      <c r="F44" s="48">
        <f>SUMIFS('NEW Feeder Reserved'!$M$1:$M$573,'NEW Feeder Reserved'!$A$1:$A$573,"ZS 24mm",'NEW Feeder Reserved'!$F$1:$F$573,"深圳仓库")</f>
        <v>31</v>
      </c>
      <c r="G44" s="66">
        <f>SUMIFS('NEW Feeder Reserved'!$O$1:$O$573,'NEW Feeder Reserved'!$A$1:$A$573,"ZS 24mm",'NEW Feeder Reserved'!$F$1:$F$573,"深圳仓库")</f>
        <v>0</v>
      </c>
      <c r="H44" s="48">
        <f>SUMIFS('NEW Feeder Reserved'!$N$1:$N$573,'NEW Feeder Reserved'!$A$1:$A$573,"ZS 24mm",'NEW Feeder Reserved'!$F$1:$F$573,"深圳仓库")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2826</v>
      </c>
      <c r="B45" s="54" t="s">
        <v>1381</v>
      </c>
      <c r="C45" s="54">
        <f>SUMIFS('NEW Feeder Reserved'!$G$1:$G$573,'NEW Feeder Reserved'!$A$1:$A$573,"ZS 24mm",'NEW Feeder Reserved'!$F$1:$F$573,"HK 仓库")</f>
        <v>82</v>
      </c>
      <c r="D45" s="54"/>
      <c r="E45" s="54"/>
      <c r="F45" s="54">
        <f>SUMIFS('NEW Feeder Reserved'!$M$1:$M$573,'NEW Feeder Reserved'!$A$1:$A$573,"ZS 24mm",'NEW Feeder Reserved'!$F$1:$F$573,"HK 仓库")</f>
        <v>22</v>
      </c>
      <c r="G45" s="66">
        <f>SUMIFS('NEW Feeder Reserved'!$O$1:$O$573,'NEW Feeder Reserved'!$A$1:$A$573,"ZS 24mm",'NEW Feeder Reserved'!$F$1:$F$573,"HK 仓库")</f>
        <v>0</v>
      </c>
      <c r="H45" s="54">
        <f>SUMIFS('NEW Feeder Reserved'!$N$1:$N$573,'NEW Feeder Reserved'!$A$1:$A$573,"ZS 24mm",'NEW Feeder Reserved'!$F$1:$F$573,"HK 仓库")</f>
        <v>10</v>
      </c>
      <c r="I45" s="54"/>
      <c r="J45" s="54"/>
      <c r="K45" s="84"/>
      <c r="L45" s="54">
        <f>C45-F45-H45</f>
        <v>50</v>
      </c>
      <c r="M45" s="54"/>
      <c r="N45" s="54"/>
      <c r="O45" s="54">
        <f>G45+H45+L45</f>
        <v>60</v>
      </c>
    </row>
    <row r="46" spans="1:15" hidden="1">
      <c r="A46" s="1" t="s">
        <v>2826</v>
      </c>
      <c r="B46" s="48" t="s">
        <v>2762</v>
      </c>
      <c r="D46" s="48">
        <f>SUMIFS('NEW Feeder Reserved'!$G$1:$G$573,'NEW Feeder Reserved'!$A$1:$A$573,"ZS 24mm",'NEW Feeder Reserved'!$F$1:$F$573,"Incoming")</f>
        <v>0</v>
      </c>
      <c r="E46" s="48">
        <f>SUMIFS('NEW Feeder Reserved'!$G$1:$G$573,'NEW Feeder Reserved'!$A$1:$A$573,"ZS 24mm",'NEW Feeder Reserved'!$F$1:$F$573,"有交期")</f>
        <v>0</v>
      </c>
      <c r="I46" s="48">
        <f>SUMIFS('NEW Feeder Reserved'!$N$1:$N$573,'NEW Feeder Reserved'!$A$1:$A$573,"ZS 24mm",'NEW Feeder Reserved'!$F$1:$F$573,"Incoming")</f>
        <v>0</v>
      </c>
      <c r="J46" s="48">
        <f>SUMIFS('NEW Feeder Reserved'!$N$1:$N$573,'NEW Feeder Reserved'!$A$1:$A$573,"ZS 24mm",'NEW Feeder Reserved'!$F$1:$F$573,"有交期")</f>
        <v>0</v>
      </c>
      <c r="M46" s="48">
        <f>D46+E46-I46-J46</f>
        <v>0</v>
      </c>
      <c r="N46" s="48">
        <f>SUM(L44:L45)</f>
        <v>108</v>
      </c>
    </row>
    <row r="47" spans="1:15" ht="15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2827</v>
      </c>
      <c r="L47" s="90">
        <f>SUM(M46:N46)</f>
        <v>108</v>
      </c>
      <c r="M47" s="90"/>
      <c r="N47" s="90"/>
    </row>
    <row r="48" spans="1:15" hidden="1">
      <c r="A48" s="1" t="s">
        <v>2828</v>
      </c>
      <c r="B48" s="48" t="s">
        <v>2753</v>
      </c>
      <c r="C48" s="48">
        <f>SUMIFS('NEW Feeder Reserved'!$G$1:$G$573,'NEW Feeder Reserved'!$A$1:$A$573,"ZS 32mm",'NEW Feeder Reserved'!$F$1:$F$573,"深圳仓库")</f>
        <v>32</v>
      </c>
      <c r="F48" s="48">
        <f>SUMIFS('NEW Feeder Reserved'!$M$1:$M$573,'NEW Feeder Reserved'!$A$1:$A$573,"ZS 32mm",'NEW Feeder Reserved'!$F$1:$F$573,"深圳仓库")</f>
        <v>7</v>
      </c>
      <c r="G48" s="66">
        <f>SUMIFS('NEW Feeder Reserved'!$O$1:$O$573,'NEW Feeder Reserved'!$A$1:$A$573,"ZS 32mm",'NEW Feeder Reserved'!$F$1:$F$573,"深圳仓库")</f>
        <v>0</v>
      </c>
      <c r="H48" s="48">
        <f>SUMIFS('NEW Feeder Reserved'!$N$1:$N$573,'NEW Feeder Reserved'!$A$1:$A$573,"ZS 32mm",'NEW Feeder Reserved'!$F$1:$F$573,"深圳仓库")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2828</v>
      </c>
      <c r="B49" s="54" t="s">
        <v>1381</v>
      </c>
      <c r="C49" s="54">
        <f>SUMIFS('NEW Feeder Reserved'!$G$1:$G$573,'NEW Feeder Reserved'!$A$1:$A$573,"ZS 32mm",'NEW Feeder Reserved'!$F$1:$F$573,"HK 仓库")</f>
        <v>23</v>
      </c>
      <c r="D49" s="54"/>
      <c r="E49" s="54"/>
      <c r="F49" s="54">
        <f>SUMIFS('NEW Feeder Reserved'!$M$1:$M$573,'NEW Feeder Reserved'!$A$1:$A$573,"ZS 32mm",'NEW Feeder Reserved'!$F$1:$F$573,"HK 仓库")</f>
        <v>6</v>
      </c>
      <c r="G49" s="66">
        <f>SUMIFS('NEW Feeder Reserved'!$O$1:$O$573,'NEW Feeder Reserved'!$A$1:$A$573,"ZS 32mm",'NEW Feeder Reserved'!$F$1:$F$573,"HK 仓库")</f>
        <v>0</v>
      </c>
      <c r="H49" s="54">
        <f>SUMIFS('NEW Feeder Reserved'!$N$1:$N$573,'NEW Feeder Reserved'!$A$1:$A$573,"ZS 32mm",'NEW Feeder Reserved'!$F$1:$F$573,"HK 仓库")</f>
        <v>7</v>
      </c>
      <c r="I49" s="54"/>
      <c r="J49" s="54"/>
      <c r="K49" s="84"/>
      <c r="L49" s="54">
        <f>C49-F49-H49</f>
        <v>10</v>
      </c>
      <c r="M49" s="54"/>
      <c r="N49" s="54"/>
      <c r="O49" s="54">
        <f>G49+H49+L49</f>
        <v>17</v>
      </c>
    </row>
    <row r="50" spans="1:15" hidden="1">
      <c r="A50" s="1" t="s">
        <v>2828</v>
      </c>
      <c r="B50" s="48" t="s">
        <v>2762</v>
      </c>
      <c r="D50" s="48">
        <f>SUMIFS('NEW Feeder Reserved'!$G$1:$G$573,'NEW Feeder Reserved'!$A$1:$A$573,"ZS 32mm",'NEW Feeder Reserved'!$F$1:$F$573,"Incoming")</f>
        <v>0</v>
      </c>
      <c r="E50" s="48">
        <f>SUMIFS('NEW Feeder Reserved'!$G$1:$G$573,'NEW Feeder Reserved'!$A$1:$A$573,"ZS 32mm",'NEW Feeder Reserved'!$F$1:$F$573,"有交期")</f>
        <v>0</v>
      </c>
      <c r="I50" s="48">
        <f>SUMIFS('NEW Feeder Reserved'!$N$1:$N$573,'NEW Feeder Reserved'!$A$1:$A$573,"ZS 32mm",'NEW Feeder Reserved'!$F$1:$F$573,"Incoming")</f>
        <v>0</v>
      </c>
      <c r="J50" s="48">
        <f>SUMIFS('NEW Feeder Reserved'!$N$1:$N$573,'NEW Feeder Reserved'!$A$1:$A$573,"ZS 32mm",'NEW Feeder Reserved'!$F$1:$F$573,"有交期")</f>
        <v>0</v>
      </c>
      <c r="M50" s="48">
        <f>D50+E50-I50-J50</f>
        <v>0</v>
      </c>
      <c r="N50" s="48">
        <f>SUM(L48:L49)</f>
        <v>35</v>
      </c>
    </row>
    <row r="51" spans="1:15" ht="15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2829</v>
      </c>
      <c r="L51" s="90">
        <f>SUM(M50:N50)</f>
        <v>35</v>
      </c>
      <c r="M51" s="90"/>
      <c r="N51" s="90"/>
    </row>
    <row r="52" spans="1:15" hidden="1">
      <c r="A52" s="1" t="s">
        <v>2830</v>
      </c>
      <c r="B52" s="48" t="s">
        <v>2753</v>
      </c>
      <c r="C52" s="48">
        <f>SUMIFS('NEW Feeder Reserved'!$G$1:$G$573,'NEW Feeder Reserved'!$A$1:$A$573,"ZS 44mm",'NEW Feeder Reserved'!$F$1:$F$573,"深圳仓库")</f>
        <v>9</v>
      </c>
      <c r="F52" s="48">
        <f>SUMIFS('NEW Feeder Reserved'!$M$1:$M$573,'NEW Feeder Reserved'!$A$1:$A$573,"ZS 44mm",'NEW Feeder Reserved'!$F$1:$F$573,"深圳仓库")</f>
        <v>5</v>
      </c>
      <c r="G52" s="66">
        <f>SUMIFS('NEW Feeder Reserved'!$O$1:$O$573,'NEW Feeder Reserved'!$A$1:$A$573,"ZS 44mm",'NEW Feeder Reserved'!$F$1:$F$573,"深圳仓库")</f>
        <v>0</v>
      </c>
      <c r="H52" s="48">
        <f>SUMIFS('NEW Feeder Reserved'!$N$1:$N$573,'NEW Feeder Reserved'!$A$1:$A$573,"ZS 44mm",'NEW Feeder Reserved'!$F$1:$F$573,"深圳仓库")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2830</v>
      </c>
      <c r="B53" s="54" t="s">
        <v>1381</v>
      </c>
      <c r="C53" s="54">
        <f>SUMIFS('NEW Feeder Reserved'!$G$1:$G$573,'NEW Feeder Reserved'!$A$1:$A$573,"ZS 44mm",'NEW Feeder Reserved'!$F$1:$F$573,"HK 仓库")</f>
        <v>12</v>
      </c>
      <c r="D53" s="54"/>
      <c r="E53" s="54"/>
      <c r="F53" s="54">
        <f>SUMIFS('NEW Feeder Reserved'!$M$1:$M$573,'NEW Feeder Reserved'!$A$1:$A$573,"ZS 44mm",'NEW Feeder Reserved'!$F$1:$F$573,"HK 仓库")</f>
        <v>5</v>
      </c>
      <c r="G53" s="66">
        <f>SUMIFS('NEW Feeder Reserved'!$O$1:$O$573,'NEW Feeder Reserved'!$A$1:$A$573,"ZS 44mm",'NEW Feeder Reserved'!$F$1:$F$573,"HK 仓库")</f>
        <v>0</v>
      </c>
      <c r="H53" s="54">
        <f>SUMIFS('NEW Feeder Reserved'!$N$1:$N$573,'NEW Feeder Reserved'!$A$1:$A$573,"ZS 44mm",'NEW Feeder Reserved'!$F$1:$F$573,"HK 仓库")</f>
        <v>2</v>
      </c>
      <c r="I53" s="54"/>
      <c r="J53" s="54"/>
      <c r="K53" s="84"/>
      <c r="L53" s="54">
        <f>C53-F53-H53</f>
        <v>5</v>
      </c>
      <c r="M53" s="54"/>
      <c r="N53" s="54"/>
      <c r="O53" s="54">
        <f>G53+H53+L53</f>
        <v>7</v>
      </c>
    </row>
    <row r="54" spans="1:15" hidden="1">
      <c r="A54" s="1" t="s">
        <v>2830</v>
      </c>
      <c r="B54" s="48" t="s">
        <v>2762</v>
      </c>
      <c r="D54" s="48">
        <f>SUMIFS('NEW Feeder Reserved'!$G$1:$G$573,'NEW Feeder Reserved'!$A$1:$A$573,"ZS 44mm",'NEW Feeder Reserved'!$F$1:$F$573,"Incoming")</f>
        <v>0</v>
      </c>
      <c r="E54" s="48">
        <f>SUMIFS('NEW Feeder Reserved'!$G$1:$G$573,'NEW Feeder Reserved'!$A$1:$A$573,"ZS 44mm",'NEW Feeder Reserved'!$F$1:$F$573,"有交期")</f>
        <v>0</v>
      </c>
      <c r="I54" s="48">
        <f>SUMIFS('NEW Feeder Reserved'!$N$1:$N$573,'NEW Feeder Reserved'!$A$1:$A$573,"ZS 44mm",'NEW Feeder Reserved'!$F$1:$F$573,"Incoming")</f>
        <v>0</v>
      </c>
      <c r="J54" s="48">
        <f>SUMIFS('NEW Feeder Reserved'!$N$1:$N$573,'NEW Feeder Reserved'!$A$1:$A$573,"ZS 44mm",'NEW Feeder Reserved'!$F$1:$F$573,"有交期")</f>
        <v>0</v>
      </c>
      <c r="M54" s="48">
        <f>D54+E54-I54-J54</f>
        <v>0</v>
      </c>
      <c r="N54" s="48">
        <f>SUM(L52:L53)</f>
        <v>9</v>
      </c>
    </row>
    <row r="55" spans="1:15" ht="15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2831</v>
      </c>
      <c r="L55" s="90">
        <f>SUM(M54:N54)</f>
        <v>9</v>
      </c>
      <c r="M55" s="90"/>
      <c r="N55" s="90"/>
    </row>
    <row r="56" spans="1:15" hidden="1">
      <c r="A56" s="1" t="s">
        <v>2832</v>
      </c>
      <c r="B56" s="48" t="s">
        <v>2753</v>
      </c>
      <c r="C56" s="48">
        <f>SUMIFS('NEW Feeder Reserved'!$G$1:$G$573,'NEW Feeder Reserved'!$A$1:$A$573,"ZS 56mm",'NEW Feeder Reserved'!$F$1:$F$573,"深圳仓库")</f>
        <v>3</v>
      </c>
      <c r="F56" s="48">
        <f>SUMIFS('NEW Feeder Reserved'!$M$1:$M$573,'NEW Feeder Reserved'!$A$1:$A$573,"ZS 56mm",'NEW Feeder Reserved'!$F$1:$F$573,"深圳仓库")</f>
        <v>3</v>
      </c>
      <c r="G56" s="66">
        <f>SUMIFS('NEW Feeder Reserved'!$O$1:$O$573,'NEW Feeder Reserved'!$A$1:$A$573,"ZS 56mm",'NEW Feeder Reserved'!$F$1:$F$573,"深圳仓库")</f>
        <v>0</v>
      </c>
      <c r="H56" s="48">
        <f>SUMIFS('NEW Feeder Reserved'!$N$1:$N$573,'NEW Feeder Reserved'!$A$1:$A$573,"ZS 56mm",'NEW Feeder Reserved'!$F$1:$F$573,"深圳仓库")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2832</v>
      </c>
      <c r="B57" s="54" t="s">
        <v>1381</v>
      </c>
      <c r="C57" s="54">
        <f>SUMIFS('NEW Feeder Reserved'!$G$1:$G$573,'NEW Feeder Reserved'!$A$1:$A$573,"ZS 56mm",'NEW Feeder Reserved'!$F$1:$F$573,"HK 仓库")</f>
        <v>3</v>
      </c>
      <c r="D57" s="54"/>
      <c r="E57" s="54"/>
      <c r="F57" s="54">
        <f>SUMIFS('NEW Feeder Reserved'!$M$1:$M$573,'NEW Feeder Reserved'!$A$1:$A$573,"ZS 56mm",'NEW Feeder Reserved'!$F$1:$F$573,"HK 仓库")</f>
        <v>2</v>
      </c>
      <c r="G57" s="66">
        <f>SUMIFS('NEW Feeder Reserved'!$O$1:$O$573,'NEW Feeder Reserved'!$A$1:$A$573,"ZS 56mm",'NEW Feeder Reserved'!$F$1:$F$573,"HK 仓库")</f>
        <v>0</v>
      </c>
      <c r="H57" s="54">
        <f>SUMIFS('NEW Feeder Reserved'!$N$1:$N$573,'NEW Feeder Reserved'!$A$1:$A$573,"ZS 56mm",'NEW Feeder Reserved'!$F$1:$F$573,"HK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2832</v>
      </c>
      <c r="B58" s="48" t="s">
        <v>2762</v>
      </c>
      <c r="D58" s="48">
        <f>SUMIFS('NEW Feeder Reserved'!$G$1:$G$573,'NEW Feeder Reserved'!$A$1:$A$573,"ZS 56mm",'NEW Feeder Reserved'!$F$1:$F$573,"Incoming")</f>
        <v>0</v>
      </c>
      <c r="E58" s="48">
        <f>SUMIFS('NEW Feeder Reserved'!$G$1:$G$573,'NEW Feeder Reserved'!$A$1:$A$573,"ZS 56mm",'NEW Feeder Reserved'!$F$1:$F$573,"有交期")</f>
        <v>0</v>
      </c>
      <c r="I58" s="48">
        <f>SUMIFS('NEW Feeder Reserved'!$N$1:$N$573,'NEW Feeder Reserved'!$A$1:$A$573,"ZS 56mm",'NEW Feeder Reserved'!$F$1:$F$573,"Incoming")</f>
        <v>0</v>
      </c>
      <c r="J58" s="48">
        <f>SUMIFS('NEW Feeder Reserved'!$N$1:$N$573,'NEW Feeder Reserved'!$A$1:$A$573,"ZS 56mm",'NEW Feeder Reserved'!$F$1:$F$573,"有交期")</f>
        <v>0</v>
      </c>
      <c r="M58" s="48">
        <f>D58+E58-I58-J58</f>
        <v>0</v>
      </c>
      <c r="N58" s="48">
        <f>SUM(L56:L57)</f>
        <v>1</v>
      </c>
    </row>
    <row r="59" spans="1:15" ht="15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2833</v>
      </c>
      <c r="L59" s="90">
        <f>SUM(M58:N58)</f>
        <v>1</v>
      </c>
      <c r="M59" s="90"/>
      <c r="N59" s="90"/>
    </row>
    <row r="60" spans="1:15" hidden="1">
      <c r="A60" s="1" t="s">
        <v>2834</v>
      </c>
      <c r="B60" s="48" t="s">
        <v>2753</v>
      </c>
      <c r="C60" s="48">
        <f>SUMIFS('NEW Feeder Reserved'!$G$1:$G$573,'NEW Feeder Reserved'!$A$1:$A$573,"ZS 72mm",'NEW Feeder Reserved'!$F$1:$F$573,"深圳仓库")</f>
        <v>1</v>
      </c>
      <c r="F60" s="48">
        <f>SUMIFS('NEW Feeder Reserved'!$M$1:$M$573,'NEW Feeder Reserved'!$A$1:$A$573,"ZS 72mm",'NEW Feeder Reserved'!$F$1:$F$573,"深圳仓库")</f>
        <v>1</v>
      </c>
      <c r="G60" s="66">
        <f>SUMIFS('NEW Feeder Reserved'!$O$1:$O$573,'NEW Feeder Reserved'!$A$1:$A$573,"ZS 72mm",'NEW Feeder Reserved'!$F$1:$F$573,"深圳仓库")</f>
        <v>0</v>
      </c>
      <c r="H60" s="48">
        <f>SUMIFS('NEW Feeder Reserved'!$N$1:$N$573,'NEW Feeder Reserved'!$A$1:$A$573,"ZS 72mm",'NEW Feeder Reserved'!$F$1:$F$573,"深圳仓库")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2834</v>
      </c>
      <c r="B61" s="54" t="s">
        <v>1381</v>
      </c>
      <c r="C61" s="54">
        <f>SUMIFS('NEW Feeder Reserved'!$G$1:$G$573,'NEW Feeder Reserved'!$A$1:$A$573,"ZS 72mm",'NEW Feeder Reserved'!$F$1:$F$573,"HK 仓库")</f>
        <v>0</v>
      </c>
      <c r="D61" s="54"/>
      <c r="E61" s="54"/>
      <c r="F61" s="54">
        <f>SUMIFS('NEW Feeder Reserved'!$M$1:$M$573,'NEW Feeder Reserved'!$A$1:$A$573,"ZS 72mm",'NEW Feeder Reserved'!$F$1:$F$573,"HK 仓库")</f>
        <v>0</v>
      </c>
      <c r="G61" s="66">
        <f>SUMIFS('NEW Feeder Reserved'!$O$1:$O$573,'NEW Feeder Reserved'!$A$1:$A$573,"ZS 72mm",'NEW Feeder Reserved'!$F$1:$F$573,"HK 仓库")</f>
        <v>0</v>
      </c>
      <c r="H61" s="54">
        <f>SUMIFS('NEW Feeder Reserved'!$N$1:$N$573,'NEW Feeder Reserved'!$A$1:$A$573,"ZS 72mm",'NEW Feeder Reserved'!$F$1:$F$573,"HK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2834</v>
      </c>
      <c r="B62" s="48" t="s">
        <v>2762</v>
      </c>
      <c r="D62" s="48">
        <f>SUMIFS('NEW Feeder Reserved'!$G$1:$G$573,'NEW Feeder Reserved'!$A$1:$A$573,"ZS 72mm",'NEW Feeder Reserved'!$F$1:$F$573,"Incoming")</f>
        <v>0</v>
      </c>
      <c r="E62" s="48">
        <f>SUMIFS('NEW Feeder Reserved'!$G$1:$G$573,'NEW Feeder Reserved'!$A$1:$A$573,"ZS 72mm",'NEW Feeder Reserved'!$F$1:$F$573,"有交期")</f>
        <v>0</v>
      </c>
      <c r="I62" s="48">
        <f>SUMIFS('NEW Feeder Reserved'!$N$1:$N$573,'NEW Feeder Reserved'!$A$1:$A$573,"ZS 72mm",'NEW Feeder Reserved'!$F$1:$F$573,"Incoming")</f>
        <v>0</v>
      </c>
      <c r="J62" s="48">
        <f>SUMIFS('NEW Feeder Reserved'!$N$1:$N$573,'NEW Feeder Reserved'!$A$1:$A$573,"ZS 72mm",'NEW Feeder Reserved'!$F$1:$F$573,"有交期")</f>
        <v>0</v>
      </c>
      <c r="M62" s="48">
        <f>D62+E62-I62-J62</f>
        <v>0</v>
      </c>
      <c r="N62" s="48">
        <f>SUM(L60:L61)</f>
        <v>0</v>
      </c>
    </row>
    <row r="63" spans="1:15" ht="15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2835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t="15" hidden="1">
      <c r="C65" s="58">
        <f>SUM(C3:C64)</f>
        <v>15562</v>
      </c>
      <c r="D65" s="58">
        <f>SUM(D3:D63)</f>
        <v>165</v>
      </c>
      <c r="E65" s="58">
        <f>SUM(E3:E63)</f>
        <v>0</v>
      </c>
      <c r="F65" s="71">
        <f>SUM(F3:F63)+2+2+1+1</f>
        <v>11016</v>
      </c>
      <c r="G65" s="72">
        <f>SUM(G3:G64)</f>
        <v>40</v>
      </c>
      <c r="H65" s="58">
        <f>SUM(H3:H64)</f>
        <v>752</v>
      </c>
      <c r="I65" s="58">
        <f>SUM(I3:I64)</f>
        <v>0</v>
      </c>
      <c r="J65" s="58">
        <f>SUM(J3:J63)</f>
        <v>93</v>
      </c>
      <c r="K65" s="87"/>
      <c r="L65" s="71">
        <f>SUM(L63,L59,L55,L51,L47,L43,L39,L30,L26,L22,L18,L14,L10,L6)</f>
        <v>3872</v>
      </c>
      <c r="M65" s="71">
        <f>SUM(M4:M64)</f>
        <v>72</v>
      </c>
      <c r="N65" s="71">
        <f>SUM(N5:N64)</f>
        <v>3800</v>
      </c>
    </row>
    <row r="66" spans="1:15" hidden="1">
      <c r="D66" s="48">
        <f>SUM(C65:E65)</f>
        <v>15727</v>
      </c>
      <c r="I66" s="48">
        <f>SUM(H65:J65)</f>
        <v>845</v>
      </c>
      <c r="O66" s="48">
        <f>SUM(O3:O65)</f>
        <v>4592</v>
      </c>
    </row>
    <row r="67" spans="1:15" hidden="1"/>
    <row r="68" spans="1:15" hidden="1"/>
    <row r="69" spans="1:15" ht="18.75">
      <c r="A69" s="865" t="s">
        <v>2836</v>
      </c>
      <c r="B69" s="867" t="s">
        <v>236</v>
      </c>
      <c r="C69" s="867"/>
      <c r="D69" s="867"/>
      <c r="E69" s="867"/>
      <c r="F69" s="868" t="s">
        <v>2798</v>
      </c>
      <c r="G69" s="868"/>
      <c r="H69" s="868"/>
      <c r="I69" s="869" t="s">
        <v>258</v>
      </c>
      <c r="J69" s="869"/>
      <c r="K69" s="869"/>
    </row>
    <row r="70" spans="1:15" ht="15">
      <c r="A70" s="865"/>
      <c r="B70" s="59" t="s">
        <v>236</v>
      </c>
      <c r="C70" s="59" t="s">
        <v>2837</v>
      </c>
      <c r="D70" s="59" t="s">
        <v>2838</v>
      </c>
      <c r="E70" s="59" t="s">
        <v>2839</v>
      </c>
      <c r="F70" s="73" t="s">
        <v>2840</v>
      </c>
      <c r="G70" s="74" t="s">
        <v>2841</v>
      </c>
      <c r="H70" s="75" t="s">
        <v>2842</v>
      </c>
      <c r="I70" s="76" t="s">
        <v>2843</v>
      </c>
      <c r="J70" s="76" t="s">
        <v>2844</v>
      </c>
      <c r="K70" s="76" t="s">
        <v>2845</v>
      </c>
    </row>
    <row r="71" spans="1:15" ht="15">
      <c r="A71" s="422" t="s">
        <v>2807</v>
      </c>
      <c r="B71" s="545">
        <f>C4-F4</f>
        <v>0</v>
      </c>
      <c r="C71" s="493">
        <f>G4</f>
        <v>0</v>
      </c>
      <c r="D71" s="493">
        <f>H4</f>
        <v>410</v>
      </c>
      <c r="E71" s="493">
        <f>B71+C71-D71</f>
        <v>-410</v>
      </c>
      <c r="F71" s="494">
        <f>E5</f>
        <v>0</v>
      </c>
      <c r="G71" s="494">
        <f>J5</f>
        <v>75</v>
      </c>
      <c r="H71" s="495">
        <f>F71-G71</f>
        <v>-75</v>
      </c>
      <c r="I71" s="496">
        <f>D5</f>
        <v>165</v>
      </c>
      <c r="J71" s="496">
        <f>I5</f>
        <v>0</v>
      </c>
      <c r="K71" s="496">
        <f>I71-J71</f>
        <v>165</v>
      </c>
      <c r="M71" s="48">
        <f>E71+F71+B90-D90-G71-J71</f>
        <v>2102</v>
      </c>
    </row>
    <row r="72" spans="1:15" ht="15">
      <c r="A72" s="422" t="s">
        <v>2809</v>
      </c>
      <c r="B72" s="545">
        <f>C8-F8</f>
        <v>0</v>
      </c>
      <c r="C72" s="493">
        <f>G8</f>
        <v>0</v>
      </c>
      <c r="D72" s="493">
        <f>H8</f>
        <v>47</v>
      </c>
      <c r="E72" s="493">
        <f t="shared" ref="E72:E85" si="0">B72+C72-D72</f>
        <v>-47</v>
      </c>
      <c r="F72" s="494">
        <f>E9</f>
        <v>0</v>
      </c>
      <c r="G72" s="494">
        <f>J9</f>
        <v>15</v>
      </c>
      <c r="H72" s="495">
        <f t="shared" ref="H72:H85" si="1">F72-G72</f>
        <v>-15</v>
      </c>
      <c r="I72" s="496">
        <f>D9</f>
        <v>0</v>
      </c>
      <c r="J72" s="496">
        <f>I9</f>
        <v>0</v>
      </c>
      <c r="K72" s="496">
        <f t="shared" ref="K72:K85" si="2">I72-J72</f>
        <v>0</v>
      </c>
      <c r="M72" s="48">
        <f t="shared" ref="M72:M85" si="3">E72+F72+B91-D91-G72-J72</f>
        <v>572</v>
      </c>
    </row>
    <row r="73" spans="1:15" ht="15">
      <c r="A73" s="422" t="s">
        <v>2777</v>
      </c>
      <c r="B73" s="545">
        <f>C12-F12</f>
        <v>0</v>
      </c>
      <c r="C73" s="493">
        <f>G12</f>
        <v>0</v>
      </c>
      <c r="D73" s="493">
        <f>H12</f>
        <v>8</v>
      </c>
      <c r="E73" s="493">
        <f t="shared" si="0"/>
        <v>-8</v>
      </c>
      <c r="F73" s="494">
        <f>E13</f>
        <v>0</v>
      </c>
      <c r="G73" s="494">
        <f>J13</f>
        <v>3</v>
      </c>
      <c r="H73" s="495">
        <f t="shared" si="1"/>
        <v>-3</v>
      </c>
      <c r="I73" s="496">
        <f>D13</f>
        <v>0</v>
      </c>
      <c r="J73" s="496">
        <f>I13</f>
        <v>0</v>
      </c>
      <c r="K73" s="496">
        <f t="shared" si="2"/>
        <v>0</v>
      </c>
      <c r="M73" s="48">
        <f t="shared" si="3"/>
        <v>124</v>
      </c>
    </row>
    <row r="74" spans="1:15" ht="15">
      <c r="A74" s="47" t="s">
        <v>2812</v>
      </c>
      <c r="B74" s="545">
        <f>C16-F16</f>
        <v>56</v>
      </c>
      <c r="C74" s="493">
        <f>G16</f>
        <v>0</v>
      </c>
      <c r="D74" s="493">
        <f>H16</f>
        <v>0</v>
      </c>
      <c r="E74" s="493">
        <f>B74+C74-D74</f>
        <v>56</v>
      </c>
      <c r="F74" s="494">
        <f>E17</f>
        <v>0</v>
      </c>
      <c r="G74" s="494">
        <f>J17</f>
        <v>0</v>
      </c>
      <c r="H74" s="495">
        <f t="shared" si="1"/>
        <v>0</v>
      </c>
      <c r="I74" s="496">
        <f>D17</f>
        <v>0</v>
      </c>
      <c r="J74" s="496">
        <f>I17</f>
        <v>0</v>
      </c>
      <c r="K74" s="496">
        <f t="shared" si="2"/>
        <v>0</v>
      </c>
      <c r="M74" s="48">
        <f t="shared" si="3"/>
        <v>196</v>
      </c>
    </row>
    <row r="75" spans="1:15" ht="15">
      <c r="A75" s="47" t="s">
        <v>2814</v>
      </c>
      <c r="B75" s="545">
        <f>C20-F20</f>
        <v>4</v>
      </c>
      <c r="C75" s="493">
        <f>G20</f>
        <v>0</v>
      </c>
      <c r="D75" s="493">
        <f>H20</f>
        <v>0</v>
      </c>
      <c r="E75" s="493">
        <f t="shared" si="0"/>
        <v>4</v>
      </c>
      <c r="F75" s="494">
        <f>E21</f>
        <v>0</v>
      </c>
      <c r="G75" s="494">
        <f>J21</f>
        <v>0</v>
      </c>
      <c r="H75" s="495">
        <f t="shared" si="1"/>
        <v>0</v>
      </c>
      <c r="I75" s="496">
        <f>D21</f>
        <v>0</v>
      </c>
      <c r="J75" s="496">
        <f>I21</f>
        <v>0</v>
      </c>
      <c r="K75" s="496">
        <f t="shared" si="2"/>
        <v>0</v>
      </c>
      <c r="M75" s="48">
        <f t="shared" si="3"/>
        <v>58</v>
      </c>
    </row>
    <row r="76" spans="1:15" ht="15">
      <c r="A76" s="422" t="s">
        <v>2816</v>
      </c>
      <c r="B76" s="545">
        <f>C24-F24</f>
        <v>0</v>
      </c>
      <c r="C76" s="493">
        <f>G24</f>
        <v>0</v>
      </c>
      <c r="D76" s="493">
        <f>H24</f>
        <v>0</v>
      </c>
      <c r="E76" s="493">
        <f t="shared" si="0"/>
        <v>0</v>
      </c>
      <c r="F76" s="494">
        <f>E25</f>
        <v>0</v>
      </c>
      <c r="G76" s="494">
        <f>J25</f>
        <v>0</v>
      </c>
      <c r="H76" s="495">
        <f t="shared" si="1"/>
        <v>0</v>
      </c>
      <c r="I76" s="496">
        <f>D25</f>
        <v>0</v>
      </c>
      <c r="J76" s="496">
        <f>I25</f>
        <v>0</v>
      </c>
      <c r="K76" s="496">
        <f t="shared" si="2"/>
        <v>0</v>
      </c>
      <c r="M76" s="48">
        <f t="shared" si="3"/>
        <v>2</v>
      </c>
    </row>
    <row r="77" spans="1:15" ht="15">
      <c r="A77" s="422" t="s">
        <v>2818</v>
      </c>
      <c r="B77" s="545">
        <f>C28-F28</f>
        <v>0</v>
      </c>
      <c r="C77" s="493">
        <f>G28</f>
        <v>0</v>
      </c>
      <c r="D77" s="493">
        <f>H28</f>
        <v>0</v>
      </c>
      <c r="E77" s="493">
        <f t="shared" si="0"/>
        <v>0</v>
      </c>
      <c r="F77" s="494">
        <f>E29</f>
        <v>0</v>
      </c>
      <c r="G77" s="494">
        <f>J29</f>
        <v>0</v>
      </c>
      <c r="H77" s="495">
        <f t="shared" si="1"/>
        <v>0</v>
      </c>
      <c r="I77" s="496">
        <f>D29</f>
        <v>0</v>
      </c>
      <c r="J77" s="496">
        <f>I29</f>
        <v>0</v>
      </c>
      <c r="K77" s="496">
        <f t="shared" si="2"/>
        <v>0</v>
      </c>
      <c r="M77" s="48">
        <f t="shared" si="3"/>
        <v>0</v>
      </c>
    </row>
    <row r="78" spans="1:15" ht="15">
      <c r="A78" s="422" t="s">
        <v>2846</v>
      </c>
      <c r="B78" s="545">
        <f>C33-F33</f>
        <v>2</v>
      </c>
      <c r="C78" s="493">
        <f>G33</f>
        <v>0</v>
      </c>
      <c r="D78" s="493">
        <f>H33</f>
        <v>2</v>
      </c>
      <c r="E78" s="493">
        <f>B78+C78-D78</f>
        <v>0</v>
      </c>
      <c r="F78" s="494">
        <f>E34</f>
        <v>0</v>
      </c>
      <c r="G78" s="494">
        <f>J34</f>
        <v>0</v>
      </c>
      <c r="H78" s="495">
        <f>F78-G78</f>
        <v>0</v>
      </c>
      <c r="I78" s="496">
        <f>D34</f>
        <v>0</v>
      </c>
      <c r="J78" s="496">
        <f>I34</f>
        <v>0</v>
      </c>
      <c r="K78" s="496">
        <f>I78-J78</f>
        <v>0</v>
      </c>
      <c r="M78" s="48">
        <f t="shared" si="3"/>
        <v>0</v>
      </c>
    </row>
    <row r="79" spans="1:15" ht="15">
      <c r="A79" s="422" t="s">
        <v>2847</v>
      </c>
      <c r="B79" s="545">
        <f>C37-F37</f>
        <v>163</v>
      </c>
      <c r="C79" s="493">
        <f>G37</f>
        <v>0</v>
      </c>
      <c r="D79" s="493">
        <f>H37</f>
        <v>100</v>
      </c>
      <c r="E79" s="493">
        <f>B79+C79-D79</f>
        <v>63</v>
      </c>
      <c r="F79" s="494">
        <f>E38</f>
        <v>0</v>
      </c>
      <c r="G79" s="494">
        <f>J38</f>
        <v>0</v>
      </c>
      <c r="H79" s="495">
        <f>F79-G79</f>
        <v>0</v>
      </c>
      <c r="I79" s="496">
        <f>D38</f>
        <v>0</v>
      </c>
      <c r="J79" s="496">
        <f>I38</f>
        <v>0</v>
      </c>
      <c r="K79" s="496">
        <f>I79-J79</f>
        <v>0</v>
      </c>
      <c r="M79" s="48">
        <f t="shared" si="3"/>
        <v>73</v>
      </c>
    </row>
    <row r="80" spans="1:15" ht="15">
      <c r="A80" s="47" t="s">
        <v>2824</v>
      </c>
      <c r="B80" s="545">
        <f>C41-F41</f>
        <v>330</v>
      </c>
      <c r="C80" s="493">
        <f>G41</f>
        <v>0</v>
      </c>
      <c r="D80" s="493">
        <f>H41</f>
        <v>20</v>
      </c>
      <c r="E80" s="493">
        <f t="shared" si="0"/>
        <v>310</v>
      </c>
      <c r="F80" s="494">
        <f>E42</f>
        <v>0</v>
      </c>
      <c r="G80" s="494">
        <f>J42</f>
        <v>0</v>
      </c>
      <c r="H80" s="495">
        <f t="shared" si="1"/>
        <v>0</v>
      </c>
      <c r="I80" s="496">
        <f>D42</f>
        <v>0</v>
      </c>
      <c r="J80" s="496">
        <f>I42</f>
        <v>0</v>
      </c>
      <c r="K80" s="496">
        <f t="shared" si="2"/>
        <v>0</v>
      </c>
      <c r="M80" s="48">
        <f t="shared" si="3"/>
        <v>387</v>
      </c>
    </row>
    <row r="81" spans="1:13" ht="15">
      <c r="A81" s="422" t="s">
        <v>2826</v>
      </c>
      <c r="B81" s="545">
        <f>C45-F45</f>
        <v>60</v>
      </c>
      <c r="C81" s="493">
        <f>G45</f>
        <v>0</v>
      </c>
      <c r="D81" s="493">
        <f>H45</f>
        <v>10</v>
      </c>
      <c r="E81" s="493">
        <f t="shared" si="0"/>
        <v>50</v>
      </c>
      <c r="F81" s="494">
        <f>E46</f>
        <v>0</v>
      </c>
      <c r="G81" s="494">
        <f>J46</f>
        <v>0</v>
      </c>
      <c r="H81" s="495">
        <f t="shared" si="1"/>
        <v>0</v>
      </c>
      <c r="I81" s="496">
        <f>D46</f>
        <v>0</v>
      </c>
      <c r="J81" s="496">
        <f>I46</f>
        <v>0</v>
      </c>
      <c r="K81" s="496">
        <f t="shared" si="2"/>
        <v>0</v>
      </c>
      <c r="M81" s="48">
        <f t="shared" si="3"/>
        <v>108</v>
      </c>
    </row>
    <row r="82" spans="1:13" ht="15">
      <c r="A82" s="47" t="s">
        <v>2828</v>
      </c>
      <c r="B82" s="545">
        <f>C49-F49</f>
        <v>17</v>
      </c>
      <c r="C82" s="493">
        <f>G49</f>
        <v>0</v>
      </c>
      <c r="D82" s="493">
        <f>H49</f>
        <v>7</v>
      </c>
      <c r="E82" s="493">
        <f t="shared" si="0"/>
        <v>10</v>
      </c>
      <c r="F82" s="494">
        <f>E50</f>
        <v>0</v>
      </c>
      <c r="G82" s="494">
        <f>J50</f>
        <v>0</v>
      </c>
      <c r="H82" s="495">
        <f t="shared" si="1"/>
        <v>0</v>
      </c>
      <c r="I82" s="496">
        <f>D50</f>
        <v>0</v>
      </c>
      <c r="J82" s="496">
        <f>I50</f>
        <v>0</v>
      </c>
      <c r="K82" s="496">
        <f t="shared" si="2"/>
        <v>0</v>
      </c>
      <c r="M82" s="48">
        <f t="shared" si="3"/>
        <v>35</v>
      </c>
    </row>
    <row r="83" spans="1:13" ht="15">
      <c r="A83" s="47" t="s">
        <v>2830</v>
      </c>
      <c r="B83" s="545">
        <f>C53-F53</f>
        <v>7</v>
      </c>
      <c r="C83" s="493">
        <f>G53</f>
        <v>0</v>
      </c>
      <c r="D83" s="493">
        <f>H53</f>
        <v>2</v>
      </c>
      <c r="E83" s="493">
        <f t="shared" si="0"/>
        <v>5</v>
      </c>
      <c r="F83" s="494">
        <f>E54</f>
        <v>0</v>
      </c>
      <c r="G83" s="494">
        <f>J54</f>
        <v>0</v>
      </c>
      <c r="H83" s="495">
        <f t="shared" si="1"/>
        <v>0</v>
      </c>
      <c r="I83" s="496">
        <f>D54</f>
        <v>0</v>
      </c>
      <c r="J83" s="496">
        <f>I54</f>
        <v>0</v>
      </c>
      <c r="K83" s="496">
        <f t="shared" si="2"/>
        <v>0</v>
      </c>
      <c r="M83" s="48">
        <f t="shared" si="3"/>
        <v>9</v>
      </c>
    </row>
    <row r="84" spans="1:13" ht="15">
      <c r="A84" s="422" t="s">
        <v>2832</v>
      </c>
      <c r="B84" s="545">
        <f>C57-F57</f>
        <v>1</v>
      </c>
      <c r="C84" s="493">
        <f>G57</f>
        <v>0</v>
      </c>
      <c r="D84" s="493">
        <f>H57</f>
        <v>0</v>
      </c>
      <c r="E84" s="493">
        <f t="shared" si="0"/>
        <v>1</v>
      </c>
      <c r="F84" s="494">
        <f>E58</f>
        <v>0</v>
      </c>
      <c r="G84" s="494">
        <f>J58</f>
        <v>0</v>
      </c>
      <c r="H84" s="495">
        <f t="shared" si="1"/>
        <v>0</v>
      </c>
      <c r="I84" s="496">
        <f>D58</f>
        <v>0</v>
      </c>
      <c r="J84" s="496">
        <f>I58</f>
        <v>0</v>
      </c>
      <c r="K84" s="496">
        <f t="shared" si="2"/>
        <v>0</v>
      </c>
      <c r="M84" s="48">
        <f t="shared" si="3"/>
        <v>1</v>
      </c>
    </row>
    <row r="85" spans="1:13" ht="15">
      <c r="A85" s="422" t="s">
        <v>2834</v>
      </c>
      <c r="B85" s="545">
        <f>C61-F61</f>
        <v>0</v>
      </c>
      <c r="C85" s="493">
        <f>G61</f>
        <v>0</v>
      </c>
      <c r="D85" s="493">
        <f>H61</f>
        <v>0</v>
      </c>
      <c r="E85" s="493">
        <f t="shared" si="0"/>
        <v>0</v>
      </c>
      <c r="F85" s="494">
        <f>E62</f>
        <v>0</v>
      </c>
      <c r="G85" s="494">
        <f>J62</f>
        <v>0</v>
      </c>
      <c r="H85" s="495">
        <f t="shared" si="1"/>
        <v>0</v>
      </c>
      <c r="I85" s="496">
        <f>D62</f>
        <v>0</v>
      </c>
      <c r="J85" s="496">
        <f>I62</f>
        <v>0</v>
      </c>
      <c r="K85" s="496">
        <f t="shared" si="2"/>
        <v>0</v>
      </c>
      <c r="M85" s="48">
        <f t="shared" si="3"/>
        <v>0</v>
      </c>
    </row>
    <row r="86" spans="1:13" ht="15.75" thickBot="1">
      <c r="B86" s="61">
        <f t="shared" ref="B86:K86" si="4">SUBTOTAL(9,B71:B85)</f>
        <v>640</v>
      </c>
      <c r="C86" s="61">
        <f t="shared" si="4"/>
        <v>0</v>
      </c>
      <c r="D86" s="61">
        <f t="shared" si="4"/>
        <v>606</v>
      </c>
      <c r="E86" s="61">
        <f t="shared" si="4"/>
        <v>34</v>
      </c>
      <c r="F86" s="77">
        <f t="shared" si="4"/>
        <v>0</v>
      </c>
      <c r="G86" s="78">
        <f t="shared" si="4"/>
        <v>93</v>
      </c>
      <c r="H86" s="77">
        <f t="shared" si="4"/>
        <v>-93</v>
      </c>
      <c r="I86" s="79">
        <f t="shared" si="4"/>
        <v>165</v>
      </c>
      <c r="J86" s="79">
        <f t="shared" si="4"/>
        <v>0</v>
      </c>
      <c r="K86" s="88">
        <f t="shared" si="4"/>
        <v>165</v>
      </c>
    </row>
    <row r="87" spans="1:13" ht="15" thickTop="1"/>
    <row r="88" spans="1:13" ht="18">
      <c r="A88" s="865" t="s">
        <v>2848</v>
      </c>
      <c r="B88" s="870" t="s">
        <v>2849</v>
      </c>
      <c r="C88" s="870"/>
      <c r="D88" s="870"/>
      <c r="E88" s="870"/>
    </row>
    <row r="89" spans="1:13">
      <c r="A89" s="865"/>
      <c r="B89" s="60" t="s">
        <v>236</v>
      </c>
      <c r="C89" s="62" t="s">
        <v>2837</v>
      </c>
      <c r="D89" s="60" t="s">
        <v>2838</v>
      </c>
      <c r="E89" s="60" t="s">
        <v>2839</v>
      </c>
      <c r="F89" s="80"/>
      <c r="G89" s="48"/>
      <c r="H89" s="81"/>
      <c r="K89" s="48"/>
    </row>
    <row r="90" spans="1:13" ht="15">
      <c r="A90" s="422" t="s">
        <v>2807</v>
      </c>
      <c r="B90" s="545">
        <f>C3-F3-G3</f>
        <v>2681</v>
      </c>
      <c r="C90" s="497">
        <f>G3</f>
        <v>40</v>
      </c>
      <c r="D90" s="493">
        <f>H3</f>
        <v>94</v>
      </c>
      <c r="E90" s="493">
        <f>B90+C90-D90</f>
        <v>2627</v>
      </c>
      <c r="G90" s="48" t="s">
        <v>236</v>
      </c>
      <c r="H90" s="81" t="s">
        <v>2798</v>
      </c>
      <c r="I90" s="48" t="s">
        <v>258</v>
      </c>
    </row>
    <row r="91" spans="1:13" ht="15">
      <c r="A91" s="422" t="s">
        <v>2809</v>
      </c>
      <c r="B91" s="545">
        <f>C7-F7-G7</f>
        <v>650</v>
      </c>
      <c r="C91" s="497">
        <f>G7</f>
        <v>0</v>
      </c>
      <c r="D91" s="493">
        <f>H7</f>
        <v>16</v>
      </c>
      <c r="E91" s="493">
        <f>B91+C91-D91</f>
        <v>634</v>
      </c>
      <c r="G91" s="48"/>
      <c r="H91" s="82"/>
    </row>
    <row r="92" spans="1:13" ht="15">
      <c r="A92" s="422" t="s">
        <v>2777</v>
      </c>
      <c r="B92" s="545">
        <f>C11-F11-G11</f>
        <v>141</v>
      </c>
      <c r="C92" s="497">
        <f>G11</f>
        <v>0</v>
      </c>
      <c r="D92" s="493">
        <f>H11</f>
        <v>6</v>
      </c>
      <c r="E92" s="493">
        <f t="shared" ref="E92:E104" si="5">B92+C92-D92</f>
        <v>135</v>
      </c>
      <c r="G92" s="48"/>
      <c r="H92" s="82"/>
      <c r="K92" s="65" t="s">
        <v>2768</v>
      </c>
      <c r="L92" s="48">
        <f>L6</f>
        <v>2307</v>
      </c>
      <c r="M92" s="48">
        <f>B123-E123</f>
        <v>2177</v>
      </c>
    </row>
    <row r="93" spans="1:13" ht="15">
      <c r="A93" s="47" t="s">
        <v>2812</v>
      </c>
      <c r="B93" s="545">
        <f>C15-F15-G15</f>
        <v>144</v>
      </c>
      <c r="C93" s="497">
        <f>G15</f>
        <v>0</v>
      </c>
      <c r="D93" s="493">
        <f>H15</f>
        <v>4</v>
      </c>
      <c r="E93" s="493">
        <f t="shared" si="5"/>
        <v>140</v>
      </c>
      <c r="G93" s="48"/>
      <c r="H93" s="82"/>
      <c r="K93" s="65" t="s">
        <v>2850</v>
      </c>
      <c r="L93" s="48">
        <f>L10</f>
        <v>572</v>
      </c>
      <c r="M93" s="48">
        <f t="shared" ref="M93:M106" si="6">B124-E124</f>
        <v>587</v>
      </c>
    </row>
    <row r="94" spans="1:13" ht="15">
      <c r="A94" s="47" t="s">
        <v>2814</v>
      </c>
      <c r="B94" s="545">
        <f>C19-F19-G19</f>
        <v>58</v>
      </c>
      <c r="C94" s="497">
        <f>G19</f>
        <v>0</v>
      </c>
      <c r="D94" s="493">
        <f>H19</f>
        <v>4</v>
      </c>
      <c r="E94" s="493">
        <f t="shared" si="5"/>
        <v>54</v>
      </c>
      <c r="G94" s="48"/>
      <c r="H94" s="82"/>
      <c r="K94" s="65" t="s">
        <v>2777</v>
      </c>
      <c r="L94" s="48">
        <f>L14</f>
        <v>124</v>
      </c>
      <c r="M94" s="48">
        <f t="shared" si="6"/>
        <v>127</v>
      </c>
    </row>
    <row r="95" spans="1:13" ht="15">
      <c r="A95" s="422" t="s">
        <v>2816</v>
      </c>
      <c r="B95" s="545">
        <f>C23-F23-G23</f>
        <v>4</v>
      </c>
      <c r="C95" s="497">
        <f>G23</f>
        <v>0</v>
      </c>
      <c r="D95" s="493">
        <f>H23</f>
        <v>2</v>
      </c>
      <c r="E95" s="498">
        <f t="shared" si="5"/>
        <v>2</v>
      </c>
      <c r="G95" s="48"/>
      <c r="H95" s="82"/>
      <c r="K95" s="65" t="s">
        <v>2812</v>
      </c>
      <c r="L95" s="48">
        <f>L18</f>
        <v>196</v>
      </c>
      <c r="M95" s="48">
        <f t="shared" si="6"/>
        <v>196</v>
      </c>
    </row>
    <row r="96" spans="1:13" ht="15">
      <c r="A96" s="422" t="s">
        <v>2818</v>
      </c>
      <c r="B96" s="545">
        <f>C27-F27-G27</f>
        <v>0</v>
      </c>
      <c r="C96" s="497">
        <f>G27</f>
        <v>0</v>
      </c>
      <c r="D96" s="493">
        <f>H27</f>
        <v>0</v>
      </c>
      <c r="E96" s="498">
        <f>B96+C96-D96</f>
        <v>0</v>
      </c>
      <c r="G96" s="48"/>
      <c r="H96" s="82"/>
      <c r="K96" s="65" t="s">
        <v>2814</v>
      </c>
      <c r="L96" s="48">
        <f>L22</f>
        <v>58</v>
      </c>
      <c r="M96" s="48">
        <f t="shared" si="6"/>
        <v>58</v>
      </c>
    </row>
    <row r="97" spans="1:15" ht="15">
      <c r="A97" s="422" t="s">
        <v>2846</v>
      </c>
      <c r="B97" s="545">
        <f>C32-F32-G32</f>
        <v>0</v>
      </c>
      <c r="C97" s="497">
        <f>G32</f>
        <v>0</v>
      </c>
      <c r="D97" s="493">
        <f>H32</f>
        <v>0</v>
      </c>
      <c r="E97" s="493">
        <f>B97+C97-D97</f>
        <v>0</v>
      </c>
      <c r="G97" s="48"/>
      <c r="H97" s="82"/>
      <c r="K97" s="65" t="s">
        <v>2816</v>
      </c>
      <c r="L97" s="48">
        <f>L26</f>
        <v>2</v>
      </c>
      <c r="M97" s="48">
        <f t="shared" si="6"/>
        <v>2</v>
      </c>
    </row>
    <row r="98" spans="1:15" ht="15">
      <c r="A98" s="422" t="s">
        <v>2822</v>
      </c>
      <c r="B98" s="545">
        <f>C36-F36-G36</f>
        <v>30</v>
      </c>
      <c r="C98" s="497">
        <f>G36</f>
        <v>0</v>
      </c>
      <c r="D98" s="493">
        <f>H36</f>
        <v>20</v>
      </c>
      <c r="E98" s="493">
        <f>B98+C98-D98</f>
        <v>10</v>
      </c>
      <c r="G98" s="48"/>
      <c r="H98" s="82"/>
      <c r="K98" s="89" t="s">
        <v>2818</v>
      </c>
      <c r="L98" s="91">
        <f>L30</f>
        <v>0</v>
      </c>
      <c r="M98" s="48">
        <f t="shared" si="6"/>
        <v>0</v>
      </c>
    </row>
    <row r="99" spans="1:15" ht="15">
      <c r="A99" s="47" t="s">
        <v>2824</v>
      </c>
      <c r="B99" s="545">
        <f>C40-F40-G40</f>
        <v>77</v>
      </c>
      <c r="C99" s="497">
        <f>G40</f>
        <v>0</v>
      </c>
      <c r="D99" s="493">
        <f>H40</f>
        <v>0</v>
      </c>
      <c r="E99" s="493">
        <f t="shared" si="5"/>
        <v>77</v>
      </c>
      <c r="G99" s="48"/>
      <c r="H99" s="82"/>
      <c r="K99" s="65" t="s">
        <v>2846</v>
      </c>
      <c r="L99" s="48">
        <f>L35</f>
        <v>0</v>
      </c>
      <c r="M99" s="48">
        <f t="shared" si="6"/>
        <v>0</v>
      </c>
    </row>
    <row r="100" spans="1:15" ht="15">
      <c r="A100" s="422" t="s">
        <v>2826</v>
      </c>
      <c r="B100" s="545">
        <f>C44-F44-G44</f>
        <v>58</v>
      </c>
      <c r="C100" s="497">
        <f>G44</f>
        <v>0</v>
      </c>
      <c r="D100" s="493">
        <f>H44</f>
        <v>0</v>
      </c>
      <c r="E100" s="493">
        <f>B100+C100-D100</f>
        <v>58</v>
      </c>
      <c r="G100" s="48"/>
      <c r="H100" s="82"/>
      <c r="K100" s="65" t="s">
        <v>2847</v>
      </c>
      <c r="L100" s="48">
        <f>L39</f>
        <v>73</v>
      </c>
      <c r="M100" s="48">
        <f t="shared" si="6"/>
        <v>73</v>
      </c>
    </row>
    <row r="101" spans="1:15" ht="15">
      <c r="A101" s="422" t="s">
        <v>2828</v>
      </c>
      <c r="B101" s="545">
        <f>C48-F48-G48</f>
        <v>25</v>
      </c>
      <c r="C101" s="497">
        <f>G48</f>
        <v>0</v>
      </c>
      <c r="D101" s="493">
        <f>H48</f>
        <v>0</v>
      </c>
      <c r="E101" s="493">
        <f t="shared" si="5"/>
        <v>25</v>
      </c>
      <c r="G101" s="48"/>
      <c r="H101" s="82"/>
      <c r="K101" s="65" t="s">
        <v>2851</v>
      </c>
      <c r="L101" s="48">
        <f>L43</f>
        <v>387</v>
      </c>
      <c r="M101" s="48">
        <f t="shared" si="6"/>
        <v>387</v>
      </c>
    </row>
    <row r="102" spans="1:15" ht="15">
      <c r="A102" s="422" t="s">
        <v>2830</v>
      </c>
      <c r="B102" s="545">
        <f>C52-F52-G52</f>
        <v>4</v>
      </c>
      <c r="C102" s="497">
        <f>G52</f>
        <v>0</v>
      </c>
      <c r="D102" s="493">
        <f>H52</f>
        <v>0</v>
      </c>
      <c r="E102" s="493">
        <f t="shared" si="5"/>
        <v>4</v>
      </c>
      <c r="G102" s="48"/>
      <c r="I102"/>
      <c r="K102" s="65" t="s">
        <v>2852</v>
      </c>
      <c r="L102" s="48">
        <f>L47</f>
        <v>108</v>
      </c>
      <c r="M102" s="48">
        <f t="shared" si="6"/>
        <v>108</v>
      </c>
    </row>
    <row r="103" spans="1:15" ht="15">
      <c r="A103" s="422" t="s">
        <v>2832</v>
      </c>
      <c r="B103" s="545">
        <f>C56-F56-G56</f>
        <v>0</v>
      </c>
      <c r="C103" s="497">
        <f>G56</f>
        <v>0</v>
      </c>
      <c r="D103" s="493">
        <f>H56</f>
        <v>0</v>
      </c>
      <c r="E103" s="493">
        <f t="shared" si="5"/>
        <v>0</v>
      </c>
      <c r="G103" s="49"/>
      <c r="I103"/>
      <c r="K103" s="65" t="s">
        <v>2828</v>
      </c>
      <c r="L103" s="48">
        <f>L51</f>
        <v>35</v>
      </c>
      <c r="M103" s="48">
        <f t="shared" si="6"/>
        <v>35</v>
      </c>
    </row>
    <row r="104" spans="1:15" ht="15">
      <c r="A104" s="422" t="s">
        <v>2834</v>
      </c>
      <c r="B104" s="545">
        <f>C60-F60-G60</f>
        <v>0</v>
      </c>
      <c r="C104" s="497">
        <f>G60</f>
        <v>0</v>
      </c>
      <c r="D104" s="493">
        <f>H60</f>
        <v>0</v>
      </c>
      <c r="E104" s="493">
        <f t="shared" si="5"/>
        <v>0</v>
      </c>
      <c r="G104" s="279"/>
      <c r="I104"/>
      <c r="K104" s="65" t="s">
        <v>2830</v>
      </c>
      <c r="L104" s="48">
        <f>L55</f>
        <v>9</v>
      </c>
      <c r="M104" s="48">
        <f t="shared" si="6"/>
        <v>9</v>
      </c>
    </row>
    <row r="105" spans="1:15" ht="15.75" thickBot="1">
      <c r="B105" s="63">
        <f>SUBTOTAL(9,B90:B104)</f>
        <v>3872</v>
      </c>
      <c r="C105" s="64">
        <f>SUBTOTAL(9,C90:C104)</f>
        <v>40</v>
      </c>
      <c r="D105" s="63">
        <f>SUBTOTAL(9,D90:D104)</f>
        <v>146</v>
      </c>
      <c r="E105" s="63">
        <f>SUBTOTAL(9,E90:E104)</f>
        <v>3766</v>
      </c>
      <c r="G105" s="336"/>
      <c r="I105"/>
      <c r="K105" s="65" t="s">
        <v>2832</v>
      </c>
      <c r="L105" s="48">
        <f>L59</f>
        <v>1</v>
      </c>
      <c r="M105" s="48">
        <f t="shared" si="6"/>
        <v>1</v>
      </c>
    </row>
    <row r="106" spans="1:15" ht="15" thickTop="1">
      <c r="G106" s="336"/>
      <c r="I106"/>
      <c r="K106" s="89" t="s">
        <v>2834</v>
      </c>
      <c r="L106" s="91">
        <f>L63</f>
        <v>0</v>
      </c>
      <c r="M106" s="48">
        <f t="shared" si="6"/>
        <v>0</v>
      </c>
    </row>
    <row r="107" spans="1:15">
      <c r="B107" s="48">
        <f>B105+B86</f>
        <v>4512</v>
      </c>
      <c r="D107" s="48">
        <f>D86+D105+J86+G86</f>
        <v>845</v>
      </c>
      <c r="E107" s="48">
        <f>E86+E105</f>
        <v>3800</v>
      </c>
      <c r="G107" s="49"/>
      <c r="I107"/>
      <c r="K107" s="89"/>
      <c r="L107" s="48">
        <f>SUM(L92:L106)</f>
        <v>3872</v>
      </c>
      <c r="M107" s="48">
        <f>SUM(M92:M106)</f>
        <v>3760</v>
      </c>
    </row>
    <row r="108" spans="1:15">
      <c r="G108" s="279"/>
      <c r="I108"/>
      <c r="K108" s="48"/>
      <c r="L108" s="1"/>
      <c r="M108" s="1"/>
      <c r="N108" s="1"/>
      <c r="O108" s="1"/>
    </row>
    <row r="109" spans="1:15">
      <c r="G109" s="336"/>
      <c r="I109"/>
      <c r="K109" s="48"/>
      <c r="L109" s="1"/>
      <c r="M109" s="1"/>
      <c r="N109" s="1"/>
      <c r="O109" s="1"/>
    </row>
    <row r="110" spans="1:15">
      <c r="G110" s="336"/>
      <c r="I110"/>
      <c r="K110" s="48"/>
      <c r="L110" s="1"/>
      <c r="M110" s="1"/>
      <c r="N110" s="1"/>
      <c r="O110" s="1"/>
    </row>
    <row r="111" spans="1:15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>
      <c r="D115" s="339" t="s">
        <v>3878</v>
      </c>
      <c r="E115" s="48">
        <f>SUMIFS(Stock_list!$J$1:$J$1601,Stock_list!$B$1:$B$1601,"有交期",Stock_list!$Y$1:$Y$1601,"Yes")</f>
        <v>14</v>
      </c>
      <c r="F115" s="48">
        <f>SUMIFS(Stock_list!$J$1:$J$1601,Stock_list!$B$1:$B$1601,"有交期",Stock_list!$Y$1:$Y$1601,"No")</f>
        <v>3</v>
      </c>
      <c r="H115" s="48">
        <f>'NEW Feeder Reserved'!K564+'NEW Feeder Reserved'!K571+'NEW Feeder Reserved'!K555</f>
        <v>2</v>
      </c>
      <c r="K115" s="48"/>
      <c r="L115" s="1"/>
      <c r="M115" s="1"/>
      <c r="N115" s="1"/>
      <c r="O115" s="1"/>
    </row>
    <row r="116" spans="1:20" ht="16.5" customHeight="1">
      <c r="D116" s="48" t="s">
        <v>3879</v>
      </c>
      <c r="E116" s="48">
        <f>SUMIFS(Stock_list!$J$1:$J$1601,Stock_list!$B$1:$B$1601,"TBA.",Stock_list!$Y$1:$Y$1601,"Yes")</f>
        <v>4</v>
      </c>
      <c r="F116" s="48">
        <f>SUMIFS(Stock_list!$J$1:$J$1601,Stock_list!$B$1:$B$1601,"TBA.",Stock_list!$Y$1:$Y$1601,"No")</f>
        <v>1</v>
      </c>
      <c r="I116" s="48">
        <f>'NEW Feeder Reserved'!K558+'NEW Feeder Reserved'!K565+'NEW Feeder Reserved'!K553</f>
        <v>20</v>
      </c>
      <c r="K116" s="48"/>
      <c r="L116" s="1"/>
      <c r="M116" s="1"/>
      <c r="N116" s="1"/>
      <c r="O116" s="1"/>
    </row>
    <row r="117" spans="1:20" ht="19.5" customHeight="1">
      <c r="D117" s="339" t="s">
        <v>3880</v>
      </c>
      <c r="E117" s="48">
        <f>SUMIFS(Stock_list!$J$1:$J$1601,Stock_list!$B$1:$B$1601,"已经到货",Stock_list!$Y$1:$Y$1601,"Yes")</f>
        <v>12</v>
      </c>
      <c r="F117" s="48">
        <f>SUMIFS(Stock_list!$J$1:$J$1601,Stock_list!$B$1:$B$1601,"已经到货",Stock_list!$Y$1:$Y$1601,"No")</f>
        <v>1</v>
      </c>
      <c r="G117" s="66">
        <f>'NEW Feeder Reserved'!K561+'NEW Feeder Reserved'!K568+'NEW Feeder Reserved'!K554</f>
        <v>4</v>
      </c>
      <c r="K117" s="48"/>
      <c r="L117" s="1"/>
      <c r="M117" s="1"/>
      <c r="N117" s="1"/>
      <c r="O117" s="1"/>
    </row>
    <row r="118" spans="1:20" ht="19.5" customHeight="1">
      <c r="D118" s="48" t="s">
        <v>3881</v>
      </c>
      <c r="K118" s="48"/>
      <c r="L118" s="1"/>
      <c r="M118" s="1"/>
      <c r="N118" s="1"/>
      <c r="O118" s="1"/>
    </row>
    <row r="119" spans="1:20" ht="19.5" customHeight="1">
      <c r="A119" s="347"/>
      <c r="B119" s="346"/>
      <c r="C119" s="346"/>
      <c r="D119" s="356"/>
      <c r="E119" s="871" t="s">
        <v>3890</v>
      </c>
      <c r="F119" s="871"/>
      <c r="G119" s="872" t="s">
        <v>3891</v>
      </c>
      <c r="H119" s="872"/>
      <c r="I119" s="872"/>
      <c r="J119" s="346"/>
      <c r="K119" s="346"/>
      <c r="L119" s="347"/>
      <c r="M119" s="1"/>
      <c r="N119" s="1"/>
      <c r="O119" s="1"/>
    </row>
    <row r="120" spans="1:20" ht="19.5" customHeight="1">
      <c r="A120" s="347"/>
      <c r="B120" s="346"/>
      <c r="C120" s="346"/>
      <c r="D120" s="356"/>
      <c r="E120" s="358" t="s">
        <v>3886</v>
      </c>
      <c r="F120" s="358" t="s">
        <v>3887</v>
      </c>
      <c r="G120" s="359" t="s">
        <v>3888</v>
      </c>
      <c r="H120" s="359" t="s">
        <v>3889</v>
      </c>
      <c r="I120" s="359" t="s">
        <v>3879</v>
      </c>
      <c r="J120" s="360" t="s">
        <v>3892</v>
      </c>
      <c r="K120" s="346"/>
      <c r="L120" s="347"/>
      <c r="M120" s="1"/>
      <c r="N120" s="1"/>
      <c r="O120" s="1"/>
    </row>
    <row r="121" spans="1:20" ht="19.5" customHeight="1">
      <c r="A121" s="347"/>
      <c r="B121" s="346"/>
      <c r="C121" s="346"/>
      <c r="D121" s="357"/>
      <c r="E121" s="358">
        <f>E115+E116+E117</f>
        <v>30</v>
      </c>
      <c r="F121" s="358">
        <f>F115+F116+F117</f>
        <v>5</v>
      </c>
      <c r="G121" s="359">
        <f>G117</f>
        <v>4</v>
      </c>
      <c r="H121" s="359">
        <f>H115</f>
        <v>2</v>
      </c>
      <c r="I121" s="359">
        <f>I116</f>
        <v>20</v>
      </c>
      <c r="J121" s="360">
        <f>SUM(E121:I121)</f>
        <v>61</v>
      </c>
      <c r="K121" s="346"/>
      <c r="L121" s="347"/>
      <c r="M121" s="1"/>
      <c r="N121" s="1"/>
      <c r="O121" s="1"/>
    </row>
    <row r="122" spans="1:20" ht="33" customHeight="1">
      <c r="A122" s="349" t="s">
        <v>235</v>
      </c>
      <c r="B122" s="348" t="s">
        <v>2855</v>
      </c>
      <c r="C122" s="350" t="s">
        <v>3872</v>
      </c>
      <c r="D122" s="350" t="s">
        <v>3873</v>
      </c>
      <c r="E122" s="350" t="s">
        <v>3882</v>
      </c>
      <c r="F122" s="350" t="s">
        <v>3883</v>
      </c>
      <c r="G122" s="350" t="s">
        <v>3884</v>
      </c>
      <c r="H122" s="350" t="s">
        <v>237</v>
      </c>
      <c r="I122" s="350" t="s">
        <v>3885</v>
      </c>
      <c r="J122" s="350" t="s">
        <v>3866</v>
      </c>
      <c r="K122" s="350" t="s">
        <v>3867</v>
      </c>
      <c r="L122" s="507" t="s">
        <v>2856</v>
      </c>
      <c r="P122" s="48"/>
    </row>
    <row r="123" spans="1:20" ht="15">
      <c r="A123" s="361" t="s">
        <v>2807</v>
      </c>
      <c r="B123" s="499">
        <f>B71+B90</f>
        <v>2681</v>
      </c>
      <c r="C123" s="500">
        <f>SUMIFS('NEW Feeder Reserved'!$G$1:$G$573,'NEW Feeder Reserved'!$A$1:$A$573,"SS 8mm",'NEW Feeder Reserved'!$F$1:$F$573,"有交期")</f>
        <v>0</v>
      </c>
      <c r="D123" s="500">
        <f>SUMIFS('NEW Feeder Reserved'!$G$1:$G$573,'NEW Feeder Reserved'!$A$1:$A$573,"SS 8mm",'NEW Feeder Reserved'!$F$1:$F$573,"Incoming")</f>
        <v>165</v>
      </c>
      <c r="E123" s="501">
        <f>D71+D90</f>
        <v>504</v>
      </c>
      <c r="F123" s="501">
        <f>SUMIFS('NEW Feeder Reserved'!$Q$1:$Q$573,'NEW Feeder Reserved'!$A$1:$A$573,"SS 8mm",'NEW Feeder Reserved'!$F$1:$F$573,"Incoming")</f>
        <v>50</v>
      </c>
      <c r="G123" s="502">
        <f>SUMIFS('NEW Feeder Reserved'!$N$1:$N$573,'NEW Feeder Reserved'!$A$1:$A$573,"SS 8mm",'NEW Feeder Reserved'!$F$1:$F$573,"已经到货",'NEW Feeder Reserved'!$I$1:$I$573,"没有预留机器")</f>
        <v>200</v>
      </c>
      <c r="H123" s="502">
        <f>SUMIFS('NEW Feeder Reserved'!$N$1:$N$573,'NEW Feeder Reserved'!$A$1:$A$573,"SS 8mm",'NEW Feeder Reserved'!$F$1:$F$573,"有交期",'NEW Feeder Reserved'!$I$1:$I$573,"没有预留机器")</f>
        <v>75</v>
      </c>
      <c r="I123" s="502">
        <f>SUMIFS('NEW Feeder Reserved'!$N$1:$N$573,'NEW Feeder Reserved'!$A$1:$A$573,"SS 8mm",'NEW Feeder Reserved'!$F$1:$F$573,"TBA",'NEW Feeder Reserved'!$I$1:$I$573,"没有预留机器")</f>
        <v>725</v>
      </c>
      <c r="J123" s="503">
        <v>500</v>
      </c>
      <c r="K123" s="503">
        <f>300</f>
        <v>300</v>
      </c>
      <c r="L123" s="508">
        <f>B123+C123+D123-E123-G123-H123-I123-K123-(J123-F123)</f>
        <v>592</v>
      </c>
      <c r="P123" s="48"/>
    </row>
    <row r="124" spans="1:20" ht="15">
      <c r="A124" s="361" t="s">
        <v>2809</v>
      </c>
      <c r="B124" s="499">
        <f t="shared" ref="B124:B135" si="7">B72+B91</f>
        <v>650</v>
      </c>
      <c r="C124" s="500">
        <f>SUMIFS('NEW Feeder Reserved'!$G$1:$G$573,'NEW Feeder Reserved'!$A$1:$A$573,"SS 12/16mm",'NEW Feeder Reserved'!$F$1:$F$573,"有交期")</f>
        <v>0</v>
      </c>
      <c r="D124" s="500">
        <f>SUMIFS('NEW Feeder Reserved'!$G$1:$G$573,'NEW Feeder Reserved'!$A$1:$A$573,"SS 12/16mm",'NEW Feeder Reserved'!$F$1:$F$573,"Incoming")</f>
        <v>0</v>
      </c>
      <c r="E124" s="501">
        <f t="shared" ref="E124:E137" si="8">D72+D91</f>
        <v>63</v>
      </c>
      <c r="F124" s="501">
        <f>SUMIFS('NEW Feeder Reserved'!$Q$1:$Q$573,'NEW Feeder Reserved'!$A$1:$A$573,"SS 12/16mm",'NEW Feeder Reserved'!$F$1:$F$573,"Incoming")</f>
        <v>35</v>
      </c>
      <c r="G124" s="504">
        <f>SUMIFS('NEW Feeder Reserved'!$N$1:$N$573,'NEW Feeder Reserved'!$A$1:$A$573,"SS 12/16mm",'NEW Feeder Reserved'!$F$1:$F$573,"已经到货",'NEW Feeder Reserved'!$I$1:$I$573,"没有预留机器")</f>
        <v>20</v>
      </c>
      <c r="H124" s="504">
        <f>SUMIFS('NEW Feeder Reserved'!$N$1:$N$573,'NEW Feeder Reserved'!$A$1:$A$573,"SS 12/16mm",'NEW Feeder Reserved'!$F$1:$F$573,"有交期",'NEW Feeder Reserved'!$I$1:$I$573,"没有预留机器")</f>
        <v>15</v>
      </c>
      <c r="I124" s="504">
        <f>SUMIFS('NEW Feeder Reserved'!$N$1:$N$573,'NEW Feeder Reserved'!$A$1:$A$573,"SS 12/16mm",'NEW Feeder Reserved'!$F$1:$F$573,"TBA",'NEW Feeder Reserved'!$I$1:$I$573,"没有预留机器")</f>
        <v>155</v>
      </c>
      <c r="J124" s="503">
        <v>0</v>
      </c>
      <c r="K124" s="503">
        <v>0</v>
      </c>
      <c r="L124" s="508">
        <f t="shared" ref="L124:L137" si="9">B124+C124+D124-E124-G124-H124-I124-K124-(J124-F124)</f>
        <v>432</v>
      </c>
      <c r="P124" s="48"/>
    </row>
    <row r="125" spans="1:20" ht="15">
      <c r="A125" s="361" t="s">
        <v>2777</v>
      </c>
      <c r="B125" s="499">
        <f t="shared" si="7"/>
        <v>141</v>
      </c>
      <c r="C125" s="500">
        <f>SUMIFS('NEW Feeder Reserved'!$G$1:$G$573,'NEW Feeder Reserved'!$A$1:$A$573,"SS 24mm",'NEW Feeder Reserved'!$F$1:$F$573,"有交期")</f>
        <v>0</v>
      </c>
      <c r="D125" s="500">
        <f>SUMIFS('NEW Feeder Reserved'!$G$1:$G$573,'NEW Feeder Reserved'!$A$1:$A$573,"SS 24mm",'NEW Feeder Reserved'!$F$1:$F$573,"Incoming")</f>
        <v>0</v>
      </c>
      <c r="E125" s="501">
        <f t="shared" si="8"/>
        <v>14</v>
      </c>
      <c r="F125" s="501">
        <f>SUMIFS('NEW Feeder Reserved'!$Q$1:$Q$573,'NEW Feeder Reserved'!$A$1:$A$573,"SS 24mm",'NEW Feeder Reserved'!$F$1:$F$573,"Incoming")</f>
        <v>9</v>
      </c>
      <c r="G125" s="504">
        <f>SUMIFS('NEW Feeder Reserved'!$N$1:$N$573,'NEW Feeder Reserved'!$A$1:$A$573,"SS 24mm",'NEW Feeder Reserved'!$F$1:$F$573,"已经到货",'NEW Feeder Reserved'!$I$1:$I$573,"没有预留机器")</f>
        <v>4</v>
      </c>
      <c r="H125" s="504">
        <f>SUMIFS('NEW Feeder Reserved'!$N$1:$N$573,'NEW Feeder Reserved'!$A$1:$A$573,"SS 24mm",'NEW Feeder Reserved'!$F$1:$F$573,"有交期",'NEW Feeder Reserved'!$I$1:$I$573,"没有预留机器")</f>
        <v>3</v>
      </c>
      <c r="I125" s="504">
        <f>SUMIFS('NEW Feeder Reserved'!$N$1:$N$573,'NEW Feeder Reserved'!$A$1:$A$573,"SS 24mm",'NEW Feeder Reserved'!$F$1:$F$573,"TBA",'NEW Feeder Reserved'!$I$1:$I$573,"没有预留机器")</f>
        <v>31</v>
      </c>
      <c r="J125" s="503">
        <v>0</v>
      </c>
      <c r="K125" s="503">
        <v>0</v>
      </c>
      <c r="L125" s="508">
        <f t="shared" si="9"/>
        <v>98</v>
      </c>
      <c r="P125" s="48"/>
    </row>
    <row r="126" spans="1:20" ht="15">
      <c r="A126" s="361" t="s">
        <v>2812</v>
      </c>
      <c r="B126" s="499">
        <f t="shared" si="7"/>
        <v>200</v>
      </c>
      <c r="C126" s="500">
        <f>SUMIFS('NEW Feeder Reserved'!$G$1:$G$573,'NEW Feeder Reserved'!$A$1:$A$573,"SS 32mm",'NEW Feeder Reserved'!$F$1:$F$573,"有交期")</f>
        <v>0</v>
      </c>
      <c r="D126" s="500">
        <f>SUMIFS('NEW Feeder Reserved'!$G$1:$G$573,'NEW Feeder Reserved'!$A$1:$A$573,"SS 32mm",'NEW Feeder Reserved'!$F$1:$F$573,"Incoming")</f>
        <v>0</v>
      </c>
      <c r="E126" s="501">
        <f t="shared" si="8"/>
        <v>4</v>
      </c>
      <c r="F126" s="501">
        <f>SUMIFS('NEW Feeder Reserved'!$Q$1:$Q$573,'NEW Feeder Reserved'!$A$1:$A$573,"SS 32mm",'NEW Feeder Reserved'!$F$1:$F$573,"Incoming")</f>
        <v>0</v>
      </c>
      <c r="G126" s="504">
        <f>SUMIFS('NEW Feeder Reserved'!$N$1:$N$573,'NEW Feeder Reserved'!$A$1:$A$573,"SS 32mm",'NEW Feeder Reserved'!$F$1:$F$573,"已经到货",'NEW Feeder Reserved'!$I$1:$I$573,"没有预留机器")</f>
        <v>0</v>
      </c>
      <c r="H126" s="504">
        <f>SUMIFS('NEW Feeder Reserved'!$N$1:$N$573,'NEW Feeder Reserved'!$A$1:$A$573,"SS 32mm",'NEW Feeder Reserved'!$F$1:$F$573,"有交期",'NEW Feeder Reserved'!$I$1:$I$573,"没有预留机器")</f>
        <v>0</v>
      </c>
      <c r="I126" s="504">
        <f>SUMIFS('NEW Feeder Reserved'!$N$1:$N$573,'NEW Feeder Reserved'!$A$1:$A$573,"SS 32mm",'NEW Feeder Reserved'!$F$1:$F$573,"TBA",'NEW Feeder Reserved'!$I$1:$I$573,"没有预留机器")</f>
        <v>0</v>
      </c>
      <c r="J126" s="503">
        <v>0</v>
      </c>
      <c r="K126" s="503">
        <v>0</v>
      </c>
      <c r="L126" s="508">
        <f t="shared" si="9"/>
        <v>196</v>
      </c>
      <c r="M126" s="66"/>
      <c r="P126" s="65"/>
      <c r="Q126" s="48"/>
      <c r="R126" s="48"/>
      <c r="S126" s="48"/>
      <c r="T126" s="48"/>
    </row>
    <row r="127" spans="1:20" ht="15">
      <c r="A127" s="361" t="s">
        <v>2814</v>
      </c>
      <c r="B127" s="499">
        <f t="shared" si="7"/>
        <v>62</v>
      </c>
      <c r="C127" s="500">
        <f>SUMIFS('NEW Feeder Reserved'!$G$1:$G$573,'NEW Feeder Reserved'!$A$1:$A$573,"SS 44mm",'NEW Feeder Reserved'!$F$1:$F$573,"有交期")</f>
        <v>0</v>
      </c>
      <c r="D127" s="500">
        <f>SUMIFS('NEW Feeder Reserved'!$G$1:$G$573,'NEW Feeder Reserved'!$A$1:$A$573,"SS 44mm",'NEW Feeder Reserved'!$F$1:$F$573,"Incoming")</f>
        <v>0</v>
      </c>
      <c r="E127" s="501">
        <f>D75+D94</f>
        <v>4</v>
      </c>
      <c r="F127" s="501">
        <f>SUMIFS('NEW Feeder Reserved'!$Q$1:$Q$573,'NEW Feeder Reserved'!$A$1:$A$573,"SS 44mm",'NEW Feeder Reserved'!$F$1:$F$573,"Incoming")</f>
        <v>0</v>
      </c>
      <c r="G127" s="504">
        <f>SUMIFS('NEW Feeder Reserved'!$N$1:$N$573,'NEW Feeder Reserved'!$A$1:$A$573,"SS 44mm",'NEW Feeder Reserved'!$F$1:$F$573,"已经到货",'NEW Feeder Reserved'!$I$1:$I$573,"没有预留机器")</f>
        <v>0</v>
      </c>
      <c r="H127" s="504">
        <f>SUMIFS('NEW Feeder Reserved'!$N$1:$N$573,'NEW Feeder Reserved'!$A$1:$A$573,"SS 44mm",'NEW Feeder Reserved'!$F$1:$F$573,"有交期",'NEW Feeder Reserved'!$I$1:$I$573,"没有预留机器")</f>
        <v>0</v>
      </c>
      <c r="I127" s="504">
        <f>SUMIFS('NEW Feeder Reserved'!$N$1:$N$573,'NEW Feeder Reserved'!$A$1:$A$573,"SS 44mm",'NEW Feeder Reserved'!$F$1:$F$573,"TBA",'NEW Feeder Reserved'!$I$1:$I$573,"没有预留机器")</f>
        <v>0</v>
      </c>
      <c r="J127" s="503">
        <v>0</v>
      </c>
      <c r="K127" s="503">
        <v>0</v>
      </c>
      <c r="L127" s="508">
        <f t="shared" si="9"/>
        <v>58</v>
      </c>
      <c r="M127" s="66"/>
      <c r="P127" s="65"/>
      <c r="Q127" s="48"/>
      <c r="R127" s="48"/>
      <c r="S127" s="48"/>
      <c r="T127" s="48"/>
    </row>
    <row r="128" spans="1:20" ht="15">
      <c r="A128" s="361" t="s">
        <v>2816</v>
      </c>
      <c r="B128" s="499">
        <f t="shared" si="7"/>
        <v>4</v>
      </c>
      <c r="C128" s="500">
        <f>SUMIFS('NEW Feeder Reserved'!$G$1:$G$573,'NEW Feeder Reserved'!$A$1:$A$573,"SS 56mm",'NEW Feeder Reserved'!$F$1:$F$573,"有交期")</f>
        <v>0</v>
      </c>
      <c r="D128" s="500">
        <f>SUMIFS('NEW Feeder Reserved'!$G$1:$G$573,'NEW Feeder Reserved'!$A$1:$A$573,"SS 56mm",'NEW Feeder Reserved'!$F$1:$F$573,"Incoming")</f>
        <v>0</v>
      </c>
      <c r="E128" s="501">
        <f t="shared" si="8"/>
        <v>2</v>
      </c>
      <c r="F128" s="501">
        <f>SUMIFS('NEW Feeder Reserved'!$Q$1:$Q$573,'NEW Feeder Reserved'!$A$1:$A$573,"SS 56mm",'NEW Feeder Reserved'!$F$1:$F$573,"Incoming")</f>
        <v>0</v>
      </c>
      <c r="G128" s="504">
        <f>SUMIFS('NEW Feeder Reserved'!$N$1:$N$573,'NEW Feeder Reserved'!$A$1:$A$573,"SS 56mm",'NEW Feeder Reserved'!$F$1:$F$573,"已经到货",'NEW Feeder Reserved'!$I$1:$I$573,"没有预留机器")</f>
        <v>0</v>
      </c>
      <c r="H128" s="504">
        <f>SUMIFS('NEW Feeder Reserved'!$N$1:$N$573,'NEW Feeder Reserved'!$A$1:$A$573,"SS 56mm",'NEW Feeder Reserved'!$F$1:$F$573,"有交期",'NEW Feeder Reserved'!$I$1:$I$573,"没有预留机器")</f>
        <v>0</v>
      </c>
      <c r="I128" s="504">
        <f>SUMIFS('NEW Feeder Reserved'!$N$1:$N$573,'NEW Feeder Reserved'!$A$1:$A$573,"SS 56mm",'NEW Feeder Reserved'!$F$1:$F$573,"TBA",'NEW Feeder Reserved'!$I$1:$I$573,"没有预留机器")</f>
        <v>0</v>
      </c>
      <c r="J128" s="503">
        <v>0</v>
      </c>
      <c r="K128" s="503">
        <v>0</v>
      </c>
      <c r="L128" s="508">
        <f t="shared" si="9"/>
        <v>2</v>
      </c>
      <c r="M128" s="66"/>
      <c r="P128" s="65"/>
      <c r="Q128" s="48"/>
      <c r="R128" s="48"/>
      <c r="S128" s="48"/>
      <c r="T128" s="48"/>
    </row>
    <row r="129" spans="1:20" ht="15">
      <c r="A129" s="361" t="s">
        <v>2818</v>
      </c>
      <c r="B129" s="499">
        <f t="shared" si="7"/>
        <v>0</v>
      </c>
      <c r="C129" s="500">
        <f>SUMIFS('NEW Feeder Reserved'!$G$1:$G$573,'NEW Feeder Reserved'!$A$1:$A$573,"SS 72mm",'NEW Feeder Reserved'!$F$1:$F$573,"有交期")</f>
        <v>0</v>
      </c>
      <c r="D129" s="500">
        <f>SUMIFS('NEW Feeder Reserved'!$G$1:$G$573,'NEW Feeder Reserved'!$A$1:$A$573,"SS 72mm",'NEW Feeder Reserved'!$F$1:$F$573,"Incoming")</f>
        <v>0</v>
      </c>
      <c r="E129" s="501">
        <f t="shared" si="8"/>
        <v>0</v>
      </c>
      <c r="F129" s="501">
        <f>SUMIFS('NEW Feeder Reserved'!$Q$1:$Q$573,'NEW Feeder Reserved'!$A$1:$A$573,"SS 72mm",'NEW Feeder Reserved'!$F$1:$F$573,"Incoming")</f>
        <v>0</v>
      </c>
      <c r="G129" s="504">
        <f>SUMIFS('NEW Feeder Reserved'!$N$1:$N$573,'NEW Feeder Reserved'!$A$1:$A$573,"SS 72mm",'NEW Feeder Reserved'!$F$1:$F$573,"已经到货",'NEW Feeder Reserved'!$I$1:$I$573,"没有预留机器")</f>
        <v>0</v>
      </c>
      <c r="H129" s="504">
        <f>SUMIFS('NEW Feeder Reserved'!$N$1:$N$573,'NEW Feeder Reserved'!$A$1:$A$573,"SS 72mm",'NEW Feeder Reserved'!$F$1:$F$573,"有交期",'NEW Feeder Reserved'!$I$1:$I$573,"没有预留机器")</f>
        <v>0</v>
      </c>
      <c r="I129" s="504">
        <f>SUMIFS('NEW Feeder Reserved'!$N$1:$N$573,'NEW Feeder Reserved'!$A$1:$A$573,"SS 72mm",'NEW Feeder Reserved'!$F$1:$F$573,"TBA",'NEW Feeder Reserved'!$I$1:$I$573,"没有预留机器")</f>
        <v>0</v>
      </c>
      <c r="J129" s="503">
        <v>0</v>
      </c>
      <c r="K129" s="503">
        <v>0</v>
      </c>
      <c r="L129" s="508">
        <f t="shared" si="9"/>
        <v>0</v>
      </c>
      <c r="M129" s="66"/>
      <c r="N129" s="80"/>
      <c r="P129" s="87"/>
      <c r="Q129" s="866"/>
      <c r="R129" s="866"/>
      <c r="S129" s="48"/>
      <c r="T129" s="48"/>
    </row>
    <row r="130" spans="1:20" ht="15">
      <c r="A130" s="361" t="s">
        <v>2846</v>
      </c>
      <c r="B130" s="499">
        <f t="shared" si="7"/>
        <v>2</v>
      </c>
      <c r="C130" s="500">
        <f>SUMIFS('NEW Feeder Reserved'!$G$1:$G$573,'NEW Feeder Reserved'!$A$1:$A$573,"ZS 4mm",'NEW Feeder Reserved'!$F$1:$F$573,"有交期")</f>
        <v>0</v>
      </c>
      <c r="D130" s="500">
        <f>SUMIFS('NEW Feeder Reserved'!$G$1:$G$573,'NEW Feeder Reserved'!$A$1:$A$573,"ZS 4mm",'NEW Feeder Reserved'!$F$1:$F$573,"Incoming")</f>
        <v>0</v>
      </c>
      <c r="E130" s="501">
        <f t="shared" si="8"/>
        <v>2</v>
      </c>
      <c r="F130" s="501">
        <f>SUMIFS('NEW Feeder Reserved'!$Q$1:$Q$573,'NEW Feeder Reserved'!$A$1:$A$573,"ZS 4mm",'NEW Feeder Reserved'!$F$1:$F$573,"Incoming")</f>
        <v>0</v>
      </c>
      <c r="G130" s="504">
        <f>SUMIFS('NEW Feeder Reserved'!$N$1:$N$573,'NEW Feeder Reserved'!$A$1:$A$573,"ZS 4mm",'NEW Feeder Reserved'!$F$1:$F$573,"已经到货",'NEW Feeder Reserved'!$I$1:$I$573,"没有预留机器")</f>
        <v>0</v>
      </c>
      <c r="H130" s="504">
        <f>SUMIFS('NEW Feeder Reserved'!$N$1:$N$573,'NEW Feeder Reserved'!$A$1:$A$573,"ZS 4mm",'NEW Feeder Reserved'!$F$1:$F$573,"有交期",'NEW Feeder Reserved'!$I$1:$I$573,"没有预留机器")</f>
        <v>0</v>
      </c>
      <c r="I130" s="504">
        <f>SUMIFS('NEW Feeder Reserved'!$N$1:$N$573,'NEW Feeder Reserved'!$A$1:$A$573,"ZS 4mm",'NEW Feeder Reserved'!$F$1:$F$573,"TBA",'NEW Feeder Reserved'!$I$1:$I$573,"没有预留机器")</f>
        <v>0</v>
      </c>
      <c r="J130" s="503">
        <v>0</v>
      </c>
      <c r="K130" s="503">
        <v>0</v>
      </c>
      <c r="L130" s="508">
        <f t="shared" si="9"/>
        <v>0</v>
      </c>
      <c r="M130" s="66"/>
      <c r="N130" s="80"/>
      <c r="P130" s="87"/>
      <c r="Q130" s="337"/>
      <c r="R130" s="337"/>
      <c r="S130" s="48"/>
      <c r="T130" s="48"/>
    </row>
    <row r="131" spans="1:20" ht="15">
      <c r="A131" s="361" t="s">
        <v>2847</v>
      </c>
      <c r="B131" s="499">
        <f t="shared" si="7"/>
        <v>193</v>
      </c>
      <c r="C131" s="500">
        <f>SUMIFS('NEW Feeder Reserved'!$G$1:$G$573,'NEW Feeder Reserved'!$A$1:$A$573,"ZS 8mm",'NEW Feeder Reserved'!$F$1:$F$573,"有交期")</f>
        <v>0</v>
      </c>
      <c r="D131" s="500">
        <f>SUMIFS('NEW Feeder Reserved'!$G$1:$G$573,'NEW Feeder Reserved'!$A$1:$A$573,"ZS 8mm",'NEW Feeder Reserved'!$F$1:$F$573,"Incoming")</f>
        <v>0</v>
      </c>
      <c r="E131" s="501">
        <f t="shared" si="8"/>
        <v>120</v>
      </c>
      <c r="F131" s="501">
        <f>SUMIFS('NEW Feeder Reserved'!$Q$1:$Q$573,'NEW Feeder Reserved'!$A$1:$A$573,"ZS 8mm",'NEW Feeder Reserved'!$F$1:$F$573,"Incoming")</f>
        <v>100</v>
      </c>
      <c r="G131" s="504">
        <f>SUMIFS('NEW Feeder Reserved'!$N$1:$N$573,'NEW Feeder Reserved'!$A$1:$A$573,"ZS 8mm",'NEW Feeder Reserved'!$F$1:$F$573,"已经到货",'NEW Feeder Reserved'!$I$1:$I$573,"没有预留机器")</f>
        <v>0</v>
      </c>
      <c r="H131" s="504">
        <f>SUMIFS('NEW Feeder Reserved'!$N$1:$N$573,'NEW Feeder Reserved'!$A$1:$A$573,"ZS 8mm",'NEW Feeder Reserved'!$F$1:$F$573,"有交期",'NEW Feeder Reserved'!$I$1:$I$573,"没有预留机器")</f>
        <v>0</v>
      </c>
      <c r="I131" s="504">
        <f>SUMIFS('NEW Feeder Reserved'!$N$1:$N$573,'NEW Feeder Reserved'!$A$1:$A$573,"ZS 8mm",'NEW Feeder Reserved'!$F$1:$F$573,"TBA",'NEW Feeder Reserved'!$I$1:$I$573,"没有预留机器")</f>
        <v>0</v>
      </c>
      <c r="J131" s="503">
        <v>0</v>
      </c>
      <c r="K131" s="503">
        <v>0</v>
      </c>
      <c r="L131" s="508">
        <f t="shared" si="9"/>
        <v>173</v>
      </c>
      <c r="M131" s="66"/>
      <c r="P131" s="65"/>
      <c r="Q131" s="48"/>
      <c r="R131" s="338"/>
      <c r="S131" s="338"/>
      <c r="T131" s="48"/>
    </row>
    <row r="132" spans="1:20" ht="15">
      <c r="A132" s="361" t="s">
        <v>2824</v>
      </c>
      <c r="B132" s="499">
        <f t="shared" si="7"/>
        <v>407</v>
      </c>
      <c r="C132" s="500">
        <f>SUMIFS('NEW Feeder Reserved'!$G$1:$G$573,'NEW Feeder Reserved'!$A$1:$A$573,"ZS 12/16mm",'NEW Feeder Reserved'!$F$1:$F$573,"有交期")</f>
        <v>0</v>
      </c>
      <c r="D132" s="500">
        <f>SUMIFS('NEW Feeder Reserved'!$G$1:$G$573,'NEW Feeder Reserved'!$A$1:$A$573,"ZS 12/16mm",'NEW Feeder Reserved'!$F$1:$F$573,"Incoming")</f>
        <v>0</v>
      </c>
      <c r="E132" s="501">
        <f t="shared" si="8"/>
        <v>20</v>
      </c>
      <c r="F132" s="501">
        <f>SUMIFS('NEW Feeder Reserved'!$Q$1:$Q$573,'NEW Feeder Reserved'!$A$1:$A$573,"ZS 12/16mm",'NEW Feeder Reserved'!$F$1:$F$573,"Incoming")</f>
        <v>0</v>
      </c>
      <c r="G132" s="504">
        <f>SUMIFS('NEW Feeder Reserved'!$N$1:$N$573,'NEW Feeder Reserved'!$A$1:$A$573,"ZS 12/16mm",'NEW Feeder Reserved'!$F$1:$F$573,"已经到货",'NEW Feeder Reserved'!$I$1:$I$573,"没有预留机器")</f>
        <v>0</v>
      </c>
      <c r="H132" s="504">
        <f>SUMIFS('NEW Feeder Reserved'!$N$1:$N$573,'NEW Feeder Reserved'!$A$1:$A$573,"ZS 12/16mm",'NEW Feeder Reserved'!$F$1:$F$573,"有交期",'NEW Feeder Reserved'!$I$1:$I$573,"没有预留机器")</f>
        <v>0</v>
      </c>
      <c r="I132" s="504">
        <f>SUMIFS('NEW Feeder Reserved'!$N$1:$N$573,'NEW Feeder Reserved'!$A$1:$A$573,"ZS 12/16mm",'NEW Feeder Reserved'!$F$1:$F$573,"TBA",'NEW Feeder Reserved'!$I$1:$I$573,"没有预留机器")</f>
        <v>0</v>
      </c>
      <c r="J132" s="503">
        <v>30</v>
      </c>
      <c r="K132" s="503">
        <v>10</v>
      </c>
      <c r="L132" s="508">
        <f t="shared" si="9"/>
        <v>347</v>
      </c>
      <c r="M132" s="66"/>
      <c r="P132" s="65"/>
      <c r="Q132" s="48"/>
      <c r="R132" s="338"/>
      <c r="S132" s="338"/>
      <c r="T132" s="48"/>
    </row>
    <row r="133" spans="1:20" ht="15">
      <c r="A133" s="361" t="s">
        <v>2826</v>
      </c>
      <c r="B133" s="499">
        <f t="shared" si="7"/>
        <v>118</v>
      </c>
      <c r="C133" s="500">
        <f>SUMIFS('NEW Feeder Reserved'!$G$1:$G$573,'NEW Feeder Reserved'!$A$1:$A$573,"ZS 24mm",'NEW Feeder Reserved'!$F$1:$F$573,"有交期")</f>
        <v>0</v>
      </c>
      <c r="D133" s="500">
        <f>SUMIFS('NEW Feeder Reserved'!$G$1:$G$573,'NEW Feeder Reserved'!$A$1:$A$573,"ZS 24mm",'NEW Feeder Reserved'!$F$1:$F$573,"Incoming")</f>
        <v>0</v>
      </c>
      <c r="E133" s="501">
        <f t="shared" si="8"/>
        <v>10</v>
      </c>
      <c r="F133" s="501">
        <f>SUMIFS('NEW Feeder Reserved'!$Q$1:$Q$573,'NEW Feeder Reserved'!$A$1:$A$573,"ZS 24mm",'NEW Feeder Reserved'!$F$1:$F$573,"Incoming")</f>
        <v>0</v>
      </c>
      <c r="G133" s="504">
        <f>SUMIFS('NEW Feeder Reserved'!$N$1:$N$573,'NEW Feeder Reserved'!$A$1:$A$573,"ZS 24mm",'NEW Feeder Reserved'!$F$1:$F$573,"已经到货",'NEW Feeder Reserved'!$I$1:$I$573,"没有预留机器")</f>
        <v>0</v>
      </c>
      <c r="H133" s="504">
        <f>SUMIFS('NEW Feeder Reserved'!$N$1:$N$573,'NEW Feeder Reserved'!$A$1:$A$573,"ZS 24mm",'NEW Feeder Reserved'!$F$1:$F$573,"有交期",'NEW Feeder Reserved'!$I$1:$I$573,"没有预留机器")</f>
        <v>0</v>
      </c>
      <c r="I133" s="504">
        <f>SUMIFS('NEW Feeder Reserved'!$N$1:$N$573,'NEW Feeder Reserved'!$A$1:$A$573,"ZS 24mm",'NEW Feeder Reserved'!$F$1:$F$573,"TBA",'NEW Feeder Reserved'!$I$1:$I$573,"没有预留机器")</f>
        <v>0</v>
      </c>
      <c r="J133" s="503">
        <v>10</v>
      </c>
      <c r="K133" s="503">
        <v>0</v>
      </c>
      <c r="L133" s="508">
        <f t="shared" si="9"/>
        <v>98</v>
      </c>
      <c r="M133" s="66"/>
      <c r="P133" s="65"/>
      <c r="Q133" s="48"/>
      <c r="R133" s="338"/>
      <c r="S133" s="338"/>
      <c r="T133" s="48"/>
    </row>
    <row r="134" spans="1:20" ht="15">
      <c r="A134" s="361" t="s">
        <v>2828</v>
      </c>
      <c r="B134" s="499">
        <f t="shared" si="7"/>
        <v>42</v>
      </c>
      <c r="C134" s="500">
        <f>SUMIFS('NEW Feeder Reserved'!$G$1:$G$573,'NEW Feeder Reserved'!$A$1:$A$573,"ZS 32mm",'NEW Feeder Reserved'!$F$1:$F$573,"有交期")</f>
        <v>0</v>
      </c>
      <c r="D134" s="500">
        <f>SUMIFS('NEW Feeder Reserved'!$G$1:$G$573,'NEW Feeder Reserved'!$A$1:$A$573,"ZS 32mm",'NEW Feeder Reserved'!$F$1:$F$573,"Incoming")</f>
        <v>0</v>
      </c>
      <c r="E134" s="501">
        <f t="shared" si="8"/>
        <v>7</v>
      </c>
      <c r="F134" s="501">
        <f>SUMIFS('NEW Feeder Reserved'!$Q$1:$Q$573,'NEW Feeder Reserved'!$A$1:$A$573,"ZS 32mm",'NEW Feeder Reserved'!$F$1:$F$573,"Incoming")</f>
        <v>0</v>
      </c>
      <c r="G134" s="504">
        <f>SUMIFS('NEW Feeder Reserved'!$N$1:$N$573,'NEW Feeder Reserved'!$A$1:$A$573,"ZS 32mm",'NEW Feeder Reserved'!$F$1:$F$573,"已经到货",'NEW Feeder Reserved'!$I$1:$I$573,"没有预留机器")</f>
        <v>0</v>
      </c>
      <c r="H134" s="504">
        <f>SUMIFS('NEW Feeder Reserved'!$N$1:$N$573,'NEW Feeder Reserved'!$A$1:$A$573,"ZS 32mm",'NEW Feeder Reserved'!$F$1:$F$573,"有交期",'NEW Feeder Reserved'!$I$1:$I$573,"没有预留机器")</f>
        <v>0</v>
      </c>
      <c r="I134" s="504">
        <f>SUMIFS('NEW Feeder Reserved'!$N$1:$N$573,'NEW Feeder Reserved'!$A$1:$A$573,"ZS 32mm",'NEW Feeder Reserved'!$F$1:$F$573,"TBA",'NEW Feeder Reserved'!$I$1:$I$573,"没有预留机器")</f>
        <v>0</v>
      </c>
      <c r="J134" s="503">
        <v>5</v>
      </c>
      <c r="K134" s="503">
        <v>0</v>
      </c>
      <c r="L134" s="508">
        <f t="shared" si="9"/>
        <v>30</v>
      </c>
      <c r="M134" s="66"/>
      <c r="P134" s="65"/>
      <c r="Q134" s="48"/>
      <c r="R134" s="338"/>
      <c r="S134" s="338"/>
      <c r="T134" s="48"/>
    </row>
    <row r="135" spans="1:20" ht="15">
      <c r="A135" s="361" t="s">
        <v>2830</v>
      </c>
      <c r="B135" s="499">
        <f t="shared" si="7"/>
        <v>11</v>
      </c>
      <c r="C135" s="500">
        <f>SUMIFS('NEW Feeder Reserved'!$G$1:$G$573,'NEW Feeder Reserved'!$A$1:$A$573,"ZS 44mm",'NEW Feeder Reserved'!$F$1:$F$573,"有交期")</f>
        <v>0</v>
      </c>
      <c r="D135" s="500">
        <f>SUMIFS('NEW Feeder Reserved'!$G$1:$G$573,'NEW Feeder Reserved'!$A$1:$A$573,"ZS 44mm",'NEW Feeder Reserved'!$F$1:$F$573,"Incoming")</f>
        <v>0</v>
      </c>
      <c r="E135" s="501">
        <f t="shared" si="8"/>
        <v>2</v>
      </c>
      <c r="F135" s="501">
        <f>SUMIFS('NEW Feeder Reserved'!$Q$1:$Q$573,'NEW Feeder Reserved'!$A$1:$A$573,"ZS 44mm",'NEW Feeder Reserved'!$F$1:$F$573,"Incoming")</f>
        <v>0</v>
      </c>
      <c r="G135" s="504">
        <f>SUMIFS('NEW Feeder Reserved'!$N$1:$N$573,'NEW Feeder Reserved'!$A$1:$A$573,"ZS 44mm",'NEW Feeder Reserved'!$F$1:$F$573,"已经到货",'NEW Feeder Reserved'!$I$1:$I$573,"没有预留机器")</f>
        <v>0</v>
      </c>
      <c r="H135" s="504">
        <f>SUMIFS('NEW Feeder Reserved'!$N$1:$N$573,'NEW Feeder Reserved'!$A$1:$A$573,"ZS 44mm",'NEW Feeder Reserved'!$F$1:$F$573,"有交期",'NEW Feeder Reserved'!$I$1:$I$573,"没有预留机器")</f>
        <v>0</v>
      </c>
      <c r="I135" s="504">
        <f>SUMIFS('NEW Feeder Reserved'!$N$1:$N$573,'NEW Feeder Reserved'!$A$1:$A$573,"ZS 44mm",'NEW Feeder Reserved'!$F$1:$F$573,"TBA",'NEW Feeder Reserved'!$I$1:$I$573,"没有预留机器")</f>
        <v>0</v>
      </c>
      <c r="J135" s="503">
        <v>0</v>
      </c>
      <c r="K135" s="503">
        <v>0</v>
      </c>
      <c r="L135" s="508">
        <f t="shared" si="9"/>
        <v>9</v>
      </c>
      <c r="M135" s="66"/>
      <c r="P135" s="65"/>
      <c r="Q135" s="48"/>
      <c r="R135" s="338"/>
      <c r="S135" s="338"/>
      <c r="T135" s="48"/>
    </row>
    <row r="136" spans="1:20" ht="15">
      <c r="A136" s="361" t="s">
        <v>2832</v>
      </c>
      <c r="B136" s="499">
        <f>B103+B84</f>
        <v>1</v>
      </c>
      <c r="C136" s="500">
        <f>SUMIFS('NEW Feeder Reserved'!$G$1:$G$573,'NEW Feeder Reserved'!$A$1:$A$573,"ZS 56mm",'NEW Feeder Reserved'!$F$1:$F$573,"有交期")</f>
        <v>0</v>
      </c>
      <c r="D136" s="500">
        <f>SUMIFS('NEW Feeder Reserved'!$G$1:$G$573,'NEW Feeder Reserved'!$A$1:$A$573,"ZS 56mm",'NEW Feeder Reserved'!$F$1:$F$573,"Incoming")</f>
        <v>0</v>
      </c>
      <c r="E136" s="501">
        <f t="shared" si="8"/>
        <v>0</v>
      </c>
      <c r="F136" s="501">
        <f>SUMIFS('NEW Feeder Reserved'!$Q$1:$Q$573,'NEW Feeder Reserved'!$A$1:$A$573,"ZS 56mm",'NEW Feeder Reserved'!$F$1:$F$573,"Incoming")</f>
        <v>0</v>
      </c>
      <c r="G136" s="504">
        <f>SUMIFS('NEW Feeder Reserved'!$N$1:$N$573,'NEW Feeder Reserved'!$A$1:$A$573,"ZS 56mm",'NEW Feeder Reserved'!$F$1:$F$573,"已经到货",'NEW Feeder Reserved'!$I$1:$I$573,"没有预留机器")</f>
        <v>0</v>
      </c>
      <c r="H136" s="504">
        <f>SUMIFS('NEW Feeder Reserved'!$N$1:$N$573,'NEW Feeder Reserved'!$A$1:$A$573,"ZS 56mm",'NEW Feeder Reserved'!$F$1:$F$573,"有交期",'NEW Feeder Reserved'!$I$1:$I$573,"没有预留机器")</f>
        <v>0</v>
      </c>
      <c r="I136" s="504">
        <f>SUMIFS('NEW Feeder Reserved'!$N$1:$N$573,'NEW Feeder Reserved'!$A$1:$A$573,"ZS 56mm",'NEW Feeder Reserved'!$F$1:$F$573,"TBA",'NEW Feeder Reserved'!$I$1:$I$573,"没有预留机器")</f>
        <v>0</v>
      </c>
      <c r="J136" s="503">
        <v>0</v>
      </c>
      <c r="K136" s="503">
        <v>0</v>
      </c>
      <c r="L136" s="508">
        <f t="shared" si="9"/>
        <v>1</v>
      </c>
      <c r="M136" s="66"/>
      <c r="P136" s="65"/>
      <c r="Q136" s="48"/>
      <c r="R136" s="338"/>
      <c r="S136" s="338"/>
      <c r="T136" s="48"/>
    </row>
    <row r="137" spans="1:20" ht="15">
      <c r="A137" s="361" t="s">
        <v>2834</v>
      </c>
      <c r="B137" s="499">
        <f>B104+B85</f>
        <v>0</v>
      </c>
      <c r="C137" s="500">
        <f>SUMIFS('NEW Feeder Reserved'!$G$1:$G$573,'NEW Feeder Reserved'!$A$1:$A$573,"ZS 72mm",'NEW Feeder Reserved'!$F$1:$F$573,"有交期")</f>
        <v>0</v>
      </c>
      <c r="D137" s="500">
        <f>SUMIFS('NEW Feeder Reserved'!$G$1:$G$573,'NEW Feeder Reserved'!$A$1:$A$573,"ZS 72mm",'NEW Feeder Reserved'!$F$1:$F$573,"Incoming")</f>
        <v>0</v>
      </c>
      <c r="E137" s="501">
        <f t="shared" si="8"/>
        <v>0</v>
      </c>
      <c r="F137" s="501">
        <f>SUMIFS('NEW Feeder Reserved'!$Q$1:$Q$573,'NEW Feeder Reserved'!$A$1:$A$573,"ZS 72mm",'NEW Feeder Reserved'!$F$1:$F$573,"Incoming")</f>
        <v>0</v>
      </c>
      <c r="G137" s="504">
        <f>SUMIFS('NEW Feeder Reserved'!$N$1:$N$573,'NEW Feeder Reserved'!$A$1:$A$573,"ZS 72mm",'NEW Feeder Reserved'!$F$1:$F$573,"已经到货",'NEW Feeder Reserved'!$I$1:$I$573,"没有预留机器")</f>
        <v>0</v>
      </c>
      <c r="H137" s="504">
        <f>SUMIFS('NEW Feeder Reserved'!$N$1:$N$573,'NEW Feeder Reserved'!$A$1:$A$573,"ZS 72mm",'NEW Feeder Reserved'!$F$1:$F$573,"有交期",'NEW Feeder Reserved'!$I$1:$I$573,"没有预留机器")</f>
        <v>0</v>
      </c>
      <c r="I137" s="504">
        <f>SUMIFS('NEW Feeder Reserved'!$N$1:$N$573,'NEW Feeder Reserved'!$A$1:$A$573,"ZS 72mm",'NEW Feeder Reserved'!$F$1:$F$573,"TBA",'NEW Feeder Reserved'!$I$1:$I$573,"没有预留机器")</f>
        <v>0</v>
      </c>
      <c r="J137" s="503">
        <v>0</v>
      </c>
      <c r="K137" s="503">
        <v>0</v>
      </c>
      <c r="L137" s="508">
        <f t="shared" si="9"/>
        <v>0</v>
      </c>
      <c r="M137" s="66"/>
      <c r="P137" s="65"/>
      <c r="Q137" s="48"/>
      <c r="R137" s="338"/>
      <c r="S137" s="338"/>
      <c r="T137" s="48"/>
    </row>
    <row r="138" spans="1:20" ht="21" thickBot="1">
      <c r="A138" s="346"/>
      <c r="B138" s="355">
        <f t="shared" ref="B138:F138" si="10">SUM(B123:B137)</f>
        <v>4512</v>
      </c>
      <c r="C138" s="355">
        <f t="shared" si="10"/>
        <v>0</v>
      </c>
      <c r="D138" s="355">
        <f t="shared" si="10"/>
        <v>165</v>
      </c>
      <c r="E138" s="355">
        <f t="shared" si="10"/>
        <v>752</v>
      </c>
      <c r="F138" s="355">
        <f t="shared" si="10"/>
        <v>194</v>
      </c>
      <c r="G138" s="355">
        <f t="shared" ref="G138:L138" si="11">SUM(G123:G137)</f>
        <v>224</v>
      </c>
      <c r="H138" s="355">
        <f t="shared" si="11"/>
        <v>93</v>
      </c>
      <c r="I138" s="355">
        <f t="shared" si="11"/>
        <v>911</v>
      </c>
      <c r="J138" s="355">
        <f t="shared" si="11"/>
        <v>545</v>
      </c>
      <c r="K138" s="355">
        <f t="shared" si="11"/>
        <v>310</v>
      </c>
      <c r="L138" s="355">
        <f t="shared" si="11"/>
        <v>2036</v>
      </c>
      <c r="M138" s="338"/>
      <c r="N138" s="338"/>
    </row>
    <row r="139" spans="1:20" ht="15" thickTop="1">
      <c r="A139" s="48"/>
      <c r="H139" s="66"/>
      <c r="M139" s="338"/>
      <c r="N139" s="338"/>
    </row>
    <row r="140" spans="1:20">
      <c r="H140" s="66"/>
      <c r="I140" s="48">
        <f>SUM(G138:I138)</f>
        <v>1228</v>
      </c>
      <c r="M140" s="338"/>
      <c r="N140" s="338"/>
    </row>
    <row r="141" spans="1:20">
      <c r="H141" s="66"/>
      <c r="M141" s="65"/>
      <c r="N141" s="338"/>
    </row>
    <row r="144" spans="1:20" ht="20.25" customHeight="1">
      <c r="A144" s="1" t="s">
        <v>4222</v>
      </c>
    </row>
    <row r="145" spans="1:15" ht="15">
      <c r="A145" s="349" t="s">
        <v>235</v>
      </c>
      <c r="B145" s="350" t="s">
        <v>3867</v>
      </c>
      <c r="C145" s="350" t="s">
        <v>3872</v>
      </c>
      <c r="D145" s="350" t="s">
        <v>4201</v>
      </c>
      <c r="E145" s="350" t="s">
        <v>2030</v>
      </c>
      <c r="F145" s="391" t="s">
        <v>4068</v>
      </c>
      <c r="G145" s="48"/>
      <c r="K145" s="1"/>
      <c r="L145" s="1"/>
      <c r="M145" s="1"/>
      <c r="N145" s="1"/>
      <c r="O145" s="1"/>
    </row>
    <row r="146" spans="1:15" ht="15">
      <c r="A146" s="361" t="s">
        <v>2807</v>
      </c>
      <c r="B146" s="353">
        <f>300</f>
        <v>300</v>
      </c>
      <c r="C146" s="351">
        <f>SUMIFS('NEW Feeder Reserved'!$G$1:$G$573,'NEW Feeder Reserved'!$A$1:$A$573,"SS 8mm",'NEW Feeder Reserved'!$F$1:$F$573,"C66 SZX 有交期")</f>
        <v>0</v>
      </c>
      <c r="D146" s="351">
        <f>SUMIFS('NEW Feeder Reserved'!$G$1:$G$573,'NEW Feeder Reserved'!$A$1:$A$573,"SS 8mm",'NEW Feeder Reserved'!$F$1:$F$573,"C66 SZX TBA")</f>
        <v>0</v>
      </c>
      <c r="E146" s="352">
        <f>SUMIFS('NEW Feeder Reserved'!$M$1:$M$573,'NEW Feeder Reserved'!$A$1:$A$573,"SS 8mm",'NEW Feeder Reserved'!$I$1:$I$573,"66")</f>
        <v>80</v>
      </c>
      <c r="F146" s="509">
        <f t="shared" ref="F146:F160" si="12">B146-E146</f>
        <v>220</v>
      </c>
      <c r="G146" s="48"/>
      <c r="K146" s="1"/>
      <c r="L146" s="1"/>
      <c r="M146" s="1"/>
      <c r="N146" s="1"/>
      <c r="O146" s="1"/>
    </row>
    <row r="147" spans="1:15" ht="15">
      <c r="A147" s="361" t="s">
        <v>2809</v>
      </c>
      <c r="B147" s="353">
        <f>150</f>
        <v>150</v>
      </c>
      <c r="C147" s="351">
        <f>SUMIFS('NEW Feeder Reserved'!$G$1:$G$573,'NEW Feeder Reserved'!$A$1:$A$573,"SS 12/16mm",'NEW Feeder Reserved'!$F$1:$F$573,"C66 SZX 有交期")</f>
        <v>0</v>
      </c>
      <c r="D147" s="351">
        <f>SUMIFS('NEW Feeder Reserved'!$G$1:$G$573,'NEW Feeder Reserved'!$A$1:$A$573,"SS 12/16mm",'NEW Feeder Reserved'!$F$1:$F$573,"C66 SZX TBA")</f>
        <v>0</v>
      </c>
      <c r="E147" s="352">
        <f>SUMIFS('NEW Feeder Reserved'!$M$1:$M$573,'NEW Feeder Reserved'!$A$1:$A$573,"SS 12/16mm",'NEW Feeder Reserved'!$I$1:$I$573,"66")</f>
        <v>14</v>
      </c>
      <c r="F147" s="509">
        <f t="shared" si="12"/>
        <v>136</v>
      </c>
      <c r="G147" s="48"/>
      <c r="K147" s="1"/>
      <c r="L147" s="1"/>
      <c r="M147" s="1"/>
      <c r="N147" s="1"/>
      <c r="O147" s="1"/>
    </row>
    <row r="148" spans="1:15" ht="15">
      <c r="A148" s="361" t="s">
        <v>2777</v>
      </c>
      <c r="B148" s="353">
        <f>25</f>
        <v>25</v>
      </c>
      <c r="C148" s="351">
        <f>SUMIFS('NEW Feeder Reserved'!$G$1:$G$573,'NEW Feeder Reserved'!$A$1:$A$573,"SS 24mm",'NEW Feeder Reserved'!$F$1:$F$573,"C66 SZX 有交期")</f>
        <v>0</v>
      </c>
      <c r="D148" s="351">
        <f>SUMIFS('NEW Feeder Reserved'!$G$1:$G$573,'NEW Feeder Reserved'!$A$1:$A$573,"SS 24mm",'NEW Feeder Reserved'!$F$1:$F$573,"C66 SZX TBA")</f>
        <v>0</v>
      </c>
      <c r="E148" s="352">
        <f>SUMIFS('NEW Feeder Reserved'!$M$1:$M$573,'NEW Feeder Reserved'!$A$1:$A$573,"SS 24mm",'NEW Feeder Reserved'!$I$1:$I$573,"66")</f>
        <v>11</v>
      </c>
      <c r="F148" s="509">
        <f t="shared" si="12"/>
        <v>14</v>
      </c>
      <c r="G148" s="48"/>
      <c r="K148" s="1"/>
      <c r="L148" s="1"/>
      <c r="M148" s="1"/>
      <c r="N148" s="1"/>
      <c r="O148" s="1"/>
    </row>
    <row r="149" spans="1:15" ht="15">
      <c r="A149" s="361" t="s">
        <v>2812</v>
      </c>
      <c r="B149" s="353">
        <f>15</f>
        <v>15</v>
      </c>
      <c r="C149" s="351">
        <f>SUMIFS('NEW Feeder Reserved'!$G$1:$G$573,'NEW Feeder Reserved'!$A$1:$A$573,"SS 32mm",'NEW Feeder Reserved'!$F$1:$F$573,"C66 SZX 有交期")</f>
        <v>0</v>
      </c>
      <c r="D149" s="351">
        <f>SUMIFS('NEW Feeder Reserved'!$G$1:$G$573,'NEW Feeder Reserved'!$A$1:$A$573,"SS 32mm",'NEW Feeder Reserved'!$F$1:$F$573,"C66 SZX TBA")</f>
        <v>0</v>
      </c>
      <c r="E149" s="352">
        <f>SUMIFS('NEW Feeder Reserved'!$M$1:$M$573,'NEW Feeder Reserved'!$A$1:$A$573,"SS 32mm",'NEW Feeder Reserved'!$I$1:$I$573,"66")</f>
        <v>0</v>
      </c>
      <c r="F149" s="509">
        <f t="shared" si="12"/>
        <v>15</v>
      </c>
      <c r="J149" s="65"/>
      <c r="K149" s="48"/>
      <c r="O149" s="1"/>
    </row>
    <row r="150" spans="1:15" ht="15">
      <c r="A150" s="361" t="s">
        <v>2814</v>
      </c>
      <c r="B150" s="353">
        <f>12</f>
        <v>12</v>
      </c>
      <c r="C150" s="351">
        <f>SUMIFS('NEW Feeder Reserved'!$G$1:$G$573,'NEW Feeder Reserved'!$A$1:$A$573,"SS 44mm",'NEW Feeder Reserved'!$F$1:$F$573,"C66 SZX 有交期")</f>
        <v>0</v>
      </c>
      <c r="D150" s="351">
        <f>SUMIFS('NEW Feeder Reserved'!$G$1:$G$573,'NEW Feeder Reserved'!$A$1:$A$573,"SS 44mm",'NEW Feeder Reserved'!$F$1:$F$573,"C66 SZX TBA")</f>
        <v>0</v>
      </c>
      <c r="E150" s="352">
        <f>SUMIFS('NEW Feeder Reserved'!$M$1:$M$573,'NEW Feeder Reserved'!$A$1:$A$573,"SS 44mm",'NEW Feeder Reserved'!$I$1:$I$573,"66")</f>
        <v>3</v>
      </c>
      <c r="F150" s="509">
        <f t="shared" si="12"/>
        <v>9</v>
      </c>
      <c r="J150" s="65"/>
      <c r="K150" s="48"/>
      <c r="O150" s="1"/>
    </row>
    <row r="151" spans="1:15" ht="15">
      <c r="A151" s="361" t="s">
        <v>2816</v>
      </c>
      <c r="B151" s="353">
        <v>1</v>
      </c>
      <c r="C151" s="351">
        <f>SUMIFS('NEW Feeder Reserved'!$G$1:$G$573,'NEW Feeder Reserved'!$A$1:$A$573,"SS 56mm",'NEW Feeder Reserved'!$F$1:$F$573,"C66 SZX 有交期")</f>
        <v>0</v>
      </c>
      <c r="D151" s="351">
        <f>SUMIFS('NEW Feeder Reserved'!$G$1:$G$573,'NEW Feeder Reserved'!$A$1:$A$573,"SS 56mm",'NEW Feeder Reserved'!$F$1:$F$573,"C66 SZX TBA")</f>
        <v>0</v>
      </c>
      <c r="E151" s="352">
        <f>SUMIFS('NEW Feeder Reserved'!$M$1:$M$573,'NEW Feeder Reserved'!$A$1:$A$573,"SS 56mm",'NEW Feeder Reserved'!$I$1:$I$573,"66")</f>
        <v>2</v>
      </c>
      <c r="F151" s="509">
        <f t="shared" si="12"/>
        <v>-1</v>
      </c>
      <c r="J151" s="65"/>
      <c r="K151" s="48"/>
      <c r="O151" s="1"/>
    </row>
    <row r="152" spans="1:15" ht="15">
      <c r="A152" s="361" t="s">
        <v>2818</v>
      </c>
      <c r="B152" s="353">
        <v>0</v>
      </c>
      <c r="C152" s="351">
        <f>SUMIFS('NEW Feeder Reserved'!$G$1:$G$573,'NEW Feeder Reserved'!$A$1:$A$573,"SS 72mm",'NEW Feeder Reserved'!$F$1:$F$573,"C66 SZX 有交期")</f>
        <v>0</v>
      </c>
      <c r="D152" s="351">
        <f>SUMIFS('NEW Feeder Reserved'!$G$1:$G$573,'NEW Feeder Reserved'!$A$1:$A$573,"SS 72mm",'NEW Feeder Reserved'!$F$1:$F$573,"C66 SZX TBA")</f>
        <v>0</v>
      </c>
      <c r="E152" s="352">
        <f>SUMIFS('NEW Feeder Reserved'!$M$1:$M$573,'NEW Feeder Reserved'!$A$1:$A$573,"SS 72mm",'NEW Feeder Reserved'!$I$1:$I$573,"66")</f>
        <v>0</v>
      </c>
      <c r="F152" s="509">
        <f t="shared" si="12"/>
        <v>0</v>
      </c>
      <c r="H152" s="385"/>
      <c r="J152" s="87"/>
      <c r="K152" s="864"/>
      <c r="L152" s="864"/>
      <c r="O152" s="1"/>
    </row>
    <row r="153" spans="1:15" ht="15">
      <c r="A153" s="361" t="s">
        <v>2846</v>
      </c>
      <c r="B153" s="353">
        <v>0</v>
      </c>
      <c r="C153" s="351">
        <f>SUMIFS('NEW Feeder Reserved'!$G$1:$G$573,'NEW Feeder Reserved'!$A$1:$A$573,"ZS 4mm",'NEW Feeder Reserved'!$F$1:$F$573,"C66 SZX 有交期")</f>
        <v>0</v>
      </c>
      <c r="D153" s="351">
        <f>SUMIFS('NEW Feeder Reserved'!$G$1:$G$573,'NEW Feeder Reserved'!$A$1:$A$573,"ZS 4mm",'NEW Feeder Reserved'!$F$1:$F$573,"C66 SZX TBA")</f>
        <v>0</v>
      </c>
      <c r="E153" s="352">
        <f>SUMIFS('NEW Feeder Reserved'!$M$1:$M$573,'NEW Feeder Reserved'!$A$1:$A$573,"ZS 4mm",'NEW Feeder Reserved'!$I$1:$I$573,"66")</f>
        <v>0</v>
      </c>
      <c r="F153" s="509">
        <f t="shared" si="12"/>
        <v>0</v>
      </c>
      <c r="H153" s="385"/>
      <c r="J153" s="87"/>
      <c r="K153" s="386"/>
      <c r="L153" s="386"/>
      <c r="O153" s="1"/>
    </row>
    <row r="154" spans="1:15" ht="15">
      <c r="A154" s="361" t="s">
        <v>2847</v>
      </c>
      <c r="B154" s="353">
        <v>100</v>
      </c>
      <c r="C154" s="351">
        <f>SUMIFS('NEW Feeder Reserved'!$G$1:$G$573,'NEW Feeder Reserved'!$A$1:$A$573,"ZS 8mm",'NEW Feeder Reserved'!$F$1:$F$573,"C66 SZX 有交期")</f>
        <v>0</v>
      </c>
      <c r="D154" s="351">
        <f>SUMIFS('NEW Feeder Reserved'!$G$1:$G$573,'NEW Feeder Reserved'!$A$1:$A$573,"ZS 8mm",'NEW Feeder Reserved'!$F$1:$F$573,"C66 SZX TBA")</f>
        <v>0</v>
      </c>
      <c r="E154" s="352">
        <f>SUMIFS('NEW Feeder Reserved'!$M$1:$M$573,'NEW Feeder Reserved'!$A$1:$A$573,"ZS 8mm",'NEW Feeder Reserved'!$I$1:$I$573,"66")</f>
        <v>638</v>
      </c>
      <c r="F154" s="509">
        <f t="shared" si="12"/>
        <v>-538</v>
      </c>
      <c r="J154" s="65"/>
      <c r="K154" s="48"/>
      <c r="L154" s="387"/>
      <c r="M154" s="387"/>
      <c r="O154" s="1"/>
    </row>
    <row r="155" spans="1:15" ht="15">
      <c r="A155" s="361" t="s">
        <v>2824</v>
      </c>
      <c r="B155" s="353">
        <v>10</v>
      </c>
      <c r="C155" s="351">
        <f>SUMIFS('NEW Feeder Reserved'!$G$1:$G$573,'NEW Feeder Reserved'!$A$1:$A$573,"ZS 12/16mm",'NEW Feeder Reserved'!$F$1:$F$573,"C66 SZX 有交期")</f>
        <v>0</v>
      </c>
      <c r="D155" s="351">
        <f>SUMIFS('NEW Feeder Reserved'!$G$1:$G$573,'NEW Feeder Reserved'!$A$1:$A$573,"ZS 12/16mm",'NEW Feeder Reserved'!$F$1:$F$573,"C66 SZX TBA")</f>
        <v>0</v>
      </c>
      <c r="E155" s="352">
        <f>SUMIFS('NEW Feeder Reserved'!$M$1:$M$573,'NEW Feeder Reserved'!$A$1:$A$573,"ZS 12/16mm",'NEW Feeder Reserved'!$I$1:$I$573,"66")</f>
        <v>33</v>
      </c>
      <c r="F155" s="509">
        <f t="shared" si="12"/>
        <v>-23</v>
      </c>
      <c r="J155" s="65"/>
      <c r="K155" s="48"/>
      <c r="L155" s="387"/>
      <c r="M155" s="387"/>
      <c r="O155" s="1"/>
    </row>
    <row r="156" spans="1:15" ht="15">
      <c r="A156" s="361" t="s">
        <v>2826</v>
      </c>
      <c r="B156" s="353">
        <v>0</v>
      </c>
      <c r="C156" s="351">
        <f>SUMIFS('NEW Feeder Reserved'!$G$1:$G$573,'NEW Feeder Reserved'!$A$1:$A$573,"ZS 24mm",'NEW Feeder Reserved'!$F$1:$F$573,"C66 SZX 有交期")</f>
        <v>0</v>
      </c>
      <c r="D156" s="351">
        <f>SUMIFS('NEW Feeder Reserved'!$G$1:$G$573,'NEW Feeder Reserved'!$A$1:$A$573,"ZS 24mm",'NEW Feeder Reserved'!$F$1:$F$573,"C66 SZX TBA")</f>
        <v>0</v>
      </c>
      <c r="E156" s="352">
        <f>SUMIFS('NEW Feeder Reserved'!$M$1:$M$573,'NEW Feeder Reserved'!$A$1:$A$573,"ZS 24mm",'NEW Feeder Reserved'!$I$1:$I$573,"66")</f>
        <v>27</v>
      </c>
      <c r="F156" s="509">
        <f t="shared" si="12"/>
        <v>-27</v>
      </c>
      <c r="J156" s="65"/>
      <c r="K156" s="48"/>
      <c r="L156" s="387"/>
      <c r="M156" s="387"/>
      <c r="O156" s="1"/>
    </row>
    <row r="157" spans="1:15" ht="15">
      <c r="A157" s="361" t="s">
        <v>2828</v>
      </c>
      <c r="B157" s="353">
        <v>0</v>
      </c>
      <c r="C157" s="351">
        <f>SUMIFS('NEW Feeder Reserved'!$G$1:$G$573,'NEW Feeder Reserved'!$A$1:$A$573,"ZS 32mm",'NEW Feeder Reserved'!$F$1:$F$573,"C66 SZX 有交期")</f>
        <v>0</v>
      </c>
      <c r="D157" s="351">
        <f>SUMIFS('NEW Feeder Reserved'!$G$1:$G$573,'NEW Feeder Reserved'!$A$1:$A$573,"ZS 32mm",'NEW Feeder Reserved'!$F$1:$F$573,"C66 SZX TBA")</f>
        <v>0</v>
      </c>
      <c r="E157" s="352">
        <f>SUMIFS('NEW Feeder Reserved'!$M$1:$M$573,'NEW Feeder Reserved'!$A$1:$A$573,"ZS 32mm",'NEW Feeder Reserved'!$I$1:$I$573,"66")</f>
        <v>6</v>
      </c>
      <c r="F157" s="509">
        <f t="shared" si="12"/>
        <v>-6</v>
      </c>
      <c r="J157" s="65"/>
      <c r="K157" s="48"/>
      <c r="L157" s="387"/>
      <c r="M157" s="387"/>
      <c r="O157" s="1"/>
    </row>
    <row r="158" spans="1:15" ht="15">
      <c r="A158" s="361" t="s">
        <v>2830</v>
      </c>
      <c r="B158" s="353">
        <v>0</v>
      </c>
      <c r="C158" s="351">
        <f>SUMIFS('NEW Feeder Reserved'!$G$1:$G$573,'NEW Feeder Reserved'!$A$1:$A$573,"ZS 44mm",'NEW Feeder Reserved'!$F$1:$F$573,"C66 SZX 有交期")</f>
        <v>0</v>
      </c>
      <c r="D158" s="351">
        <f>SUMIFS('NEW Feeder Reserved'!$G$1:$G$573,'NEW Feeder Reserved'!$A$1:$A$573,"ZS 44mm",'NEW Feeder Reserved'!$F$1:$F$573,"C66 SZX TBA")</f>
        <v>0</v>
      </c>
      <c r="E158" s="352">
        <f>SUMIFS('NEW Feeder Reserved'!$M$1:$M$573,'NEW Feeder Reserved'!$A$1:$A$573,"ZS 44mm",'NEW Feeder Reserved'!$I$1:$I$573,"66")</f>
        <v>5</v>
      </c>
      <c r="F158" s="509">
        <f t="shared" si="12"/>
        <v>-5</v>
      </c>
      <c r="J158" s="65"/>
      <c r="K158" s="48"/>
      <c r="L158" s="387"/>
      <c r="M158" s="387"/>
      <c r="O158" s="1"/>
    </row>
    <row r="159" spans="1:15" ht="15">
      <c r="A159" s="361" t="s">
        <v>2832</v>
      </c>
      <c r="B159" s="353">
        <v>0</v>
      </c>
      <c r="C159" s="351">
        <f>SUMIFS('NEW Feeder Reserved'!$G$1:$G$573,'NEW Feeder Reserved'!$A$1:$A$573,"ZS 56mm",'NEW Feeder Reserved'!$F$1:$F$573,"C66 SZX 有交期")</f>
        <v>0</v>
      </c>
      <c r="D159" s="351">
        <f>SUMIFS('NEW Feeder Reserved'!$G$1:$G$573,'NEW Feeder Reserved'!$A$1:$A$573,"ZS 56mm",'NEW Feeder Reserved'!$F$1:$F$573,"C66 SZX TBA")</f>
        <v>0</v>
      </c>
      <c r="E159" s="352">
        <f>SUMIFS('NEW Feeder Reserved'!$M$1:$M$573,'NEW Feeder Reserved'!$A$1:$A$573,"ZS 56mm",'NEW Feeder Reserved'!$I$1:$I$573,"66")</f>
        <v>1</v>
      </c>
      <c r="F159" s="509">
        <f t="shared" si="12"/>
        <v>-1</v>
      </c>
      <c r="J159" s="65"/>
      <c r="K159" s="48"/>
      <c r="L159" s="387"/>
      <c r="M159" s="387"/>
      <c r="O159" s="1"/>
    </row>
    <row r="160" spans="1:15" ht="15">
      <c r="A160" s="361" t="s">
        <v>2834</v>
      </c>
      <c r="B160" s="353">
        <v>0</v>
      </c>
      <c r="C160" s="351">
        <f>SUMIFS('NEW Feeder Reserved'!$G$1:$G$573,'NEW Feeder Reserved'!$A$1:$A$573,"ZS 72mm",'NEW Feeder Reserved'!$F$1:$F$573,"C66 SZX 有交期")</f>
        <v>0</v>
      </c>
      <c r="D160" s="351">
        <f>SUMIFS('NEW Feeder Reserved'!$G$1:$G$573,'NEW Feeder Reserved'!$A$1:$A$573,"ZS 72mm",'NEW Feeder Reserved'!$F$1:$F$573,"C66 SZX TBA")</f>
        <v>0</v>
      </c>
      <c r="E160" s="352">
        <f>SUMIFS('NEW Feeder Reserved'!$M$1:$M$573,'NEW Feeder Reserved'!$A$1:$A$573,"ZS 72mm",'NEW Feeder Reserved'!$I$1:$I$573,"66")</f>
        <v>0</v>
      </c>
      <c r="F160" s="509">
        <f t="shared" si="12"/>
        <v>0</v>
      </c>
      <c r="J160" s="65"/>
      <c r="K160" s="48"/>
      <c r="L160" s="387"/>
      <c r="M160" s="387"/>
      <c r="O160" s="1"/>
    </row>
    <row r="161" spans="1:15" ht="21" thickBot="1">
      <c r="A161" s="346"/>
      <c r="B161" s="355">
        <f>SUM(B146:B160)</f>
        <v>613</v>
      </c>
      <c r="C161" s="355"/>
      <c r="D161" s="355"/>
      <c r="E161" s="355">
        <f>SUM(E146:E160)</f>
        <v>820</v>
      </c>
      <c r="F161" s="355">
        <f>SUM(F146:F160)</f>
        <v>-207</v>
      </c>
      <c r="G161" s="355"/>
      <c r="H161" s="387"/>
      <c r="I161" s="387"/>
      <c r="K161" s="1"/>
      <c r="L161" s="1"/>
      <c r="M161" s="1"/>
      <c r="N161" s="1"/>
      <c r="O161" s="1"/>
    </row>
    <row r="162" spans="1:15" ht="15" thickTop="1"/>
    <row r="164" spans="1:15" ht="20.25">
      <c r="A164" s="419" t="s">
        <v>4224</v>
      </c>
    </row>
    <row r="165" spans="1:15" ht="27">
      <c r="A165" s="349" t="s">
        <v>235</v>
      </c>
      <c r="B165" s="348" t="s">
        <v>2855</v>
      </c>
      <c r="C165" s="350" t="s">
        <v>3872</v>
      </c>
      <c r="D165" s="350" t="s">
        <v>4201</v>
      </c>
      <c r="E165" s="350" t="s">
        <v>2030</v>
      </c>
      <c r="F165" s="421" t="s">
        <v>4229</v>
      </c>
      <c r="G165" s="391" t="s">
        <v>4227</v>
      </c>
      <c r="H165" s="391"/>
      <c r="J165" s="339" t="s">
        <v>4228</v>
      </c>
      <c r="K165" s="48"/>
      <c r="L165" s="1"/>
      <c r="M165" s="1"/>
      <c r="N165" s="1"/>
      <c r="O165" s="1"/>
    </row>
    <row r="166" spans="1:15" ht="15">
      <c r="A166" s="361" t="s">
        <v>2807</v>
      </c>
      <c r="B166" s="420">
        <v>300</v>
      </c>
      <c r="C166" s="351">
        <f>SUMIFS('NEW Feeder Reserved'!$G$1:$G$573,'NEW Feeder Reserved'!$A$1:$A$573,"SS 8mm",'NEW Feeder Reserved'!$F$1:$F$573,"C66 SZX 有交期")</f>
        <v>0</v>
      </c>
      <c r="D166" s="351">
        <f>SUMIFS('NEW Feeder Reserved'!$G$1:$G$573,'NEW Feeder Reserved'!$A$1:$A$573,"SS 8mm",'NEW Feeder Reserved'!$F$1:$F$573,"C66 SZX TBA")</f>
        <v>0</v>
      </c>
      <c r="E166" s="352">
        <v>200</v>
      </c>
      <c r="F166" s="353">
        <f>300</f>
        <v>300</v>
      </c>
      <c r="G166" s="354">
        <f>B166+C166+D166-E166</f>
        <v>100</v>
      </c>
      <c r="H166" s="343"/>
      <c r="I166" s="343"/>
      <c r="J166" s="48">
        <f>F166-I166</f>
        <v>300</v>
      </c>
      <c r="K166" s="48"/>
      <c r="L166" s="1"/>
      <c r="M166" s="1"/>
      <c r="N166" s="1"/>
      <c r="O166" s="1"/>
    </row>
    <row r="167" spans="1:15" ht="15">
      <c r="A167" s="361" t="s">
        <v>4226</v>
      </c>
      <c r="B167" s="420">
        <v>0</v>
      </c>
      <c r="C167" s="351">
        <f>SUMIFS('NEW Feeder Reserved'!$G$1:$G$573,'NEW Feeder Reserved'!$A$1:$A$573,"ZSR 8mm",'NEW Feeder Reserved'!$F$1:$F$573,"C66 SZX 有交期")</f>
        <v>0</v>
      </c>
      <c r="D167" s="351">
        <f>SUMIFS('NEW Feeder Reserved'!$G$1:$G$573,'NEW Feeder Reserved'!$A$1:$A$573,"ZSR 8mm",'NEW Feeder Reserved'!$F$1:$F$573,"C66 SZX TBA")</f>
        <v>0</v>
      </c>
      <c r="E167" s="352">
        <f>SUMIFS('NEW Feeder Reserved'!$M$1:$M$573,'NEW Feeder Reserved'!$A$1:$A$573,"ZSR 8mm",'NEW Feeder Reserved'!$I$1:$I$573,"66",'NEW Feeder Reserved'!$H$1:$H$573,"SZX")</f>
        <v>0</v>
      </c>
      <c r="F167" s="353">
        <v>0</v>
      </c>
      <c r="G167" s="354">
        <f t="shared" ref="G167:G174" si="13">B167+C167+D167-E167</f>
        <v>0</v>
      </c>
      <c r="H167" s="343"/>
      <c r="I167" s="343"/>
      <c r="J167" s="48">
        <f t="shared" ref="J167:J174" si="14">F167+I167</f>
        <v>0</v>
      </c>
      <c r="K167" s="48"/>
      <c r="L167" s="1"/>
      <c r="M167" s="1"/>
      <c r="N167" s="1"/>
      <c r="O167" s="1"/>
    </row>
    <row r="168" spans="1:15" ht="15">
      <c r="A168" s="361" t="s">
        <v>2846</v>
      </c>
      <c r="B168" s="420">
        <v>0</v>
      </c>
      <c r="C168" s="351">
        <f>SUMIFS('NEW Feeder Reserved'!$G$1:$G$573,'NEW Feeder Reserved'!$A$1:$A$573,"ZS 4mm",'NEW Feeder Reserved'!$F$1:$F$573,"C66 SZX 有交期")</f>
        <v>0</v>
      </c>
      <c r="D168" s="351">
        <f>SUMIFS('NEW Feeder Reserved'!$G$1:$G$573,'NEW Feeder Reserved'!$A$1:$A$573,"ZS 4mm",'NEW Feeder Reserved'!$F$1:$F$573,"C66 SZX TBA")</f>
        <v>0</v>
      </c>
      <c r="E168" s="352">
        <f>SUMIFS('NEW Feeder Reserved'!$M$1:$M$573,'NEW Feeder Reserved'!$A$1:$A$573,"ZS 4mm",'NEW Feeder Reserved'!$I$1:$I$573,"66",'NEW Feeder Reserved'!$H$1:$H$573,"SZX")</f>
        <v>0</v>
      </c>
      <c r="F168" s="353">
        <v>0</v>
      </c>
      <c r="G168" s="354">
        <f t="shared" si="13"/>
        <v>0</v>
      </c>
      <c r="H168" s="343"/>
      <c r="I168" s="343"/>
      <c r="J168" s="48">
        <f t="shared" si="14"/>
        <v>0</v>
      </c>
      <c r="K168" s="87"/>
      <c r="L168" s="386"/>
      <c r="M168" s="386"/>
    </row>
    <row r="169" spans="1:15" ht="15">
      <c r="A169" s="361" t="s">
        <v>2824</v>
      </c>
      <c r="B169" s="420">
        <v>10</v>
      </c>
      <c r="C169" s="351">
        <f>SUMIFS('NEW Feeder Reserved'!$G$1:$G$573,'NEW Feeder Reserved'!$A$1:$A$573,"ZS 12/16mm",'NEW Feeder Reserved'!$F$1:$F$573,"C66 SZX 有交期")</f>
        <v>0</v>
      </c>
      <c r="D169" s="351">
        <f>SUMIFS('NEW Feeder Reserved'!$G$1:$G$573,'NEW Feeder Reserved'!$A$1:$A$573,"ZS 12/16mm",'NEW Feeder Reserved'!$F$1:$F$573,"C66 SZX TBA")</f>
        <v>0</v>
      </c>
      <c r="E169" s="352">
        <v>10</v>
      </c>
      <c r="F169" s="353">
        <v>10</v>
      </c>
      <c r="G169" s="354">
        <f t="shared" si="13"/>
        <v>0</v>
      </c>
      <c r="H169" s="343"/>
      <c r="I169" s="343"/>
      <c r="J169" s="48">
        <f t="shared" si="14"/>
        <v>10</v>
      </c>
      <c r="M169" s="387"/>
      <c r="N169" s="387"/>
    </row>
    <row r="170" spans="1:15" ht="15">
      <c r="A170" s="361" t="s">
        <v>2826</v>
      </c>
      <c r="B170" s="420"/>
      <c r="C170" s="351">
        <f>SUMIFS('NEW Feeder Reserved'!$G$1:$G$573,'NEW Feeder Reserved'!$A$1:$A$573,"ZS 24mm",'NEW Feeder Reserved'!$F$1:$F$573,"C66 SZX 有交期")</f>
        <v>0</v>
      </c>
      <c r="D170" s="351">
        <f>SUMIFS('NEW Feeder Reserved'!$G$1:$G$573,'NEW Feeder Reserved'!$A$1:$A$573,"ZS 24mm",'NEW Feeder Reserved'!$F$1:$F$573,"C66 SZX TBA")</f>
        <v>0</v>
      </c>
      <c r="E170" s="352">
        <f>SUMIFS('NEW Feeder Reserved'!$M$1:$M$573,'NEW Feeder Reserved'!$A$1:$A$573,"ZS 24mm",'NEW Feeder Reserved'!$I$1:$I$573,"66",'NEW Feeder Reserved'!$H$1:$H$573,"SZX")</f>
        <v>15</v>
      </c>
      <c r="F170" s="353">
        <v>0</v>
      </c>
      <c r="G170" s="354">
        <f t="shared" si="13"/>
        <v>-15</v>
      </c>
      <c r="H170" s="343"/>
      <c r="I170" s="343"/>
      <c r="J170" s="48">
        <f t="shared" si="14"/>
        <v>0</v>
      </c>
      <c r="M170" s="387"/>
      <c r="N170" s="387"/>
    </row>
    <row r="171" spans="1:15" ht="15">
      <c r="A171" s="361" t="s">
        <v>2828</v>
      </c>
      <c r="B171" s="420"/>
      <c r="C171" s="351">
        <f>SUMIFS('NEW Feeder Reserved'!$G$1:$G$573,'NEW Feeder Reserved'!$A$1:$A$573,"ZS 32mm",'NEW Feeder Reserved'!$F$1:$F$573,"C66 SZX 有交期")</f>
        <v>0</v>
      </c>
      <c r="D171" s="351">
        <f>SUMIFS('NEW Feeder Reserved'!$G$1:$G$573,'NEW Feeder Reserved'!$A$1:$A$573,"ZS 32mm",'NEW Feeder Reserved'!$F$1:$F$573,"C66 SZX TBA")</f>
        <v>0</v>
      </c>
      <c r="E171" s="352">
        <f>SUMIFS('NEW Feeder Reserved'!$M$1:$M$573,'NEW Feeder Reserved'!$A$1:$A$573,"ZS 32mm",'NEW Feeder Reserved'!$I$1:$I$573,"66",'NEW Feeder Reserved'!$H$1:$H$573,"SZX")</f>
        <v>4</v>
      </c>
      <c r="F171" s="353">
        <v>0</v>
      </c>
      <c r="G171" s="354">
        <f t="shared" si="13"/>
        <v>-4</v>
      </c>
      <c r="H171" s="343"/>
      <c r="I171" s="343"/>
      <c r="J171" s="48">
        <f t="shared" si="14"/>
        <v>0</v>
      </c>
      <c r="M171" s="387"/>
      <c r="N171" s="387"/>
    </row>
    <row r="172" spans="1:15" ht="15">
      <c r="A172" s="361" t="s">
        <v>2830</v>
      </c>
      <c r="B172" s="420"/>
      <c r="C172" s="351">
        <f>SUMIFS('NEW Feeder Reserved'!$G$1:$G$573,'NEW Feeder Reserved'!$A$1:$A$573,"ZS 44mm",'NEW Feeder Reserved'!$F$1:$F$573,"C66 SZX 有交期")</f>
        <v>0</v>
      </c>
      <c r="D172" s="351">
        <f>SUMIFS('NEW Feeder Reserved'!$G$1:$G$573,'NEW Feeder Reserved'!$A$1:$A$573,"ZS 44mm",'NEW Feeder Reserved'!$F$1:$F$573,"C66 SZX TBA")</f>
        <v>0</v>
      </c>
      <c r="E172" s="352">
        <f>SUMIFS('NEW Feeder Reserved'!$M$1:$M$573,'NEW Feeder Reserved'!$A$1:$A$573,"ZS 44mm",'NEW Feeder Reserved'!$I$1:$I$573,"66",'NEW Feeder Reserved'!$H$1:$H$573,"SZX")</f>
        <v>2</v>
      </c>
      <c r="F172" s="353">
        <v>0</v>
      </c>
      <c r="G172" s="354">
        <f t="shared" si="13"/>
        <v>-2</v>
      </c>
      <c r="H172" s="343"/>
      <c r="I172" s="343"/>
      <c r="J172" s="48">
        <f t="shared" si="14"/>
        <v>0</v>
      </c>
      <c r="M172" s="387"/>
      <c r="N172" s="387"/>
    </row>
    <row r="173" spans="1:15" ht="15">
      <c r="A173" s="361" t="s">
        <v>2832</v>
      </c>
      <c r="B173" s="420"/>
      <c r="C173" s="351">
        <f>SUMIFS('NEW Feeder Reserved'!$G$1:$G$573,'NEW Feeder Reserved'!$A$1:$A$573,"ZS 56mm",'NEW Feeder Reserved'!$F$1:$F$573,"C66 SZX 有交期")</f>
        <v>0</v>
      </c>
      <c r="D173" s="351">
        <f>SUMIFS('NEW Feeder Reserved'!$G$1:$G$573,'NEW Feeder Reserved'!$A$1:$A$573,"ZS 56mm",'NEW Feeder Reserved'!$F$1:$F$573,"C66 SZX TBA")</f>
        <v>0</v>
      </c>
      <c r="E173" s="352">
        <f>SUMIFS('NEW Feeder Reserved'!$M$1:$M$573,'NEW Feeder Reserved'!$A$1:$A$573,"ZS 56mm",'NEW Feeder Reserved'!$I$1:$I$573,"66",'NEW Feeder Reserved'!$H$1:$H$573,"SZX")</f>
        <v>1</v>
      </c>
      <c r="F173" s="353">
        <v>0</v>
      </c>
      <c r="G173" s="354">
        <f t="shared" si="13"/>
        <v>-1</v>
      </c>
      <c r="H173" s="343"/>
      <c r="I173" s="343"/>
      <c r="J173" s="48">
        <f t="shared" si="14"/>
        <v>0</v>
      </c>
      <c r="M173" s="387"/>
      <c r="N173" s="387"/>
    </row>
    <row r="174" spans="1:15" ht="15">
      <c r="A174" s="361" t="s">
        <v>2834</v>
      </c>
      <c r="B174" s="420"/>
      <c r="C174" s="351">
        <f>SUMIFS('NEW Feeder Reserved'!$G$1:$G$573,'NEW Feeder Reserved'!$A$1:$A$573,"ZS 72mm",'NEW Feeder Reserved'!$F$1:$F$573,"C66 SZX 有交期")</f>
        <v>0</v>
      </c>
      <c r="D174" s="351">
        <f>SUMIFS('NEW Feeder Reserved'!$G$1:$G$573,'NEW Feeder Reserved'!$A$1:$A$573,"ZS 72mm",'NEW Feeder Reserved'!$F$1:$F$573,"C66 SZX TBA")</f>
        <v>0</v>
      </c>
      <c r="E174" s="352">
        <f>SUMIFS('NEW Feeder Reserved'!$M$1:$M$573,'NEW Feeder Reserved'!$A$1:$A$573,"ZS 72mm",'NEW Feeder Reserved'!$I$1:$I$573,"66",'NEW Feeder Reserved'!$H$1:$H$573,"SZX")</f>
        <v>0</v>
      </c>
      <c r="F174" s="353">
        <v>0</v>
      </c>
      <c r="G174" s="354">
        <f t="shared" si="13"/>
        <v>0</v>
      </c>
      <c r="H174" s="343"/>
      <c r="I174" s="343"/>
      <c r="J174" s="48">
        <f t="shared" si="14"/>
        <v>0</v>
      </c>
      <c r="M174" s="387"/>
      <c r="N174" s="387"/>
    </row>
    <row r="175" spans="1:15" ht="21" thickBot="1">
      <c r="A175" s="346"/>
      <c r="B175" s="346"/>
      <c r="C175" s="355">
        <f>SUM(F166:F174)</f>
        <v>310</v>
      </c>
      <c r="D175" s="355"/>
      <c r="E175" s="355"/>
      <c r="F175" s="355">
        <f>SUM(E166:E174)</f>
        <v>232</v>
      </c>
      <c r="G175" s="355">
        <f>SUM(G166:G174)</f>
        <v>78</v>
      </c>
      <c r="H175" s="355"/>
      <c r="I175" s="387"/>
      <c r="J175" s="387"/>
      <c r="K175" s="48"/>
      <c r="L175" s="1"/>
      <c r="M175" s="1"/>
      <c r="N175" s="1"/>
      <c r="O175" s="1"/>
    </row>
    <row r="176" spans="1:15" ht="15" thickTop="1"/>
  </sheetData>
  <autoFilter ref="A2:M66" xr:uid="{00000000-0009-0000-0000-000003000000}"/>
  <mergeCells count="10">
    <mergeCell ref="K152:L152"/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103" priority="3" operator="lessThan">
      <formula>0</formula>
    </cfRule>
  </conditionalFormatting>
  <conditionalFormatting sqref="E90:E104">
    <cfRule type="cellIs" dxfId="102" priority="2" operator="lessThan">
      <formula>0</formula>
    </cfRule>
  </conditionalFormatting>
  <conditionalFormatting sqref="L123:L137">
    <cfRule type="cellIs" dxfId="101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dimension ref="A1:W205"/>
  <sheetViews>
    <sheetView zoomScale="99" zoomScaleNormal="99" workbookViewId="0">
      <pane xSplit="2" ySplit="1" topLeftCell="C65" activePane="bottomRight" state="frozen"/>
      <selection pane="topRight" activeCell="C1" sqref="C1"/>
      <selection pane="bottomLeft" activeCell="A2" sqref="A2"/>
      <selection pane="bottomRight" activeCell="E82" sqref="E82:E84"/>
    </sheetView>
  </sheetViews>
  <sheetFormatPr defaultColWidth="9" defaultRowHeight="14.25"/>
  <cols>
    <col min="1" max="1" width="7.25" style="477" customWidth="1"/>
    <col min="2" max="2" width="12.25" style="441" customWidth="1"/>
    <col min="3" max="3" width="14.25" style="434" customWidth="1"/>
    <col min="4" max="4" width="12.25" style="156" customWidth="1"/>
    <col min="5" max="5" width="16.25" style="160" customWidth="1"/>
    <col min="6" max="6" width="10.75" style="157" customWidth="1"/>
    <col min="7" max="8" width="10.25" style="146" customWidth="1"/>
    <col min="9" max="9" width="6.25" style="158" customWidth="1"/>
    <col min="10" max="10" width="5.25" style="138" customWidth="1"/>
    <col min="11" max="11" width="16.375" style="140" bestFit="1" customWidth="1"/>
    <col min="12" max="12" width="19" style="139" customWidth="1"/>
    <col min="13" max="13" width="6.25" style="140" customWidth="1"/>
    <col min="14" max="14" width="10.25" style="141" customWidth="1"/>
    <col min="15" max="15" width="5.25" style="140" customWidth="1"/>
    <col min="16" max="16" width="7.375" style="132" customWidth="1"/>
    <col min="17" max="17" width="5.75" style="132" hidden="1" customWidth="1"/>
    <col min="18" max="18" width="9.75" style="142" customWidth="1"/>
    <col min="19" max="19" width="9.75" style="132" customWidth="1"/>
    <col min="20" max="20" width="9.75" style="134" customWidth="1"/>
    <col min="21" max="21" width="16.375" style="123" customWidth="1"/>
    <col min="22" max="22" width="24.75" style="123" customWidth="1"/>
    <col min="23" max="23" width="9" style="149"/>
    <col min="24" max="16384" width="9" style="146"/>
  </cols>
  <sheetData>
    <row r="1" spans="1:23" s="112" customFormat="1" ht="26.25" customHeight="1">
      <c r="A1" s="476" t="s">
        <v>2853</v>
      </c>
      <c r="B1" s="427" t="s">
        <v>235</v>
      </c>
      <c r="C1" s="427" t="s">
        <v>2728</v>
      </c>
      <c r="D1" s="100" t="s">
        <v>2729</v>
      </c>
      <c r="E1" s="101" t="s">
        <v>2730</v>
      </c>
      <c r="F1" s="102" t="s">
        <v>4275</v>
      </c>
      <c r="G1" s="442" t="s">
        <v>4270</v>
      </c>
      <c r="H1" s="102" t="s">
        <v>4281</v>
      </c>
      <c r="I1" s="100" t="s">
        <v>2731</v>
      </c>
      <c r="J1" s="103" t="s">
        <v>2732</v>
      </c>
      <c r="K1" s="105" t="s">
        <v>2733</v>
      </c>
      <c r="L1" s="104" t="s">
        <v>2734</v>
      </c>
      <c r="M1" s="105" t="s">
        <v>269</v>
      </c>
      <c r="N1" s="106" t="s">
        <v>2735</v>
      </c>
      <c r="O1" s="106" t="s">
        <v>2736</v>
      </c>
      <c r="P1" s="438" t="s">
        <v>4376</v>
      </c>
      <c r="Q1" s="103" t="s">
        <v>2738</v>
      </c>
      <c r="R1" s="107" t="s">
        <v>2739</v>
      </c>
      <c r="S1" s="103" t="s">
        <v>2740</v>
      </c>
      <c r="T1" s="108" t="s">
        <v>2741</v>
      </c>
      <c r="U1" s="109" t="s">
        <v>2742</v>
      </c>
      <c r="V1" s="110" t="s">
        <v>2743</v>
      </c>
      <c r="W1" s="111"/>
    </row>
    <row r="2" spans="1:23" ht="15" customHeight="1">
      <c r="A2" s="477" t="s">
        <v>15</v>
      </c>
      <c r="B2" s="439">
        <v>309</v>
      </c>
      <c r="C2" s="428">
        <f>VLOOKUP(B2,'Data pick slip'!B:F,5,FALSE)</f>
        <v>0</v>
      </c>
      <c r="D2" s="169" t="s">
        <v>4431</v>
      </c>
      <c r="E2" s="169" t="s">
        <v>4431</v>
      </c>
      <c r="F2" s="170" t="s">
        <v>4276</v>
      </c>
      <c r="G2" s="146" t="s">
        <v>4273</v>
      </c>
      <c r="H2" s="173" t="s">
        <v>76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7" t="s">
        <v>15</v>
      </c>
      <c r="B3" s="439">
        <v>311</v>
      </c>
      <c r="C3" s="428" t="str">
        <f>VLOOKUP(B3,'Data pick slip'!B:F,5,FALSE)</f>
        <v>KHY-M7710-A4</v>
      </c>
      <c r="D3" s="169" t="s">
        <v>4431</v>
      </c>
      <c r="E3" s="169" t="s">
        <v>4431</v>
      </c>
      <c r="F3" s="170" t="s">
        <v>4276</v>
      </c>
      <c r="G3" s="146" t="s">
        <v>4273</v>
      </c>
      <c r="H3" s="173" t="s">
        <v>76</v>
      </c>
      <c r="I3" s="171">
        <v>325</v>
      </c>
      <c r="J3" s="406"/>
      <c r="K3" s="407"/>
      <c r="L3" s="408"/>
      <c r="M3" s="164"/>
      <c r="N3" s="409"/>
      <c r="O3" s="410"/>
      <c r="P3" s="411"/>
      <c r="Q3" s="411"/>
      <c r="R3" s="409"/>
      <c r="S3" s="412"/>
      <c r="T3" s="413"/>
      <c r="U3" s="414"/>
      <c r="V3" s="415"/>
      <c r="W3" s="145"/>
    </row>
    <row r="4" spans="1:23" ht="16.5" customHeight="1">
      <c r="A4" s="477" t="s">
        <v>15</v>
      </c>
      <c r="B4" s="439">
        <v>312</v>
      </c>
      <c r="C4" s="428" t="str">
        <f>VLOOKUP(B4,'Data pick slip'!B:F,5,FALSE)</f>
        <v>KHY-M7720-A3</v>
      </c>
      <c r="D4" s="169" t="s">
        <v>4431</v>
      </c>
      <c r="E4" s="169" t="s">
        <v>4431</v>
      </c>
      <c r="F4" s="170" t="s">
        <v>4276</v>
      </c>
      <c r="G4" s="146" t="s">
        <v>4273</v>
      </c>
      <c r="H4" s="173" t="s">
        <v>76</v>
      </c>
      <c r="I4" s="171">
        <v>148</v>
      </c>
      <c r="J4" s="406"/>
      <c r="K4" s="407"/>
      <c r="L4" s="408"/>
      <c r="M4" s="164"/>
      <c r="N4" s="409"/>
      <c r="O4" s="410"/>
      <c r="P4" s="411"/>
      <c r="Q4" s="411"/>
      <c r="R4" s="409"/>
      <c r="S4" s="412"/>
      <c r="T4" s="413"/>
      <c r="U4" s="414"/>
      <c r="V4" s="415"/>
      <c r="W4" s="145"/>
    </row>
    <row r="5" spans="1:23" ht="16.5" customHeight="1">
      <c r="A5" s="477" t="s">
        <v>15</v>
      </c>
      <c r="B5" s="439">
        <v>313</v>
      </c>
      <c r="C5" s="428" t="str">
        <f>VLOOKUP(B5,'Data pick slip'!B:F,5,FALSE)</f>
        <v>KHY-M7730-A2</v>
      </c>
      <c r="D5" s="169" t="s">
        <v>4431</v>
      </c>
      <c r="E5" s="169" t="s">
        <v>4431</v>
      </c>
      <c r="F5" s="170" t="s">
        <v>4276</v>
      </c>
      <c r="G5" s="146" t="s">
        <v>4273</v>
      </c>
      <c r="H5" s="173" t="s">
        <v>76</v>
      </c>
      <c r="I5" s="171">
        <v>151</v>
      </c>
      <c r="J5" s="406"/>
      <c r="K5" s="407"/>
      <c r="L5" s="408"/>
      <c r="M5" s="164"/>
      <c r="N5" s="409"/>
      <c r="O5" s="410"/>
      <c r="P5" s="411"/>
      <c r="Q5" s="411"/>
      <c r="R5" s="409"/>
      <c r="S5" s="412"/>
      <c r="T5" s="413"/>
      <c r="U5" s="414"/>
      <c r="V5" s="415"/>
      <c r="W5" s="145"/>
    </row>
    <row r="6" spans="1:23" ht="16.5" customHeight="1">
      <c r="A6" s="477" t="s">
        <v>15</v>
      </c>
      <c r="B6" s="439">
        <v>303</v>
      </c>
      <c r="C6" s="428" t="str">
        <f>VLOOKUP(B6,'Data pick slip'!B:F,5,FALSE)</f>
        <v>KHY-M7740-A0</v>
      </c>
      <c r="D6" s="169" t="s">
        <v>4431</v>
      </c>
      <c r="E6" s="169" t="s">
        <v>4431</v>
      </c>
      <c r="F6" s="170" t="s">
        <v>4276</v>
      </c>
      <c r="G6" s="146" t="s">
        <v>4273</v>
      </c>
      <c r="H6" s="173" t="s">
        <v>76</v>
      </c>
      <c r="I6" s="171">
        <v>20</v>
      </c>
      <c r="J6" s="406"/>
      <c r="K6" s="407"/>
      <c r="L6" s="408"/>
      <c r="M6" s="164"/>
      <c r="N6" s="409"/>
      <c r="O6" s="410"/>
      <c r="P6" s="411"/>
      <c r="Q6" s="411"/>
      <c r="R6" s="409"/>
      <c r="S6" s="412"/>
      <c r="T6" s="413"/>
      <c r="U6" s="414"/>
      <c r="V6" s="415"/>
      <c r="W6" s="145"/>
    </row>
    <row r="7" spans="1:23" ht="16.5" customHeight="1">
      <c r="A7" s="477" t="s">
        <v>15</v>
      </c>
      <c r="B7" s="439">
        <v>304</v>
      </c>
      <c r="C7" s="428" t="str">
        <f>VLOOKUP(B7,'Data pick slip'!B:F,5,FALSE)</f>
        <v>KHY-M7750-A0</v>
      </c>
      <c r="D7" s="169" t="s">
        <v>4431</v>
      </c>
      <c r="E7" s="169" t="s">
        <v>4431</v>
      </c>
      <c r="F7" s="170" t="s">
        <v>4276</v>
      </c>
      <c r="G7" s="146" t="s">
        <v>4273</v>
      </c>
      <c r="H7" s="173" t="s">
        <v>76</v>
      </c>
      <c r="I7" s="171">
        <v>211</v>
      </c>
      <c r="J7" s="406"/>
      <c r="K7" s="407"/>
      <c r="L7" s="408"/>
      <c r="M7" s="164"/>
      <c r="N7" s="409"/>
      <c r="O7" s="410"/>
      <c r="P7" s="411"/>
      <c r="Q7" s="411"/>
      <c r="R7" s="409"/>
      <c r="S7" s="412"/>
      <c r="T7" s="413"/>
      <c r="U7" s="414"/>
      <c r="V7" s="415"/>
      <c r="W7" s="145"/>
    </row>
    <row r="8" spans="1:23" ht="16.5" customHeight="1">
      <c r="A8" s="477" t="s">
        <v>15</v>
      </c>
      <c r="B8" s="439">
        <v>305</v>
      </c>
      <c r="C8" s="428" t="str">
        <f>VLOOKUP(B8,'Data pick slip'!B:F,5,FALSE)</f>
        <v>KHY-M7760-A0</v>
      </c>
      <c r="D8" s="169" t="s">
        <v>4431</v>
      </c>
      <c r="E8" s="169" t="s">
        <v>4431</v>
      </c>
      <c r="F8" s="170" t="s">
        <v>4276</v>
      </c>
      <c r="G8" s="146" t="s">
        <v>4273</v>
      </c>
      <c r="H8" s="173" t="s">
        <v>76</v>
      </c>
      <c r="I8" s="171">
        <v>7</v>
      </c>
      <c r="J8" s="406"/>
      <c r="K8" s="407"/>
      <c r="L8" s="408"/>
      <c r="M8" s="164"/>
      <c r="N8" s="409"/>
      <c r="O8" s="410"/>
      <c r="P8" s="411"/>
      <c r="Q8" s="411"/>
      <c r="R8" s="409"/>
      <c r="S8" s="412"/>
      <c r="T8" s="413"/>
      <c r="U8" s="414"/>
      <c r="V8" s="415"/>
      <c r="W8" s="145"/>
    </row>
    <row r="9" spans="1:23" ht="16.5" customHeight="1">
      <c r="A9" s="477" t="s">
        <v>15</v>
      </c>
      <c r="B9" s="439">
        <v>310</v>
      </c>
      <c r="C9" s="428" t="str">
        <f>VLOOKUP(B9,'Data pick slip'!B:F,5,FALSE)</f>
        <v>KHY-M77A0-A0</v>
      </c>
      <c r="D9" s="169" t="s">
        <v>4431</v>
      </c>
      <c r="E9" s="169" t="s">
        <v>4431</v>
      </c>
      <c r="F9" s="170" t="s">
        <v>4276</v>
      </c>
      <c r="G9" s="146" t="s">
        <v>4273</v>
      </c>
      <c r="H9" s="173" t="s">
        <v>76</v>
      </c>
      <c r="I9" s="171">
        <v>240</v>
      </c>
      <c r="J9" s="406"/>
      <c r="K9" s="407"/>
      <c r="L9" s="408"/>
      <c r="M9" s="164"/>
      <c r="N9" s="409"/>
      <c r="O9" s="410"/>
      <c r="P9" s="411"/>
      <c r="Q9" s="411"/>
      <c r="R9" s="409"/>
      <c r="S9" s="412"/>
      <c r="T9" s="413"/>
      <c r="U9" s="414"/>
      <c r="V9" s="415"/>
      <c r="W9" s="145"/>
    </row>
    <row r="10" spans="1:23" ht="16.5" customHeight="1">
      <c r="A10" s="477" t="s">
        <v>15</v>
      </c>
      <c r="B10" s="439">
        <v>301</v>
      </c>
      <c r="C10" s="428" t="str">
        <f>VLOOKUP(B10,'Data pick slip'!B:F,5,FALSE)</f>
        <v>KHN-M7710-A4</v>
      </c>
      <c r="D10" s="169" t="s">
        <v>4431</v>
      </c>
      <c r="E10" s="169" t="s">
        <v>4431</v>
      </c>
      <c r="F10" s="170" t="s">
        <v>4276</v>
      </c>
      <c r="G10" s="146" t="s">
        <v>4271</v>
      </c>
      <c r="H10" s="173" t="s">
        <v>76</v>
      </c>
      <c r="I10" s="171">
        <v>30</v>
      </c>
      <c r="J10" s="406"/>
      <c r="K10" s="407"/>
      <c r="L10" s="408"/>
      <c r="M10" s="164"/>
      <c r="N10" s="409"/>
      <c r="O10" s="410"/>
      <c r="P10" s="411"/>
      <c r="Q10" s="411"/>
      <c r="R10" s="409"/>
      <c r="S10" s="412"/>
      <c r="T10" s="413"/>
      <c r="U10" s="414"/>
      <c r="V10" s="415"/>
      <c r="W10" s="145"/>
    </row>
    <row r="11" spans="1:23" ht="16.5" customHeight="1">
      <c r="A11" s="477" t="s">
        <v>281</v>
      </c>
      <c r="B11" s="439">
        <v>301</v>
      </c>
      <c r="C11" s="428" t="str">
        <f>VLOOKUP(B11,'Data pick slip'!B:F,5,FALSE)</f>
        <v>KHN-M7710-A4</v>
      </c>
      <c r="D11" s="169" t="s">
        <v>4431</v>
      </c>
      <c r="E11" s="169" t="s">
        <v>4431</v>
      </c>
      <c r="F11" s="170" t="s">
        <v>4290</v>
      </c>
      <c r="G11" s="146" t="s">
        <v>4273</v>
      </c>
      <c r="H11" s="173" t="s">
        <v>76</v>
      </c>
      <c r="I11" s="171">
        <v>150</v>
      </c>
      <c r="J11" s="406"/>
      <c r="K11" s="407"/>
      <c r="L11" s="408"/>
      <c r="M11" s="164"/>
      <c r="N11" s="409"/>
      <c r="O11" s="410"/>
      <c r="P11" s="411"/>
      <c r="Q11" s="411"/>
      <c r="R11" s="409"/>
      <c r="S11" s="412"/>
      <c r="T11" s="413"/>
      <c r="U11" s="414"/>
      <c r="V11" s="415"/>
      <c r="W11" s="145"/>
    </row>
    <row r="12" spans="1:23" ht="16.5" customHeight="1">
      <c r="A12" s="477" t="s">
        <v>281</v>
      </c>
      <c r="B12" s="439">
        <v>302</v>
      </c>
      <c r="C12" s="428" t="str">
        <f>VLOOKUP(B12,'Data pick slip'!B:F,5,FALSE)</f>
        <v>KHN-M7720-A3</v>
      </c>
      <c r="D12" s="169" t="s">
        <v>4431</v>
      </c>
      <c r="E12" s="169" t="s">
        <v>4431</v>
      </c>
      <c r="F12" s="170" t="s">
        <v>4290</v>
      </c>
      <c r="G12" s="146" t="s">
        <v>4273</v>
      </c>
      <c r="H12" s="173" t="s">
        <v>76</v>
      </c>
      <c r="I12" s="171">
        <v>203</v>
      </c>
      <c r="J12" s="406"/>
      <c r="K12" s="407"/>
      <c r="L12" s="408"/>
      <c r="M12" s="164"/>
      <c r="N12" s="409"/>
      <c r="O12" s="410"/>
      <c r="P12" s="411"/>
      <c r="Q12" s="411"/>
      <c r="R12" s="409"/>
      <c r="S12" s="412"/>
      <c r="T12" s="413"/>
      <c r="U12" s="414"/>
      <c r="V12" s="415"/>
      <c r="W12" s="145"/>
    </row>
    <row r="13" spans="1:23" ht="15" customHeight="1">
      <c r="A13" s="477" t="s">
        <v>15</v>
      </c>
      <c r="B13" s="439">
        <v>309</v>
      </c>
      <c r="C13" s="428">
        <f>VLOOKUP(B13,'Data pick slip'!B:F,5,FALSE)</f>
        <v>0</v>
      </c>
      <c r="D13" s="169" t="s">
        <v>4431</v>
      </c>
      <c r="E13" s="169" t="s">
        <v>4431</v>
      </c>
      <c r="F13" s="170" t="s">
        <v>4290</v>
      </c>
      <c r="G13" s="146" t="s">
        <v>4273</v>
      </c>
      <c r="H13" s="173" t="s">
        <v>76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7" t="s">
        <v>15</v>
      </c>
      <c r="B14" s="439">
        <v>311</v>
      </c>
      <c r="C14" s="428" t="str">
        <f>VLOOKUP(B14,'Data pick slip'!B:F,5,FALSE)</f>
        <v>KHY-M7710-A4</v>
      </c>
      <c r="D14" s="169" t="s">
        <v>4431</v>
      </c>
      <c r="E14" s="169" t="s">
        <v>4431</v>
      </c>
      <c r="F14" s="170" t="s">
        <v>4290</v>
      </c>
      <c r="G14" s="146" t="s">
        <v>4273</v>
      </c>
      <c r="H14" s="173" t="s">
        <v>76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7" t="s">
        <v>15</v>
      </c>
      <c r="B15" s="439">
        <v>312</v>
      </c>
      <c r="C15" s="428" t="str">
        <f>VLOOKUP(B15,'Data pick slip'!B:F,5,FALSE)</f>
        <v>KHY-M7720-A3</v>
      </c>
      <c r="D15" s="169" t="s">
        <v>4431</v>
      </c>
      <c r="E15" s="169" t="s">
        <v>4431</v>
      </c>
      <c r="F15" s="170" t="s">
        <v>4290</v>
      </c>
      <c r="G15" s="146" t="s">
        <v>4273</v>
      </c>
      <c r="H15" s="173" t="s">
        <v>76</v>
      </c>
      <c r="I15" s="171">
        <v>173</v>
      </c>
      <c r="J15" s="406"/>
      <c r="K15" s="407"/>
      <c r="L15" s="408"/>
      <c r="M15" s="164"/>
      <c r="N15" s="409"/>
      <c r="O15" s="410"/>
      <c r="P15" s="411"/>
      <c r="Q15" s="411"/>
      <c r="R15" s="409"/>
      <c r="S15" s="412"/>
      <c r="T15" s="413"/>
      <c r="U15" s="414"/>
      <c r="V15" s="415"/>
      <c r="W15" s="145"/>
    </row>
    <row r="16" spans="1:23" ht="16.5" customHeight="1">
      <c r="A16" s="477" t="s">
        <v>15</v>
      </c>
      <c r="B16" s="439">
        <v>303</v>
      </c>
      <c r="C16" s="428" t="str">
        <f>VLOOKUP(B16,'Data pick slip'!B:F,5,FALSE)</f>
        <v>KHY-M7740-A0</v>
      </c>
      <c r="D16" s="169" t="s">
        <v>4431</v>
      </c>
      <c r="E16" s="169" t="s">
        <v>4431</v>
      </c>
      <c r="F16" s="170" t="s">
        <v>4290</v>
      </c>
      <c r="G16" s="146" t="s">
        <v>4273</v>
      </c>
      <c r="H16" s="173" t="s">
        <v>76</v>
      </c>
      <c r="I16" s="171">
        <v>31</v>
      </c>
      <c r="J16" s="406"/>
      <c r="K16" s="407"/>
      <c r="L16" s="408"/>
      <c r="M16" s="164"/>
      <c r="N16" s="409"/>
      <c r="O16" s="410"/>
      <c r="P16" s="411"/>
      <c r="Q16" s="411"/>
      <c r="R16" s="409"/>
      <c r="S16" s="412"/>
      <c r="T16" s="413"/>
      <c r="U16" s="414"/>
      <c r="V16" s="415"/>
      <c r="W16" s="145"/>
    </row>
    <row r="17" spans="1:23" ht="15" customHeight="1">
      <c r="A17" s="477" t="s">
        <v>15</v>
      </c>
      <c r="B17" s="439">
        <v>304</v>
      </c>
      <c r="C17" s="428" t="str">
        <f>VLOOKUP(B17,'Data pick slip'!B:F,5,FALSE)</f>
        <v>KHY-M7750-A0</v>
      </c>
      <c r="D17" s="169" t="s">
        <v>4431</v>
      </c>
      <c r="E17" s="169" t="s">
        <v>4431</v>
      </c>
      <c r="F17" s="170" t="s">
        <v>4290</v>
      </c>
      <c r="G17" s="146" t="s">
        <v>4273</v>
      </c>
      <c r="H17" s="173" t="s">
        <v>76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7" t="s">
        <v>15</v>
      </c>
      <c r="B18" s="439">
        <v>305</v>
      </c>
      <c r="C18" s="428" t="str">
        <f>VLOOKUP(B18,'Data pick slip'!B:F,5,FALSE)</f>
        <v>KHY-M7760-A0</v>
      </c>
      <c r="D18" s="169" t="s">
        <v>4431</v>
      </c>
      <c r="E18" s="169" t="s">
        <v>4431</v>
      </c>
      <c r="F18" s="170" t="s">
        <v>4290</v>
      </c>
      <c r="G18" s="146" t="s">
        <v>4273</v>
      </c>
      <c r="H18" s="173" t="s">
        <v>76</v>
      </c>
      <c r="I18" s="171">
        <v>18</v>
      </c>
      <c r="J18" s="406"/>
      <c r="K18" s="407"/>
      <c r="L18" s="408"/>
      <c r="M18" s="164"/>
      <c r="N18" s="409"/>
      <c r="O18" s="410"/>
      <c r="P18" s="411"/>
      <c r="Q18" s="411"/>
      <c r="R18" s="409"/>
      <c r="S18" s="412"/>
      <c r="T18" s="413"/>
      <c r="U18" s="414"/>
      <c r="V18" s="415"/>
      <c r="W18" s="145"/>
    </row>
    <row r="19" spans="1:23" ht="15" customHeight="1">
      <c r="A19" s="477" t="s">
        <v>15</v>
      </c>
      <c r="B19" s="439">
        <v>306</v>
      </c>
      <c r="C19" s="428" t="str">
        <f>VLOOKUP(B19,'Data pick slip'!B:F,5,FALSE)</f>
        <v>KHY-M7770-A0</v>
      </c>
      <c r="D19" s="169" t="s">
        <v>4431</v>
      </c>
      <c r="E19" s="169" t="s">
        <v>4431</v>
      </c>
      <c r="F19" s="170" t="s">
        <v>4290</v>
      </c>
      <c r="G19" s="146" t="s">
        <v>4273</v>
      </c>
      <c r="H19" s="173" t="s">
        <v>76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7" t="s">
        <v>15</v>
      </c>
      <c r="B20" s="439">
        <v>307</v>
      </c>
      <c r="C20" s="428">
        <f>VLOOKUP(B20,'Data pick slip'!B:F,5,FALSE)</f>
        <v>0</v>
      </c>
      <c r="D20" s="169" t="s">
        <v>4431</v>
      </c>
      <c r="E20" s="169" t="s">
        <v>4431</v>
      </c>
      <c r="F20" s="170" t="s">
        <v>4290</v>
      </c>
      <c r="G20" s="146" t="s">
        <v>4273</v>
      </c>
      <c r="H20" s="173" t="s">
        <v>76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7" t="s">
        <v>15</v>
      </c>
      <c r="B21" s="439">
        <v>310</v>
      </c>
      <c r="C21" s="428" t="str">
        <f>VLOOKUP(B21,'Data pick slip'!B:F,5,FALSE)</f>
        <v>KHY-M77A0-A0</v>
      </c>
      <c r="D21" s="169" t="s">
        <v>4431</v>
      </c>
      <c r="E21" s="169" t="s">
        <v>4431</v>
      </c>
      <c r="F21" s="170" t="s">
        <v>4290</v>
      </c>
      <c r="G21" s="146" t="s">
        <v>4273</v>
      </c>
      <c r="H21" s="173" t="s">
        <v>76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7" t="s">
        <v>15</v>
      </c>
      <c r="B22" s="439">
        <v>7202</v>
      </c>
      <c r="C22" s="428">
        <f>VLOOKUP(B22,'Data pick slip'!B:F,5,FALSE)</f>
        <v>0</v>
      </c>
      <c r="D22" s="169" t="s">
        <v>4431</v>
      </c>
      <c r="E22" s="169" t="s">
        <v>4431</v>
      </c>
      <c r="F22" s="170" t="s">
        <v>4290</v>
      </c>
      <c r="G22" s="146" t="s">
        <v>4273</v>
      </c>
      <c r="H22" s="173" t="s">
        <v>76</v>
      </c>
      <c r="I22" s="171">
        <v>26</v>
      </c>
      <c r="J22" s="406"/>
      <c r="K22" s="407"/>
      <c r="L22" s="408"/>
      <c r="M22" s="164"/>
      <c r="N22" s="409"/>
      <c r="O22" s="410"/>
      <c r="P22" s="411"/>
      <c r="Q22" s="411"/>
      <c r="R22" s="409"/>
      <c r="S22" s="412"/>
      <c r="T22" s="413"/>
      <c r="U22" s="414"/>
      <c r="V22" s="415"/>
      <c r="W22" s="145"/>
    </row>
    <row r="23" spans="1:23" ht="16.5" customHeight="1">
      <c r="A23" s="477" t="s">
        <v>15</v>
      </c>
      <c r="B23" s="439">
        <v>7203</v>
      </c>
      <c r="C23" s="428">
        <f>VLOOKUP(B23,'Data pick slip'!B:F,5,FALSE)</f>
        <v>0</v>
      </c>
      <c r="D23" s="169" t="s">
        <v>4431</v>
      </c>
      <c r="E23" s="169" t="s">
        <v>4431</v>
      </c>
      <c r="F23" s="170" t="s">
        <v>4290</v>
      </c>
      <c r="G23" s="146" t="s">
        <v>4273</v>
      </c>
      <c r="H23" s="173" t="s">
        <v>76</v>
      </c>
      <c r="I23" s="171">
        <v>5</v>
      </c>
      <c r="J23" s="406"/>
      <c r="K23" s="407"/>
      <c r="L23" s="408"/>
      <c r="M23" s="164"/>
      <c r="N23" s="409"/>
      <c r="O23" s="410"/>
      <c r="P23" s="411"/>
      <c r="Q23" s="411"/>
      <c r="R23" s="409"/>
      <c r="S23" s="412"/>
      <c r="T23" s="413"/>
      <c r="U23" s="414"/>
      <c r="V23" s="415"/>
      <c r="W23" s="145"/>
    </row>
    <row r="24" spans="1:23" ht="15" customHeight="1">
      <c r="A24" s="477" t="s">
        <v>15</v>
      </c>
      <c r="B24" s="439">
        <v>7204</v>
      </c>
      <c r="C24" s="428">
        <f>VLOOKUP(B24,'Data pick slip'!B:F,5,FALSE)</f>
        <v>0</v>
      </c>
      <c r="D24" s="169" t="s">
        <v>4431</v>
      </c>
      <c r="E24" s="169" t="s">
        <v>4431</v>
      </c>
      <c r="F24" s="170" t="s">
        <v>4290</v>
      </c>
      <c r="G24" s="146" t="s">
        <v>4273</v>
      </c>
      <c r="H24" s="173" t="s">
        <v>76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7" t="s">
        <v>15</v>
      </c>
      <c r="B25" s="439">
        <v>7205</v>
      </c>
      <c r="C25" s="428">
        <f>VLOOKUP(B25,'Data pick slip'!B:F,5,FALSE)</f>
        <v>0</v>
      </c>
      <c r="D25" s="169" t="s">
        <v>4431</v>
      </c>
      <c r="E25" s="169" t="s">
        <v>4431</v>
      </c>
      <c r="F25" s="170" t="s">
        <v>4290</v>
      </c>
      <c r="G25" s="146" t="s">
        <v>4273</v>
      </c>
      <c r="H25" s="173" t="s">
        <v>76</v>
      </c>
      <c r="I25" s="171">
        <v>54</v>
      </c>
      <c r="J25" s="406"/>
      <c r="K25" s="407"/>
      <c r="L25" s="408"/>
      <c r="M25" s="164"/>
      <c r="N25" s="409"/>
      <c r="O25" s="410"/>
      <c r="P25" s="411"/>
      <c r="Q25" s="411"/>
      <c r="R25" s="409"/>
      <c r="S25" s="412"/>
      <c r="T25" s="413"/>
      <c r="U25" s="414"/>
      <c r="V25" s="415"/>
      <c r="W25" s="145"/>
    </row>
    <row r="26" spans="1:23" ht="16.5" customHeight="1">
      <c r="A26" s="477" t="s">
        <v>15</v>
      </c>
      <c r="B26" s="439">
        <v>7206</v>
      </c>
      <c r="C26" s="428">
        <f>VLOOKUP(B26,'Data pick slip'!B:F,5,FALSE)</f>
        <v>0</v>
      </c>
      <c r="D26" s="169" t="s">
        <v>4431</v>
      </c>
      <c r="E26" s="169" t="s">
        <v>4431</v>
      </c>
      <c r="F26" s="170" t="s">
        <v>4290</v>
      </c>
      <c r="G26" s="146" t="s">
        <v>4273</v>
      </c>
      <c r="H26" s="173" t="s">
        <v>76</v>
      </c>
      <c r="I26" s="171">
        <v>226</v>
      </c>
      <c r="J26" s="406"/>
      <c r="K26" s="407"/>
      <c r="L26" s="408"/>
      <c r="M26" s="164"/>
      <c r="N26" s="409"/>
      <c r="O26" s="410"/>
      <c r="P26" s="411"/>
      <c r="Q26" s="411"/>
      <c r="R26" s="409"/>
      <c r="S26" s="412"/>
      <c r="T26" s="413"/>
      <c r="U26" s="414"/>
      <c r="V26" s="415"/>
      <c r="W26" s="145"/>
    </row>
    <row r="27" spans="1:23" ht="16.5" customHeight="1">
      <c r="A27" s="477" t="s">
        <v>15</v>
      </c>
      <c r="B27" s="439" t="s">
        <v>4311</v>
      </c>
      <c r="C27" s="428">
        <f>VLOOKUP(B27,'Data pick slip'!B:F,5,FALSE)</f>
        <v>0</v>
      </c>
      <c r="D27" s="169" t="s">
        <v>4431</v>
      </c>
      <c r="E27" s="169" t="s">
        <v>4431</v>
      </c>
      <c r="F27" s="170" t="s">
        <v>4290</v>
      </c>
      <c r="G27" s="146" t="s">
        <v>4273</v>
      </c>
      <c r="H27" s="173" t="s">
        <v>76</v>
      </c>
      <c r="I27" s="171">
        <v>144</v>
      </c>
      <c r="J27" s="406"/>
      <c r="K27" s="407"/>
      <c r="L27" s="408"/>
      <c r="M27" s="164"/>
      <c r="N27" s="409"/>
      <c r="O27" s="410"/>
      <c r="P27" s="411"/>
      <c r="Q27" s="411"/>
      <c r="R27" s="409"/>
      <c r="S27" s="412"/>
      <c r="T27" s="413"/>
      <c r="U27" s="414"/>
      <c r="V27" s="415"/>
      <c r="W27" s="145"/>
    </row>
    <row r="28" spans="1:23" ht="16.5" customHeight="1">
      <c r="A28" s="477" t="s">
        <v>15</v>
      </c>
      <c r="B28" s="439" t="s">
        <v>4312</v>
      </c>
      <c r="C28" s="428">
        <f>VLOOKUP(B28,'Data pick slip'!B:F,5,FALSE)</f>
        <v>0</v>
      </c>
      <c r="D28" s="169" t="s">
        <v>4431</v>
      </c>
      <c r="E28" s="169" t="s">
        <v>4431</v>
      </c>
      <c r="F28" s="170" t="s">
        <v>4290</v>
      </c>
      <c r="G28" s="146" t="s">
        <v>4273</v>
      </c>
      <c r="H28" s="173" t="s">
        <v>76</v>
      </c>
      <c r="I28" s="171">
        <v>54</v>
      </c>
      <c r="J28" s="406"/>
      <c r="K28" s="407"/>
      <c r="L28" s="408"/>
      <c r="M28" s="164"/>
      <c r="N28" s="409"/>
      <c r="O28" s="410"/>
      <c r="P28" s="411"/>
      <c r="Q28" s="411"/>
      <c r="R28" s="409"/>
      <c r="S28" s="412"/>
      <c r="T28" s="413"/>
      <c r="U28" s="414"/>
      <c r="V28" s="415"/>
      <c r="W28" s="145"/>
    </row>
    <row r="29" spans="1:23" ht="15" customHeight="1">
      <c r="A29" s="477" t="s">
        <v>15</v>
      </c>
      <c r="B29" s="439">
        <v>301</v>
      </c>
      <c r="C29" s="428" t="str">
        <f>VLOOKUP(B29,'Data pick slip'!B:F,5,FALSE)</f>
        <v>KHN-M7710-A4</v>
      </c>
      <c r="D29" s="169" t="s">
        <v>4431</v>
      </c>
      <c r="E29" s="169" t="s">
        <v>4431</v>
      </c>
      <c r="F29" s="170" t="s">
        <v>4290</v>
      </c>
      <c r="G29" s="146" t="s">
        <v>4271</v>
      </c>
      <c r="H29" s="173" t="s">
        <v>76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7" t="s">
        <v>15</v>
      </c>
      <c r="B30" s="439">
        <v>302</v>
      </c>
      <c r="C30" s="428" t="str">
        <f>VLOOKUP(B30,'Data pick slip'!B:F,5,FALSE)</f>
        <v>KHN-M7720-A3</v>
      </c>
      <c r="D30" s="169" t="s">
        <v>4431</v>
      </c>
      <c r="E30" s="169" t="s">
        <v>4431</v>
      </c>
      <c r="F30" s="170" t="s">
        <v>4290</v>
      </c>
      <c r="G30" s="146" t="s">
        <v>4271</v>
      </c>
      <c r="H30" s="173" t="s">
        <v>76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7" t="s">
        <v>15</v>
      </c>
      <c r="B31" s="439">
        <v>313</v>
      </c>
      <c r="C31" s="428" t="str">
        <f>VLOOKUP(B31,'Data pick slip'!B:F,5,FALSE)</f>
        <v>KHY-M7730-A2</v>
      </c>
      <c r="D31" s="169" t="s">
        <v>4431</v>
      </c>
      <c r="E31" s="169" t="s">
        <v>4431</v>
      </c>
      <c r="F31" s="170" t="s">
        <v>4290</v>
      </c>
      <c r="G31" s="146" t="s">
        <v>4271</v>
      </c>
      <c r="H31" s="173" t="s">
        <v>76</v>
      </c>
      <c r="I31" s="171">
        <v>30</v>
      </c>
      <c r="J31" s="406"/>
      <c r="K31" s="407"/>
      <c r="L31" s="408"/>
      <c r="M31" s="164"/>
      <c r="N31" s="409"/>
      <c r="O31" s="410"/>
      <c r="P31" s="411"/>
      <c r="Q31" s="411"/>
      <c r="R31" s="409"/>
      <c r="S31" s="412"/>
      <c r="T31" s="413"/>
      <c r="U31" s="414"/>
      <c r="V31" s="415"/>
      <c r="W31" s="145"/>
    </row>
    <row r="32" spans="1:23" ht="16.5" customHeight="1">
      <c r="A32" s="477" t="s">
        <v>15</v>
      </c>
      <c r="B32" s="439">
        <v>303</v>
      </c>
      <c r="C32" s="428" t="str">
        <f>VLOOKUP(B32,'Data pick slip'!B:F,5,FALSE)</f>
        <v>KHY-M7740-A0</v>
      </c>
      <c r="D32" s="169" t="s">
        <v>4431</v>
      </c>
      <c r="E32" s="169" t="s">
        <v>4431</v>
      </c>
      <c r="F32" s="170" t="s">
        <v>4290</v>
      </c>
      <c r="G32" s="146" t="s">
        <v>4271</v>
      </c>
      <c r="H32" s="173" t="s">
        <v>76</v>
      </c>
      <c r="I32" s="171">
        <v>50</v>
      </c>
      <c r="J32" s="406"/>
      <c r="K32" s="407"/>
      <c r="L32" s="408"/>
      <c r="M32" s="164"/>
      <c r="N32" s="409"/>
      <c r="O32" s="410"/>
      <c r="P32" s="411"/>
      <c r="Q32" s="411"/>
      <c r="R32" s="409"/>
      <c r="S32" s="412"/>
      <c r="T32" s="413"/>
      <c r="U32" s="414"/>
      <c r="V32" s="415"/>
      <c r="W32" s="145"/>
    </row>
    <row r="33" spans="1:23" ht="15" customHeight="1">
      <c r="A33" s="477" t="s">
        <v>15</v>
      </c>
      <c r="B33" s="439">
        <v>303</v>
      </c>
      <c r="C33" s="428" t="str">
        <f>VLOOKUP(B33,'Data pick slip'!B:F,5,FALSE)</f>
        <v>KHY-M7740-A0</v>
      </c>
      <c r="D33" s="169">
        <v>111421</v>
      </c>
      <c r="E33" s="281">
        <f>VLOOKUP(D33,Stock_list!D:L,9,FALSE)</f>
        <v>45261</v>
      </c>
      <c r="F33" s="170" t="s">
        <v>4290</v>
      </c>
      <c r="G33" s="146" t="s">
        <v>4271</v>
      </c>
      <c r="H33" s="173" t="s">
        <v>76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7" t="s">
        <v>15</v>
      </c>
      <c r="B34" s="439">
        <v>301</v>
      </c>
      <c r="C34" s="428" t="str">
        <f>VLOOKUP(B34,'Data pick slip'!B:F,5,FALSE)</f>
        <v>KHN-M7710-A4</v>
      </c>
      <c r="D34" s="169">
        <v>111421</v>
      </c>
      <c r="E34" s="281">
        <f>VLOOKUP(D34,Stock_list!D:L,9,FALSE)</f>
        <v>45261</v>
      </c>
      <c r="F34" s="170" t="s">
        <v>4290</v>
      </c>
      <c r="G34" s="146" t="s">
        <v>4271</v>
      </c>
      <c r="H34" s="173" t="s">
        <v>76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7" t="s">
        <v>15</v>
      </c>
      <c r="B35" s="439">
        <v>302</v>
      </c>
      <c r="C35" s="428" t="str">
        <f>VLOOKUP(B35,'Data pick slip'!B:F,5,FALSE)</f>
        <v>KHN-M7720-A3</v>
      </c>
      <c r="D35" s="169">
        <v>111421</v>
      </c>
      <c r="E35" s="281">
        <f>VLOOKUP(D35,Stock_list!D:L,9,FALSE)</f>
        <v>45261</v>
      </c>
      <c r="F35" s="170" t="s">
        <v>4290</v>
      </c>
      <c r="G35" s="146" t="s">
        <v>4271</v>
      </c>
      <c r="H35" s="173" t="s">
        <v>76</v>
      </c>
      <c r="I35" s="171">
        <v>20</v>
      </c>
      <c r="J35" s="406"/>
      <c r="K35" s="407"/>
      <c r="L35" s="408"/>
      <c r="M35" s="164"/>
      <c r="N35" s="409"/>
      <c r="O35" s="410"/>
      <c r="P35" s="411"/>
      <c r="Q35" s="411"/>
      <c r="R35" s="409"/>
      <c r="S35" s="412"/>
      <c r="T35" s="413"/>
      <c r="U35" s="414"/>
      <c r="V35" s="415"/>
      <c r="W35" s="145"/>
    </row>
    <row r="36" spans="1:23" ht="15" customHeight="1">
      <c r="A36" s="477" t="s">
        <v>15</v>
      </c>
      <c r="B36" s="439">
        <v>301</v>
      </c>
      <c r="C36" s="428" t="str">
        <f>VLOOKUP(B36,'Data pick slip'!B:F,5,FALSE)</f>
        <v>KHN-M7710-A4</v>
      </c>
      <c r="D36" s="169">
        <v>111452</v>
      </c>
      <c r="E36" s="281">
        <f>VLOOKUP(D36,Stock_list!D:L,9,FALSE)</f>
        <v>45268</v>
      </c>
      <c r="F36" s="170" t="s">
        <v>4290</v>
      </c>
      <c r="G36" s="146" t="s">
        <v>4271</v>
      </c>
      <c r="H36" s="173" t="s">
        <v>76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7" t="s">
        <v>15</v>
      </c>
      <c r="B37" s="439">
        <v>311</v>
      </c>
      <c r="C37" s="428" t="str">
        <f>VLOOKUP(B37,'Data pick slip'!B:F,5,FALSE)</f>
        <v>KHY-M7710-A4</v>
      </c>
      <c r="D37" s="169">
        <v>111464</v>
      </c>
      <c r="E37" s="281">
        <f>VLOOKUP(D37,Stock_list!D:L,9,FALSE)</f>
        <v>45296</v>
      </c>
      <c r="F37" s="170" t="s">
        <v>4290</v>
      </c>
      <c r="G37" s="146" t="s">
        <v>4271</v>
      </c>
      <c r="H37" s="173" t="s">
        <v>76</v>
      </c>
      <c r="I37" s="171">
        <v>40</v>
      </c>
      <c r="J37" s="172"/>
      <c r="K37" s="541" t="e">
        <f>VLOOKUP(J37,Stock_list!A:R,18,FALSE)</f>
        <v>#N/A</v>
      </c>
      <c r="L37" s="542" t="e">
        <f>VLOOKUP(J37,Stock_list!A:S,17,FALSE)</f>
        <v>#N/A</v>
      </c>
      <c r="M37" s="541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7" t="s">
        <v>15</v>
      </c>
      <c r="B38" s="439">
        <v>301</v>
      </c>
      <c r="C38" s="428" t="str">
        <f>VLOOKUP(B38,'Data pick slip'!B:F,5,FALSE)</f>
        <v>KHN-M7710-A4</v>
      </c>
      <c r="D38" s="169">
        <v>111464</v>
      </c>
      <c r="E38" s="281">
        <f>VLOOKUP(D38,Stock_list!D:L,9,FALSE)</f>
        <v>45296</v>
      </c>
      <c r="F38" s="170" t="s">
        <v>4290</v>
      </c>
      <c r="G38" s="146" t="s">
        <v>4271</v>
      </c>
      <c r="H38" s="173" t="s">
        <v>76</v>
      </c>
      <c r="I38" s="171">
        <v>10</v>
      </c>
      <c r="J38" s="172"/>
      <c r="K38" s="541" t="e">
        <f>VLOOKUP(J38,Stock_list!A:R,18,FALSE)</f>
        <v>#N/A</v>
      </c>
      <c r="L38" s="542" t="e">
        <f>VLOOKUP(J38,Stock_list!A:S,17,FALSE)</f>
        <v>#N/A</v>
      </c>
      <c r="M38" s="541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7" t="s">
        <v>15</v>
      </c>
      <c r="B39" s="439">
        <v>302</v>
      </c>
      <c r="C39" s="428" t="str">
        <f>VLOOKUP(B39,'Data pick slip'!B:F,5,FALSE)</f>
        <v>KHN-M7720-A3</v>
      </c>
      <c r="D39" s="169">
        <v>111464</v>
      </c>
      <c r="E39" s="281">
        <f>VLOOKUP(D39,Stock_list!D:L,9,FALSE)</f>
        <v>45296</v>
      </c>
      <c r="F39" s="170" t="s">
        <v>4290</v>
      </c>
      <c r="G39" s="146" t="s">
        <v>4271</v>
      </c>
      <c r="H39" s="173" t="s">
        <v>76</v>
      </c>
      <c r="I39" s="171">
        <v>15</v>
      </c>
      <c r="J39" s="172"/>
      <c r="K39" s="541" t="e">
        <f>VLOOKUP(J39,Stock_list!A:R,18,FALSE)</f>
        <v>#N/A</v>
      </c>
      <c r="L39" s="542" t="e">
        <f>VLOOKUP(J39,Stock_list!A:S,17,FALSE)</f>
        <v>#N/A</v>
      </c>
      <c r="M39" s="541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7" t="s">
        <v>15</v>
      </c>
      <c r="B40" s="439">
        <v>303</v>
      </c>
      <c r="C40" s="428" t="str">
        <f>VLOOKUP(B40,'Data pick slip'!B:F,5,FALSE)</f>
        <v>KHY-M7740-A0</v>
      </c>
      <c r="D40" s="169">
        <v>111464</v>
      </c>
      <c r="E40" s="281">
        <f>VLOOKUP(D40,Stock_list!D:L,9,FALSE)</f>
        <v>45296</v>
      </c>
      <c r="F40" s="170" t="s">
        <v>4290</v>
      </c>
      <c r="G40" s="146" t="s">
        <v>4271</v>
      </c>
      <c r="H40" s="173" t="s">
        <v>76</v>
      </c>
      <c r="I40" s="171">
        <v>15</v>
      </c>
      <c r="J40" s="172"/>
      <c r="K40" s="541" t="e">
        <f>VLOOKUP(J40,Stock_list!A:R,18,FALSE)</f>
        <v>#N/A</v>
      </c>
      <c r="L40" s="542" t="e">
        <f>VLOOKUP(J40,Stock_list!A:S,17,FALSE)</f>
        <v>#N/A</v>
      </c>
      <c r="M40" s="541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7" t="s">
        <v>15</v>
      </c>
      <c r="B41" s="439">
        <v>301</v>
      </c>
      <c r="C41" s="428" t="str">
        <f>VLOOKUP(B41,'Data pick slip'!B:F,5,FALSE)</f>
        <v>KHN-M7710-A4</v>
      </c>
      <c r="D41" s="169">
        <v>111465</v>
      </c>
      <c r="E41" s="281">
        <f>VLOOKUP(D41,Stock_list!D:L,9,FALSE)</f>
        <v>45296</v>
      </c>
      <c r="F41" s="170" t="s">
        <v>4290</v>
      </c>
      <c r="G41" s="146" t="s">
        <v>4271</v>
      </c>
      <c r="H41" s="173" t="s">
        <v>76</v>
      </c>
      <c r="I41" s="171">
        <v>40</v>
      </c>
      <c r="J41" s="172"/>
      <c r="K41" s="541" t="e">
        <f>VLOOKUP(J41,Stock_list!A:R,18,FALSE)</f>
        <v>#N/A</v>
      </c>
      <c r="L41" s="542" t="e">
        <f>VLOOKUP(J41,Stock_list!A:S,17,FALSE)</f>
        <v>#N/A</v>
      </c>
      <c r="M41" s="541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7" t="s">
        <v>15</v>
      </c>
      <c r="B42" s="439">
        <v>301</v>
      </c>
      <c r="C42" s="428" t="str">
        <f>VLOOKUP(B42,'Data pick slip'!B:F,5,FALSE)</f>
        <v>KHN-M7710-A4</v>
      </c>
      <c r="D42" s="169">
        <v>111482</v>
      </c>
      <c r="E42" s="281">
        <f>VLOOKUP(D42,Stock_list!D:L,9,FALSE)</f>
        <v>45349</v>
      </c>
      <c r="F42" s="170" t="s">
        <v>4290</v>
      </c>
      <c r="G42" s="146" t="s">
        <v>4271</v>
      </c>
      <c r="H42" s="173" t="s">
        <v>76</v>
      </c>
      <c r="I42" s="171">
        <v>20</v>
      </c>
      <c r="J42" s="172"/>
      <c r="K42" s="541" t="e">
        <f>VLOOKUP(J42,Stock_list!A:R,18,FALSE)</f>
        <v>#N/A</v>
      </c>
      <c r="L42" s="542" t="e">
        <f>VLOOKUP(J42,Stock_list!A:S,17,FALSE)</f>
        <v>#N/A</v>
      </c>
      <c r="M42" s="541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7" t="s">
        <v>15</v>
      </c>
      <c r="B43" s="439">
        <v>301</v>
      </c>
      <c r="C43" s="428" t="str">
        <f>VLOOKUP(B43,'Data pick slip'!B:F,5,FALSE)</f>
        <v>KHN-M7710-A4</v>
      </c>
      <c r="D43" s="169">
        <v>111501</v>
      </c>
      <c r="E43" s="281">
        <f>VLOOKUP(D43,Stock_list!D:L,9,FALSE)</f>
        <v>45324</v>
      </c>
      <c r="F43" s="170" t="s">
        <v>4290</v>
      </c>
      <c r="G43" s="146" t="s">
        <v>4271</v>
      </c>
      <c r="H43" s="173" t="s">
        <v>76</v>
      </c>
      <c r="I43" s="171">
        <v>10</v>
      </c>
      <c r="J43" s="172"/>
      <c r="K43" s="541" t="e">
        <f>VLOOKUP(J43,Stock_list!A:R,18,FALSE)</f>
        <v>#N/A</v>
      </c>
      <c r="L43" s="542" t="e">
        <f>VLOOKUP(J43,Stock_list!A:S,17,FALSE)</f>
        <v>#N/A</v>
      </c>
      <c r="M43" s="541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7" t="s">
        <v>15</v>
      </c>
      <c r="B44" s="439">
        <v>301</v>
      </c>
      <c r="C44" s="428" t="str">
        <f>VLOOKUP(B44,'Data pick slip'!B:F,5,FALSE)</f>
        <v>KHN-M7710-A4</v>
      </c>
      <c r="D44" s="169">
        <v>111503</v>
      </c>
      <c r="E44" s="281">
        <f>VLOOKUP(D44,Stock_list!D:L,9,FALSE)</f>
        <v>45348</v>
      </c>
      <c r="F44" s="170" t="s">
        <v>4290</v>
      </c>
      <c r="G44" s="146" t="s">
        <v>4271</v>
      </c>
      <c r="H44" s="173" t="s">
        <v>76</v>
      </c>
      <c r="I44" s="171">
        <v>20</v>
      </c>
      <c r="J44" s="172"/>
      <c r="K44" s="541" t="e">
        <f>VLOOKUP(J44,Stock_list!A:R,18,FALSE)</f>
        <v>#N/A</v>
      </c>
      <c r="L44" s="542" t="e">
        <f>VLOOKUP(J44,Stock_list!A:S,17,FALSE)</f>
        <v>#N/A</v>
      </c>
      <c r="M44" s="541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7" t="s">
        <v>15</v>
      </c>
      <c r="B45" s="439">
        <v>303</v>
      </c>
      <c r="C45" s="428" t="str">
        <f>VLOOKUP(B45,'Data pick slip'!B:F,5,FALSE)</f>
        <v>KHY-M7740-A0</v>
      </c>
      <c r="D45" s="169">
        <v>111503</v>
      </c>
      <c r="E45" s="281">
        <f>VLOOKUP(D45,Stock_list!D:L,9,FALSE)</f>
        <v>45348</v>
      </c>
      <c r="F45" s="170" t="s">
        <v>4290</v>
      </c>
      <c r="G45" s="146" t="s">
        <v>4271</v>
      </c>
      <c r="H45" s="173" t="s">
        <v>76</v>
      </c>
      <c r="I45" s="171">
        <v>20</v>
      </c>
      <c r="J45" s="172"/>
      <c r="K45" s="541" t="e">
        <f>VLOOKUP(J45,Stock_list!A:R,18,FALSE)</f>
        <v>#N/A</v>
      </c>
      <c r="L45" s="542" t="e">
        <f>VLOOKUP(J45,Stock_list!A:S,17,FALSE)</f>
        <v>#N/A</v>
      </c>
      <c r="M45" s="541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7" t="s">
        <v>4457</v>
      </c>
      <c r="B46" s="439">
        <v>302</v>
      </c>
      <c r="C46" s="428" t="str">
        <f>VLOOKUP(B46,'Data pick slip'!B:F,5,FALSE)</f>
        <v>KHN-M7720-A3</v>
      </c>
      <c r="D46" s="311" t="s">
        <v>4459</v>
      </c>
      <c r="E46" s="281"/>
      <c r="F46" s="170" t="s">
        <v>4290</v>
      </c>
      <c r="G46" s="146" t="s">
        <v>4273</v>
      </c>
      <c r="H46" s="173" t="s">
        <v>76</v>
      </c>
      <c r="I46" s="171">
        <v>10</v>
      </c>
      <c r="J46" s="172">
        <v>2027</v>
      </c>
      <c r="K46" s="541" t="str">
        <f>VLOOKUP(J46,Stock_list!A:R,18,FALSE)</f>
        <v>精莞盈</v>
      </c>
      <c r="L46" s="542" t="str">
        <f>VLOOKUP(J46,Stock_list!A:S,17,FALSE)</f>
        <v>C49SZX20230130JY</v>
      </c>
      <c r="M46" s="541" t="str">
        <f>VLOOKUP(J46,Stock_list!A:T,16,FALSE)</f>
        <v>JPY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7" t="s">
        <v>4457</v>
      </c>
      <c r="B47" s="439">
        <v>302</v>
      </c>
      <c r="C47" s="428" t="str">
        <f>VLOOKUP(B47,'Data pick slip'!B:F,5,FALSE)</f>
        <v>KHN-M7720-A3</v>
      </c>
      <c r="D47" s="311" t="s">
        <v>4459</v>
      </c>
      <c r="E47" s="281"/>
      <c r="F47" s="170" t="s">
        <v>4290</v>
      </c>
      <c r="G47" s="146" t="s">
        <v>4273</v>
      </c>
      <c r="H47" s="173" t="s">
        <v>76</v>
      </c>
      <c r="I47" s="171">
        <v>10</v>
      </c>
      <c r="J47" s="172">
        <v>2043</v>
      </c>
      <c r="K47" s="541" t="str">
        <f>VLOOKUP(J47,Stock_list!A:R,18,FALSE)</f>
        <v>莫思特</v>
      </c>
      <c r="L47" s="542" t="str">
        <f>VLOOKUP(J47,Stock_list!A:S,17,FALSE)</f>
        <v>C49SZX20230140SX</v>
      </c>
      <c r="M47" s="541" t="str">
        <f>VLOOKUP(J47,Stock_list!A:T,16,FALSE)</f>
        <v>RMB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7" t="s">
        <v>281</v>
      </c>
      <c r="B48" s="441">
        <v>301</v>
      </c>
      <c r="C48" s="428" t="str">
        <f>VLOOKUP(B48,'Data pick slip'!B:F,5,FALSE)</f>
        <v>KHN-M7710-A4</v>
      </c>
      <c r="D48" s="169"/>
      <c r="E48" s="281" t="s">
        <v>4488</v>
      </c>
      <c r="F48" s="170" t="s">
        <v>4276</v>
      </c>
      <c r="G48" s="146" t="s">
        <v>4271</v>
      </c>
      <c r="H48" s="173" t="s">
        <v>76</v>
      </c>
      <c r="I48" s="171">
        <v>40</v>
      </c>
      <c r="J48" s="172"/>
      <c r="K48" s="389" t="s">
        <v>4463</v>
      </c>
      <c r="L48" s="281" t="s">
        <v>4488</v>
      </c>
      <c r="M48" s="51" t="s">
        <v>4464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7" t="s">
        <v>281</v>
      </c>
      <c r="B49" s="441">
        <v>302</v>
      </c>
      <c r="C49" s="428" t="str">
        <f>VLOOKUP(B49,'Data pick slip'!B:F,5,FALSE)</f>
        <v>KHN-M7720-A3</v>
      </c>
      <c r="D49" s="169"/>
      <c r="E49" s="281" t="s">
        <v>4488</v>
      </c>
      <c r="F49" s="170" t="s">
        <v>4276</v>
      </c>
      <c r="G49" s="146" t="s">
        <v>4271</v>
      </c>
      <c r="H49" s="173" t="s">
        <v>76</v>
      </c>
      <c r="I49" s="171">
        <v>10</v>
      </c>
      <c r="J49" s="172"/>
      <c r="K49" s="389" t="s">
        <v>4463</v>
      </c>
      <c r="L49" s="281" t="s">
        <v>4488</v>
      </c>
      <c r="M49" s="51" t="s">
        <v>4464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7" t="s">
        <v>15</v>
      </c>
      <c r="B50" s="439">
        <v>301</v>
      </c>
      <c r="C50" s="428" t="str">
        <f>VLOOKUP(B50,'Data pick slip'!B:F,5,FALSE)</f>
        <v>KHN-M7710-A4</v>
      </c>
      <c r="D50" s="169" t="s">
        <v>4475</v>
      </c>
      <c r="E50" s="281"/>
      <c r="F50" s="170" t="s">
        <v>4290</v>
      </c>
      <c r="G50" s="146" t="s">
        <v>4273</v>
      </c>
      <c r="H50" s="173" t="s">
        <v>76</v>
      </c>
      <c r="I50" s="171">
        <v>10</v>
      </c>
      <c r="J50" s="172"/>
      <c r="K50" s="541"/>
      <c r="L50" s="542"/>
      <c r="M50" s="541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7" t="s">
        <v>15</v>
      </c>
      <c r="B51" s="439">
        <v>301</v>
      </c>
      <c r="C51" s="428" t="str">
        <f>VLOOKUP(B51,'Data pick slip'!B:F,5,FALSE)</f>
        <v>KHN-M7710-A4</v>
      </c>
      <c r="D51" s="169" t="s">
        <v>4475</v>
      </c>
      <c r="E51" s="281"/>
      <c r="F51" s="170" t="s">
        <v>4290</v>
      </c>
      <c r="G51" s="146" t="s">
        <v>4271</v>
      </c>
      <c r="H51" s="173" t="s">
        <v>76</v>
      </c>
      <c r="I51" s="171">
        <v>10</v>
      </c>
      <c r="J51" s="172"/>
      <c r="K51" s="541"/>
      <c r="L51" s="542"/>
      <c r="M51" s="541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7" t="s">
        <v>15</v>
      </c>
      <c r="B52" s="439">
        <v>301</v>
      </c>
      <c r="C52" s="428" t="str">
        <f>VLOOKUP(B52,'Data pick slip'!B:F,5,FALSE)</f>
        <v>KHN-M7710-A4</v>
      </c>
      <c r="D52" s="169">
        <v>111521</v>
      </c>
      <c r="E52" s="281">
        <f>VLOOKUP(D52,Stock_list!D:L,9,FALSE)</f>
        <v>45355</v>
      </c>
      <c r="F52" s="170" t="s">
        <v>4290</v>
      </c>
      <c r="G52" s="146" t="s">
        <v>4271</v>
      </c>
      <c r="H52" s="173" t="s">
        <v>2762</v>
      </c>
      <c r="I52" s="171">
        <v>75</v>
      </c>
      <c r="J52" s="172"/>
      <c r="K52" s="541"/>
      <c r="L52" s="542"/>
      <c r="M52" s="541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7" t="s">
        <v>15</v>
      </c>
      <c r="B53" s="439">
        <v>303</v>
      </c>
      <c r="C53" s="428" t="str">
        <f>VLOOKUP(B53,'Data pick slip'!B:F,5,FALSE)</f>
        <v>KHY-M7740-A0</v>
      </c>
      <c r="D53" s="169">
        <v>111521</v>
      </c>
      <c r="E53" s="281">
        <f>VLOOKUP(D53,Stock_list!D:L,9,FALSE)</f>
        <v>45355</v>
      </c>
      <c r="F53" s="170" t="s">
        <v>4290</v>
      </c>
      <c r="G53" s="146" t="s">
        <v>4271</v>
      </c>
      <c r="H53" s="173" t="s">
        <v>2762</v>
      </c>
      <c r="I53" s="171">
        <v>20</v>
      </c>
      <c r="J53" s="172"/>
      <c r="K53" s="541"/>
      <c r="L53" s="542"/>
      <c r="M53" s="541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7" t="s">
        <v>15</v>
      </c>
      <c r="B54" s="439">
        <v>302</v>
      </c>
      <c r="C54" s="428" t="str">
        <f>VLOOKUP(B54,'Data pick slip'!B:F,5,FALSE)</f>
        <v>KHN-M7720-A3</v>
      </c>
      <c r="D54" s="169">
        <v>111521</v>
      </c>
      <c r="E54" s="281">
        <f>VLOOKUP(D54,Stock_list!D:L,9,FALSE)</f>
        <v>45355</v>
      </c>
      <c r="F54" s="170" t="s">
        <v>4290</v>
      </c>
      <c r="G54" s="146" t="s">
        <v>4271</v>
      </c>
      <c r="H54" s="173" t="s">
        <v>2762</v>
      </c>
      <c r="I54" s="171">
        <v>25</v>
      </c>
      <c r="J54" s="172"/>
      <c r="K54" s="541"/>
      <c r="L54" s="542"/>
      <c r="M54" s="541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7" t="s">
        <v>15</v>
      </c>
      <c r="B55" s="439">
        <v>301</v>
      </c>
      <c r="C55" s="428" t="str">
        <f>VLOOKUP(B55,'Data pick slip'!B:F,5,FALSE)</f>
        <v>KHN-M7710-A4</v>
      </c>
      <c r="D55" s="169">
        <v>111522</v>
      </c>
      <c r="E55" s="281">
        <f>VLOOKUP(D55,Stock_list!D:L,9,FALSE)</f>
        <v>45354</v>
      </c>
      <c r="F55" s="170" t="s">
        <v>4290</v>
      </c>
      <c r="G55" s="146" t="s">
        <v>4271</v>
      </c>
      <c r="H55" s="173" t="s">
        <v>2762</v>
      </c>
      <c r="I55" s="171">
        <v>60</v>
      </c>
      <c r="J55" s="172"/>
      <c r="K55" s="541"/>
      <c r="L55" s="542"/>
      <c r="M55" s="541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7" t="s">
        <v>15</v>
      </c>
      <c r="B56" s="439">
        <v>303</v>
      </c>
      <c r="C56" s="428" t="str">
        <f>VLOOKUP(B56,'Data pick slip'!B:F,5,FALSE)</f>
        <v>KHY-M7740-A0</v>
      </c>
      <c r="D56" s="169">
        <v>111522</v>
      </c>
      <c r="E56" s="281">
        <f>VLOOKUP(D56,Stock_list!D:L,9,FALSE)</f>
        <v>45354</v>
      </c>
      <c r="F56" s="170" t="s">
        <v>4290</v>
      </c>
      <c r="G56" s="146" t="s">
        <v>4271</v>
      </c>
      <c r="H56" s="173" t="s">
        <v>2762</v>
      </c>
      <c r="I56" s="171">
        <v>20</v>
      </c>
      <c r="J56" s="172"/>
      <c r="K56" s="541"/>
      <c r="L56" s="542"/>
      <c r="M56" s="541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7" t="s">
        <v>15</v>
      </c>
      <c r="B57" s="439">
        <v>301</v>
      </c>
      <c r="C57" s="428" t="str">
        <f>VLOOKUP(B57,'Data pick slip'!B:F,5,FALSE)</f>
        <v>KHN-M7710-A4</v>
      </c>
      <c r="D57" s="311" t="s">
        <v>4495</v>
      </c>
      <c r="E57" s="281"/>
      <c r="F57" s="170" t="s">
        <v>4276</v>
      </c>
      <c r="G57" s="146" t="s">
        <v>4273</v>
      </c>
      <c r="H57" s="173" t="s">
        <v>76</v>
      </c>
      <c r="I57" s="171">
        <v>9</v>
      </c>
      <c r="J57" s="172">
        <v>2034</v>
      </c>
      <c r="K57" s="541" t="str">
        <f>VLOOKUP(J57,Stock_list!A:R,18,FALSE)</f>
        <v>徕芬</v>
      </c>
      <c r="L57" s="542" t="str">
        <f>VLOOKUP(J57,Stock_list!A:S,17,FALSE)</f>
        <v>CG20231204009</v>
      </c>
      <c r="M57" s="541" t="str">
        <f>VLOOKUP(J57,Stock_list!A:T,16,FALSE)</f>
        <v>RMB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7" t="s">
        <v>4531</v>
      </c>
      <c r="B58" s="439">
        <v>301</v>
      </c>
      <c r="C58" s="428" t="str">
        <f>VLOOKUP(B58,'Data pick slip'!B:F,5,FALSE)</f>
        <v>KHN-M7710-A4</v>
      </c>
      <c r="D58" s="311" t="s">
        <v>4297</v>
      </c>
      <c r="E58" s="281"/>
      <c r="F58" s="170" t="s">
        <v>4290</v>
      </c>
      <c r="G58" s="146" t="s">
        <v>4273</v>
      </c>
      <c r="H58" s="173" t="s">
        <v>76</v>
      </c>
      <c r="I58" s="171">
        <v>50</v>
      </c>
      <c r="J58" s="172">
        <v>2057</v>
      </c>
      <c r="K58" s="541" t="str">
        <f>VLOOKUP(J58,Stock_list!A:R,18,FALSE)</f>
        <v>世纪佳柔</v>
      </c>
      <c r="L58" s="542" t="str">
        <f>VLOOKUP(J58,Stock_list!A:S,17,FALSE)</f>
        <v>C49SZX20230145BH</v>
      </c>
      <c r="M58" s="541" t="str">
        <f>VLOOKUP(J58,Stock_list!A:T,16,FALSE)</f>
        <v>JPY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7" t="s">
        <v>281</v>
      </c>
      <c r="B59" s="439">
        <v>301</v>
      </c>
      <c r="C59" s="428" t="str">
        <f>VLOOKUP(B59,'Data pick slip'!B:F,5,FALSE)</f>
        <v>KHN-M7710-A4</v>
      </c>
      <c r="D59" s="311" t="s">
        <v>4297</v>
      </c>
      <c r="E59" s="281"/>
      <c r="F59" s="170" t="s">
        <v>4290</v>
      </c>
      <c r="G59" s="146" t="s">
        <v>4273</v>
      </c>
      <c r="H59" s="173" t="s">
        <v>76</v>
      </c>
      <c r="I59" s="171">
        <v>48</v>
      </c>
      <c r="J59" s="172">
        <v>2050</v>
      </c>
      <c r="K59" s="541" t="str">
        <f>VLOOKUP(J59,Stock_list!A:R,18,FALSE)</f>
        <v>盈通恒翼</v>
      </c>
      <c r="L59" s="542" t="str">
        <f>VLOOKUP(J59,Stock_list!A:S,17,FALSE)</f>
        <v>C49SZX20230142SS</v>
      </c>
      <c r="M59" s="541" t="str">
        <f>VLOOKUP(J59,Stock_list!A:T,16,FALSE)</f>
        <v>JPY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7" t="s">
        <v>281</v>
      </c>
      <c r="B60" s="441">
        <v>301</v>
      </c>
      <c r="C60" s="428" t="str">
        <f>VLOOKUP(B60,'Data pick slip'!B:F,5,FALSE)</f>
        <v>KHN-M7710-A4</v>
      </c>
      <c r="D60" s="544" t="s">
        <v>4297</v>
      </c>
      <c r="F60" s="170" t="s">
        <v>4290</v>
      </c>
      <c r="G60" s="146" t="s">
        <v>4273</v>
      </c>
      <c r="H60" s="146" t="s">
        <v>76</v>
      </c>
      <c r="I60" s="171">
        <v>20</v>
      </c>
      <c r="J60" s="172">
        <v>2063</v>
      </c>
      <c r="K60" s="541" t="str">
        <f>VLOOKUP(J60,Stock_list!A:R,18,FALSE)</f>
        <v>诺亚兴</v>
      </c>
      <c r="L60" s="542" t="str">
        <f>VLOOKUP(J60,Stock_list!A:S,17,FALSE)</f>
        <v>C49SZX20240005EC</v>
      </c>
      <c r="M60" s="541" t="str">
        <f>VLOOKUP(J60,Stock_list!A:T,16,FALSE)</f>
        <v>JPY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7" t="s">
        <v>4546</v>
      </c>
      <c r="B61" s="441">
        <v>302</v>
      </c>
      <c r="C61" s="428" t="str">
        <f>VLOOKUP(B61,'Data pick slip'!B:F,5,FALSE)</f>
        <v>KHN-M7720-A3</v>
      </c>
      <c r="D61" s="544" t="s">
        <v>4297</v>
      </c>
      <c r="F61" s="170" t="s">
        <v>4545</v>
      </c>
      <c r="G61" s="146" t="s">
        <v>4273</v>
      </c>
      <c r="H61" s="146" t="s">
        <v>76</v>
      </c>
      <c r="I61" s="171">
        <v>15</v>
      </c>
      <c r="J61" s="172">
        <v>2045</v>
      </c>
      <c r="K61" s="541" t="str">
        <f>VLOOKUP(J61,Stock_list!A:R,18,FALSE)</f>
        <v>朗格邦定</v>
      </c>
      <c r="L61" s="542" t="str">
        <f>VLOOKUP(J61,Stock_list!A:S,17,FALSE)</f>
        <v>C49SZX20230142MZ</v>
      </c>
      <c r="M61" s="541" t="str">
        <f>VLOOKUP(J61,Stock_list!A:T,16,FALSE)</f>
        <v>JPY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7" t="s">
        <v>281</v>
      </c>
      <c r="B62" s="441">
        <v>302</v>
      </c>
      <c r="C62" s="428" t="str">
        <f>VLOOKUP(B62,'Data pick slip'!B:F,5,FALSE)</f>
        <v>KHN-M7720-A3</v>
      </c>
      <c r="D62" s="544" t="s">
        <v>4297</v>
      </c>
      <c r="F62" s="170" t="s">
        <v>4278</v>
      </c>
      <c r="G62" s="146" t="s">
        <v>4273</v>
      </c>
      <c r="H62" s="146" t="s">
        <v>76</v>
      </c>
      <c r="I62" s="171">
        <v>40</v>
      </c>
      <c r="J62" s="172">
        <v>2081</v>
      </c>
      <c r="K62" s="541" t="str">
        <f>VLOOKUP(J62,Stock_list!A:R,18,FALSE)</f>
        <v>斯迈</v>
      </c>
      <c r="L62" s="542" t="str">
        <f>VLOOKUP(J62,Stock_list!A:S,17,FALSE)</f>
        <v>C49SZX20240018DZ</v>
      </c>
      <c r="M62" s="541" t="str">
        <f>VLOOKUP(J62,Stock_list!A:T,16,FALSE)</f>
        <v>JPY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7" t="s">
        <v>281</v>
      </c>
      <c r="B63" s="441">
        <v>301</v>
      </c>
      <c r="C63" s="428" t="str">
        <f>VLOOKUP(B63,'Data pick slip'!B:F,5,FALSE)</f>
        <v>KHN-M7710-A4</v>
      </c>
      <c r="D63" s="544" t="s">
        <v>4297</v>
      </c>
      <c r="F63" s="170" t="s">
        <v>4290</v>
      </c>
      <c r="G63" s="146" t="s">
        <v>4273</v>
      </c>
      <c r="H63" s="146" t="s">
        <v>76</v>
      </c>
      <c r="I63" s="171">
        <v>40</v>
      </c>
      <c r="J63" s="172">
        <v>2081</v>
      </c>
      <c r="K63" s="541" t="str">
        <f>VLOOKUP(J63,Stock_list!A:R,18,FALSE)</f>
        <v>斯迈</v>
      </c>
      <c r="L63" s="542" t="str">
        <f>VLOOKUP(J63,Stock_list!A:S,17,FALSE)</f>
        <v>C49SZX20240018DZ</v>
      </c>
      <c r="M63" s="541" t="str">
        <f>VLOOKUP(J63,Stock_list!A:T,16,FALSE)</f>
        <v>JPY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7" t="s">
        <v>281</v>
      </c>
      <c r="B64" s="439">
        <v>303</v>
      </c>
      <c r="C64" s="428" t="str">
        <f>VLOOKUP(B64,'Data pick slip'!B:F,5,FALSE)</f>
        <v>KHY-M7740-A0</v>
      </c>
      <c r="D64" s="169">
        <v>111536</v>
      </c>
      <c r="E64" s="281" t="str">
        <f>VLOOKUP(D64,Stock_list!D:L,9,FALSE)</f>
        <v>ex-work 24年2月</v>
      </c>
      <c r="F64" s="170" t="s">
        <v>4290</v>
      </c>
      <c r="G64" s="146" t="s">
        <v>4271</v>
      </c>
      <c r="H64" s="173" t="s">
        <v>20</v>
      </c>
      <c r="I64" s="171">
        <v>30</v>
      </c>
      <c r="J64" s="172"/>
      <c r="K64" s="541"/>
      <c r="L64" s="542"/>
      <c r="M64" s="541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7" t="s">
        <v>281</v>
      </c>
      <c r="B65" s="441">
        <v>301</v>
      </c>
      <c r="C65" s="428" t="str">
        <f>VLOOKUP(B65,'Data pick slip'!B:F,5,FALSE)</f>
        <v>KHN-M7710-A4</v>
      </c>
      <c r="D65" s="544" t="s">
        <v>4297</v>
      </c>
      <c r="F65" s="170" t="s">
        <v>4278</v>
      </c>
      <c r="G65" s="146" t="s">
        <v>4273</v>
      </c>
      <c r="H65" s="146" t="s">
        <v>76</v>
      </c>
      <c r="I65" s="171">
        <v>65</v>
      </c>
      <c r="J65" s="172">
        <v>2017</v>
      </c>
      <c r="K65" s="541" t="str">
        <f>VLOOKUP(J65,Stock_list!A:R,18,FALSE)</f>
        <v>兴开泰（end user:兴连）</v>
      </c>
      <c r="L65" s="542" t="str">
        <f>VLOOKUP(J65,Stock_list!A:S,17,FALSE)</f>
        <v>C49SZX20230111SX</v>
      </c>
      <c r="M65" s="541" t="str">
        <f>VLOOKUP(J65,Stock_list!A:T,16,FALSE)</f>
        <v>JPY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7" t="s">
        <v>281</v>
      </c>
      <c r="B66" s="441">
        <v>302</v>
      </c>
      <c r="C66" s="428" t="str">
        <f>VLOOKUP(B66,'Data pick slip'!B:F,5,FALSE)</f>
        <v>KHN-M7720-A3</v>
      </c>
      <c r="D66" s="544" t="s">
        <v>4568</v>
      </c>
      <c r="F66" s="170" t="s">
        <v>4290</v>
      </c>
      <c r="G66" s="146" t="s">
        <v>4273</v>
      </c>
      <c r="H66" s="146" t="s">
        <v>76</v>
      </c>
      <c r="I66" s="171">
        <v>25</v>
      </c>
      <c r="J66" s="172"/>
      <c r="K66" s="541" t="s">
        <v>4573</v>
      </c>
      <c r="L66" s="542" t="s">
        <v>4574</v>
      </c>
      <c r="M66" s="541" t="s">
        <v>21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7" t="s">
        <v>281</v>
      </c>
      <c r="B67" s="441">
        <v>303</v>
      </c>
      <c r="C67" s="428" t="str">
        <f>VLOOKUP(B67,'Data pick slip'!B:F,5,FALSE)</f>
        <v>KHY-M7740-A0</v>
      </c>
      <c r="D67" s="544" t="s">
        <v>4568</v>
      </c>
      <c r="F67" s="170" t="s">
        <v>4290</v>
      </c>
      <c r="G67" s="146" t="s">
        <v>4273</v>
      </c>
      <c r="H67" s="146" t="s">
        <v>76</v>
      </c>
      <c r="I67" s="171">
        <v>23</v>
      </c>
      <c r="J67" s="172"/>
      <c r="K67" s="541" t="s">
        <v>4573</v>
      </c>
      <c r="L67" s="542" t="s">
        <v>4574</v>
      </c>
      <c r="M67" s="541" t="s">
        <v>21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A68" s="477" t="s">
        <v>281</v>
      </c>
      <c r="B68" s="441">
        <v>302</v>
      </c>
      <c r="C68" s="428" t="str">
        <f>VLOOKUP(B68,'Data pick slip'!B:F,5,FALSE)</f>
        <v>KHN-M7720-A3</v>
      </c>
      <c r="D68" s="544" t="s">
        <v>4297</v>
      </c>
      <c r="E68" s="281"/>
      <c r="F68" s="170" t="s">
        <v>4290</v>
      </c>
      <c r="G68" s="146" t="s">
        <v>4273</v>
      </c>
      <c r="H68" s="146" t="s">
        <v>76</v>
      </c>
      <c r="I68" s="171">
        <v>20</v>
      </c>
      <c r="J68" s="172">
        <v>2090</v>
      </c>
      <c r="K68" s="541" t="str">
        <f>VLOOKUP(J68,Stock_list!A:R,18,FALSE)</f>
        <v>格美通</v>
      </c>
      <c r="L68" s="542" t="str">
        <f>VLOOKUP(J68,Stock_list!A:S,17,FALSE)</f>
        <v>C49SZX20240021EC</v>
      </c>
      <c r="M68" s="541" t="str">
        <f>VLOOKUP(J68,Stock_list!A:T,16,FALSE)</f>
        <v>JPY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A69" s="477" t="s">
        <v>281</v>
      </c>
      <c r="B69" s="441">
        <v>301</v>
      </c>
      <c r="C69" s="428" t="str">
        <f>VLOOKUP(B69,'Data pick slip'!B:F,5,FALSE)</f>
        <v>KHN-M7710-A4</v>
      </c>
      <c r="D69" s="311">
        <v>111547</v>
      </c>
      <c r="E69" s="281" t="str">
        <f>VLOOKUP(D69,Stock_list!D:L,9,FALSE)</f>
        <v>ex-work 24年3月</v>
      </c>
      <c r="F69" s="170" t="s">
        <v>4290</v>
      </c>
      <c r="G69" s="146" t="s">
        <v>4271</v>
      </c>
      <c r="H69" s="173" t="s">
        <v>20</v>
      </c>
      <c r="I69" s="171">
        <v>100</v>
      </c>
      <c r="J69" s="172"/>
      <c r="K69" s="541" t="e">
        <f>VLOOKUP(J69,Stock_list!A:R,18,FALSE)</f>
        <v>#N/A</v>
      </c>
      <c r="L69" s="542" t="e">
        <f>VLOOKUP(J69,Stock_list!A:S,17,FALSE)</f>
        <v>#N/A</v>
      </c>
      <c r="M69" s="541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A70" s="477" t="s">
        <v>281</v>
      </c>
      <c r="B70" s="441">
        <v>302</v>
      </c>
      <c r="C70" s="428" t="str">
        <f>VLOOKUP(B70,'Data pick slip'!B:F,5,FALSE)</f>
        <v>KHN-M7720-A3</v>
      </c>
      <c r="D70" s="311">
        <v>111547</v>
      </c>
      <c r="E70" s="281" t="str">
        <f>VLOOKUP(D70,Stock_list!D:L,9,FALSE)</f>
        <v>ex-work 24年3月</v>
      </c>
      <c r="F70" s="170" t="s">
        <v>4290</v>
      </c>
      <c r="G70" s="146" t="s">
        <v>4271</v>
      </c>
      <c r="H70" s="173" t="s">
        <v>20</v>
      </c>
      <c r="I70" s="171">
        <v>40</v>
      </c>
      <c r="J70" s="172"/>
      <c r="K70" s="541" t="e">
        <f>VLOOKUP(J70,Stock_list!A:R,18,FALSE)</f>
        <v>#N/A</v>
      </c>
      <c r="L70" s="542" t="e">
        <f>VLOOKUP(J70,Stock_list!A:S,17,FALSE)</f>
        <v>#N/A</v>
      </c>
      <c r="M70" s="541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A71" s="477" t="s">
        <v>281</v>
      </c>
      <c r="B71" s="441">
        <v>303</v>
      </c>
      <c r="C71" s="428" t="str">
        <f>VLOOKUP(B71,'Data pick slip'!B:F,5,FALSE)</f>
        <v>KHY-M7740-A0</v>
      </c>
      <c r="D71" s="311">
        <v>111547</v>
      </c>
      <c r="E71" s="281" t="str">
        <f>VLOOKUP(D71,Stock_list!D:L,9,FALSE)</f>
        <v>ex-work 24年3月</v>
      </c>
      <c r="F71" s="170" t="s">
        <v>4290</v>
      </c>
      <c r="G71" s="146" t="s">
        <v>4271</v>
      </c>
      <c r="H71" s="173" t="s">
        <v>20</v>
      </c>
      <c r="I71" s="171">
        <v>30</v>
      </c>
      <c r="J71" s="172"/>
      <c r="K71" s="541" t="e">
        <f>VLOOKUP(J71,Stock_list!A:R,18,FALSE)</f>
        <v>#N/A</v>
      </c>
      <c r="L71" s="542" t="e">
        <f>VLOOKUP(J71,Stock_list!A:S,17,FALSE)</f>
        <v>#N/A</v>
      </c>
      <c r="M71" s="541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A72" s="477" t="s">
        <v>281</v>
      </c>
      <c r="B72" s="439">
        <v>311</v>
      </c>
      <c r="C72" s="428" t="str">
        <f>VLOOKUP(B72,'Data pick slip'!B:F,5,FALSE)</f>
        <v>KHY-M7710-A4</v>
      </c>
      <c r="D72" s="311">
        <v>111547</v>
      </c>
      <c r="E72" s="281" t="str">
        <f>VLOOKUP(D72,Stock_list!D:L,9,FALSE)</f>
        <v>ex-work 24年3月</v>
      </c>
      <c r="F72" s="170" t="s">
        <v>4290</v>
      </c>
      <c r="G72" s="146" t="s">
        <v>4271</v>
      </c>
      <c r="H72" s="173" t="s">
        <v>20</v>
      </c>
      <c r="I72" s="171">
        <v>30</v>
      </c>
      <c r="J72" s="172"/>
      <c r="K72" s="541" t="e">
        <f>VLOOKUP(J72,Stock_list!A:R,18,FALSE)</f>
        <v>#N/A</v>
      </c>
      <c r="L72" s="542" t="e">
        <f>VLOOKUP(J72,Stock_list!A:S,17,FALSE)</f>
        <v>#N/A</v>
      </c>
      <c r="M72" s="541" t="e">
        <f>VLOOKUP(J72,Stock_list!A:T,16,FALSE)</f>
        <v>#N/A</v>
      </c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>
      <c r="A73" s="477" t="s">
        <v>281</v>
      </c>
      <c r="B73" s="441">
        <v>301</v>
      </c>
      <c r="C73" s="428" t="str">
        <f>VLOOKUP(B73,'Data pick slip'!B:F,5,FALSE)</f>
        <v>KHN-M7710-A4</v>
      </c>
      <c r="D73" s="169">
        <v>111546</v>
      </c>
      <c r="E73" s="281" t="str">
        <f>VLOOKUP(D73,Stock_list!D:L,9,FALSE)</f>
        <v>ex-work 24年3月</v>
      </c>
      <c r="F73" s="170" t="s">
        <v>4290</v>
      </c>
      <c r="G73" s="146" t="s">
        <v>4271</v>
      </c>
      <c r="H73" s="173" t="s">
        <v>20</v>
      </c>
      <c r="I73" s="171">
        <v>50</v>
      </c>
      <c r="J73" s="172"/>
      <c r="K73" s="541" t="e">
        <f>VLOOKUP(J73,Stock_list!A:R,18,FALSE)</f>
        <v>#N/A</v>
      </c>
      <c r="L73" s="542" t="e">
        <f>VLOOKUP(J73,Stock_list!A:S,17,FALSE)</f>
        <v>#N/A</v>
      </c>
      <c r="M73" s="541" t="e">
        <f>VLOOKUP(J73,Stock_list!A:T,16,FALSE)</f>
        <v>#N/A</v>
      </c>
      <c r="N73" s="175"/>
      <c r="O73" s="174"/>
      <c r="P73" s="176"/>
      <c r="Q73" s="176"/>
      <c r="R73" s="173"/>
      <c r="S73" s="177"/>
      <c r="T73" s="178"/>
      <c r="U73" s="173"/>
      <c r="V73" s="179"/>
      <c r="W73" s="145"/>
    </row>
    <row r="74" spans="1:23" ht="15" customHeight="1">
      <c r="A74" s="477" t="s">
        <v>281</v>
      </c>
      <c r="B74" s="441">
        <v>302</v>
      </c>
      <c r="C74" s="428" t="str">
        <f>VLOOKUP(B74,'Data pick slip'!B:F,5,FALSE)</f>
        <v>KHN-M7720-A3</v>
      </c>
      <c r="D74" s="169">
        <v>111546</v>
      </c>
      <c r="E74" s="281" t="str">
        <f>VLOOKUP(D74,Stock_list!D:L,9,FALSE)</f>
        <v>ex-work 24年3月</v>
      </c>
      <c r="F74" s="170" t="s">
        <v>4290</v>
      </c>
      <c r="G74" s="146" t="s">
        <v>4271</v>
      </c>
      <c r="H74" s="173" t="s">
        <v>20</v>
      </c>
      <c r="I74" s="171">
        <v>25</v>
      </c>
      <c r="J74" s="172"/>
      <c r="K74" s="541" t="e">
        <f>VLOOKUP(J74,Stock_list!A:R,18,FALSE)</f>
        <v>#N/A</v>
      </c>
      <c r="L74" s="542" t="e">
        <f>VLOOKUP(J74,Stock_list!A:S,17,FALSE)</f>
        <v>#N/A</v>
      </c>
      <c r="M74" s="541" t="e">
        <f>VLOOKUP(J74,Stock_list!A:T,16,FALSE)</f>
        <v>#N/A</v>
      </c>
      <c r="N74" s="175"/>
      <c r="O74" s="174"/>
      <c r="P74" s="176"/>
      <c r="Q74" s="176"/>
      <c r="R74" s="173"/>
      <c r="S74" s="177"/>
      <c r="T74" s="178"/>
      <c r="U74" s="173"/>
      <c r="V74" s="179"/>
      <c r="W74" s="145"/>
    </row>
    <row r="75" spans="1:23" ht="15" customHeight="1">
      <c r="A75" s="477" t="s">
        <v>281</v>
      </c>
      <c r="B75" s="441">
        <v>303</v>
      </c>
      <c r="C75" s="428" t="str">
        <f>VLOOKUP(B75,'Data pick slip'!B:F,5,FALSE)</f>
        <v>KHY-M7740-A0</v>
      </c>
      <c r="D75" s="169">
        <v>111546</v>
      </c>
      <c r="E75" s="281" t="str">
        <f>VLOOKUP(D75,Stock_list!D:L,9,FALSE)</f>
        <v>ex-work 24年3月</v>
      </c>
      <c r="F75" s="170" t="s">
        <v>4290</v>
      </c>
      <c r="G75" s="146" t="s">
        <v>4271</v>
      </c>
      <c r="H75" s="173" t="s">
        <v>20</v>
      </c>
      <c r="I75" s="171">
        <v>25</v>
      </c>
      <c r="J75" s="172"/>
      <c r="K75" s="541" t="e">
        <f>VLOOKUP(J75,Stock_list!A:R,18,FALSE)</f>
        <v>#N/A</v>
      </c>
      <c r="L75" s="542" t="e">
        <f>VLOOKUP(J75,Stock_list!A:S,17,FALSE)</f>
        <v>#N/A</v>
      </c>
      <c r="M75" s="541" t="e">
        <f>VLOOKUP(J75,Stock_list!A:T,16,FALSE)</f>
        <v>#N/A</v>
      </c>
      <c r="N75" s="175"/>
      <c r="O75" s="174"/>
      <c r="P75" s="176"/>
      <c r="Q75" s="176"/>
      <c r="R75" s="173"/>
      <c r="S75" s="177"/>
      <c r="T75" s="178"/>
      <c r="U75" s="173"/>
      <c r="V75" s="179"/>
      <c r="W75" s="145"/>
    </row>
    <row r="76" spans="1:23" ht="15" customHeight="1">
      <c r="A76" s="477" t="s">
        <v>15</v>
      </c>
      <c r="B76" s="441">
        <v>301</v>
      </c>
      <c r="C76" s="428" t="str">
        <f>VLOOKUP(B76,'Data pick slip'!B:F,5,FALSE)</f>
        <v>KHN-M7710-A4</v>
      </c>
      <c r="D76" s="544" t="s">
        <v>4594</v>
      </c>
      <c r="F76" s="170" t="s">
        <v>4278</v>
      </c>
      <c r="G76" s="146" t="s">
        <v>4273</v>
      </c>
      <c r="H76" s="146" t="s">
        <v>76</v>
      </c>
      <c r="I76" s="171">
        <v>5</v>
      </c>
      <c r="J76" s="172">
        <v>2040</v>
      </c>
      <c r="K76" s="541" t="str">
        <f>VLOOKUP(J76,Stock_list!A:R,18,FALSE)</f>
        <v>TBS</v>
      </c>
      <c r="L76" s="542" t="str">
        <f>VLOOKUP(J76,Stock_list!A:S,17,FALSE)</f>
        <v>C49SZX20230136JAL</v>
      </c>
      <c r="M76" s="541" t="str">
        <f>VLOOKUP(J76,Stock_list!A:T,16,FALSE)</f>
        <v>USD</v>
      </c>
      <c r="N76" s="175"/>
      <c r="O76" s="174"/>
      <c r="P76" s="176"/>
      <c r="Q76" s="176"/>
      <c r="R76" s="173"/>
      <c r="S76" s="177"/>
      <c r="T76" s="178"/>
      <c r="U76" s="173"/>
      <c r="V76" s="179"/>
      <c r="W76" s="145"/>
    </row>
    <row r="77" spans="1:23" ht="15" customHeight="1">
      <c r="A77" s="477" t="s">
        <v>15</v>
      </c>
      <c r="B77" s="441">
        <v>302</v>
      </c>
      <c r="C77" s="428" t="str">
        <f>VLOOKUP(B77,'Data pick slip'!B:F,5,FALSE)</f>
        <v>KHN-M7720-A3</v>
      </c>
      <c r="D77" s="544" t="s">
        <v>4297</v>
      </c>
      <c r="E77" s="281"/>
      <c r="F77" s="170" t="s">
        <v>4278</v>
      </c>
      <c r="G77" s="146" t="s">
        <v>4273</v>
      </c>
      <c r="H77" s="146" t="s">
        <v>76</v>
      </c>
      <c r="I77" s="171">
        <v>10</v>
      </c>
      <c r="J77" s="172">
        <v>2085</v>
      </c>
      <c r="K77" s="541" t="str">
        <f>VLOOKUP(J77,Stock_list!A:R,18,FALSE)</f>
        <v>江西优控</v>
      </c>
      <c r="L77" s="542" t="str">
        <f>VLOOKUP(J77,Stock_list!A:S,17,FALSE)</f>
        <v>C49SZX20240013SX</v>
      </c>
      <c r="M77" s="541" t="str">
        <f>VLOOKUP(J77,Stock_list!A:T,16,FALSE)</f>
        <v>JPY</v>
      </c>
      <c r="N77" s="175"/>
      <c r="O77" s="174"/>
      <c r="P77" s="176"/>
      <c r="Q77" s="176"/>
      <c r="R77" s="173"/>
      <c r="S77" s="177"/>
      <c r="T77" s="178"/>
      <c r="U77" s="173"/>
      <c r="V77" s="179"/>
      <c r="W77" s="145"/>
    </row>
    <row r="78" spans="1:23" ht="15" customHeight="1">
      <c r="A78" s="477" t="s">
        <v>15</v>
      </c>
      <c r="B78" s="441">
        <v>303</v>
      </c>
      <c r="C78" s="428" t="str">
        <f>VLOOKUP(B78,'Data pick slip'!B:F,5,FALSE)</f>
        <v>KHY-M7740-A0</v>
      </c>
      <c r="D78" s="544" t="s">
        <v>4297</v>
      </c>
      <c r="E78" s="281"/>
      <c r="F78" s="170" t="s">
        <v>4278</v>
      </c>
      <c r="G78" s="146" t="s">
        <v>4273</v>
      </c>
      <c r="H78" s="146" t="s">
        <v>76</v>
      </c>
      <c r="I78" s="171">
        <v>10</v>
      </c>
      <c r="J78" s="172">
        <v>2085</v>
      </c>
      <c r="K78" s="541" t="str">
        <f>VLOOKUP(J78,Stock_list!A:R,18,FALSE)</f>
        <v>江西优控</v>
      </c>
      <c r="L78" s="542" t="str">
        <f>VLOOKUP(J78,Stock_list!A:S,17,FALSE)</f>
        <v>C49SZX20240013SX</v>
      </c>
      <c r="M78" s="541" t="str">
        <f>VLOOKUP(J78,Stock_list!A:T,16,FALSE)</f>
        <v>JPY</v>
      </c>
      <c r="N78" s="175"/>
      <c r="O78" s="174"/>
      <c r="P78" s="176"/>
      <c r="Q78" s="176"/>
      <c r="R78" s="173"/>
      <c r="S78" s="177"/>
      <c r="T78" s="178"/>
      <c r="U78" s="173"/>
      <c r="V78" s="179"/>
      <c r="W78" s="145"/>
    </row>
    <row r="79" spans="1:23" ht="15" customHeight="1">
      <c r="A79" s="477" t="s">
        <v>15</v>
      </c>
      <c r="B79" s="441">
        <v>313</v>
      </c>
      <c r="C79" s="428" t="str">
        <f>VLOOKUP(B79,'Data pick slip'!B:F,5,FALSE)</f>
        <v>KHY-M7730-A2</v>
      </c>
      <c r="D79" s="544" t="s">
        <v>4297</v>
      </c>
      <c r="E79" s="281"/>
      <c r="F79" s="170" t="s">
        <v>4278</v>
      </c>
      <c r="G79" s="146" t="s">
        <v>4273</v>
      </c>
      <c r="H79" s="146" t="s">
        <v>76</v>
      </c>
      <c r="I79" s="171">
        <v>5</v>
      </c>
      <c r="J79" s="172">
        <v>2085</v>
      </c>
      <c r="K79" s="541" t="str">
        <f>VLOOKUP(J79,Stock_list!A:R,18,FALSE)</f>
        <v>江西优控</v>
      </c>
      <c r="L79" s="542" t="str">
        <f>VLOOKUP(J79,Stock_list!A:S,17,FALSE)</f>
        <v>C49SZX20240013SX</v>
      </c>
      <c r="M79" s="541" t="str">
        <f>VLOOKUP(J79,Stock_list!A:T,16,FALSE)</f>
        <v>JPY</v>
      </c>
      <c r="N79" s="175"/>
      <c r="O79" s="174"/>
      <c r="P79" s="176"/>
      <c r="Q79" s="176"/>
      <c r="R79" s="173"/>
      <c r="S79" s="177"/>
      <c r="T79" s="178"/>
      <c r="U79" s="173"/>
      <c r="V79" s="179"/>
      <c r="W79" s="145"/>
    </row>
    <row r="80" spans="1:23" ht="15" customHeight="1">
      <c r="A80" s="477" t="s">
        <v>281</v>
      </c>
      <c r="B80" s="441">
        <v>301</v>
      </c>
      <c r="C80" s="428" t="str">
        <f>VLOOKUP(B80,'Data pick slip'!B:F,5,FALSE)</f>
        <v>KHN-M7710-A4</v>
      </c>
      <c r="D80" s="169"/>
      <c r="E80" s="281" t="s">
        <v>4612</v>
      </c>
      <c r="F80" s="170" t="s">
        <v>4276</v>
      </c>
      <c r="G80" s="146" t="s">
        <v>4271</v>
      </c>
      <c r="H80" s="173" t="s">
        <v>76</v>
      </c>
      <c r="I80" s="171">
        <v>20</v>
      </c>
      <c r="J80" s="172"/>
      <c r="K80" s="389" t="s">
        <v>3414</v>
      </c>
      <c r="L80" s="281" t="s">
        <v>4612</v>
      </c>
      <c r="M80" s="51" t="s">
        <v>1246</v>
      </c>
      <c r="N80" s="175"/>
      <c r="O80" s="174"/>
      <c r="P80" s="176"/>
      <c r="Q80" s="176"/>
      <c r="R80" s="173"/>
      <c r="S80" s="177"/>
      <c r="T80" s="178"/>
      <c r="U80" s="173"/>
      <c r="V80" s="179"/>
      <c r="W80" s="145"/>
    </row>
    <row r="81" spans="1:23" ht="15" customHeight="1">
      <c r="A81" s="477" t="s">
        <v>281</v>
      </c>
      <c r="B81" s="441">
        <v>303</v>
      </c>
      <c r="C81" s="428" t="str">
        <f>VLOOKUP(B81,'Data pick slip'!B:F,5,FALSE)</f>
        <v>KHY-M7740-A0</v>
      </c>
      <c r="D81" s="169"/>
      <c r="E81" s="281" t="s">
        <v>4612</v>
      </c>
      <c r="F81" s="170" t="s">
        <v>4276</v>
      </c>
      <c r="G81" s="146" t="s">
        <v>4271</v>
      </c>
      <c r="H81" s="173" t="s">
        <v>76</v>
      </c>
      <c r="I81" s="171">
        <v>20</v>
      </c>
      <c r="J81" s="172"/>
      <c r="K81" s="389" t="s">
        <v>3414</v>
      </c>
      <c r="L81" s="281" t="s">
        <v>4612</v>
      </c>
      <c r="M81" s="51" t="s">
        <v>1246</v>
      </c>
      <c r="N81" s="175"/>
      <c r="O81" s="174"/>
      <c r="P81" s="176"/>
      <c r="Q81" s="176"/>
      <c r="R81" s="173"/>
      <c r="S81" s="177"/>
      <c r="T81" s="178"/>
      <c r="U81" s="173"/>
      <c r="V81" s="179"/>
      <c r="W81" s="145"/>
    </row>
    <row r="82" spans="1:23" ht="15" customHeight="1">
      <c r="A82" s="477" t="s">
        <v>15</v>
      </c>
      <c r="B82" s="441">
        <v>302</v>
      </c>
      <c r="C82" s="428" t="str">
        <f>VLOOKUP(B82,'Data pick slip'!B:F,5,FALSE)</f>
        <v>KHN-M7720-A3</v>
      </c>
      <c r="D82" s="544" t="s">
        <v>4297</v>
      </c>
      <c r="E82" s="281"/>
      <c r="F82" s="170" t="s">
        <v>4278</v>
      </c>
      <c r="G82" s="146" t="s">
        <v>4273</v>
      </c>
      <c r="H82" s="146" t="s">
        <v>76</v>
      </c>
      <c r="I82" s="171">
        <v>5</v>
      </c>
      <c r="J82" s="172">
        <v>2061</v>
      </c>
      <c r="K82" s="541" t="str">
        <f>VLOOKUP(J82,Stock_list!A:R,18,FALSE)</f>
        <v>豫龙辉</v>
      </c>
      <c r="L82" s="542" t="str">
        <f>VLOOKUP(J82,Stock_list!A:S,17,FALSE)</f>
        <v>C49SZX20240001JY</v>
      </c>
      <c r="M82" s="541" t="str">
        <f>VLOOKUP(J82,Stock_list!A:T,16,FALSE)</f>
        <v>JPY</v>
      </c>
      <c r="N82" s="175"/>
      <c r="O82" s="174"/>
      <c r="P82" s="176"/>
      <c r="Q82" s="176"/>
      <c r="R82" s="173"/>
      <c r="S82" s="177"/>
      <c r="T82" s="178"/>
      <c r="U82" s="173"/>
      <c r="V82" s="179"/>
      <c r="W82" s="145"/>
    </row>
    <row r="83" spans="1:23" ht="15" customHeight="1">
      <c r="A83" s="477" t="s">
        <v>15</v>
      </c>
      <c r="B83" s="441">
        <v>303</v>
      </c>
      <c r="C83" s="428" t="str">
        <f>VLOOKUP(B83,'Data pick slip'!B:F,5,FALSE)</f>
        <v>KHY-M7740-A0</v>
      </c>
      <c r="D83" s="544" t="s">
        <v>4297</v>
      </c>
      <c r="E83" s="281"/>
      <c r="F83" s="170" t="s">
        <v>4278</v>
      </c>
      <c r="G83" s="146" t="s">
        <v>4273</v>
      </c>
      <c r="H83" s="146" t="s">
        <v>76</v>
      </c>
      <c r="I83" s="171">
        <v>10</v>
      </c>
      <c r="J83" s="172">
        <v>2061</v>
      </c>
      <c r="K83" s="541" t="str">
        <f>VLOOKUP(J83,Stock_list!A:R,18,FALSE)</f>
        <v>豫龙辉</v>
      </c>
      <c r="L83" s="542" t="str">
        <f>VLOOKUP(J83,Stock_list!A:S,17,FALSE)</f>
        <v>C49SZX20240001JY</v>
      </c>
      <c r="M83" s="541" t="str">
        <f>VLOOKUP(J83,Stock_list!A:T,16,FALSE)</f>
        <v>JPY</v>
      </c>
      <c r="N83" s="175"/>
      <c r="O83" s="174"/>
      <c r="P83" s="176"/>
      <c r="Q83" s="176"/>
      <c r="R83" s="173"/>
      <c r="S83" s="177"/>
      <c r="T83" s="178"/>
      <c r="U83" s="173"/>
      <c r="V83" s="179"/>
      <c r="W83" s="145"/>
    </row>
    <row r="84" spans="1:23" ht="15" customHeight="1">
      <c r="A84" s="477" t="s">
        <v>15</v>
      </c>
      <c r="B84" s="441">
        <v>313</v>
      </c>
      <c r="C84" s="428" t="str">
        <f>VLOOKUP(B84,'Data pick slip'!B:F,5,FALSE)</f>
        <v>KHY-M7730-A2</v>
      </c>
      <c r="D84" s="544" t="s">
        <v>4297</v>
      </c>
      <c r="E84" s="281"/>
      <c r="F84" s="170" t="s">
        <v>4278</v>
      </c>
      <c r="G84" s="146" t="s">
        <v>4273</v>
      </c>
      <c r="H84" s="146" t="s">
        <v>76</v>
      </c>
      <c r="I84" s="171">
        <v>5</v>
      </c>
      <c r="J84" s="172">
        <v>2061</v>
      </c>
      <c r="K84" s="541" t="str">
        <f>VLOOKUP(J84,Stock_list!A:R,18,FALSE)</f>
        <v>豫龙辉</v>
      </c>
      <c r="L84" s="542" t="str">
        <f>VLOOKUP(J84,Stock_list!A:S,17,FALSE)</f>
        <v>C49SZX20240001JY</v>
      </c>
      <c r="M84" s="541" t="str">
        <f>VLOOKUP(J84,Stock_list!A:T,16,FALSE)</f>
        <v>JPY</v>
      </c>
      <c r="N84" s="175"/>
      <c r="O84" s="174"/>
      <c r="P84" s="176"/>
      <c r="Q84" s="176"/>
      <c r="R84" s="173"/>
      <c r="S84" s="177"/>
      <c r="T84" s="178"/>
      <c r="U84" s="173"/>
      <c r="V84" s="179"/>
      <c r="W84" s="145"/>
    </row>
    <row r="85" spans="1:23" ht="15" customHeight="1">
      <c r="B85" s="439"/>
      <c r="C85" s="428" t="e">
        <f>VLOOKUP(B85,'Data pick slip'!B:F,5,FALSE)</f>
        <v>#N/A</v>
      </c>
      <c r="D85" s="169"/>
      <c r="E85" s="281" t="e">
        <f>VLOOKUP(D85,Stock_list!D:L,9,FALSE)</f>
        <v>#N/A</v>
      </c>
      <c r="F85" s="170"/>
      <c r="H85" s="173"/>
      <c r="I85" s="171"/>
      <c r="J85" s="172"/>
      <c r="K85" s="174"/>
      <c r="L85" s="173"/>
      <c r="M85" s="174"/>
      <c r="N85" s="175"/>
      <c r="O85" s="174"/>
      <c r="P85" s="176"/>
      <c r="Q85" s="176"/>
      <c r="R85" s="173"/>
      <c r="S85" s="177"/>
      <c r="T85" s="178"/>
      <c r="U85" s="173"/>
      <c r="V85" s="179"/>
      <c r="W85" s="145"/>
    </row>
    <row r="86" spans="1:23" ht="15" customHeight="1">
      <c r="B86" s="439"/>
      <c r="C86" s="428" t="e">
        <f>VLOOKUP(B86,'Data pick slip'!B:F,5,FALSE)</f>
        <v>#N/A</v>
      </c>
      <c r="D86" s="169"/>
      <c r="E86" s="281" t="e">
        <f>VLOOKUP(D86,Stock_list!D:L,9,FALSE)</f>
        <v>#N/A</v>
      </c>
      <c r="F86" s="170"/>
      <c r="H86" s="173"/>
      <c r="I86" s="171"/>
      <c r="J86" s="172"/>
      <c r="K86" s="174"/>
      <c r="L86" s="173"/>
      <c r="M86" s="174"/>
      <c r="N86" s="175"/>
      <c r="O86" s="174"/>
      <c r="P86" s="176"/>
      <c r="Q86" s="176"/>
      <c r="R86" s="173"/>
      <c r="S86" s="177"/>
      <c r="T86" s="178"/>
      <c r="U86" s="173"/>
      <c r="V86" s="179"/>
      <c r="W86" s="145"/>
    </row>
    <row r="87" spans="1:23" ht="15" customHeight="1">
      <c r="B87" s="439"/>
      <c r="C87" s="428" t="e">
        <f>VLOOKUP(B87,'Data pick slip'!B:F,5,FALSE)</f>
        <v>#N/A</v>
      </c>
      <c r="D87" s="169"/>
      <c r="E87" s="281" t="e">
        <f>VLOOKUP(D87,Stock_list!D:L,9,FALSE)</f>
        <v>#N/A</v>
      </c>
      <c r="F87" s="170"/>
      <c r="H87" s="173"/>
      <c r="I87" s="171"/>
      <c r="J87" s="172"/>
      <c r="K87" s="174"/>
      <c r="L87" s="173"/>
      <c r="M87" s="174"/>
      <c r="N87" s="175"/>
      <c r="O87" s="174"/>
      <c r="P87" s="176"/>
      <c r="Q87" s="176"/>
      <c r="R87" s="173"/>
      <c r="S87" s="177"/>
      <c r="T87" s="178"/>
      <c r="U87" s="173"/>
      <c r="V87" s="179"/>
      <c r="W87" s="145"/>
    </row>
    <row r="88" spans="1:23" ht="15" customHeight="1">
      <c r="B88" s="439"/>
      <c r="C88" s="428" t="e">
        <f>VLOOKUP(B88,'Data pick slip'!B:F,5,FALSE)</f>
        <v>#N/A</v>
      </c>
      <c r="D88" s="169"/>
      <c r="E88" s="281" t="e">
        <f>VLOOKUP(D88,Stock_list!D:L,9,FALSE)</f>
        <v>#N/A</v>
      </c>
      <c r="F88" s="170"/>
      <c r="H88" s="173"/>
      <c r="I88" s="171"/>
      <c r="J88" s="172"/>
      <c r="K88" s="174"/>
      <c r="L88" s="173"/>
      <c r="M88" s="174"/>
      <c r="N88" s="175"/>
      <c r="O88" s="174"/>
      <c r="P88" s="176"/>
      <c r="Q88" s="176"/>
      <c r="R88" s="173"/>
      <c r="S88" s="177"/>
      <c r="T88" s="178"/>
      <c r="U88" s="173"/>
      <c r="V88" s="179"/>
      <c r="W88" s="145"/>
    </row>
    <row r="89" spans="1:23" ht="15" customHeight="1">
      <c r="B89" s="439"/>
      <c r="C89" s="428" t="e">
        <f>VLOOKUP(B89,'Data pick slip'!B:F,5,FALSE)</f>
        <v>#N/A</v>
      </c>
      <c r="D89" s="169"/>
      <c r="E89" s="281" t="e">
        <f>VLOOKUP(D89,Stock_list!D:L,9,FALSE)</f>
        <v>#N/A</v>
      </c>
      <c r="F89" s="170"/>
      <c r="H89" s="173"/>
      <c r="I89" s="171"/>
      <c r="J89" s="172"/>
      <c r="K89" s="174"/>
      <c r="L89" s="173"/>
      <c r="M89" s="174"/>
      <c r="N89" s="175"/>
      <c r="O89" s="174"/>
      <c r="P89" s="176"/>
      <c r="Q89" s="176"/>
      <c r="R89" s="173"/>
      <c r="S89" s="177"/>
      <c r="T89" s="178"/>
      <c r="U89" s="173"/>
      <c r="V89" s="179"/>
      <c r="W89" s="145"/>
    </row>
    <row r="90" spans="1:23" ht="15" customHeight="1">
      <c r="B90" s="439"/>
      <c r="C90" s="428" t="e">
        <f>VLOOKUP(B90,'Data pick slip'!B:F,5,FALSE)</f>
        <v>#N/A</v>
      </c>
      <c r="D90" s="169"/>
      <c r="E90" s="281" t="e">
        <f>VLOOKUP(D90,Stock_list!D:L,9,FALSE)</f>
        <v>#N/A</v>
      </c>
      <c r="F90" s="170"/>
      <c r="H90" s="173"/>
      <c r="I90" s="171"/>
      <c r="J90" s="172"/>
      <c r="K90" s="174"/>
      <c r="L90" s="173"/>
      <c r="M90" s="174"/>
      <c r="N90" s="175"/>
      <c r="O90" s="174"/>
      <c r="P90" s="176"/>
      <c r="Q90" s="176"/>
      <c r="R90" s="173"/>
      <c r="S90" s="177"/>
      <c r="T90" s="178"/>
      <c r="U90" s="173"/>
      <c r="V90" s="179"/>
      <c r="W90" s="145"/>
    </row>
    <row r="91" spans="1:23" ht="15" customHeight="1">
      <c r="B91" s="439"/>
      <c r="C91" s="428" t="e">
        <f>VLOOKUP(B91,'Data pick slip'!B:F,5,FALSE)</f>
        <v>#N/A</v>
      </c>
      <c r="D91" s="169"/>
      <c r="E91" s="281" t="e">
        <f>VLOOKUP(D91,Stock_list!D:L,9,FALSE)</f>
        <v>#N/A</v>
      </c>
      <c r="F91" s="170"/>
      <c r="H91" s="173"/>
      <c r="I91" s="171"/>
      <c r="J91" s="172"/>
      <c r="K91" s="174"/>
      <c r="L91" s="173"/>
      <c r="M91" s="174"/>
      <c r="N91" s="175"/>
      <c r="O91" s="174"/>
      <c r="P91" s="176"/>
      <c r="Q91" s="176"/>
      <c r="R91" s="173"/>
      <c r="S91" s="177"/>
      <c r="T91" s="178"/>
      <c r="U91" s="173"/>
      <c r="V91" s="179"/>
      <c r="W91" s="145"/>
    </row>
    <row r="92" spans="1:23" ht="15" customHeight="1">
      <c r="B92" s="439"/>
      <c r="C92" s="428" t="e">
        <f>VLOOKUP(B92,'Data pick slip'!B:F,5,FALSE)</f>
        <v>#N/A</v>
      </c>
      <c r="D92" s="169"/>
      <c r="E92" s="281" t="e">
        <f>VLOOKUP(D92,Stock_list!D:L,9,FALSE)</f>
        <v>#N/A</v>
      </c>
      <c r="F92" s="170"/>
      <c r="H92" s="173"/>
      <c r="I92" s="171"/>
      <c r="J92" s="172"/>
      <c r="K92" s="174"/>
      <c r="L92" s="173"/>
      <c r="M92" s="174"/>
      <c r="N92" s="175"/>
      <c r="O92" s="174"/>
      <c r="P92" s="176"/>
      <c r="Q92" s="176"/>
      <c r="R92" s="173"/>
      <c r="S92" s="177"/>
      <c r="T92" s="178"/>
      <c r="U92" s="173"/>
      <c r="V92" s="179"/>
      <c r="W92" s="145"/>
    </row>
    <row r="93" spans="1:23" ht="15" customHeight="1" thickBot="1">
      <c r="A93" s="440"/>
      <c r="B93" s="440"/>
      <c r="C93" s="429" t="e">
        <f>VLOOKUP(B93,'Data pick slip'!B:F,5,FALSE)</f>
        <v>#N/A</v>
      </c>
      <c r="D93" s="184"/>
      <c r="E93" s="304" t="e">
        <f>VLOOKUP(D93,Stock_list!D:L,9,FALSE)</f>
        <v>#N/A</v>
      </c>
      <c r="F93" s="185"/>
      <c r="G93" s="184"/>
      <c r="H93" s="184"/>
      <c r="I93" s="186"/>
      <c r="J93" s="187"/>
      <c r="K93" s="189"/>
      <c r="L93" s="188"/>
      <c r="M93" s="189"/>
      <c r="N93" s="190"/>
      <c r="O93" s="189"/>
      <c r="P93" s="191"/>
      <c r="Q93" s="191"/>
      <c r="R93" s="188"/>
      <c r="S93" s="192"/>
      <c r="T93" s="193"/>
      <c r="U93" s="188"/>
      <c r="V93" s="194"/>
      <c r="W93" s="145"/>
    </row>
    <row r="94" spans="1:23" ht="16.5" customHeight="1">
      <c r="A94" s="477" t="s">
        <v>15</v>
      </c>
      <c r="B94" s="439">
        <v>301</v>
      </c>
      <c r="C94" s="428" t="str">
        <f>VLOOKUP(B94,'Data pick slip'!B:F,5,FALSE)</f>
        <v>KHN-M7710-A4</v>
      </c>
      <c r="F94" s="170" t="s">
        <v>4290</v>
      </c>
      <c r="G94" s="146" t="s">
        <v>4273</v>
      </c>
      <c r="H94" s="146" t="s">
        <v>76</v>
      </c>
      <c r="J94" s="138" t="s">
        <v>4424</v>
      </c>
      <c r="K94" s="140">
        <v>66</v>
      </c>
      <c r="L94" s="269" t="s">
        <v>4428</v>
      </c>
      <c r="M94" s="51" t="s">
        <v>21</v>
      </c>
      <c r="N94" s="4">
        <v>45274</v>
      </c>
      <c r="O94" s="132">
        <v>8</v>
      </c>
      <c r="P94" s="146"/>
      <c r="R94" s="4" t="s">
        <v>4429</v>
      </c>
      <c r="S94" s="143"/>
      <c r="V94" s="144"/>
      <c r="W94" s="145" t="e">
        <f>VLOOKUP(J94,Stock_list!A:N,14,FALSE)</f>
        <v>#N/A</v>
      </c>
    </row>
    <row r="95" spans="1:23" ht="16.5" customHeight="1">
      <c r="A95" s="477" t="s">
        <v>15</v>
      </c>
      <c r="B95" s="439">
        <v>302</v>
      </c>
      <c r="C95" s="428" t="str">
        <f>VLOOKUP(B95,'Data pick slip'!B:F,5,FALSE)</f>
        <v>KHN-M7720-A3</v>
      </c>
      <c r="F95" s="170" t="s">
        <v>4290</v>
      </c>
      <c r="G95" s="146" t="s">
        <v>4273</v>
      </c>
      <c r="H95" s="146" t="s">
        <v>76</v>
      </c>
      <c r="J95" s="138" t="s">
        <v>4424</v>
      </c>
      <c r="K95" s="140">
        <v>66</v>
      </c>
      <c r="L95" s="269" t="s">
        <v>4428</v>
      </c>
      <c r="M95" s="51" t="s">
        <v>21</v>
      </c>
      <c r="N95" s="4">
        <v>45274</v>
      </c>
      <c r="O95" s="132">
        <v>8</v>
      </c>
      <c r="P95" s="146"/>
      <c r="R95" s="4" t="s">
        <v>4429</v>
      </c>
      <c r="S95" s="143"/>
      <c r="V95" s="144"/>
      <c r="W95" s="145" t="e">
        <f>VLOOKUP(J95,Stock_list!A:N,14,FALSE)</f>
        <v>#N/A</v>
      </c>
    </row>
    <row r="96" spans="1:23" ht="16.5" customHeight="1">
      <c r="A96" s="477" t="s">
        <v>15</v>
      </c>
      <c r="B96" s="439">
        <v>303</v>
      </c>
      <c r="C96" s="428" t="str">
        <f>VLOOKUP(B96,'Data pick slip'!B:F,5,FALSE)</f>
        <v>KHY-M7740-A0</v>
      </c>
      <c r="F96" s="170" t="s">
        <v>4290</v>
      </c>
      <c r="G96" s="146" t="s">
        <v>4273</v>
      </c>
      <c r="H96" s="146" t="s">
        <v>76</v>
      </c>
      <c r="J96" s="138" t="s">
        <v>4424</v>
      </c>
      <c r="K96" s="140">
        <v>66</v>
      </c>
      <c r="L96" s="269" t="s">
        <v>4428</v>
      </c>
      <c r="M96" s="51" t="s">
        <v>21</v>
      </c>
      <c r="N96" s="4">
        <v>45274</v>
      </c>
      <c r="O96" s="132">
        <v>3</v>
      </c>
      <c r="P96" s="146"/>
      <c r="R96" s="4" t="s">
        <v>4429</v>
      </c>
      <c r="S96" s="143"/>
      <c r="V96" s="144"/>
      <c r="W96" s="145" t="e">
        <f>VLOOKUP(J96,Stock_list!A:N,14,FALSE)</f>
        <v>#N/A</v>
      </c>
    </row>
    <row r="97" spans="1:23" ht="16.5" customHeight="1">
      <c r="A97" s="477" t="s">
        <v>4444</v>
      </c>
      <c r="B97" s="441">
        <v>301</v>
      </c>
      <c r="C97" s="428" t="str">
        <f>VLOOKUP(B97,'Data pick slip'!B:F,5,FALSE)</f>
        <v>KHN-M7710-A4</v>
      </c>
      <c r="F97" s="170" t="s">
        <v>4276</v>
      </c>
      <c r="G97" s="146" t="s">
        <v>4271</v>
      </c>
      <c r="H97" s="146" t="s">
        <v>76</v>
      </c>
      <c r="J97" s="138">
        <v>2022</v>
      </c>
      <c r="K97" s="541" t="str">
        <f>VLOOKUP(J97,Stock_list!A:R,18,FALSE)</f>
        <v>皓吉达</v>
      </c>
      <c r="L97" s="542" t="str">
        <f>VLOOKUP(J97,Stock_list!A:S,17,FALSE)</f>
        <v>C49SZX20230129JL/HJD23110851</v>
      </c>
      <c r="M97" s="541" t="str">
        <f>VLOOKUP(J97,Stock_list!A:T,16,FALSE)</f>
        <v>RMB</v>
      </c>
      <c r="N97" s="4">
        <v>45261</v>
      </c>
      <c r="O97" s="140">
        <v>10</v>
      </c>
      <c r="R97" s="4" t="str">
        <f>VLOOKUP(J97,Stock_list!A:Y,25,FALSE)</f>
        <v>Yes</v>
      </c>
      <c r="S97" s="143"/>
      <c r="V97" s="144"/>
      <c r="W97" s="145" t="str">
        <f>VLOOKUP(J97,Stock_list!A:N,14,FALSE)</f>
        <v>DEC 23</v>
      </c>
    </row>
    <row r="98" spans="1:23" ht="16.5" customHeight="1">
      <c r="A98" s="477" t="s">
        <v>4444</v>
      </c>
      <c r="B98" s="441">
        <v>301</v>
      </c>
      <c r="C98" s="428" t="str">
        <f>VLOOKUP(B98,'Data pick slip'!B:F,5,FALSE)</f>
        <v>KHN-M7710-A4</v>
      </c>
      <c r="F98" s="170" t="s">
        <v>4290</v>
      </c>
      <c r="G98" s="146" t="s">
        <v>4271</v>
      </c>
      <c r="H98" s="146" t="s">
        <v>76</v>
      </c>
      <c r="J98" s="138">
        <v>2000</v>
      </c>
      <c r="K98" s="541" t="str">
        <f>VLOOKUP(J98,Stock_list!A:R,18,FALSE)</f>
        <v>高伟</v>
      </c>
      <c r="L98" s="542" t="str">
        <f>VLOOKUP(J98,Stock_list!A:S,17,FALSE)</f>
        <v>C49SZX20230119JL/4600003615</v>
      </c>
      <c r="M98" s="541" t="str">
        <f>VLOOKUP(J98,Stock_list!A:T,16,FALSE)</f>
        <v>USD</v>
      </c>
      <c r="N98" s="4">
        <v>45265</v>
      </c>
      <c r="O98" s="140">
        <v>5</v>
      </c>
      <c r="R98" s="4" t="str">
        <f>VLOOKUP(J98,Stock_list!A:Y,25,FALSE)</f>
        <v>Yes</v>
      </c>
      <c r="S98" s="143"/>
      <c r="V98" s="144"/>
      <c r="W98" s="145" t="str">
        <f>VLOOKUP(J98,Stock_list!A:N,14,FALSE)</f>
        <v>JAN 24</v>
      </c>
    </row>
    <row r="99" spans="1:23" ht="16.5" customHeight="1">
      <c r="A99" s="477" t="s">
        <v>4444</v>
      </c>
      <c r="B99" s="441">
        <v>303</v>
      </c>
      <c r="C99" s="428" t="str">
        <f>VLOOKUP(B99,'Data pick slip'!B:F,5,FALSE)</f>
        <v>KHY-M7740-A0</v>
      </c>
      <c r="F99" s="170" t="s">
        <v>4290</v>
      </c>
      <c r="G99" s="146" t="s">
        <v>4271</v>
      </c>
      <c r="H99" s="146" t="s">
        <v>76</v>
      </c>
      <c r="J99" s="138">
        <v>2000</v>
      </c>
      <c r="K99" s="541" t="str">
        <f>VLOOKUP(J99,Stock_list!A:R,18,FALSE)</f>
        <v>高伟</v>
      </c>
      <c r="L99" s="542" t="str">
        <f>VLOOKUP(J99,Stock_list!A:S,17,FALSE)</f>
        <v>C49SZX20230119JL/4600003615</v>
      </c>
      <c r="M99" s="541" t="str">
        <f>VLOOKUP(J99,Stock_list!A:T,16,FALSE)</f>
        <v>USD</v>
      </c>
      <c r="N99" s="4">
        <v>45265</v>
      </c>
      <c r="O99" s="140">
        <v>5</v>
      </c>
      <c r="R99" s="4" t="str">
        <f>VLOOKUP(J99,Stock_list!A:Y,25,FALSE)</f>
        <v>Yes</v>
      </c>
      <c r="S99" s="143"/>
      <c r="V99" s="144"/>
      <c r="W99" s="145" t="str">
        <f>VLOOKUP(J99,Stock_list!A:N,14,FALSE)</f>
        <v>JAN 24</v>
      </c>
    </row>
    <row r="100" spans="1:23" ht="16.5" customHeight="1">
      <c r="A100" s="477" t="s">
        <v>4444</v>
      </c>
      <c r="B100" s="441">
        <v>301</v>
      </c>
      <c r="C100" s="428" t="str">
        <f>VLOOKUP(B100,'Data pick slip'!B:F,5,FALSE)</f>
        <v>KHN-M7710-A4</v>
      </c>
      <c r="F100" s="170" t="s">
        <v>4290</v>
      </c>
      <c r="G100" s="146" t="s">
        <v>4271</v>
      </c>
      <c r="H100" s="146" t="s">
        <v>76</v>
      </c>
      <c r="J100" s="138">
        <v>2031</v>
      </c>
      <c r="K100" s="541" t="str">
        <f>VLOOKUP(J100,Stock_list!A:R,18,FALSE)</f>
        <v>福瑞康</v>
      </c>
      <c r="L100" s="542" t="str">
        <f>VLOOKUP(J100,Stock_list!A:S,17,FALSE)</f>
        <v>C49SZX20230131EC</v>
      </c>
      <c r="M100" s="541" t="str">
        <f>VLOOKUP(J100,Stock_list!A:T,16,FALSE)</f>
        <v>JPY</v>
      </c>
      <c r="N100" s="4">
        <v>45272</v>
      </c>
      <c r="O100" s="140">
        <v>10</v>
      </c>
      <c r="R100" s="4" t="str">
        <f>VLOOKUP(J100,Stock_list!A:Y,25,FALSE)</f>
        <v>Yes</v>
      </c>
      <c r="S100" s="143"/>
      <c r="V100" s="144"/>
      <c r="W100" s="145" t="str">
        <f>VLOOKUP(J100,Stock_list!A:N,14,FALSE)</f>
        <v>DEC 23</v>
      </c>
    </row>
    <row r="101" spans="1:23" ht="16.5" customHeight="1">
      <c r="A101" s="477" t="s">
        <v>4457</v>
      </c>
      <c r="B101" s="441">
        <v>301</v>
      </c>
      <c r="C101" s="428" t="str">
        <f>VLOOKUP(B101,'Data pick slip'!B:F,5,FALSE)</f>
        <v>KHN-M7710-A4</v>
      </c>
      <c r="F101" s="170" t="s">
        <v>4458</v>
      </c>
      <c r="G101" s="146" t="s">
        <v>4271</v>
      </c>
      <c r="H101" s="146" t="s">
        <v>76</v>
      </c>
      <c r="J101" s="138">
        <v>2027</v>
      </c>
      <c r="K101" s="541" t="str">
        <f>VLOOKUP(J101,Stock_list!A:R,18,FALSE)</f>
        <v>精莞盈</v>
      </c>
      <c r="L101" s="542" t="str">
        <f>VLOOKUP(J101,Stock_list!A:S,17,FALSE)</f>
        <v>C49SZX20230130JY</v>
      </c>
      <c r="M101" s="541" t="str">
        <f>VLOOKUP(J101,Stock_list!A:T,16,FALSE)</f>
        <v>JPY</v>
      </c>
      <c r="N101" s="4">
        <v>45275</v>
      </c>
      <c r="O101" s="140">
        <v>30</v>
      </c>
      <c r="R101" s="4" t="str">
        <f>VLOOKUP(J101,Stock_list!A:Y,25,FALSE)</f>
        <v>Yes</v>
      </c>
      <c r="S101" s="143"/>
      <c r="V101" s="144"/>
      <c r="W101" s="145"/>
    </row>
    <row r="102" spans="1:23" ht="16.5" customHeight="1">
      <c r="A102" s="477" t="s">
        <v>4457</v>
      </c>
      <c r="B102" s="441">
        <v>301</v>
      </c>
      <c r="C102" s="428" t="str">
        <f>VLOOKUP(B102,'Data pick slip'!B:F,5,FALSE)</f>
        <v>KHN-M7710-A4</v>
      </c>
      <c r="F102" s="170" t="s">
        <v>4458</v>
      </c>
      <c r="G102" s="146" t="s">
        <v>4273</v>
      </c>
      <c r="H102" s="146" t="s">
        <v>76</v>
      </c>
      <c r="J102" s="138">
        <v>2027</v>
      </c>
      <c r="K102" s="541" t="str">
        <f>VLOOKUP(J102,Stock_list!A:R,18,FALSE)</f>
        <v>精莞盈</v>
      </c>
      <c r="L102" s="542" t="str">
        <f>VLOOKUP(J102,Stock_list!A:S,17,FALSE)</f>
        <v>C49SZX20230130JY</v>
      </c>
      <c r="M102" s="541" t="str">
        <f>VLOOKUP(J102,Stock_list!A:T,16,FALSE)</f>
        <v>JPY</v>
      </c>
      <c r="N102" s="4">
        <v>45275</v>
      </c>
      <c r="O102" s="140">
        <v>10</v>
      </c>
      <c r="R102" s="4" t="str">
        <f>VLOOKUP(J102,Stock_list!A:Y,25,FALSE)</f>
        <v>Yes</v>
      </c>
      <c r="S102" s="143"/>
      <c r="V102" s="144"/>
      <c r="W102" s="145"/>
    </row>
    <row r="103" spans="1:23" ht="18" customHeight="1">
      <c r="A103" s="477" t="s">
        <v>4457</v>
      </c>
      <c r="B103" s="441">
        <v>301</v>
      </c>
      <c r="C103" s="428" t="str">
        <f>VLOOKUP(B103,'Data pick slip'!B:F,5,FALSE)</f>
        <v>KHN-M7710-A4</v>
      </c>
      <c r="D103" s="544" t="s">
        <v>4459</v>
      </c>
      <c r="F103" s="170" t="s">
        <v>4458</v>
      </c>
      <c r="G103" s="146" t="s">
        <v>4271</v>
      </c>
      <c r="H103" s="146" t="s">
        <v>76</v>
      </c>
      <c r="J103" s="138">
        <v>2027</v>
      </c>
      <c r="K103" s="541" t="str">
        <f>VLOOKUP(J103,Stock_list!A:R,18,FALSE)</f>
        <v>精莞盈</v>
      </c>
      <c r="L103" s="542" t="str">
        <f>VLOOKUP(J103,Stock_list!A:S,17,FALSE)</f>
        <v>C49SZX20230130JY</v>
      </c>
      <c r="M103" s="541" t="str">
        <f>VLOOKUP(J103,Stock_list!A:T,16,FALSE)</f>
        <v>JPY</v>
      </c>
      <c r="N103" s="4">
        <v>45275</v>
      </c>
      <c r="O103" s="140">
        <v>10</v>
      </c>
      <c r="R103" s="4" t="str">
        <f>VLOOKUP(J103,Stock_list!A:Y,25,FALSE)</f>
        <v>Yes</v>
      </c>
      <c r="S103" s="143"/>
      <c r="V103" s="144"/>
      <c r="W103" s="145"/>
    </row>
    <row r="104" spans="1:23" ht="21.75" customHeight="1">
      <c r="A104" s="477" t="s">
        <v>4457</v>
      </c>
      <c r="B104" s="441">
        <v>301</v>
      </c>
      <c r="C104" s="428" t="str">
        <f>VLOOKUP(B104,'Data pick slip'!B:F,5,FALSE)</f>
        <v>KHN-M7710-A4</v>
      </c>
      <c r="F104" s="170" t="s">
        <v>4458</v>
      </c>
      <c r="G104" s="146" t="s">
        <v>4271</v>
      </c>
      <c r="H104" s="146" t="s">
        <v>76</v>
      </c>
      <c r="J104" s="138">
        <v>2047</v>
      </c>
      <c r="K104" s="541" t="str">
        <f>VLOOKUP(J104,Stock_list!A:R,18,FALSE)</f>
        <v>联鸿精密（end user:倍美斯）</v>
      </c>
      <c r="L104" s="542" t="str">
        <f>VLOOKUP(J104,Stock_list!A:S,17,FALSE)</f>
        <v>C49SZX20230139DX</v>
      </c>
      <c r="M104" s="541" t="str">
        <f>VLOOKUP(J104,Stock_list!A:T,16,FALSE)</f>
        <v>JPY</v>
      </c>
      <c r="N104" s="4">
        <v>45281</v>
      </c>
      <c r="O104" s="140">
        <v>20</v>
      </c>
      <c r="R104" s="4" t="str">
        <f>VLOOKUP(J104,Stock_list!A:Y,25,FALSE)</f>
        <v>Yes</v>
      </c>
      <c r="S104" s="143"/>
      <c r="V104" s="144"/>
      <c r="W104" s="145"/>
    </row>
    <row r="105" spans="1:23" ht="16.5" customHeight="1">
      <c r="A105" s="477" t="s">
        <v>4457</v>
      </c>
      <c r="B105" s="441">
        <v>301</v>
      </c>
      <c r="C105" s="428" t="str">
        <f>VLOOKUP(B105,'Data pick slip'!B:F,5,FALSE)</f>
        <v>KHN-M7710-A4</v>
      </c>
      <c r="F105" s="170" t="s">
        <v>4290</v>
      </c>
      <c r="G105" s="146" t="s">
        <v>4271</v>
      </c>
      <c r="H105" s="146" t="s">
        <v>76</v>
      </c>
      <c r="J105" s="138">
        <v>2043</v>
      </c>
      <c r="K105" s="541" t="str">
        <f>VLOOKUP(J105,Stock_list!A:R,18,FALSE)</f>
        <v>莫思特</v>
      </c>
      <c r="L105" s="542" t="str">
        <f>VLOOKUP(J105,Stock_list!A:S,17,FALSE)</f>
        <v>C49SZX20230140SX</v>
      </c>
      <c r="M105" s="541" t="str">
        <f>VLOOKUP(J105,Stock_list!A:T,16,FALSE)</f>
        <v>RMB</v>
      </c>
      <c r="N105" s="4">
        <v>45278</v>
      </c>
      <c r="O105" s="140">
        <v>10</v>
      </c>
      <c r="R105" s="4" t="str">
        <f>VLOOKUP(J105,Stock_list!A:Y,25,FALSE)</f>
        <v>Yes</v>
      </c>
      <c r="S105" s="143"/>
      <c r="V105" s="144"/>
      <c r="W105" s="145"/>
    </row>
    <row r="106" spans="1:23" ht="16.5" customHeight="1">
      <c r="A106" s="477" t="s">
        <v>4457</v>
      </c>
      <c r="B106" s="441">
        <v>302</v>
      </c>
      <c r="C106" s="428" t="str">
        <f>VLOOKUP(B106,'Data pick slip'!B:F,5,FALSE)</f>
        <v>KHN-M7720-A3</v>
      </c>
      <c r="F106" s="170" t="s">
        <v>4290</v>
      </c>
      <c r="G106" s="146" t="s">
        <v>4273</v>
      </c>
      <c r="H106" s="146" t="s">
        <v>76</v>
      </c>
      <c r="J106" s="138">
        <v>2043</v>
      </c>
      <c r="K106" s="541" t="str">
        <f>VLOOKUP(J106,Stock_list!A:R,18,FALSE)</f>
        <v>莫思特</v>
      </c>
      <c r="L106" s="542" t="str">
        <f>VLOOKUP(J106,Stock_list!A:S,17,FALSE)</f>
        <v>C49SZX20230140SX</v>
      </c>
      <c r="M106" s="541" t="str">
        <f>VLOOKUP(J106,Stock_list!A:T,16,FALSE)</f>
        <v>RMB</v>
      </c>
      <c r="N106" s="290">
        <v>45278</v>
      </c>
      <c r="O106" s="140">
        <v>10</v>
      </c>
      <c r="R106" s="4" t="str">
        <f>VLOOKUP(J106,Stock_list!A:Y,25,FALSE)</f>
        <v>Yes</v>
      </c>
      <c r="S106" s="143"/>
      <c r="V106" s="144"/>
      <c r="W106" s="145"/>
    </row>
    <row r="107" spans="1:23" ht="16.5" customHeight="1">
      <c r="A107" s="477" t="s">
        <v>4457</v>
      </c>
      <c r="B107" s="441">
        <v>301</v>
      </c>
      <c r="C107" s="428" t="str">
        <f>VLOOKUP(B107,'Data pick slip'!B:F,5,FALSE)</f>
        <v>KHN-M7710-A4</v>
      </c>
      <c r="D107" s="544" t="s">
        <v>4459</v>
      </c>
      <c r="E107" s="540"/>
      <c r="F107" s="170" t="s">
        <v>4290</v>
      </c>
      <c r="G107" s="146" t="s">
        <v>4271</v>
      </c>
      <c r="H107" s="146" t="s">
        <v>76</v>
      </c>
      <c r="J107" s="138">
        <v>2043</v>
      </c>
      <c r="K107" s="140" t="str">
        <f>VLOOKUP(J107,Stock_list!A:R,18,FALSE)</f>
        <v>莫思特</v>
      </c>
      <c r="L107" s="139" t="str">
        <f>VLOOKUP(J107,Stock_list!A:S,17,FALSE)</f>
        <v>C49SZX20230140SX</v>
      </c>
      <c r="M107" s="51" t="str">
        <f>VLOOKUP(J107,Stock_list!A:T,16,FALSE)</f>
        <v>RMB</v>
      </c>
      <c r="N107" s="4">
        <v>45278</v>
      </c>
      <c r="O107" s="140">
        <v>10</v>
      </c>
      <c r="R107" s="4" t="str">
        <f>VLOOKUP(J107,Stock_list!A:Y,25,FALSE)</f>
        <v>Yes</v>
      </c>
      <c r="S107" s="143"/>
      <c r="V107" s="144"/>
      <c r="W107" s="145"/>
    </row>
    <row r="108" spans="1:23" ht="16.5" customHeight="1">
      <c r="A108" s="477" t="s">
        <v>281</v>
      </c>
      <c r="B108" s="441">
        <v>301</v>
      </c>
      <c r="C108" s="428" t="str">
        <f>VLOOKUP(B108,'Data pick slip'!B:F,5,FALSE)</f>
        <v>KHN-M7710-A4</v>
      </c>
      <c r="F108" s="170" t="s">
        <v>4290</v>
      </c>
      <c r="G108" s="146" t="s">
        <v>4271</v>
      </c>
      <c r="H108" s="146" t="s">
        <v>76</v>
      </c>
      <c r="K108" s="389" t="s">
        <v>4463</v>
      </c>
      <c r="L108" s="139" t="s">
        <v>4493</v>
      </c>
      <c r="M108" s="51" t="s">
        <v>4464</v>
      </c>
      <c r="N108" s="4">
        <v>45294</v>
      </c>
      <c r="O108" s="140">
        <v>40</v>
      </c>
      <c r="R108" s="4" t="s">
        <v>4462</v>
      </c>
      <c r="S108" s="143"/>
      <c r="V108" s="144"/>
      <c r="W108" s="145"/>
    </row>
    <row r="109" spans="1:23" ht="16.5" customHeight="1">
      <c r="A109" s="477" t="s">
        <v>281</v>
      </c>
      <c r="B109" s="441">
        <v>302</v>
      </c>
      <c r="C109" s="428" t="str">
        <f>VLOOKUP(B109,'Data pick slip'!B:F,5,FALSE)</f>
        <v>KHN-M7720-A3</v>
      </c>
      <c r="F109" s="170" t="s">
        <v>4290</v>
      </c>
      <c r="G109" s="146" t="s">
        <v>4271</v>
      </c>
      <c r="H109" s="146" t="s">
        <v>76</v>
      </c>
      <c r="K109" s="389" t="s">
        <v>4463</v>
      </c>
      <c r="L109" s="139" t="s">
        <v>4493</v>
      </c>
      <c r="M109" s="51" t="s">
        <v>4464</v>
      </c>
      <c r="N109" s="4">
        <v>45294</v>
      </c>
      <c r="O109" s="140">
        <v>10</v>
      </c>
      <c r="R109" s="4" t="s">
        <v>4462</v>
      </c>
      <c r="S109" s="143"/>
      <c r="V109" s="144"/>
      <c r="W109" s="145"/>
    </row>
    <row r="110" spans="1:23" ht="16.5" customHeight="1">
      <c r="A110" s="477" t="s">
        <v>281</v>
      </c>
      <c r="B110" s="441">
        <v>301</v>
      </c>
      <c r="C110" s="428" t="str">
        <f>VLOOKUP(B110,'Data pick slip'!B:F,5,FALSE)</f>
        <v>KHN-M7710-A4</v>
      </c>
      <c r="F110" s="170" t="s">
        <v>4290</v>
      </c>
      <c r="G110" s="146" t="s">
        <v>4271</v>
      </c>
      <c r="H110" s="146" t="s">
        <v>76</v>
      </c>
      <c r="J110" s="138">
        <v>2044</v>
      </c>
      <c r="K110" s="140" t="str">
        <f>VLOOKUP(J110,Stock_list!A:R,18,FALSE)</f>
        <v>派勤</v>
      </c>
      <c r="L110" s="139" t="str">
        <f>VLOOKUP(J110,Stock_list!A:S,17,FALSE)</f>
        <v>C49SZX202300141SS</v>
      </c>
      <c r="M110" s="51" t="str">
        <f>VLOOKUP(J110,Stock_list!A:T,16,FALSE)</f>
        <v>JPY</v>
      </c>
      <c r="N110" s="4">
        <v>45285</v>
      </c>
      <c r="O110" s="140">
        <v>20</v>
      </c>
      <c r="R110" s="4" t="str">
        <f>VLOOKUP(J110,Stock_list!A:Y,25,FALSE)</f>
        <v>Yes</v>
      </c>
      <c r="S110" s="143"/>
      <c r="V110" s="144"/>
      <c r="W110" s="145"/>
    </row>
    <row r="111" spans="1:23" ht="16.5" customHeight="1">
      <c r="A111" s="477" t="s">
        <v>4465</v>
      </c>
      <c r="B111" s="441">
        <v>301</v>
      </c>
      <c r="C111" s="428" t="str">
        <f>VLOOKUP(B111,'Data pick slip'!B:F,5,FALSE)</f>
        <v>KHN-M7710-A4</v>
      </c>
      <c r="F111" s="170" t="s">
        <v>4290</v>
      </c>
      <c r="G111" s="146" t="s">
        <v>4273</v>
      </c>
      <c r="H111" s="146" t="s">
        <v>76</v>
      </c>
      <c r="J111" s="138" t="s">
        <v>4499</v>
      </c>
      <c r="K111" s="389">
        <v>66</v>
      </c>
      <c r="L111" s="380" t="s">
        <v>4468</v>
      </c>
      <c r="M111" s="51" t="s">
        <v>4466</v>
      </c>
      <c r="N111" s="4">
        <v>45280</v>
      </c>
      <c r="O111" s="140">
        <v>1</v>
      </c>
      <c r="R111" s="4" t="s">
        <v>4467</v>
      </c>
      <c r="S111" s="143"/>
      <c r="V111" s="144"/>
      <c r="W111" s="145"/>
    </row>
    <row r="112" spans="1:23" ht="16.5" customHeight="1">
      <c r="A112" s="477" t="s">
        <v>4465</v>
      </c>
      <c r="B112" s="441">
        <v>302</v>
      </c>
      <c r="C112" s="428" t="str">
        <f>VLOOKUP(B112,'Data pick slip'!B:F,5,FALSE)</f>
        <v>KHN-M7720-A3</v>
      </c>
      <c r="F112" s="170" t="s">
        <v>4290</v>
      </c>
      <c r="G112" s="146" t="s">
        <v>4273</v>
      </c>
      <c r="H112" s="146" t="s">
        <v>76</v>
      </c>
      <c r="J112" s="138" t="s">
        <v>4499</v>
      </c>
      <c r="K112" s="389">
        <v>66</v>
      </c>
      <c r="L112" s="380" t="s">
        <v>4468</v>
      </c>
      <c r="M112" s="51" t="s">
        <v>4466</v>
      </c>
      <c r="N112" s="4">
        <v>45280</v>
      </c>
      <c r="O112" s="140">
        <v>1</v>
      </c>
      <c r="R112" s="4" t="s">
        <v>4467</v>
      </c>
      <c r="S112" s="143"/>
      <c r="V112" s="144"/>
      <c r="W112" s="145"/>
    </row>
    <row r="113" spans="1:23" ht="16.5" customHeight="1">
      <c r="A113" s="477" t="s">
        <v>4465</v>
      </c>
      <c r="B113" s="441">
        <v>303</v>
      </c>
      <c r="C113" s="428" t="str">
        <f>VLOOKUP(B113,'Data pick slip'!B:F,5,FALSE)</f>
        <v>KHY-M7740-A0</v>
      </c>
      <c r="F113" s="170" t="s">
        <v>4290</v>
      </c>
      <c r="G113" s="146" t="s">
        <v>4273</v>
      </c>
      <c r="H113" s="146" t="s">
        <v>76</v>
      </c>
      <c r="J113" s="138" t="s">
        <v>4499</v>
      </c>
      <c r="K113" s="389">
        <v>66</v>
      </c>
      <c r="L113" s="380" t="s">
        <v>4468</v>
      </c>
      <c r="M113" s="51" t="s">
        <v>4466</v>
      </c>
      <c r="N113" s="4">
        <v>45280</v>
      </c>
      <c r="O113" s="140">
        <v>3</v>
      </c>
      <c r="R113" s="4" t="s">
        <v>4467</v>
      </c>
      <c r="S113" s="143"/>
      <c r="V113" s="144"/>
      <c r="W113" s="145"/>
    </row>
    <row r="114" spans="1:23" ht="16.5" customHeight="1">
      <c r="A114" s="477" t="s">
        <v>4465</v>
      </c>
      <c r="B114" s="441">
        <v>304</v>
      </c>
      <c r="C114" s="428" t="str">
        <f>VLOOKUP(B114,'Data pick slip'!B:F,5,FALSE)</f>
        <v>KHY-M7750-A0</v>
      </c>
      <c r="F114" s="170" t="s">
        <v>4290</v>
      </c>
      <c r="G114" s="146" t="s">
        <v>4273</v>
      </c>
      <c r="H114" s="146" t="s">
        <v>76</v>
      </c>
      <c r="J114" s="138" t="s">
        <v>4499</v>
      </c>
      <c r="K114" s="389">
        <v>66</v>
      </c>
      <c r="L114" s="380" t="s">
        <v>4468</v>
      </c>
      <c r="M114" s="51" t="s">
        <v>4466</v>
      </c>
      <c r="N114" s="4">
        <v>45280</v>
      </c>
      <c r="O114" s="140">
        <v>2</v>
      </c>
      <c r="R114" s="4" t="s">
        <v>4467</v>
      </c>
      <c r="S114" s="143"/>
      <c r="V114" s="144"/>
      <c r="W114" s="145"/>
    </row>
    <row r="115" spans="1:23" ht="16.5" customHeight="1">
      <c r="A115" s="477" t="s">
        <v>281</v>
      </c>
      <c r="B115" s="441">
        <v>301</v>
      </c>
      <c r="C115" s="428" t="str">
        <f>VLOOKUP(B115,'Data pick slip'!B:F,5,FALSE)</f>
        <v>KHN-M7710-A4</v>
      </c>
      <c r="F115" s="170" t="s">
        <v>4290</v>
      </c>
      <c r="G115" s="146" t="s">
        <v>4271</v>
      </c>
      <c r="H115" s="146" t="s">
        <v>76</v>
      </c>
      <c r="J115" s="138">
        <v>2030</v>
      </c>
      <c r="K115" s="140" t="str">
        <f>VLOOKUP(J115,Stock_list!A:R,18,FALSE)</f>
        <v>声韵</v>
      </c>
      <c r="L115" s="139" t="str">
        <f>VLOOKUP(J115,Stock_list!A:S,17,FALSE)</f>
        <v>C49SZX20230132LC</v>
      </c>
      <c r="M115" s="51" t="str">
        <f>VLOOKUP(J115,Stock_list!A:T,16,FALSE)</f>
        <v>JPY</v>
      </c>
      <c r="N115" s="4">
        <v>45287</v>
      </c>
      <c r="O115" s="140">
        <v>30</v>
      </c>
      <c r="R115" s="4" t="str">
        <f>VLOOKUP(J115,Stock_list!A:Y,25,FALSE)</f>
        <v>Yes</v>
      </c>
      <c r="S115" s="143"/>
      <c r="V115" s="144"/>
      <c r="W115" s="145"/>
    </row>
    <row r="116" spans="1:23" ht="23.25" customHeight="1">
      <c r="A116" s="477" t="s">
        <v>4465</v>
      </c>
      <c r="B116" s="441">
        <v>303</v>
      </c>
      <c r="C116" s="428" t="str">
        <f>VLOOKUP(B116,'Data pick slip'!B:F,5,FALSE)</f>
        <v>KHY-M7740-A0</v>
      </c>
      <c r="F116" s="170" t="s">
        <v>4290</v>
      </c>
      <c r="G116" s="146" t="s">
        <v>4273</v>
      </c>
      <c r="H116" s="146" t="s">
        <v>76</v>
      </c>
      <c r="J116" s="138" t="s">
        <v>4500</v>
      </c>
      <c r="K116" s="389">
        <v>66</v>
      </c>
      <c r="L116" s="267" t="s">
        <v>4474</v>
      </c>
      <c r="M116" s="51" t="s">
        <v>4472</v>
      </c>
      <c r="N116" s="290">
        <v>45317</v>
      </c>
      <c r="O116" s="140">
        <v>2</v>
      </c>
      <c r="R116" s="4" t="s">
        <v>4473</v>
      </c>
      <c r="S116" s="143"/>
      <c r="V116" s="144"/>
      <c r="W116" s="145"/>
    </row>
    <row r="117" spans="1:23" ht="16.5" customHeight="1">
      <c r="A117" s="477" t="s">
        <v>281</v>
      </c>
      <c r="B117" s="441">
        <v>301</v>
      </c>
      <c r="C117" s="428" t="str">
        <f>VLOOKUP(B117,'Data pick slip'!B:F,5,FALSE)</f>
        <v>KHN-M7710-A4</v>
      </c>
      <c r="F117" s="170" t="s">
        <v>4276</v>
      </c>
      <c r="G117" s="146" t="s">
        <v>4271</v>
      </c>
      <c r="H117" s="146" t="s">
        <v>76</v>
      </c>
      <c r="J117" s="138">
        <v>2034</v>
      </c>
      <c r="K117" s="140" t="str">
        <f>VLOOKUP(J117,Stock_list!A:R,18,FALSE)</f>
        <v>徕芬</v>
      </c>
      <c r="L117" s="139" t="str">
        <f>VLOOKUP(J117,Stock_list!A:S,17,FALSE)</f>
        <v>CG20231204009</v>
      </c>
      <c r="M117" s="51" t="str">
        <f>VLOOKUP(J117,Stock_list!A:T,16,FALSE)</f>
        <v>RMB</v>
      </c>
      <c r="N117" s="4">
        <v>45296</v>
      </c>
      <c r="O117" s="140">
        <v>31</v>
      </c>
      <c r="R117" s="4" t="str">
        <f>VLOOKUP(J117,Stock_list!A:Y,25,FALSE)</f>
        <v>Yes</v>
      </c>
      <c r="S117" s="143"/>
      <c r="V117" s="144"/>
      <c r="W117" s="145"/>
    </row>
    <row r="118" spans="1:23" ht="16.5" customHeight="1">
      <c r="A118" s="477" t="s">
        <v>281</v>
      </c>
      <c r="B118" s="441">
        <v>302</v>
      </c>
      <c r="C118" s="428" t="str">
        <f>VLOOKUP(B118,'Data pick slip'!B:F,5,FALSE)</f>
        <v>KHN-M7720-A3</v>
      </c>
      <c r="F118" s="170" t="s">
        <v>4276</v>
      </c>
      <c r="G118" s="146" t="s">
        <v>4271</v>
      </c>
      <c r="H118" s="146" t="s">
        <v>76</v>
      </c>
      <c r="J118" s="138">
        <v>2034</v>
      </c>
      <c r="K118" s="140" t="str">
        <f>VLOOKUP(J118,Stock_list!A:R,18,FALSE)</f>
        <v>徕芬</v>
      </c>
      <c r="L118" s="139" t="str">
        <f>VLOOKUP(J118,Stock_list!A:S,17,FALSE)</f>
        <v>CG20231204009</v>
      </c>
      <c r="M118" s="51" t="str">
        <f>VLOOKUP(J118,Stock_list!A:T,16,FALSE)</f>
        <v>RMB</v>
      </c>
      <c r="N118" s="4">
        <v>45296</v>
      </c>
      <c r="O118" s="140">
        <v>10</v>
      </c>
      <c r="R118" s="4" t="str">
        <f>VLOOKUP(J118,Stock_list!A:Y,25,FALSE)</f>
        <v>Yes</v>
      </c>
      <c r="S118" s="143"/>
      <c r="V118" s="144"/>
      <c r="W118" s="145"/>
    </row>
    <row r="119" spans="1:23" ht="18" customHeight="1">
      <c r="A119" s="477" t="s">
        <v>281</v>
      </c>
      <c r="B119" s="441">
        <v>302</v>
      </c>
      <c r="C119" s="428" t="str">
        <f>VLOOKUP(B119,'Data pick slip'!B:F,5,FALSE)</f>
        <v>KHN-M7720-A3</v>
      </c>
      <c r="D119" s="156" t="s">
        <v>4475</v>
      </c>
      <c r="F119" s="170" t="s">
        <v>4290</v>
      </c>
      <c r="G119" s="146" t="s">
        <v>4273</v>
      </c>
      <c r="H119" s="146" t="s">
        <v>76</v>
      </c>
      <c r="K119" s="140" t="s">
        <v>4476</v>
      </c>
      <c r="L119" s="139" t="s">
        <v>4476</v>
      </c>
      <c r="M119" s="51" t="s">
        <v>4477</v>
      </c>
      <c r="N119" s="4">
        <v>45288</v>
      </c>
      <c r="O119" s="140">
        <v>10</v>
      </c>
      <c r="R119" s="4" t="s">
        <v>4478</v>
      </c>
      <c r="S119" s="143"/>
      <c r="V119" s="144"/>
      <c r="W119" s="145"/>
    </row>
    <row r="120" spans="1:23" ht="16.5" customHeight="1">
      <c r="A120" s="477" t="s">
        <v>15</v>
      </c>
      <c r="B120" s="441">
        <v>302</v>
      </c>
      <c r="C120" s="428" t="str">
        <f>VLOOKUP(B120,'Data pick slip'!B:F,5,FALSE)</f>
        <v>KHN-M7720-A3</v>
      </c>
      <c r="D120" s="156" t="s">
        <v>4475</v>
      </c>
      <c r="F120" s="170" t="s">
        <v>4290</v>
      </c>
      <c r="G120" s="146" t="s">
        <v>4271</v>
      </c>
      <c r="H120" s="146" t="s">
        <v>76</v>
      </c>
      <c r="K120" s="140" t="s">
        <v>4476</v>
      </c>
      <c r="L120" s="139" t="s">
        <v>4476</v>
      </c>
      <c r="M120" s="51" t="s">
        <v>4477</v>
      </c>
      <c r="N120" s="4">
        <v>45288</v>
      </c>
      <c r="O120" s="140">
        <v>10</v>
      </c>
      <c r="R120" s="4" t="s">
        <v>4478</v>
      </c>
      <c r="S120" s="143"/>
      <c r="V120" s="144"/>
      <c r="W120" s="145"/>
    </row>
    <row r="121" spans="1:23" ht="16.5" customHeight="1">
      <c r="A121" s="477" t="s">
        <v>281</v>
      </c>
      <c r="B121" s="441">
        <v>302</v>
      </c>
      <c r="C121" s="428" t="str">
        <f>VLOOKUP(B121,'Data pick slip'!B:F,5,FALSE)</f>
        <v>KHN-M7720-A3</v>
      </c>
      <c r="D121" s="544"/>
      <c r="F121" s="170" t="s">
        <v>4290</v>
      </c>
      <c r="G121" s="146" t="s">
        <v>4273</v>
      </c>
      <c r="H121" s="146" t="s">
        <v>76</v>
      </c>
      <c r="J121" s="138">
        <v>2034</v>
      </c>
      <c r="K121" s="140" t="str">
        <f>VLOOKUP(J121,Stock_list!A:R,18,FALSE)</f>
        <v>徕芬</v>
      </c>
      <c r="L121" s="139" t="str">
        <f>VLOOKUP(J121,Stock_list!A:S,17,FALSE)</f>
        <v>CG20231204009</v>
      </c>
      <c r="M121" s="51" t="str">
        <f>VLOOKUP(J121,Stock_list!A:T,16,FALSE)</f>
        <v>RMB</v>
      </c>
      <c r="N121" s="4">
        <v>45296</v>
      </c>
      <c r="O121" s="140">
        <v>3</v>
      </c>
      <c r="R121" s="4" t="str">
        <f>VLOOKUP(J121,Stock_list!A:Y,25,FALSE)</f>
        <v>Yes</v>
      </c>
      <c r="S121" s="143"/>
      <c r="U121" s="123" t="s">
        <v>4494</v>
      </c>
      <c r="V121" s="144"/>
      <c r="W121" s="145"/>
    </row>
    <row r="122" spans="1:23" ht="16.5" customHeight="1">
      <c r="A122" s="477" t="s">
        <v>15</v>
      </c>
      <c r="B122" s="441">
        <v>303</v>
      </c>
      <c r="C122" s="428" t="str">
        <f>VLOOKUP(B122,'Data pick slip'!B:F,5,FALSE)</f>
        <v>KHY-M7740-A0</v>
      </c>
      <c r="D122" s="544"/>
      <c r="F122" s="170" t="s">
        <v>4276</v>
      </c>
      <c r="G122" s="146" t="s">
        <v>4273</v>
      </c>
      <c r="H122" s="146" t="s">
        <v>76</v>
      </c>
      <c r="J122" s="138">
        <v>2034</v>
      </c>
      <c r="K122" s="140" t="str">
        <f>VLOOKUP(J122,Stock_list!A:R,18,FALSE)</f>
        <v>徕芬</v>
      </c>
      <c r="L122" s="139" t="str">
        <f>VLOOKUP(J122,Stock_list!A:S,17,FALSE)</f>
        <v>CG20231204009</v>
      </c>
      <c r="M122" s="51" t="str">
        <f>VLOOKUP(J122,Stock_list!A:T,16,FALSE)</f>
        <v>RMB</v>
      </c>
      <c r="N122" s="4">
        <v>45296</v>
      </c>
      <c r="O122" s="140">
        <v>6</v>
      </c>
      <c r="R122" s="4" t="str">
        <f>VLOOKUP(J122,Stock_list!A:Y,25,FALSE)</f>
        <v>Yes</v>
      </c>
      <c r="S122" s="143"/>
      <c r="V122" s="144"/>
      <c r="W122" s="145"/>
    </row>
    <row r="123" spans="1:23" ht="16.5" customHeight="1">
      <c r="A123" s="477" t="s">
        <v>281</v>
      </c>
      <c r="B123" s="441">
        <v>301</v>
      </c>
      <c r="C123" s="428" t="str">
        <f>VLOOKUP(B123,'Data pick slip'!B:F,5,FALSE)</f>
        <v>KHN-M7710-A4</v>
      </c>
      <c r="D123" s="544" t="s">
        <v>4495</v>
      </c>
      <c r="F123" s="170" t="s">
        <v>4276</v>
      </c>
      <c r="G123" s="146" t="s">
        <v>4271</v>
      </c>
      <c r="H123" s="146" t="s">
        <v>76</v>
      </c>
      <c r="J123" s="138">
        <v>2034</v>
      </c>
      <c r="K123" s="140" t="str">
        <f>VLOOKUP(J123,Stock_list!A:R,18,FALSE)</f>
        <v>徕芬</v>
      </c>
      <c r="L123" s="139" t="str">
        <f>VLOOKUP(J123,Stock_list!A:S,17,FALSE)</f>
        <v>CG20231204009</v>
      </c>
      <c r="M123" s="51" t="str">
        <f>VLOOKUP(J123,Stock_list!A:T,16,FALSE)</f>
        <v>RMB</v>
      </c>
      <c r="N123" s="4">
        <v>45296</v>
      </c>
      <c r="O123" s="140">
        <v>9</v>
      </c>
      <c r="R123" s="4" t="str">
        <f>VLOOKUP(J123,Stock_list!A:Y,25,FALSE)</f>
        <v>Yes</v>
      </c>
      <c r="S123" s="143"/>
      <c r="V123" s="144"/>
      <c r="W123" s="145"/>
    </row>
    <row r="124" spans="1:23" ht="16.5" customHeight="1">
      <c r="A124" s="477" t="s">
        <v>4501</v>
      </c>
      <c r="B124" s="441">
        <v>301</v>
      </c>
      <c r="C124" s="428" t="str">
        <f>VLOOKUP(B124,'Data pick slip'!B:F,5,FALSE)</f>
        <v>KHN-M7710-A4</v>
      </c>
      <c r="F124" s="170" t="s">
        <v>4290</v>
      </c>
      <c r="G124" s="146" t="s">
        <v>4273</v>
      </c>
      <c r="H124" s="146" t="s">
        <v>76</v>
      </c>
      <c r="J124" s="138" t="s">
        <v>4497</v>
      </c>
      <c r="K124" s="140">
        <v>66</v>
      </c>
      <c r="L124" s="267" t="s">
        <v>4502</v>
      </c>
      <c r="M124" s="51" t="s">
        <v>4498</v>
      </c>
      <c r="N124" s="290">
        <v>45317</v>
      </c>
      <c r="O124" s="140">
        <v>20</v>
      </c>
      <c r="R124" s="4" t="s">
        <v>4503</v>
      </c>
      <c r="S124" s="143"/>
      <c r="V124" s="144"/>
      <c r="W124" s="145"/>
    </row>
    <row r="125" spans="1:23" ht="16.5" customHeight="1">
      <c r="A125" s="477" t="s">
        <v>4501</v>
      </c>
      <c r="B125" s="441">
        <v>311</v>
      </c>
      <c r="C125" s="428" t="str">
        <f>VLOOKUP(B125,'Data pick slip'!B:F,5,FALSE)</f>
        <v>KHY-M7710-A4</v>
      </c>
      <c r="F125" s="170" t="s">
        <v>4290</v>
      </c>
      <c r="G125" s="146" t="s">
        <v>4273</v>
      </c>
      <c r="H125" s="146" t="s">
        <v>76</v>
      </c>
      <c r="J125" s="138" t="s">
        <v>4497</v>
      </c>
      <c r="K125" s="140">
        <v>66</v>
      </c>
      <c r="L125" s="267" t="s">
        <v>4502</v>
      </c>
      <c r="M125" s="51" t="s">
        <v>4498</v>
      </c>
      <c r="N125" s="290">
        <v>45317</v>
      </c>
      <c r="O125" s="140">
        <v>10</v>
      </c>
      <c r="R125" s="4" t="s">
        <v>4503</v>
      </c>
      <c r="S125" s="143"/>
      <c r="V125" s="144"/>
      <c r="W125" s="145"/>
    </row>
    <row r="126" spans="1:23" ht="16.5" customHeight="1">
      <c r="A126" s="477" t="s">
        <v>4501</v>
      </c>
      <c r="B126" s="441">
        <v>302</v>
      </c>
      <c r="C126" s="428" t="str">
        <f>VLOOKUP(B126,'Data pick slip'!B:F,5,FALSE)</f>
        <v>KHN-M7720-A3</v>
      </c>
      <c r="F126" s="170" t="s">
        <v>4290</v>
      </c>
      <c r="G126" s="146" t="s">
        <v>4273</v>
      </c>
      <c r="H126" s="146" t="s">
        <v>76</v>
      </c>
      <c r="J126" s="138" t="s">
        <v>4497</v>
      </c>
      <c r="K126" s="140">
        <v>66</v>
      </c>
      <c r="L126" s="267" t="s">
        <v>4502</v>
      </c>
      <c r="M126" s="51" t="s">
        <v>4498</v>
      </c>
      <c r="N126" s="290">
        <v>45317</v>
      </c>
      <c r="O126" s="140">
        <v>30</v>
      </c>
      <c r="R126" s="4" t="s">
        <v>4503</v>
      </c>
      <c r="S126" s="143"/>
      <c r="V126" s="144"/>
      <c r="W126" s="145"/>
    </row>
    <row r="127" spans="1:23" ht="16.5" customHeight="1">
      <c r="A127" s="477" t="s">
        <v>4501</v>
      </c>
      <c r="B127" s="441">
        <v>303</v>
      </c>
      <c r="C127" s="428" t="str">
        <f>VLOOKUP(B127,'Data pick slip'!B:F,5,FALSE)</f>
        <v>KHY-M7740-A0</v>
      </c>
      <c r="F127" s="170" t="s">
        <v>4290</v>
      </c>
      <c r="G127" s="146" t="s">
        <v>4273</v>
      </c>
      <c r="H127" s="146" t="s">
        <v>76</v>
      </c>
      <c r="J127" s="138" t="s">
        <v>4497</v>
      </c>
      <c r="K127" s="140">
        <v>66</v>
      </c>
      <c r="L127" s="267" t="s">
        <v>4502</v>
      </c>
      <c r="M127" s="51" t="s">
        <v>4498</v>
      </c>
      <c r="N127" s="290">
        <v>45317</v>
      </c>
      <c r="O127" s="140">
        <v>15</v>
      </c>
      <c r="R127" s="4" t="s">
        <v>4503</v>
      </c>
      <c r="S127" s="143"/>
      <c r="V127" s="144"/>
      <c r="W127" s="145"/>
    </row>
    <row r="128" spans="1:23" ht="16.5" customHeight="1">
      <c r="A128" s="477" t="s">
        <v>4501</v>
      </c>
      <c r="B128" s="441">
        <v>304</v>
      </c>
      <c r="C128" s="428" t="str">
        <f>VLOOKUP(B128,'Data pick slip'!B:F,5,FALSE)</f>
        <v>KHY-M7750-A0</v>
      </c>
      <c r="F128" s="170" t="s">
        <v>4290</v>
      </c>
      <c r="G128" s="146" t="s">
        <v>4273</v>
      </c>
      <c r="H128" s="146" t="s">
        <v>76</v>
      </c>
      <c r="J128" s="138" t="s">
        <v>4497</v>
      </c>
      <c r="K128" s="140">
        <v>66</v>
      </c>
      <c r="L128" s="267" t="s">
        <v>4502</v>
      </c>
      <c r="M128" s="51" t="s">
        <v>4498</v>
      </c>
      <c r="N128" s="290">
        <v>45317</v>
      </c>
      <c r="O128" s="140">
        <v>5</v>
      </c>
      <c r="R128" s="4" t="s">
        <v>4503</v>
      </c>
      <c r="S128" s="143"/>
      <c r="V128" s="144"/>
      <c r="W128" s="145"/>
    </row>
    <row r="129" spans="1:23" ht="16.5" customHeight="1">
      <c r="A129" s="477" t="s">
        <v>15</v>
      </c>
      <c r="B129" s="441">
        <v>301</v>
      </c>
      <c r="C129" s="428" t="str">
        <f>VLOOKUP(B129,'Data pick slip'!B:F,5,FALSE)</f>
        <v>KHN-M7710-A4</v>
      </c>
      <c r="F129" s="170" t="s">
        <v>4290</v>
      </c>
      <c r="G129" s="146" t="s">
        <v>4271</v>
      </c>
      <c r="H129" s="146" t="s">
        <v>76</v>
      </c>
      <c r="J129" s="138">
        <v>2058</v>
      </c>
      <c r="K129" s="140" t="str">
        <f>VLOOKUP(J129,Stock_list!A:R,18,FALSE)</f>
        <v>柏星</v>
      </c>
      <c r="L129" s="139" t="str">
        <f>VLOOKUP(J129,Stock_list!A:S,17,FALSE)</f>
        <v>C49SZX20230143SX</v>
      </c>
      <c r="M129" s="51" t="str">
        <f>VLOOKUP(J129,Stock_list!A:T,16,FALSE)</f>
        <v>JPY</v>
      </c>
      <c r="N129" s="4">
        <v>45306</v>
      </c>
      <c r="O129" s="140">
        <v>10</v>
      </c>
      <c r="R129" s="4" t="str">
        <f>VLOOKUP(J129,Stock_list!A:Y,25,FALSE)</f>
        <v>Yes</v>
      </c>
      <c r="S129" s="143"/>
      <c r="V129" s="144"/>
      <c r="W129" s="145"/>
    </row>
    <row r="130" spans="1:23" ht="16.5" customHeight="1">
      <c r="A130" s="477" t="s">
        <v>15</v>
      </c>
      <c r="B130" s="441">
        <v>301</v>
      </c>
      <c r="C130" s="428" t="str">
        <f>VLOOKUP(B130,'Data pick slip'!B:F,5,FALSE)</f>
        <v>KHN-M7710-A4</v>
      </c>
      <c r="F130" s="170" t="s">
        <v>4290</v>
      </c>
      <c r="G130" s="146" t="s">
        <v>4271</v>
      </c>
      <c r="H130" s="146" t="s">
        <v>76</v>
      </c>
      <c r="J130" s="138">
        <v>2059</v>
      </c>
      <c r="K130" s="140" t="str">
        <f>VLOOKUP(J130,Stock_list!A:R,18,FALSE)</f>
        <v>悦之彩</v>
      </c>
      <c r="L130" s="139" t="str">
        <f>VLOOKUP(J130,Stock_list!A:S,17,FALSE)</f>
        <v>C49SZX20240002SX</v>
      </c>
      <c r="M130" s="51" t="str">
        <f>VLOOKUP(J130,Stock_list!A:T,16,FALSE)</f>
        <v>JPY</v>
      </c>
      <c r="N130" s="4">
        <v>45307</v>
      </c>
      <c r="O130" s="140">
        <v>20</v>
      </c>
      <c r="R130" s="4" t="str">
        <f>VLOOKUP(J130,Stock_list!A:Y,25,FALSE)</f>
        <v>Yes</v>
      </c>
      <c r="S130" s="143"/>
      <c r="V130" s="144"/>
      <c r="W130" s="145"/>
    </row>
    <row r="131" spans="1:23" ht="16.5" customHeight="1">
      <c r="A131" s="477" t="s">
        <v>15</v>
      </c>
      <c r="B131" s="441">
        <v>311</v>
      </c>
      <c r="C131" s="428" t="str">
        <f>VLOOKUP(B131,'Data pick slip'!B:F,5,FALSE)</f>
        <v>KHY-M7710-A4</v>
      </c>
      <c r="F131" s="170" t="s">
        <v>4290</v>
      </c>
      <c r="G131" s="146" t="s">
        <v>4273</v>
      </c>
      <c r="H131" s="146" t="s">
        <v>76</v>
      </c>
      <c r="J131" s="138">
        <v>2057</v>
      </c>
      <c r="K131" s="140" t="str">
        <f>VLOOKUP(J131,Stock_list!A:R,18,FALSE)</f>
        <v>世纪佳柔</v>
      </c>
      <c r="L131" s="139" t="str">
        <f>VLOOKUP(J131,Stock_list!A:S,17,FALSE)</f>
        <v>C49SZX20230145BH</v>
      </c>
      <c r="M131" s="51" t="str">
        <f>VLOOKUP(J131,Stock_list!A:T,16,FALSE)</f>
        <v>JPY</v>
      </c>
      <c r="N131" s="4">
        <v>45313</v>
      </c>
      <c r="O131" s="140">
        <v>6</v>
      </c>
      <c r="R131" s="4" t="str">
        <f>VLOOKUP(J131,Stock_list!A:Y,25,FALSE)</f>
        <v>Yes</v>
      </c>
      <c r="S131" s="143"/>
      <c r="V131" s="144"/>
      <c r="W131" s="145"/>
    </row>
    <row r="132" spans="1:23" ht="16.5" customHeight="1">
      <c r="A132" s="477" t="s">
        <v>15</v>
      </c>
      <c r="B132" s="441">
        <v>311</v>
      </c>
      <c r="C132" s="428" t="str">
        <f>VLOOKUP(B132,'Data pick slip'!B:F,5,FALSE)</f>
        <v>KHY-M7710-A4</v>
      </c>
      <c r="F132" s="170" t="s">
        <v>4276</v>
      </c>
      <c r="G132" s="146" t="s">
        <v>4273</v>
      </c>
      <c r="H132" s="146" t="s">
        <v>76</v>
      </c>
      <c r="J132" s="138">
        <v>2057</v>
      </c>
      <c r="K132" s="140" t="str">
        <f>VLOOKUP(J132,Stock_list!A:R,18,FALSE)</f>
        <v>世纪佳柔</v>
      </c>
      <c r="L132" s="139" t="str">
        <f>VLOOKUP(J132,Stock_list!A:S,17,FALSE)</f>
        <v>C49SZX20230145BH</v>
      </c>
      <c r="M132" s="51" t="str">
        <f>VLOOKUP(J132,Stock_list!A:T,16,FALSE)</f>
        <v>JPY</v>
      </c>
      <c r="N132" s="4">
        <v>45313</v>
      </c>
      <c r="O132" s="140">
        <v>44</v>
      </c>
      <c r="R132" s="4" t="str">
        <f>VLOOKUP(J132,Stock_list!A:Y,25,FALSE)</f>
        <v>Yes</v>
      </c>
      <c r="S132" s="143"/>
      <c r="U132" s="123" t="s">
        <v>4532</v>
      </c>
      <c r="V132" s="144"/>
      <c r="W132" s="145"/>
    </row>
    <row r="133" spans="1:23" ht="16.5" customHeight="1">
      <c r="A133" s="477" t="s">
        <v>281</v>
      </c>
      <c r="B133" s="441">
        <v>301</v>
      </c>
      <c r="C133" s="428" t="str">
        <f>VLOOKUP(B133,'Data pick slip'!B:F,5,FALSE)</f>
        <v>KHN-M7710-A4</v>
      </c>
      <c r="D133" s="544" t="s">
        <v>4297</v>
      </c>
      <c r="F133" s="170" t="s">
        <v>4290</v>
      </c>
      <c r="G133" s="146" t="s">
        <v>4271</v>
      </c>
      <c r="H133" s="146" t="s">
        <v>76</v>
      </c>
      <c r="J133" s="138">
        <v>2057</v>
      </c>
      <c r="K133" s="140" t="str">
        <f>VLOOKUP(J133,Stock_list!A:R,18,FALSE)</f>
        <v>世纪佳柔</v>
      </c>
      <c r="L133" s="139" t="str">
        <f>VLOOKUP(J133,Stock_list!A:S,17,FALSE)</f>
        <v>C49SZX20230145BH</v>
      </c>
      <c r="M133" s="51" t="str">
        <f>VLOOKUP(J133,Stock_list!A:T,16,FALSE)</f>
        <v>JPY</v>
      </c>
      <c r="N133" s="4">
        <v>45313</v>
      </c>
      <c r="O133" s="140">
        <v>50</v>
      </c>
      <c r="R133" s="4" t="str">
        <f>VLOOKUP(J133,Stock_list!A:Y,25,FALSE)</f>
        <v>Yes</v>
      </c>
      <c r="S133" s="143"/>
      <c r="V133" s="144"/>
      <c r="W133" s="145"/>
    </row>
    <row r="134" spans="1:23" ht="16.5" customHeight="1">
      <c r="A134" s="477" t="s">
        <v>15</v>
      </c>
      <c r="B134" s="441">
        <v>301</v>
      </c>
      <c r="C134" s="428" t="str">
        <f>VLOOKUP(B134,'Data pick slip'!B:F,5,FALSE)</f>
        <v>KHN-M7710-A4</v>
      </c>
      <c r="F134" s="170" t="s">
        <v>4290</v>
      </c>
      <c r="G134" s="146" t="s">
        <v>4271</v>
      </c>
      <c r="H134" s="146" t="s">
        <v>76</v>
      </c>
      <c r="J134" s="138">
        <v>2050</v>
      </c>
      <c r="K134" s="140" t="str">
        <f>VLOOKUP(J134,Stock_list!A:R,18,FALSE)</f>
        <v>盈通恒翼</v>
      </c>
      <c r="L134" s="139" t="str">
        <f>VLOOKUP(J134,Stock_list!A:S,17,FALSE)</f>
        <v>C49SZX20230142SS</v>
      </c>
      <c r="M134" s="51" t="str">
        <f>VLOOKUP(J134,Stock_list!A:T,16,FALSE)</f>
        <v>JPY</v>
      </c>
      <c r="N134" s="4">
        <v>45346</v>
      </c>
      <c r="O134" s="140">
        <v>32</v>
      </c>
      <c r="R134" s="4" t="str">
        <f>VLOOKUP(J134,Stock_list!A:Y,25,FALSE)</f>
        <v>Yes</v>
      </c>
      <c r="S134" s="143"/>
      <c r="V134" s="144"/>
      <c r="W134" s="145"/>
    </row>
    <row r="135" spans="1:23" ht="16.5" customHeight="1">
      <c r="A135" s="477" t="s">
        <v>15</v>
      </c>
      <c r="B135" s="441">
        <v>302</v>
      </c>
      <c r="C135" s="428" t="str">
        <f>VLOOKUP(B135,'Data pick slip'!B:F,5,FALSE)</f>
        <v>KHN-M7720-A3</v>
      </c>
      <c r="F135" s="170" t="s">
        <v>4290</v>
      </c>
      <c r="G135" s="146" t="s">
        <v>4273</v>
      </c>
      <c r="H135" s="146" t="s">
        <v>76</v>
      </c>
      <c r="J135" s="138">
        <v>2050</v>
      </c>
      <c r="K135" s="140" t="str">
        <f>VLOOKUP(J135,Stock_list!A:R,18,FALSE)</f>
        <v>盈通恒翼</v>
      </c>
      <c r="L135" s="139" t="str">
        <f>VLOOKUP(J135,Stock_list!A:S,17,FALSE)</f>
        <v>C49SZX20230142SS</v>
      </c>
      <c r="M135" s="51" t="str">
        <f>VLOOKUP(J135,Stock_list!A:T,16,FALSE)</f>
        <v>JPY</v>
      </c>
      <c r="N135" s="4"/>
      <c r="O135" s="140">
        <v>12</v>
      </c>
      <c r="R135" s="4" t="str">
        <f>VLOOKUP(J135,Stock_list!A:Y,25,FALSE)</f>
        <v>Yes</v>
      </c>
      <c r="S135" s="143"/>
      <c r="V135" s="144"/>
      <c r="W135" s="145"/>
    </row>
    <row r="136" spans="1:23" ht="16.5" customHeight="1">
      <c r="A136" s="477" t="s">
        <v>15</v>
      </c>
      <c r="B136" s="441">
        <v>304</v>
      </c>
      <c r="C136" s="428" t="str">
        <f>VLOOKUP(B136,'Data pick slip'!B:F,5,FALSE)</f>
        <v>KHY-M7750-A0</v>
      </c>
      <c r="F136" s="170" t="s">
        <v>4290</v>
      </c>
      <c r="G136" s="146" t="s">
        <v>4273</v>
      </c>
      <c r="H136" s="146" t="s">
        <v>76</v>
      </c>
      <c r="J136" s="138">
        <v>2050</v>
      </c>
      <c r="K136" s="140" t="str">
        <f>VLOOKUP(J136,Stock_list!A:R,18,FALSE)</f>
        <v>盈通恒翼</v>
      </c>
      <c r="L136" s="139" t="str">
        <f>VLOOKUP(J136,Stock_list!A:S,17,FALSE)</f>
        <v>C49SZX20230142SS</v>
      </c>
      <c r="M136" s="51" t="str">
        <f>VLOOKUP(J136,Stock_list!A:T,16,FALSE)</f>
        <v>JPY</v>
      </c>
      <c r="N136" s="4"/>
      <c r="O136" s="140">
        <v>6</v>
      </c>
      <c r="R136" s="4" t="str">
        <f>VLOOKUP(J136,Stock_list!A:Y,25,FALSE)</f>
        <v>Yes</v>
      </c>
      <c r="S136" s="143"/>
      <c r="V136" s="144"/>
      <c r="W136" s="145"/>
    </row>
    <row r="137" spans="1:23" ht="16.5" customHeight="1">
      <c r="A137" s="477" t="s">
        <v>15</v>
      </c>
      <c r="B137" s="441">
        <v>311</v>
      </c>
      <c r="C137" s="428" t="str">
        <f>VLOOKUP(B137,'Data pick slip'!B:F,5,FALSE)</f>
        <v>KHY-M7710-A4</v>
      </c>
      <c r="F137" s="170" t="s">
        <v>4276</v>
      </c>
      <c r="G137" s="146" t="s">
        <v>4273</v>
      </c>
      <c r="H137" s="146" t="s">
        <v>76</v>
      </c>
      <c r="J137" s="138">
        <v>2050</v>
      </c>
      <c r="K137" s="140" t="str">
        <f>VLOOKUP(J137,Stock_list!A:R,18,FALSE)</f>
        <v>盈通恒翼</v>
      </c>
      <c r="L137" s="139" t="str">
        <f>VLOOKUP(J137,Stock_list!A:S,17,FALSE)</f>
        <v>C49SZX20230142SS</v>
      </c>
      <c r="M137" s="51" t="str">
        <f>VLOOKUP(J137,Stock_list!A:T,16,FALSE)</f>
        <v>JPY</v>
      </c>
      <c r="N137" s="4">
        <v>45314</v>
      </c>
      <c r="O137" s="140">
        <v>30</v>
      </c>
      <c r="R137" s="4" t="str">
        <f>VLOOKUP(J137,Stock_list!A:Y,25,FALSE)</f>
        <v>Yes</v>
      </c>
      <c r="S137" s="143"/>
      <c r="U137" s="123" t="s">
        <v>4534</v>
      </c>
      <c r="V137" s="144"/>
      <c r="W137" s="145"/>
    </row>
    <row r="138" spans="1:23" ht="16.5" customHeight="1">
      <c r="A138" s="477" t="s">
        <v>281</v>
      </c>
      <c r="B138" s="441">
        <v>301</v>
      </c>
      <c r="C138" s="428" t="str">
        <f>VLOOKUP(B138,'Data pick slip'!B:F,5,FALSE)</f>
        <v>KHN-M7710-A4</v>
      </c>
      <c r="D138" s="544" t="s">
        <v>4297</v>
      </c>
      <c r="F138" s="170" t="s">
        <v>4290</v>
      </c>
      <c r="G138" s="146" t="s">
        <v>4271</v>
      </c>
      <c r="H138" s="146" t="s">
        <v>76</v>
      </c>
      <c r="J138" s="138">
        <v>2050</v>
      </c>
      <c r="K138" s="140" t="str">
        <f>VLOOKUP(J138,Stock_list!A:R,18,FALSE)</f>
        <v>盈通恒翼</v>
      </c>
      <c r="L138" s="139" t="str">
        <f>VLOOKUP(J138,Stock_list!A:S,17,FALSE)</f>
        <v>C49SZX20230142SS</v>
      </c>
      <c r="M138" s="51" t="str">
        <f>VLOOKUP(J138,Stock_list!A:T,16,FALSE)</f>
        <v>JPY</v>
      </c>
      <c r="N138" s="4">
        <v>45346</v>
      </c>
      <c r="O138" s="140">
        <v>48</v>
      </c>
      <c r="R138" s="4" t="str">
        <f>VLOOKUP(J138,Stock_list!A:Y,25,FALSE)</f>
        <v>Yes</v>
      </c>
      <c r="S138" s="143"/>
      <c r="V138" s="144"/>
      <c r="W138" s="145"/>
    </row>
    <row r="139" spans="1:23" ht="16.5" customHeight="1">
      <c r="A139" s="477" t="s">
        <v>15</v>
      </c>
      <c r="B139" s="441">
        <v>311</v>
      </c>
      <c r="C139" s="428" t="str">
        <f>VLOOKUP(B139,'Data pick slip'!B:F,5,FALSE)</f>
        <v>KHY-M7710-A4</v>
      </c>
      <c r="F139" s="170" t="s">
        <v>4276</v>
      </c>
      <c r="G139" s="146" t="s">
        <v>4273</v>
      </c>
      <c r="H139" s="146" t="s">
        <v>76</v>
      </c>
      <c r="J139" s="138">
        <v>2063</v>
      </c>
      <c r="K139" s="140" t="str">
        <f>VLOOKUP(J139,Stock_list!A:R,18,FALSE)</f>
        <v>诺亚兴</v>
      </c>
      <c r="L139" s="139" t="str">
        <f>VLOOKUP(J139,Stock_list!A:S,17,FALSE)</f>
        <v>C49SZX20240005EC</v>
      </c>
      <c r="M139" s="51" t="str">
        <f>VLOOKUP(J139,Stock_list!A:T,16,FALSE)</f>
        <v>JPY</v>
      </c>
      <c r="N139" s="4">
        <v>45320</v>
      </c>
      <c r="O139" s="140">
        <v>20</v>
      </c>
      <c r="R139" s="4" t="str">
        <f>VLOOKUP(J139,Stock_list!A:Y,25,FALSE)</f>
        <v>Yes</v>
      </c>
      <c r="S139" s="143"/>
      <c r="U139" s="123" t="s">
        <v>4544</v>
      </c>
      <c r="V139" s="144"/>
      <c r="W139" s="145"/>
    </row>
    <row r="140" spans="1:23" ht="16.5" customHeight="1">
      <c r="A140" s="477" t="s">
        <v>281</v>
      </c>
      <c r="B140" s="441">
        <v>301</v>
      </c>
      <c r="C140" s="428" t="str">
        <f>VLOOKUP(B140,'Data pick slip'!B:F,5,FALSE)</f>
        <v>KHN-M7710-A4</v>
      </c>
      <c r="D140" s="544" t="s">
        <v>4297</v>
      </c>
      <c r="F140" s="170" t="s">
        <v>4290</v>
      </c>
      <c r="G140" s="146" t="s">
        <v>4271</v>
      </c>
      <c r="H140" s="146" t="s">
        <v>76</v>
      </c>
      <c r="J140" s="138">
        <v>2063</v>
      </c>
      <c r="K140" s="140" t="str">
        <f>VLOOKUP(J140,Stock_list!A:R,18,FALSE)</f>
        <v>诺亚兴</v>
      </c>
      <c r="L140" s="139" t="str">
        <f>VLOOKUP(J140,Stock_list!A:S,17,FALSE)</f>
        <v>C49SZX20240005EC</v>
      </c>
      <c r="M140" s="51" t="str">
        <f>VLOOKUP(J140,Stock_list!A:T,16,FALSE)</f>
        <v>JPY</v>
      </c>
      <c r="N140" s="4">
        <v>45320</v>
      </c>
      <c r="O140" s="140">
        <v>20</v>
      </c>
      <c r="R140" s="4" t="str">
        <f>VLOOKUP(J140,Stock_list!A:Y,25,FALSE)</f>
        <v>Yes</v>
      </c>
      <c r="S140" s="143"/>
      <c r="V140" s="144"/>
      <c r="W140" s="145"/>
    </row>
    <row r="141" spans="1:23" ht="16.5" customHeight="1">
      <c r="A141" s="477" t="s">
        <v>15</v>
      </c>
      <c r="B141" s="441">
        <v>311</v>
      </c>
      <c r="C141" s="428" t="str">
        <f>VLOOKUP(B141,'Data pick slip'!B:F,5,FALSE)</f>
        <v>KHY-M7710-A4</v>
      </c>
      <c r="F141" s="170" t="s">
        <v>4276</v>
      </c>
      <c r="G141" s="146" t="s">
        <v>4273</v>
      </c>
      <c r="H141" s="146" t="s">
        <v>76</v>
      </c>
      <c r="J141" s="138">
        <v>2045</v>
      </c>
      <c r="K141" s="140" t="str">
        <f>VLOOKUP(J141,Stock_list!A:R,18,FALSE)</f>
        <v>朗格邦定</v>
      </c>
      <c r="L141" s="139" t="str">
        <f>VLOOKUP(J141,Stock_list!A:S,17,FALSE)</f>
        <v>C49SZX20230142MZ</v>
      </c>
      <c r="M141" s="51" t="str">
        <f>VLOOKUP(J141,Stock_list!A:T,16,FALSE)</f>
        <v>JPY</v>
      </c>
      <c r="N141" s="4">
        <v>45315</v>
      </c>
      <c r="O141" s="140">
        <v>10</v>
      </c>
      <c r="R141" s="4" t="str">
        <f>VLOOKUP(J141,Stock_list!A:Y,25,FALSE)</f>
        <v>Yes</v>
      </c>
      <c r="S141" s="143"/>
      <c r="U141" s="123" t="s">
        <v>4400</v>
      </c>
      <c r="V141" s="144"/>
      <c r="W141" s="145"/>
    </row>
    <row r="142" spans="1:23" ht="16.5" customHeight="1">
      <c r="A142" s="477" t="s">
        <v>281</v>
      </c>
      <c r="B142" s="441">
        <v>301</v>
      </c>
      <c r="C142" s="428" t="str">
        <f>VLOOKUP(B142,'Data pick slip'!B:F,5,FALSE)</f>
        <v>KHN-M7710-A4</v>
      </c>
      <c r="F142" s="170" t="s">
        <v>4545</v>
      </c>
      <c r="G142" s="146" t="s">
        <v>4271</v>
      </c>
      <c r="H142" s="146" t="s">
        <v>76</v>
      </c>
      <c r="J142" s="138">
        <v>2045</v>
      </c>
      <c r="K142" s="140" t="str">
        <f>VLOOKUP(J142,Stock_list!A:R,18,FALSE)</f>
        <v>朗格邦定</v>
      </c>
      <c r="L142" s="139" t="str">
        <f>VLOOKUP(J142,Stock_list!A:S,17,FALSE)</f>
        <v>C49SZX20230142MZ</v>
      </c>
      <c r="M142" s="51" t="str">
        <f>VLOOKUP(J142,Stock_list!A:T,16,FALSE)</f>
        <v>JPY</v>
      </c>
      <c r="N142" s="4">
        <v>45345</v>
      </c>
      <c r="O142" s="140">
        <v>15</v>
      </c>
      <c r="R142" s="4" t="str">
        <f>VLOOKUP(J142,Stock_list!A:Y,25,FALSE)</f>
        <v>Yes</v>
      </c>
      <c r="S142" s="143"/>
      <c r="V142" s="144"/>
      <c r="W142" s="145"/>
    </row>
    <row r="143" spans="1:23" ht="16.5" customHeight="1">
      <c r="A143" s="477" t="s">
        <v>281</v>
      </c>
      <c r="B143" s="441">
        <v>301</v>
      </c>
      <c r="C143" s="428" t="str">
        <f>VLOOKUP(B143,'Data pick slip'!B:F,5,FALSE)</f>
        <v>KHN-M7710-A4</v>
      </c>
      <c r="F143" s="170" t="s">
        <v>4545</v>
      </c>
      <c r="G143" s="146" t="s">
        <v>4273</v>
      </c>
      <c r="H143" s="146" t="s">
        <v>76</v>
      </c>
      <c r="J143" s="138">
        <v>2045</v>
      </c>
      <c r="K143" s="140" t="str">
        <f>VLOOKUP(J143,Stock_list!A:R,18,FALSE)</f>
        <v>朗格邦定</v>
      </c>
      <c r="L143" s="139" t="str">
        <f>VLOOKUP(J143,Stock_list!A:S,17,FALSE)</f>
        <v>C49SZX20230142MZ</v>
      </c>
      <c r="M143" s="51" t="str">
        <f>VLOOKUP(J143,Stock_list!A:T,16,FALSE)</f>
        <v>JPY</v>
      </c>
      <c r="N143" s="4">
        <v>45345</v>
      </c>
      <c r="O143" s="140">
        <v>5</v>
      </c>
      <c r="R143" s="4" t="str">
        <f>VLOOKUP(J143,Stock_list!A:Y,25,FALSE)</f>
        <v>Yes</v>
      </c>
      <c r="S143" s="143"/>
      <c r="V143" s="144"/>
      <c r="W143" s="145"/>
    </row>
    <row r="144" spans="1:23" ht="16.5" customHeight="1">
      <c r="A144" s="477" t="s">
        <v>4546</v>
      </c>
      <c r="B144" s="441">
        <v>302</v>
      </c>
      <c r="C144" s="428" t="str">
        <f>VLOOKUP(B144,'Data pick slip'!B:F,5,FALSE)</f>
        <v>KHN-M7720-A3</v>
      </c>
      <c r="D144" s="544" t="s">
        <v>4297</v>
      </c>
      <c r="F144" s="170" t="s">
        <v>4545</v>
      </c>
      <c r="G144" s="146" t="s">
        <v>4271</v>
      </c>
      <c r="H144" s="146" t="s">
        <v>76</v>
      </c>
      <c r="J144" s="138">
        <v>2045</v>
      </c>
      <c r="K144" s="140" t="str">
        <f>VLOOKUP(J144,Stock_list!A:R,18,FALSE)</f>
        <v>朗格邦定</v>
      </c>
      <c r="L144" s="139" t="str">
        <f>VLOOKUP(J144,Stock_list!A:S,17,FALSE)</f>
        <v>C49SZX20230142MZ</v>
      </c>
      <c r="M144" s="51" t="str">
        <f>VLOOKUP(J144,Stock_list!A:T,16,FALSE)</f>
        <v>JPY</v>
      </c>
      <c r="N144" s="4"/>
      <c r="O144" s="140">
        <v>15</v>
      </c>
      <c r="R144" s="4" t="str">
        <f>VLOOKUP(J144,Stock_list!A:Y,25,FALSE)</f>
        <v>Yes</v>
      </c>
      <c r="S144" s="143"/>
      <c r="V144" s="144"/>
      <c r="W144" s="145"/>
    </row>
    <row r="145" spans="1:23" ht="16.5" customHeight="1">
      <c r="A145" s="477" t="s">
        <v>4549</v>
      </c>
      <c r="B145" s="441">
        <v>312</v>
      </c>
      <c r="C145" s="428" t="str">
        <f>VLOOKUP(B145,'Data pick slip'!B:F,5,FALSE)</f>
        <v>KHY-M7720-A3</v>
      </c>
      <c r="F145" s="170" t="s">
        <v>4278</v>
      </c>
      <c r="G145" s="146" t="s">
        <v>4273</v>
      </c>
      <c r="H145" s="146" t="s">
        <v>76</v>
      </c>
      <c r="J145" s="138">
        <v>2081</v>
      </c>
      <c r="K145" s="140" t="str">
        <f>VLOOKUP(J145,Stock_list!A:R,18,FALSE)</f>
        <v>斯迈</v>
      </c>
      <c r="L145" s="139" t="str">
        <f>VLOOKUP(J145,Stock_list!A:S,17,FALSE)</f>
        <v>C49SZX20240018DZ</v>
      </c>
      <c r="M145" s="51" t="str">
        <f>VLOOKUP(J145,Stock_list!A:T,16,FALSE)</f>
        <v>JPY</v>
      </c>
      <c r="N145" s="4"/>
      <c r="O145" s="140">
        <v>80</v>
      </c>
      <c r="R145" s="4" t="str">
        <f>VLOOKUP(J145,Stock_list!A:Y,25,FALSE)</f>
        <v>Yes</v>
      </c>
      <c r="S145" s="143"/>
      <c r="V145" s="144"/>
      <c r="W145" s="145"/>
    </row>
    <row r="146" spans="1:23" ht="16.5" customHeight="1">
      <c r="A146" s="477" t="s">
        <v>281</v>
      </c>
      <c r="B146" s="441">
        <v>302</v>
      </c>
      <c r="C146" s="428" t="str">
        <f>VLOOKUP(B146,'Data pick slip'!B:F,5,FALSE)</f>
        <v>KHN-M7720-A3</v>
      </c>
      <c r="D146" s="544" t="s">
        <v>4297</v>
      </c>
      <c r="F146" s="170" t="s">
        <v>4278</v>
      </c>
      <c r="G146" s="146" t="s">
        <v>4271</v>
      </c>
      <c r="H146" s="146" t="s">
        <v>76</v>
      </c>
      <c r="J146" s="138">
        <v>2081</v>
      </c>
      <c r="K146" s="140" t="str">
        <f>VLOOKUP(J146,Stock_list!A:R,18,FALSE)</f>
        <v>斯迈</v>
      </c>
      <c r="L146" s="139" t="str">
        <f>VLOOKUP(J146,Stock_list!A:S,17,FALSE)</f>
        <v>C49SZX20240018DZ</v>
      </c>
      <c r="M146" s="51" t="str">
        <f>VLOOKUP(J146,Stock_list!A:T,16,FALSE)</f>
        <v>JPY</v>
      </c>
      <c r="N146" s="4"/>
      <c r="O146" s="140">
        <v>40</v>
      </c>
      <c r="R146" s="4" t="str">
        <f>VLOOKUP(J146,Stock_list!A:Y,25,FALSE)</f>
        <v>Yes</v>
      </c>
      <c r="S146" s="143"/>
      <c r="V146" s="144"/>
      <c r="W146" s="145"/>
    </row>
    <row r="147" spans="1:23" ht="16.5" customHeight="1">
      <c r="A147" s="477" t="s">
        <v>281</v>
      </c>
      <c r="B147" s="441">
        <v>301</v>
      </c>
      <c r="C147" s="428" t="str">
        <f>VLOOKUP(B147,'Data pick slip'!B:F,5,FALSE)</f>
        <v>KHN-M7710-A4</v>
      </c>
      <c r="D147" s="544" t="s">
        <v>4297</v>
      </c>
      <c r="F147" s="170" t="s">
        <v>4290</v>
      </c>
      <c r="G147" s="146" t="s">
        <v>4271</v>
      </c>
      <c r="H147" s="146" t="s">
        <v>76</v>
      </c>
      <c r="J147" s="138">
        <v>2081</v>
      </c>
      <c r="K147" s="140" t="str">
        <f>VLOOKUP(J147,Stock_list!A:R,18,FALSE)</f>
        <v>斯迈</v>
      </c>
      <c r="L147" s="139" t="str">
        <f>VLOOKUP(J147,Stock_list!A:S,17,FALSE)</f>
        <v>C49SZX20240018DZ</v>
      </c>
      <c r="M147" s="51" t="str">
        <f>VLOOKUP(J147,Stock_list!A:T,16,FALSE)</f>
        <v>JPY</v>
      </c>
      <c r="N147" s="4">
        <v>45323</v>
      </c>
      <c r="O147" s="140">
        <v>40</v>
      </c>
      <c r="R147" s="4" t="str">
        <f>VLOOKUP(J147,Stock_list!A:Y,25,FALSE)</f>
        <v>Yes</v>
      </c>
      <c r="S147" s="143"/>
      <c r="V147" s="144"/>
      <c r="W147" s="145"/>
    </row>
    <row r="148" spans="1:23" ht="16.5" customHeight="1">
      <c r="A148" s="477" t="s">
        <v>281</v>
      </c>
      <c r="B148" s="441">
        <v>301</v>
      </c>
      <c r="C148" s="428" t="str">
        <f>VLOOKUP(B148,'Data pick slip'!B:F,5,FALSE)</f>
        <v>KHN-M7710-A4</v>
      </c>
      <c r="F148" s="170" t="s">
        <v>4278</v>
      </c>
      <c r="G148" s="146" t="s">
        <v>4271</v>
      </c>
      <c r="H148" s="146" t="s">
        <v>76</v>
      </c>
      <c r="J148" s="138">
        <v>2017</v>
      </c>
      <c r="K148" s="140" t="str">
        <f>VLOOKUP(J148,Stock_list!A:R,18,FALSE)</f>
        <v>兴开泰（end user:兴连）</v>
      </c>
      <c r="L148" s="139" t="str">
        <f>VLOOKUP(J148,Stock_list!A:S,17,FALSE)</f>
        <v>C49SZX20230111SX</v>
      </c>
      <c r="M148" s="51" t="str">
        <f>VLOOKUP(J148,Stock_list!A:T,16,FALSE)</f>
        <v>JPY</v>
      </c>
      <c r="N148" s="4">
        <v>45324</v>
      </c>
      <c r="O148" s="140">
        <v>95</v>
      </c>
      <c r="R148" s="4" t="str">
        <f>VLOOKUP(J148,Stock_list!A:Y,25,FALSE)</f>
        <v>Yes</v>
      </c>
      <c r="S148" s="143"/>
      <c r="V148" s="144"/>
      <c r="W148" s="145"/>
    </row>
    <row r="149" spans="1:23" ht="16.5" customHeight="1">
      <c r="A149" s="477" t="s">
        <v>281</v>
      </c>
      <c r="B149" s="441">
        <v>301</v>
      </c>
      <c r="C149" s="428" t="str">
        <f>VLOOKUP(B149,'Data pick slip'!B:F,5,FALSE)</f>
        <v>KHN-M7710-A4</v>
      </c>
      <c r="D149" s="544" t="s">
        <v>4297</v>
      </c>
      <c r="F149" s="170" t="s">
        <v>4278</v>
      </c>
      <c r="G149" s="146" t="s">
        <v>4271</v>
      </c>
      <c r="H149" s="146" t="s">
        <v>76</v>
      </c>
      <c r="J149" s="138">
        <v>2017</v>
      </c>
      <c r="K149" s="140" t="str">
        <f>VLOOKUP(J149,Stock_list!A:R,18,FALSE)</f>
        <v>兴开泰（end user:兴连）</v>
      </c>
      <c r="L149" s="139" t="str">
        <f>VLOOKUP(J149,Stock_list!A:S,17,FALSE)</f>
        <v>C49SZX20230111SX</v>
      </c>
      <c r="M149" s="51" t="str">
        <f>VLOOKUP(J149,Stock_list!A:T,16,FALSE)</f>
        <v>JPY</v>
      </c>
      <c r="N149" s="4">
        <v>45324</v>
      </c>
      <c r="O149" s="140">
        <v>65</v>
      </c>
      <c r="R149" s="4" t="str">
        <f>VLOOKUP(J149,Stock_list!A:Y,25,FALSE)</f>
        <v>Yes</v>
      </c>
      <c r="S149" s="143"/>
      <c r="V149" s="144"/>
      <c r="W149" s="145"/>
    </row>
    <row r="150" spans="1:23" ht="16.5" customHeight="1">
      <c r="A150" s="477" t="s">
        <v>281</v>
      </c>
      <c r="B150" s="441">
        <v>302</v>
      </c>
      <c r="C150" s="428" t="str">
        <f>VLOOKUP(B150,'Data pick slip'!B:F,5,FALSE)</f>
        <v>KHN-M7720-A3</v>
      </c>
      <c r="F150" s="170" t="s">
        <v>4278</v>
      </c>
      <c r="G150" s="146" t="s">
        <v>4273</v>
      </c>
      <c r="H150" s="146" t="s">
        <v>76</v>
      </c>
      <c r="J150" s="138">
        <v>2017</v>
      </c>
      <c r="K150" s="140" t="str">
        <f>VLOOKUP(J150,Stock_list!A:R,18,FALSE)</f>
        <v>兴开泰（end user:兴连）</v>
      </c>
      <c r="L150" s="139" t="str">
        <f>VLOOKUP(J150,Stock_list!A:S,17,FALSE)</f>
        <v>C49SZX20230111SX</v>
      </c>
      <c r="M150" s="51" t="str">
        <f>VLOOKUP(J150,Stock_list!A:T,16,FALSE)</f>
        <v>JPY</v>
      </c>
      <c r="N150" s="4"/>
      <c r="O150" s="140">
        <v>95</v>
      </c>
      <c r="R150" s="4" t="str">
        <f>VLOOKUP(J150,Stock_list!A:Y,25,FALSE)</f>
        <v>Yes</v>
      </c>
      <c r="S150" s="143"/>
      <c r="V150" s="144"/>
      <c r="W150" s="145"/>
    </row>
    <row r="151" spans="1:23" ht="16.5" customHeight="1">
      <c r="A151" s="477" t="s">
        <v>281</v>
      </c>
      <c r="B151" s="441">
        <v>303</v>
      </c>
      <c r="C151" s="428" t="str">
        <f>VLOOKUP(B151,'Data pick slip'!B:F,5,FALSE)</f>
        <v>KHY-M7740-A0</v>
      </c>
      <c r="F151" s="170" t="s">
        <v>4278</v>
      </c>
      <c r="G151" s="146" t="s">
        <v>4273</v>
      </c>
      <c r="H151" s="146" t="s">
        <v>76</v>
      </c>
      <c r="J151" s="138">
        <v>2017</v>
      </c>
      <c r="K151" s="140" t="str">
        <f>VLOOKUP(J151,Stock_list!A:R,18,FALSE)</f>
        <v>兴开泰（end user:兴连）</v>
      </c>
      <c r="L151" s="139" t="str">
        <f>VLOOKUP(J151,Stock_list!A:S,17,FALSE)</f>
        <v>C49SZX20230111SX</v>
      </c>
      <c r="M151" s="51" t="str">
        <f>VLOOKUP(J151,Stock_list!A:T,16,FALSE)</f>
        <v>JPY</v>
      </c>
      <c r="N151" s="4"/>
      <c r="O151" s="140">
        <v>8</v>
      </c>
      <c r="R151" s="4" t="str">
        <f>VLOOKUP(J151,Stock_list!A:Y,25,FALSE)</f>
        <v>Yes</v>
      </c>
      <c r="S151" s="143"/>
      <c r="V151" s="144"/>
      <c r="W151" s="145"/>
    </row>
    <row r="152" spans="1:23" ht="16.5" customHeight="1">
      <c r="A152" s="477" t="s">
        <v>281</v>
      </c>
      <c r="B152" s="441">
        <v>303</v>
      </c>
      <c r="C152" s="428" t="str">
        <f>VLOOKUP(B152,'Data pick slip'!B:F,5,FALSE)</f>
        <v>KHY-M7740-A0</v>
      </c>
      <c r="F152" s="170" t="s">
        <v>4276</v>
      </c>
      <c r="G152" s="146" t="s">
        <v>4273</v>
      </c>
      <c r="H152" s="146" t="s">
        <v>76</v>
      </c>
      <c r="J152" s="138">
        <v>2017</v>
      </c>
      <c r="K152" s="140" t="str">
        <f>VLOOKUP(J152,Stock_list!A:R,18,FALSE)</f>
        <v>兴开泰（end user:兴连）</v>
      </c>
      <c r="L152" s="139" t="str">
        <f>VLOOKUP(J152,Stock_list!A:S,17,FALSE)</f>
        <v>C49SZX20230111SX</v>
      </c>
      <c r="M152" s="51" t="str">
        <f>VLOOKUP(J152,Stock_list!A:T,16,FALSE)</f>
        <v>JPY</v>
      </c>
      <c r="N152" s="4"/>
      <c r="O152" s="140">
        <v>14</v>
      </c>
      <c r="R152" s="4" t="str">
        <f>VLOOKUP(J152,Stock_list!A:Y,25,FALSE)</f>
        <v>Yes</v>
      </c>
      <c r="S152" s="143"/>
      <c r="U152" s="123" t="s">
        <v>4547</v>
      </c>
      <c r="V152" s="144"/>
      <c r="W152" s="145"/>
    </row>
    <row r="153" spans="1:23" ht="16.5" customHeight="1">
      <c r="A153" s="477" t="s">
        <v>281</v>
      </c>
      <c r="B153" s="441">
        <v>304</v>
      </c>
      <c r="C153" s="428" t="str">
        <f>VLOOKUP(B153,'Data pick slip'!B:F,5,FALSE)</f>
        <v>KHY-M7750-A0</v>
      </c>
      <c r="F153" s="170" t="s">
        <v>4278</v>
      </c>
      <c r="G153" s="146" t="s">
        <v>4273</v>
      </c>
      <c r="H153" s="146" t="s">
        <v>76</v>
      </c>
      <c r="J153" s="138">
        <v>2017</v>
      </c>
      <c r="K153" s="140" t="str">
        <f>VLOOKUP(J153,Stock_list!A:R,18,FALSE)</f>
        <v>兴开泰（end user:兴连）</v>
      </c>
      <c r="L153" s="139" t="str">
        <f>VLOOKUP(J153,Stock_list!A:S,17,FALSE)</f>
        <v>C49SZX20230111SX</v>
      </c>
      <c r="M153" s="51" t="str">
        <f>VLOOKUP(J153,Stock_list!A:T,16,FALSE)</f>
        <v>JPY</v>
      </c>
      <c r="N153" s="4"/>
      <c r="O153" s="140">
        <v>30</v>
      </c>
      <c r="R153" s="4" t="str">
        <f>VLOOKUP(J153,Stock_list!A:Y,25,FALSE)</f>
        <v>Yes</v>
      </c>
      <c r="S153" s="143"/>
      <c r="V153" s="144"/>
      <c r="W153" s="145"/>
    </row>
    <row r="154" spans="1:23" ht="16.5" customHeight="1">
      <c r="A154" s="477" t="s">
        <v>15</v>
      </c>
      <c r="B154" s="441">
        <v>311</v>
      </c>
      <c r="C154" s="428" t="str">
        <f>VLOOKUP(B154,'Data pick slip'!B:F,5,FALSE)</f>
        <v>KHY-M7710-A4</v>
      </c>
      <c r="F154" s="170" t="s">
        <v>4276</v>
      </c>
      <c r="G154" s="146" t="s">
        <v>4273</v>
      </c>
      <c r="H154" s="146" t="s">
        <v>76</v>
      </c>
      <c r="J154" s="138">
        <v>2017</v>
      </c>
      <c r="K154" s="140" t="str">
        <f>VLOOKUP(J154,Stock_list!A:R,18,FALSE)</f>
        <v>兴开泰（end user:兴连）</v>
      </c>
      <c r="L154" s="139" t="str">
        <f>VLOOKUP(J154,Stock_list!A:S,17,FALSE)</f>
        <v>C49SZX20230111SX</v>
      </c>
      <c r="M154" s="51" t="str">
        <f>VLOOKUP(J154,Stock_list!A:T,16,FALSE)</f>
        <v>JPY</v>
      </c>
      <c r="N154" s="4">
        <v>45323</v>
      </c>
      <c r="O154" s="140">
        <v>95</v>
      </c>
      <c r="R154" s="4" t="str">
        <f>VLOOKUP(J154,Stock_list!A:Y,25,FALSE)</f>
        <v>Yes</v>
      </c>
      <c r="S154" s="143"/>
      <c r="U154" s="123" t="s">
        <v>4547</v>
      </c>
      <c r="V154" s="144"/>
      <c r="W154" s="145"/>
    </row>
    <row r="155" spans="1:23" ht="16.5" customHeight="1">
      <c r="A155" s="477" t="s">
        <v>15</v>
      </c>
      <c r="B155" s="441">
        <v>312</v>
      </c>
      <c r="C155" s="428" t="str">
        <f>VLOOKUP(B155,'Data pick slip'!B:F,5,FALSE)</f>
        <v>KHY-M7720-A3</v>
      </c>
      <c r="F155" s="170" t="s">
        <v>4290</v>
      </c>
      <c r="G155" s="146" t="s">
        <v>4273</v>
      </c>
      <c r="H155" s="146" t="s">
        <v>76</v>
      </c>
      <c r="J155" s="138">
        <v>2017</v>
      </c>
      <c r="K155" s="140" t="str">
        <f>VLOOKUP(J155,Stock_list!A:R,18,FALSE)</f>
        <v>兴开泰（end user:兴连）</v>
      </c>
      <c r="L155" s="139" t="str">
        <f>VLOOKUP(J155,Stock_list!A:S,17,FALSE)</f>
        <v>C49SZX20230111SX</v>
      </c>
      <c r="M155" s="51" t="str">
        <f>VLOOKUP(J155,Stock_list!A:T,16,FALSE)</f>
        <v>JPY</v>
      </c>
      <c r="N155" s="4"/>
      <c r="O155" s="140">
        <v>23</v>
      </c>
      <c r="R155" s="4" t="str">
        <f>VLOOKUP(J155,Stock_list!A:Y,25,FALSE)</f>
        <v>Yes</v>
      </c>
      <c r="S155" s="143"/>
      <c r="V155" s="144"/>
      <c r="W155" s="145"/>
    </row>
    <row r="156" spans="1:23" ht="17.25" customHeight="1">
      <c r="A156" s="477" t="s">
        <v>281</v>
      </c>
      <c r="B156" s="441">
        <v>301</v>
      </c>
      <c r="C156" s="428" t="str">
        <f>VLOOKUP(B156,'Data pick slip'!B:F,5,FALSE)</f>
        <v>KHN-M7710-A4</v>
      </c>
      <c r="F156" s="170" t="s">
        <v>4278</v>
      </c>
      <c r="G156" s="146" t="s">
        <v>4271</v>
      </c>
      <c r="H156" s="146" t="s">
        <v>76</v>
      </c>
      <c r="J156" s="138">
        <v>2000</v>
      </c>
      <c r="K156" s="140" t="str">
        <f>VLOOKUP(J156,Stock_list!A:R,18,FALSE)</f>
        <v>高伟</v>
      </c>
      <c r="L156" s="139" t="str">
        <f>VLOOKUP(J156,Stock_list!A:S,17,FALSE)</f>
        <v>C49SZX20230119JL/4600003615</v>
      </c>
      <c r="M156" s="51" t="str">
        <f>VLOOKUP(J156,Stock_list!A:T,16,FALSE)</f>
        <v>USD</v>
      </c>
      <c r="N156" s="4">
        <v>45300</v>
      </c>
      <c r="O156" s="140">
        <v>10</v>
      </c>
      <c r="R156" s="4" t="str">
        <f>VLOOKUP(J156,Stock_list!A:Y,25,FALSE)</f>
        <v>Yes</v>
      </c>
      <c r="S156" s="143"/>
      <c r="V156" s="144"/>
      <c r="W156" s="145"/>
    </row>
    <row r="157" spans="1:23" ht="16.5" customHeight="1">
      <c r="A157" s="477" t="s">
        <v>15</v>
      </c>
      <c r="B157" s="441">
        <v>301</v>
      </c>
      <c r="C157" s="428" t="str">
        <f>VLOOKUP(B157,'Data pick slip'!B:F,5,FALSE)</f>
        <v>KHN-M7710-A4</v>
      </c>
      <c r="D157" s="544" t="s">
        <v>4568</v>
      </c>
      <c r="F157" s="170" t="s">
        <v>4290</v>
      </c>
      <c r="G157" s="146" t="s">
        <v>4273</v>
      </c>
      <c r="H157" s="146" t="s">
        <v>76</v>
      </c>
      <c r="K157" s="389" t="s">
        <v>4568</v>
      </c>
      <c r="L157" s="269" t="s">
        <v>4570</v>
      </c>
      <c r="M157" s="51" t="s">
        <v>4569</v>
      </c>
      <c r="N157" s="4"/>
      <c r="O157" s="140">
        <v>45</v>
      </c>
      <c r="R157" s="4" t="e">
        <f>VLOOKUP(J157,Stock_list!A:Y,25,FALSE)</f>
        <v>#N/A</v>
      </c>
      <c r="S157" s="143"/>
      <c r="V157" s="144"/>
      <c r="W157" s="145"/>
    </row>
    <row r="158" spans="1:23" ht="16.5" customHeight="1">
      <c r="A158" s="477" t="s">
        <v>15</v>
      </c>
      <c r="B158" s="441">
        <v>312</v>
      </c>
      <c r="C158" s="428" t="str">
        <f>VLOOKUP(B158,'Data pick slip'!B:F,5,FALSE)</f>
        <v>KHY-M7720-A3</v>
      </c>
      <c r="D158" s="544" t="s">
        <v>4568</v>
      </c>
      <c r="F158" s="170" t="s">
        <v>4290</v>
      </c>
      <c r="G158" s="146" t="s">
        <v>4273</v>
      </c>
      <c r="H158" s="146" t="s">
        <v>76</v>
      </c>
      <c r="K158" s="389" t="s">
        <v>4568</v>
      </c>
      <c r="L158" s="269" t="s">
        <v>4570</v>
      </c>
      <c r="M158" s="51" t="s">
        <v>4569</v>
      </c>
      <c r="N158" s="4"/>
      <c r="O158" s="140">
        <v>3</v>
      </c>
      <c r="R158" s="4" t="e">
        <f>VLOOKUP(J158,Stock_list!A:Y,25,FALSE)</f>
        <v>#N/A</v>
      </c>
      <c r="S158" s="143"/>
      <c r="V158" s="144"/>
      <c r="W158" s="145"/>
    </row>
    <row r="159" spans="1:23" ht="16.5" customHeight="1">
      <c r="A159" s="477" t="s">
        <v>15</v>
      </c>
      <c r="B159" s="441">
        <v>301</v>
      </c>
      <c r="C159" s="428" t="str">
        <f>VLOOKUP(B159,'Data pick slip'!B:F,5,FALSE)</f>
        <v>KHN-M7710-A4</v>
      </c>
      <c r="F159" s="170" t="s">
        <v>4290</v>
      </c>
      <c r="G159" s="146" t="s">
        <v>4273</v>
      </c>
      <c r="H159" s="146" t="s">
        <v>76</v>
      </c>
      <c r="J159" s="138">
        <v>2090</v>
      </c>
      <c r="K159" s="140" t="str">
        <f>VLOOKUP(J159,Stock_list!A:R,18,FALSE)</f>
        <v>格美通</v>
      </c>
      <c r="L159" s="139" t="str">
        <f>VLOOKUP(J159,Stock_list!A:S,17,FALSE)</f>
        <v>C49SZX20240021EC</v>
      </c>
      <c r="M159" s="51" t="str">
        <f>VLOOKUP(J159,Stock_list!A:T,16,FALSE)</f>
        <v>JPY</v>
      </c>
      <c r="N159" s="4"/>
      <c r="O159" s="140">
        <v>20</v>
      </c>
      <c r="R159" s="4" t="str">
        <f>VLOOKUP(J159,Stock_list!A:Y,25,FALSE)</f>
        <v>Yes</v>
      </c>
      <c r="S159" s="143"/>
      <c r="V159" s="144"/>
      <c r="W159" s="145"/>
    </row>
    <row r="160" spans="1:23" ht="16.5" customHeight="1">
      <c r="A160" s="477" t="s">
        <v>281</v>
      </c>
      <c r="B160" s="441">
        <v>302</v>
      </c>
      <c r="C160" s="428" t="str">
        <f>VLOOKUP(B160,'Data pick slip'!B:F,5,FALSE)</f>
        <v>KHN-M7720-A3</v>
      </c>
      <c r="D160" s="544" t="s">
        <v>4297</v>
      </c>
      <c r="F160" s="170" t="s">
        <v>4278</v>
      </c>
      <c r="G160" s="146" t="s">
        <v>4271</v>
      </c>
      <c r="H160" s="146" t="s">
        <v>76</v>
      </c>
      <c r="J160" s="138">
        <v>2090</v>
      </c>
      <c r="K160" s="140" t="str">
        <f>VLOOKUP(J160,Stock_list!A:R,18,FALSE)</f>
        <v>格美通</v>
      </c>
      <c r="L160" s="139" t="str">
        <f>VLOOKUP(J160,Stock_list!A:S,17,FALSE)</f>
        <v>C49SZX20240021EC</v>
      </c>
      <c r="M160" s="51" t="str">
        <f>VLOOKUP(J160,Stock_list!A:T,16,FALSE)</f>
        <v>JPY</v>
      </c>
      <c r="N160" s="4"/>
      <c r="O160" s="140">
        <v>20</v>
      </c>
      <c r="R160" s="4" t="str">
        <f>VLOOKUP(J160,Stock_list!A:Y,25,FALSE)</f>
        <v>Yes</v>
      </c>
      <c r="S160" s="143"/>
      <c r="V160" s="144"/>
      <c r="W160" s="145"/>
    </row>
    <row r="161" spans="1:23" ht="16.5" customHeight="1">
      <c r="A161" s="477" t="s">
        <v>281</v>
      </c>
      <c r="B161" s="441">
        <v>302</v>
      </c>
      <c r="C161" s="428" t="str">
        <f>VLOOKUP(B161,'Data pick slip'!B:F,5,FALSE)</f>
        <v>KHN-M7720-A3</v>
      </c>
      <c r="F161" s="170" t="s">
        <v>4290</v>
      </c>
      <c r="G161" s="146" t="s">
        <v>4273</v>
      </c>
      <c r="H161" s="146" t="s">
        <v>76</v>
      </c>
      <c r="J161" s="138">
        <v>2040</v>
      </c>
      <c r="K161" s="140" t="str">
        <f>VLOOKUP(J161,Stock_list!A:R,18,FALSE)</f>
        <v>TBS</v>
      </c>
      <c r="L161" s="139" t="str">
        <f>VLOOKUP(J161,Stock_list!A:S,17,FALSE)</f>
        <v>C49SZX20230136JAL</v>
      </c>
      <c r="M161" s="51" t="str">
        <f>VLOOKUP(J161,Stock_list!A:T,16,FALSE)</f>
        <v>USD</v>
      </c>
      <c r="N161" s="4">
        <v>45344</v>
      </c>
      <c r="O161" s="140">
        <v>15</v>
      </c>
      <c r="R161" s="4" t="str">
        <f>VLOOKUP(J161,Stock_list!A:Y,25,FALSE)</f>
        <v>Yes</v>
      </c>
      <c r="S161" s="143"/>
      <c r="V161" s="144"/>
      <c r="W161" s="145"/>
    </row>
    <row r="162" spans="1:23" ht="16.5" customHeight="1">
      <c r="A162" s="477" t="s">
        <v>281</v>
      </c>
      <c r="B162" s="441">
        <v>303</v>
      </c>
      <c r="C162" s="428" t="str">
        <f>VLOOKUP(B162,'Data pick slip'!B:F,5,FALSE)</f>
        <v>KHY-M7740-A0</v>
      </c>
      <c r="F162" s="170" t="s">
        <v>4290</v>
      </c>
      <c r="G162" s="146" t="s">
        <v>4273</v>
      </c>
      <c r="H162" s="146" t="s">
        <v>76</v>
      </c>
      <c r="J162" s="138">
        <v>2040</v>
      </c>
      <c r="K162" s="140" t="str">
        <f>VLOOKUP(J162,Stock_list!A:R,18,FALSE)</f>
        <v>TBS</v>
      </c>
      <c r="L162" s="139" t="str">
        <f>VLOOKUP(J162,Stock_list!A:S,17,FALSE)</f>
        <v>C49SZX20230136JAL</v>
      </c>
      <c r="M162" s="51" t="str">
        <f>VLOOKUP(J162,Stock_list!A:T,16,FALSE)</f>
        <v>USD</v>
      </c>
      <c r="N162" s="4">
        <v>45344</v>
      </c>
      <c r="O162" s="140">
        <v>8</v>
      </c>
      <c r="R162" s="4" t="str">
        <f>VLOOKUP(J162,Stock_list!A:Y,25,FALSE)</f>
        <v>Yes</v>
      </c>
      <c r="S162" s="143"/>
      <c r="V162" s="144"/>
      <c r="W162" s="145"/>
    </row>
    <row r="163" spans="1:23" ht="16.5" customHeight="1">
      <c r="A163" s="477" t="s">
        <v>15</v>
      </c>
      <c r="B163" s="441">
        <v>301</v>
      </c>
      <c r="C163" s="428" t="str">
        <f>VLOOKUP(B163,'Data pick slip'!B:F,5,FALSE)</f>
        <v>KHN-M7710-A4</v>
      </c>
      <c r="F163" s="170" t="s">
        <v>4278</v>
      </c>
      <c r="G163" s="146" t="s">
        <v>4271</v>
      </c>
      <c r="H163" s="146" t="s">
        <v>76</v>
      </c>
      <c r="J163" s="138">
        <v>2040</v>
      </c>
      <c r="K163" s="140" t="str">
        <f>VLOOKUP(J163,Stock_list!A:R,18,FALSE)</f>
        <v>TBS</v>
      </c>
      <c r="L163" s="139" t="str">
        <f>VLOOKUP(J163,Stock_list!A:S,17,FALSE)</f>
        <v>C49SZX20230136JAL</v>
      </c>
      <c r="M163" s="51" t="str">
        <f>VLOOKUP(J163,Stock_list!A:T,16,FALSE)</f>
        <v>USD</v>
      </c>
      <c r="N163" s="4">
        <v>45344</v>
      </c>
      <c r="O163" s="140">
        <v>15</v>
      </c>
      <c r="R163" s="4" t="str">
        <f>VLOOKUP(J163,Stock_list!A:Y,25,FALSE)</f>
        <v>Yes</v>
      </c>
      <c r="S163" s="143"/>
      <c r="V163" s="144"/>
      <c r="W163" s="145"/>
    </row>
    <row r="164" spans="1:23" ht="16.5" customHeight="1">
      <c r="A164" s="477" t="s">
        <v>4593</v>
      </c>
      <c r="B164" s="441">
        <v>304</v>
      </c>
      <c r="C164" s="428" t="str">
        <f>VLOOKUP(B164,'Data pick slip'!B:F,5,FALSE)</f>
        <v>KHY-M7750-A0</v>
      </c>
      <c r="F164" s="170" t="s">
        <v>4278</v>
      </c>
      <c r="G164" s="146" t="s">
        <v>4273</v>
      </c>
      <c r="H164" s="146" t="s">
        <v>76</v>
      </c>
      <c r="J164" s="138">
        <v>2040</v>
      </c>
      <c r="K164" s="140" t="str">
        <f>VLOOKUP(J164,Stock_list!A:R,18,FALSE)</f>
        <v>TBS</v>
      </c>
      <c r="L164" s="139" t="str">
        <f>VLOOKUP(J164,Stock_list!A:S,17,FALSE)</f>
        <v>C49SZX20230136JAL</v>
      </c>
      <c r="M164" s="51" t="str">
        <f>VLOOKUP(J164,Stock_list!A:T,16,FALSE)</f>
        <v>USD</v>
      </c>
      <c r="N164" s="4">
        <v>45344</v>
      </c>
      <c r="O164" s="140">
        <v>5</v>
      </c>
      <c r="R164" s="4" t="str">
        <f>VLOOKUP(J164,Stock_list!A:Y,25,FALSE)</f>
        <v>Yes</v>
      </c>
      <c r="S164" s="143"/>
      <c r="V164" s="144"/>
      <c r="W164" s="145"/>
    </row>
    <row r="165" spans="1:23" ht="16.5" customHeight="1">
      <c r="A165" s="477" t="s">
        <v>15</v>
      </c>
      <c r="B165" s="441">
        <v>301</v>
      </c>
      <c r="C165" s="428" t="str">
        <f>VLOOKUP(B165,'Data pick slip'!B:F,5,FALSE)</f>
        <v>KHN-M7710-A4</v>
      </c>
      <c r="D165" s="544" t="s">
        <v>4594</v>
      </c>
      <c r="F165" s="170" t="s">
        <v>4278</v>
      </c>
      <c r="G165" s="146" t="s">
        <v>4271</v>
      </c>
      <c r="H165" s="146" t="s">
        <v>76</v>
      </c>
      <c r="J165" s="138">
        <v>2040</v>
      </c>
      <c r="K165" s="140" t="str">
        <f>VLOOKUP(J165,Stock_list!A:R,18,FALSE)</f>
        <v>TBS</v>
      </c>
      <c r="L165" s="139" t="str">
        <f>VLOOKUP(J165,Stock_list!A:S,17,FALSE)</f>
        <v>C49SZX20230136JAL</v>
      </c>
      <c r="M165" s="51" t="str">
        <f>VLOOKUP(J165,Stock_list!A:T,16,FALSE)</f>
        <v>USD</v>
      </c>
      <c r="N165" s="4">
        <v>45344</v>
      </c>
      <c r="O165" s="140">
        <v>5</v>
      </c>
      <c r="R165" s="4" t="str">
        <f>VLOOKUP(J165,Stock_list!A:Y,25,FALSE)</f>
        <v>Yes</v>
      </c>
      <c r="S165" s="143"/>
      <c r="V165" s="144"/>
      <c r="W165" s="145"/>
    </row>
    <row r="166" spans="1:23" ht="16.5" customHeight="1">
      <c r="A166" s="477" t="s">
        <v>15</v>
      </c>
      <c r="B166" s="441">
        <v>301</v>
      </c>
      <c r="C166" s="428" t="str">
        <f>VLOOKUP(B166,'Data pick slip'!B:F,5,FALSE)</f>
        <v>KHN-M7710-A4</v>
      </c>
      <c r="F166" s="170" t="s">
        <v>4278</v>
      </c>
      <c r="G166" s="146" t="s">
        <v>4271</v>
      </c>
      <c r="H166" s="146" t="s">
        <v>76</v>
      </c>
      <c r="J166" s="138">
        <v>2085</v>
      </c>
      <c r="K166" s="140" t="str">
        <f>VLOOKUP(J166,Stock_list!A:R,18,FALSE)</f>
        <v>江西优控</v>
      </c>
      <c r="L166" s="139" t="str">
        <f>VLOOKUP(J166,Stock_list!A:S,17,FALSE)</f>
        <v>C49SZX20240013SX</v>
      </c>
      <c r="M166" s="51" t="str">
        <f>VLOOKUP(J166,Stock_list!A:T,16,FALSE)</f>
        <v>JPY</v>
      </c>
      <c r="N166" s="4">
        <v>45346</v>
      </c>
      <c r="O166" s="140">
        <v>5</v>
      </c>
      <c r="R166" s="4" t="str">
        <f>VLOOKUP(J166,Stock_list!A:Y,25,FALSE)</f>
        <v>Yes</v>
      </c>
      <c r="S166" s="143"/>
      <c r="V166" s="144"/>
      <c r="W166" s="145"/>
    </row>
    <row r="167" spans="1:23" ht="16.5" customHeight="1">
      <c r="A167" s="477" t="s">
        <v>15</v>
      </c>
      <c r="B167" s="441">
        <v>301</v>
      </c>
      <c r="C167" s="428" t="str">
        <f>VLOOKUP(B167,'Data pick slip'!B:F,5,FALSE)</f>
        <v>KHN-M7710-A4</v>
      </c>
      <c r="F167" s="170" t="s">
        <v>4278</v>
      </c>
      <c r="G167" s="146" t="s">
        <v>4273</v>
      </c>
      <c r="H167" s="146" t="s">
        <v>76</v>
      </c>
      <c r="J167" s="138">
        <v>2085</v>
      </c>
      <c r="K167" s="140" t="str">
        <f>VLOOKUP(J167,Stock_list!A:R,18,FALSE)</f>
        <v>江西优控</v>
      </c>
      <c r="L167" s="139" t="str">
        <f>VLOOKUP(J167,Stock_list!A:S,17,FALSE)</f>
        <v>C49SZX20240013SX</v>
      </c>
      <c r="M167" s="51" t="str">
        <f>VLOOKUP(J167,Stock_list!A:T,16,FALSE)</f>
        <v>JPY</v>
      </c>
      <c r="N167" s="4">
        <v>45346</v>
      </c>
      <c r="O167" s="140">
        <v>25</v>
      </c>
      <c r="R167" s="4" t="str">
        <f>VLOOKUP(J167,Stock_list!A:Y,25,FALSE)</f>
        <v>Yes</v>
      </c>
      <c r="S167" s="143"/>
      <c r="V167" s="144"/>
      <c r="W167" s="145"/>
    </row>
    <row r="168" spans="1:23" ht="16.5" customHeight="1">
      <c r="A168" s="477" t="s">
        <v>15</v>
      </c>
      <c r="B168" s="441">
        <v>302</v>
      </c>
      <c r="C168" s="428" t="str">
        <f>VLOOKUP(B168,'Data pick slip'!B:F,5,FALSE)</f>
        <v>KHN-M7720-A3</v>
      </c>
      <c r="D168" s="544" t="s">
        <v>4297</v>
      </c>
      <c r="F168" s="170" t="s">
        <v>4278</v>
      </c>
      <c r="G168" s="146" t="s">
        <v>4271</v>
      </c>
      <c r="H168" s="146" t="s">
        <v>76</v>
      </c>
      <c r="J168" s="138">
        <v>2085</v>
      </c>
      <c r="K168" s="140" t="str">
        <f>VLOOKUP(J168,Stock_list!A:R,18,FALSE)</f>
        <v>江西优控</v>
      </c>
      <c r="L168" s="139" t="str">
        <f>VLOOKUP(J168,Stock_list!A:S,17,FALSE)</f>
        <v>C49SZX20240013SX</v>
      </c>
      <c r="M168" s="51" t="str">
        <f>VLOOKUP(J168,Stock_list!A:T,16,FALSE)</f>
        <v>JPY</v>
      </c>
      <c r="N168" s="4">
        <v>45346</v>
      </c>
      <c r="O168" s="140">
        <v>10</v>
      </c>
      <c r="R168" s="4" t="str">
        <f>VLOOKUP(J168,Stock_list!A:Y,25,FALSE)</f>
        <v>Yes</v>
      </c>
      <c r="S168" s="143"/>
      <c r="V168" s="144"/>
      <c r="W168" s="145"/>
    </row>
    <row r="169" spans="1:23" ht="16.5" customHeight="1">
      <c r="A169" s="477" t="s">
        <v>15</v>
      </c>
      <c r="B169" s="441">
        <v>303</v>
      </c>
      <c r="C169" s="428" t="str">
        <f>VLOOKUP(B169,'Data pick slip'!B:F,5,FALSE)</f>
        <v>KHY-M7740-A0</v>
      </c>
      <c r="D169" s="544" t="s">
        <v>4297</v>
      </c>
      <c r="F169" s="170" t="s">
        <v>4278</v>
      </c>
      <c r="G169" s="146" t="s">
        <v>4271</v>
      </c>
      <c r="H169" s="146" t="s">
        <v>76</v>
      </c>
      <c r="J169" s="138">
        <v>2085</v>
      </c>
      <c r="K169" s="140" t="str">
        <f>VLOOKUP(J169,Stock_list!A:R,18,FALSE)</f>
        <v>江西优控</v>
      </c>
      <c r="L169" s="139" t="str">
        <f>VLOOKUP(J169,Stock_list!A:S,17,FALSE)</f>
        <v>C49SZX20240013SX</v>
      </c>
      <c r="M169" s="51" t="str">
        <f>VLOOKUP(J169,Stock_list!A:T,16,FALSE)</f>
        <v>JPY</v>
      </c>
      <c r="N169" s="4">
        <v>45346</v>
      </c>
      <c r="O169" s="140">
        <v>10</v>
      </c>
      <c r="R169" s="4" t="str">
        <f>VLOOKUP(J169,Stock_list!A:Y,25,FALSE)</f>
        <v>Yes</v>
      </c>
      <c r="S169" s="143"/>
      <c r="V169" s="144"/>
      <c r="W169" s="145"/>
    </row>
    <row r="170" spans="1:23" ht="16.5" customHeight="1">
      <c r="A170" s="477" t="s">
        <v>15</v>
      </c>
      <c r="B170" s="441">
        <v>313</v>
      </c>
      <c r="C170" s="428" t="str">
        <f>VLOOKUP(B170,'Data pick slip'!B:F,5,FALSE)</f>
        <v>KHY-M7730-A2</v>
      </c>
      <c r="D170" s="544" t="s">
        <v>4297</v>
      </c>
      <c r="F170" s="170" t="s">
        <v>4278</v>
      </c>
      <c r="G170" s="146" t="s">
        <v>4271</v>
      </c>
      <c r="H170" s="146" t="s">
        <v>76</v>
      </c>
      <c r="J170" s="138">
        <v>2085</v>
      </c>
      <c r="K170" s="140" t="str">
        <f>VLOOKUP(J170,Stock_list!A:R,18,FALSE)</f>
        <v>江西优控</v>
      </c>
      <c r="L170" s="139" t="str">
        <f>VLOOKUP(J170,Stock_list!A:S,17,FALSE)</f>
        <v>C49SZX20240013SX</v>
      </c>
      <c r="M170" s="51" t="str">
        <f>VLOOKUP(J170,Stock_list!A:T,16,FALSE)</f>
        <v>JPY</v>
      </c>
      <c r="N170" s="4">
        <v>45346</v>
      </c>
      <c r="O170" s="140">
        <v>5</v>
      </c>
      <c r="R170" s="4" t="str">
        <f>VLOOKUP(J170,Stock_list!A:Y,25,FALSE)</f>
        <v>Yes</v>
      </c>
      <c r="S170" s="143"/>
      <c r="V170" s="144"/>
      <c r="W170" s="145"/>
    </row>
    <row r="171" spans="1:23" ht="16.5" customHeight="1">
      <c r="A171" s="477" t="s">
        <v>281</v>
      </c>
      <c r="B171" s="441">
        <v>301</v>
      </c>
      <c r="C171" s="428" t="str">
        <f>VLOOKUP(B171,'Data pick slip'!B:F,5,FALSE)</f>
        <v>KHN-M7710-A4</v>
      </c>
      <c r="F171" s="170" t="s">
        <v>4290</v>
      </c>
      <c r="G171" s="146" t="s">
        <v>4271</v>
      </c>
      <c r="H171" s="146" t="s">
        <v>76</v>
      </c>
      <c r="K171" s="389" t="s">
        <v>3414</v>
      </c>
      <c r="L171" s="139" t="s">
        <v>4611</v>
      </c>
      <c r="M171" s="51" t="s">
        <v>1246</v>
      </c>
      <c r="N171" s="4">
        <v>45352</v>
      </c>
      <c r="O171" s="140">
        <v>20</v>
      </c>
      <c r="R171" s="4" t="s">
        <v>291</v>
      </c>
      <c r="S171" s="143"/>
      <c r="V171" s="144"/>
      <c r="W171" s="145"/>
    </row>
    <row r="172" spans="1:23" ht="16.5" customHeight="1">
      <c r="A172" s="477" t="s">
        <v>281</v>
      </c>
      <c r="B172" s="441">
        <v>303</v>
      </c>
      <c r="C172" s="428" t="str">
        <f>VLOOKUP(B172,'Data pick slip'!B:F,5,FALSE)</f>
        <v>KHY-M7740-A0</v>
      </c>
      <c r="F172" s="170" t="s">
        <v>4290</v>
      </c>
      <c r="G172" s="146" t="s">
        <v>4271</v>
      </c>
      <c r="H172" s="146" t="s">
        <v>76</v>
      </c>
      <c r="K172" s="389" t="s">
        <v>3414</v>
      </c>
      <c r="L172" s="139" t="s">
        <v>4611</v>
      </c>
      <c r="M172" s="51" t="s">
        <v>1246</v>
      </c>
      <c r="N172" s="4">
        <v>45352</v>
      </c>
      <c r="O172" s="140">
        <v>20</v>
      </c>
      <c r="R172" s="4" t="s">
        <v>291</v>
      </c>
      <c r="S172" s="143"/>
      <c r="V172" s="144"/>
      <c r="W172" s="145"/>
    </row>
    <row r="173" spans="1:23" ht="16.5" customHeight="1">
      <c r="A173" s="477" t="s">
        <v>281</v>
      </c>
      <c r="B173" s="441">
        <v>311</v>
      </c>
      <c r="C173" s="428" t="str">
        <f>VLOOKUP(B173,'Data pick slip'!B:F,5,FALSE)</f>
        <v>KHY-M7710-A4</v>
      </c>
      <c r="F173" s="170" t="s">
        <v>4615</v>
      </c>
      <c r="G173" s="146" t="s">
        <v>4273</v>
      </c>
      <c r="H173" s="146" t="s">
        <v>4616</v>
      </c>
      <c r="J173" s="138">
        <v>2061</v>
      </c>
      <c r="K173" s="140" t="str">
        <f>VLOOKUP(J173,Stock_list!A:R,18,FALSE)</f>
        <v>豫龙辉</v>
      </c>
      <c r="L173" s="139" t="str">
        <f>VLOOKUP(J173,Stock_list!A:S,17,FALSE)</f>
        <v>C49SZX20240001JY</v>
      </c>
      <c r="M173" s="51" t="str">
        <f>VLOOKUP(J173,Stock_list!A:T,16,FALSE)</f>
        <v>JPY</v>
      </c>
      <c r="N173" s="4">
        <v>45349</v>
      </c>
      <c r="O173" s="140">
        <v>20</v>
      </c>
      <c r="R173" s="4" t="str">
        <f>VLOOKUP(J173,Stock_list!A:Y,25,FALSE)</f>
        <v>Yes</v>
      </c>
      <c r="S173" s="143"/>
      <c r="V173" s="144"/>
      <c r="W173" s="145"/>
    </row>
    <row r="174" spans="1:23" ht="16.5" customHeight="1">
      <c r="A174" s="477" t="s">
        <v>15</v>
      </c>
      <c r="B174" s="441">
        <v>302</v>
      </c>
      <c r="C174" s="428" t="str">
        <f>VLOOKUP(B174,'Data pick slip'!B:F,5,FALSE)</f>
        <v>KHN-M7720-A3</v>
      </c>
      <c r="D174" s="544" t="s">
        <v>4297</v>
      </c>
      <c r="F174" s="170" t="s">
        <v>4290</v>
      </c>
      <c r="G174" s="146" t="s">
        <v>4271</v>
      </c>
      <c r="H174" s="146" t="s">
        <v>76</v>
      </c>
      <c r="J174" s="138">
        <v>2061</v>
      </c>
      <c r="K174" s="140" t="str">
        <f>VLOOKUP(J174,Stock_list!A:R,18,FALSE)</f>
        <v>豫龙辉</v>
      </c>
      <c r="L174" s="139" t="str">
        <f>VLOOKUP(J174,Stock_list!A:S,17,FALSE)</f>
        <v>C49SZX20240001JY</v>
      </c>
      <c r="M174" s="51" t="str">
        <f>VLOOKUP(J174,Stock_list!A:T,16,FALSE)</f>
        <v>JPY</v>
      </c>
      <c r="N174" s="4">
        <v>45349</v>
      </c>
      <c r="O174" s="140">
        <v>5</v>
      </c>
      <c r="R174" s="4" t="str">
        <f>VLOOKUP(J174,Stock_list!A:Y,25,FALSE)</f>
        <v>Yes</v>
      </c>
      <c r="S174" s="143"/>
      <c r="V174" s="144"/>
      <c r="W174" s="145"/>
    </row>
    <row r="175" spans="1:23" ht="16.5" customHeight="1">
      <c r="A175" s="477" t="s">
        <v>15</v>
      </c>
      <c r="B175" s="441">
        <v>303</v>
      </c>
      <c r="C175" s="428" t="str">
        <f>VLOOKUP(B175,'Data pick slip'!B:F,5,FALSE)</f>
        <v>KHY-M7740-A0</v>
      </c>
      <c r="D175" s="544" t="s">
        <v>4297</v>
      </c>
      <c r="F175" s="170" t="s">
        <v>4290</v>
      </c>
      <c r="G175" s="146" t="s">
        <v>4271</v>
      </c>
      <c r="H175" s="146" t="s">
        <v>76</v>
      </c>
      <c r="J175" s="138">
        <v>2061</v>
      </c>
      <c r="K175" s="140" t="str">
        <f>VLOOKUP(J175,Stock_list!A:R,18,FALSE)</f>
        <v>豫龙辉</v>
      </c>
      <c r="L175" s="139" t="str">
        <f>VLOOKUP(J175,Stock_list!A:S,17,FALSE)</f>
        <v>C49SZX20240001JY</v>
      </c>
      <c r="M175" s="51" t="str">
        <f>VLOOKUP(J175,Stock_list!A:T,16,FALSE)</f>
        <v>JPY</v>
      </c>
      <c r="N175" s="4">
        <v>45349</v>
      </c>
      <c r="O175" s="140">
        <v>10</v>
      </c>
      <c r="R175" s="4" t="str">
        <f>VLOOKUP(J175,Stock_list!A:Y,25,FALSE)</f>
        <v>Yes</v>
      </c>
      <c r="S175" s="143"/>
      <c r="V175" s="144"/>
      <c r="W175" s="145"/>
    </row>
    <row r="176" spans="1:23" ht="16.5" customHeight="1">
      <c r="A176" s="477" t="s">
        <v>15</v>
      </c>
      <c r="B176" s="441">
        <v>313</v>
      </c>
      <c r="C176" s="428" t="str">
        <f>VLOOKUP(B176,'Data pick slip'!B:F,5,FALSE)</f>
        <v>KHY-M7730-A2</v>
      </c>
      <c r="D176" s="544" t="s">
        <v>4297</v>
      </c>
      <c r="F176" s="170" t="s">
        <v>4290</v>
      </c>
      <c r="G176" s="146" t="s">
        <v>4271</v>
      </c>
      <c r="H176" s="146" t="s">
        <v>76</v>
      </c>
      <c r="J176" s="138">
        <v>2061</v>
      </c>
      <c r="K176" s="140" t="str">
        <f>VLOOKUP(J176,Stock_list!A:R,18,FALSE)</f>
        <v>豫龙辉</v>
      </c>
      <c r="L176" s="139" t="str">
        <f>VLOOKUP(J176,Stock_list!A:S,17,FALSE)</f>
        <v>C49SZX20240001JY</v>
      </c>
      <c r="M176" s="51" t="str">
        <f>VLOOKUP(J176,Stock_list!A:T,16,FALSE)</f>
        <v>JPY</v>
      </c>
      <c r="N176" s="4">
        <v>45349</v>
      </c>
      <c r="O176" s="140">
        <v>5</v>
      </c>
      <c r="R176" s="4" t="str">
        <f>VLOOKUP(J176,Stock_list!A:Y,25,FALSE)</f>
        <v>Yes</v>
      </c>
      <c r="S176" s="143"/>
      <c r="V176" s="144"/>
      <c r="W176" s="145"/>
    </row>
    <row r="177" spans="1:23" ht="16.5" customHeight="1">
      <c r="C177" s="428" t="e">
        <f>VLOOKUP(B177,'Data pick slip'!B:F,5,FALSE)</f>
        <v>#N/A</v>
      </c>
      <c r="F177" s="170"/>
      <c r="K177" s="140" t="e">
        <f>VLOOKUP(J177,Stock_list!A:R,18,FALSE)</f>
        <v>#N/A</v>
      </c>
      <c r="L177" s="139" t="e">
        <f>VLOOKUP(J177,Stock_list!A:S,17,FALSE)</f>
        <v>#N/A</v>
      </c>
      <c r="M177" s="51" t="e">
        <f>VLOOKUP(J177,Stock_list!A:T,16,FALSE)</f>
        <v>#N/A</v>
      </c>
      <c r="N177" s="4"/>
      <c r="R177" s="4" t="e">
        <f>VLOOKUP(J177,Stock_list!A:Y,25,FALSE)</f>
        <v>#N/A</v>
      </c>
      <c r="S177" s="143"/>
      <c r="V177" s="144"/>
      <c r="W177" s="145"/>
    </row>
    <row r="178" spans="1:23" ht="16.5" customHeight="1">
      <c r="C178" s="428" t="e">
        <f>VLOOKUP(B178,'Data pick slip'!B:F,5,FALSE)</f>
        <v>#N/A</v>
      </c>
      <c r="F178" s="170"/>
      <c r="K178" s="140" t="e">
        <f>VLOOKUP(J178,Stock_list!A:R,18,FALSE)</f>
        <v>#N/A</v>
      </c>
      <c r="L178" s="139" t="e">
        <f>VLOOKUP(J178,Stock_list!A:S,17,FALSE)</f>
        <v>#N/A</v>
      </c>
      <c r="M178" s="51" t="e">
        <f>VLOOKUP(J178,Stock_list!A:T,16,FALSE)</f>
        <v>#N/A</v>
      </c>
      <c r="N178" s="4"/>
      <c r="R178" s="4" t="e">
        <f>VLOOKUP(J178,Stock_list!A:Y,25,FALSE)</f>
        <v>#N/A</v>
      </c>
      <c r="S178" s="143"/>
      <c r="V178" s="144"/>
      <c r="W178" s="145"/>
    </row>
    <row r="179" spans="1:23" ht="16.5" customHeight="1">
      <c r="C179" s="428" t="e">
        <f>VLOOKUP(B179,'Data pick slip'!B:F,5,FALSE)</f>
        <v>#N/A</v>
      </c>
      <c r="F179" s="170"/>
      <c r="K179" s="140" t="e">
        <f>VLOOKUP(J179,Stock_list!A:R,18,FALSE)</f>
        <v>#N/A</v>
      </c>
      <c r="L179" s="139" t="e">
        <f>VLOOKUP(J179,Stock_list!A:S,17,FALSE)</f>
        <v>#N/A</v>
      </c>
      <c r="M179" s="51" t="e">
        <f>VLOOKUP(J179,Stock_list!A:T,16,FALSE)</f>
        <v>#N/A</v>
      </c>
      <c r="N179" s="4"/>
      <c r="R179" s="4" t="e">
        <f>VLOOKUP(J179,Stock_list!A:Y,25,FALSE)</f>
        <v>#N/A</v>
      </c>
      <c r="S179" s="143"/>
      <c r="V179" s="144"/>
      <c r="W179" s="145"/>
    </row>
    <row r="180" spans="1:23" ht="16.5" customHeight="1">
      <c r="C180" s="428" t="e">
        <f>VLOOKUP(B180,'Data pick slip'!B:F,5,FALSE)</f>
        <v>#N/A</v>
      </c>
      <c r="F180" s="170"/>
      <c r="K180" s="140" t="e">
        <f>VLOOKUP(J180,Stock_list!A:R,18,FALSE)</f>
        <v>#N/A</v>
      </c>
      <c r="L180" s="139" t="e">
        <f>VLOOKUP(J180,Stock_list!A:S,17,FALSE)</f>
        <v>#N/A</v>
      </c>
      <c r="M180" s="51" t="e">
        <f>VLOOKUP(J180,Stock_list!A:T,16,FALSE)</f>
        <v>#N/A</v>
      </c>
      <c r="N180" s="4"/>
      <c r="R180" s="4" t="e">
        <f>VLOOKUP(J180,Stock_list!A:Y,25,FALSE)</f>
        <v>#N/A</v>
      </c>
      <c r="S180" s="143"/>
      <c r="V180" s="144"/>
      <c r="W180" s="145"/>
    </row>
    <row r="181" spans="1:23" ht="16.5" customHeight="1">
      <c r="C181" s="428" t="e">
        <f>VLOOKUP(B181,'Data pick slip'!B:F,5,FALSE)</f>
        <v>#N/A</v>
      </c>
      <c r="F181" s="170"/>
      <c r="K181" s="140" t="e">
        <f>VLOOKUP(J181,Stock_list!A:R,18,FALSE)</f>
        <v>#N/A</v>
      </c>
      <c r="L181" s="139" t="e">
        <f>VLOOKUP(J181,Stock_list!A:S,17,FALSE)</f>
        <v>#N/A</v>
      </c>
      <c r="M181" s="51" t="e">
        <f>VLOOKUP(J181,Stock_list!A:T,16,FALSE)</f>
        <v>#N/A</v>
      </c>
      <c r="N181" s="4"/>
      <c r="R181" s="4" t="e">
        <f>VLOOKUP(J181,Stock_list!A:Y,25,FALSE)</f>
        <v>#N/A</v>
      </c>
      <c r="S181" s="143"/>
      <c r="V181" s="144"/>
      <c r="W181" s="145"/>
    </row>
    <row r="182" spans="1:23" ht="16.5" customHeight="1">
      <c r="C182" s="428" t="e">
        <f>VLOOKUP(B182,'Data pick slip'!B:F,5,FALSE)</f>
        <v>#N/A</v>
      </c>
      <c r="F182" s="170"/>
      <c r="K182" s="140" t="e">
        <f>VLOOKUP(J182,Stock_list!A:R,18,FALSE)</f>
        <v>#N/A</v>
      </c>
      <c r="L182" s="139" t="e">
        <f>VLOOKUP(J182,Stock_list!A:S,17,FALSE)</f>
        <v>#N/A</v>
      </c>
      <c r="M182" s="51" t="e">
        <f>VLOOKUP(J182,Stock_list!A:T,16,FALSE)</f>
        <v>#N/A</v>
      </c>
      <c r="N182" s="4"/>
      <c r="R182" s="4" t="e">
        <f>VLOOKUP(J182,Stock_list!A:Y,25,FALSE)</f>
        <v>#N/A</v>
      </c>
      <c r="S182" s="143"/>
      <c r="V182" s="144"/>
      <c r="W182" s="145"/>
    </row>
    <row r="183" spans="1:23" ht="16.5" customHeight="1">
      <c r="C183" s="428" t="e">
        <f>VLOOKUP(B183,'Data pick slip'!B:F,5,FALSE)</f>
        <v>#N/A</v>
      </c>
      <c r="F183" s="170"/>
      <c r="L183" s="269"/>
      <c r="M183" s="51"/>
      <c r="N183" s="4"/>
      <c r="R183" s="4"/>
      <c r="S183" s="143"/>
      <c r="V183" s="144"/>
      <c r="W183" s="145"/>
    </row>
    <row r="184" spans="1:23" ht="16.5" customHeight="1">
      <c r="C184" s="428" t="e">
        <f>VLOOKUP(B184,'Data pick slip'!B:F,5,FALSE)</f>
        <v>#N/A</v>
      </c>
      <c r="F184" s="170"/>
      <c r="L184" s="269"/>
      <c r="M184" s="51"/>
      <c r="N184" s="4"/>
      <c r="R184" s="4"/>
      <c r="S184" s="143"/>
      <c r="V184" s="144"/>
      <c r="W184" s="145"/>
    </row>
    <row r="185" spans="1:23" s="241" customFormat="1" ht="16.5" customHeight="1" thickBot="1">
      <c r="A185" s="478"/>
      <c r="B185" s="454"/>
      <c r="C185" s="431" t="e">
        <f>VLOOKUP(B185,'Data pick slip'!B:F,5,FALSE)</f>
        <v>#N/A</v>
      </c>
      <c r="D185" s="455"/>
      <c r="E185" s="456"/>
      <c r="F185" s="230"/>
      <c r="I185" s="481"/>
      <c r="J185" s="458"/>
      <c r="K185" s="460"/>
      <c r="L185" s="461"/>
      <c r="M185" s="462"/>
      <c r="N185" s="463"/>
      <c r="O185" s="460"/>
      <c r="P185" s="457"/>
      <c r="Q185" s="459"/>
      <c r="R185" s="8"/>
      <c r="S185" s="236"/>
      <c r="T185" s="237"/>
      <c r="U185" s="238"/>
      <c r="V185" s="239"/>
      <c r="W185" s="240"/>
    </row>
    <row r="186" spans="1:23" s="251" customFormat="1" ht="16.5" customHeight="1">
      <c r="A186" s="479"/>
      <c r="B186" s="444"/>
      <c r="C186" s="430"/>
      <c r="D186" s="445"/>
      <c r="E186" s="446"/>
      <c r="F186" s="366"/>
      <c r="I186" s="482"/>
      <c r="J186" s="448"/>
      <c r="K186" s="449"/>
      <c r="L186" s="450"/>
      <c r="M186" s="451"/>
      <c r="N186" s="452"/>
      <c r="O186" s="449"/>
      <c r="P186" s="447"/>
      <c r="Q186" s="199"/>
      <c r="R186" s="12"/>
      <c r="S186" s="202"/>
      <c r="T186" s="249"/>
      <c r="U186" s="203"/>
      <c r="V186" s="453"/>
      <c r="W186" s="375"/>
    </row>
    <row r="187" spans="1:23" s="251" customFormat="1" ht="16.5" customHeight="1">
      <c r="A187" s="477"/>
      <c r="B187" s="433"/>
      <c r="C187" s="432"/>
      <c r="D187" s="197"/>
      <c r="E187" s="305"/>
      <c r="F187" s="198"/>
      <c r="G187" s="146"/>
      <c r="I187" s="483">
        <f>SUM(I13:I186)</f>
        <v>2903</v>
      </c>
      <c r="J187" s="200"/>
      <c r="K187" s="245"/>
      <c r="L187" s="201"/>
      <c r="M187" s="247" t="e">
        <f>#REF!+#REF!+#REF!+#REF!+#REF!+#REF!</f>
        <v>#REF!</v>
      </c>
      <c r="N187" s="246"/>
      <c r="O187" s="247">
        <f>SUM(O13:O186)</f>
        <v>1626</v>
      </c>
      <c r="P187" s="244">
        <f>SUM(P13:P186)</f>
        <v>0</v>
      </c>
      <c r="Q187" s="244">
        <f>SUM(Q13:Q186)</f>
        <v>0</v>
      </c>
      <c r="R187" s="248"/>
      <c r="S187" s="202"/>
      <c r="T187" s="249"/>
      <c r="U187" s="203"/>
      <c r="V187" s="203"/>
      <c r="W187" s="250"/>
    </row>
    <row r="188" spans="1:23" s="251" customFormat="1" ht="16.5" customHeight="1">
      <c r="A188" s="477"/>
      <c r="B188" s="433"/>
      <c r="C188" s="433"/>
      <c r="D188" s="197"/>
      <c r="E188" s="305"/>
      <c r="F188" s="198"/>
      <c r="G188" s="146"/>
      <c r="I188" s="483"/>
      <c r="J188" s="200"/>
      <c r="K188" s="245"/>
      <c r="L188" s="201"/>
      <c r="M188" s="247"/>
      <c r="N188" s="246"/>
      <c r="O188" s="247"/>
      <c r="P188" s="244"/>
      <c r="Q188" s="244"/>
      <c r="R188" s="248"/>
      <c r="S188" s="202"/>
      <c r="T188" s="249"/>
      <c r="U188" s="203"/>
      <c r="V188" s="203"/>
      <c r="W188" s="250"/>
    </row>
    <row r="189" spans="1:23" ht="16.5" customHeight="1">
      <c r="C189" s="428"/>
      <c r="R189" s="4"/>
      <c r="S189" s="143"/>
    </row>
    <row r="190" spans="1:23" ht="16.5" customHeight="1">
      <c r="C190" s="428"/>
      <c r="R190" s="4"/>
      <c r="S190" s="143"/>
    </row>
    <row r="191" spans="1:23" ht="16.5" customHeight="1">
      <c r="C191" s="428"/>
      <c r="O191" s="253"/>
      <c r="R191" s="4"/>
      <c r="S191" s="143"/>
    </row>
    <row r="192" spans="1:23">
      <c r="C192" s="428"/>
      <c r="K192" s="343"/>
      <c r="L192" s="343"/>
      <c r="M192" s="47"/>
      <c r="R192" s="4"/>
      <c r="S192" s="143"/>
    </row>
    <row r="193" spans="2:23" ht="16.5" customHeight="1">
      <c r="C193" s="428"/>
      <c r="K193" s="343"/>
      <c r="L193" s="343"/>
      <c r="M193" s="47"/>
      <c r="O193" s="253"/>
      <c r="R193" s="4"/>
      <c r="S193" s="143"/>
    </row>
    <row r="194" spans="2:23">
      <c r="C194" s="428"/>
      <c r="K194" s="313"/>
      <c r="L194" s="344"/>
      <c r="M194" s="344"/>
      <c r="S194" s="143"/>
    </row>
    <row r="195" spans="2:23">
      <c r="K195" s="313"/>
      <c r="L195" s="344"/>
      <c r="M195" s="344"/>
      <c r="O195" s="253"/>
      <c r="S195" s="143"/>
    </row>
    <row r="196" spans="2:23">
      <c r="K196" s="313"/>
      <c r="L196" s="344"/>
      <c r="M196" s="344"/>
      <c r="S196" s="133"/>
    </row>
    <row r="197" spans="2:23">
      <c r="B197" s="435"/>
      <c r="C197" s="435"/>
      <c r="D197" s="219"/>
      <c r="E197" s="255"/>
      <c r="F197" s="221"/>
      <c r="I197" s="480"/>
      <c r="J197" s="223"/>
      <c r="K197" s="313"/>
      <c r="L197" s="344"/>
      <c r="M197" s="344"/>
      <c r="N197" s="10"/>
      <c r="O197" s="225"/>
      <c r="P197" s="222"/>
      <c r="R197" s="4"/>
      <c r="S197" s="133"/>
      <c r="V197" s="144"/>
      <c r="W197" s="145"/>
    </row>
    <row r="198" spans="2:23">
      <c r="C198" s="428"/>
      <c r="F198" s="221"/>
      <c r="I198" s="480"/>
      <c r="J198" s="223"/>
      <c r="K198" s="313"/>
      <c r="L198" s="344"/>
      <c r="M198" s="344"/>
      <c r="R198" s="4"/>
    </row>
    <row r="199" spans="2:23">
      <c r="C199" s="428"/>
      <c r="F199" s="221"/>
      <c r="I199" s="480"/>
      <c r="J199" s="223"/>
      <c r="K199" s="313"/>
      <c r="L199" s="344"/>
      <c r="M199" s="344"/>
      <c r="R199" s="4"/>
    </row>
    <row r="200" spans="2:23">
      <c r="K200" s="313"/>
      <c r="L200" s="344"/>
      <c r="M200" s="344"/>
    </row>
    <row r="201" spans="2:23">
      <c r="K201" s="313"/>
      <c r="L201" s="344"/>
      <c r="M201" s="344"/>
    </row>
    <row r="202" spans="2:23">
      <c r="K202" s="313"/>
      <c r="L202" s="344"/>
      <c r="M202" s="344"/>
    </row>
    <row r="203" spans="2:23">
      <c r="K203" s="313"/>
      <c r="L203" s="344"/>
      <c r="M203" s="344"/>
    </row>
    <row r="204" spans="2:23">
      <c r="K204" s="313"/>
      <c r="L204" s="344"/>
    </row>
    <row r="205" spans="2:23">
      <c r="K205" s="313"/>
      <c r="L205" s="344"/>
    </row>
  </sheetData>
  <autoFilter ref="A1:V205" xr:uid="{1E24E28A-D884-4652-905A-C9494E881EBF}"/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dimension ref="A2:AN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13" sqref="P13"/>
    </sheetView>
  </sheetViews>
  <sheetFormatPr defaultColWidth="9" defaultRowHeight="14.25"/>
  <cols>
    <col min="1" max="1" width="12.25" style="65" customWidth="1"/>
    <col min="2" max="2" width="9.375" style="65" customWidth="1"/>
    <col min="3" max="3" width="7.25" style="65" customWidth="1"/>
    <col min="4" max="4" width="8.375" style="65" customWidth="1"/>
    <col min="5" max="5" width="7" style="65" customWidth="1"/>
    <col min="6" max="7" width="7.375" style="65" customWidth="1"/>
    <col min="8" max="9" width="7.25" style="65" customWidth="1"/>
    <col min="10" max="10" width="7.375" style="65" customWidth="1"/>
    <col min="11" max="11" width="8" style="65" customWidth="1"/>
    <col min="12" max="12" width="7.375" style="65" customWidth="1"/>
    <col min="13" max="13" width="8" style="65" customWidth="1"/>
    <col min="14" max="14" width="7.75" style="65" customWidth="1"/>
    <col min="15" max="16" width="7.25" style="65" customWidth="1"/>
    <col min="17" max="17" width="8.375" style="65" customWidth="1"/>
    <col min="18" max="18" width="9.375" style="65" customWidth="1"/>
    <col min="19" max="23" width="8" style="65" customWidth="1"/>
    <col min="24" max="24" width="9.75" style="65" customWidth="1"/>
    <col min="25" max="25" width="7.75" style="65" customWidth="1"/>
    <col min="26" max="26" width="10" style="65" customWidth="1"/>
    <col min="27" max="27" width="7.375" style="65" customWidth="1"/>
    <col min="28" max="29" width="6.375" style="65" customWidth="1"/>
    <col min="30" max="30" width="8.375" style="65" customWidth="1"/>
    <col min="31" max="31" width="7.25" style="65" customWidth="1"/>
    <col min="32" max="32" width="6.25" style="65" customWidth="1"/>
    <col min="33" max="33" width="6" style="65" customWidth="1"/>
    <col min="34" max="34" width="7.375" style="18" customWidth="1"/>
    <col min="35" max="35" width="6.25" style="18" customWidth="1"/>
    <col min="36" max="36" width="6.375" style="18" customWidth="1"/>
    <col min="37" max="37" width="5.75" style="18" customWidth="1"/>
    <col min="38" max="38" width="9.375" style="18" customWidth="1"/>
    <col min="39" max="40" width="9" style="18"/>
    <col min="41" max="41" width="7.375" style="1" customWidth="1"/>
    <col min="42" max="16384" width="9" style="1"/>
  </cols>
  <sheetData>
    <row r="2" spans="1:40" ht="18" customHeight="1" thickBot="1">
      <c r="A2" s="875" t="s">
        <v>4319</v>
      </c>
      <c r="B2" s="880" t="s">
        <v>4308</v>
      </c>
      <c r="C2" s="881"/>
      <c r="D2" s="882"/>
      <c r="E2" s="878" t="s">
        <v>4301</v>
      </c>
      <c r="F2" s="879"/>
      <c r="G2" s="878" t="s">
        <v>4302</v>
      </c>
      <c r="H2" s="879"/>
      <c r="I2" s="873" t="s">
        <v>2797</v>
      </c>
      <c r="J2" s="874"/>
      <c r="K2" s="873" t="s">
        <v>4305</v>
      </c>
      <c r="L2" s="874"/>
      <c r="M2" s="533"/>
      <c r="N2" s="533"/>
      <c r="O2" s="534"/>
      <c r="P2" s="516"/>
      <c r="Q2" s="539" t="s">
        <v>4335</v>
      </c>
      <c r="R2" s="539" t="s">
        <v>4335</v>
      </c>
      <c r="S2" s="467"/>
      <c r="T2" s="467"/>
      <c r="U2" s="467"/>
      <c r="V2" s="467"/>
      <c r="W2" s="539" t="s">
        <v>4335</v>
      </c>
      <c r="X2" s="539" t="s">
        <v>4335</v>
      </c>
      <c r="Y2" s="539" t="s">
        <v>4335</v>
      </c>
      <c r="Z2" s="876" t="s">
        <v>4320</v>
      </c>
      <c r="AA2" s="880" t="s">
        <v>4308</v>
      </c>
      <c r="AB2" s="881"/>
      <c r="AC2" s="882"/>
      <c r="AD2" s="878" t="s">
        <v>4301</v>
      </c>
      <c r="AE2" s="879"/>
      <c r="AF2" s="878" t="s">
        <v>4302</v>
      </c>
      <c r="AG2" s="879"/>
      <c r="AH2" s="873" t="s">
        <v>2797</v>
      </c>
      <c r="AI2" s="874"/>
      <c r="AJ2" s="873" t="s">
        <v>4305</v>
      </c>
      <c r="AK2" s="874"/>
      <c r="AL2" s="471"/>
      <c r="AM2" s="471"/>
      <c r="AN2" s="472"/>
    </row>
    <row r="3" spans="1:40" s="466" customFormat="1" ht="54">
      <c r="A3" s="875"/>
      <c r="B3" s="468" t="s">
        <v>4310</v>
      </c>
      <c r="C3" s="469" t="s">
        <v>4309</v>
      </c>
      <c r="D3" s="468" t="s">
        <v>4298</v>
      </c>
      <c r="E3" s="469" t="s">
        <v>4272</v>
      </c>
      <c r="F3" s="469" t="s">
        <v>4298</v>
      </c>
      <c r="G3" s="469" t="s">
        <v>4299</v>
      </c>
      <c r="H3" s="469" t="s">
        <v>4300</v>
      </c>
      <c r="I3" s="468" t="s">
        <v>4303</v>
      </c>
      <c r="J3" s="468" t="s">
        <v>4304</v>
      </c>
      <c r="K3" s="468" t="s">
        <v>4306</v>
      </c>
      <c r="L3" s="468" t="s">
        <v>4304</v>
      </c>
      <c r="M3" s="468" t="s">
        <v>239</v>
      </c>
      <c r="N3" s="468" t="s">
        <v>4279</v>
      </c>
      <c r="O3" s="510" t="s">
        <v>2839</v>
      </c>
      <c r="P3" s="517" t="s">
        <v>235</v>
      </c>
      <c r="Q3" s="518" t="s">
        <v>4343</v>
      </c>
      <c r="R3" s="518" t="s">
        <v>4342</v>
      </c>
      <c r="S3" s="519" t="s">
        <v>4329</v>
      </c>
      <c r="T3" s="519" t="s">
        <v>4330</v>
      </c>
      <c r="U3" s="519" t="s">
        <v>4331</v>
      </c>
      <c r="V3" s="519" t="s">
        <v>4332</v>
      </c>
      <c r="W3" s="518" t="s">
        <v>4333</v>
      </c>
      <c r="X3" s="518" t="s">
        <v>4334</v>
      </c>
      <c r="Y3" s="520" t="s">
        <v>4337</v>
      </c>
      <c r="Z3" s="877"/>
      <c r="AA3" s="468" t="s">
        <v>4310</v>
      </c>
      <c r="AB3" s="469" t="s">
        <v>4309</v>
      </c>
      <c r="AC3" s="468" t="s">
        <v>4298</v>
      </c>
      <c r="AD3" s="469" t="s">
        <v>4272</v>
      </c>
      <c r="AE3" s="469" t="s">
        <v>4298</v>
      </c>
      <c r="AF3" s="469" t="s">
        <v>4299</v>
      </c>
      <c r="AG3" s="469" t="s">
        <v>4300</v>
      </c>
      <c r="AH3" s="468" t="s">
        <v>4303</v>
      </c>
      <c r="AI3" s="468" t="s">
        <v>4304</v>
      </c>
      <c r="AJ3" s="468" t="s">
        <v>4307</v>
      </c>
      <c r="AK3" s="468" t="s">
        <v>4304</v>
      </c>
      <c r="AL3" s="468" t="s">
        <v>4377</v>
      </c>
      <c r="AM3" s="468" t="s">
        <v>4279</v>
      </c>
      <c r="AN3" s="468" t="s">
        <v>2839</v>
      </c>
    </row>
    <row r="4" spans="1:40" ht="18">
      <c r="A4" s="473">
        <v>301</v>
      </c>
      <c r="B4" s="492">
        <f>C4+D4</f>
        <v>320</v>
      </c>
      <c r="C4" s="492">
        <f>E4-G4</f>
        <v>45</v>
      </c>
      <c r="D4" s="492">
        <f>F4-H4</f>
        <v>275</v>
      </c>
      <c r="E4" s="487">
        <f>SUMIFS(Nozzle!$I$1:$I93,Nozzle!$A$1:$A$93,"C49",Nozzle!$B$1:$B$93,"301",Nozzle!$F$1:$F$93,"ESEL",Nozzle!$H$1:$H$93,"STK",Nozzle!$G$1:$G$93,"随机")</f>
        <v>680</v>
      </c>
      <c r="F4" s="487">
        <f>SUMIFS(Nozzle!$I$1:$I93,Nozzle!$A$1:$A$93,"C49",Nozzle!$B$1:$B$93,"301",Nozzle!$F$1:$F$93,"ESEL",Nozzle!$H$1:$H$93,"STK",Nozzle!$G$1:$G$93,"additional")</f>
        <v>388</v>
      </c>
      <c r="G4" s="487">
        <f>SUMIFS(Nozzle!$O$94:$O$185,Nozzle!$A$94:$A$185,"C49",Nozzle!$B$94:$B$185,"301",Nozzle!$F$94:$F$185,"ESEL",Nozzle!$G$94:$G$185,"随机")</f>
        <v>635</v>
      </c>
      <c r="H4" s="487">
        <f>SUMIFS(Nozzle!$O$94:$O$185,Nozzle!$A$94:$A$185,"C49",Nozzle!$B$94:$B$185,"301",Nozzle!$F$94:$F$185,"ESEL",Nozzle!$G$94:$G$185,"additional")</f>
        <v>113</v>
      </c>
      <c r="I4" s="488">
        <f>SUMIFS(Nozzle!$I$1:$I93,Nozzle!$A$1:$A$93,"C49",Nozzle!$B$1:$B$93,"301",Nozzle!$F$1:$F$93,"ESEL",Nozzle!$H$1:$H$93,"Incoming",Nozzle!$G$1:$G$93,"随机")</f>
        <v>135</v>
      </c>
      <c r="J4" s="488">
        <f>SUMIFS(Nozzle!$I$1:$I93,Nozzle!$A$1:$A$93,"C49",Nozzle!$B$1:$B$93,"301",Nozzle!$F$1:$F$93,"ESEL",Nozzle!$H$1:$H$93,"Incoming",Nozzle!$G$1:$G$93,"additional")</f>
        <v>0</v>
      </c>
      <c r="K4" s="488">
        <f>SUMIFS(Nozzle!$I$1:$I93,Nozzle!$A$1:$A$93,"C49",Nozzle!$B$1:$B$93,"301",Nozzle!$F$1:$F$93,"ESEL",Nozzle!$H$1:$H$93,"TBA",Nozzle!$G$1:$G$93,"随机")</f>
        <v>150</v>
      </c>
      <c r="L4" s="488">
        <f>SUMIFS(Nozzle!$I$1:$I93,Nozzle!$A$1:$A$93,"C49",Nozzle!$B$1:$B$93,"301",Nozzle!$F$1:$F$93,"ESEL",Nozzle!$H$1:$H$93,"TBA",Nozzle!$G$1:$G$93,"additional")</f>
        <v>0</v>
      </c>
      <c r="M4" s="489">
        <f>SUMIFS(Nozzle!$P$94:$P$185,Nozzle!$A$94:$A$185,"C49",Nozzle!$B$94:$B$185,"301",Nozzle!$F$94:$F$185,"ESEL")</f>
        <v>0</v>
      </c>
      <c r="N4" s="490">
        <v>0</v>
      </c>
      <c r="O4" s="511">
        <f>B4+I4+J4+K4+L4-M4-N4</f>
        <v>605</v>
      </c>
      <c r="P4" s="531">
        <v>301</v>
      </c>
      <c r="Q4" s="529">
        <f>O4+AN4+I33+S33+AC33</f>
        <v>593</v>
      </c>
      <c r="R4" s="529">
        <f t="shared" ref="R4:R25" si="0">O4+AN4+I33+S33+AC33-C4-AB4</f>
        <v>508</v>
      </c>
      <c r="S4" s="524">
        <f t="shared" ref="S4:S25" si="1">D4+B33+L33+V33</f>
        <v>254</v>
      </c>
      <c r="T4" s="524">
        <f>AC4</f>
        <v>9</v>
      </c>
      <c r="U4" s="524">
        <f>C4</f>
        <v>45</v>
      </c>
      <c r="V4" s="524">
        <f>AB4</f>
        <v>40</v>
      </c>
      <c r="W4" s="528">
        <f>S4+U4</f>
        <v>299</v>
      </c>
      <c r="X4" s="528">
        <f>T4+V4</f>
        <v>49</v>
      </c>
      <c r="Y4" s="535">
        <f>D4+AC4+B33+L33+V33-AL4-M4-G33-Q33-AA33</f>
        <v>263</v>
      </c>
      <c r="Z4" s="512">
        <v>301</v>
      </c>
      <c r="AA4" s="492">
        <f>AB4+AC4</f>
        <v>49</v>
      </c>
      <c r="AB4" s="492">
        <f>AD4-AF4</f>
        <v>40</v>
      </c>
      <c r="AC4" s="492">
        <f>AE4-AG4</f>
        <v>9</v>
      </c>
      <c r="AD4" s="487">
        <f>SUMIFS(Nozzle!$I$1:$I93,Nozzle!$A$1:$A$93,"C49",Nozzle!$B$1:$B$93,"301",Nozzle!$F$1:$F$93,"ESSZ",Nozzle!$H$1:$H$93,"STK",Nozzle!$G$1:$G$93,"随机")</f>
        <v>90</v>
      </c>
      <c r="AE4" s="487">
        <f>SUMIFS(Nozzle!$I$1:$I93,Nozzle!$A$1:$A$93,"C49",Nozzle!$B$1:$B$93,"301",Nozzle!$F$1:$F$93,"ESSZ",Nozzle!$H$1:$H$93,"STK",Nozzle!$G$1:$G$93,"additional")</f>
        <v>9</v>
      </c>
      <c r="AF4" s="487">
        <f>SUMIFS(Nozzle!$O$94:$O$185,Nozzle!$A$94:$A$185,"C49",Nozzle!$B$94:$B$185,"301",Nozzle!$F$94:$F$185,"ESSZ",Nozzle!$G$94:$G$185,"随机")</f>
        <v>50</v>
      </c>
      <c r="AG4" s="487">
        <f>SUMIFS(Nozzle!$O$94:$O$185,Nozzle!$A$94:$A$185,"C49",Nozzle!$B$94:$B$185,"301",Nozzle!$F$94:$F$185,"ESSZ",Nozzle!$G$94:$G$185,"additional")</f>
        <v>0</v>
      </c>
      <c r="AH4" s="488">
        <f>SUMIFS(Nozzle!$I$1:$I93,Nozzle!$A$1:$A$93,"C49",Nozzle!$B$1:$B$93,"301",Nozzle!$F$1:$F$93,"ESSZ",Nozzle!$H$1:$H$93,"Incoming",Nozzle!$G$1:$G$93,"随机")</f>
        <v>0</v>
      </c>
      <c r="AI4" s="488">
        <f>SUMIFS(Nozzle!$I$1:$I93,Nozzle!$A$1:$A$93,"C49",Nozzle!$B$1:$B$93,"301",Nozzle!$F$1:$F$93,"ESSZ",Nozzle!$H$1:$H$93,"Incoming",Nozzle!$G$1:$G$93,"additional")</f>
        <v>0</v>
      </c>
      <c r="AJ4" s="488">
        <f>SUMIFS(Nozzle!$I$1:$I93,Nozzle!$A$1:$A$93,"C49",Nozzle!$B$1:$B$93,"301",Nozzle!$F$1:$F$93,"ESSZ",Nozzle!$H$1:$H$93,"TBA",Nozzle!$G$1:$G$93,"随机")</f>
        <v>0</v>
      </c>
      <c r="AK4" s="488">
        <f>SUMIFS(Nozzle!$I$1:$I93,Nozzle!$A$1:$A$93,"C49",Nozzle!$B$1:$B$93,"301",Nozzle!$F$1:$F$93,"ESSZ",Nozzle!$H$1:$H$93,"TBA",Nozzle!$G$1:$G$93,"additional")</f>
        <v>0</v>
      </c>
      <c r="AL4" s="489">
        <f>SUMIFS(Nozzle!$P$94:$P$185,Nozzle!$A$94:$A$185,"C49",Nozzle!$B$94:$B$185,"301",Nozzle!$F$94:$F$185,"ESSZ")</f>
        <v>0</v>
      </c>
      <c r="AM4" s="490">
        <v>0</v>
      </c>
      <c r="AN4" s="491">
        <f>AA4+AH4+AI4+AJ4+AK4-AL4-AM4</f>
        <v>49</v>
      </c>
    </row>
    <row r="5" spans="1:40" ht="18">
      <c r="A5" s="473">
        <v>302</v>
      </c>
      <c r="B5" s="492">
        <f t="shared" ref="B5:B22" si="2">C5+D5</f>
        <v>225</v>
      </c>
      <c r="C5" s="492">
        <f t="shared" ref="C5:C22" si="3">E5-G5</f>
        <v>40</v>
      </c>
      <c r="D5" s="492">
        <f t="shared" ref="D5:D22" si="4">F5-H5</f>
        <v>185</v>
      </c>
      <c r="E5" s="487">
        <f>SUMIFS(Nozzle!$I$1:$I93,Nozzle!$A$1:$A$93,"C49",Nozzle!$B$1:$B$93,"302",Nozzle!$F$1:$F$93,"ESEL",Nozzle!$H$1:$H$93,"STK",Nozzle!$G$1:$G$93,"随机")</f>
        <v>150</v>
      </c>
      <c r="F5" s="487">
        <f>SUMIFS(Nozzle!$I$1:$I93,Nozzle!$A$1:$A$93,"C49",Nozzle!$B$1:$B$93,"302",Nozzle!$F$1:$F$93,"ESEL",Nozzle!$H$1:$H$93,"STK",Nozzle!$G$1:$G$93,"additional")</f>
        <v>338</v>
      </c>
      <c r="G5" s="487">
        <f>SUMIFS(Nozzle!$O$94:$O$185,Nozzle!$A$94:$A$185,"C49",Nozzle!$B$94:$B$185,"302",Nozzle!$F$94:$F$185,"ESEL",Nozzle!$G$94:$G$185,"随机")</f>
        <v>110</v>
      </c>
      <c r="H5" s="487">
        <f>SUMIFS(Nozzle!$O$94:$O$185,Nozzle!$A$94:$A$185,"C49",Nozzle!$B$94:$B$185,"302",Nozzle!$F$94:$F$185,"ESEL",Nozzle!$G$94:$G$185,"additional")</f>
        <v>153</v>
      </c>
      <c r="I5" s="488">
        <f>SUMIFS(Nozzle!$I$1:$I93,Nozzle!$A$1:$A$93,"C49",Nozzle!$B$1:$B$93,"302",Nozzle!$F$1:$F$93,"ESEL",Nozzle!$H$1:$H$93,"Incoming",Nozzle!$G$1:$G$93,"随机")</f>
        <v>25</v>
      </c>
      <c r="J5" s="488">
        <f>SUMIFS(Nozzle!$I$1:$I93,Nozzle!$A$1:$A$93,"C49",Nozzle!$B$1:$B$93,"302",Nozzle!$F$1:$F$93,"ESEL",Nozzle!$H$1:$H$93,"Incoming",Nozzle!$G$1:$G$93,"additional")</f>
        <v>0</v>
      </c>
      <c r="K5" s="488">
        <f>SUMIFS(Nozzle!$I$1:$I93,Nozzle!$A$1:$A$93,"C49",Nozzle!$B$1:$B$93,"302",Nozzle!$F$1:$F$93,"ESEL",Nozzle!$H$1:$H$93,"TBA",Nozzle!$G$1:$G$93,"随机")</f>
        <v>65</v>
      </c>
      <c r="L5" s="488">
        <f>SUMIFS(Nozzle!$I$1:$I93,Nozzle!$A$1:$A$93,"C49",Nozzle!$B$1:$B$93,"302",Nozzle!$F$1:$F$93,"ESEL",Nozzle!$H$1:$H$93,"TBA",Nozzle!$G$1:$G$93,"additional")</f>
        <v>0</v>
      </c>
      <c r="M5" s="489">
        <f>SUMIFS(Nozzle!$P$94:$P$185,Nozzle!$A$94:$A$185,"C49",Nozzle!$B$94:$B$185,"302",Nozzle!$F$94:$F$185,"ESEL")</f>
        <v>0</v>
      </c>
      <c r="N5" s="490">
        <v>0</v>
      </c>
      <c r="O5" s="511">
        <f>B5+I5+J5+K5+L5-M5-N5</f>
        <v>315</v>
      </c>
      <c r="P5" s="531">
        <v>302</v>
      </c>
      <c r="Q5" s="529">
        <f>O5+AN5+I34+S34+AC34</f>
        <v>244</v>
      </c>
      <c r="R5" s="529">
        <f t="shared" si="0"/>
        <v>204</v>
      </c>
      <c r="S5" s="524">
        <f t="shared" si="1"/>
        <v>154</v>
      </c>
      <c r="T5" s="524">
        <f t="shared" ref="T5:T25" si="5">AC5</f>
        <v>0</v>
      </c>
      <c r="U5" s="524">
        <f t="shared" ref="U5:U25" si="6">C5</f>
        <v>40</v>
      </c>
      <c r="V5" s="524">
        <f t="shared" ref="V5:V25" si="7">AB5</f>
        <v>0</v>
      </c>
      <c r="W5" s="528">
        <f t="shared" ref="W5:W25" si="8">S5+U5</f>
        <v>194</v>
      </c>
      <c r="X5" s="528">
        <f t="shared" ref="X5:X25" si="9">T5+V5</f>
        <v>0</v>
      </c>
      <c r="Y5" s="535">
        <f t="shared" ref="Y5:Y25" si="10">D5+AC5+B34+L34+V34-AL5-M5-G34-Q34-AA34</f>
        <v>154</v>
      </c>
      <c r="Z5" s="512">
        <v>302</v>
      </c>
      <c r="AA5" s="492">
        <f t="shared" ref="AA5:AA22" si="11">AB5+AC5</f>
        <v>0</v>
      </c>
      <c r="AB5" s="492">
        <f t="shared" ref="AB5:AB22" si="12">AD5-AF5</f>
        <v>0</v>
      </c>
      <c r="AC5" s="492">
        <f t="shared" ref="AC5:AC22" si="13">AE5-AG5</f>
        <v>0</v>
      </c>
      <c r="AD5" s="487">
        <f>SUMIFS(Nozzle!$I$1:$I93,Nozzle!$A$1:$A$93,"C49",Nozzle!$B$1:$B$93,"302",Nozzle!$F$1:$F$93,"ESSZ",Nozzle!$H$1:$H$93,"STK",Nozzle!$G$1:$G$93,"随机")</f>
        <v>10</v>
      </c>
      <c r="AE5" s="487">
        <f>SUMIFS(Nozzle!$I$1:$I93,Nozzle!$A$1:$A$93,"C49",Nozzle!$B$1:$B$93,"302",Nozzle!$F$1:$F$93,"ESSZ",Nozzle!$H$1:$H$93,"STK",Nozzle!$G$1:$G$93,"additional")</f>
        <v>0</v>
      </c>
      <c r="AF5" s="487">
        <f>SUMIFS(Nozzle!$O$94:$O$185,Nozzle!$A$94:$A$185,"C49",Nozzle!$B$94:$B$185,"302",Nozzle!$F$94:$F$185,"ESSZ",Nozzle!$G$94:$G$185,"随机")</f>
        <v>10</v>
      </c>
      <c r="AG5" s="487">
        <f>SUMIFS(Nozzle!$O$94:$O$185,Nozzle!$A$94:$A$185,"C49",Nozzle!$B$94:$B$185,"302",Nozzle!$F$94:$F$185,"ESSZ",Nozzle!$G$94:$G$185,"additional")</f>
        <v>0</v>
      </c>
      <c r="AH5" s="488">
        <f>SUMIFS(Nozzle!$I$1:$I93,Nozzle!$A$1:$A$93,"C49",Nozzle!$B$1:$B$93,"302",Nozzle!$F$1:$F$93,"ESSZ",Nozzle!$H$1:$H$93,"Incoming",Nozzle!$G$1:$G$93,"随机")</f>
        <v>0</v>
      </c>
      <c r="AI5" s="488">
        <f>SUMIFS(Nozzle!$I$1:$I93,Nozzle!$A$1:$A$93,"C49",Nozzle!$B$1:$B$93,"302",Nozzle!$F$1:$F$93,"ESSZ",Nozzle!$H$1:$H$93,"Incoming",Nozzle!$G$1:$G$93,"additional")</f>
        <v>0</v>
      </c>
      <c r="AJ5" s="488">
        <f>SUMIFS(Nozzle!$I$1:$I93,Nozzle!$A$1:$A$93,"C49",Nozzle!$B$1:$B$93,"302",Nozzle!$F$1:$F$93,"ESSZ",Nozzle!$H$1:$H$93,"TBA",Nozzle!$G$1:$G$93,"随机")</f>
        <v>0</v>
      </c>
      <c r="AK5" s="488">
        <f>SUMIFS(Nozzle!$I$1:$I93,Nozzle!$A$1:$A$93,"C49",Nozzle!$B$1:$B$93,"302",Nozzle!$F$1:$F$93,"ESSZ",Nozzle!$H$1:$H$93,"TBA",Nozzle!$G$1:$G$93,"additional")</f>
        <v>0</v>
      </c>
      <c r="AL5" s="489">
        <f>SUMIFS(Nozzle!$P$94:$P$185,Nozzle!$A$94:$A$185,"C49",Nozzle!$B$94:$B$185,"302",Nozzle!$F$94:$F$185,"ESSZ")</f>
        <v>0</v>
      </c>
      <c r="AM5" s="490">
        <v>0</v>
      </c>
      <c r="AN5" s="491">
        <f t="shared" ref="AN5:AN22" si="14">AA5+AH5+AI5+AJ5+AK5-AL5-AM5</f>
        <v>0</v>
      </c>
    </row>
    <row r="6" spans="1:40" ht="18">
      <c r="A6" s="473">
        <v>303</v>
      </c>
      <c r="B6" s="492">
        <f t="shared" si="2"/>
        <v>110</v>
      </c>
      <c r="C6" s="492">
        <f t="shared" si="3"/>
        <v>55</v>
      </c>
      <c r="D6" s="492">
        <f t="shared" si="4"/>
        <v>55</v>
      </c>
      <c r="E6" s="487">
        <f>SUMIFS(Nozzle!$I$1:$I93,Nozzle!$A$1:$A$93,"C49",Nozzle!$B$1:$B$93,"303",Nozzle!$F$1:$F$93,"ESEL",Nozzle!$H$1:$H$93,"STK",Nozzle!$G$1:$G$93,"随机")</f>
        <v>100</v>
      </c>
      <c r="F6" s="487">
        <f>SUMIFS(Nozzle!$I$1:$I93,Nozzle!$A$1:$A$93,"C49",Nozzle!$B$1:$B$93,"303",Nozzle!$F$1:$F$93,"ESEL",Nozzle!$H$1:$H$93,"STK",Nozzle!$G$1:$G$93,"additional")</f>
        <v>74</v>
      </c>
      <c r="G6" s="487">
        <f>SUMIFS(Nozzle!$O$94:$O$185,Nozzle!$A$94:$A$185,"C49",Nozzle!$B$94:$B$185,"303",Nozzle!$F$94:$F$185,"ESEL",Nozzle!$G$94:$G$185,"随机")</f>
        <v>45</v>
      </c>
      <c r="H6" s="487">
        <f>SUMIFS(Nozzle!$O$94:$O$185,Nozzle!$A$94:$A$185,"C49",Nozzle!$B$94:$B$185,"303",Nozzle!$F$94:$F$185,"ESEL",Nozzle!$G$94:$G$185,"additional")</f>
        <v>19</v>
      </c>
      <c r="I6" s="488">
        <f>SUMIFS(Nozzle!$I$1:$I93,Nozzle!$A$1:$A$93,"C49",Nozzle!$B$1:$B$93,"303",Nozzle!$F$1:$F$93,"ESEL",Nozzle!$H$1:$H$93,"Incoming",Nozzle!$G$1:$G$93,"随机")</f>
        <v>40</v>
      </c>
      <c r="J6" s="488">
        <f>SUMIFS(Nozzle!$I$1:$I93,Nozzle!$A$1:$A$93,"C49",Nozzle!$B$1:$B$93,"303",Nozzle!$F$1:$F$93,"ESEL",Nozzle!$H$1:$H$93,"Incoming",Nozzle!$G$1:$G$93,"additional")</f>
        <v>0</v>
      </c>
      <c r="K6" s="488">
        <f>SUMIFS(Nozzle!$I$1:$I93,Nozzle!$A$1:$A$93,"C49",Nozzle!$B$1:$B$93,"303",Nozzle!$F$1:$F$93,"ESEL",Nozzle!$H$1:$H$93,"TBA",Nozzle!$G$1:$G$93,"随机")</f>
        <v>85</v>
      </c>
      <c r="L6" s="488">
        <f>SUMIFS(Nozzle!$I$1:$I93,Nozzle!$A$1:$A$93,"C49",Nozzle!$B$1:$B$93,"303",Nozzle!$F$1:$F$93,"ESEL",Nozzle!$H$1:$H$93,"TBA",Nozzle!$G$1:$G$93,"additional")</f>
        <v>0</v>
      </c>
      <c r="M6" s="489">
        <f>SUMIFS(Nozzle!$P$94:$P$185,Nozzle!$A$94:$A$185,"C49",Nozzle!$B$94:$B$185,"303",Nozzle!$F$94:$F$185,"ESEL")</f>
        <v>0</v>
      </c>
      <c r="N6" s="490">
        <v>0</v>
      </c>
      <c r="O6" s="511">
        <f t="shared" ref="O6:O22" si="15">B6+I6+J6+K6+L6-M6-N6</f>
        <v>235</v>
      </c>
      <c r="P6" s="531">
        <v>303</v>
      </c>
      <c r="Q6" s="529">
        <f t="shared" ref="Q6:Q24" si="16">O6+AN6+I35+S35+AC35</f>
        <v>230</v>
      </c>
      <c r="R6" s="529">
        <f t="shared" si="0"/>
        <v>155</v>
      </c>
      <c r="S6" s="524">
        <f t="shared" si="1"/>
        <v>35</v>
      </c>
      <c r="T6" s="524">
        <f t="shared" si="5"/>
        <v>0</v>
      </c>
      <c r="U6" s="524">
        <f t="shared" si="6"/>
        <v>55</v>
      </c>
      <c r="V6" s="524">
        <f>AB6</f>
        <v>20</v>
      </c>
      <c r="W6" s="528">
        <f t="shared" si="8"/>
        <v>90</v>
      </c>
      <c r="X6" s="528">
        <f t="shared" si="9"/>
        <v>20</v>
      </c>
      <c r="Y6" s="535">
        <f t="shared" si="10"/>
        <v>35</v>
      </c>
      <c r="Z6" s="512">
        <v>303</v>
      </c>
      <c r="AA6" s="492">
        <f t="shared" si="11"/>
        <v>20</v>
      </c>
      <c r="AB6" s="492">
        <f t="shared" si="12"/>
        <v>20</v>
      </c>
      <c r="AC6" s="492">
        <f t="shared" si="13"/>
        <v>0</v>
      </c>
      <c r="AD6" s="487">
        <f>SUMIFS(Nozzle!$I$1:$I93,Nozzle!$A$1:$A$93,"C49",Nozzle!$B$1:$B$93,"303",Nozzle!$F$1:$F$93,"ESSZ",Nozzle!$H$1:$H$93,"STK",Nozzle!$G$1:$G$93,"随机")</f>
        <v>20</v>
      </c>
      <c r="AE6" s="487">
        <f>SUMIFS(Nozzle!$I$1:$I93,Nozzle!$A$1:$A$93,"C49",Nozzle!$B$1:$B$93,"303",Nozzle!$F$1:$F$93,"ESSZ",Nozzle!$H$1:$H$93,"STK",Nozzle!$G$1:$G$93,"additional")</f>
        <v>20</v>
      </c>
      <c r="AF6" s="487">
        <f>SUMIFS(Nozzle!$O$94:$O$185,Nozzle!$A$94:$A$185,"C49",Nozzle!$B$94:$B$185,"303",Nozzle!$F$94:$F$185,"ESSZ",Nozzle!$G$94:$G$185,"随机")</f>
        <v>0</v>
      </c>
      <c r="AG6" s="487">
        <f>SUMIFS(Nozzle!$O$94:$O$185,Nozzle!$A$94:$A$185,"C49",Nozzle!$B$94:$B$185,"303",Nozzle!$F$94:$F$185,"ESSZ",Nozzle!$G$94:$G$185,"additional")</f>
        <v>20</v>
      </c>
      <c r="AH6" s="488">
        <f>SUMIFS(Nozzle!$I$1:$I93,Nozzle!$A$1:$A$93,"C49",Nozzle!$B$1:$B$93,"303",Nozzle!$F$1:$F$93,"ESSZ",Nozzle!$H$1:$H$93,"Incoming",Nozzle!$G$1:$G$93,"随机")</f>
        <v>0</v>
      </c>
      <c r="AI6" s="488">
        <f>SUMIFS(Nozzle!$I$1:$I93,Nozzle!$A$1:$A$93,"C49",Nozzle!$B$1:$B$93,"303",Nozzle!$F$1:$F$93,"ESSZ",Nozzle!$H$1:$H$93,"Incoming",Nozzle!$G$1:$G$93,"additional")</f>
        <v>0</v>
      </c>
      <c r="AJ6" s="488">
        <f>SUMIFS(Nozzle!$I$1:$I93,Nozzle!$A$1:$A$93,"C49",Nozzle!$B$1:$B$93,"303",Nozzle!$F$1:$F$93,"ESSZ",Nozzle!$H$1:$H$93,"TBA",Nozzle!$G$1:$G$93,"随机")</f>
        <v>0</v>
      </c>
      <c r="AK6" s="488">
        <f>SUMIFS(Nozzle!$I$1:$I93,Nozzle!$A$1:$A$93,"C49",Nozzle!$B$1:$B$93,"303",Nozzle!$F$1:$F$93,"ESSZ",Nozzle!$H$1:$H$93,"TBA",Nozzle!$G$1:$G$93,"additional")</f>
        <v>0</v>
      </c>
      <c r="AL6" s="489">
        <f>SUMIFS(Nozzle!$P$94:$P$185,Nozzle!$A$94:$A$185,"C49",Nozzle!$B$94:$B$185,"303",Nozzle!$F$94:$F$185,"ESSZ")</f>
        <v>0</v>
      </c>
      <c r="AM6" s="490">
        <v>0</v>
      </c>
      <c r="AN6" s="491">
        <f t="shared" si="14"/>
        <v>20</v>
      </c>
    </row>
    <row r="7" spans="1:40" ht="18">
      <c r="A7" s="473">
        <v>304</v>
      </c>
      <c r="B7" s="492">
        <f t="shared" si="2"/>
        <v>19</v>
      </c>
      <c r="C7" s="492">
        <f t="shared" si="3"/>
        <v>0</v>
      </c>
      <c r="D7" s="492">
        <f t="shared" si="4"/>
        <v>19</v>
      </c>
      <c r="E7" s="487">
        <f>SUMIFS(Nozzle!$I$1:$I93,Nozzle!$A$1:$A$93,"C49",Nozzle!$B$1:$B$93,"304",Nozzle!$F$1:$F$93,"ESEL",Nozzle!$H$1:$H$93,"STK",Nozzle!$G$1:$G$93,"随机")</f>
        <v>0</v>
      </c>
      <c r="F7" s="487">
        <f>SUMIFS(Nozzle!$I$1:$I93,Nozzle!$A$1:$A$93,"C49",Nozzle!$B$1:$B$93,"304",Nozzle!$F$1:$F$93,"ESEL",Nozzle!$H$1:$H$93,"STK",Nozzle!$G$1:$G$93,"additional")</f>
        <v>60</v>
      </c>
      <c r="G7" s="487">
        <f>SUMIFS(Nozzle!$O$94:$O$185,Nozzle!$A$94:$A$185,"C49",Nozzle!$B$94:$B$185,"304",Nozzle!$F$94:$F$185,"ESEL",Nozzle!$G$94:$G$185,"随机")</f>
        <v>0</v>
      </c>
      <c r="H7" s="487">
        <f>SUMIFS(Nozzle!$O$94:$O$185,Nozzle!$A$94:$A$185,"C49",Nozzle!$B$94:$B$185,"304",Nozzle!$F$94:$F$185,"ESEL",Nozzle!$G$94:$G$185,"additional")</f>
        <v>41</v>
      </c>
      <c r="I7" s="488">
        <f>SUMIFS(Nozzle!$I$1:$I93,Nozzle!$A$1:$A$93,"C49",Nozzle!$B$1:$B$93,"304",Nozzle!$F$1:$F$93,"ESEL",Nozzle!$H$1:$H$93,"Incoming",Nozzle!$G$1:$G$93,"随机")</f>
        <v>0</v>
      </c>
      <c r="J7" s="488">
        <f>SUMIFS(Nozzle!$I$1:$I93,Nozzle!$A$1:$A$93,"C49",Nozzle!$B$1:$B$93,"304",Nozzle!$F$1:$F$93,"ESEL",Nozzle!$H$1:$H$93,"Incoming",Nozzle!$G$1:$G$93,"additional")</f>
        <v>0</v>
      </c>
      <c r="K7" s="488">
        <f>SUMIFS(Nozzle!$I$1:$I93,Nozzle!$A$1:$A$93,"C49",Nozzle!$B$1:$B$93,"304",Nozzle!$F$1:$F$93,"ESEL",Nozzle!$H$1:$H$93,"TBA",Nozzle!$G$1:$G$93,"随机")</f>
        <v>0</v>
      </c>
      <c r="L7" s="488">
        <f>SUMIFS(Nozzle!$I$1:$I93,Nozzle!$A$1:$A$93,"C49",Nozzle!$B$1:$B$93,"304",Nozzle!$F$1:$F$93,"ESEL",Nozzle!$H$1:$H$93,"TBA",Nozzle!$G$1:$G$93,"additional")</f>
        <v>0</v>
      </c>
      <c r="M7" s="489">
        <f>SUMIFS(Nozzle!$P$94:$P$185,Nozzle!$A$94:$A$185,"C49",Nozzle!$B$94:$B$185,"304",Nozzle!$F$94:$F$185,"ESEL")</f>
        <v>0</v>
      </c>
      <c r="N7" s="490"/>
      <c r="O7" s="511">
        <f t="shared" si="15"/>
        <v>19</v>
      </c>
      <c r="P7" s="531">
        <v>304</v>
      </c>
      <c r="Q7" s="529">
        <f t="shared" si="16"/>
        <v>221</v>
      </c>
      <c r="R7" s="529">
        <f t="shared" si="0"/>
        <v>221</v>
      </c>
      <c r="S7" s="524">
        <f t="shared" si="1"/>
        <v>12</v>
      </c>
      <c r="T7" s="524">
        <f t="shared" si="5"/>
        <v>211</v>
      </c>
      <c r="U7" s="524">
        <f t="shared" si="6"/>
        <v>0</v>
      </c>
      <c r="V7" s="524">
        <f t="shared" si="7"/>
        <v>0</v>
      </c>
      <c r="W7" s="528">
        <f t="shared" si="8"/>
        <v>12</v>
      </c>
      <c r="X7" s="528">
        <f t="shared" si="9"/>
        <v>211</v>
      </c>
      <c r="Y7" s="535">
        <f t="shared" si="10"/>
        <v>223</v>
      </c>
      <c r="Z7" s="512">
        <v>304</v>
      </c>
      <c r="AA7" s="492">
        <f t="shared" si="11"/>
        <v>211</v>
      </c>
      <c r="AB7" s="492">
        <f t="shared" si="12"/>
        <v>0</v>
      </c>
      <c r="AC7" s="492">
        <f t="shared" si="13"/>
        <v>211</v>
      </c>
      <c r="AD7" s="487">
        <f>SUMIFS(Nozzle!$I$1:$I93,Nozzle!$A$1:$A$93,"C49",Nozzle!$B$1:$B$93,"304",Nozzle!$F$1:$F$93,"ESSZ",Nozzle!$H$1:$H$93,"STK",Nozzle!$G$1:$G$93,"随机")</f>
        <v>0</v>
      </c>
      <c r="AE7" s="487">
        <f>SUMIFS(Nozzle!$I$1:$I93,Nozzle!$A$1:$A$93,"C49",Nozzle!$B$1:$B$93,"304",Nozzle!$F$1:$F$93,"ESSZ",Nozzle!$H$1:$H$93,"STK",Nozzle!$G$1:$G$93,"additional")</f>
        <v>211</v>
      </c>
      <c r="AF7" s="487">
        <f>SUMIFS(Nozzle!$O$94:$O$185,Nozzle!$A$94:$A$185,"C49",Nozzle!$B$94:$B$185,"304",Nozzle!$F$94:$F$185,"ESSZ",Nozzle!$G$94:$G$185,"随机")</f>
        <v>0</v>
      </c>
      <c r="AG7" s="487">
        <f>SUMIFS(Nozzle!$O$94:$O$185,Nozzle!$A$94:$A$185,"C49",Nozzle!$B$94:$B$185,"304",Nozzle!$F$94:$F$185,"ESSZ",Nozzle!$G$94:$G$185,"additional")</f>
        <v>0</v>
      </c>
      <c r="AH7" s="488">
        <f>SUMIFS(Nozzle!$I$1:$I93,Nozzle!$A$1:$A$93,"C49",Nozzle!$B$1:$B$93,"304",Nozzle!$F$1:$F$93,"ESSZ",Nozzle!$H$1:$H$93,"Incoming",Nozzle!$G$1:$G$93,"随机")</f>
        <v>0</v>
      </c>
      <c r="AI7" s="488">
        <f>SUMIFS(Nozzle!$I$1:$I93,Nozzle!$A$1:$A$93,"C49",Nozzle!$B$1:$B$93,"304",Nozzle!$F$1:$F$93,"ESSZ",Nozzle!$H$1:$H$93,"Incoming",Nozzle!$G$1:$G$93,"additional")</f>
        <v>0</v>
      </c>
      <c r="AJ7" s="488">
        <f>SUMIFS(Nozzle!$I$1:$I93,Nozzle!$A$1:$A$93,"C49",Nozzle!$B$1:$B$93,"304",Nozzle!$F$1:$F$93,"ESSZ",Nozzle!$H$1:$H$93,"TBA",Nozzle!$G$1:$G$93,"随机")</f>
        <v>0</v>
      </c>
      <c r="AK7" s="488">
        <f>SUMIFS(Nozzle!$I$1:$I93,Nozzle!$A$1:$A$93,"C49",Nozzle!$B$1:$B$93,"304",Nozzle!$F$1:$F$93,"ESSZ",Nozzle!$H$1:$H$93,"TBA",Nozzle!$G$1:$G$93,"additional")</f>
        <v>0</v>
      </c>
      <c r="AL7" s="489">
        <f>SUMIFS(Nozzle!$P$94:$P$185,Nozzle!$A$94:$A$185,"C49",Nozzle!$B$94:$B$185,"304",Nozzle!$F$94:$F$185,"ESSZ")</f>
        <v>0</v>
      </c>
      <c r="AM7" s="490"/>
      <c r="AN7" s="491">
        <f t="shared" si="14"/>
        <v>211</v>
      </c>
    </row>
    <row r="8" spans="1:40" ht="18">
      <c r="A8" s="473">
        <v>305</v>
      </c>
      <c r="B8" s="492">
        <f t="shared" si="2"/>
        <v>18</v>
      </c>
      <c r="C8" s="492">
        <f t="shared" si="3"/>
        <v>0</v>
      </c>
      <c r="D8" s="492">
        <f t="shared" si="4"/>
        <v>18</v>
      </c>
      <c r="E8" s="487">
        <f>SUMIFS(Nozzle!$I$1:$I93,Nozzle!$A$1:$A$93,"C49",Nozzle!$B$1:$B$93,"305",Nozzle!$F$1:$F$93,"ESEL",Nozzle!$H$1:$H$93,"STK",Nozzle!$G$1:$G$93,"随机")</f>
        <v>0</v>
      </c>
      <c r="F8" s="487">
        <f>SUMIFS(Nozzle!$I$1:$I93,Nozzle!$A$1:$A$93,"C49",Nozzle!$B$1:$B$93,"305",Nozzle!$F$1:$F$93,"ESEL",Nozzle!$H$1:$H$93,"STK",Nozzle!$G$1:$G$93,"additional")</f>
        <v>18</v>
      </c>
      <c r="G8" s="487">
        <f>SUMIFS(Nozzle!$O$94:$O$185,Nozzle!$A$94:$A$185,"C49",Nozzle!$B$94:$B$185,"305",Nozzle!$F$94:$F$185,"ESEL",Nozzle!$G$94:$G$185,"随机")</f>
        <v>0</v>
      </c>
      <c r="H8" s="487">
        <f>SUMIFS(Nozzle!$O$94:$O$185,Nozzle!$A$94:$A$185,"C49",Nozzle!$B$94:$B$185,"305",Nozzle!$F$94:$F$185,"ESEL",Nozzle!$G$94:$G$185,"additional")</f>
        <v>0</v>
      </c>
      <c r="I8" s="488">
        <f>SUMIFS(Nozzle!$I$1:$I93,Nozzle!$A$1:$A$93,"C49",Nozzle!$B$1:$B$93,"305",Nozzle!$F$1:$F$93,"ESEL",Nozzle!$H$1:$H$93,"Incoming",Nozzle!$G$1:$G$93,"随机")</f>
        <v>0</v>
      </c>
      <c r="J8" s="488">
        <f>SUMIFS(Nozzle!$I$1:$I93,Nozzle!$A$1:$A$93,"C49",Nozzle!$B$1:$B$93,"305",Nozzle!$F$1:$F$93,"ESEL",Nozzle!$H$1:$H$93,"Incoming",Nozzle!$G$1:$G$93,"additional")</f>
        <v>0</v>
      </c>
      <c r="K8" s="488">
        <f>SUMIFS(Nozzle!$I$1:$I93,Nozzle!$A$1:$A$93,"C49",Nozzle!$B$1:$B$93,"305",Nozzle!$F$1:$F$93,"ESEL",Nozzle!$H$1:$H$93,"TBA",Nozzle!$G$1:$G$93,"随机")</f>
        <v>0</v>
      </c>
      <c r="L8" s="488">
        <f>SUMIFS(Nozzle!$I$1:$I93,Nozzle!$A$1:$A$93,"C49",Nozzle!$B$1:$B$93,"305",Nozzle!$F$1:$F$93,"ESEL",Nozzle!$H$1:$H$93,"TBA",Nozzle!$G$1:$G$93,"additional")</f>
        <v>0</v>
      </c>
      <c r="M8" s="489">
        <f>SUMIFS(Nozzle!$P$94:$P$185,Nozzle!$A$94:$A$185,"C49",Nozzle!$B$94:$B$185,"305",Nozzle!$F$94:$F$185,"ESEL")</f>
        <v>0</v>
      </c>
      <c r="N8" s="490"/>
      <c r="O8" s="511">
        <f t="shared" si="15"/>
        <v>18</v>
      </c>
      <c r="P8" s="531">
        <v>305</v>
      </c>
      <c r="Q8" s="529">
        <f t="shared" si="16"/>
        <v>25</v>
      </c>
      <c r="R8" s="529">
        <f t="shared" si="0"/>
        <v>25</v>
      </c>
      <c r="S8" s="524">
        <f t="shared" si="1"/>
        <v>18</v>
      </c>
      <c r="T8" s="524">
        <f t="shared" si="5"/>
        <v>7</v>
      </c>
      <c r="U8" s="524">
        <f t="shared" si="6"/>
        <v>0</v>
      </c>
      <c r="V8" s="524">
        <f t="shared" si="7"/>
        <v>0</v>
      </c>
      <c r="W8" s="528">
        <f t="shared" si="8"/>
        <v>18</v>
      </c>
      <c r="X8" s="528">
        <f t="shared" si="9"/>
        <v>7</v>
      </c>
      <c r="Y8" s="535">
        <f t="shared" si="10"/>
        <v>25</v>
      </c>
      <c r="Z8" s="512">
        <v>305</v>
      </c>
      <c r="AA8" s="492">
        <f t="shared" si="11"/>
        <v>7</v>
      </c>
      <c r="AB8" s="492">
        <f t="shared" si="12"/>
        <v>0</v>
      </c>
      <c r="AC8" s="492">
        <f t="shared" si="13"/>
        <v>7</v>
      </c>
      <c r="AD8" s="487">
        <f>SUMIFS(Nozzle!$I$1:$I93,Nozzle!$A$1:$A$93,"C49",Nozzle!$B$1:$B$93,"305",Nozzle!$F$1:$F$93,"ESSZ",Nozzle!$H$1:$H$93,"STK",Nozzle!$G$1:$G$93,"随机")</f>
        <v>0</v>
      </c>
      <c r="AE8" s="487">
        <f>SUMIFS(Nozzle!$I$1:$I93,Nozzle!$A$1:$A$93,"C49",Nozzle!$B$1:$B$93,"305",Nozzle!$F$1:$F$93,"ESSZ",Nozzle!$H$1:$H$93,"STK",Nozzle!$G$1:$G$93,"additional")</f>
        <v>7</v>
      </c>
      <c r="AF8" s="487">
        <f>SUMIFS(Nozzle!$O$94:$O$185,Nozzle!$A$94:$A$185,"C49",Nozzle!$B$94:$B$185,"305",Nozzle!$F$94:$F$185,"ESSZ",Nozzle!$G$94:$G$185,"随机")</f>
        <v>0</v>
      </c>
      <c r="AG8" s="487">
        <f>SUMIFS(Nozzle!$O$94:$O$185,Nozzle!$A$94:$A$185,"C49",Nozzle!$B$94:$B$185,"305",Nozzle!$F$94:$F$185,"ESSZ",Nozzle!$G$94:$G$185,"additional")</f>
        <v>0</v>
      </c>
      <c r="AH8" s="488">
        <f>SUMIFS(Nozzle!$I$1:$I93,Nozzle!$A$1:$A$93,"C49",Nozzle!$B$1:$B$93,"305",Nozzle!$F$1:$F$93,"ESSZ",Nozzle!$H$1:$H$93,"Incoming",Nozzle!$G$1:$G$93,"随机")</f>
        <v>0</v>
      </c>
      <c r="AI8" s="488">
        <f>SUMIFS(Nozzle!$I$1:$I93,Nozzle!$A$1:$A$93,"C49",Nozzle!$B$1:$B$93,"305",Nozzle!$F$1:$F$93,"ESSZ",Nozzle!$H$1:$H$93,"Incoming",Nozzle!$G$1:$G$93,"additional")</f>
        <v>0</v>
      </c>
      <c r="AJ8" s="488">
        <f>SUMIFS(Nozzle!$I$1:$I93,Nozzle!$A$1:$A$93,"C49",Nozzle!$B$1:$B$93,"305",Nozzle!$F$1:$F$93,"ESSZ",Nozzle!$H$1:$H$93,"TBA",Nozzle!$G$1:$G$93,"随机")</f>
        <v>0</v>
      </c>
      <c r="AK8" s="488">
        <f>SUMIFS(Nozzle!$I$1:$I93,Nozzle!$A$1:$A$93,"C49",Nozzle!$B$1:$B$93,"305",Nozzle!$F$1:$F$93,"ESSZ",Nozzle!$H$1:$H$93,"TBA",Nozzle!$G$1:$G$93,"additional")</f>
        <v>0</v>
      </c>
      <c r="AL8" s="489">
        <f>SUMIFS(Nozzle!$P$94:$P$185,Nozzle!$A$94:$A$185,"C49",Nozzle!$B$94:$B$185,"305",Nozzle!$F$94:$F$185,"ESSZ")</f>
        <v>0</v>
      </c>
      <c r="AM8" s="490"/>
      <c r="AN8" s="491">
        <f t="shared" si="14"/>
        <v>7</v>
      </c>
    </row>
    <row r="9" spans="1:40" ht="18">
      <c r="A9" s="473">
        <v>306</v>
      </c>
      <c r="B9" s="492">
        <f t="shared" si="2"/>
        <v>9</v>
      </c>
      <c r="C9" s="492">
        <f t="shared" si="3"/>
        <v>0</v>
      </c>
      <c r="D9" s="492">
        <f t="shared" si="4"/>
        <v>9</v>
      </c>
      <c r="E9" s="487">
        <f>SUMIFS(Nozzle!$I$1:$I93,Nozzle!$A$1:$A$93,"C49",Nozzle!$B$1:$B$93,"306",Nozzle!$F$1:$F$93,"ESEL",Nozzle!$H$1:$H$93,"STK",Nozzle!$G$1:$G$93,"随机")</f>
        <v>0</v>
      </c>
      <c r="F9" s="487">
        <f>SUMIFS(Nozzle!$I$1:$I93,Nozzle!$A$1:$A$93,"C49",Nozzle!$B$1:$B$93,"306",Nozzle!$F$1:$F$93,"ESEL",Nozzle!$H$1:$H$93,"STK",Nozzle!$G$1:$G$93,"additional")</f>
        <v>9</v>
      </c>
      <c r="G9" s="487">
        <f>SUMIFS(Nozzle!$O$94:$O$185,Nozzle!$A$94:$A$185,"C49",Nozzle!$B$94:$B$185,"306",Nozzle!$F$94:$F$185,"ESEL",Nozzle!$G$94:$G$185,"随机")</f>
        <v>0</v>
      </c>
      <c r="H9" s="487">
        <f>SUMIFS(Nozzle!$O$94:$O$185,Nozzle!$A$94:$A$185,"C49",Nozzle!$B$94:$B$185,"306",Nozzle!$F$94:$F$185,"ESEL",Nozzle!$G$94:$G$185,"additional")</f>
        <v>0</v>
      </c>
      <c r="I9" s="488">
        <f>SUMIFS(Nozzle!$I$1:$I93,Nozzle!$A$1:$A$93,"C49",Nozzle!$B$1:$B$93,"306",Nozzle!$F$1:$F$93,"ESEL",Nozzle!$H$1:$H$93,"Incoming",Nozzle!$G$1:$G$93,"随机")</f>
        <v>0</v>
      </c>
      <c r="J9" s="488">
        <f>SUMIFS(Nozzle!$I$1:$I93,Nozzle!$A$1:$A$93,"C49",Nozzle!$B$1:$B$93,"306",Nozzle!$F$1:$F$93,"ESEL",Nozzle!$H$1:$H$93,"Incoming",Nozzle!$G$1:$G$93,"additional")</f>
        <v>0</v>
      </c>
      <c r="K9" s="488">
        <f>SUMIFS(Nozzle!$I$1:$I93,Nozzle!$A$1:$A$93,"C49",Nozzle!$B$1:$B$93,"306",Nozzle!$F$1:$F$93,"ESEL",Nozzle!$H$1:$H$93,"TBA",Nozzle!$G$1:$G$93,"随机")</f>
        <v>0</v>
      </c>
      <c r="L9" s="488">
        <f>SUMIFS(Nozzle!$I$1:$I93,Nozzle!$A$1:$A$93,"C49",Nozzle!$B$1:$B$93,"306",Nozzle!$F$1:$F$93,"ESEL",Nozzle!$H$1:$H$93,"TBA",Nozzle!$G$1:$G$93,"additional")</f>
        <v>0</v>
      </c>
      <c r="M9" s="489">
        <f>SUMIFS(Nozzle!$P$94:$P$185,Nozzle!$A$94:$A$185,"C49",Nozzle!$B$94:$B$185,"306",Nozzle!$F$94:$F$185,"ESEL")</f>
        <v>0</v>
      </c>
      <c r="N9" s="490"/>
      <c r="O9" s="511">
        <f t="shared" si="15"/>
        <v>9</v>
      </c>
      <c r="P9" s="531">
        <v>306</v>
      </c>
      <c r="Q9" s="529">
        <f t="shared" si="16"/>
        <v>9</v>
      </c>
      <c r="R9" s="529">
        <f t="shared" si="0"/>
        <v>9</v>
      </c>
      <c r="S9" s="524">
        <f t="shared" si="1"/>
        <v>9</v>
      </c>
      <c r="T9" s="524">
        <f t="shared" si="5"/>
        <v>0</v>
      </c>
      <c r="U9" s="524">
        <f t="shared" si="6"/>
        <v>0</v>
      </c>
      <c r="V9" s="524">
        <f t="shared" si="7"/>
        <v>0</v>
      </c>
      <c r="W9" s="528">
        <f t="shared" si="8"/>
        <v>9</v>
      </c>
      <c r="X9" s="528">
        <f t="shared" si="9"/>
        <v>0</v>
      </c>
      <c r="Y9" s="535">
        <f t="shared" si="10"/>
        <v>9</v>
      </c>
      <c r="Z9" s="512">
        <v>306</v>
      </c>
      <c r="AA9" s="492">
        <f t="shared" si="11"/>
        <v>0</v>
      </c>
      <c r="AB9" s="492">
        <f t="shared" si="12"/>
        <v>0</v>
      </c>
      <c r="AC9" s="492">
        <f t="shared" si="13"/>
        <v>0</v>
      </c>
      <c r="AD9" s="487">
        <f>SUMIFS(Nozzle!$I$1:$I93,Nozzle!$A$1:$A$93,"C49",Nozzle!$B$1:$B$93,"306",Nozzle!$F$1:$F$93,"ESSZ",Nozzle!$H$1:$H$93,"STK",Nozzle!$G$1:$G$93,"随机")</f>
        <v>0</v>
      </c>
      <c r="AE9" s="487">
        <f>SUMIFS(Nozzle!$I$1:$I93,Nozzle!$A$1:$A$93,"C49",Nozzle!$B$1:$B$93,"306",Nozzle!$F$1:$F$93,"ESSZ",Nozzle!$H$1:$H$93,"STK",Nozzle!$G$1:$G$93,"additional")</f>
        <v>0</v>
      </c>
      <c r="AF9" s="487">
        <f>SUMIFS(Nozzle!$O$94:$O$185,Nozzle!$A$94:$A$185,"C49",Nozzle!$B$94:$B$185,"306",Nozzle!$F$94:$F$185,"ESSZ",Nozzle!$G$94:$G$185,"随机")</f>
        <v>0</v>
      </c>
      <c r="AG9" s="487">
        <f>SUMIFS(Nozzle!$O$94:$O$185,Nozzle!$A$94:$A$185,"C49",Nozzle!$B$94:$B$185,"306",Nozzle!$F$94:$F$185,"ESSZ",Nozzle!$G$94:$G$185,"additional")</f>
        <v>0</v>
      </c>
      <c r="AH9" s="488">
        <f>SUMIFS(Nozzle!$I$1:$I93,Nozzle!$A$1:$A$93,"C49",Nozzle!$B$1:$B$93,"306",Nozzle!$F$1:$F$93,"ESSZ",Nozzle!$H$1:$H$93,"Incoming",Nozzle!$G$1:$G$93,"随机")</f>
        <v>0</v>
      </c>
      <c r="AI9" s="488">
        <f>SUMIFS(Nozzle!$I$1:$I93,Nozzle!$A$1:$A$93,"C49",Nozzle!$B$1:$B$93,"306",Nozzle!$F$1:$F$93,"ESSZ",Nozzle!$H$1:$H$93,"Incoming",Nozzle!$G$1:$G$93,"additional")</f>
        <v>0</v>
      </c>
      <c r="AJ9" s="488">
        <f>SUMIFS(Nozzle!$I$1:$I93,Nozzle!$A$1:$A$93,"C49",Nozzle!$B$1:$B$93,"306",Nozzle!$F$1:$F$93,"ESSZ",Nozzle!$H$1:$H$93,"TBA",Nozzle!$G$1:$G$93,"随机")</f>
        <v>0</v>
      </c>
      <c r="AK9" s="488">
        <f>SUMIFS(Nozzle!$I$1:$I93,Nozzle!$A$1:$A$93,"C49",Nozzle!$B$1:$B$93,"306",Nozzle!$F$1:$F$93,"ESSZ",Nozzle!$H$1:$H$93,"TBA",Nozzle!$G$1:$G$93,"additional")</f>
        <v>0</v>
      </c>
      <c r="AL9" s="489">
        <f>SUMIFS(Nozzle!$P$94:$P$185,Nozzle!$A$94:$A$185,"C49",Nozzle!$B$94:$B$185,"306",Nozzle!$F$94:$F$185,"ESSZ")</f>
        <v>0</v>
      </c>
      <c r="AM9" s="490"/>
      <c r="AN9" s="491">
        <f t="shared" si="14"/>
        <v>0</v>
      </c>
    </row>
    <row r="10" spans="1:40" ht="18">
      <c r="A10" s="473">
        <v>307</v>
      </c>
      <c r="B10" s="492">
        <f t="shared" si="2"/>
        <v>16</v>
      </c>
      <c r="C10" s="492">
        <f t="shared" si="3"/>
        <v>0</v>
      </c>
      <c r="D10" s="492">
        <f t="shared" si="4"/>
        <v>16</v>
      </c>
      <c r="E10" s="487">
        <f>SUMIFS(Nozzle!$I$1:$I93,Nozzle!$A$1:$A$93,"C49",Nozzle!$B$1:$B$93,"307",Nozzle!$F$1:$F$93,"ESEL",Nozzle!$H$1:$H$93,"STK",Nozzle!$G$1:$G$93,"随机")</f>
        <v>0</v>
      </c>
      <c r="F10" s="487">
        <f>SUMIFS(Nozzle!$I$1:$I93,Nozzle!$A$1:$A$93,"C49",Nozzle!$B$1:$B$93,"307",Nozzle!$F$1:$F$93,"ESEL",Nozzle!$H$1:$H$93,"STK",Nozzle!$G$1:$G$93,"additional")</f>
        <v>16</v>
      </c>
      <c r="G10" s="487">
        <f>SUMIFS(Nozzle!$O$94:$O$185,Nozzle!$A$94:$A$185,"C49",Nozzle!$B$94:$B$185,"307",Nozzle!$F$94:$F$185,"ESEL",Nozzle!$G$94:$G$185,"随机")</f>
        <v>0</v>
      </c>
      <c r="H10" s="487">
        <f>SUMIFS(Nozzle!$O$94:$O$185,Nozzle!$A$94:$A$185,"C49",Nozzle!$B$94:$B$185,"307",Nozzle!$F$94:$F$185,"ESEL",Nozzle!$G$94:$G$185,"additional")</f>
        <v>0</v>
      </c>
      <c r="I10" s="488">
        <f>SUMIFS(Nozzle!$I$1:$I93,Nozzle!$A$1:$A$93,"C49",Nozzle!$B$1:$B$93,"307",Nozzle!$F$1:$F$93,"ESEL",Nozzle!$H$1:$H$93,"Incoming",Nozzle!$G$1:$G$93,"随机")</f>
        <v>0</v>
      </c>
      <c r="J10" s="488">
        <f>SUMIFS(Nozzle!$I$1:$I93,Nozzle!$A$1:$A$93,"C49",Nozzle!$B$1:$B$93,"307",Nozzle!$F$1:$F$93,"ESEL",Nozzle!$H$1:$H$93,"Incoming",Nozzle!$G$1:$G$93,"additional")</f>
        <v>0</v>
      </c>
      <c r="K10" s="488">
        <f>SUMIFS(Nozzle!$I$1:$I93,Nozzle!$A$1:$A$93,"C49",Nozzle!$B$1:$B$93,"307",Nozzle!$F$1:$F$93,"ESEL",Nozzle!$H$1:$H$93,"TBA",Nozzle!$G$1:$G$93,"随机")</f>
        <v>0</v>
      </c>
      <c r="L10" s="488">
        <f>SUMIFS(Nozzle!$I$1:$I93,Nozzle!$A$1:$A$93,"C49",Nozzle!$B$1:$B$93,"307",Nozzle!$F$1:$F$93,"ESEL",Nozzle!$H$1:$H$93,"TBA",Nozzle!$G$1:$G$93,"additional")</f>
        <v>0</v>
      </c>
      <c r="M10" s="489">
        <f>SUMIFS(Nozzle!$P$94:$P$185,Nozzle!$A$94:$A$185,"C49",Nozzle!$B$94:$B$185,"307",Nozzle!$F$94:$F$185,"ESEL")</f>
        <v>0</v>
      </c>
      <c r="N10" s="490"/>
      <c r="O10" s="511">
        <f t="shared" si="15"/>
        <v>16</v>
      </c>
      <c r="P10" s="531">
        <v>307</v>
      </c>
      <c r="Q10" s="529">
        <f t="shared" si="16"/>
        <v>16</v>
      </c>
      <c r="R10" s="529">
        <f t="shared" si="0"/>
        <v>16</v>
      </c>
      <c r="S10" s="524">
        <f t="shared" si="1"/>
        <v>16</v>
      </c>
      <c r="T10" s="524">
        <f t="shared" si="5"/>
        <v>0</v>
      </c>
      <c r="U10" s="524">
        <f t="shared" si="6"/>
        <v>0</v>
      </c>
      <c r="V10" s="524">
        <f t="shared" si="7"/>
        <v>0</v>
      </c>
      <c r="W10" s="528">
        <f t="shared" si="8"/>
        <v>16</v>
      </c>
      <c r="X10" s="528">
        <f t="shared" si="9"/>
        <v>0</v>
      </c>
      <c r="Y10" s="535">
        <f t="shared" si="10"/>
        <v>16</v>
      </c>
      <c r="Z10" s="512">
        <v>307</v>
      </c>
      <c r="AA10" s="492">
        <f t="shared" si="11"/>
        <v>0</v>
      </c>
      <c r="AB10" s="492">
        <f t="shared" si="12"/>
        <v>0</v>
      </c>
      <c r="AC10" s="492">
        <f t="shared" si="13"/>
        <v>0</v>
      </c>
      <c r="AD10" s="487">
        <f>SUMIFS(Nozzle!$I$1:$I93,Nozzle!$A$1:$A$93,"C49",Nozzle!$B$1:$B$93,"307",Nozzle!$F$1:$F$93,"ESSZ",Nozzle!$H$1:$H$93,"STK",Nozzle!$G$1:$G$93,"随机")</f>
        <v>0</v>
      </c>
      <c r="AE10" s="487">
        <f>SUMIFS(Nozzle!$I$1:$I93,Nozzle!$A$1:$A$93,"C49",Nozzle!$B$1:$B$93,"307",Nozzle!$F$1:$F$93,"ESSZ",Nozzle!$H$1:$H$93,"STK",Nozzle!$G$1:$G$93,"additional")</f>
        <v>0</v>
      </c>
      <c r="AF10" s="487">
        <f>SUMIFS(Nozzle!$O$94:$O$185,Nozzle!$A$94:$A$185,"C49",Nozzle!$B$94:$B$185,"307",Nozzle!$F$94:$F$185,"ESSZ",Nozzle!$G$94:$G$185,"随机")</f>
        <v>0</v>
      </c>
      <c r="AG10" s="487">
        <f>SUMIFS(Nozzle!$O$94:$O$185,Nozzle!$A$94:$A$185,"C49",Nozzle!$B$94:$B$185,"307",Nozzle!$F$94:$F$185,"ESSZ",Nozzle!$G$94:$G$185,"additional")</f>
        <v>0</v>
      </c>
      <c r="AH10" s="488">
        <f>SUMIFS(Nozzle!$I$1:$I93,Nozzle!$A$1:$A$93,"C49",Nozzle!$B$1:$B$93,"307",Nozzle!$F$1:$F$93,"ESSZ",Nozzle!$H$1:$H$93,"Incoming",Nozzle!$G$1:$G$93,"随机")</f>
        <v>0</v>
      </c>
      <c r="AI10" s="488">
        <f>SUMIFS(Nozzle!$I$1:$I93,Nozzle!$A$1:$A$93,"C49",Nozzle!$B$1:$B$93,"307",Nozzle!$F$1:$F$93,"ESSZ",Nozzle!$H$1:$H$93,"Incoming",Nozzle!$G$1:$G$93,"additional")</f>
        <v>0</v>
      </c>
      <c r="AJ10" s="488">
        <f>SUMIFS(Nozzle!$I$1:$I93,Nozzle!$A$1:$A$93,"C49",Nozzle!$B$1:$B$93,"307",Nozzle!$F$1:$F$93,"ESSZ",Nozzle!$H$1:$H$93,"TBA",Nozzle!$G$1:$G$93,"随机")</f>
        <v>0</v>
      </c>
      <c r="AK10" s="488">
        <f>SUMIFS(Nozzle!$I$1:$I93,Nozzle!$A$1:$A$93,"C49",Nozzle!$B$1:$B$93,"307",Nozzle!$F$1:$F$93,"ESSZ",Nozzle!$H$1:$H$93,"TBA",Nozzle!$G$1:$G$93,"additional")</f>
        <v>0</v>
      </c>
      <c r="AL10" s="489">
        <f>SUMIFS(Nozzle!$P$94:$P$185,Nozzle!$A$94:$A$185,"C49",Nozzle!$B$94:$B$185,"307",Nozzle!$F$94:$F$185,"ESSZ")</f>
        <v>0</v>
      </c>
      <c r="AM10" s="490"/>
      <c r="AN10" s="491">
        <f t="shared" si="14"/>
        <v>0</v>
      </c>
    </row>
    <row r="11" spans="1:40" ht="18">
      <c r="A11" s="473">
        <v>309</v>
      </c>
      <c r="B11" s="492">
        <f t="shared" si="2"/>
        <v>3</v>
      </c>
      <c r="C11" s="492">
        <f t="shared" si="3"/>
        <v>0</v>
      </c>
      <c r="D11" s="492">
        <f t="shared" si="4"/>
        <v>3</v>
      </c>
      <c r="E11" s="487">
        <f>SUMIFS(Nozzle!$I$1:$I93,Nozzle!$A$1:$A$93,"C49",Nozzle!$B$1:$B$93,"309",Nozzle!$F$1:$F$93,"ESEL",Nozzle!$H$1:$H$93,"STK",Nozzle!$G$1:$G$93,"随机")</f>
        <v>0</v>
      </c>
      <c r="F11" s="487">
        <f>SUMIFS(Nozzle!$I$1:$I93,Nozzle!$A$1:$A$93,"C49",Nozzle!$B$1:$B$93,"309",Nozzle!$F$1:$F$93,"ESEL",Nozzle!$H$1:$H$93,"STK",Nozzle!$G$1:$G$93,"additional")</f>
        <v>3</v>
      </c>
      <c r="G11" s="487">
        <f>SUMIFS(Nozzle!$O$94:$O$185,Nozzle!$A$94:$A$185,"C49",Nozzle!$B$94:$B$185,"309",Nozzle!$F$94:$F$185,"ESEL",Nozzle!$G$94:$G$185,"随机")</f>
        <v>0</v>
      </c>
      <c r="H11" s="487">
        <f>SUMIFS(Nozzle!$O$94:$O$185,Nozzle!$A$94:$A$185,"C49",Nozzle!$B$94:$B$185,"309",Nozzle!$F$94:$F$185,"ESEL",Nozzle!$G$94:$G$185,"additional")</f>
        <v>0</v>
      </c>
      <c r="I11" s="488">
        <f>SUMIFS(Nozzle!$I$1:$I93,Nozzle!$A$1:$A$93,"C49",Nozzle!$B$1:$B$93,"309",Nozzle!$F$1:$F$93,"ESEL",Nozzle!$H$1:$H$93,"Incoming",Nozzle!$G$1:$G$93,"随机")</f>
        <v>0</v>
      </c>
      <c r="J11" s="488">
        <f>SUMIFS(Nozzle!$I$1:$I93,Nozzle!$A$1:$A$93,"C49",Nozzle!$B$1:$B$93,"309",Nozzle!$F$1:$F$93,"ESEL",Nozzle!$H$1:$H$93,"Incoming",Nozzle!$G$1:$G$93,"additional")</f>
        <v>0</v>
      </c>
      <c r="K11" s="488">
        <f>SUMIFS(Nozzle!$I$1:$I93,Nozzle!$A$1:$A$93,"C49",Nozzle!$B$1:$B$93,"309",Nozzle!$F$1:$F$93,"ESEL",Nozzle!$H$1:$H$93,"TBA",Nozzle!$G$1:$G$93,"随机")</f>
        <v>0</v>
      </c>
      <c r="L11" s="488">
        <f>SUMIFS(Nozzle!$I$1:$I93,Nozzle!$A$1:$A$93,"C49",Nozzle!$B$1:$B$93,"309",Nozzle!$F$1:$F$93,"ESEL",Nozzle!$H$1:$H$93,"TBA",Nozzle!$G$1:$G$93,"additional")</f>
        <v>0</v>
      </c>
      <c r="M11" s="489">
        <f>SUMIFS(Nozzle!$P$94:$P$185,Nozzle!$A$94:$A$185,"C49",Nozzle!$B$94:$B$185,"309",Nozzle!$F$94:$F$185,"ESEL")</f>
        <v>0</v>
      </c>
      <c r="N11" s="490"/>
      <c r="O11" s="511">
        <f t="shared" si="15"/>
        <v>3</v>
      </c>
      <c r="P11" s="531">
        <v>309</v>
      </c>
      <c r="Q11" s="529">
        <f t="shared" si="16"/>
        <v>8</v>
      </c>
      <c r="R11" s="529">
        <f t="shared" si="0"/>
        <v>8</v>
      </c>
      <c r="S11" s="524">
        <f t="shared" si="1"/>
        <v>3</v>
      </c>
      <c r="T11" s="524">
        <f t="shared" si="5"/>
        <v>5</v>
      </c>
      <c r="U11" s="524">
        <f t="shared" si="6"/>
        <v>0</v>
      </c>
      <c r="V11" s="524">
        <f t="shared" si="7"/>
        <v>0</v>
      </c>
      <c r="W11" s="528">
        <f t="shared" si="8"/>
        <v>3</v>
      </c>
      <c r="X11" s="528">
        <f t="shared" si="9"/>
        <v>5</v>
      </c>
      <c r="Y11" s="535">
        <f t="shared" si="10"/>
        <v>8</v>
      </c>
      <c r="Z11" s="512">
        <v>309</v>
      </c>
      <c r="AA11" s="492">
        <f t="shared" si="11"/>
        <v>5</v>
      </c>
      <c r="AB11" s="492">
        <f t="shared" si="12"/>
        <v>0</v>
      </c>
      <c r="AC11" s="492">
        <f t="shared" si="13"/>
        <v>5</v>
      </c>
      <c r="AD11" s="487">
        <f>SUMIFS(Nozzle!$I$1:$I93,Nozzle!$A$1:$A$93,"C49",Nozzle!$B$1:$B$93,"309",Nozzle!$F$1:$F$93,"ESSZ",Nozzle!$H$1:$H$93,"STK",Nozzle!$G$1:$G$93,"随机")</f>
        <v>0</v>
      </c>
      <c r="AE11" s="487">
        <f>SUMIFS(Nozzle!$I$1:$I93,Nozzle!$A$1:$A$93,"C49",Nozzle!$B$1:$B$93,"309",Nozzle!$F$1:$F$93,"ESSZ",Nozzle!$H$1:$H$93,"STK",Nozzle!$G$1:$G$93,"additional")</f>
        <v>5</v>
      </c>
      <c r="AF11" s="487">
        <f>SUMIFS(Nozzle!$O$94:$O$185,Nozzle!$A$94:$A$185,"C49",Nozzle!$B$94:$B$185,"309",Nozzle!$F$94:$F$185,"ESSZ",Nozzle!$G$94:$G$185,"随机")</f>
        <v>0</v>
      </c>
      <c r="AG11" s="487">
        <f>SUMIFS(Nozzle!$O$94:$O$185,Nozzle!$A$94:$A$185,"C49",Nozzle!$B$94:$B$185,"309",Nozzle!$F$94:$F$185,"ESSZ",Nozzle!$G$94:$G$185,"additional")</f>
        <v>0</v>
      </c>
      <c r="AH11" s="488">
        <f>SUMIFS(Nozzle!$I$1:$I93,Nozzle!$A$1:$A$93,"C49",Nozzle!$B$1:$B$93,"309",Nozzle!$F$1:$F$93,"ESSZ",Nozzle!$H$1:$H$93,"Incoming",Nozzle!$G$1:$G$93,"随机")</f>
        <v>0</v>
      </c>
      <c r="AI11" s="488">
        <f>SUMIFS(Nozzle!$I$1:$I93,Nozzle!$A$1:$A$93,"C49",Nozzle!$B$1:$B$93,"309",Nozzle!$F$1:$F$93,"ESSZ",Nozzle!$H$1:$H$93,"Incoming",Nozzle!$G$1:$G$93,"additional")</f>
        <v>0</v>
      </c>
      <c r="AJ11" s="488">
        <f>SUMIFS(Nozzle!$I$1:$I93,Nozzle!$A$1:$A$93,"C49",Nozzle!$B$1:$B$93,"309",Nozzle!$F$1:$F$93,"ESSZ",Nozzle!$H$1:$H$93,"TBA",Nozzle!$G$1:$G$93,"随机")</f>
        <v>0</v>
      </c>
      <c r="AK11" s="488">
        <f>SUMIFS(Nozzle!$I$1:$I93,Nozzle!$A$1:$A$93,"C49",Nozzle!$B$1:$B$93,"309",Nozzle!$F$1:$F$93,"ESSZ",Nozzle!$H$1:$H$93,"TBA",Nozzle!$G$1:$G$93,"additional")</f>
        <v>0</v>
      </c>
      <c r="AL11" s="489">
        <f>SUMIFS(Nozzle!$P$94:$P$185,Nozzle!$A$94:$A$185,"C49",Nozzle!$B$94:$B$185,"309",Nozzle!$F$94:$F$185,"ESSZ")</f>
        <v>0</v>
      </c>
      <c r="AM11" s="490"/>
      <c r="AN11" s="491">
        <f t="shared" si="14"/>
        <v>5</v>
      </c>
    </row>
    <row r="12" spans="1:40" ht="18">
      <c r="A12" s="473">
        <v>310</v>
      </c>
      <c r="B12" s="492">
        <f t="shared" si="2"/>
        <v>7</v>
      </c>
      <c r="C12" s="492">
        <f t="shared" si="3"/>
        <v>0</v>
      </c>
      <c r="D12" s="492">
        <f t="shared" si="4"/>
        <v>7</v>
      </c>
      <c r="E12" s="487">
        <f>SUMIFS(Nozzle!$I$1:$I93,Nozzle!$A$1:$A$93,"C49",Nozzle!$B$1:$B$93,"310",Nozzle!$F$1:$F$93,"ESEL",Nozzle!$H$1:$H$93,"STK",Nozzle!$G$1:$G$93,"随机")</f>
        <v>0</v>
      </c>
      <c r="F12" s="487">
        <f>SUMIFS(Nozzle!$I$1:$I93,Nozzle!$A$1:$A$93,"C49",Nozzle!$B$1:$B$93,"310",Nozzle!$F$1:$F$93,"ESEL",Nozzle!$H$1:$H$93,"STK",Nozzle!$G$1:$G$93,"additional")</f>
        <v>7</v>
      </c>
      <c r="G12" s="487">
        <f>SUMIFS(Nozzle!$O$94:$O$185,Nozzle!$A$94:$A$185,"C49",Nozzle!$B$94:$B$185,"310",Nozzle!$F$94:$F$185,"ESEL",Nozzle!$G$94:$G$185,"随机")</f>
        <v>0</v>
      </c>
      <c r="H12" s="487">
        <f>SUMIFS(Nozzle!$O$94:$O$185,Nozzle!$A$94:$A$185,"C49",Nozzle!$B$94:$B$185,"310",Nozzle!$F$94:$F$185,"ESEL",Nozzle!$G$94:$G$185,"additional")</f>
        <v>0</v>
      </c>
      <c r="I12" s="488">
        <f>SUMIFS(Nozzle!$I$1:$I93,Nozzle!$A$1:$A$93,"C49",Nozzle!$B$1:$B$93,"310",Nozzle!$F$1:$F$93,"ESEL",Nozzle!$H$1:$H$93,"Incoming",Nozzle!$G$1:$G$93,"随机")</f>
        <v>0</v>
      </c>
      <c r="J12" s="488">
        <f>SUMIFS(Nozzle!$I$1:$I93,Nozzle!$A$1:$A$93,"C49",Nozzle!$B$1:$B$93,"310",Nozzle!$F$1:$F$93,"ESEL",Nozzle!$H$1:$H$93,"Incoming",Nozzle!$G$1:$G$93,"additional")</f>
        <v>0</v>
      </c>
      <c r="K12" s="488">
        <f>SUMIFS(Nozzle!$I$1:$I93,Nozzle!$A$1:$A$93,"C49",Nozzle!$B$1:$B$93,"310",Nozzle!$F$1:$F$93,"ESEL",Nozzle!$H$1:$H$93,"TBA",Nozzle!$G$1:$G$93,"随机")</f>
        <v>0</v>
      </c>
      <c r="L12" s="488">
        <f>SUMIFS(Nozzle!$I$1:$I93,Nozzle!$A$1:$A$93,"C49",Nozzle!$B$1:$B$93,"310",Nozzle!$F$1:$F$93,"ESEL",Nozzle!$H$1:$H$93,"TBA",Nozzle!$G$1:$G$93,"additional")</f>
        <v>0</v>
      </c>
      <c r="M12" s="489">
        <f>SUMIFS(Nozzle!$P$94:$P$185,Nozzle!$A$94:$A$185,"C49",Nozzle!$B$94:$B$185,"310",Nozzle!$F$94:$F$185,"ESEL")</f>
        <v>0</v>
      </c>
      <c r="N12" s="490"/>
      <c r="O12" s="511">
        <f t="shared" si="15"/>
        <v>7</v>
      </c>
      <c r="P12" s="531">
        <v>310</v>
      </c>
      <c r="Q12" s="529">
        <f t="shared" si="16"/>
        <v>247</v>
      </c>
      <c r="R12" s="529">
        <f t="shared" si="0"/>
        <v>247</v>
      </c>
      <c r="S12" s="524">
        <f t="shared" si="1"/>
        <v>7</v>
      </c>
      <c r="T12" s="524">
        <f t="shared" si="5"/>
        <v>240</v>
      </c>
      <c r="U12" s="524">
        <f t="shared" si="6"/>
        <v>0</v>
      </c>
      <c r="V12" s="524">
        <f t="shared" si="7"/>
        <v>0</v>
      </c>
      <c r="W12" s="528">
        <f t="shared" si="8"/>
        <v>7</v>
      </c>
      <c r="X12" s="528">
        <f t="shared" si="9"/>
        <v>240</v>
      </c>
      <c r="Y12" s="535">
        <f t="shared" si="10"/>
        <v>247</v>
      </c>
      <c r="Z12" s="512">
        <v>310</v>
      </c>
      <c r="AA12" s="492">
        <f t="shared" si="11"/>
        <v>240</v>
      </c>
      <c r="AB12" s="492">
        <f t="shared" si="12"/>
        <v>0</v>
      </c>
      <c r="AC12" s="492">
        <f t="shared" si="13"/>
        <v>240</v>
      </c>
      <c r="AD12" s="487">
        <f>SUMIFS(Nozzle!$I$1:$I93,Nozzle!$A$1:$A$93,"C49",Nozzle!$B$1:$B$93,"310",Nozzle!$F$1:$F$93,"ESSZ",Nozzle!$H$1:$H$93,"STK",Nozzle!$G$1:$G$93,"随机")</f>
        <v>0</v>
      </c>
      <c r="AE12" s="487">
        <f>SUMIFS(Nozzle!$I$1:$I93,Nozzle!$A$1:$A$93,"C49",Nozzle!$B$1:$B$93,"310",Nozzle!$F$1:$F$93,"ESSZ",Nozzle!$H$1:$H$93,"STK",Nozzle!$G$1:$G$93,"additional")</f>
        <v>240</v>
      </c>
      <c r="AF12" s="487">
        <f>SUMIFS(Nozzle!$O$94:$O$185,Nozzle!$A$94:$A$185,"C49",Nozzle!$B$94:$B$185,"310",Nozzle!$F$94:$F$185,"ESSZ",Nozzle!$G$94:$G$185,"随机")</f>
        <v>0</v>
      </c>
      <c r="AG12" s="487">
        <f>SUMIFS(Nozzle!$O$94:$O$185,Nozzle!$A$94:$A$185,"C49",Nozzle!$B$94:$B$185,"310",Nozzle!$F$94:$F$185,"ESSZ",Nozzle!$G$94:$G$185,"additional")</f>
        <v>0</v>
      </c>
      <c r="AH12" s="488">
        <f>SUMIFS(Nozzle!$I$1:$I93,Nozzle!$A$1:$A$93,"C49",Nozzle!$B$1:$B$93,"310",Nozzle!$F$1:$F$93,"ESSZ",Nozzle!$H$1:$H$93,"Incoming",Nozzle!$G$1:$G$93,"随机")</f>
        <v>0</v>
      </c>
      <c r="AI12" s="488">
        <f>SUMIFS(Nozzle!$I$1:$I93,Nozzle!$A$1:$A$93,"C49",Nozzle!$B$1:$B$93,"310",Nozzle!$F$1:$F$93,"ESSZ",Nozzle!$H$1:$H$93,"Incoming",Nozzle!$G$1:$G$93,"additional")</f>
        <v>0</v>
      </c>
      <c r="AJ12" s="488">
        <f>SUMIFS(Nozzle!$I$1:$I93,Nozzle!$A$1:$A$93,"C49",Nozzle!$B$1:$B$93,"310",Nozzle!$F$1:$F$93,"ESSZ",Nozzle!$H$1:$H$93,"TBA",Nozzle!$G$1:$G$93,"随机")</f>
        <v>0</v>
      </c>
      <c r="AK12" s="488">
        <f>SUMIFS(Nozzle!$I$1:$I93,Nozzle!$A$1:$A$93,"C49",Nozzle!$B$1:$B$93,"310",Nozzle!$F$1:$F$93,"ESSZ",Nozzle!$H$1:$H$93,"TBA",Nozzle!$G$1:$G$93,"additional")</f>
        <v>0</v>
      </c>
      <c r="AL12" s="489">
        <f>SUMIFS(Nozzle!$P$94:$P$185,Nozzle!$A$94:$A$185,"C49",Nozzle!$B$94:$B$185,"310",Nozzle!$F$94:$F$185,"ESSZ")</f>
        <v>0</v>
      </c>
      <c r="AM12" s="490"/>
      <c r="AN12" s="491">
        <f t="shared" si="14"/>
        <v>240</v>
      </c>
    </row>
    <row r="13" spans="1:40" ht="18">
      <c r="A13" s="473">
        <v>311</v>
      </c>
      <c r="B13" s="492">
        <f t="shared" si="2"/>
        <v>50</v>
      </c>
      <c r="C13" s="492">
        <f t="shared" si="3"/>
        <v>40</v>
      </c>
      <c r="D13" s="492">
        <f t="shared" si="4"/>
        <v>10</v>
      </c>
      <c r="E13" s="487">
        <f>SUMIFS(Nozzle!$I$1:$I93,Nozzle!$A$1:$A$93,"C49",Nozzle!$B$1:$B$93,"311",Nozzle!$F$1:$F$93,"ESEL",Nozzle!$H$1:$H$93,"STK",Nozzle!$G$1:$G$93,"随机")</f>
        <v>40</v>
      </c>
      <c r="F13" s="487">
        <f>SUMIFS(Nozzle!$I$1:$I93,Nozzle!$A$1:$A$93,"C49",Nozzle!$B$1:$B$93,"311",Nozzle!$F$1:$F$93,"ESEL",Nozzle!$H$1:$H$93,"STK",Nozzle!$G$1:$G$93,"additional")</f>
        <v>16</v>
      </c>
      <c r="G13" s="487">
        <f>SUMIFS(Nozzle!$O$94:$O$185,Nozzle!$A$94:$A$185,"C49",Nozzle!$B$94:$B$185,"311",Nozzle!$F$94:$F$185,"ESEL",Nozzle!$G$94:$G$185,"随机")</f>
        <v>0</v>
      </c>
      <c r="H13" s="487">
        <f>SUMIFS(Nozzle!$O$94:$O$185,Nozzle!$A$94:$A$185,"C49",Nozzle!$B$94:$B$185,"311",Nozzle!$F$94:$F$185,"ESEL",Nozzle!$G$94:$G$185,"additional")</f>
        <v>6</v>
      </c>
      <c r="I13" s="488">
        <f>SUMIFS(Nozzle!$I$1:$I93,Nozzle!$A$1:$A$93,"C49",Nozzle!$B$1:$B$93,"311",Nozzle!$F$1:$F$93,"ESEL",Nozzle!$H$1:$H$93,"Incoming",Nozzle!$G$1:$G$93,"随机")</f>
        <v>0</v>
      </c>
      <c r="J13" s="488">
        <f>SUMIFS(Nozzle!$I$1:$I93,Nozzle!$A$1:$A$93,"C49",Nozzle!$B$1:$B$93,"311",Nozzle!$F$1:$F$93,"ESEL",Nozzle!$H$1:$H$93,"Incoming",Nozzle!$G$1:$G$93,"additional")</f>
        <v>0</v>
      </c>
      <c r="K13" s="488">
        <f>SUMIFS(Nozzle!$I$1:$I93,Nozzle!$A$1:$A$93,"C49",Nozzle!$B$1:$B$93,"311",Nozzle!$F$1:$F$93,"ESEL",Nozzle!$H$1:$H$93,"TBA",Nozzle!$G$1:$G$93,"随机")</f>
        <v>30</v>
      </c>
      <c r="L13" s="488">
        <f>SUMIFS(Nozzle!$I$1:$I93,Nozzle!$A$1:$A$93,"C49",Nozzle!$B$1:$B$93,"311",Nozzle!$F$1:$F$93,"ESEL",Nozzle!$H$1:$H$93,"TBA",Nozzle!$G$1:$G$93,"additional")</f>
        <v>0</v>
      </c>
      <c r="M13" s="489">
        <f>SUMIFS(Nozzle!$P$94:$P$185,Nozzle!$A$94:$A$185,"C49",Nozzle!$B$94:$B$185,"311",Nozzle!$F$94:$F$185,"ESEL")</f>
        <v>0</v>
      </c>
      <c r="N13" s="490"/>
      <c r="O13" s="511">
        <f>B13+I13+J13+K13+L13-M13-N13</f>
        <v>80</v>
      </c>
      <c r="P13" s="531">
        <v>311</v>
      </c>
      <c r="Q13" s="529">
        <f t="shared" si="16"/>
        <v>166</v>
      </c>
      <c r="R13" s="529">
        <f t="shared" si="0"/>
        <v>126</v>
      </c>
      <c r="S13" s="524">
        <f t="shared" si="1"/>
        <v>0</v>
      </c>
      <c r="T13" s="524">
        <f t="shared" si="5"/>
        <v>106</v>
      </c>
      <c r="U13" s="524">
        <f t="shared" si="6"/>
        <v>40</v>
      </c>
      <c r="V13" s="524">
        <f t="shared" si="7"/>
        <v>0</v>
      </c>
      <c r="W13" s="528">
        <f t="shared" si="8"/>
        <v>40</v>
      </c>
      <c r="X13" s="528">
        <f t="shared" si="9"/>
        <v>106</v>
      </c>
      <c r="Y13" s="535">
        <f t="shared" si="10"/>
        <v>106</v>
      </c>
      <c r="Z13" s="512">
        <v>311</v>
      </c>
      <c r="AA13" s="492">
        <f t="shared" si="11"/>
        <v>106</v>
      </c>
      <c r="AB13" s="492">
        <f t="shared" si="12"/>
        <v>0</v>
      </c>
      <c r="AC13" s="492">
        <f>AE13-AG13</f>
        <v>106</v>
      </c>
      <c r="AD13" s="487">
        <f>SUMIFS(Nozzle!$I$1:$I93,Nozzle!$A$1:$A$93,"C49",Nozzle!$B$1:$B$93,"311",Nozzle!$F$1:$F$93,"ESSZ",Nozzle!$H$1:$H$93,"STK",Nozzle!$G$1:$G$93,"随机")</f>
        <v>0</v>
      </c>
      <c r="AE13" s="487">
        <f>SUMIFS(Nozzle!$I$1:$I93,Nozzle!$A$1:$A$93,"C49",Nozzle!$B$1:$B$93,"311",Nozzle!$F$1:$F$93,"ESSZ",Nozzle!$H$1:$H$93,"STK",Nozzle!$G$1:$G$93,"additional")</f>
        <v>325</v>
      </c>
      <c r="AF13" s="487">
        <f>SUMIFS(Nozzle!$O$94:$O$185,Nozzle!$A$94:$A$185,"C49",Nozzle!$B$94:$B$185,"311",Nozzle!$F$94:$F$185,"ESSZ",Nozzle!$G$94:$G$185,"随机")</f>
        <v>0</v>
      </c>
      <c r="AG13" s="487">
        <f>SUMIFS(Nozzle!$O$94:$O$185,Nozzle!$A$94:$A$185,"C49",Nozzle!$B$94:$B$185,"311",Nozzle!$F$94:$F$185,"ESSZ",Nozzle!$G$94:$G$185,"additional")</f>
        <v>219</v>
      </c>
      <c r="AH13" s="488">
        <f>SUMIFS(Nozzle!$I$1:$I93,Nozzle!$A$1:$A$93,"C49",Nozzle!$B$1:$B$93,"311",Nozzle!$F$1:$F$93,"ESSZ",Nozzle!$H$1:$H$93,"Incoming",Nozzle!$G$1:$G$93,"随机")</f>
        <v>0</v>
      </c>
      <c r="AI13" s="488">
        <f>SUMIFS(Nozzle!$I$1:$I93,Nozzle!$A$1:$A$93,"C49",Nozzle!$B$1:$B$93,"311",Nozzle!$F$1:$F$93,"ESSZ",Nozzle!$H$1:$H$93,"Incoming",Nozzle!$G$1:$G$93,"additional")</f>
        <v>0</v>
      </c>
      <c r="AJ13" s="488">
        <f>SUMIFS(Nozzle!$I$1:$I93,Nozzle!$A$1:$A$93,"C49",Nozzle!$B$1:$B$93,"311",Nozzle!$F$1:$F$93,"ESSZ",Nozzle!$H$1:$H$93,"TBA",Nozzle!$G$1:$G$93,"随机")</f>
        <v>0</v>
      </c>
      <c r="AK13" s="488">
        <f>SUMIFS(Nozzle!$I$1:$I93,Nozzle!$A$1:$A$93,"C49",Nozzle!$B$1:$B$93,"311",Nozzle!$F$1:$F$93,"ESSZ",Nozzle!$H$1:$H$93,"TBA",Nozzle!$G$1:$G$93,"additional")</f>
        <v>0</v>
      </c>
      <c r="AL13" s="489">
        <f>SUMIFS(Nozzle!$P$94:$P$185,Nozzle!$A$94:$A$185,"C49",Nozzle!$B$94:$B$185,"311",Nozzle!$F$94:$F$185,"ESSZ")</f>
        <v>0</v>
      </c>
      <c r="AM13" s="490"/>
      <c r="AN13" s="491">
        <f t="shared" si="14"/>
        <v>106</v>
      </c>
    </row>
    <row r="14" spans="1:40" s="48" customFormat="1" ht="18">
      <c r="A14" s="473">
        <v>312</v>
      </c>
      <c r="B14" s="492">
        <f t="shared" si="2"/>
        <v>67</v>
      </c>
      <c r="C14" s="492">
        <f t="shared" si="3"/>
        <v>0</v>
      </c>
      <c r="D14" s="492">
        <f t="shared" si="4"/>
        <v>67</v>
      </c>
      <c r="E14" s="487">
        <f>SUMIFS(Nozzle!$I$1:$I93,Nozzle!$A$1:$A$93,"C49",Nozzle!$B$1:$B$93,"312",Nozzle!$F$1:$F$93,"ESEL",Nozzle!$H$1:$H$93,"STK",Nozzle!$G$1:$G$93,"随机")</f>
        <v>0</v>
      </c>
      <c r="F14" s="487">
        <f>SUMIFS(Nozzle!$I$1:$I93,Nozzle!$A$1:$A$93,"C49",Nozzle!$B$1:$B$93,"312",Nozzle!$F$1:$F$93,"ESEL",Nozzle!$H$1:$H$93,"STK",Nozzle!$G$1:$G$93,"additional")</f>
        <v>173</v>
      </c>
      <c r="G14" s="487">
        <f>SUMIFS(Nozzle!$O$94:$O$185,Nozzle!$A$94:$A$185,"C49",Nozzle!$B$94:$B$185,"312",Nozzle!$F$94:$F$185,"ESEL",Nozzle!$G$94:$G$185,"随机")</f>
        <v>0</v>
      </c>
      <c r="H14" s="487">
        <f>SUMIFS(Nozzle!$O$94:$O$185,Nozzle!$A$94:$A$185,"C49",Nozzle!$B$94:$B$185,"312",Nozzle!$F$94:$F$185,"ESEL",Nozzle!$G$94:$G$185,"additional")</f>
        <v>106</v>
      </c>
      <c r="I14" s="488">
        <f>SUMIFS(Nozzle!$I$1:$I93,Nozzle!$A$1:$A$93,"C49",Nozzle!$B$1:$B$93,"312",Nozzle!$F$1:$F$93,"ESEL",Nozzle!$H$1:$H$93,"Incoming",Nozzle!$G$1:$G$93,"随机")</f>
        <v>0</v>
      </c>
      <c r="J14" s="488">
        <f>SUMIFS(Nozzle!$I$1:$I93,Nozzle!$A$1:$A$93,"C49",Nozzle!$B$1:$B$93,"312",Nozzle!$F$1:$F$93,"ESEL",Nozzle!$H$1:$H$93,"Incoming",Nozzle!$G$1:$G$93,"additional")</f>
        <v>0</v>
      </c>
      <c r="K14" s="488">
        <f>SUMIFS(Nozzle!$I$1:$I93,Nozzle!$A$1:$A$93,"C49",Nozzle!$B$1:$B$93,"312",Nozzle!$F$1:$F$93,"ESEL",Nozzle!$H$1:$H$93,"TBA",Nozzle!$G$1:$G$93,"随机")</f>
        <v>0</v>
      </c>
      <c r="L14" s="488">
        <f>SUMIFS(Nozzle!$I$1:$I93,Nozzle!$A$1:$A$93,"C49",Nozzle!$B$1:$B$93,"312",Nozzle!$F$1:$F$93,"ESEL",Nozzle!$H$1:$H$93,"TBA",Nozzle!$G$1:$G$93,"additional")</f>
        <v>0</v>
      </c>
      <c r="M14" s="489">
        <f>SUMIFS(Nozzle!$P$94:$P$185,Nozzle!$A$94:$A$185,"C49",Nozzle!$B$94:$B$185,"312",Nozzle!$F$94:$F$185,"ESEL")</f>
        <v>0</v>
      </c>
      <c r="N14" s="490"/>
      <c r="O14" s="511">
        <f t="shared" si="15"/>
        <v>67</v>
      </c>
      <c r="P14" s="531">
        <v>312</v>
      </c>
      <c r="Q14" s="529">
        <f t="shared" si="16"/>
        <v>205</v>
      </c>
      <c r="R14" s="529">
        <f t="shared" si="0"/>
        <v>205</v>
      </c>
      <c r="S14" s="524">
        <f t="shared" si="1"/>
        <v>67</v>
      </c>
      <c r="T14" s="524">
        <f t="shared" si="5"/>
        <v>148</v>
      </c>
      <c r="U14" s="524">
        <f t="shared" si="6"/>
        <v>0</v>
      </c>
      <c r="V14" s="524">
        <f t="shared" si="7"/>
        <v>0</v>
      </c>
      <c r="W14" s="528">
        <f t="shared" si="8"/>
        <v>67</v>
      </c>
      <c r="X14" s="528">
        <f t="shared" si="9"/>
        <v>148</v>
      </c>
      <c r="Y14" s="535">
        <f t="shared" si="10"/>
        <v>215</v>
      </c>
      <c r="Z14" s="512">
        <v>312</v>
      </c>
      <c r="AA14" s="492">
        <f t="shared" si="11"/>
        <v>148</v>
      </c>
      <c r="AB14" s="492">
        <f t="shared" si="12"/>
        <v>0</v>
      </c>
      <c r="AC14" s="492">
        <f t="shared" si="13"/>
        <v>148</v>
      </c>
      <c r="AD14" s="487">
        <f>SUMIFS(Nozzle!$I$1:$I93,Nozzle!$A$1:$A$93,"C49",Nozzle!$B$1:$B$93,"312",Nozzle!$F$1:$F$93,"ESSZ",Nozzle!$H$1:$H$93,"STK",Nozzle!$G$1:$G$93,"随机")</f>
        <v>0</v>
      </c>
      <c r="AE14" s="487">
        <f>SUMIFS(Nozzle!$I$1:$I93,Nozzle!$A$1:$A$93,"C49",Nozzle!$B$1:$B$93,"312",Nozzle!$F$1:$F$93,"ESSZ",Nozzle!$H$1:$H$93,"STK",Nozzle!$G$1:$G$93,"additional")</f>
        <v>148</v>
      </c>
      <c r="AF14" s="487">
        <f>SUMIFS(Nozzle!$O$94:$O$185,Nozzle!$A$94:$A$185,"C49",Nozzle!$B$94:$B$185,"312",Nozzle!$F$94:$F$185,"ESSZ",Nozzle!$G$94:$G$185,"随机")</f>
        <v>0</v>
      </c>
      <c r="AG14" s="487">
        <f>SUMIFS(Nozzle!$O$94:$O$185,Nozzle!$A$94:$A$185,"C49",Nozzle!$B$94:$B$185,"312",Nozzle!$F$94:$F$185,"ESSZ",Nozzle!$G$94:$G$185,"additional")</f>
        <v>0</v>
      </c>
      <c r="AH14" s="488">
        <f>SUMIFS(Nozzle!$I$1:$I93,Nozzle!$A$1:$A$93,"C49",Nozzle!$B$1:$B$93,"312",Nozzle!$F$1:$F$93,"ESSZ",Nozzle!$H$1:$H$93,"Incoming",Nozzle!$G$1:$G$93,"随机")</f>
        <v>0</v>
      </c>
      <c r="AI14" s="488">
        <f>SUMIFS(Nozzle!$I$1:$I93,Nozzle!$A$1:$A$93,"C49",Nozzle!$B$1:$B$93,"312",Nozzle!$F$1:$F$93,"ESSZ",Nozzle!$H$1:$H$93,"Incoming",Nozzle!$G$1:$G$93,"additional")</f>
        <v>0</v>
      </c>
      <c r="AJ14" s="488">
        <f>SUMIFS(Nozzle!$I$1:$I93,Nozzle!$A$1:$A$93,"C49",Nozzle!$B$1:$B$93,"312",Nozzle!$F$1:$F$93,"ESSZ",Nozzle!$H$1:$H$93,"TBA",Nozzle!$G$1:$G$93,"随机")</f>
        <v>0</v>
      </c>
      <c r="AK14" s="488">
        <f>SUMIFS(Nozzle!$I$1:$I93,Nozzle!$A$1:$A$93,"C49",Nozzle!$B$1:$B$93,"312",Nozzle!$F$1:$F$93,"ESSZ",Nozzle!$H$1:$H$93,"TBA",Nozzle!$G$1:$G$93,"additional")</f>
        <v>0</v>
      </c>
      <c r="AL14" s="489">
        <f>SUMIFS(Nozzle!$P$94:$P$185,Nozzle!$A$94:$A$185,"C49",Nozzle!$B$94:$B$185,"312",Nozzle!$F$94:$F$185,"ESSZ")</f>
        <v>0</v>
      </c>
      <c r="AM14" s="490"/>
      <c r="AN14" s="491">
        <f t="shared" si="14"/>
        <v>148</v>
      </c>
    </row>
    <row r="15" spans="1:40" s="48" customFormat="1" ht="18">
      <c r="A15" s="473">
        <v>313</v>
      </c>
      <c r="B15" s="492">
        <f t="shared" si="2"/>
        <v>30</v>
      </c>
      <c r="C15" s="492">
        <f t="shared" si="3"/>
        <v>20</v>
      </c>
      <c r="D15" s="492">
        <f t="shared" si="4"/>
        <v>10</v>
      </c>
      <c r="E15" s="487">
        <f>SUMIFS(Nozzle!$I$1:$I93,Nozzle!$A$1:$A$93,"C49",Nozzle!$B$1:$B$93,"313",Nozzle!$F$1:$F$93,"ESEL",Nozzle!$H$1:$H$93,"STK",Nozzle!$G$1:$G$93,"随机")</f>
        <v>30</v>
      </c>
      <c r="F15" s="487">
        <f>SUMIFS(Nozzle!$I$1:$I93,Nozzle!$A$1:$A$93,"C49",Nozzle!$B$1:$B$93,"313",Nozzle!$F$1:$F$93,"ESEL",Nozzle!$H$1:$H$93,"STK",Nozzle!$G$1:$G$93,"additional")</f>
        <v>10</v>
      </c>
      <c r="G15" s="487">
        <f>SUMIFS(Nozzle!$O$94:$O$185,Nozzle!$A$94:$A$185,"C49",Nozzle!$B$94:$B$185,"313",Nozzle!$F$94:$F$185,"ESEL",Nozzle!$G$94:$G$185,"随机")</f>
        <v>10</v>
      </c>
      <c r="H15" s="487">
        <f>SUMIFS(Nozzle!$O$94:$O$185,Nozzle!$A$94:$A$185,"C49",Nozzle!$B$94:$B$185,"313",Nozzle!$F$94:$F$185,"ESEL",Nozzle!$G$94:$G$185,"additional")</f>
        <v>0</v>
      </c>
      <c r="I15" s="488">
        <f>SUMIFS(Nozzle!$I$1:$I93,Nozzle!$A$1:$A$93,"C49",Nozzle!$B$1:$B$93,"313",Nozzle!$F$1:$F$93,"ESEL",Nozzle!$H$1:$H$93,"Incoming",Nozzle!$G$1:$G$93,"随机")</f>
        <v>0</v>
      </c>
      <c r="J15" s="488">
        <f>SUMIFS(Nozzle!$I$1:$I93,Nozzle!$A$1:$A$93,"C49",Nozzle!$B$1:$B$93,"313",Nozzle!$F$1:$F$93,"ESEL",Nozzle!$H$1:$H$93,"Incoming",Nozzle!$G$1:$G$93,"additional")</f>
        <v>0</v>
      </c>
      <c r="K15" s="488">
        <f>SUMIFS(Nozzle!$I$1:$I93,Nozzle!$A$1:$A$93,"C49",Nozzle!$B$1:$B$93,"313",Nozzle!$F$1:$F$93,"ESEL",Nozzle!$H$1:$H$93,"TBA",Nozzle!$G$1:$G$93,"随机")</f>
        <v>0</v>
      </c>
      <c r="L15" s="488">
        <f>SUMIFS(Nozzle!$I$1:$I93,Nozzle!$A$1:$A$93,"C49",Nozzle!$B$1:$B$93,"313",Nozzle!$F$1:$F$93,"ESEL",Nozzle!$H$1:$H$93,"TBA",Nozzle!$G$1:$G$93,"additional")</f>
        <v>0</v>
      </c>
      <c r="M15" s="489">
        <f>SUMIFS(Nozzle!$P$94:$P$185,Nozzle!$A$94:$A$185,"C49",Nozzle!$B$94:$B$185,"313",Nozzle!$F$94:$F$185,"ESEL")</f>
        <v>0</v>
      </c>
      <c r="N15" s="490"/>
      <c r="O15" s="511">
        <f t="shared" si="15"/>
        <v>30</v>
      </c>
      <c r="P15" s="531">
        <v>313</v>
      </c>
      <c r="Q15" s="529">
        <f t="shared" si="16"/>
        <v>176</v>
      </c>
      <c r="R15" s="529">
        <f t="shared" si="0"/>
        <v>156</v>
      </c>
      <c r="S15" s="524">
        <f t="shared" si="1"/>
        <v>10</v>
      </c>
      <c r="T15" s="524">
        <f t="shared" si="5"/>
        <v>151</v>
      </c>
      <c r="U15" s="524">
        <f t="shared" si="6"/>
        <v>20</v>
      </c>
      <c r="V15" s="524">
        <f t="shared" si="7"/>
        <v>0</v>
      </c>
      <c r="W15" s="528">
        <f t="shared" si="8"/>
        <v>30</v>
      </c>
      <c r="X15" s="528">
        <f t="shared" si="9"/>
        <v>151</v>
      </c>
      <c r="Y15" s="535">
        <f t="shared" si="10"/>
        <v>161</v>
      </c>
      <c r="Z15" s="512">
        <v>313</v>
      </c>
      <c r="AA15" s="492">
        <f t="shared" si="11"/>
        <v>151</v>
      </c>
      <c r="AB15" s="492">
        <f t="shared" si="12"/>
        <v>0</v>
      </c>
      <c r="AC15" s="492">
        <f t="shared" si="13"/>
        <v>151</v>
      </c>
      <c r="AD15" s="487">
        <f>SUMIFS(Nozzle!$I$1:$I93,Nozzle!$A$1:$A$93,"C49",Nozzle!$B$1:$B$93,"313",Nozzle!$F$1:$F$93,"ESSZ",Nozzle!$H$1:$H$93,"STK",Nozzle!$G$1:$G$93,"随机")</f>
        <v>0</v>
      </c>
      <c r="AE15" s="487">
        <f>SUMIFS(Nozzle!$I$1:$I93,Nozzle!$A$1:$A$93,"C49",Nozzle!$B$1:$B$93,"313",Nozzle!$F$1:$F$93,"ESSZ",Nozzle!$H$1:$H$93,"STK",Nozzle!$G$1:$G$93,"additional")</f>
        <v>151</v>
      </c>
      <c r="AF15" s="487">
        <f>SUMIFS(Nozzle!$O$94:$O$185,Nozzle!$A$94:$A$185,"C49",Nozzle!$B$94:$B$185,"313",Nozzle!$F$94:$F$185,"ESSZ",Nozzle!$G$94:$G$185,"随机")</f>
        <v>0</v>
      </c>
      <c r="AG15" s="487">
        <f>SUMIFS(Nozzle!$O$94:$O$185,Nozzle!$A$94:$A$185,"C49",Nozzle!$B$94:$B$185,"313",Nozzle!$F$94:$F$185,"ESSZ",Nozzle!$G$94:$G$185,"additional")</f>
        <v>0</v>
      </c>
      <c r="AH15" s="488">
        <f>SUMIFS(Nozzle!$I$1:$I93,Nozzle!$A$1:$A$93,"C49",Nozzle!$B$1:$B$93,"313",Nozzle!$F$1:$F$93,"ESSZ",Nozzle!$H$1:$H$93,"Incoming",Nozzle!$G$1:$G$93,"随机")</f>
        <v>0</v>
      </c>
      <c r="AI15" s="488">
        <f>SUMIFS(Nozzle!$I$1:$I93,Nozzle!$A$1:$A$93,"C49",Nozzle!$B$1:$B$93,"313",Nozzle!$F$1:$F$93,"ESSZ",Nozzle!$H$1:$H$93,"Incoming",Nozzle!$G$1:$G$93,"additional")</f>
        <v>0</v>
      </c>
      <c r="AJ15" s="488">
        <f>SUMIFS(Nozzle!$I$1:$I93,Nozzle!$A$1:$A$93,"C49",Nozzle!$B$1:$B$93,"313",Nozzle!$F$1:$F$93,"ESSZ",Nozzle!$H$1:$H$93,"TBA",Nozzle!$G$1:$G$93,"随机")</f>
        <v>0</v>
      </c>
      <c r="AK15" s="488">
        <f>SUMIFS(Nozzle!$I$1:$I93,Nozzle!$A$1:$A$93,"C49",Nozzle!$B$1:$B$93,"313",Nozzle!$F$1:$F$93,"ESSZ",Nozzle!$H$1:$H$93,"TBA",Nozzle!$G$1:$G$93,"additional")</f>
        <v>0</v>
      </c>
      <c r="AL15" s="489">
        <f>SUMIFS(Nozzle!$P$94:$P$185,Nozzle!$A$94:$A$185,"C49",Nozzle!$B$94:$B$185,"313",Nozzle!$F$94:$F$185,"ESSZ")</f>
        <v>0</v>
      </c>
      <c r="AM15" s="490"/>
      <c r="AN15" s="491">
        <f t="shared" si="14"/>
        <v>151</v>
      </c>
    </row>
    <row r="16" spans="1:40" s="48" customFormat="1" ht="18">
      <c r="A16" s="473">
        <v>7202</v>
      </c>
      <c r="B16" s="492">
        <f t="shared" si="2"/>
        <v>26</v>
      </c>
      <c r="C16" s="492">
        <f t="shared" si="3"/>
        <v>0</v>
      </c>
      <c r="D16" s="492">
        <f t="shared" si="4"/>
        <v>26</v>
      </c>
      <c r="E16" s="487">
        <f>SUMIFS(Nozzle!$I$1:$I93,Nozzle!$A$1:$A$93,"C49",Nozzle!$B$1:$B$93,"7202",Nozzle!$F$1:$F$93,"ESEL",Nozzle!$H$1:$H$93,"STK",Nozzle!$G$1:$G$93,"随机")</f>
        <v>0</v>
      </c>
      <c r="F16" s="487">
        <f>SUMIFS(Nozzle!$I$1:$I93,Nozzle!$A$1:$A$93,"C49",Nozzle!$B$1:$B$93,"7202",Nozzle!$F$1:$F$93,"ESEL",Nozzle!$H$1:$H$93,"STK",Nozzle!$G$1:$G$93,"additional")</f>
        <v>26</v>
      </c>
      <c r="G16" s="487">
        <f>SUMIFS(Nozzle!$O$94:$O$185,Nozzle!$A$94:$A$185,"C49",Nozzle!$B$94:$B$185,"7202",Nozzle!$F$94:$F$185,"ESEL",Nozzle!$G$94:$G$185,"随机")</f>
        <v>0</v>
      </c>
      <c r="H16" s="487">
        <f>SUMIFS(Nozzle!$O$94:$O$185,Nozzle!$A$94:$A$185,"C49",Nozzle!$B$94:$B$185,"7202",Nozzle!$F$94:$F$185,"ESEL",Nozzle!$G$94:$G$185,"additional")</f>
        <v>0</v>
      </c>
      <c r="I16" s="488">
        <f>SUMIFS(Nozzle!$I$1:$I93,Nozzle!$A$1:$A$93,"C49",Nozzle!$B$1:$B$93,"7202",Nozzle!$F$1:$F$93,"ESEL",Nozzle!$H$1:$H$93,"Incoming",Nozzle!$G$1:$G$93,"随机")</f>
        <v>0</v>
      </c>
      <c r="J16" s="488">
        <f>SUMIFS(Nozzle!$I$1:$I93,Nozzle!$A$1:$A$93,"C49",Nozzle!$B$1:$B$93,"7202",Nozzle!$F$1:$F$93,"ESEL",Nozzle!$H$1:$H$93,"Incoming",Nozzle!$G$1:$G$93,"additional")</f>
        <v>0</v>
      </c>
      <c r="K16" s="488">
        <f>SUMIFS(Nozzle!$I$1:$I93,Nozzle!$A$1:$A$93,"C49",Nozzle!$B$1:$B$93,"7202",Nozzle!$F$1:$F$93,"ESEL",Nozzle!$H$1:$H$93,"TBA",Nozzle!$G$1:$G$93,"随机")</f>
        <v>0</v>
      </c>
      <c r="L16" s="488">
        <f>SUMIFS(Nozzle!$I$1:$I93,Nozzle!$A$1:$A$93,"C49",Nozzle!$B$1:$B$93,"7202",Nozzle!$F$1:$F$93,"ESEL",Nozzle!$H$1:$H$93,"TBA",Nozzle!$G$1:$G$93,"additional")</f>
        <v>0</v>
      </c>
      <c r="M16" s="489">
        <f>SUMIFS(Nozzle!$P$94:$P$185,Nozzle!$A$94:$A$185,"C49",Nozzle!$B$94:$B$185,"7202",Nozzle!$F$94:$F$185,"ESEL")</f>
        <v>0</v>
      </c>
      <c r="N16" s="490"/>
      <c r="O16" s="511">
        <f t="shared" si="15"/>
        <v>26</v>
      </c>
      <c r="P16" s="531">
        <v>7202</v>
      </c>
      <c r="Q16" s="529">
        <f t="shared" si="16"/>
        <v>26</v>
      </c>
      <c r="R16" s="529">
        <f t="shared" si="0"/>
        <v>26</v>
      </c>
      <c r="S16" s="524">
        <f t="shared" si="1"/>
        <v>26</v>
      </c>
      <c r="T16" s="524">
        <f t="shared" si="5"/>
        <v>0</v>
      </c>
      <c r="U16" s="524">
        <f t="shared" si="6"/>
        <v>0</v>
      </c>
      <c r="V16" s="524">
        <f t="shared" si="7"/>
        <v>0</v>
      </c>
      <c r="W16" s="528">
        <f t="shared" si="8"/>
        <v>26</v>
      </c>
      <c r="X16" s="528">
        <f t="shared" si="9"/>
        <v>0</v>
      </c>
      <c r="Y16" s="535">
        <f t="shared" si="10"/>
        <v>26</v>
      </c>
      <c r="Z16" s="512">
        <v>7202</v>
      </c>
      <c r="AA16" s="492">
        <f t="shared" si="11"/>
        <v>0</v>
      </c>
      <c r="AB16" s="492">
        <f t="shared" si="12"/>
        <v>0</v>
      </c>
      <c r="AC16" s="492">
        <f t="shared" si="13"/>
        <v>0</v>
      </c>
      <c r="AD16" s="487">
        <f>SUMIFS(Nozzle!$I$1:$I93,Nozzle!$A$1:$A$93,"C49",Nozzle!$B$1:$B$93,"7202",Nozzle!$F$1:$F$93,"ESSZ",Nozzle!$H$1:$H$93,"STK",Nozzle!$G$1:$G$93,"随机")</f>
        <v>0</v>
      </c>
      <c r="AE16" s="487">
        <f>SUMIFS(Nozzle!$I$1:$I93,Nozzle!$A$1:$A$93,"C49",Nozzle!$B$1:$B$93,"7202",Nozzle!$F$1:$F$93,"ESSZ",Nozzle!$H$1:$H$93,"STK",Nozzle!$G$1:$G$93,"additional")</f>
        <v>0</v>
      </c>
      <c r="AF16" s="487">
        <f>SUMIFS(Nozzle!$O$94:$O$185,Nozzle!$A$94:$A$185,"C49",Nozzle!$B$94:$B$185,"7202",Nozzle!$F$94:$F$185,"ESSZ",Nozzle!$G$94:$G$185,"随机")</f>
        <v>0</v>
      </c>
      <c r="AG16" s="487">
        <f>SUMIFS(Nozzle!$O$94:$O$185,Nozzle!$A$94:$A$185,"C49",Nozzle!$B$94:$B$185,"7202",Nozzle!$F$94:$F$185,"ESSZ",Nozzle!$G$94:$G$185,"additional")</f>
        <v>0</v>
      </c>
      <c r="AH16" s="488">
        <f>SUMIFS(Nozzle!$I$1:$I93,Nozzle!$A$1:$A$93,"C49",Nozzle!$B$1:$B$93,"7202",Nozzle!$F$1:$F$93,"ESSZ",Nozzle!$H$1:$H$93,"Incoming",Nozzle!$G$1:$G$93,"随机")</f>
        <v>0</v>
      </c>
      <c r="AI16" s="488">
        <f>SUMIFS(Nozzle!$I$1:$I93,Nozzle!$A$1:$A$93,"C49",Nozzle!$B$1:$B$93,"7202",Nozzle!$F$1:$F$93,"ESSZ",Nozzle!$H$1:$H$93,"Incoming",Nozzle!$G$1:$G$93,"additional")</f>
        <v>0</v>
      </c>
      <c r="AJ16" s="488">
        <f>SUMIFS(Nozzle!$I$1:$I93,Nozzle!$A$1:$A$93,"C49",Nozzle!$B$1:$B$93,"7202",Nozzle!$F$1:$F$93,"ESSZ",Nozzle!$H$1:$H$93,"TBA",Nozzle!$G$1:$G$93,"随机")</f>
        <v>0</v>
      </c>
      <c r="AK16" s="488">
        <f>SUMIFS(Nozzle!$I$1:$I93,Nozzle!$A$1:$A$93,"C49",Nozzle!$B$1:$B$93,"7202",Nozzle!$F$1:$F$93,"ESSZ",Nozzle!$H$1:$H$93,"TBA",Nozzle!$G$1:$G$93,"additional")</f>
        <v>0</v>
      </c>
      <c r="AL16" s="489">
        <f>SUMIFS(Nozzle!$P$94:$P$185,Nozzle!$A$94:$A$185,"C49",Nozzle!$B$94:$B$185,"7202",Nozzle!$F$94:$F$185,"ESSZ")</f>
        <v>0</v>
      </c>
      <c r="AM16" s="490"/>
      <c r="AN16" s="491">
        <f t="shared" si="14"/>
        <v>0</v>
      </c>
    </row>
    <row r="17" spans="1:40" s="48" customFormat="1" ht="18">
      <c r="A17" s="473">
        <v>7203</v>
      </c>
      <c r="B17" s="492">
        <f t="shared" si="2"/>
        <v>5</v>
      </c>
      <c r="C17" s="492">
        <f t="shared" si="3"/>
        <v>0</v>
      </c>
      <c r="D17" s="492">
        <f t="shared" si="4"/>
        <v>5</v>
      </c>
      <c r="E17" s="487">
        <f>SUMIFS(Nozzle!$I$1:$I93,Nozzle!$A$1:$A$93,"C49",Nozzle!$B$1:$B$93,"7203",Nozzle!$F$1:$F$93,"ESEL",Nozzle!$H$1:$H$93,"STK",Nozzle!$G$1:$G$93,"随机")</f>
        <v>0</v>
      </c>
      <c r="F17" s="487">
        <f>SUMIFS(Nozzle!$I$1:$I93,Nozzle!$A$1:$A$93,"C49",Nozzle!$B$1:$B$93,"7203",Nozzle!$F$1:$F$93,"ESEL",Nozzle!$H$1:$H$93,"STK",Nozzle!$G$1:$G$93,"additional")</f>
        <v>5</v>
      </c>
      <c r="G17" s="487">
        <f>SUMIFS(Nozzle!$O$94:$O$185,Nozzle!$A$94:$A$185,"C49",Nozzle!$B$94:$B$185,"7203",Nozzle!$F$94:$F$185,"ESEL",Nozzle!$G$94:$G$185,"随机")</f>
        <v>0</v>
      </c>
      <c r="H17" s="487">
        <f>SUMIFS(Nozzle!$O$94:$O$185,Nozzle!$A$94:$A$185,"C49",Nozzle!$B$94:$B$185,"7203",Nozzle!$F$94:$F$185,"ESEL",Nozzle!$G$94:$G$185,"additional")</f>
        <v>0</v>
      </c>
      <c r="I17" s="488">
        <f>SUMIFS(Nozzle!$I$1:$I93,Nozzle!$A$1:$A$93,"C49",Nozzle!$B$1:$B$93,"7203",Nozzle!$F$1:$F$93,"ESEL",Nozzle!$H$1:$H$93,"Incoming",Nozzle!$G$1:$G$93,"随机")</f>
        <v>0</v>
      </c>
      <c r="J17" s="488">
        <f>SUMIFS(Nozzle!$I$1:$I93,Nozzle!$A$1:$A$93,"C49",Nozzle!$B$1:$B$93,"7203",Nozzle!$F$1:$F$93,"ESEL",Nozzle!$H$1:$H$93,"Incoming",Nozzle!$G$1:$G$93,"additional")</f>
        <v>0</v>
      </c>
      <c r="K17" s="488">
        <f>SUMIFS(Nozzle!$I$1:$I93,Nozzle!$A$1:$A$93,"C49",Nozzle!$B$1:$B$93,"7203",Nozzle!$F$1:$F$93,"ESEL",Nozzle!$H$1:$H$93,"TBA",Nozzle!$G$1:$G$93,"随机")</f>
        <v>0</v>
      </c>
      <c r="L17" s="488">
        <f>SUMIFS(Nozzle!$I$1:$I93,Nozzle!$A$1:$A$93,"C49",Nozzle!$B$1:$B$93,"7203",Nozzle!$F$1:$F$93,"ESEL",Nozzle!$H$1:$H$93,"TBA",Nozzle!$G$1:$G$93,"additional")</f>
        <v>0</v>
      </c>
      <c r="M17" s="489">
        <f>SUMIFS(Nozzle!$P$94:$P$185,Nozzle!$A$94:$A$185,"C49",Nozzle!$B$94:$B$185,"7203",Nozzle!$F$94:$F$185,"ESEL")</f>
        <v>0</v>
      </c>
      <c r="N17" s="490"/>
      <c r="O17" s="511">
        <f t="shared" si="15"/>
        <v>5</v>
      </c>
      <c r="P17" s="531">
        <v>7203</v>
      </c>
      <c r="Q17" s="529">
        <f t="shared" si="16"/>
        <v>5</v>
      </c>
      <c r="R17" s="529">
        <f t="shared" si="0"/>
        <v>5</v>
      </c>
      <c r="S17" s="524">
        <f t="shared" si="1"/>
        <v>5</v>
      </c>
      <c r="T17" s="524">
        <f t="shared" si="5"/>
        <v>0</v>
      </c>
      <c r="U17" s="524">
        <f t="shared" si="6"/>
        <v>0</v>
      </c>
      <c r="V17" s="524">
        <f t="shared" si="7"/>
        <v>0</v>
      </c>
      <c r="W17" s="528">
        <f t="shared" si="8"/>
        <v>5</v>
      </c>
      <c r="X17" s="528">
        <f t="shared" si="9"/>
        <v>0</v>
      </c>
      <c r="Y17" s="535">
        <f t="shared" si="10"/>
        <v>5</v>
      </c>
      <c r="Z17" s="512">
        <v>7203</v>
      </c>
      <c r="AA17" s="492">
        <f t="shared" si="11"/>
        <v>0</v>
      </c>
      <c r="AB17" s="492">
        <f t="shared" si="12"/>
        <v>0</v>
      </c>
      <c r="AC17" s="492">
        <f t="shared" si="13"/>
        <v>0</v>
      </c>
      <c r="AD17" s="487">
        <f>SUMIFS(Nozzle!$I$1:$I93,Nozzle!$A$1:$A$93,"C49",Nozzle!$B$1:$B$93,"7203",Nozzle!$F$1:$F$93,"ESSZ",Nozzle!$H$1:$H$93,"STK",Nozzle!$G$1:$G$93,"随机")</f>
        <v>0</v>
      </c>
      <c r="AE17" s="487">
        <f>SUMIFS(Nozzle!$I$1:$I93,Nozzle!$A$1:$A$93,"C49",Nozzle!$B$1:$B$93,"7203",Nozzle!$F$1:$F$93,"ESSZ",Nozzle!$H$1:$H$93,"STK",Nozzle!$G$1:$G$93,"additional")</f>
        <v>0</v>
      </c>
      <c r="AF17" s="487">
        <f>SUMIFS(Nozzle!$O$94:$O$185,Nozzle!$A$94:$A$185,"C49",Nozzle!$B$94:$B$185,"7203",Nozzle!$F$94:$F$185,"ESSZ",Nozzle!$G$94:$G$185,"随机")</f>
        <v>0</v>
      </c>
      <c r="AG17" s="487">
        <f>SUMIFS(Nozzle!$O$94:$O$185,Nozzle!$A$94:$A$185,"C49",Nozzle!$B$94:$B$185,"7203",Nozzle!$F$94:$F$185,"ESSZ",Nozzle!$G$94:$G$185,"additional")</f>
        <v>0</v>
      </c>
      <c r="AH17" s="488">
        <f>SUMIFS(Nozzle!$I$1:$I93,Nozzle!$A$1:$A$93,"C49",Nozzle!$B$1:$B$93,"7203",Nozzle!$F$1:$F$93,"ESSZ",Nozzle!$H$1:$H$93,"Incoming",Nozzle!$G$1:$G$93,"随机")</f>
        <v>0</v>
      </c>
      <c r="AI17" s="488">
        <f>SUMIFS(Nozzle!$I$1:$I93,Nozzle!$A$1:$A$93,"C49",Nozzle!$B$1:$B$93,"7203",Nozzle!$F$1:$F$93,"ESSZ",Nozzle!$H$1:$H$93,"Incoming",Nozzle!$G$1:$G$93,"additional")</f>
        <v>0</v>
      </c>
      <c r="AJ17" s="488">
        <f>SUMIFS(Nozzle!$I$1:$I93,Nozzle!$A$1:$A$93,"C49",Nozzle!$B$1:$B$93,"7203",Nozzle!$F$1:$F$93,"ESSZ",Nozzle!$H$1:$H$93,"TBA",Nozzle!$G$1:$G$93,"随机")</f>
        <v>0</v>
      </c>
      <c r="AK17" s="488">
        <f>SUMIFS(Nozzle!$I$1:$I93,Nozzle!$A$1:$A$93,"C49",Nozzle!$B$1:$B$93,"7203",Nozzle!$F$1:$F$93,"ESSZ",Nozzle!$H$1:$H$93,"TBA",Nozzle!$G$1:$G$93,"additional")</f>
        <v>0</v>
      </c>
      <c r="AL17" s="489">
        <f>SUMIFS(Nozzle!$P$94:$P$185,Nozzle!$A$94:$A$185,"C49",Nozzle!$B$94:$B$185,"7203",Nozzle!$F$94:$F$185,"ESSZ")</f>
        <v>0</v>
      </c>
      <c r="AM17" s="490"/>
      <c r="AN17" s="491">
        <f t="shared" si="14"/>
        <v>0</v>
      </c>
    </row>
    <row r="18" spans="1:40" s="48" customFormat="1" ht="18">
      <c r="A18" s="473">
        <v>7204</v>
      </c>
      <c r="B18" s="492">
        <f t="shared" si="2"/>
        <v>6</v>
      </c>
      <c r="C18" s="492">
        <f t="shared" si="3"/>
        <v>0</v>
      </c>
      <c r="D18" s="492">
        <f t="shared" si="4"/>
        <v>6</v>
      </c>
      <c r="E18" s="487">
        <f>SUMIFS(Nozzle!$I$1:$I93,Nozzle!$A$1:$A$93,"C49",Nozzle!$B$1:$B$93,"7204",Nozzle!$F$1:$F$93,"ESEL",Nozzle!$H$1:$H$93,"STK",Nozzle!$G$1:$G$93,"随机")</f>
        <v>0</v>
      </c>
      <c r="F18" s="487">
        <f>SUMIFS(Nozzle!$I$1:$I93,Nozzle!$A$1:$A$93,"C49",Nozzle!$B$1:$B$93,"7204",Nozzle!$F$1:$F$93,"ESEL",Nozzle!$H$1:$H$93,"STK",Nozzle!$G$1:$G$93,"additional")</f>
        <v>6</v>
      </c>
      <c r="G18" s="487">
        <f>SUMIFS(Nozzle!$O$94:$O$185,Nozzle!$A$94:$A$185,"C49",Nozzle!$B$94:$B$185,"7204",Nozzle!$F$94:$F$185,"ESEL",Nozzle!$G$94:$G$185,"随机")</f>
        <v>0</v>
      </c>
      <c r="H18" s="487">
        <f>SUMIFS(Nozzle!$O$94:$O$185,Nozzle!$A$94:$A$185,"C49",Nozzle!$B$94:$B$185,"7204",Nozzle!$F$94:$F$185,"ESEL",Nozzle!$G$94:$G$185,"additional")</f>
        <v>0</v>
      </c>
      <c r="I18" s="488">
        <f>SUMIFS(Nozzle!$I$1:$I93,Nozzle!$A$1:$A$93,"C49",Nozzle!$B$1:$B$93,"7204",Nozzle!$F$1:$F$93,"ESEL",Nozzle!$H$1:$H$93,"Incoming",Nozzle!$G$1:$G$93,"随机")</f>
        <v>0</v>
      </c>
      <c r="J18" s="488">
        <f>SUMIFS(Nozzle!$I$1:$I93,Nozzle!$A$1:$A$93,"C49",Nozzle!$B$1:$B$93,"7204",Nozzle!$F$1:$F$93,"ESEL",Nozzle!$H$1:$H$93,"Incoming",Nozzle!$G$1:$G$93,"additional")</f>
        <v>0</v>
      </c>
      <c r="K18" s="488">
        <f>SUMIFS(Nozzle!$I$1:$I93,Nozzle!$A$1:$A$93,"C49",Nozzle!$B$1:$B$93,"7204",Nozzle!$F$1:$F$93,"ESEL",Nozzle!$H$1:$H$93,"TBA",Nozzle!$G$1:$G$93,"随机")</f>
        <v>0</v>
      </c>
      <c r="L18" s="488">
        <f>SUMIFS(Nozzle!$I$1:$I93,Nozzle!$A$1:$A$93,"C49",Nozzle!$B$1:$B$93,"7204",Nozzle!$F$1:$F$93,"ESEL",Nozzle!$H$1:$H$93,"TBA",Nozzle!$G$1:$G$93,"additional")</f>
        <v>0</v>
      </c>
      <c r="M18" s="489">
        <f>SUMIFS(Nozzle!$P$94:$P$185,Nozzle!$A$94:$A$185,"C49",Nozzle!$B$94:$B$185,"7204",Nozzle!$F$94:$F$185,"ESEL")</f>
        <v>0</v>
      </c>
      <c r="N18" s="490"/>
      <c r="O18" s="511">
        <f t="shared" si="15"/>
        <v>6</v>
      </c>
      <c r="P18" s="531">
        <v>7204</v>
      </c>
      <c r="Q18" s="529">
        <f t="shared" si="16"/>
        <v>6</v>
      </c>
      <c r="R18" s="530">
        <f t="shared" si="0"/>
        <v>6</v>
      </c>
      <c r="S18" s="524">
        <f t="shared" si="1"/>
        <v>6</v>
      </c>
      <c r="T18" s="524">
        <f t="shared" si="5"/>
        <v>0</v>
      </c>
      <c r="U18" s="524">
        <f t="shared" si="6"/>
        <v>0</v>
      </c>
      <c r="V18" s="524">
        <f t="shared" si="7"/>
        <v>0</v>
      </c>
      <c r="W18" s="528">
        <f t="shared" si="8"/>
        <v>6</v>
      </c>
      <c r="X18" s="528">
        <f t="shared" si="9"/>
        <v>0</v>
      </c>
      <c r="Y18" s="535">
        <f t="shared" si="10"/>
        <v>6</v>
      </c>
      <c r="Z18" s="512">
        <v>7204</v>
      </c>
      <c r="AA18" s="492">
        <f t="shared" si="11"/>
        <v>0</v>
      </c>
      <c r="AB18" s="492">
        <f t="shared" si="12"/>
        <v>0</v>
      </c>
      <c r="AC18" s="492">
        <f t="shared" si="13"/>
        <v>0</v>
      </c>
      <c r="AD18" s="487">
        <f>SUMIFS(Nozzle!$I$1:$I93,Nozzle!$A$1:$A$93,"C49",Nozzle!$B$1:$B$93,"7204",Nozzle!$F$1:$F$93,"ESSZ",Nozzle!$H$1:$H$93,"STK",Nozzle!$G$1:$G$93,"随机")</f>
        <v>0</v>
      </c>
      <c r="AE18" s="487">
        <f>SUMIFS(Nozzle!$I$1:$I93,Nozzle!$A$1:$A$93,"C49",Nozzle!$B$1:$B$93,"7204",Nozzle!$F$1:$F$93,"ESSZ",Nozzle!$H$1:$H$93,"STK",Nozzle!$G$1:$G$93,"additional")</f>
        <v>0</v>
      </c>
      <c r="AF18" s="487">
        <f>SUMIFS(Nozzle!$O$94:$O$185,Nozzle!$A$94:$A$185,"C49",Nozzle!$B$94:$B$185,"7204",Nozzle!$F$94:$F$185,"ESSZ",Nozzle!$G$94:$G$185,"随机")</f>
        <v>0</v>
      </c>
      <c r="AG18" s="487">
        <f>SUMIFS(Nozzle!$O$94:$O$185,Nozzle!$A$94:$A$185,"C49",Nozzle!$B$94:$B$185,"7204",Nozzle!$F$94:$F$185,"ESSZ",Nozzle!$G$94:$G$185,"additional")</f>
        <v>0</v>
      </c>
      <c r="AH18" s="488">
        <f>SUMIFS(Nozzle!$I$1:$I93,Nozzle!$A$1:$A$93,"C49",Nozzle!$B$1:$B$93,"7204",Nozzle!$F$1:$F$93,"ESSZ",Nozzle!$H$1:$H$93,"Incoming",Nozzle!$G$1:$G$93,"随机")</f>
        <v>0</v>
      </c>
      <c r="AI18" s="488">
        <f>SUMIFS(Nozzle!$I$1:$I93,Nozzle!$A$1:$A$93,"C49",Nozzle!$B$1:$B$93,"7204",Nozzle!$F$1:$F$93,"ESSZ",Nozzle!$H$1:$H$93,"Incoming",Nozzle!$G$1:$G$93,"additional")</f>
        <v>0</v>
      </c>
      <c r="AJ18" s="488">
        <f>SUMIFS(Nozzle!$I$1:$I93,Nozzle!$A$1:$A$93,"C49",Nozzle!$B$1:$B$93,"7204",Nozzle!$F$1:$F$93,"ESSZ",Nozzle!$H$1:$H$93,"TBA",Nozzle!$G$1:$G$93,"随机")</f>
        <v>0</v>
      </c>
      <c r="AK18" s="488">
        <f>SUMIFS(Nozzle!$I$1:$I93,Nozzle!$A$1:$A$93,"C49",Nozzle!$B$1:$B$93,"7204",Nozzle!$F$1:$F$93,"ESSZ",Nozzle!$H$1:$H$93,"TBA",Nozzle!$G$1:$G$93,"additional")</f>
        <v>0</v>
      </c>
      <c r="AL18" s="489">
        <f>SUMIFS(Nozzle!$P$94:$P$185,Nozzle!$A$94:$A$185,"C49",Nozzle!$B$94:$B$185,"7204",Nozzle!$F$94:$F$185,"ESSZ")</f>
        <v>0</v>
      </c>
      <c r="AM18" s="490"/>
      <c r="AN18" s="491">
        <f t="shared" si="14"/>
        <v>0</v>
      </c>
    </row>
    <row r="19" spans="1:40" ht="18">
      <c r="A19" s="473">
        <v>7205</v>
      </c>
      <c r="B19" s="492">
        <f t="shared" si="2"/>
        <v>54</v>
      </c>
      <c r="C19" s="492">
        <f t="shared" si="3"/>
        <v>0</v>
      </c>
      <c r="D19" s="492">
        <f t="shared" si="4"/>
        <v>54</v>
      </c>
      <c r="E19" s="487">
        <f>SUMIFS(Nozzle!$I$1:$I93,Nozzle!$A$1:$A$93,"C49",Nozzle!$B$1:$B$93,"7205",Nozzle!$F$1:$F$93,"ESEL",Nozzle!$H$1:$H$93,"STK",Nozzle!$G$1:$G$93,"随机")</f>
        <v>0</v>
      </c>
      <c r="F19" s="487">
        <f>SUMIFS(Nozzle!$I$1:$I93,Nozzle!$A$1:$A$93,"C49",Nozzle!$B$1:$B$93,"7205",Nozzle!$F$1:$F$93,"ESEL",Nozzle!$H$1:$H$93,"STK",Nozzle!$G$1:$G$93,"additional")</f>
        <v>54</v>
      </c>
      <c r="G19" s="487">
        <f>SUMIFS(Nozzle!$O$94:$O$185,Nozzle!$A$94:$A$185,"C49",Nozzle!$B$94:$B$185,"7205",Nozzle!$F$94:$F$185,"ESEL",Nozzle!$G$94:$G$185,"随机")</f>
        <v>0</v>
      </c>
      <c r="H19" s="487">
        <f>SUMIFS(Nozzle!$O$94:$O$185,Nozzle!$A$94:$A$185,"C49",Nozzle!$B$94:$B$185,"7205",Nozzle!$F$94:$F$185,"ESEL",Nozzle!$G$94:$G$185,"additional")</f>
        <v>0</v>
      </c>
      <c r="I19" s="488">
        <f>SUMIFS(Nozzle!$I$1:$I93,Nozzle!$A$1:$A$93,"C49",Nozzle!$B$1:$B$93,"7205",Nozzle!$F$1:$F$93,"ESEL",Nozzle!$H$1:$H$93,"Incoming",Nozzle!$G$1:$G$93,"随机")</f>
        <v>0</v>
      </c>
      <c r="J19" s="488">
        <f>SUMIFS(Nozzle!$I$1:$I93,Nozzle!$A$1:$A$93,"C49",Nozzle!$B$1:$B$93,"7205",Nozzle!$F$1:$F$93,"ESEL",Nozzle!$H$1:$H$93,"Incoming",Nozzle!$G$1:$G$93,"additional")</f>
        <v>0</v>
      </c>
      <c r="K19" s="488">
        <f>SUMIFS(Nozzle!$I$1:$I93,Nozzle!$A$1:$A$93,"C49",Nozzle!$B$1:$B$93,"7205",Nozzle!$F$1:$F$93,"ESEL",Nozzle!$H$1:$H$93,"TBA",Nozzle!$G$1:$G$93,"随机")</f>
        <v>0</v>
      </c>
      <c r="L19" s="488">
        <f>SUMIFS(Nozzle!$I$1:$I93,Nozzle!$A$1:$A$93,"C49",Nozzle!$B$1:$B$93,"7205",Nozzle!$F$1:$F$93,"ESEL",Nozzle!$H$1:$H$93,"TBA",Nozzle!$G$1:$G$93,"additional")</f>
        <v>0</v>
      </c>
      <c r="M19" s="489">
        <f>SUMIFS(Nozzle!$P$94:$P$185,Nozzle!$A$94:$A$185,"C49",Nozzle!$B$94:$B$185,"7205",Nozzle!$F$94:$F$185,"ESEL")</f>
        <v>0</v>
      </c>
      <c r="N19" s="490"/>
      <c r="O19" s="511">
        <f t="shared" si="15"/>
        <v>54</v>
      </c>
      <c r="P19" s="531">
        <v>7205</v>
      </c>
      <c r="Q19" s="529">
        <f t="shared" si="16"/>
        <v>54</v>
      </c>
      <c r="R19" s="529">
        <f t="shared" si="0"/>
        <v>54</v>
      </c>
      <c r="S19" s="524">
        <f t="shared" si="1"/>
        <v>54</v>
      </c>
      <c r="T19" s="524">
        <f t="shared" si="5"/>
        <v>0</v>
      </c>
      <c r="U19" s="524">
        <f t="shared" si="6"/>
        <v>0</v>
      </c>
      <c r="V19" s="524">
        <f t="shared" si="7"/>
        <v>0</v>
      </c>
      <c r="W19" s="528">
        <f t="shared" si="8"/>
        <v>54</v>
      </c>
      <c r="X19" s="528">
        <f t="shared" si="9"/>
        <v>0</v>
      </c>
      <c r="Y19" s="535">
        <f t="shared" si="10"/>
        <v>54</v>
      </c>
      <c r="Z19" s="512">
        <v>7205</v>
      </c>
      <c r="AA19" s="492">
        <f t="shared" si="11"/>
        <v>0</v>
      </c>
      <c r="AB19" s="492">
        <f t="shared" si="12"/>
        <v>0</v>
      </c>
      <c r="AC19" s="492">
        <f t="shared" si="13"/>
        <v>0</v>
      </c>
      <c r="AD19" s="487">
        <f>SUMIFS(Nozzle!$I$1:$I93,Nozzle!$A$1:$A$93,"C49",Nozzle!$B$1:$B$93,"7205",Nozzle!$F$1:$F$93,"ESSZ",Nozzle!$H$1:$H$93,"STK",Nozzle!$G$1:$G$93,"随机")</f>
        <v>0</v>
      </c>
      <c r="AE19" s="487">
        <f>SUMIFS(Nozzle!$I$1:$I93,Nozzle!$A$1:$A$93,"C49",Nozzle!$B$1:$B$93,"7205",Nozzle!$F$1:$F$93,"ESSZ",Nozzle!$H$1:$H$93,"STK",Nozzle!$G$1:$G$93,"additional")</f>
        <v>0</v>
      </c>
      <c r="AF19" s="487">
        <f>SUMIFS(Nozzle!$O$94:$O$185,Nozzle!$A$94:$A$185,"C49",Nozzle!$B$94:$B$185,"7205",Nozzle!$F$94:$F$185,"ESSZ",Nozzle!$G$94:$G$185,"随机")</f>
        <v>0</v>
      </c>
      <c r="AG19" s="487">
        <f>SUMIFS(Nozzle!$O$94:$O$185,Nozzle!$A$94:$A$185,"C49",Nozzle!$B$94:$B$185,"7205",Nozzle!$F$94:$F$185,"ESSZ",Nozzle!$G$94:$G$185,"additional")</f>
        <v>0</v>
      </c>
      <c r="AH19" s="488">
        <f>SUMIFS(Nozzle!$I$1:$I93,Nozzle!$A$1:$A$93,"C49",Nozzle!$B$1:$B$93,"7205",Nozzle!$F$1:$F$93,"ESSZ",Nozzle!$H$1:$H$93,"Incoming",Nozzle!$G$1:$G$93,"随机")</f>
        <v>0</v>
      </c>
      <c r="AI19" s="488">
        <f>SUMIFS(Nozzle!$I$1:$I93,Nozzle!$A$1:$A$93,"C49",Nozzle!$B$1:$B$93,"7205",Nozzle!$F$1:$F$93,"ESSZ",Nozzle!$H$1:$H$93,"Incoming",Nozzle!$G$1:$G$93,"additional")</f>
        <v>0</v>
      </c>
      <c r="AJ19" s="488">
        <f>SUMIFS(Nozzle!$I$1:$I93,Nozzle!$A$1:$A$93,"C49",Nozzle!$B$1:$B$93,"7205",Nozzle!$F$1:$F$93,"ESSZ",Nozzle!$H$1:$H$93,"TBA",Nozzle!$G$1:$G$93,"随机")</f>
        <v>0</v>
      </c>
      <c r="AK19" s="488">
        <f>SUMIFS(Nozzle!$I$1:$I93,Nozzle!$A$1:$A$93,"C49",Nozzle!$B$1:$B$93,"7205",Nozzle!$F$1:$F$93,"ESSZ",Nozzle!$H$1:$H$93,"TBA",Nozzle!$G$1:$G$93,"additional")</f>
        <v>0</v>
      </c>
      <c r="AL19" s="489">
        <f>SUMIFS(Nozzle!$P$94:$P$185,Nozzle!$A$94:$A$185,"C49",Nozzle!$B$94:$B$185,"7205",Nozzle!$F$94:$F$185,"ESSZ")</f>
        <v>0</v>
      </c>
      <c r="AM19" s="490"/>
      <c r="AN19" s="491">
        <f t="shared" si="14"/>
        <v>0</v>
      </c>
    </row>
    <row r="20" spans="1:40" ht="18">
      <c r="A20" s="473">
        <v>7206</v>
      </c>
      <c r="B20" s="492">
        <f t="shared" si="2"/>
        <v>226</v>
      </c>
      <c r="C20" s="492">
        <f t="shared" si="3"/>
        <v>0</v>
      </c>
      <c r="D20" s="492">
        <f t="shared" si="4"/>
        <v>226</v>
      </c>
      <c r="E20" s="487">
        <f>SUMIFS(Nozzle!$I$1:$I93,Nozzle!$A$1:$A$93,"C49",Nozzle!$B$1:$B$93,"7206",Nozzle!$F$1:$F$93,"ESEL",Nozzle!$H$1:$H$93,"STK",Nozzle!$G$1:$G$93,"随机")</f>
        <v>0</v>
      </c>
      <c r="F20" s="487">
        <f>SUMIFS(Nozzle!$I$1:$I93,Nozzle!$A$1:$A$93,"C49",Nozzle!$B$1:$B$93,"7206",Nozzle!$F$1:$F$93,"ESEL",Nozzle!$H$1:$H$93,"STK",Nozzle!$G$1:$G$93,"additional")</f>
        <v>226</v>
      </c>
      <c r="G20" s="487">
        <f>SUMIFS(Nozzle!$O$94:$O$185,Nozzle!$A$94:$A$185,"C49",Nozzle!$B$94:$B$185,"7206",Nozzle!$F$94:$F$185,"ESEL",Nozzle!$G$94:$G$185,"随机")</f>
        <v>0</v>
      </c>
      <c r="H20" s="487">
        <f>SUMIFS(Nozzle!$O$94:$O$185,Nozzle!$A$94:$A$185,"C49",Nozzle!$B$94:$B$185,"7206",Nozzle!$F$94:$F$185,"ESEL",Nozzle!$G$94:$G$185,"additional")</f>
        <v>0</v>
      </c>
      <c r="I20" s="488">
        <f>SUMIFS(Nozzle!$I$1:$I93,Nozzle!$A$1:$A$93,"C49",Nozzle!$B$1:$B$93,"7206",Nozzle!$F$1:$F$93,"ESEL",Nozzle!$H$1:$H$93,"Incoming",Nozzle!$G$1:$G$93,"随机")</f>
        <v>0</v>
      </c>
      <c r="J20" s="488">
        <f>SUMIFS(Nozzle!$I$1:$I93,Nozzle!$A$1:$A$93,"C49",Nozzle!$B$1:$B$93,"7206",Nozzle!$F$1:$F$93,"ESEL",Nozzle!$H$1:$H$93,"Incoming",Nozzle!$G$1:$G$93,"additional")</f>
        <v>0</v>
      </c>
      <c r="K20" s="488">
        <f>SUMIFS(Nozzle!$I$1:$I93,Nozzle!$A$1:$A$93,"C49",Nozzle!$B$1:$B$93,"7206",Nozzle!$F$1:$F$93,"ESEL",Nozzle!$H$1:$H$93,"TBA",Nozzle!$G$1:$G$93,"随机")</f>
        <v>0</v>
      </c>
      <c r="L20" s="488">
        <f>SUMIFS(Nozzle!$I$1:$I93,Nozzle!$A$1:$A$93,"C49",Nozzle!$B$1:$B$93,"7206",Nozzle!$F$1:$F$93,"ESEL",Nozzle!$H$1:$H$93,"TBA",Nozzle!$G$1:$G$93,"additional")</f>
        <v>0</v>
      </c>
      <c r="M20" s="489">
        <f>SUMIFS(Nozzle!$P$94:$P$185,Nozzle!$A$94:$A$185,"C49",Nozzle!$B$94:$B$185,"7206",Nozzle!$F$94:$F$185,"ESEL")</f>
        <v>0</v>
      </c>
      <c r="N20" s="490"/>
      <c r="O20" s="511">
        <f t="shared" si="15"/>
        <v>226</v>
      </c>
      <c r="P20" s="531">
        <v>7206</v>
      </c>
      <c r="Q20" s="529">
        <f t="shared" si="16"/>
        <v>226</v>
      </c>
      <c r="R20" s="529">
        <f t="shared" si="0"/>
        <v>226</v>
      </c>
      <c r="S20" s="524">
        <f t="shared" si="1"/>
        <v>226</v>
      </c>
      <c r="T20" s="524">
        <f t="shared" si="5"/>
        <v>0</v>
      </c>
      <c r="U20" s="524">
        <f t="shared" si="6"/>
        <v>0</v>
      </c>
      <c r="V20" s="524">
        <f t="shared" si="7"/>
        <v>0</v>
      </c>
      <c r="W20" s="528">
        <f t="shared" si="8"/>
        <v>226</v>
      </c>
      <c r="X20" s="528">
        <f t="shared" si="9"/>
        <v>0</v>
      </c>
      <c r="Y20" s="535">
        <f t="shared" si="10"/>
        <v>226</v>
      </c>
      <c r="Z20" s="512">
        <v>7206</v>
      </c>
      <c r="AA20" s="492">
        <f t="shared" si="11"/>
        <v>0</v>
      </c>
      <c r="AB20" s="492">
        <f t="shared" si="12"/>
        <v>0</v>
      </c>
      <c r="AC20" s="492">
        <f t="shared" si="13"/>
        <v>0</v>
      </c>
      <c r="AD20" s="487">
        <f>SUMIFS(Nozzle!$I$1:$I93,Nozzle!$A$1:$A$93,"C49",Nozzle!$B$1:$B$93,"7206",Nozzle!$F$1:$F$93,"ESSZ",Nozzle!$H$1:$H$93,"STK",Nozzle!$G$1:$G$93,"随机")</f>
        <v>0</v>
      </c>
      <c r="AE20" s="487">
        <f>SUMIFS(Nozzle!$I$1:$I93,Nozzle!$A$1:$A$93,"C49",Nozzle!$B$1:$B$93,"7206",Nozzle!$F$1:$F$93,"ESSZ",Nozzle!$H$1:$H$93,"STK",Nozzle!$G$1:$G$93,"additional")</f>
        <v>0</v>
      </c>
      <c r="AF20" s="487">
        <f>SUMIFS(Nozzle!$O$94:$O$185,Nozzle!$A$94:$A$185,"C49",Nozzle!$B$94:$B$185,"7206",Nozzle!$F$94:$F$185,"ESSZ",Nozzle!$G$94:$G$185,"随机")</f>
        <v>0</v>
      </c>
      <c r="AG20" s="487">
        <f>SUMIFS(Nozzle!$O$94:$O$185,Nozzle!$A$94:$A$185,"C49",Nozzle!$B$94:$B$185,"7206",Nozzle!$F$94:$F$185,"ESSZ",Nozzle!$G$94:$G$185,"additional")</f>
        <v>0</v>
      </c>
      <c r="AH20" s="488">
        <f>SUMIFS(Nozzle!$I$1:$I93,Nozzle!$A$1:$A$93,"C49",Nozzle!$B$1:$B$93,"7206",Nozzle!$F$1:$F$93,"ESSZ",Nozzle!$H$1:$H$93,"Incoming",Nozzle!$G$1:$G$93,"随机")</f>
        <v>0</v>
      </c>
      <c r="AI20" s="488">
        <f>SUMIFS(Nozzle!$I$1:$I93,Nozzle!$A$1:$A$93,"C49",Nozzle!$B$1:$B$93,"7206",Nozzle!$F$1:$F$93,"ESSZ",Nozzle!$H$1:$H$93,"Incoming",Nozzle!$G$1:$G$93,"additional")</f>
        <v>0</v>
      </c>
      <c r="AJ20" s="488">
        <f>SUMIFS(Nozzle!$I$1:$I93,Nozzle!$A$1:$A$93,"C49",Nozzle!$B$1:$B$93,"7206",Nozzle!$F$1:$F$93,"ESSZ",Nozzle!$H$1:$H$93,"TBA",Nozzle!$G$1:$G$93,"随机")</f>
        <v>0</v>
      </c>
      <c r="AK20" s="488">
        <f>SUMIFS(Nozzle!$I$1:$I93,Nozzle!$A$1:$A$93,"C49",Nozzle!$B$1:$B$93,"7206",Nozzle!$F$1:$F$93,"ESSZ",Nozzle!$H$1:$H$93,"TBA",Nozzle!$G$1:$G$93,"additional")</f>
        <v>0</v>
      </c>
      <c r="AL20" s="489">
        <f>SUMIFS(Nozzle!$P$94:$P$185,Nozzle!$A$94:$A$185,"C49",Nozzle!$B$94:$B$185,"7206",Nozzle!$F$94:$F$185,"ESSZ")</f>
        <v>0</v>
      </c>
      <c r="AM20" s="490"/>
      <c r="AN20" s="491">
        <f t="shared" si="14"/>
        <v>0</v>
      </c>
    </row>
    <row r="21" spans="1:40" s="48" customFormat="1" ht="18">
      <c r="A21" s="473" t="s">
        <v>4101</v>
      </c>
      <c r="B21" s="492">
        <f t="shared" si="2"/>
        <v>144</v>
      </c>
      <c r="C21" s="492">
        <f t="shared" si="3"/>
        <v>0</v>
      </c>
      <c r="D21" s="492">
        <f t="shared" si="4"/>
        <v>144</v>
      </c>
      <c r="E21" s="487">
        <f>SUMIFS(Nozzle!$I$1:$I93,Nozzle!$A$1:$A$93,"C49",Nozzle!$B$1:$B$93,"72GC",Nozzle!$F$1:$F$93,"ESEL",Nozzle!$H$1:$H$93,"STK",Nozzle!$G$1:$G$93,"随机")</f>
        <v>0</v>
      </c>
      <c r="F21" s="487">
        <f>SUMIFS(Nozzle!$I$1:$I93,Nozzle!$A$1:$A$93,"C49",Nozzle!$B$1:$B$93,"72GC",Nozzle!$F$1:$F$93,"ESEL",Nozzle!$H$1:$H$93,"STK",Nozzle!$G$1:$G$93,"additional")</f>
        <v>144</v>
      </c>
      <c r="G21" s="487">
        <f>SUMIFS(Nozzle!$O$94:$O$185,Nozzle!$A$94:$A$185,"C49",Nozzle!$B$94:$B$185,"72GC",Nozzle!$F$94:$F$185,"ESEL",Nozzle!$G$94:$G$185,"随机")</f>
        <v>0</v>
      </c>
      <c r="H21" s="487">
        <f>SUMIFS(Nozzle!$O$94:$O$185,Nozzle!$A$94:$A$185,"C49",Nozzle!$B$94:$B$185,"72GC",Nozzle!$F$94:$F$185,"ESEL",Nozzle!$G$94:$G$185,"additional")</f>
        <v>0</v>
      </c>
      <c r="I21" s="488">
        <f>SUMIFS(Nozzle!$I$1:$I93,Nozzle!$A$1:$A$93,"C49",Nozzle!$B$1:$B$93,"72GC",Nozzle!$F$1:$F$93,"ESEL",Nozzle!$H$1:$H$93,"Incoming",Nozzle!$G$1:$G$93,"随机")</f>
        <v>0</v>
      </c>
      <c r="J21" s="488">
        <f>SUMIFS(Nozzle!$I$1:$I93,Nozzle!$A$1:$A$93,"C49",Nozzle!$B$1:$B$93,"72GC",Nozzle!$F$1:$F$93,"ESEL",Nozzle!$H$1:$H$93,"Incoming",Nozzle!$G$1:$G$93,"additional")</f>
        <v>0</v>
      </c>
      <c r="K21" s="488">
        <f>SUMIFS(Nozzle!$I$1:$I93,Nozzle!$A$1:$A$93,"C49",Nozzle!$B$1:$B$93,"72GC",Nozzle!$F$1:$F$93,"ESEL",Nozzle!$H$1:$H$93,"TBA",Nozzle!$G$1:$G$93,"随机")</f>
        <v>0</v>
      </c>
      <c r="L21" s="488">
        <f>SUMIFS(Nozzle!$I$1:$I93,Nozzle!$A$1:$A$93,"C49",Nozzle!$B$1:$B$93,"72GC",Nozzle!$F$1:$F$93,"ESEL",Nozzle!$H$1:$H$93,"TBA",Nozzle!$G$1:$G$93,"additional")</f>
        <v>0</v>
      </c>
      <c r="M21" s="489">
        <f>SUMIFS(Nozzle!$P$94:$P$185,Nozzle!$A$94:$A$185,"C49",Nozzle!$B$94:$B$185,"72GC",Nozzle!$F$94:$F$185,"ESEL")</f>
        <v>0</v>
      </c>
      <c r="N21" s="490"/>
      <c r="O21" s="511">
        <f t="shared" si="15"/>
        <v>144</v>
      </c>
      <c r="P21" s="531" t="s">
        <v>4101</v>
      </c>
      <c r="Q21" s="529">
        <f t="shared" si="16"/>
        <v>144</v>
      </c>
      <c r="R21" s="529">
        <f t="shared" si="0"/>
        <v>144</v>
      </c>
      <c r="S21" s="524">
        <f t="shared" si="1"/>
        <v>144</v>
      </c>
      <c r="T21" s="524">
        <f t="shared" si="5"/>
        <v>0</v>
      </c>
      <c r="U21" s="524">
        <f t="shared" si="6"/>
        <v>0</v>
      </c>
      <c r="V21" s="524">
        <f t="shared" si="7"/>
        <v>0</v>
      </c>
      <c r="W21" s="528">
        <f t="shared" si="8"/>
        <v>144</v>
      </c>
      <c r="X21" s="528">
        <f t="shared" si="9"/>
        <v>0</v>
      </c>
      <c r="Y21" s="535">
        <f t="shared" si="10"/>
        <v>144</v>
      </c>
      <c r="Z21" s="512" t="s">
        <v>4101</v>
      </c>
      <c r="AA21" s="492">
        <f t="shared" si="11"/>
        <v>0</v>
      </c>
      <c r="AB21" s="492">
        <f t="shared" si="12"/>
        <v>0</v>
      </c>
      <c r="AC21" s="492">
        <f t="shared" si="13"/>
        <v>0</v>
      </c>
      <c r="AD21" s="487">
        <f>SUMIFS(Nozzle!$I$1:$I93,Nozzle!$A$1:$A$93,"C49",Nozzle!$B$1:$B$93,"72GC",Nozzle!$F$1:$F$93,"ESSZ",Nozzle!$H$1:$H$93,"STK",Nozzle!$G$1:$G$93,"随机")</f>
        <v>0</v>
      </c>
      <c r="AE21" s="487">
        <f>SUMIFS(Nozzle!$I$1:$I93,Nozzle!$A$1:$A$93,"C49",Nozzle!$B$1:$B$93,"72GC",Nozzle!$F$1:$F$93,"ESSZ",Nozzle!$H$1:$H$93,"STK",Nozzle!$G$1:$G$93,"additional")</f>
        <v>0</v>
      </c>
      <c r="AF21" s="487">
        <f>SUMIFS(Nozzle!$O$94:$O$185,Nozzle!$A$94:$A$185,"C49",Nozzle!$B$94:$B$185,"72GC",Nozzle!$F$94:$F$185,"ESSZ",Nozzle!$G$94:$G$185,"随机")</f>
        <v>0</v>
      </c>
      <c r="AG21" s="487">
        <f>SUMIFS(Nozzle!$O$94:$O$185,Nozzle!$A$94:$A$185,"C49",Nozzle!$B$94:$B$185,"72GC",Nozzle!$F$94:$F$185,"ESSZ",Nozzle!$G$94:$G$185,"additional")</f>
        <v>0</v>
      </c>
      <c r="AH21" s="488">
        <f>SUMIFS(Nozzle!$I$1:$I93,Nozzle!$A$1:$A$93,"C49",Nozzle!$B$1:$B$93,"72GC",Nozzle!$F$1:$F$93,"ESSZ",Nozzle!$H$1:$H$93,"Incoming",Nozzle!$G$1:$G$93,"随机")</f>
        <v>0</v>
      </c>
      <c r="AI21" s="488">
        <f>SUMIFS(Nozzle!$I$1:$I93,Nozzle!$A$1:$A$93,"C49",Nozzle!$B$1:$B$93,"72GC",Nozzle!$F$1:$F$93,"ESSZ",Nozzle!$H$1:$H$93,"Incoming",Nozzle!$G$1:$G$93,"additional")</f>
        <v>0</v>
      </c>
      <c r="AJ21" s="488">
        <f>SUMIFS(Nozzle!$I$1:$I93,Nozzle!$A$1:$A$93,"C49",Nozzle!$B$1:$B$93,"72GC",Nozzle!$F$1:$F$93,"ESSZ",Nozzle!$H$1:$H$93,"TBA",Nozzle!$G$1:$G$93,"随机")</f>
        <v>0</v>
      </c>
      <c r="AK21" s="488">
        <f>SUMIFS(Nozzle!$I$1:$I93,Nozzle!$A$1:$A$93,"C49",Nozzle!$B$1:$B$93,"72GC",Nozzle!$F$1:$F$93,"ESSZ",Nozzle!$H$1:$H$93,"TBA",Nozzle!$G$1:$G$93,"additional")</f>
        <v>0</v>
      </c>
      <c r="AL21" s="489">
        <f>SUMIFS(Nozzle!$P$94:$P$185,Nozzle!$A$94:$A$185,"C49",Nozzle!$B$94:$B$185,"72GC",Nozzle!$F$94:$F$185,"ESSZ")</f>
        <v>0</v>
      </c>
      <c r="AM21" s="490"/>
      <c r="AN21" s="491">
        <f t="shared" si="14"/>
        <v>0</v>
      </c>
    </row>
    <row r="22" spans="1:40" s="48" customFormat="1" ht="18">
      <c r="A22" s="473" t="s">
        <v>3778</v>
      </c>
      <c r="B22" s="492">
        <f t="shared" si="2"/>
        <v>54</v>
      </c>
      <c r="C22" s="492">
        <f t="shared" si="3"/>
        <v>0</v>
      </c>
      <c r="D22" s="492">
        <f t="shared" si="4"/>
        <v>54</v>
      </c>
      <c r="E22" s="487">
        <f>SUMIFS(Nozzle!$I$1:$I93,Nozzle!$A$1:$A$93,"C49",Nozzle!$B$1:$B$93,"72GD",Nozzle!$F$1:$F$93,"ESEL",Nozzle!$H$1:$H$93,"STK",Nozzle!$G$1:$G$93,"随机")</f>
        <v>0</v>
      </c>
      <c r="F22" s="487">
        <f>SUMIFS(Nozzle!$I$1:$I93,Nozzle!$A$1:$A$93,"C49",Nozzle!$B$1:$B$93,"72GD",Nozzle!$F$1:$F$93,"ESEL",Nozzle!$H$1:$H$93,"STK",Nozzle!$G$1:$G$93,"additional")</f>
        <v>54</v>
      </c>
      <c r="G22" s="487">
        <f>SUMIFS(Nozzle!$O$94:$O$185,Nozzle!$A$94:$A$185,"C49",Nozzle!$B$94:$B$185,"72GD",Nozzle!$F$94:$F$185,"ESEL",Nozzle!$G$94:$G$185,"随机")</f>
        <v>0</v>
      </c>
      <c r="H22" s="487">
        <f>SUMIFS(Nozzle!$O$94:$O$185,Nozzle!$A$94:$A$185,"C49",Nozzle!$B$94:$B$185,"72GD",Nozzle!$F$94:$F$185,"ESEL",Nozzle!$G$94:$G$185,"additional")</f>
        <v>0</v>
      </c>
      <c r="I22" s="488">
        <f>SUMIFS(Nozzle!$I$1:$I93,Nozzle!$A$1:$A$93,"C49",Nozzle!$B$1:$B$93,"72GD",Nozzle!$F$1:$F$93,"ESEL",Nozzle!$H$1:$H$93,"Incoming",Nozzle!$G$1:$G$93,"随机")</f>
        <v>0</v>
      </c>
      <c r="J22" s="488">
        <f>SUMIFS(Nozzle!$I$1:$I93,Nozzle!$A$1:$A$93,"C49",Nozzle!$B$1:$B$93,"72GD",Nozzle!$F$1:$F$93,"ESEL",Nozzle!$H$1:$H$93,"Incoming",Nozzle!$G$1:$G$93,"additional")</f>
        <v>0</v>
      </c>
      <c r="K22" s="488">
        <f>SUMIFS(Nozzle!$I$1:$I93,Nozzle!$A$1:$A$93,"C49",Nozzle!$B$1:$B$93,"72GD",Nozzle!$F$1:$F$93,"ESEL",Nozzle!$H$1:$H$93,"TBA",Nozzle!$G$1:$G$93,"随机")</f>
        <v>0</v>
      </c>
      <c r="L22" s="488">
        <f>SUMIFS(Nozzle!$I$1:$I93,Nozzle!$A$1:$A$93,"C49",Nozzle!$B$1:$B$93,"72GD",Nozzle!$F$1:$F$93,"ESEL",Nozzle!$H$1:$H$93,"TBA",Nozzle!$G$1:$G$93,"additional")</f>
        <v>0</v>
      </c>
      <c r="M22" s="489">
        <f>SUMIFS(Nozzle!$P$94:$P$185,Nozzle!$A$94:$A$185,"C49",Nozzle!$B$94:$B$185,"72GD",Nozzle!$F$94:$F$185,"ESEL")</f>
        <v>0</v>
      </c>
      <c r="N22" s="490"/>
      <c r="O22" s="511">
        <f t="shared" si="15"/>
        <v>54</v>
      </c>
      <c r="P22" s="531" t="s">
        <v>3778</v>
      </c>
      <c r="Q22" s="529">
        <f t="shared" si="16"/>
        <v>54</v>
      </c>
      <c r="R22" s="529">
        <f t="shared" si="0"/>
        <v>54</v>
      </c>
      <c r="S22" s="524">
        <f t="shared" si="1"/>
        <v>54</v>
      </c>
      <c r="T22" s="524">
        <f t="shared" si="5"/>
        <v>0</v>
      </c>
      <c r="U22" s="524">
        <f t="shared" si="6"/>
        <v>0</v>
      </c>
      <c r="V22" s="524">
        <f t="shared" si="7"/>
        <v>0</v>
      </c>
      <c r="W22" s="528">
        <f t="shared" si="8"/>
        <v>54</v>
      </c>
      <c r="X22" s="528">
        <f t="shared" si="9"/>
        <v>0</v>
      </c>
      <c r="Y22" s="535">
        <f t="shared" si="10"/>
        <v>54</v>
      </c>
      <c r="Z22" s="512" t="s">
        <v>3778</v>
      </c>
      <c r="AA22" s="492">
        <f t="shared" si="11"/>
        <v>0</v>
      </c>
      <c r="AB22" s="492">
        <f t="shared" si="12"/>
        <v>0</v>
      </c>
      <c r="AC22" s="492">
        <f t="shared" si="13"/>
        <v>0</v>
      </c>
      <c r="AD22" s="487">
        <f>SUMIFS(Nozzle!$I$1:$I93,Nozzle!$A$1:$A$93,"C49",Nozzle!$B$1:$B$93,"72GD",Nozzle!$F$1:$F$93,"ESSZ",Nozzle!$H$1:$H$93,"STK",Nozzle!$G$1:$G$93,"随机")</f>
        <v>0</v>
      </c>
      <c r="AE22" s="487">
        <f>SUMIFS(Nozzle!$I$1:$I93,Nozzle!$A$1:$A$93,"C49",Nozzle!$B$1:$B$93,"72GD",Nozzle!$F$1:$F$93,"ESSZ",Nozzle!$H$1:$H$93,"STK",Nozzle!$G$1:$G$93,"additional")</f>
        <v>0</v>
      </c>
      <c r="AF22" s="487">
        <f>SUMIFS(Nozzle!$O$94:$O$185,Nozzle!$A$94:$A$185,"C49",Nozzle!$B$94:$B$185,"72GD",Nozzle!$F$94:$F$185,"ESSZ",Nozzle!$G$94:$G$185,"随机")</f>
        <v>0</v>
      </c>
      <c r="AG22" s="487">
        <f>SUMIFS(Nozzle!$O$94:$O$185,Nozzle!$A$94:$A$185,"C49",Nozzle!$B$94:$B$185,"72GD",Nozzle!$F$94:$F$185,"ESSZ",Nozzle!$G$94:$G$185,"additional")</f>
        <v>0</v>
      </c>
      <c r="AH22" s="488">
        <f>SUMIFS(Nozzle!$I$1:$I93,Nozzle!$A$1:$A$93,"C49",Nozzle!$B$1:$B$93,"72GD",Nozzle!$F$1:$F$93,"ESSZ",Nozzle!$H$1:$H$93,"Incoming",Nozzle!$G$1:$G$93,"随机")</f>
        <v>0</v>
      </c>
      <c r="AI22" s="488">
        <f>SUMIFS(Nozzle!$I$1:$I93,Nozzle!$A$1:$A$93,"C49",Nozzle!$B$1:$B$93,"72GD",Nozzle!$F$1:$F$93,"ESSZ",Nozzle!$H$1:$H$93,"Incoming",Nozzle!$G$1:$G$93,"additional")</f>
        <v>0</v>
      </c>
      <c r="AJ22" s="488">
        <f>SUMIFS(Nozzle!$I$1:$I93,Nozzle!$A$1:$A$93,"C49",Nozzle!$B$1:$B$93,"72GD",Nozzle!$F$1:$F$93,"ESSZ",Nozzle!$H$1:$H$93,"TBA",Nozzle!$G$1:$G$93,"随机")</f>
        <v>0</v>
      </c>
      <c r="AK22" s="488">
        <f>SUMIFS(Nozzle!$I$1:$I93,Nozzle!$A$1:$A$93,"C49",Nozzle!$B$1:$B$93,"72GD",Nozzle!$F$1:$F$93,"ESSZ",Nozzle!$H$1:$H$93,"TBA",Nozzle!$G$1:$G$93,"additional")</f>
        <v>0</v>
      </c>
      <c r="AL22" s="489">
        <f>SUMIFS(Nozzle!$P$94:$P$185,Nozzle!$A$94:$A$185,"C49",Nozzle!$B$94:$B$185,"72GD",Nozzle!$F$94:$F$185,"ESSZ")</f>
        <v>0</v>
      </c>
      <c r="AM22" s="490"/>
      <c r="AN22" s="491">
        <f t="shared" si="14"/>
        <v>0</v>
      </c>
    </row>
    <row r="23" spans="1:40" s="48" customFormat="1" ht="15">
      <c r="A23" s="443"/>
      <c r="B23" s="492"/>
      <c r="C23" s="492"/>
      <c r="D23" s="492"/>
      <c r="E23" s="487"/>
      <c r="F23" s="487"/>
      <c r="G23" s="487"/>
      <c r="H23" s="487"/>
      <c r="I23" s="488"/>
      <c r="J23" s="488"/>
      <c r="K23" s="488"/>
      <c r="L23" s="488"/>
      <c r="M23" s="489"/>
      <c r="N23" s="490"/>
      <c r="O23" s="511"/>
      <c r="P23" s="532"/>
      <c r="Q23" s="529">
        <f t="shared" si="16"/>
        <v>0</v>
      </c>
      <c r="R23" s="529">
        <f t="shared" si="0"/>
        <v>0</v>
      </c>
      <c r="S23" s="524">
        <f t="shared" si="1"/>
        <v>0</v>
      </c>
      <c r="T23" s="524">
        <f t="shared" si="5"/>
        <v>0</v>
      </c>
      <c r="U23" s="524">
        <f t="shared" si="6"/>
        <v>0</v>
      </c>
      <c r="V23" s="524">
        <f t="shared" si="7"/>
        <v>0</v>
      </c>
      <c r="W23" s="528">
        <f t="shared" si="8"/>
        <v>0</v>
      </c>
      <c r="X23" s="528">
        <f t="shared" si="9"/>
        <v>0</v>
      </c>
      <c r="Y23" s="535">
        <f t="shared" si="10"/>
        <v>0</v>
      </c>
      <c r="Z23" s="513"/>
      <c r="AA23" s="492"/>
      <c r="AB23" s="492"/>
      <c r="AC23" s="492"/>
      <c r="AD23" s="487"/>
      <c r="AE23" s="487"/>
      <c r="AF23" s="487"/>
      <c r="AG23" s="487"/>
      <c r="AH23" s="488"/>
      <c r="AI23" s="488"/>
      <c r="AJ23" s="488"/>
      <c r="AK23" s="488"/>
      <c r="AL23" s="489"/>
      <c r="AM23" s="490"/>
      <c r="AN23" s="491"/>
    </row>
    <row r="24" spans="1:40" s="48" customFormat="1" ht="15">
      <c r="A24" s="443"/>
      <c r="B24" s="492"/>
      <c r="C24" s="492"/>
      <c r="D24" s="492"/>
      <c r="E24" s="487"/>
      <c r="F24" s="487"/>
      <c r="G24" s="487"/>
      <c r="H24" s="487"/>
      <c r="I24" s="488"/>
      <c r="J24" s="488"/>
      <c r="K24" s="488"/>
      <c r="L24" s="488"/>
      <c r="M24" s="489"/>
      <c r="N24" s="490"/>
      <c r="O24" s="511"/>
      <c r="P24" s="532"/>
      <c r="Q24" s="529">
        <f t="shared" si="16"/>
        <v>0</v>
      </c>
      <c r="R24" s="529">
        <f t="shared" si="0"/>
        <v>0</v>
      </c>
      <c r="S24" s="524">
        <f t="shared" si="1"/>
        <v>0</v>
      </c>
      <c r="T24" s="524">
        <f t="shared" si="5"/>
        <v>0</v>
      </c>
      <c r="U24" s="524">
        <f t="shared" si="6"/>
        <v>0</v>
      </c>
      <c r="V24" s="524">
        <f t="shared" si="7"/>
        <v>0</v>
      </c>
      <c r="W24" s="528">
        <f t="shared" si="8"/>
        <v>0</v>
      </c>
      <c r="X24" s="528">
        <f t="shared" si="9"/>
        <v>0</v>
      </c>
      <c r="Y24" s="535">
        <f t="shared" si="10"/>
        <v>0</v>
      </c>
      <c r="Z24" s="513"/>
      <c r="AA24" s="492"/>
      <c r="AB24" s="492"/>
      <c r="AC24" s="492"/>
      <c r="AD24" s="487"/>
      <c r="AE24" s="487"/>
      <c r="AF24" s="487"/>
      <c r="AG24" s="487"/>
      <c r="AH24" s="488"/>
      <c r="AI24" s="488"/>
      <c r="AJ24" s="488"/>
      <c r="AK24" s="488"/>
      <c r="AL24" s="489"/>
      <c r="AM24" s="490"/>
      <c r="AN24" s="491"/>
    </row>
    <row r="25" spans="1:40" s="48" customFormat="1" ht="15">
      <c r="A25" s="443"/>
      <c r="B25" s="492"/>
      <c r="C25" s="492"/>
      <c r="D25" s="492"/>
      <c r="E25" s="487"/>
      <c r="F25" s="487"/>
      <c r="G25" s="487"/>
      <c r="H25" s="487"/>
      <c r="I25" s="488"/>
      <c r="J25" s="488"/>
      <c r="K25" s="488"/>
      <c r="L25" s="488"/>
      <c r="M25" s="489"/>
      <c r="N25" s="490"/>
      <c r="O25" s="511"/>
      <c r="P25" s="532"/>
      <c r="Q25" s="529"/>
      <c r="R25" s="529">
        <f t="shared" si="0"/>
        <v>0</v>
      </c>
      <c r="S25" s="524">
        <f t="shared" si="1"/>
        <v>0</v>
      </c>
      <c r="T25" s="524">
        <f t="shared" si="5"/>
        <v>0</v>
      </c>
      <c r="U25" s="524">
        <f t="shared" si="6"/>
        <v>0</v>
      </c>
      <c r="V25" s="524">
        <f t="shared" si="7"/>
        <v>0</v>
      </c>
      <c r="W25" s="528">
        <f t="shared" si="8"/>
        <v>0</v>
      </c>
      <c r="X25" s="528">
        <f t="shared" si="9"/>
        <v>0</v>
      </c>
      <c r="Y25" s="535">
        <f t="shared" si="10"/>
        <v>0</v>
      </c>
      <c r="Z25" s="513"/>
      <c r="AA25" s="492"/>
      <c r="AB25" s="492"/>
      <c r="AC25" s="492"/>
      <c r="AD25" s="487"/>
      <c r="AE25" s="487"/>
      <c r="AF25" s="487"/>
      <c r="AG25" s="487"/>
      <c r="AH25" s="488"/>
      <c r="AI25" s="488"/>
      <c r="AJ25" s="488"/>
      <c r="AK25" s="488"/>
      <c r="AL25" s="489"/>
      <c r="AM25" s="490"/>
      <c r="AN25" s="491"/>
    </row>
    <row r="26" spans="1:40" s="48" customFormat="1" ht="15.75" thickBot="1">
      <c r="A26" s="65"/>
      <c r="B26" s="470">
        <f t="shared" ref="B26:O26" si="17">SUBTOTAL(9,B4:B25)</f>
        <v>1389</v>
      </c>
      <c r="C26" s="470">
        <f>SUM(C4:C25)</f>
        <v>200</v>
      </c>
      <c r="D26" s="470">
        <f>SUM(D4:D25)</f>
        <v>1189</v>
      </c>
      <c r="E26" s="470"/>
      <c r="F26" s="505">
        <f>SUM(F4:F25)</f>
        <v>1627</v>
      </c>
      <c r="G26" s="470"/>
      <c r="H26" s="470"/>
      <c r="I26" s="470">
        <f t="shared" si="17"/>
        <v>200</v>
      </c>
      <c r="J26" s="470">
        <f t="shared" si="17"/>
        <v>0</v>
      </c>
      <c r="K26" s="505">
        <f>SUM(K4:K25)</f>
        <v>330</v>
      </c>
      <c r="L26" s="505">
        <f>SUM(L4:L25)</f>
        <v>0</v>
      </c>
      <c r="M26" s="505">
        <f>SUM(M4:M25)</f>
        <v>0</v>
      </c>
      <c r="N26" s="470"/>
      <c r="O26" s="470">
        <f t="shared" si="17"/>
        <v>1919</v>
      </c>
      <c r="P26" s="525"/>
      <c r="Q26" s="526"/>
      <c r="R26" s="526"/>
      <c r="S26" s="527">
        <f t="shared" ref="S26:Y26" si="18">SUM(S4:S25)</f>
        <v>1100</v>
      </c>
      <c r="T26" s="527">
        <f t="shared" si="18"/>
        <v>877</v>
      </c>
      <c r="U26" s="527">
        <f t="shared" si="18"/>
        <v>200</v>
      </c>
      <c r="V26" s="527">
        <f t="shared" si="18"/>
        <v>60</v>
      </c>
      <c r="W26" s="538">
        <f t="shared" si="18"/>
        <v>1300</v>
      </c>
      <c r="X26" s="538">
        <f t="shared" si="18"/>
        <v>937</v>
      </c>
      <c r="Y26" s="536">
        <f t="shared" si="18"/>
        <v>1977</v>
      </c>
      <c r="Z26" s="65"/>
      <c r="AA26" s="470">
        <f t="shared" ref="AA26" si="19">SUBTOTAL(9,AA4:AA25)</f>
        <v>937</v>
      </c>
      <c r="AB26" s="470">
        <f>SUM(AB4:AB25)</f>
        <v>60</v>
      </c>
      <c r="AC26" s="470">
        <f>SUM(AC4:AC25)</f>
        <v>877</v>
      </c>
      <c r="AD26" s="470"/>
      <c r="AE26" s="505">
        <f>SUM(AE4:AE25)</f>
        <v>1116</v>
      </c>
      <c r="AF26" s="470"/>
      <c r="AG26" s="470"/>
      <c r="AH26" s="470">
        <f t="shared" ref="AH26:AI26" si="20">SUBTOTAL(9,AH4:AH25)</f>
        <v>0</v>
      </c>
      <c r="AI26" s="470">
        <f t="shared" si="20"/>
        <v>0</v>
      </c>
      <c r="AJ26" s="470"/>
      <c r="AK26" s="470"/>
      <c r="AL26" s="505">
        <f>SUM(AL4:AL25)</f>
        <v>0</v>
      </c>
      <c r="AM26" s="470"/>
      <c r="AN26" s="470">
        <f t="shared" ref="AN26" si="21">SUBTOTAL(9,AN4:AN25)</f>
        <v>937</v>
      </c>
    </row>
    <row r="27" spans="1:40" s="48" customFormat="1" ht="16.5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14"/>
      <c r="Q27" s="515"/>
      <c r="R27" s="515"/>
      <c r="S27" s="521">
        <f>S26+T26-AL26</f>
        <v>1977</v>
      </c>
      <c r="T27" s="522"/>
      <c r="U27" s="521">
        <f>U26+V26</f>
        <v>260</v>
      </c>
      <c r="V27" s="522"/>
      <c r="W27" s="521">
        <f>W26+X26</f>
        <v>2237</v>
      </c>
      <c r="X27" s="537"/>
      <c r="Y27" s="523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84" t="s">
        <v>4324</v>
      </c>
      <c r="B28" s="506"/>
      <c r="C28" s="485">
        <f>AB26+C26</f>
        <v>260</v>
      </c>
      <c r="D28" s="506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2237</v>
      </c>
      <c r="T28" s="18"/>
      <c r="U28" s="18"/>
      <c r="V28" s="18"/>
      <c r="W28" s="18"/>
      <c r="X28" s="18"/>
      <c r="Y28" s="18"/>
    </row>
    <row r="29" spans="1:40" ht="15" thickTop="1"/>
    <row r="32" spans="1:40" ht="40.5" customHeight="1">
      <c r="A32" s="486" t="s">
        <v>4321</v>
      </c>
      <c r="B32" s="464" t="s">
        <v>4308</v>
      </c>
      <c r="C32" s="464" t="s">
        <v>4317</v>
      </c>
      <c r="D32" s="474" t="s">
        <v>4314</v>
      </c>
      <c r="E32" s="475" t="s">
        <v>4313</v>
      </c>
      <c r="F32" s="475" t="s">
        <v>258</v>
      </c>
      <c r="G32" s="474" t="s">
        <v>4315</v>
      </c>
      <c r="H32" s="465" t="s">
        <v>4316</v>
      </c>
      <c r="I32" s="464" t="s">
        <v>4318</v>
      </c>
      <c r="K32" s="486" t="s">
        <v>4322</v>
      </c>
      <c r="L32" s="464" t="s">
        <v>4308</v>
      </c>
      <c r="M32" s="464" t="s">
        <v>4317</v>
      </c>
      <c r="N32" s="474" t="s">
        <v>4314</v>
      </c>
      <c r="O32" s="475" t="s">
        <v>4313</v>
      </c>
      <c r="P32" s="475" t="s">
        <v>258</v>
      </c>
      <c r="Q32" s="474" t="s">
        <v>4315</v>
      </c>
      <c r="R32" s="465" t="s">
        <v>4316</v>
      </c>
      <c r="S32" s="464" t="s">
        <v>4318</v>
      </c>
      <c r="T32" s="18"/>
      <c r="U32" s="486" t="s">
        <v>4327</v>
      </c>
      <c r="V32" s="464" t="s">
        <v>4308</v>
      </c>
      <c r="W32" s="464" t="s">
        <v>4317</v>
      </c>
      <c r="X32" s="474" t="s">
        <v>4314</v>
      </c>
      <c r="Y32" s="475" t="s">
        <v>4313</v>
      </c>
      <c r="Z32" s="475" t="s">
        <v>258</v>
      </c>
      <c r="AA32" s="474" t="s">
        <v>4315</v>
      </c>
      <c r="AB32" s="465" t="s">
        <v>4316</v>
      </c>
      <c r="AC32" s="464" t="s">
        <v>4318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8">
      <c r="A33" s="473">
        <v>301</v>
      </c>
      <c r="B33" s="492">
        <f>C33-D33</f>
        <v>-20</v>
      </c>
      <c r="C33" s="487">
        <f>SUMIFS(Nozzle!$I$1:$I93,Nozzle!$A$1:$A$93,"C66SZX",Nozzle!$B$1:$B$93,"301",Nozzle!$F$1:$F$93,"ESEL",Nozzle!$H$1:$H$93,"STK",Nozzle!$G$1:$G$93,"additional")</f>
        <v>0</v>
      </c>
      <c r="D33" s="487">
        <f>SUMIFS(Nozzle!$O$94:$O$185,Nozzle!$A$94:$A$185,"C66SZX",Nozzle!$B$94:$B$185,"301",Nozzle!$F$94:$F$185,"ESEL",Nozzle!$G$94:$G$185,"additional")</f>
        <v>20</v>
      </c>
      <c r="E33" s="488">
        <f>SUMIFS(Nozzle!$I$1:$I93,Nozzle!$A$1:$A$93,"C66SZX",Nozzle!$B$1:$B$93,"301",Nozzle!$F$1:$F$93,"ESEL",Nozzle!$H$1:$H$93,"Incoming",Nozzle!$G$1:$G$93,"additional")</f>
        <v>0</v>
      </c>
      <c r="F33" s="488">
        <f>SUMIFS(Nozzle!$I$1:$I93,Nozzle!$A$1:$A$93,"C66SZX",Nozzle!$B$1:$B$93,"301",Nozzle!$F$1:$F$93,"ESEL",Nozzle!$H$1:$H$93,"TBA",Nozzle!$G$1:$G$93,"additional")</f>
        <v>0</v>
      </c>
      <c r="G33" s="489">
        <f>SUMIFS(Nozzle!$P$94:$P$185,Nozzle!$A$94:$A$185,"C66SZX",Nozzle!$B$94:$B$185,"301",Nozzle!$F$94:$F$185,"ESEL")</f>
        <v>0</v>
      </c>
      <c r="H33" s="490">
        <v>40</v>
      </c>
      <c r="I33" s="491">
        <f>B33+E33+F33-G33-H33</f>
        <v>-60</v>
      </c>
      <c r="K33" s="473">
        <v>301</v>
      </c>
      <c r="L33" s="492">
        <f>M33-N33</f>
        <v>-1</v>
      </c>
      <c r="M33" s="487">
        <f>SUMIFS(Nozzle!$I$1:$I93,Nozzle!$A$1:$A$93,"C66SHA",Nozzle!$B$1:$B$93,"301",Nozzle!$F$1:$F$93,"ESEL",Nozzle!$H$1:$H$93,"STK",Nozzle!$G$1:$G$93,"additional")</f>
        <v>0</v>
      </c>
      <c r="N33" s="487">
        <f>SUMIFS(Nozzle!$O$94:$O$185,Nozzle!$A$94:$A$185,"C66SHA",Nozzle!$B$94:$B$185,"301",Nozzle!$F$94:$F$185,"ESEL",Nozzle!$G$94:$G$185,"additional")</f>
        <v>1</v>
      </c>
      <c r="O33" s="488">
        <f>SUMIFS(Nozzle!$I$1:$I93,Nozzle!$A$1:$A$93,"C66SHA",Nozzle!$B$1:$B$93,"301",Nozzle!$F$1:$F$93,"ESEL",Nozzle!$H$1:$H$93,"Incoming",Nozzle!$G$1:$G$93,"additional")</f>
        <v>0</v>
      </c>
      <c r="P33" s="488">
        <f>SUMIFS(Nozzle!$I$1:$I93,Nozzle!$A$1:$A$93,"C66SHA",Nozzle!$B$1:$B$93,"301",Nozzle!$F$1:$F$93,"ESEL",Nozzle!$H$1:$H$93,"TBA",Nozzle!$G$1:$G$93,"additional")</f>
        <v>0</v>
      </c>
      <c r="Q33" s="489">
        <f>SUMIFS(Nozzle!$P$94:$P$185,Nozzle!$A$94:$A$185,"C66SHA",Nozzle!$B$94:$B$185,"301",Nozzle!$F$94:$F$185,"ESEL")</f>
        <v>0</v>
      </c>
      <c r="R33" s="490">
        <v>0</v>
      </c>
      <c r="S33" s="491">
        <f t="shared" ref="S33:S51" si="22">L33+O33+P33-Q33-R33</f>
        <v>-1</v>
      </c>
      <c r="T33" s="18"/>
      <c r="U33" s="473">
        <v>301</v>
      </c>
      <c r="V33" s="492">
        <f>W33-X33</f>
        <v>0</v>
      </c>
      <c r="W33" s="487">
        <f>SUMIFS(Nozzle!$I$1:$I93,Nozzle!$A$1:$A$93,"C66BJS",Nozzle!$B$1:$B$93,"301",Nozzle!$F$1:$F$93,"ESEL",Nozzle!$H$1:$H$93,"STK",Nozzle!$G$1:$G$93,"additional")</f>
        <v>0</v>
      </c>
      <c r="X33" s="487">
        <f>SUMIFS(Nozzle!$O$94:$O$185,Nozzle!$A$94:$A$185,"C66BJS",Nozzle!$B$94:$B$185,"301",Nozzle!$F$94:$F$185,"ESEL",Nozzle!$G$94:$G$185,"additional")</f>
        <v>0</v>
      </c>
      <c r="Y33" s="488">
        <f>SUMIFS(Nozzle!$I$1:$I93,Nozzle!$A$1:$A$93,"C66BJS",Nozzle!$B$1:$B$93,"301",Nozzle!$F$1:$F$93,"ESEL",Nozzle!$H$1:$H$93,"Incoming",Nozzle!$G$1:$G$93,"additional")</f>
        <v>0</v>
      </c>
      <c r="Z33" s="488">
        <f>SUMIFS(Nozzle!$I$1:$I93,Nozzle!$A$1:$A$93,"C66BJS",Nozzle!$B$1:$B$93,"301",Nozzle!$F$1:$F$93,"ESEL",Nozzle!$H$1:$H$93,"TBA",Nozzle!$G$1:$G$93,"additional")</f>
        <v>0</v>
      </c>
      <c r="AA33" s="489">
        <f>SUMIFS(Nozzle!$P$94:$P$185,Nozzle!$A$94:$A$185,"C66BJS",Nozzle!$B$94:$B$185,"301",Nozzle!$F$94:$F$185,"ESEL")</f>
        <v>0</v>
      </c>
      <c r="AB33" s="490">
        <v>0</v>
      </c>
      <c r="AC33" s="491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8">
      <c r="A34" s="473">
        <v>302</v>
      </c>
      <c r="B34" s="492">
        <f t="shared" ref="B34:B51" si="23">C34-D34</f>
        <v>-30</v>
      </c>
      <c r="C34" s="487">
        <f>SUMIFS(Nozzle!$I$1:$I93,Nozzle!$A$1:$A$93,"C66SZX",Nozzle!$B$1:$B$93,"302",Nozzle!$F$1:$F$93,"ESEL",Nozzle!$H$1:$H$93,"STK",Nozzle!$G$1:$G$93,"additional")</f>
        <v>0</v>
      </c>
      <c r="D34" s="487">
        <f>SUMIFS(Nozzle!$O$94:$O$185,Nozzle!$A$94:$A$185,"C66SZX",Nozzle!$B$94:$B$185,"302",Nozzle!$F$94:$F$185,"ESEL",Nozzle!$G$94:$G$185,"additional")</f>
        <v>30</v>
      </c>
      <c r="E34" s="488">
        <f>SUMIFS(Nozzle!$I$1:$I93,Nozzle!$A$1:$A$93,"C66SZX",Nozzle!$B$1:$B$93,"302",Nozzle!$F$1:$F$93,"ESEL",Nozzle!$H$1:$H$93,"Incoming",Nozzle!$G$1:$G$93,"additional")</f>
        <v>0</v>
      </c>
      <c r="F34" s="488">
        <f>SUMIFS(Nozzle!$I$1:$I93,Nozzle!$A$1:$A$93,"C66SZX",Nozzle!$B$1:$B$93,"302",Nozzle!$F$1:$F$93,"ESEL",Nozzle!$H$1:$H$93,"TBA",Nozzle!$G$1:$G$93,"additional")</f>
        <v>0</v>
      </c>
      <c r="G34" s="489">
        <f>SUMIFS(Nozzle!$P$94:$P$185,Nozzle!$A$94:$A$185,"C66SZX",Nozzle!$B$94:$B$185,"302",Nozzle!$F$94:$F$185,"ESEL")</f>
        <v>0</v>
      </c>
      <c r="H34" s="490">
        <v>40</v>
      </c>
      <c r="I34" s="491">
        <f t="shared" ref="I34:I51" si="24">B34+E34+F34-G34-H34</f>
        <v>-70</v>
      </c>
      <c r="K34" s="473">
        <v>302</v>
      </c>
      <c r="L34" s="492">
        <f t="shared" ref="L34:L51" si="25">M34-N34</f>
        <v>-1</v>
      </c>
      <c r="M34" s="487">
        <f>SUMIFS(Nozzle!$I$1:$I93,Nozzle!$A$1:$A$93,"C66SHA",Nozzle!$B$1:$B$93,"302",Nozzle!$F$1:$F$93,"ESEL",Nozzle!$H$1:$H$93,"STK",Nozzle!$G$1:$G$93,"additional")</f>
        <v>0</v>
      </c>
      <c r="N34" s="487">
        <f>SUMIFS(Nozzle!$O$94:$O$185,Nozzle!$A$94:$A$185,"C66SHA",Nozzle!$B$94:$B$185,"302",Nozzle!$F$94:$F$185,"ESEL",Nozzle!$G$94:$G$185,"additional")</f>
        <v>1</v>
      </c>
      <c r="O34" s="488">
        <f>SUMIFS(Nozzle!$I$1:$I93,Nozzle!$A$1:$A$93,"C66SHA",Nozzle!$B$1:$B$93,"302",Nozzle!$F$1:$F$93,"ESEL",Nozzle!$H$1:$H$93,"Incoming",Nozzle!$G$1:$G$93,"additional")</f>
        <v>0</v>
      </c>
      <c r="P34" s="488">
        <f>SUMIFS(Nozzle!$I$1:$I93,Nozzle!$A$1:$A$93,"C66SHA",Nozzle!$B$1:$B$93,"302",Nozzle!$F$1:$F$93,"ESEL",Nozzle!$H$1:$H$93,"TBA",Nozzle!$G$1:$G$93,"additional")</f>
        <v>0</v>
      </c>
      <c r="Q34" s="489">
        <f>SUMIFS(Nozzle!$P$94:$P$185,Nozzle!$A$94:$A$185,"C66SHA",Nozzle!$B$94:$B$185,"302",Nozzle!$F$94:$F$185,"ESEL")</f>
        <v>0</v>
      </c>
      <c r="R34" s="490">
        <v>0</v>
      </c>
      <c r="S34" s="491">
        <f t="shared" si="22"/>
        <v>-1</v>
      </c>
      <c r="T34" s="18"/>
      <c r="U34" s="473">
        <v>302</v>
      </c>
      <c r="V34" s="492">
        <f t="shared" ref="V34:V51" si="26">W34-X34</f>
        <v>0</v>
      </c>
      <c r="W34" s="487">
        <f>SUMIFS(Nozzle!$I$1:$I93,Nozzle!$A$1:$A$93,"C66BJS",Nozzle!$B$1:$B$93,"302",Nozzle!$F$1:$F$93,"ESEL",Nozzle!$H$1:$H$93,"STK",Nozzle!$G$1:$G$93,"additional")</f>
        <v>0</v>
      </c>
      <c r="X34" s="487">
        <f>SUMIFS(Nozzle!$O$94:$O$185,Nozzle!$A$94:$A$185,"C66BJS",Nozzle!$B$94:$B$185,"302",Nozzle!$F$94:$F$185,"ESEL",Nozzle!$G$94:$G$185,"additional")</f>
        <v>0</v>
      </c>
      <c r="Y34" s="488">
        <f>SUMIFS(Nozzle!$I$1:$I93,Nozzle!$A$1:$A$93,"C66BJS",Nozzle!$B$1:$B$93,"302",Nozzle!$F$1:$F$93,"ESEL",Nozzle!$H$1:$H$93,"Incoming",Nozzle!$G$1:$G$93,"additional")</f>
        <v>0</v>
      </c>
      <c r="Z34" s="488">
        <f>SUMIFS(Nozzle!$I$1:$I93,Nozzle!$A$1:$A$93,"C66BJS",Nozzle!$B$1:$B$93,"302",Nozzle!$F$1:$F$93,"ESEL",Nozzle!$H$1:$H$93,"TBA",Nozzle!$G$1:$G$93,"additional")</f>
        <v>0</v>
      </c>
      <c r="AA34" s="489">
        <f>SUMIFS(Nozzle!$P$94:$P$185,Nozzle!$A$94:$A$185,"C66BJS",Nozzle!$B$94:$B$185,"302",Nozzle!$F$94:$F$185,"ESEL")</f>
        <v>0</v>
      </c>
      <c r="AB34" s="490">
        <v>0</v>
      </c>
      <c r="AC34" s="491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8">
      <c r="A35" s="473">
        <v>303</v>
      </c>
      <c r="B35" s="492">
        <f t="shared" si="23"/>
        <v>-15</v>
      </c>
      <c r="C35" s="487">
        <f>SUMIFS(Nozzle!$I$1:$I93,Nozzle!$A$1:$A$93,"C66SZX",Nozzle!$B$1:$B$93,"303",Nozzle!$F$1:$F$93,"ESEL",Nozzle!$H$1:$H$93,"STK",Nozzle!$G$1:$G$93,"additional")</f>
        <v>0</v>
      </c>
      <c r="D35" s="487">
        <f>SUMIFS(Nozzle!$O$94:$O$185,Nozzle!$A$94:$A$185,"C66SZX",Nozzle!$B$94:$B$185,"303",Nozzle!$F$94:$F$185,"ESEL",Nozzle!$G$94:$G$185,"additional")</f>
        <v>15</v>
      </c>
      <c r="E35" s="488">
        <f>SUMIFS(Nozzle!$I$1:$I93,Nozzle!$A$1:$A$93,"C66SZX",Nozzle!$B$1:$B$93,"303",Nozzle!$F$1:$F$93,"ESEL",Nozzle!$H$1:$H$93,"Incoming",Nozzle!$G$1:$G$93,"additional")</f>
        <v>0</v>
      </c>
      <c r="F35" s="488">
        <f>SUMIFS(Nozzle!$I$1:$I93,Nozzle!$A$1:$A$93,"C66SZX",Nozzle!$B$1:$B$93,"303",Nozzle!$F$1:$F$93,"ESEL",Nozzle!$H$1:$H$93,"TBA",Nozzle!$G$1:$G$93,"additional")</f>
        <v>0</v>
      </c>
      <c r="G35" s="489">
        <f>SUMIFS(Nozzle!$P$94:$P$185,Nozzle!$A$94:$A$185,"C66SZX",Nozzle!$B$94:$B$185,"303",Nozzle!$F$94:$F$185,"ESEL")</f>
        <v>0</v>
      </c>
      <c r="H35" s="490">
        <v>5</v>
      </c>
      <c r="I35" s="491">
        <f t="shared" si="24"/>
        <v>-20</v>
      </c>
      <c r="K35" s="473">
        <v>303</v>
      </c>
      <c r="L35" s="492">
        <f t="shared" si="25"/>
        <v>-5</v>
      </c>
      <c r="M35" s="487">
        <f>SUMIFS(Nozzle!$I$1:$I93,Nozzle!$A$1:$A$93,"C66SHA",Nozzle!$B$1:$B$93,"303",Nozzle!$F$1:$F$93,"ESEL",Nozzle!$H$1:$H$93,"STK",Nozzle!$G$1:$G$93,"additional")</f>
        <v>0</v>
      </c>
      <c r="N35" s="487">
        <f>SUMIFS(Nozzle!$O$94:$O$185,Nozzle!$A$94:$A$185,"C66SHA",Nozzle!$B$94:$B$185,"303",Nozzle!$F$94:$F$185,"ESEL",Nozzle!$G$94:$G$185,"additional")</f>
        <v>5</v>
      </c>
      <c r="O35" s="488">
        <f>SUMIFS(Nozzle!$I$1:$I93,Nozzle!$A$1:$A$93,"C66SHA",Nozzle!$B$1:$B$93,"303",Nozzle!$F$1:$F$93,"ESEL",Nozzle!$H$1:$H$93,"Incoming",Nozzle!$G$1:$G$93,"additional")</f>
        <v>0</v>
      </c>
      <c r="P35" s="488">
        <f>SUMIFS(Nozzle!$I$1:$I93,Nozzle!$A$1:$A$93,"C66SHA",Nozzle!$B$1:$B$93,"303",Nozzle!$F$1:$F$93,"ESEL",Nozzle!$H$1:$H$93,"TBA",Nozzle!$G$1:$G$93,"additional")</f>
        <v>0</v>
      </c>
      <c r="Q35" s="489">
        <f>SUMIFS(Nozzle!$P$94:$P$185,Nozzle!$A$94:$A$185,"C66SHA",Nozzle!$B$94:$B$185,"303",Nozzle!$F$94:$F$185,"ESEL")</f>
        <v>0</v>
      </c>
      <c r="R35" s="490">
        <v>0</v>
      </c>
      <c r="S35" s="491">
        <f t="shared" si="22"/>
        <v>-5</v>
      </c>
      <c r="T35" s="18"/>
      <c r="U35" s="473">
        <v>303</v>
      </c>
      <c r="V35" s="492">
        <f t="shared" si="26"/>
        <v>0</v>
      </c>
      <c r="W35" s="487">
        <f>SUMIFS(Nozzle!$I$1:$I93,Nozzle!$A$1:$A$93,"C66BJS",Nozzle!$B$1:$B$93,"303",Nozzle!$F$1:$F$93,"ESEL",Nozzle!$H$1:$H$93,"STK",Nozzle!$G$1:$G$93,"additional")</f>
        <v>0</v>
      </c>
      <c r="X35" s="487">
        <f>SUMIFS(Nozzle!$O$94:$O$185,Nozzle!$A$94:$A$185,"C66BJS",Nozzle!$B$94:$B$185,"303",Nozzle!$F$94:$F$185,"ESEL",Nozzle!$G$94:$G$185,"additional")</f>
        <v>0</v>
      </c>
      <c r="Y35" s="488">
        <f>SUMIFS(Nozzle!$I$1:$I93,Nozzle!$A$1:$A$93,"C66BJS",Nozzle!$B$1:$B$93,"303",Nozzle!$F$1:$F$93,"ESEL",Nozzle!$H$1:$H$93,"Incoming",Nozzle!$G$1:$G$93,"additional")</f>
        <v>0</v>
      </c>
      <c r="Z35" s="488">
        <f>SUMIFS(Nozzle!$I$1:$I93,Nozzle!$A$1:$A$93,"C66BJS",Nozzle!$B$1:$B$93,"303",Nozzle!$F$1:$F$93,"ESEL",Nozzle!$H$1:$H$93,"TBA",Nozzle!$G$1:$G$93,"additional")</f>
        <v>0</v>
      </c>
      <c r="AA35" s="489">
        <f>SUMIFS(Nozzle!$P$94:$P$185,Nozzle!$A$94:$A$185,"C66BJS",Nozzle!$B$94:$B$185,"303",Nozzle!$F$94:$F$185,"ESEL")</f>
        <v>0</v>
      </c>
      <c r="AB35" s="490">
        <v>0</v>
      </c>
      <c r="AC35" s="491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8">
      <c r="A36" s="473">
        <v>304</v>
      </c>
      <c r="B36" s="492">
        <f t="shared" si="23"/>
        <v>-5</v>
      </c>
      <c r="C36" s="487">
        <f>SUMIFS(Nozzle!$I$1:$I93,Nozzle!$A$1:$A$93,"C66SZX",Nozzle!$B$1:$B$93,"304",Nozzle!$F$1:$F$93,"ESEL",Nozzle!$H$1:$H$93,"STK",Nozzle!$G$1:$G$93,"additional")</f>
        <v>0</v>
      </c>
      <c r="D36" s="487">
        <f>SUMIFS(Nozzle!$O$94:$O$185,Nozzle!$A$94:$A$185,"C66SZX",Nozzle!$B$94:$B$185,"304",Nozzle!$F$94:$F$185,"ESEL",Nozzle!$G$94:$G$185,"additional")</f>
        <v>5</v>
      </c>
      <c r="E36" s="488">
        <f>SUMIFS(Nozzle!$I$1:$I93,Nozzle!$A$1:$A$93,"C66SZX",Nozzle!$B$1:$B$93,"304",Nozzle!$F$1:$F$93,"ESEL",Nozzle!$H$1:$H$93,"Incoming",Nozzle!$G$1:$G$93,"additional")</f>
        <v>0</v>
      </c>
      <c r="F36" s="488">
        <f>SUMIFS(Nozzle!$I$1:$I93,Nozzle!$A$1:$A$93,"C66SZX",Nozzle!$B$1:$B$93,"304",Nozzle!$F$1:$F$93,"ESEL",Nozzle!$H$1:$H$93,"TBA",Nozzle!$G$1:$G$93,"additional")</f>
        <v>0</v>
      </c>
      <c r="G36" s="489">
        <f>SUMIFS(Nozzle!$P$94:$P$185,Nozzle!$A$94:$A$185,"C66SZX",Nozzle!$B$94:$B$185,"304",Nozzle!$F$94:$F$185,"ESEL")</f>
        <v>0</v>
      </c>
      <c r="H36" s="490">
        <v>2</v>
      </c>
      <c r="I36" s="491">
        <f t="shared" si="24"/>
        <v>-7</v>
      </c>
      <c r="K36" s="473">
        <v>304</v>
      </c>
      <c r="L36" s="492">
        <f t="shared" si="25"/>
        <v>-2</v>
      </c>
      <c r="M36" s="487">
        <f>SUMIFS(Nozzle!$I$1:$I93,Nozzle!$A$1:$A$93,"C66SHA",Nozzle!$B$1:$B$93,"304",Nozzle!$F$1:$F$93,"ESEL",Nozzle!$H$1:$H$93,"STK",Nozzle!$G$1:$G$93,"additional")</f>
        <v>0</v>
      </c>
      <c r="N36" s="487">
        <f>SUMIFS(Nozzle!$O$94:$O$185,Nozzle!$A$94:$A$185,"C66SHA",Nozzle!$B$94:$B$185,"304",Nozzle!$F$94:$F$185,"ESEL",Nozzle!$G$94:$G$185,"additional")</f>
        <v>2</v>
      </c>
      <c r="O36" s="488">
        <f>SUMIFS(Nozzle!$I$1:$I93,Nozzle!$A$1:$A$93,"C66SHA",Nozzle!$B$1:$B$93,"304",Nozzle!$F$1:$F$93,"ESEL",Nozzle!$H$1:$H$93,"Incoming",Nozzle!$G$1:$G$93,"additional")</f>
        <v>0</v>
      </c>
      <c r="P36" s="488">
        <f>SUMIFS(Nozzle!$I$1:$I93,Nozzle!$A$1:$A$93,"C66SHA",Nozzle!$B$1:$B$93,"304",Nozzle!$F$1:$F$93,"ESEL",Nozzle!$H$1:$H$93,"TBA",Nozzle!$G$1:$G$93,"additional")</f>
        <v>0</v>
      </c>
      <c r="Q36" s="489">
        <f>SUMIFS(Nozzle!$P$94:$P$185,Nozzle!$A$94:$A$185,"C66SHA",Nozzle!$B$94:$B$185,"304",Nozzle!$F$94:$F$185,"ESEL")</f>
        <v>0</v>
      </c>
      <c r="R36" s="490">
        <v>0</v>
      </c>
      <c r="S36" s="491">
        <f t="shared" si="22"/>
        <v>-2</v>
      </c>
      <c r="T36" s="18"/>
      <c r="U36" s="473">
        <v>304</v>
      </c>
      <c r="V36" s="492">
        <f t="shared" si="26"/>
        <v>0</v>
      </c>
      <c r="W36" s="487">
        <f>SUMIFS(Nozzle!$I$1:$I93,Nozzle!$A$1:$A$93,"C66BJS",Nozzle!$B$1:$B$93,"304",Nozzle!$F$1:$F$93,"ESEL",Nozzle!$H$1:$H$93,"STK",Nozzle!$G$1:$G$93,"additional")</f>
        <v>0</v>
      </c>
      <c r="X36" s="487">
        <f>SUMIFS(Nozzle!$O$94:$O$185,Nozzle!$A$94:$A$185,"C66BJS",Nozzle!$B$94:$B$185,"304",Nozzle!$F$94:$F$185,"ESEL",Nozzle!$G$94:$G$185,"additional")</f>
        <v>0</v>
      </c>
      <c r="Y36" s="488">
        <f>SUMIFS(Nozzle!$I$1:$I93,Nozzle!$A$1:$A$93,"C66BJS",Nozzle!$B$1:$B$93,"304",Nozzle!$F$1:$F$93,"ESEL",Nozzle!$H$1:$H$93,"Incoming",Nozzle!$G$1:$G$93,"additional")</f>
        <v>0</v>
      </c>
      <c r="Z36" s="488">
        <f>SUMIFS(Nozzle!$I$1:$I93,Nozzle!$A$1:$A$93,"C66BJS",Nozzle!$B$1:$B$93,"304",Nozzle!$F$1:$F$93,"ESEL",Nozzle!$H$1:$H$93,"TBA",Nozzle!$G$1:$G$93,"additional")</f>
        <v>0</v>
      </c>
      <c r="AA36" s="489">
        <f>SUMIFS(Nozzle!$P$94:$P$185,Nozzle!$A$94:$A$185,"C66BJS",Nozzle!$B$94:$B$185,"304",Nozzle!$F$94:$F$185,"ESEL")</f>
        <v>0</v>
      </c>
      <c r="AB36" s="490">
        <v>0</v>
      </c>
      <c r="AC36" s="491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8">
      <c r="A37" s="473">
        <v>305</v>
      </c>
      <c r="B37" s="492">
        <f t="shared" si="23"/>
        <v>0</v>
      </c>
      <c r="C37" s="487">
        <f>SUMIFS(Nozzle!$I$1:$I93,Nozzle!$A$1:$A$93,"C66SZX",Nozzle!$B$1:$B$93,"305",Nozzle!$F$1:$F$93,"ESEL",Nozzle!$H$1:$H$93,"STK",Nozzle!$G$1:$G$93,"additional")</f>
        <v>0</v>
      </c>
      <c r="D37" s="487">
        <f>SUMIFS(Nozzle!$O$94:$O$185,Nozzle!$A$94:$A$185,"C66SZX",Nozzle!$B$94:$B$185,"305",Nozzle!$F$94:$F$185,"ESEL",Nozzle!$G$94:$G$185,"additional")</f>
        <v>0</v>
      </c>
      <c r="E37" s="488">
        <f>SUMIFS(Nozzle!$I$1:$I93,Nozzle!$A$1:$A$93,"C66SZX",Nozzle!$B$1:$B$93,"305",Nozzle!$F$1:$F$93,"ESEL",Nozzle!$H$1:$H$93,"Incoming",Nozzle!$G$1:$G$93,"additional")</f>
        <v>0</v>
      </c>
      <c r="F37" s="488">
        <f>SUMIFS(Nozzle!$I$1:$I93,Nozzle!$A$1:$A$93,"C66SZX",Nozzle!$B$1:$B$93,"305",Nozzle!$F$1:$F$93,"ESEL",Nozzle!$H$1:$H$93,"TBA",Nozzle!$G$1:$G$93,"additional")</f>
        <v>0</v>
      </c>
      <c r="G37" s="489">
        <f>SUMIFS(Nozzle!$P$94:$P$185,Nozzle!$A$94:$A$185,"C66SZX",Nozzle!$B$94:$B$185,"305",Nozzle!$F$94:$F$185,"ESEL")</f>
        <v>0</v>
      </c>
      <c r="H37" s="490">
        <v>0</v>
      </c>
      <c r="I37" s="491">
        <f t="shared" si="24"/>
        <v>0</v>
      </c>
      <c r="K37" s="473">
        <v>305</v>
      </c>
      <c r="L37" s="492">
        <f t="shared" si="25"/>
        <v>0</v>
      </c>
      <c r="M37" s="487">
        <f>SUMIFS(Nozzle!$I$1:$I93,Nozzle!$A$1:$A$93,"C66SHA",Nozzle!$B$1:$B$93,"305",Nozzle!$F$1:$F$93,"ESEL",Nozzle!$H$1:$H$93,"STK",Nozzle!$G$1:$G$93,"additional")</f>
        <v>0</v>
      </c>
      <c r="N37" s="487">
        <f>SUMIFS(Nozzle!$O$94:$O$185,Nozzle!$A$94:$A$185,"C66SHA",Nozzle!$B$94:$B$185,"305",Nozzle!$F$94:$F$185,"ESEL",Nozzle!$G$94:$G$185,"additional")</f>
        <v>0</v>
      </c>
      <c r="O37" s="488">
        <f>SUMIFS(Nozzle!$I$1:$I93,Nozzle!$A$1:$A$93,"C66SHA",Nozzle!$B$1:$B$93,"305",Nozzle!$F$1:$F$93,"ESEL",Nozzle!$H$1:$H$93,"Incoming",Nozzle!$G$1:$G$93,"additional")</f>
        <v>0</v>
      </c>
      <c r="P37" s="488">
        <f>SUMIFS(Nozzle!$I$1:$I93,Nozzle!$A$1:$A$93,"C66SHA",Nozzle!$B$1:$B$93,"305",Nozzle!$F$1:$F$93,"ESEL",Nozzle!$H$1:$H$93,"TBA",Nozzle!$G$1:$G$93,"additional")</f>
        <v>0</v>
      </c>
      <c r="Q37" s="489">
        <f>SUMIFS(Nozzle!$P$94:$P$185,Nozzle!$A$94:$A$185,"C66SHA",Nozzle!$B$94:$B$185,"305",Nozzle!$F$94:$F$185,"ESEL")</f>
        <v>0</v>
      </c>
      <c r="R37" s="490">
        <v>0</v>
      </c>
      <c r="S37" s="491">
        <f t="shared" si="22"/>
        <v>0</v>
      </c>
      <c r="T37" s="18"/>
      <c r="U37" s="473">
        <v>305</v>
      </c>
      <c r="V37" s="492">
        <f t="shared" si="26"/>
        <v>0</v>
      </c>
      <c r="W37" s="487">
        <f>SUMIFS(Nozzle!$I$1:$I93,Nozzle!$A$1:$A$93,"C66BJS",Nozzle!$B$1:$B$93,"305",Nozzle!$F$1:$F$93,"ESEL",Nozzle!$H$1:$H$93,"STK",Nozzle!$G$1:$G$93,"additional")</f>
        <v>0</v>
      </c>
      <c r="X37" s="487">
        <f>SUMIFS(Nozzle!$O$94:$O$185,Nozzle!$A$94:$A$185,"C66BJS",Nozzle!$B$94:$B$185,"305",Nozzle!$F$94:$F$185,"ESEL",Nozzle!$G$94:$G$185,"additional")</f>
        <v>0</v>
      </c>
      <c r="Y37" s="488">
        <f>SUMIFS(Nozzle!$I$1:$I93,Nozzle!$A$1:$A$93,"C66BJS",Nozzle!$B$1:$B$93,"305",Nozzle!$F$1:$F$93,"ESEL",Nozzle!$H$1:$H$93,"Incoming",Nozzle!$G$1:$G$93,"additional")</f>
        <v>0</v>
      </c>
      <c r="Z37" s="488">
        <f>SUMIFS(Nozzle!$I$1:$I93,Nozzle!$A$1:$A$93,"C66BJS",Nozzle!$B$1:$B$93,"305",Nozzle!$F$1:$F$93,"ESEL",Nozzle!$H$1:$H$93,"TBA",Nozzle!$G$1:$G$93,"additional")</f>
        <v>0</v>
      </c>
      <c r="AA37" s="489">
        <f>SUMIFS(Nozzle!$P$94:$P$185,Nozzle!$A$94:$A$185,"C66BJS",Nozzle!$B$94:$B$185,"305",Nozzle!$F$94:$F$185,"ESEL")</f>
        <v>0</v>
      </c>
      <c r="AB37" s="490">
        <v>0</v>
      </c>
      <c r="AC37" s="491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8">
      <c r="A38" s="473">
        <v>306</v>
      </c>
      <c r="B38" s="492">
        <f t="shared" si="23"/>
        <v>0</v>
      </c>
      <c r="C38" s="487">
        <f>SUMIFS(Nozzle!$I$1:$I93,Nozzle!$A$1:$A$93,"C66SZX",Nozzle!$B$1:$B$93,"306",Nozzle!$F$1:$F$93,"ESEL",Nozzle!$H$1:$H$93,"STK",Nozzle!$G$1:$G$93,"additional")</f>
        <v>0</v>
      </c>
      <c r="D38" s="487">
        <f>SUMIFS(Nozzle!$O$94:$O$185,Nozzle!$A$94:$A$185,"C66SZX",Nozzle!$B$94:$B$185,"306",Nozzle!$F$94:$F$185,"ESEL",Nozzle!$G$94:$G$185,"additional")</f>
        <v>0</v>
      </c>
      <c r="E38" s="488">
        <f>SUMIFS(Nozzle!$I$1:$I93,Nozzle!$A$1:$A$93,"C66SZX",Nozzle!$B$1:$B$93,"306",Nozzle!$F$1:$F$93,"ESEL",Nozzle!$H$1:$H$93,"Incoming",Nozzle!$G$1:$G$93,"additional")</f>
        <v>0</v>
      </c>
      <c r="F38" s="488">
        <f>SUMIFS(Nozzle!$I$1:$I93,Nozzle!$A$1:$A$93,"C66SZX",Nozzle!$B$1:$B$93,"306",Nozzle!$F$1:$F$93,"ESEL",Nozzle!$H$1:$H$93,"TBA",Nozzle!$G$1:$G$93,"additional")</f>
        <v>0</v>
      </c>
      <c r="G38" s="489">
        <f>SUMIFS(Nozzle!$P$94:$P$185,Nozzle!$A$94:$A$185,"C66SZX",Nozzle!$B$94:$B$185,"306",Nozzle!$F$94:$F$185,"ESEL")</f>
        <v>0</v>
      </c>
      <c r="H38" s="490">
        <v>0</v>
      </c>
      <c r="I38" s="491">
        <f t="shared" si="24"/>
        <v>0</v>
      </c>
      <c r="K38" s="473">
        <v>306</v>
      </c>
      <c r="L38" s="492">
        <f t="shared" si="25"/>
        <v>0</v>
      </c>
      <c r="M38" s="487">
        <f>SUMIFS(Nozzle!$I$1:$I93,Nozzle!$A$1:$A$93,"C66SHA",Nozzle!$B$1:$B$93,"306",Nozzle!$F$1:$F$93,"ESEL",Nozzle!$H$1:$H$93,"STK",Nozzle!$G$1:$G$93,"additional")</f>
        <v>0</v>
      </c>
      <c r="N38" s="487">
        <f>SUMIFS(Nozzle!$O$94:$O$185,Nozzle!$A$94:$A$185,"C66SHA",Nozzle!$B$94:$B$185,"306",Nozzle!$F$94:$F$185,"ESEL",Nozzle!$G$94:$G$185,"additional")</f>
        <v>0</v>
      </c>
      <c r="O38" s="488">
        <f>SUMIFS(Nozzle!$I$1:$I93,Nozzle!$A$1:$A$93,"C66SHA",Nozzle!$B$1:$B$93,"306",Nozzle!$F$1:$F$93,"ESEL",Nozzle!$H$1:$H$93,"Incoming",Nozzle!$G$1:$G$93,"additional")</f>
        <v>0</v>
      </c>
      <c r="P38" s="488">
        <f>SUMIFS(Nozzle!$I$1:$I93,Nozzle!$A$1:$A$93,"C66SHA",Nozzle!$B$1:$B$93,"306",Nozzle!$F$1:$F$93,"ESEL",Nozzle!$H$1:$H$93,"TBA",Nozzle!$G$1:$G$93,"additional")</f>
        <v>0</v>
      </c>
      <c r="Q38" s="489">
        <f>SUMIFS(Nozzle!$P$94:$P$185,Nozzle!$A$94:$A$185,"C66SHA",Nozzle!$B$94:$B$185,"306",Nozzle!$F$94:$F$185,"ESEL")</f>
        <v>0</v>
      </c>
      <c r="R38" s="490">
        <v>0</v>
      </c>
      <c r="S38" s="491">
        <f t="shared" si="22"/>
        <v>0</v>
      </c>
      <c r="T38" s="18"/>
      <c r="U38" s="473">
        <v>306</v>
      </c>
      <c r="V38" s="492">
        <f t="shared" si="26"/>
        <v>0</v>
      </c>
      <c r="W38" s="487">
        <f>SUMIFS(Nozzle!$I$1:$I93,Nozzle!$A$1:$A$93,"C66BJS",Nozzle!$B$1:$B$93,"306",Nozzle!$F$1:$F$93,"ESEL",Nozzle!$H$1:$H$93,"STK",Nozzle!$G$1:$G$93,"additional")</f>
        <v>0</v>
      </c>
      <c r="X38" s="487">
        <f>SUMIFS(Nozzle!$O$94:$O$185,Nozzle!$A$94:$A$185,"C66BJS",Nozzle!$B$94:$B$185,"306",Nozzle!$F$94:$F$185,"ESEL",Nozzle!$G$94:$G$185,"additional")</f>
        <v>0</v>
      </c>
      <c r="Y38" s="488">
        <f>SUMIFS(Nozzle!$I$1:$I93,Nozzle!$A$1:$A$93,"C66BJS",Nozzle!$B$1:$B$93,"306",Nozzle!$F$1:$F$93,"ESEL",Nozzle!$H$1:$H$93,"Incoming",Nozzle!$G$1:$G$93,"additional")</f>
        <v>0</v>
      </c>
      <c r="Z38" s="488">
        <f>SUMIFS(Nozzle!$I$1:$I93,Nozzle!$A$1:$A$93,"C66BJS",Nozzle!$B$1:$B$93,"306",Nozzle!$F$1:$F$93,"ESEL",Nozzle!$H$1:$H$93,"TBA",Nozzle!$G$1:$G$93,"additional")</f>
        <v>0</v>
      </c>
      <c r="AA38" s="489">
        <f>SUMIFS(Nozzle!$P$94:$P$185,Nozzle!$A$94:$A$185,"C66BJS",Nozzle!$B$94:$B$185,"306",Nozzle!$F$94:$F$185,"ESEL")</f>
        <v>0</v>
      </c>
      <c r="AB38" s="490">
        <v>0</v>
      </c>
      <c r="AC38" s="491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8">
      <c r="A39" s="473">
        <v>307</v>
      </c>
      <c r="B39" s="492">
        <f t="shared" si="23"/>
        <v>0</v>
      </c>
      <c r="C39" s="487">
        <f>SUMIFS(Nozzle!$I$1:$I93,Nozzle!$A$1:$A$93,"C66SZX",Nozzle!$B$1:$B$93,"307",Nozzle!$F$1:$F$93,"ESEL",Nozzle!$H$1:$H$93,"STK",Nozzle!$G$1:$G$93,"additional")</f>
        <v>0</v>
      </c>
      <c r="D39" s="487">
        <f>SUMIFS(Nozzle!$O$94:$O$185,Nozzle!$A$94:$A$185,"C66SZX",Nozzle!$B$94:$B$185,"307",Nozzle!$F$94:$F$185,"ESEL",Nozzle!$G$94:$G$185,"additional")</f>
        <v>0</v>
      </c>
      <c r="E39" s="488">
        <f>SUMIFS(Nozzle!$I$1:$I93,Nozzle!$A$1:$A$93,"C66SZX",Nozzle!$B$1:$B$93,"307",Nozzle!$F$1:$F$93,"ESEL",Nozzle!$H$1:$H$93,"Incoming",Nozzle!$G$1:$G$93,"additional")</f>
        <v>0</v>
      </c>
      <c r="F39" s="488">
        <f>SUMIFS(Nozzle!$I$1:$I93,Nozzle!$A$1:$A$93,"C66SZX",Nozzle!$B$1:$B$93,"307",Nozzle!$F$1:$F$93,"ESEL",Nozzle!$H$1:$H$93,"TBA",Nozzle!$G$1:$G$93,"additional")</f>
        <v>0</v>
      </c>
      <c r="G39" s="489">
        <f>SUMIFS(Nozzle!$P$94:$P$185,Nozzle!$A$94:$A$185,"C66SZX",Nozzle!$B$94:$B$185,"307",Nozzle!$F$94:$F$185,"ESEL")</f>
        <v>0</v>
      </c>
      <c r="H39" s="490">
        <v>0</v>
      </c>
      <c r="I39" s="491">
        <f t="shared" si="24"/>
        <v>0</v>
      </c>
      <c r="K39" s="473">
        <v>307</v>
      </c>
      <c r="L39" s="492">
        <f t="shared" si="25"/>
        <v>0</v>
      </c>
      <c r="M39" s="487">
        <f>SUMIFS(Nozzle!$I$1:$I93,Nozzle!$A$1:$A$93,"C66SHA",Nozzle!$B$1:$B$93,"307",Nozzle!$F$1:$F$93,"ESEL",Nozzle!$H$1:$H$93,"STK",Nozzle!$G$1:$G$93,"additional")</f>
        <v>0</v>
      </c>
      <c r="N39" s="487">
        <f>SUMIFS(Nozzle!$O$94:$O$185,Nozzle!$A$94:$A$185,"C66SHA",Nozzle!$B$94:$B$185,"307",Nozzle!$F$94:$F$185,"ESEL",Nozzle!$G$94:$G$185,"additional")</f>
        <v>0</v>
      </c>
      <c r="O39" s="488">
        <f>SUMIFS(Nozzle!$I$1:$I93,Nozzle!$A$1:$A$93,"C66SHA",Nozzle!$B$1:$B$93,"307",Nozzle!$F$1:$F$93,"ESEL",Nozzle!$H$1:$H$93,"Incoming",Nozzle!$G$1:$G$93,"additional")</f>
        <v>0</v>
      </c>
      <c r="P39" s="488">
        <f>SUMIFS(Nozzle!$I$1:$I93,Nozzle!$A$1:$A$93,"C66SHA",Nozzle!$B$1:$B$93,"307",Nozzle!$F$1:$F$93,"ESEL",Nozzle!$H$1:$H$93,"TBA",Nozzle!$G$1:$G$93,"additional")</f>
        <v>0</v>
      </c>
      <c r="Q39" s="489">
        <f>SUMIFS(Nozzle!$P$94:$P$185,Nozzle!$A$94:$A$185,"C66SHA",Nozzle!$B$94:$B$185,"307",Nozzle!$F$94:$F$185,"ESEL")</f>
        <v>0</v>
      </c>
      <c r="R39" s="490">
        <v>0</v>
      </c>
      <c r="S39" s="491">
        <f t="shared" si="22"/>
        <v>0</v>
      </c>
      <c r="T39" s="18"/>
      <c r="U39" s="473">
        <v>307</v>
      </c>
      <c r="V39" s="492">
        <f t="shared" si="26"/>
        <v>0</v>
      </c>
      <c r="W39" s="487">
        <f>SUMIFS(Nozzle!$I$1:$I93,Nozzle!$A$1:$A$93,"C66BJS",Nozzle!$B$1:$B$93,"307",Nozzle!$F$1:$F$93,"ESEL",Nozzle!$H$1:$H$93,"STK",Nozzle!$G$1:$G$93,"additional")</f>
        <v>0</v>
      </c>
      <c r="X39" s="487">
        <f>SUMIFS(Nozzle!$O$94:$O$185,Nozzle!$A$94:$A$185,"C66BJS",Nozzle!$B$94:$B$185,"307",Nozzle!$F$94:$F$185,"ESEL",Nozzle!$G$94:$G$185,"additional")</f>
        <v>0</v>
      </c>
      <c r="Y39" s="488">
        <f>SUMIFS(Nozzle!$I$1:$I93,Nozzle!$A$1:$A$93,"C66BJS",Nozzle!$B$1:$B$93,"307",Nozzle!$F$1:$F$93,"ESEL",Nozzle!$H$1:$H$93,"Incoming",Nozzle!$G$1:$G$93,"additional")</f>
        <v>0</v>
      </c>
      <c r="Z39" s="488">
        <f>SUMIFS(Nozzle!$I$1:$I93,Nozzle!$A$1:$A$93,"C66BJS",Nozzle!$B$1:$B$93,"307",Nozzle!$F$1:$F$93,"ESEL",Nozzle!$H$1:$H$93,"TBA",Nozzle!$G$1:$G$93,"additional")</f>
        <v>0</v>
      </c>
      <c r="AA39" s="489">
        <f>SUMIFS(Nozzle!$P$94:$P$185,Nozzle!$A$94:$A$185,"C66BJS",Nozzle!$B$94:$B$185,"307",Nozzle!$F$94:$F$185,"ESEL")</f>
        <v>0</v>
      </c>
      <c r="AB39" s="490">
        <v>0</v>
      </c>
      <c r="AC39" s="491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8">
      <c r="A40" s="473">
        <v>309</v>
      </c>
      <c r="B40" s="492">
        <f t="shared" si="23"/>
        <v>0</v>
      </c>
      <c r="C40" s="487">
        <f>SUMIFS(Nozzle!$I$1:$I93,Nozzle!$A$1:$A$93,"C66SZX",Nozzle!$B$1:$B$93,"309",Nozzle!$F$1:$F$93,"ESEL",Nozzle!$H$1:$H$93,"STK",Nozzle!$G$1:$G$93,"additional")</f>
        <v>0</v>
      </c>
      <c r="D40" s="487">
        <f>SUMIFS(Nozzle!$O$94:$O$185,Nozzle!$A$94:$A$185,"C66SZX",Nozzle!$B$94:$B$185,"309",Nozzle!$F$94:$F$185,"ESEL",Nozzle!$G$94:$G$185,"additional")</f>
        <v>0</v>
      </c>
      <c r="E40" s="488">
        <f>SUMIFS(Nozzle!$I$1:$I93,Nozzle!$A$1:$A$93,"C66SZX",Nozzle!$B$1:$B$93,"309",Nozzle!$F$1:$F$93,"ESEL",Nozzle!$H$1:$H$93,"Incoming",Nozzle!$G$1:$G$93,"additional")</f>
        <v>0</v>
      </c>
      <c r="F40" s="488">
        <f>SUMIFS(Nozzle!$I$1:$I93,Nozzle!$A$1:$A$93,"C66SZX",Nozzle!$B$1:$B$93,"309",Nozzle!$F$1:$F$93,"ESEL",Nozzle!$H$1:$H$93,"TBA",Nozzle!$G$1:$G$93,"additional")</f>
        <v>0</v>
      </c>
      <c r="G40" s="489">
        <f>SUMIFS(Nozzle!$P$94:$P$185,Nozzle!$A$94:$A$185,"C66SZX",Nozzle!$B$94:$B$185,"309",Nozzle!$F$94:$F$185,"ESEL")</f>
        <v>0</v>
      </c>
      <c r="H40" s="490">
        <v>0</v>
      </c>
      <c r="I40" s="491">
        <f t="shared" si="24"/>
        <v>0</v>
      </c>
      <c r="K40" s="473">
        <v>309</v>
      </c>
      <c r="L40" s="492">
        <f t="shared" si="25"/>
        <v>0</v>
      </c>
      <c r="M40" s="487">
        <f>SUMIFS(Nozzle!$I$1:$I93,Nozzle!$A$1:$A$93,"C66SHA",Nozzle!$B$1:$B$93,"309",Nozzle!$F$1:$F$93,"ESEL",Nozzle!$H$1:$H$93,"STK",Nozzle!$G$1:$G$93,"additional")</f>
        <v>0</v>
      </c>
      <c r="N40" s="487">
        <f>SUMIFS(Nozzle!$O$94:$O$185,Nozzle!$A$94:$A$185,"C66SHA",Nozzle!$B$94:$B$185,"309",Nozzle!$F$94:$F$185,"ESEL",Nozzle!$G$94:$G$185,"additional")</f>
        <v>0</v>
      </c>
      <c r="O40" s="488">
        <f>SUMIFS(Nozzle!$I$1:$I93,Nozzle!$A$1:$A$93,"C66SHA",Nozzle!$B$1:$B$93,"309",Nozzle!$F$1:$F$93,"ESEL",Nozzle!$H$1:$H$93,"Incoming",Nozzle!$G$1:$G$93,"additional")</f>
        <v>0</v>
      </c>
      <c r="P40" s="488">
        <f>SUMIFS(Nozzle!$I$1:$I93,Nozzle!$A$1:$A$93,"C66SHA",Nozzle!$B$1:$B$93,"309",Nozzle!$F$1:$F$93,"ESEL",Nozzle!$H$1:$H$93,"TBA",Nozzle!$G$1:$G$93,"additional")</f>
        <v>0</v>
      </c>
      <c r="Q40" s="489">
        <f>SUMIFS(Nozzle!$P$94:$P$185,Nozzle!$A$94:$A$185,"C66SHA",Nozzle!$B$94:$B$185,"309",Nozzle!$F$94:$F$185,"ESEL")</f>
        <v>0</v>
      </c>
      <c r="R40" s="490">
        <v>0</v>
      </c>
      <c r="S40" s="491">
        <f t="shared" si="22"/>
        <v>0</v>
      </c>
      <c r="T40" s="18"/>
      <c r="U40" s="473">
        <v>309</v>
      </c>
      <c r="V40" s="492">
        <f t="shared" si="26"/>
        <v>0</v>
      </c>
      <c r="W40" s="487">
        <f>SUMIFS(Nozzle!$I$1:$I93,Nozzle!$A$1:$A$93,"C66BJS",Nozzle!$B$1:$B$93,"309",Nozzle!$F$1:$F$93,"ESEL",Nozzle!$H$1:$H$93,"STK",Nozzle!$G$1:$G$93,"additional")</f>
        <v>0</v>
      </c>
      <c r="X40" s="487">
        <f>SUMIFS(Nozzle!$O$94:$O$185,Nozzle!$A$94:$A$185,"C66BJS",Nozzle!$B$94:$B$185,"309",Nozzle!$F$94:$F$185,"ESEL",Nozzle!$G$94:$G$185,"additional")</f>
        <v>0</v>
      </c>
      <c r="Y40" s="488">
        <f>SUMIFS(Nozzle!$I$1:$I93,Nozzle!$A$1:$A$93,"C66BJS",Nozzle!$B$1:$B$93,"309",Nozzle!$F$1:$F$93,"ESEL",Nozzle!$H$1:$H$93,"Incoming",Nozzle!$G$1:$G$93,"additional")</f>
        <v>0</v>
      </c>
      <c r="Z40" s="488">
        <f>SUMIFS(Nozzle!$I$1:$I93,Nozzle!$A$1:$A$93,"C66BJS",Nozzle!$B$1:$B$93,"309",Nozzle!$F$1:$F$93,"ESEL",Nozzle!$H$1:$H$93,"TBA",Nozzle!$G$1:$G$93,"additional")</f>
        <v>0</v>
      </c>
      <c r="AA40" s="489">
        <f>SUMIFS(Nozzle!$P$94:$P$185,Nozzle!$A$94:$A$185,"C66BJS",Nozzle!$B$94:$B$185,"309",Nozzle!$F$94:$F$185,"ESEL")</f>
        <v>0</v>
      </c>
      <c r="AB40" s="490">
        <v>0</v>
      </c>
      <c r="AC40" s="491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8">
      <c r="A41" s="473">
        <v>310</v>
      </c>
      <c r="B41" s="492">
        <f t="shared" si="23"/>
        <v>0</v>
      </c>
      <c r="C41" s="487">
        <f>SUMIFS(Nozzle!$I$1:$I93,Nozzle!$A$1:$A$93,"C66SZX",Nozzle!$B$1:$B$93,"310",Nozzle!$F$1:$F$93,"ESEL",Nozzle!$H$1:$H$93,"STK",Nozzle!$G$1:$G$93,"additional")</f>
        <v>0</v>
      </c>
      <c r="D41" s="487">
        <f>SUMIFS(Nozzle!$O$94:$O$185,Nozzle!$A$94:$A$185,"C66SZX",Nozzle!$B$94:$B$185,"310",Nozzle!$F$94:$F$185,"ESEL",Nozzle!$G$94:$G$185,"additional")</f>
        <v>0</v>
      </c>
      <c r="E41" s="488">
        <f>SUMIFS(Nozzle!$I$1:$I93,Nozzle!$A$1:$A$93,"C66SZX",Nozzle!$B$1:$B$93,"310",Nozzle!$F$1:$F$93,"ESEL",Nozzle!$H$1:$H$93,"Incoming",Nozzle!$G$1:$G$93,"additional")</f>
        <v>0</v>
      </c>
      <c r="F41" s="488">
        <f>SUMIFS(Nozzle!$I$1:$I93,Nozzle!$A$1:$A$93,"C66SZX",Nozzle!$B$1:$B$93,"310",Nozzle!$F$1:$F$93,"ESEL",Nozzle!$H$1:$H$93,"TBA",Nozzle!$G$1:$G$93,"additional")</f>
        <v>0</v>
      </c>
      <c r="G41" s="489">
        <f>SUMIFS(Nozzle!$P$94:$P$185,Nozzle!$A$94:$A$185,"C66SZX",Nozzle!$B$94:$B$185,"310",Nozzle!$F$94:$F$185,"ESEL")</f>
        <v>0</v>
      </c>
      <c r="H41" s="490">
        <v>0</v>
      </c>
      <c r="I41" s="491">
        <f t="shared" si="24"/>
        <v>0</v>
      </c>
      <c r="K41" s="473">
        <v>310</v>
      </c>
      <c r="L41" s="492">
        <f t="shared" si="25"/>
        <v>0</v>
      </c>
      <c r="M41" s="487">
        <f>SUMIFS(Nozzle!$I$1:$I93,Nozzle!$A$1:$A$93,"C66SHA",Nozzle!$B$1:$B$93,"310",Nozzle!$F$1:$F$93,"ESEL",Nozzle!$H$1:$H$93,"STK",Nozzle!$G$1:$G$93,"additional")</f>
        <v>0</v>
      </c>
      <c r="N41" s="487">
        <f>SUMIFS(Nozzle!$O$94:$O$185,Nozzle!$A$94:$A$185,"C66SHA",Nozzle!$B$94:$B$185,"310",Nozzle!$F$94:$F$185,"ESEL",Nozzle!$G$94:$G$185,"additional")</f>
        <v>0</v>
      </c>
      <c r="O41" s="488">
        <f>SUMIFS(Nozzle!$I$1:$I93,Nozzle!$A$1:$A$93,"C66SHA",Nozzle!$B$1:$B$93,"310",Nozzle!$F$1:$F$93,"ESEL",Nozzle!$H$1:$H$93,"Incoming",Nozzle!$G$1:$G$93,"additional")</f>
        <v>0</v>
      </c>
      <c r="P41" s="488">
        <f>SUMIFS(Nozzle!$I$1:$I93,Nozzle!$A$1:$A$93,"C66SHA",Nozzle!$B$1:$B$93,"310",Nozzle!$F$1:$F$93,"ESEL",Nozzle!$H$1:$H$93,"TBA",Nozzle!$G$1:$G$93,"additional")</f>
        <v>0</v>
      </c>
      <c r="Q41" s="489">
        <f>SUMIFS(Nozzle!$P$94:$P$185,Nozzle!$A$94:$A$185,"C66SHA",Nozzle!$B$94:$B$185,"310",Nozzle!$F$94:$F$185,"ESEL")</f>
        <v>0</v>
      </c>
      <c r="R41" s="490">
        <v>0</v>
      </c>
      <c r="S41" s="491">
        <f t="shared" si="22"/>
        <v>0</v>
      </c>
      <c r="T41" s="18"/>
      <c r="U41" s="473">
        <v>310</v>
      </c>
      <c r="V41" s="492">
        <f t="shared" si="26"/>
        <v>0</v>
      </c>
      <c r="W41" s="487">
        <f>SUMIFS(Nozzle!$I$1:$I93,Nozzle!$A$1:$A$93,"C66BJS",Nozzle!$B$1:$B$93,"310",Nozzle!$F$1:$F$93,"ESEL",Nozzle!$H$1:$H$93,"STK",Nozzle!$G$1:$G$93,"additional")</f>
        <v>0</v>
      </c>
      <c r="X41" s="487">
        <f>SUMIFS(Nozzle!$O$94:$O$185,Nozzle!$A$94:$A$185,"C66BJS",Nozzle!$B$94:$B$185,"310",Nozzle!$F$94:$F$185,"ESEL",Nozzle!$G$94:$G$185,"additional")</f>
        <v>0</v>
      </c>
      <c r="Y41" s="488">
        <f>SUMIFS(Nozzle!$I$1:$I93,Nozzle!$A$1:$A$93,"C66BJS",Nozzle!$B$1:$B$93,"310",Nozzle!$F$1:$F$93,"ESEL",Nozzle!$H$1:$H$93,"Incoming",Nozzle!$G$1:$G$93,"additional")</f>
        <v>0</v>
      </c>
      <c r="Z41" s="488">
        <f>SUMIFS(Nozzle!$I$1:$I93,Nozzle!$A$1:$A$93,"C66BJS",Nozzle!$B$1:$B$93,"310",Nozzle!$F$1:$F$93,"ESEL",Nozzle!$H$1:$H$93,"TBA",Nozzle!$G$1:$G$93,"additional")</f>
        <v>0</v>
      </c>
      <c r="AA41" s="489">
        <f>SUMIFS(Nozzle!$P$94:$P$185,Nozzle!$A$94:$A$185,"C66BJS",Nozzle!$B$94:$B$185,"310",Nozzle!$F$94:$F$185,"ESEL")</f>
        <v>0</v>
      </c>
      <c r="AB41" s="490">
        <v>0</v>
      </c>
      <c r="AC41" s="491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8">
      <c r="A42" s="473">
        <v>311</v>
      </c>
      <c r="B42" s="492">
        <f t="shared" si="23"/>
        <v>-10</v>
      </c>
      <c r="C42" s="487">
        <f>SUMIFS(Nozzle!$I$1:$I93,Nozzle!$A$1:$A$93,"C66SZX",Nozzle!$B$1:$B$93,"311",Nozzle!$F$1:$F$93,"ESEL",Nozzle!$H$1:$H$93,"STK",Nozzle!$G$1:$G$93,"additional")</f>
        <v>0</v>
      </c>
      <c r="D42" s="487">
        <f>SUMIFS(Nozzle!$O$94:$O$185,Nozzle!$A$94:$A$185,"C66SZX",Nozzle!$B$94:$B$185,"311",Nozzle!$F$94:$F$185,"ESEL",Nozzle!$G$94:$G$185,"additional")</f>
        <v>10</v>
      </c>
      <c r="E42" s="488">
        <f>SUMIFS(Nozzle!$I$1:$I93,Nozzle!$A$1:$A$93,"C66SZX",Nozzle!$B$1:$B$93,"311",Nozzle!$F$1:$F$93,"ESEL",Nozzle!$H$1:$H$93,"Incoming",Nozzle!$G$1:$G$93,"additional")</f>
        <v>0</v>
      </c>
      <c r="F42" s="488">
        <f>SUMIFS(Nozzle!$I$1:$I93,Nozzle!$A$1:$A$93,"C66SZX",Nozzle!$B$1:$B$93,"311",Nozzle!$F$1:$F$93,"ESEL",Nozzle!$H$1:$H$93,"TBA",Nozzle!$G$1:$G$93,"additional")</f>
        <v>0</v>
      </c>
      <c r="G42" s="489">
        <f>SUMIFS(Nozzle!$P$94:$P$185,Nozzle!$A$94:$A$185,"C66SZX",Nozzle!$B$94:$B$185,"311",Nozzle!$F$94:$F$185,"ESEL")</f>
        <v>0</v>
      </c>
      <c r="H42" s="490">
        <v>10</v>
      </c>
      <c r="I42" s="491">
        <f t="shared" si="24"/>
        <v>-20</v>
      </c>
      <c r="K42" s="473">
        <v>311</v>
      </c>
      <c r="L42" s="492">
        <f t="shared" si="25"/>
        <v>0</v>
      </c>
      <c r="M42" s="487">
        <f>SUMIFS(Nozzle!$I$1:$I93,Nozzle!$A$1:$A$93,"C66SHA",Nozzle!$B$1:$B$93,"311",Nozzle!$F$1:$F$93,"ESEL",Nozzle!$H$1:$H$93,"STK",Nozzle!$G$1:$G$93,"additional")</f>
        <v>0</v>
      </c>
      <c r="N42" s="487">
        <f>SUMIFS(Nozzle!$O$94:$O$185,Nozzle!$A$94:$A$185,"C66SHA",Nozzle!$B$94:$B$185,"311",Nozzle!$F$94:$F$185,"ESEL",Nozzle!$G$94:$G$185,"additional")</f>
        <v>0</v>
      </c>
      <c r="O42" s="488">
        <f>SUMIFS(Nozzle!$I$1:$I93,Nozzle!$A$1:$A$93,"C66SHA",Nozzle!$B$1:$B$93,"311",Nozzle!$F$1:$F$93,"ESEL",Nozzle!$H$1:$H$93,"Incoming",Nozzle!$G$1:$G$93,"additional")</f>
        <v>0</v>
      </c>
      <c r="P42" s="488">
        <f>SUMIFS(Nozzle!$I$1:$I93,Nozzle!$A$1:$A$93,"C66SHA",Nozzle!$B$1:$B$93,"311",Nozzle!$F$1:$F$93,"ESEL",Nozzle!$H$1:$H$93,"TBA",Nozzle!$G$1:$G$93,"additional")</f>
        <v>0</v>
      </c>
      <c r="Q42" s="489">
        <f>SUMIFS(Nozzle!$P$94:$P$185,Nozzle!$A$94:$A$185,"C66SHA",Nozzle!$B$94:$B$185,"311",Nozzle!$F$94:$F$185,"ESEL")</f>
        <v>0</v>
      </c>
      <c r="R42" s="490">
        <v>0</v>
      </c>
      <c r="S42" s="491">
        <f t="shared" si="22"/>
        <v>0</v>
      </c>
      <c r="T42" s="18"/>
      <c r="U42" s="473">
        <v>311</v>
      </c>
      <c r="V42" s="492">
        <f t="shared" si="26"/>
        <v>0</v>
      </c>
      <c r="W42" s="487">
        <f>SUMIFS(Nozzle!$I$1:$I93,Nozzle!$A$1:$A$93,"C66BJS",Nozzle!$B$1:$B$93,"311",Nozzle!$F$1:$F$93,"ESEL",Nozzle!$H$1:$H$93,"STK",Nozzle!$G$1:$G$93,"additional")</f>
        <v>0</v>
      </c>
      <c r="X42" s="487">
        <f>SUMIFS(Nozzle!$O$94:$O$185,Nozzle!$A$94:$A$185,"C66BJS",Nozzle!$B$94:$B$185,"311",Nozzle!$F$94:$F$185,"ESEL",Nozzle!$G$94:$G$185,"additional")</f>
        <v>0</v>
      </c>
      <c r="Y42" s="488">
        <f>SUMIFS(Nozzle!$I$1:$I93,Nozzle!$A$1:$A$93,"C66BJS",Nozzle!$B$1:$B$93,"311",Nozzle!$F$1:$F$93,"ESEL",Nozzle!$H$1:$H$93,"Incoming",Nozzle!$G$1:$G$93,"additional")</f>
        <v>0</v>
      </c>
      <c r="Z42" s="488">
        <f>SUMIFS(Nozzle!$I$1:$I93,Nozzle!$A$1:$A$93,"C66BJS",Nozzle!$B$1:$B$93,"311",Nozzle!$F$1:$F$93,"ESEL",Nozzle!$H$1:$H$93,"TBA",Nozzle!$G$1:$G$93,"additional")</f>
        <v>0</v>
      </c>
      <c r="AA42" s="489">
        <f>SUMIFS(Nozzle!$P$94:$P$185,Nozzle!$A$94:$A$185,"C66BJS",Nozzle!$B$94:$B$185,"311",Nozzle!$F$94:$F$185,"ESEL")</f>
        <v>0</v>
      </c>
      <c r="AB42" s="490">
        <v>0</v>
      </c>
      <c r="AC42" s="491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8">
      <c r="A43" s="473">
        <v>312</v>
      </c>
      <c r="B43" s="492">
        <f t="shared" si="23"/>
        <v>0</v>
      </c>
      <c r="C43" s="487">
        <f>SUMIFS(Nozzle!$I$1:$I93,Nozzle!$A$1:$A$93,"C66SZX",Nozzle!$B$1:$B$93,"312",Nozzle!$F$1:$F$93,"ESEL",Nozzle!$H$1:$H$93,"STK",Nozzle!$G$1:$G$93,"additional")</f>
        <v>0</v>
      </c>
      <c r="D43" s="487">
        <f>SUMIFS(Nozzle!$O$94:$O$185,Nozzle!$A$94:$A$185,"C66SZX",Nozzle!$B$94:$B$185,"312",Nozzle!$F$94:$F$185,"ESEL",Nozzle!$G$94:$G$185,"additional")</f>
        <v>0</v>
      </c>
      <c r="E43" s="488">
        <f>SUMIFS(Nozzle!$I$1:$I93,Nozzle!$A$1:$A$93,"C66SZX",Nozzle!$B$1:$B$93,"312",Nozzle!$F$1:$F$93,"ESEL",Nozzle!$H$1:$H$93,"Incoming",Nozzle!$G$1:$G$93,"additional")</f>
        <v>0</v>
      </c>
      <c r="F43" s="488">
        <f>SUMIFS(Nozzle!$I$1:$I93,Nozzle!$A$1:$A$93,"C66SZX",Nozzle!$B$1:$B$93,"312",Nozzle!$F$1:$F$93,"ESEL",Nozzle!$H$1:$H$93,"TBA",Nozzle!$G$1:$G$93,"additional")</f>
        <v>0</v>
      </c>
      <c r="G43" s="489">
        <f>SUMIFS(Nozzle!$P$94:$P$185,Nozzle!$A$94:$A$185,"C66SZX",Nozzle!$B$94:$B$185,"312",Nozzle!$F$94:$F$185,"ESEL")</f>
        <v>0</v>
      </c>
      <c r="H43" s="490">
        <v>10</v>
      </c>
      <c r="I43" s="491">
        <f t="shared" si="24"/>
        <v>-10</v>
      </c>
      <c r="K43" s="473">
        <v>312</v>
      </c>
      <c r="L43" s="492">
        <f t="shared" si="25"/>
        <v>0</v>
      </c>
      <c r="M43" s="487">
        <f>SUMIFS(Nozzle!$I$1:$I93,Nozzle!$A$1:$A$93,"C66SHA",Nozzle!$B$1:$B$93,"312",Nozzle!$F$1:$F$93,"ESEL",Nozzle!$H$1:$H$93,"STK",Nozzle!$G$1:$G$93,"additional")</f>
        <v>0</v>
      </c>
      <c r="N43" s="487">
        <f>SUMIFS(Nozzle!$O$94:$O$185,Nozzle!$A$94:$A$185,"C66SHA",Nozzle!$B$94:$B$185,"312",Nozzle!$F$94:$F$185,"ESEL",Nozzle!$G$94:$G$185,"additional")</f>
        <v>0</v>
      </c>
      <c r="O43" s="488">
        <f>SUMIFS(Nozzle!$I$1:$I93,Nozzle!$A$1:$A$93,"C66SHA",Nozzle!$B$1:$B$93,"312",Nozzle!$F$1:$F$93,"ESEL",Nozzle!$H$1:$H$93,"Incoming",Nozzle!$G$1:$G$93,"additional")</f>
        <v>0</v>
      </c>
      <c r="P43" s="488">
        <f>SUMIFS(Nozzle!$I$1:$I93,Nozzle!$A$1:$A$93,"C66SHA",Nozzle!$B$1:$B$93,"312",Nozzle!$F$1:$F$93,"ESEL",Nozzle!$H$1:$H$93,"TBA",Nozzle!$G$1:$G$93,"additional")</f>
        <v>0</v>
      </c>
      <c r="Q43" s="489">
        <f>SUMIFS(Nozzle!$P$94:$P$185,Nozzle!$A$94:$A$185,"C66SHA",Nozzle!$B$94:$B$185,"312",Nozzle!$F$94:$F$185,"ESEL")</f>
        <v>0</v>
      </c>
      <c r="R43" s="490">
        <v>0</v>
      </c>
      <c r="S43" s="491">
        <f t="shared" si="22"/>
        <v>0</v>
      </c>
      <c r="T43" s="18"/>
      <c r="U43" s="473">
        <v>312</v>
      </c>
      <c r="V43" s="492">
        <f t="shared" si="26"/>
        <v>0</v>
      </c>
      <c r="W43" s="487">
        <f>SUMIFS(Nozzle!$I$1:$I93,Nozzle!$A$1:$A$93,"C66BJS",Nozzle!$B$1:$B$93,"312",Nozzle!$F$1:$F$93,"ESEL",Nozzle!$H$1:$H$93,"STK",Nozzle!$G$1:$G$93,"additional")</f>
        <v>0</v>
      </c>
      <c r="X43" s="487">
        <f>SUMIFS(Nozzle!$O$94:$O$185,Nozzle!$A$94:$A$185,"C66BJS",Nozzle!$B$94:$B$185,"312",Nozzle!$F$94:$F$185,"ESEL",Nozzle!$G$94:$G$185,"additional")</f>
        <v>0</v>
      </c>
      <c r="Y43" s="488">
        <f>SUMIFS(Nozzle!$I$1:$I93,Nozzle!$A$1:$A$93,"C66BJS",Nozzle!$B$1:$B$93,"312",Nozzle!$F$1:$F$93,"ESEL",Nozzle!$H$1:$H$93,"Incoming",Nozzle!$G$1:$G$93,"additional")</f>
        <v>0</v>
      </c>
      <c r="Z43" s="488">
        <f>SUMIFS(Nozzle!$I$1:$I93,Nozzle!$A$1:$A$93,"C66BJS",Nozzle!$B$1:$B$93,"312",Nozzle!$F$1:$F$93,"ESEL",Nozzle!$H$1:$H$93,"TBA",Nozzle!$G$1:$G$93,"additional")</f>
        <v>0</v>
      </c>
      <c r="AA43" s="489">
        <f>SUMIFS(Nozzle!$P$94:$P$185,Nozzle!$A$94:$A$185,"C66BJS",Nozzle!$B$94:$B$185,"312",Nozzle!$F$94:$F$185,"ESEL")</f>
        <v>0</v>
      </c>
      <c r="AB43" s="490">
        <v>0</v>
      </c>
      <c r="AC43" s="491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8">
      <c r="A44" s="473">
        <v>313</v>
      </c>
      <c r="B44" s="492">
        <f t="shared" si="23"/>
        <v>0</v>
      </c>
      <c r="C44" s="487">
        <f>SUMIFS(Nozzle!$I$1:$I93,Nozzle!$A$1:$A$93,"C66SZX",Nozzle!$B$1:$B$93,"313",Nozzle!$F$1:$F$93,"ESEL",Nozzle!$H$1:$H$93,"STK",Nozzle!$G$1:$G$93,"additional")</f>
        <v>0</v>
      </c>
      <c r="D44" s="487">
        <f>SUMIFS(Nozzle!$O$94:$O$185,Nozzle!$A$94:$A$185,"C66SZX",Nozzle!$B$94:$B$185,"313",Nozzle!$F$94:$F$185,"ESEL",Nozzle!$G$94:$G$185,"additional")</f>
        <v>0</v>
      </c>
      <c r="E44" s="488">
        <f>SUMIFS(Nozzle!$I$1:$I93,Nozzle!$A$1:$A$93,"C66SZX",Nozzle!$B$1:$B$93,"313",Nozzle!$F$1:$F$93,"ESEL",Nozzle!$H$1:$H$93,"Incoming",Nozzle!$G$1:$G$93,"additional")</f>
        <v>0</v>
      </c>
      <c r="F44" s="488">
        <f>SUMIFS(Nozzle!$I$1:$I93,Nozzle!$A$1:$A$93,"C66SZX",Nozzle!$B$1:$B$93,"313",Nozzle!$F$1:$F$93,"ESEL",Nozzle!$H$1:$H$93,"TBA",Nozzle!$G$1:$G$93,"additional")</f>
        <v>0</v>
      </c>
      <c r="G44" s="489">
        <f>SUMIFS(Nozzle!$P$94:$P$185,Nozzle!$A$94:$A$185,"C66SZX",Nozzle!$B$94:$B$185,"313",Nozzle!$F$94:$F$185,"ESEL")</f>
        <v>0</v>
      </c>
      <c r="H44" s="490">
        <v>5</v>
      </c>
      <c r="I44" s="491">
        <f t="shared" si="24"/>
        <v>-5</v>
      </c>
      <c r="K44" s="473">
        <v>313</v>
      </c>
      <c r="L44" s="492">
        <f t="shared" si="25"/>
        <v>0</v>
      </c>
      <c r="M44" s="487">
        <f>SUMIFS(Nozzle!$I$1:$I93,Nozzle!$A$1:$A$93,"C66SHA",Nozzle!$B$1:$B$93,"313",Nozzle!$F$1:$F$93,"ESEL",Nozzle!$H$1:$H$93,"STK",Nozzle!$G$1:$G$93,"additional")</f>
        <v>0</v>
      </c>
      <c r="N44" s="487">
        <f>SUMIFS(Nozzle!$O$94:$O$185,Nozzle!$A$94:$A$185,"C66SHA",Nozzle!$B$94:$B$185,"313",Nozzle!$F$94:$F$185,"ESEL",Nozzle!$G$94:$G$185,"additional")</f>
        <v>0</v>
      </c>
      <c r="O44" s="488">
        <f>SUMIFS(Nozzle!$I$1:$I93,Nozzle!$A$1:$A$93,"C66SHA",Nozzle!$B$1:$B$93,"313",Nozzle!$F$1:$F$93,"ESEL",Nozzle!$H$1:$H$93,"Incoming",Nozzle!$G$1:$G$93,"additional")</f>
        <v>0</v>
      </c>
      <c r="P44" s="488">
        <f>SUMIFS(Nozzle!$I$1:$I93,Nozzle!$A$1:$A$93,"C66SHA",Nozzle!$B$1:$B$93,"313",Nozzle!$F$1:$F$93,"ESEL",Nozzle!$H$1:$H$93,"TBA",Nozzle!$G$1:$G$93,"additional")</f>
        <v>0</v>
      </c>
      <c r="Q44" s="489">
        <f>SUMIFS(Nozzle!$P$94:$P$185,Nozzle!$A$94:$A$185,"C66SHA",Nozzle!$B$94:$B$185,"313",Nozzle!$F$94:$F$185,"ESEL")</f>
        <v>0</v>
      </c>
      <c r="R44" s="490">
        <v>0</v>
      </c>
      <c r="S44" s="491">
        <f t="shared" si="22"/>
        <v>0</v>
      </c>
      <c r="T44" s="18"/>
      <c r="U44" s="473">
        <v>313</v>
      </c>
      <c r="V44" s="492">
        <f t="shared" si="26"/>
        <v>0</v>
      </c>
      <c r="W44" s="487">
        <f>SUMIFS(Nozzle!$I$1:$I93,Nozzle!$A$1:$A$93,"C66BJS",Nozzle!$B$1:$B$93,"313",Nozzle!$F$1:$F$93,"ESEL",Nozzle!$H$1:$H$93,"STK",Nozzle!$G$1:$G$93,"additional")</f>
        <v>0</v>
      </c>
      <c r="X44" s="487">
        <f>SUMIFS(Nozzle!$O$94:$O$185,Nozzle!$A$94:$A$185,"C66BJS",Nozzle!$B$94:$B$185,"313",Nozzle!$F$94:$F$185,"ESEL",Nozzle!$G$94:$G$185,"additional")</f>
        <v>0</v>
      </c>
      <c r="Y44" s="488">
        <f>SUMIFS(Nozzle!$I$1:$I93,Nozzle!$A$1:$A$93,"C66BJS",Nozzle!$B$1:$B$93,"313",Nozzle!$F$1:$F$93,"ESEL",Nozzle!$H$1:$H$93,"Incoming",Nozzle!$G$1:$G$93,"additional")</f>
        <v>0</v>
      </c>
      <c r="Z44" s="488">
        <f>SUMIFS(Nozzle!$I$1:$I93,Nozzle!$A$1:$A$93,"C66BJS",Nozzle!$B$1:$B$93,"313",Nozzle!$F$1:$F$93,"ESEL",Nozzle!$H$1:$H$93,"TBA",Nozzle!$G$1:$G$93,"additional")</f>
        <v>0</v>
      </c>
      <c r="AA44" s="489">
        <f>SUMIFS(Nozzle!$P$94:$P$185,Nozzle!$A$94:$A$185,"C66BJS",Nozzle!$B$94:$B$185,"313",Nozzle!$F$94:$F$185,"ESEL")</f>
        <v>0</v>
      </c>
      <c r="AB44" s="490">
        <v>0</v>
      </c>
      <c r="AC44" s="491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8">
      <c r="A45" s="473">
        <v>7202</v>
      </c>
      <c r="B45" s="492">
        <f t="shared" si="23"/>
        <v>0</v>
      </c>
      <c r="C45" s="487">
        <f>SUMIFS(Nozzle!$I$1:$I93,Nozzle!$A$1:$A$93,"C66SZX",Nozzle!$B$1:$B$93,"7202",Nozzle!$F$1:$F$93,"ESEL",Nozzle!$H$1:$H$93,"STK",Nozzle!$G$1:$G$93,"additional")</f>
        <v>0</v>
      </c>
      <c r="D45" s="487">
        <f>SUMIFS(Nozzle!$O$94:$O$185,Nozzle!$A$94:$A$185,"C66SZX",Nozzle!$B$94:$B$185,"7202",Nozzle!$F$94:$F$185,"ESEL",Nozzle!$G$94:$G$185,"additional")</f>
        <v>0</v>
      </c>
      <c r="E45" s="488">
        <f>SUMIFS(Nozzle!$I$1:$I93,Nozzle!$A$1:$A$93,"C66SZX",Nozzle!$B$1:$B$93,"7202",Nozzle!$F$1:$F$93,"ESEL",Nozzle!$H$1:$H$93,"Incoming",Nozzle!$G$1:$G$93,"additional")</f>
        <v>0</v>
      </c>
      <c r="F45" s="488">
        <f>SUMIFS(Nozzle!$I$1:$I93,Nozzle!$A$1:$A$93,"C66SZX",Nozzle!$B$1:$B$93,"7202",Nozzle!$F$1:$F$93,"ESEL",Nozzle!$H$1:$H$93,"TBA",Nozzle!$G$1:$G$93,"additional")</f>
        <v>0</v>
      </c>
      <c r="G45" s="489">
        <f>SUMIFS(Nozzle!$P$94:$P$185,Nozzle!$A$94:$A$185,"C66SZX",Nozzle!$B$94:$B$185,"7202",Nozzle!$F$94:$F$185,"ESEL")</f>
        <v>0</v>
      </c>
      <c r="H45" s="490">
        <v>0</v>
      </c>
      <c r="I45" s="491">
        <f t="shared" si="24"/>
        <v>0</v>
      </c>
      <c r="K45" s="473">
        <v>7202</v>
      </c>
      <c r="L45" s="492">
        <f t="shared" si="25"/>
        <v>0</v>
      </c>
      <c r="M45" s="487">
        <f>SUMIFS(Nozzle!$I$1:$I93,Nozzle!$A$1:$A$93,"C66SHA",Nozzle!$B$1:$B$93,"7202",Nozzle!$F$1:$F$93,"ESEL",Nozzle!$H$1:$H$93,"STK",Nozzle!$G$1:$G$93,"additional")</f>
        <v>0</v>
      </c>
      <c r="N45" s="487">
        <f>SUMIFS(Nozzle!$O$94:$O$185,Nozzle!$A$94:$A$185,"C66SHA",Nozzle!$B$94:$B$185,"7202",Nozzle!$F$94:$F$185,"ESEL",Nozzle!$G$94:$G$185,"additional")</f>
        <v>0</v>
      </c>
      <c r="O45" s="488">
        <f>SUMIFS(Nozzle!$I$1:$I93,Nozzle!$A$1:$A$93,"C66SHA",Nozzle!$B$1:$B$93,"7202",Nozzle!$F$1:$F$93,"ESEL",Nozzle!$H$1:$H$93,"Incoming",Nozzle!$G$1:$G$93,"additional")</f>
        <v>0</v>
      </c>
      <c r="P45" s="488">
        <f>SUMIFS(Nozzle!$I$1:$I93,Nozzle!$A$1:$A$93,"C66SHA",Nozzle!$B$1:$B$93,"7202",Nozzle!$F$1:$F$93,"ESEL",Nozzle!$H$1:$H$93,"TBA",Nozzle!$G$1:$G$93,"additional")</f>
        <v>0</v>
      </c>
      <c r="Q45" s="489">
        <f>SUMIFS(Nozzle!$P$94:$P$185,Nozzle!$A$94:$A$185,"C66SHA",Nozzle!$B$94:$B$185,"7202",Nozzle!$F$94:$F$185,"ESEL")</f>
        <v>0</v>
      </c>
      <c r="R45" s="490">
        <v>0</v>
      </c>
      <c r="S45" s="491">
        <f t="shared" si="22"/>
        <v>0</v>
      </c>
      <c r="T45" s="18"/>
      <c r="U45" s="473">
        <v>7202</v>
      </c>
      <c r="V45" s="492">
        <f t="shared" si="26"/>
        <v>0</v>
      </c>
      <c r="W45" s="487">
        <f>SUMIFS(Nozzle!$I$1:$I93,Nozzle!$A$1:$A$93,"C66BJS",Nozzle!$B$1:$B$93,"7202",Nozzle!$F$1:$F$93,"ESEL",Nozzle!$H$1:$H$93,"STK",Nozzle!$G$1:$G$93,"additional")</f>
        <v>0</v>
      </c>
      <c r="X45" s="487">
        <f>SUMIFS(Nozzle!$O$94:$O$185,Nozzle!$A$94:$A$185,"C66BJS",Nozzle!$B$94:$B$185,"7202",Nozzle!$F$94:$F$185,"ESEL",Nozzle!$G$94:$G$185,"additional")</f>
        <v>0</v>
      </c>
      <c r="Y45" s="488">
        <f>SUMIFS(Nozzle!$I$1:$I93,Nozzle!$A$1:$A$93,"C66BJS",Nozzle!$B$1:$B$93,"7202",Nozzle!$F$1:$F$93,"ESEL",Nozzle!$H$1:$H$93,"Incoming",Nozzle!$G$1:$G$93,"additional")</f>
        <v>0</v>
      </c>
      <c r="Z45" s="488">
        <f>SUMIFS(Nozzle!$I$1:$I93,Nozzle!$A$1:$A$93,"C66BJS",Nozzle!$B$1:$B$93,"7202",Nozzle!$F$1:$F$93,"ESEL",Nozzle!$H$1:$H$93,"TBA",Nozzle!$G$1:$G$93,"additional")</f>
        <v>0</v>
      </c>
      <c r="AA45" s="489">
        <f>SUMIFS(Nozzle!$P$94:$P$185,Nozzle!$A$94:$A$185,"C66BJS",Nozzle!$B$94:$B$185,"7202",Nozzle!$F$94:$F$185,"ESEL")</f>
        <v>0</v>
      </c>
      <c r="AB45" s="490">
        <v>0</v>
      </c>
      <c r="AC45" s="491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8">
      <c r="A46" s="473">
        <v>7203</v>
      </c>
      <c r="B46" s="492">
        <f t="shared" si="23"/>
        <v>0</v>
      </c>
      <c r="C46" s="487">
        <f>SUMIFS(Nozzle!$I$1:$I93,Nozzle!$A$1:$A$93,"C66SZX",Nozzle!$B$1:$B$93,"7203",Nozzle!$F$1:$F$93,"ESEL",Nozzle!$H$1:$H$93,"STK",Nozzle!$G$1:$G$93,"additional")</f>
        <v>0</v>
      </c>
      <c r="D46" s="487">
        <f>SUMIFS(Nozzle!$O$94:$O$185,Nozzle!$A$94:$A$185,"C66SZX",Nozzle!$B$94:$B$185,"7203",Nozzle!$F$94:$F$185,"ESEL",Nozzle!$G$94:$G$185,"additional")</f>
        <v>0</v>
      </c>
      <c r="E46" s="488">
        <f>SUMIFS(Nozzle!$I$1:$I93,Nozzle!$A$1:$A$93,"C66SZX",Nozzle!$B$1:$B$93,"7203",Nozzle!$F$1:$F$93,"ESEL",Nozzle!$H$1:$H$93,"Incoming",Nozzle!$G$1:$G$93,"additional")</f>
        <v>0</v>
      </c>
      <c r="F46" s="488">
        <f>SUMIFS(Nozzle!$I$1:$I93,Nozzle!$A$1:$A$93,"C66SZX",Nozzle!$B$1:$B$93,"7203",Nozzle!$F$1:$F$93,"ESEL",Nozzle!$H$1:$H$93,"TBA",Nozzle!$G$1:$G$93,"additional")</f>
        <v>0</v>
      </c>
      <c r="G46" s="489">
        <f>SUMIFS(Nozzle!$P$94:$P$185,Nozzle!$A$94:$A$185,"C66SZX",Nozzle!$B$94:$B$185,"7203",Nozzle!$F$94:$F$185,"ESEL")</f>
        <v>0</v>
      </c>
      <c r="H46" s="490">
        <v>0</v>
      </c>
      <c r="I46" s="491">
        <f t="shared" si="24"/>
        <v>0</v>
      </c>
      <c r="K46" s="473">
        <v>7203</v>
      </c>
      <c r="L46" s="492">
        <f t="shared" si="25"/>
        <v>0</v>
      </c>
      <c r="M46" s="487">
        <f>SUMIFS(Nozzle!$I$1:$I93,Nozzle!$A$1:$A$93,"C66SHA",Nozzle!$B$1:$B$93,"7203",Nozzle!$F$1:$F$93,"ESEL",Nozzle!$H$1:$H$93,"STK",Nozzle!$G$1:$G$93,"additional")</f>
        <v>0</v>
      </c>
      <c r="N46" s="487">
        <f>SUMIFS(Nozzle!$O$94:$O$185,Nozzle!$A$94:$A$185,"C66SHA",Nozzle!$B$94:$B$185,"7203",Nozzle!$F$94:$F$185,"ESEL",Nozzle!$G$94:$G$185,"additional")</f>
        <v>0</v>
      </c>
      <c r="O46" s="488">
        <f>SUMIFS(Nozzle!$I$1:$I93,Nozzle!$A$1:$A$93,"C66SHA",Nozzle!$B$1:$B$93,"7203",Nozzle!$F$1:$F$93,"ESEL",Nozzle!$H$1:$H$93,"Incoming",Nozzle!$G$1:$G$93,"additional")</f>
        <v>0</v>
      </c>
      <c r="P46" s="488">
        <f>SUMIFS(Nozzle!$I$1:$I93,Nozzle!$A$1:$A$93,"C66SHA",Nozzle!$B$1:$B$93,"7203",Nozzle!$F$1:$F$93,"ESEL",Nozzle!$H$1:$H$93,"TBA",Nozzle!$G$1:$G$93,"additional")</f>
        <v>0</v>
      </c>
      <c r="Q46" s="489">
        <f>SUMIFS(Nozzle!$P$94:$P$185,Nozzle!$A$94:$A$185,"C66SHA",Nozzle!$B$94:$B$185,"7203",Nozzle!$F$94:$F$185,"ESEL")</f>
        <v>0</v>
      </c>
      <c r="R46" s="490">
        <v>0</v>
      </c>
      <c r="S46" s="491">
        <f t="shared" si="22"/>
        <v>0</v>
      </c>
      <c r="T46" s="18"/>
      <c r="U46" s="473">
        <v>7203</v>
      </c>
      <c r="V46" s="492">
        <f t="shared" si="26"/>
        <v>0</v>
      </c>
      <c r="W46" s="487">
        <f>SUMIFS(Nozzle!$I$1:$I93,Nozzle!$A$1:$A$93,"C66BJS",Nozzle!$B$1:$B$93,"7203",Nozzle!$F$1:$F$93,"ESEL",Nozzle!$H$1:$H$93,"STK",Nozzle!$G$1:$G$93,"additional")</f>
        <v>0</v>
      </c>
      <c r="X46" s="487">
        <f>SUMIFS(Nozzle!$O$94:$O$185,Nozzle!$A$94:$A$185,"C66BJS",Nozzle!$B$94:$B$185,"7203",Nozzle!$F$94:$F$185,"ESEL",Nozzle!$G$94:$G$185,"additional")</f>
        <v>0</v>
      </c>
      <c r="Y46" s="488">
        <f>SUMIFS(Nozzle!$I$1:$I93,Nozzle!$A$1:$A$93,"C66BJS",Nozzle!$B$1:$B$93,"7203",Nozzle!$F$1:$F$93,"ESEL",Nozzle!$H$1:$H$93,"Incoming",Nozzle!$G$1:$G$93,"additional")</f>
        <v>0</v>
      </c>
      <c r="Z46" s="488">
        <f>SUMIFS(Nozzle!$I$1:$I93,Nozzle!$A$1:$A$93,"C66BJS",Nozzle!$B$1:$B$93,"7203",Nozzle!$F$1:$F$93,"ESEL",Nozzle!$H$1:$H$93,"TBA",Nozzle!$G$1:$G$93,"additional")</f>
        <v>0</v>
      </c>
      <c r="AA46" s="489">
        <f>SUMIFS(Nozzle!$P$94:$P$185,Nozzle!$A$94:$A$185,"C66BJS",Nozzle!$B$94:$B$185,"7203",Nozzle!$F$94:$F$185,"ESEL")</f>
        <v>0</v>
      </c>
      <c r="AB46" s="490">
        <v>0</v>
      </c>
      <c r="AC46" s="491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8">
      <c r="A47" s="473">
        <v>7204</v>
      </c>
      <c r="B47" s="492">
        <f t="shared" si="23"/>
        <v>0</v>
      </c>
      <c r="C47" s="487">
        <f>SUMIFS(Nozzle!$I$1:$I93,Nozzle!$A$1:$A$93,"C66SZX",Nozzle!$B$1:$B$93,"7204",Nozzle!$F$1:$F$93,"ESEL",Nozzle!$H$1:$H$93,"STK",Nozzle!$G$1:$G$93,"additional")</f>
        <v>0</v>
      </c>
      <c r="D47" s="487">
        <f>SUMIFS(Nozzle!$O$94:$O$185,Nozzle!$A$94:$A$185,"C66SZX",Nozzle!$B$94:$B$185,"7204",Nozzle!$F$94:$F$185,"ESEL",Nozzle!$G$94:$G$185,"additional")</f>
        <v>0</v>
      </c>
      <c r="E47" s="488">
        <f>SUMIFS(Nozzle!$I$1:$I93,Nozzle!$A$1:$A$93,"C66SZX",Nozzle!$B$1:$B$93,"7204",Nozzle!$F$1:$F$93,"ESEL",Nozzle!$H$1:$H$93,"Incoming",Nozzle!$G$1:$G$93,"additional")</f>
        <v>0</v>
      </c>
      <c r="F47" s="488">
        <f>SUMIFS(Nozzle!$I$1:$I93,Nozzle!$A$1:$A$93,"C66SZX",Nozzle!$B$1:$B$93,"7204",Nozzle!$F$1:$F$93,"ESEL",Nozzle!$H$1:$H$93,"TBA",Nozzle!$G$1:$G$93,"additional")</f>
        <v>0</v>
      </c>
      <c r="G47" s="489">
        <f>SUMIFS(Nozzle!$P$94:$P$185,Nozzle!$A$94:$A$185,"C66SZX",Nozzle!$B$94:$B$185,"7204",Nozzle!$F$94:$F$185,"ESEL")</f>
        <v>0</v>
      </c>
      <c r="H47" s="490">
        <v>0</v>
      </c>
      <c r="I47" s="491">
        <f t="shared" si="24"/>
        <v>0</v>
      </c>
      <c r="K47" s="473">
        <v>7204</v>
      </c>
      <c r="L47" s="492">
        <f t="shared" si="25"/>
        <v>0</v>
      </c>
      <c r="M47" s="487">
        <f>SUMIFS(Nozzle!$I$1:$I93,Nozzle!$A$1:$A$93,"C66SHA",Nozzle!$B$1:$B$93,"7204",Nozzle!$F$1:$F$93,"ESEL",Nozzle!$H$1:$H$93,"STK",Nozzle!$G$1:$G$93,"additional")</f>
        <v>0</v>
      </c>
      <c r="N47" s="487">
        <f>SUMIFS(Nozzle!$O$94:$O$185,Nozzle!$A$94:$A$185,"C66SHA",Nozzle!$B$94:$B$185,"7204",Nozzle!$F$94:$F$185,"ESEL",Nozzle!$G$94:$G$185,"additional")</f>
        <v>0</v>
      </c>
      <c r="O47" s="488">
        <f>SUMIFS(Nozzle!$I$1:$I93,Nozzle!$A$1:$A$93,"C66SHA",Nozzle!$B$1:$B$93,"7204",Nozzle!$F$1:$F$93,"ESEL",Nozzle!$H$1:$H$93,"Incoming",Nozzle!$G$1:$G$93,"additional")</f>
        <v>0</v>
      </c>
      <c r="P47" s="488">
        <f>SUMIFS(Nozzle!$I$1:$I93,Nozzle!$A$1:$A$93,"C66SHA",Nozzle!$B$1:$B$93,"7204",Nozzle!$F$1:$F$93,"ESEL",Nozzle!$H$1:$H$93,"TBA",Nozzle!$G$1:$G$93,"additional")</f>
        <v>0</v>
      </c>
      <c r="Q47" s="489">
        <f>SUMIFS(Nozzle!$P$94:$P$185,Nozzle!$A$94:$A$185,"C66SHA",Nozzle!$B$94:$B$185,"7204",Nozzle!$F$94:$F$185,"ESEL")</f>
        <v>0</v>
      </c>
      <c r="R47" s="490">
        <v>0</v>
      </c>
      <c r="S47" s="491">
        <f t="shared" si="22"/>
        <v>0</v>
      </c>
      <c r="T47" s="18"/>
      <c r="U47" s="473">
        <v>7204</v>
      </c>
      <c r="V47" s="492">
        <f t="shared" si="26"/>
        <v>0</v>
      </c>
      <c r="W47" s="487">
        <f>SUMIFS(Nozzle!$I$1:$I93,Nozzle!$A$1:$A$93,"C66BJS",Nozzle!$B$1:$B$93,"7204",Nozzle!$F$1:$F$93,"ESEL",Nozzle!$H$1:$H$93,"STK",Nozzle!$G$1:$G$93,"additional")</f>
        <v>0</v>
      </c>
      <c r="X47" s="487">
        <f>SUMIFS(Nozzle!$O$94:$O$185,Nozzle!$A$94:$A$185,"C66BJS",Nozzle!$B$94:$B$185,"7204",Nozzle!$F$94:$F$185,"ESEL",Nozzle!$G$94:$G$185,"additional")</f>
        <v>0</v>
      </c>
      <c r="Y47" s="488">
        <f>SUMIFS(Nozzle!$I$1:$I93,Nozzle!$A$1:$A$93,"C66BJS",Nozzle!$B$1:$B$93,"7204",Nozzle!$F$1:$F$93,"ESEL",Nozzle!$H$1:$H$93,"Incoming",Nozzle!$G$1:$G$93,"additional")</f>
        <v>0</v>
      </c>
      <c r="Z47" s="488">
        <f>SUMIFS(Nozzle!$I$1:$I93,Nozzle!$A$1:$A$93,"C66BJS",Nozzle!$B$1:$B$93,"7204",Nozzle!$F$1:$F$93,"ESEL",Nozzle!$H$1:$H$93,"TBA",Nozzle!$G$1:$G$93,"additional")</f>
        <v>0</v>
      </c>
      <c r="AA47" s="489">
        <f>SUMIFS(Nozzle!$P$94:$P$185,Nozzle!$A$94:$A$185,"C66BJS",Nozzle!$B$94:$B$185,"7204",Nozzle!$F$94:$F$185,"ESEL")</f>
        <v>0</v>
      </c>
      <c r="AB47" s="490">
        <v>0</v>
      </c>
      <c r="AC47" s="491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8">
      <c r="A48" s="473">
        <v>7205</v>
      </c>
      <c r="B48" s="492">
        <f t="shared" si="23"/>
        <v>0</v>
      </c>
      <c r="C48" s="487">
        <f>SUMIFS(Nozzle!$I$1:$I93,Nozzle!$A$1:$A$93,"C66SZX",Nozzle!$B$1:$B$93,"7205",Nozzle!$F$1:$F$93,"ESEL",Nozzle!$H$1:$H$93,"STK",Nozzle!$G$1:$G$93,"additional")</f>
        <v>0</v>
      </c>
      <c r="D48" s="487">
        <f>SUMIFS(Nozzle!$O$94:$O$185,Nozzle!$A$94:$A$185,"C66SZX",Nozzle!$B$94:$B$185,"7205",Nozzle!$F$94:$F$185,"ESEL",Nozzle!$G$94:$G$185,"additional")</f>
        <v>0</v>
      </c>
      <c r="E48" s="488">
        <f>SUMIFS(Nozzle!$I$1:$I93,Nozzle!$A$1:$A$93,"C66SZX",Nozzle!$B$1:$B$93,"7205",Nozzle!$F$1:$F$93,"ESEL",Nozzle!$H$1:$H$93,"Incoming",Nozzle!$G$1:$G$93,"additional")</f>
        <v>0</v>
      </c>
      <c r="F48" s="488">
        <f>SUMIFS(Nozzle!$I$1:$I93,Nozzle!$A$1:$A$93,"C66SZX",Nozzle!$B$1:$B$93,"7205",Nozzle!$F$1:$F$93,"ESEL",Nozzle!$H$1:$H$93,"TBA",Nozzle!$G$1:$G$93,"additional")</f>
        <v>0</v>
      </c>
      <c r="G48" s="489">
        <f>SUMIFS(Nozzle!$P$94:$P$185,Nozzle!$A$94:$A$185,"C66SZX",Nozzle!$B$94:$B$185,"7205",Nozzle!$F$94:$F$185,"ESEL")</f>
        <v>0</v>
      </c>
      <c r="H48" s="490">
        <v>0</v>
      </c>
      <c r="I48" s="491">
        <f t="shared" si="24"/>
        <v>0</v>
      </c>
      <c r="K48" s="473">
        <v>7205</v>
      </c>
      <c r="L48" s="492">
        <f t="shared" si="25"/>
        <v>0</v>
      </c>
      <c r="M48" s="487">
        <f>SUMIFS(Nozzle!$I$1:$I93,Nozzle!$A$1:$A$93,"C66SHA",Nozzle!$B$1:$B$93,"7205",Nozzle!$F$1:$F$93,"ESEL",Nozzle!$H$1:$H$93,"STK",Nozzle!$G$1:$G$93,"additional")</f>
        <v>0</v>
      </c>
      <c r="N48" s="487">
        <f>SUMIFS(Nozzle!$O$94:$O$185,Nozzle!$A$94:$A$185,"C66SHA",Nozzle!$B$94:$B$185,"7205",Nozzle!$F$94:$F$185,"ESEL",Nozzle!$G$94:$G$185,"additional")</f>
        <v>0</v>
      </c>
      <c r="O48" s="488">
        <f>SUMIFS(Nozzle!$I$1:$I93,Nozzle!$A$1:$A$93,"C66SHA",Nozzle!$B$1:$B$93,"7205",Nozzle!$F$1:$F$93,"ESEL",Nozzle!$H$1:$H$93,"Incoming",Nozzle!$G$1:$G$93,"additional")</f>
        <v>0</v>
      </c>
      <c r="P48" s="488">
        <f>SUMIFS(Nozzle!$I$1:$I93,Nozzle!$A$1:$A$93,"C66SHA",Nozzle!$B$1:$B$93,"7205",Nozzle!$F$1:$F$93,"ESEL",Nozzle!$H$1:$H$93,"TBA",Nozzle!$G$1:$G$93,"additional")</f>
        <v>0</v>
      </c>
      <c r="Q48" s="489">
        <f>SUMIFS(Nozzle!$P$94:$P$185,Nozzle!$A$94:$A$185,"C66SHA",Nozzle!$B$94:$B$185,"7205",Nozzle!$F$94:$F$185,"ESEL")</f>
        <v>0</v>
      </c>
      <c r="R48" s="490">
        <v>0</v>
      </c>
      <c r="S48" s="491">
        <f t="shared" si="22"/>
        <v>0</v>
      </c>
      <c r="T48" s="18"/>
      <c r="U48" s="473">
        <v>7205</v>
      </c>
      <c r="V48" s="492">
        <f t="shared" si="26"/>
        <v>0</v>
      </c>
      <c r="W48" s="487">
        <f>SUMIFS(Nozzle!$I$1:$I93,Nozzle!$A$1:$A$93,"C66BJS",Nozzle!$B$1:$B$93,"7205",Nozzle!$F$1:$F$93,"ESEL",Nozzle!$H$1:$H$93,"STK",Nozzle!$G$1:$G$93,"additional")</f>
        <v>0</v>
      </c>
      <c r="X48" s="487">
        <f>SUMIFS(Nozzle!$O$94:$O$185,Nozzle!$A$94:$A$185,"C66BJS",Nozzle!$B$94:$B$185,"7205",Nozzle!$F$94:$F$185,"ESEL",Nozzle!$G$94:$G$185,"additional")</f>
        <v>0</v>
      </c>
      <c r="Y48" s="488">
        <f>SUMIFS(Nozzle!$I$1:$I93,Nozzle!$A$1:$A$93,"C66BJS",Nozzle!$B$1:$B$93,"7205",Nozzle!$F$1:$F$93,"ESEL",Nozzle!$H$1:$H$93,"Incoming",Nozzle!$G$1:$G$93,"additional")</f>
        <v>0</v>
      </c>
      <c r="Z48" s="488">
        <f>SUMIFS(Nozzle!$I$1:$I93,Nozzle!$A$1:$A$93,"C66BJS",Nozzle!$B$1:$B$93,"7205",Nozzle!$F$1:$F$93,"ESEL",Nozzle!$H$1:$H$93,"TBA",Nozzle!$G$1:$G$93,"additional")</f>
        <v>0</v>
      </c>
      <c r="AA48" s="489">
        <f>SUMIFS(Nozzle!$P$94:$P$185,Nozzle!$A$94:$A$185,"C66BJS",Nozzle!$B$94:$B$185,"7205",Nozzle!$F$94:$F$185,"ESEL")</f>
        <v>0</v>
      </c>
      <c r="AB48" s="490">
        <v>0</v>
      </c>
      <c r="AC48" s="491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8">
      <c r="A49" s="473">
        <v>7206</v>
      </c>
      <c r="B49" s="492">
        <f t="shared" si="23"/>
        <v>0</v>
      </c>
      <c r="C49" s="487">
        <f>SUMIFS(Nozzle!$I$1:$I93,Nozzle!$A$1:$A$93,"C66SZX",Nozzle!$B$1:$B$93,"7206",Nozzle!$F$1:$F$93,"ESEL",Nozzle!$H$1:$H$93,"STK",Nozzle!$G$1:$G$93,"additional")</f>
        <v>0</v>
      </c>
      <c r="D49" s="487">
        <f>SUMIFS(Nozzle!$O$94:$O$185,Nozzle!$A$94:$A$185,"C66SZX",Nozzle!$B$94:$B$185,"7206",Nozzle!$F$94:$F$185,"ESEL",Nozzle!$G$94:$G$185,"additional")</f>
        <v>0</v>
      </c>
      <c r="E49" s="488">
        <f>SUMIFS(Nozzle!$I$1:$I93,Nozzle!$A$1:$A$93,"C66SZX",Nozzle!$B$1:$B$93,"7206",Nozzle!$F$1:$F$93,"ESEL",Nozzle!$H$1:$H$93,"Incoming",Nozzle!$G$1:$G$93,"additional")</f>
        <v>0</v>
      </c>
      <c r="F49" s="488">
        <f>SUMIFS(Nozzle!$I$1:$I93,Nozzle!$A$1:$A$93,"C66SZX",Nozzle!$B$1:$B$93,"7206",Nozzle!$F$1:$F$93,"ESEL",Nozzle!$H$1:$H$93,"TBA",Nozzle!$G$1:$G$93,"additional")</f>
        <v>0</v>
      </c>
      <c r="G49" s="489">
        <f>SUMIFS(Nozzle!$P$94:$P$185,Nozzle!$A$94:$A$185,"C66SZX",Nozzle!$B$94:$B$185,"7206",Nozzle!$F$94:$F$185,"ESEL")</f>
        <v>0</v>
      </c>
      <c r="H49" s="490">
        <v>0</v>
      </c>
      <c r="I49" s="491">
        <f t="shared" si="24"/>
        <v>0</v>
      </c>
      <c r="K49" s="473">
        <v>7206</v>
      </c>
      <c r="L49" s="492">
        <f t="shared" si="25"/>
        <v>0</v>
      </c>
      <c r="M49" s="487">
        <f>SUMIFS(Nozzle!$I$1:$I93,Nozzle!$A$1:$A$93,"C66SHA",Nozzle!$B$1:$B$93,"7206",Nozzle!$F$1:$F$93,"ESEL",Nozzle!$H$1:$H$93,"STK",Nozzle!$G$1:$G$93,"additional")</f>
        <v>0</v>
      </c>
      <c r="N49" s="487">
        <f>SUMIFS(Nozzle!$O$94:$O$185,Nozzle!$A$94:$A$185,"C66SHA",Nozzle!$B$94:$B$185,"7206",Nozzle!$F$94:$F$185,"ESEL",Nozzle!$G$94:$G$185,"additional")</f>
        <v>0</v>
      </c>
      <c r="O49" s="488">
        <f>SUMIFS(Nozzle!$I$1:$I93,Nozzle!$A$1:$A$93,"C66SHA",Nozzle!$B$1:$B$93,"7206",Nozzle!$F$1:$F$93,"ESEL",Nozzle!$H$1:$H$93,"Incoming",Nozzle!$G$1:$G$93,"additional")</f>
        <v>0</v>
      </c>
      <c r="P49" s="488">
        <f>SUMIFS(Nozzle!$I$1:$I93,Nozzle!$A$1:$A$93,"C66SHA",Nozzle!$B$1:$B$93,"7206",Nozzle!$F$1:$F$93,"ESEL",Nozzle!$H$1:$H$93,"TBA",Nozzle!$G$1:$G$93,"additional")</f>
        <v>0</v>
      </c>
      <c r="Q49" s="489">
        <f>SUMIFS(Nozzle!$P$94:$P$185,Nozzle!$A$94:$A$185,"C66SHA",Nozzle!$B$94:$B$185,"7206",Nozzle!$F$94:$F$185,"ESEL")</f>
        <v>0</v>
      </c>
      <c r="R49" s="490">
        <v>0</v>
      </c>
      <c r="S49" s="491">
        <f t="shared" si="22"/>
        <v>0</v>
      </c>
      <c r="T49" s="18"/>
      <c r="U49" s="473">
        <v>7206</v>
      </c>
      <c r="V49" s="492">
        <f t="shared" si="26"/>
        <v>0</v>
      </c>
      <c r="W49" s="487">
        <f>SUMIFS(Nozzle!$I$1:$I93,Nozzle!$A$1:$A$93,"C66BJS",Nozzle!$B$1:$B$93,"7206",Nozzle!$F$1:$F$93,"ESEL",Nozzle!$H$1:$H$93,"STK",Nozzle!$G$1:$G$93,"additional")</f>
        <v>0</v>
      </c>
      <c r="X49" s="487">
        <f>SUMIFS(Nozzle!$O$94:$O$185,Nozzle!$A$94:$A$185,"C66BJS",Nozzle!$B$94:$B$185,"7206",Nozzle!$F$94:$F$185,"ESEL",Nozzle!$G$94:$G$185,"additional")</f>
        <v>0</v>
      </c>
      <c r="Y49" s="488">
        <f>SUMIFS(Nozzle!$I$1:$I93,Nozzle!$A$1:$A$93,"C66BJS",Nozzle!$B$1:$B$93,"7206",Nozzle!$F$1:$F$93,"ESEL",Nozzle!$H$1:$H$93,"Incoming",Nozzle!$G$1:$G$93,"additional")</f>
        <v>0</v>
      </c>
      <c r="Z49" s="488">
        <f>SUMIFS(Nozzle!$I$1:$I93,Nozzle!$A$1:$A$93,"C66BJS",Nozzle!$B$1:$B$93,"7206",Nozzle!$F$1:$F$93,"ESEL",Nozzle!$H$1:$H$93,"TBA",Nozzle!$G$1:$G$93,"additional")</f>
        <v>0</v>
      </c>
      <c r="AA49" s="489">
        <f>SUMIFS(Nozzle!$P$94:$P$185,Nozzle!$A$94:$A$185,"C66BJS",Nozzle!$B$94:$B$185,"7206",Nozzle!$F$94:$F$185,"ESEL")</f>
        <v>0</v>
      </c>
      <c r="AB49" s="490">
        <v>0</v>
      </c>
      <c r="AC49" s="491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8">
      <c r="A50" s="473" t="s">
        <v>4101</v>
      </c>
      <c r="B50" s="492">
        <f t="shared" si="23"/>
        <v>0</v>
      </c>
      <c r="C50" s="487">
        <f>SUMIFS(Nozzle!$I$1:$I93,Nozzle!$A$1:$A$93,"C66SZX",Nozzle!$B$1:$B$93,"72GC",Nozzle!$F$1:$F$93,"ESEL",Nozzle!$H$1:$H$93,"STK",Nozzle!$G$1:$G$93,"additional")</f>
        <v>0</v>
      </c>
      <c r="D50" s="487">
        <f>SUMIFS(Nozzle!$O$94:$O$185,Nozzle!$A$94:$A$185,"C66SZX",Nozzle!$B$94:$B$185,"72GC",Nozzle!$F$94:$F$185,"ESEL",Nozzle!$G$94:$G$185,"additional")</f>
        <v>0</v>
      </c>
      <c r="E50" s="488">
        <f>SUMIFS(Nozzle!$I$1:$I93,Nozzle!$A$1:$A$93,"C66SZX",Nozzle!$B$1:$B$93,"72GC",Nozzle!$F$1:$F$93,"ESEL",Nozzle!$H$1:$H$93,"Incoming",Nozzle!$G$1:$G$93,"additional")</f>
        <v>0</v>
      </c>
      <c r="F50" s="488">
        <f>SUMIFS(Nozzle!$I$1:$I93,Nozzle!$A$1:$A$93,"C66SZX",Nozzle!$B$1:$B$93,"72GC",Nozzle!$F$1:$F$93,"ESEL",Nozzle!$H$1:$H$93,"TBA",Nozzle!$G$1:$G$93,"additional")</f>
        <v>0</v>
      </c>
      <c r="G50" s="489">
        <f>SUMIFS(Nozzle!$P$94:$P$185,Nozzle!$A$94:$A$185,"C66SZX",Nozzle!$B$94:$B$185,"72GC",Nozzle!$F$94:$F$185,"ESEL")</f>
        <v>0</v>
      </c>
      <c r="H50" s="490">
        <v>0</v>
      </c>
      <c r="I50" s="491">
        <f t="shared" si="24"/>
        <v>0</v>
      </c>
      <c r="K50" s="473" t="s">
        <v>4101</v>
      </c>
      <c r="L50" s="492">
        <f t="shared" si="25"/>
        <v>0</v>
      </c>
      <c r="M50" s="487">
        <f>SUMIFS(Nozzle!$I$1:$I93,Nozzle!$A$1:$A$93,"C66SHA",Nozzle!$B$1:$B$93,"72GC",Nozzle!$F$1:$F$93,"ESEL",Nozzle!$H$1:$H$93,"STK",Nozzle!$G$1:$G$93,"additional")</f>
        <v>0</v>
      </c>
      <c r="N50" s="487">
        <f>SUMIFS(Nozzle!$O$94:$O$185,Nozzle!$A$94:$A$185,"C66SHA",Nozzle!$B$94:$B$185,"72GC",Nozzle!$F$94:$F$185,"ESEL",Nozzle!$G$94:$G$185,"additional")</f>
        <v>0</v>
      </c>
      <c r="O50" s="488">
        <f>SUMIFS(Nozzle!$I$1:$I93,Nozzle!$A$1:$A$93,"C66SHA",Nozzle!$B$1:$B$93,"72GC",Nozzle!$F$1:$F$93,"ESEL",Nozzle!$H$1:$H$93,"Incoming",Nozzle!$G$1:$G$93,"additional")</f>
        <v>0</v>
      </c>
      <c r="P50" s="488">
        <f>SUMIFS(Nozzle!$I$1:$I93,Nozzle!$A$1:$A$93,"C66SHA",Nozzle!$B$1:$B$93,"72GC",Nozzle!$F$1:$F$93,"ESEL",Nozzle!$H$1:$H$93,"TBA",Nozzle!$G$1:$G$93,"additional")</f>
        <v>0</v>
      </c>
      <c r="Q50" s="489">
        <f>SUMIFS(Nozzle!$P$94:$P$185,Nozzle!$A$94:$A$185,"C66SHA",Nozzle!$B$94:$B$185,"72GC",Nozzle!$F$94:$F$185,"ESEL")</f>
        <v>0</v>
      </c>
      <c r="R50" s="490">
        <v>0</v>
      </c>
      <c r="S50" s="491">
        <f t="shared" si="22"/>
        <v>0</v>
      </c>
      <c r="T50" s="1"/>
      <c r="U50" s="473" t="s">
        <v>4101</v>
      </c>
      <c r="V50" s="492">
        <f t="shared" si="26"/>
        <v>0</v>
      </c>
      <c r="W50" s="487">
        <f>SUMIFS(Nozzle!$I$1:$I93,Nozzle!$A$1:$A$93,"C66BJS",Nozzle!$B$1:$B$93,"72GC",Nozzle!$F$1:$F$93,"ESEL",Nozzle!$H$1:$H$93,"STK",Nozzle!$G$1:$G$93,"additional")</f>
        <v>0</v>
      </c>
      <c r="X50" s="487">
        <f>SUMIFS(Nozzle!$O$94:$O$185,Nozzle!$A$94:$A$185,"C66BJS",Nozzle!$B$94:$B$185,"72GC",Nozzle!$F$94:$F$185,"ESEL",Nozzle!$G$94:$G$185,"additional")</f>
        <v>0</v>
      </c>
      <c r="Y50" s="488">
        <f>SUMIFS(Nozzle!$I$1:$I93,Nozzle!$A$1:$A$93,"C66BJS",Nozzle!$B$1:$B$93,"72GC",Nozzle!$F$1:$F$93,"ESEL",Nozzle!$H$1:$H$93,"Incoming",Nozzle!$G$1:$G$93,"additional")</f>
        <v>0</v>
      </c>
      <c r="Z50" s="488">
        <f>SUMIFS(Nozzle!$I$1:$I93,Nozzle!$A$1:$A$93,"C66BJS",Nozzle!$B$1:$B$93,"72GC",Nozzle!$F$1:$F$93,"ESEL",Nozzle!$H$1:$H$93,"TBA",Nozzle!$G$1:$G$93,"additional")</f>
        <v>0</v>
      </c>
      <c r="AA50" s="489">
        <f>SUMIFS(Nozzle!$P$94:$P$185,Nozzle!$A$94:$A$185,"C66BJS",Nozzle!$B$94:$B$185,"72GC",Nozzle!$F$94:$F$185,"ESEL")</f>
        <v>0</v>
      </c>
      <c r="AB50" s="490">
        <v>0</v>
      </c>
      <c r="AC50" s="491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8">
      <c r="A51" s="473" t="s">
        <v>3778</v>
      </c>
      <c r="B51" s="492">
        <f t="shared" si="23"/>
        <v>0</v>
      </c>
      <c r="C51" s="487">
        <f>SUMIFS(Nozzle!$I$1:$I93,Nozzle!$A$1:$A$93,"C66SZX",Nozzle!$B$1:$B$93,"72GD",Nozzle!$F$1:$F$93,"ESEL",Nozzle!$H$1:$H$93,"STK",Nozzle!$G$1:$G$93,"additional")</f>
        <v>0</v>
      </c>
      <c r="D51" s="487">
        <f>SUMIFS(Nozzle!$O$94:$O$185,Nozzle!$A$94:$A$185,"C66SZX",Nozzle!$B$94:$B$185,"72GD",Nozzle!$F$94:$F$185,"ESEL",Nozzle!$G$94:$G$185,"additional")</f>
        <v>0</v>
      </c>
      <c r="E51" s="488">
        <f>SUMIFS(Nozzle!$I$1:$I93,Nozzle!$A$1:$A$93,"C66SZX",Nozzle!$B$1:$B$93,"72GD",Nozzle!$F$1:$F$93,"ESEL",Nozzle!$H$1:$H$93,"Incoming",Nozzle!$G$1:$G$93,"additional")</f>
        <v>0</v>
      </c>
      <c r="F51" s="488">
        <f>SUMIFS(Nozzle!$I$1:$I93,Nozzle!$A$1:$A$93,"C66SZX",Nozzle!$B$1:$B$93,"72GD",Nozzle!$F$1:$F$93,"ESEL",Nozzle!$H$1:$H$93,"TBA",Nozzle!$G$1:$G$93,"additional")</f>
        <v>0</v>
      </c>
      <c r="G51" s="489">
        <f>SUMIFS(Nozzle!$P$94:$P$185,Nozzle!$A$94:$A$185,"C66SZX",Nozzle!$B$94:$B$185,"72GD",Nozzle!$F$94:$F$185,"ESEL")</f>
        <v>0</v>
      </c>
      <c r="H51" s="490">
        <v>0</v>
      </c>
      <c r="I51" s="491">
        <f t="shared" si="24"/>
        <v>0</v>
      </c>
      <c r="K51" s="473" t="s">
        <v>3778</v>
      </c>
      <c r="L51" s="492">
        <f t="shared" si="25"/>
        <v>0</v>
      </c>
      <c r="M51" s="487">
        <f>SUMIFS(Nozzle!$I$1:$I93,Nozzle!$A$1:$A$93,"C66SHA",Nozzle!$B$1:$B$93,"72GD",Nozzle!$F$1:$F$93,"ESEL",Nozzle!$H$1:$H$93,"STK",Nozzle!$G$1:$G$93,"additional")</f>
        <v>0</v>
      </c>
      <c r="N51" s="487">
        <f>SUMIFS(Nozzle!$O$94:$O$185,Nozzle!$A$94:$A$185,"C66SHA",Nozzle!$B$94:$B$185,"72GD",Nozzle!$F$94:$F$185,"ESEL",Nozzle!$G$94:$G$185,"additional")</f>
        <v>0</v>
      </c>
      <c r="O51" s="488">
        <f>SUMIFS(Nozzle!$I$1:$I93,Nozzle!$A$1:$A$93,"C66SHA",Nozzle!$B$1:$B$93,"72GD",Nozzle!$F$1:$F$93,"ESEL",Nozzle!$H$1:$H$93,"Incoming",Nozzle!$G$1:$G$93,"additional")</f>
        <v>0</v>
      </c>
      <c r="P51" s="488">
        <f>SUMIFS(Nozzle!$I$1:$I93,Nozzle!$A$1:$A$93,"C66SHA",Nozzle!$B$1:$B$93,"72GD",Nozzle!$F$1:$F$93,"ESEL",Nozzle!$H$1:$H$93,"TBA",Nozzle!$G$1:$G$93,"additional")</f>
        <v>0</v>
      </c>
      <c r="Q51" s="489">
        <f>SUMIFS(Nozzle!$P$94:$P$185,Nozzle!$A$94:$A$185,"C66SHA",Nozzle!$B$94:$B$185,"72GD",Nozzle!$F$94:$F$185,"ESEL")</f>
        <v>0</v>
      </c>
      <c r="R51" s="490">
        <v>0</v>
      </c>
      <c r="S51" s="491">
        <f t="shared" si="22"/>
        <v>0</v>
      </c>
      <c r="T51" s="1"/>
      <c r="U51" s="473" t="s">
        <v>3778</v>
      </c>
      <c r="V51" s="492">
        <f t="shared" si="26"/>
        <v>0</v>
      </c>
      <c r="W51" s="487">
        <f>SUMIFS(Nozzle!$I$1:$I93,Nozzle!$A$1:$A$93,"C66BJS",Nozzle!$B$1:$B$93,"72GD",Nozzle!$F$1:$F$93,"ESEL",Nozzle!$H$1:$H$93,"STK",Nozzle!$G$1:$G$93,"additional")</f>
        <v>0</v>
      </c>
      <c r="X51" s="487">
        <f>SUMIFS(Nozzle!$O$94:$O$185,Nozzle!$A$94:$A$185,"C66BJS",Nozzle!$B$94:$B$185,"72GD",Nozzle!$F$94:$F$185,"ESEL",Nozzle!$G$94:$G$185,"additional")</f>
        <v>0</v>
      </c>
      <c r="Y51" s="488">
        <f>SUMIFS(Nozzle!$I$1:$I93,Nozzle!$A$1:$A$93,"C66BJS",Nozzle!$B$1:$B$93,"72GD",Nozzle!$F$1:$F$93,"ESEL",Nozzle!$H$1:$H$93,"Incoming",Nozzle!$G$1:$G$93,"additional")</f>
        <v>0</v>
      </c>
      <c r="Z51" s="488">
        <f>SUMIFS(Nozzle!$I$1:$I93,Nozzle!$A$1:$A$93,"C66BJS",Nozzle!$B$1:$B$93,"72GD",Nozzle!$F$1:$F$93,"ESEL",Nozzle!$H$1:$H$93,"TBA",Nozzle!$G$1:$G$93,"additional")</f>
        <v>0</v>
      </c>
      <c r="AA51" s="489">
        <f>SUMIFS(Nozzle!$P$94:$P$185,Nozzle!$A$94:$A$185,"C66BJS",Nozzle!$B$94:$B$185,"72GD",Nozzle!$F$94:$F$185,"ESEL")</f>
        <v>0</v>
      </c>
      <c r="AB51" s="490">
        <v>0</v>
      </c>
      <c r="AC51" s="491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8">
      <c r="A52" s="473"/>
      <c r="B52" s="492"/>
      <c r="C52" s="487"/>
      <c r="D52" s="487"/>
      <c r="E52" s="488"/>
      <c r="F52" s="488"/>
      <c r="G52" s="489"/>
      <c r="H52" s="490"/>
      <c r="I52" s="491"/>
      <c r="K52" s="473"/>
      <c r="L52" s="492"/>
      <c r="M52" s="487"/>
      <c r="N52" s="487"/>
      <c r="O52" s="488"/>
      <c r="P52" s="488"/>
      <c r="Q52" s="489"/>
      <c r="R52" s="490"/>
      <c r="S52" s="491"/>
      <c r="T52" s="1"/>
      <c r="U52" s="473"/>
      <c r="V52" s="492"/>
      <c r="W52" s="487"/>
      <c r="X52" s="487"/>
      <c r="Y52" s="488"/>
      <c r="Z52" s="488"/>
      <c r="AA52" s="489"/>
      <c r="AB52" s="490"/>
      <c r="AC52" s="49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8">
      <c r="A53" s="473"/>
      <c r="B53" s="492"/>
      <c r="C53" s="487"/>
      <c r="D53" s="487"/>
      <c r="E53" s="488"/>
      <c r="F53" s="488"/>
      <c r="G53" s="489"/>
      <c r="H53" s="490"/>
      <c r="I53" s="491"/>
      <c r="K53" s="473"/>
      <c r="L53" s="492"/>
      <c r="M53" s="487"/>
      <c r="N53" s="487"/>
      <c r="O53" s="488"/>
      <c r="P53" s="488"/>
      <c r="Q53" s="489"/>
      <c r="R53" s="490"/>
      <c r="S53" s="491"/>
      <c r="T53" s="1"/>
      <c r="U53" s="473"/>
      <c r="V53" s="492"/>
      <c r="W53" s="487"/>
      <c r="X53" s="487"/>
      <c r="Y53" s="488"/>
      <c r="Z53" s="488"/>
      <c r="AA53" s="489"/>
      <c r="AB53" s="490"/>
      <c r="AC53" s="49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8">
      <c r="A54" s="473"/>
      <c r="B54" s="492"/>
      <c r="C54" s="487"/>
      <c r="D54" s="487"/>
      <c r="E54" s="488"/>
      <c r="F54" s="488"/>
      <c r="G54" s="489"/>
      <c r="H54" s="490"/>
      <c r="I54" s="491"/>
      <c r="K54" s="473"/>
      <c r="L54" s="492"/>
      <c r="M54" s="487"/>
      <c r="N54" s="487"/>
      <c r="O54" s="488"/>
      <c r="P54" s="488"/>
      <c r="Q54" s="489"/>
      <c r="R54" s="490"/>
      <c r="S54" s="491"/>
      <c r="T54" s="1"/>
      <c r="U54" s="473"/>
      <c r="V54" s="492"/>
      <c r="W54" s="487"/>
      <c r="X54" s="487"/>
      <c r="Y54" s="488"/>
      <c r="Z54" s="488"/>
      <c r="AA54" s="489"/>
      <c r="AB54" s="490"/>
      <c r="AC54" s="49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5.75" thickBot="1">
      <c r="B55" s="505">
        <f>SUM(B33:B54)</f>
        <v>-80</v>
      </c>
      <c r="C55" s="505">
        <f>SUM(C33:C54)</f>
        <v>0</v>
      </c>
      <c r="D55" s="505">
        <f>SUM(D33:D54)</f>
        <v>80</v>
      </c>
      <c r="E55" s="470"/>
      <c r="F55" s="470"/>
      <c r="G55" s="505">
        <f>SUM(G33:G54)</f>
        <v>0</v>
      </c>
      <c r="H55" s="470"/>
      <c r="I55" s="470">
        <f>SUM(I33:I51)</f>
        <v>-192</v>
      </c>
      <c r="L55" s="505">
        <f ca="1">SUM(L33:L55)</f>
        <v>0</v>
      </c>
      <c r="M55" s="505">
        <f>SUM(M33:M54)</f>
        <v>0</v>
      </c>
      <c r="N55" s="505">
        <f>SUM(N33:N54)</f>
        <v>9</v>
      </c>
      <c r="O55" s="470"/>
      <c r="P55" s="470"/>
      <c r="Q55" s="505">
        <f>SUM(Q33:Q54)</f>
        <v>0</v>
      </c>
      <c r="R55" s="470"/>
      <c r="S55" s="470">
        <f>SUM(S33:S51)</f>
        <v>-9</v>
      </c>
      <c r="T55" s="18"/>
      <c r="V55" s="505">
        <f>SUM(V33:V54)</f>
        <v>0</v>
      </c>
      <c r="W55" s="505">
        <f>SUM(W33:W54)</f>
        <v>0</v>
      </c>
      <c r="X55" s="505">
        <f>SUM(X33:X54)</f>
        <v>0</v>
      </c>
      <c r="Y55" s="470"/>
      <c r="Z55" s="470"/>
      <c r="AA55" s="505">
        <f>SUM(AA33:AA54)</f>
        <v>0</v>
      </c>
      <c r="AB55" s="470"/>
      <c r="AC55" s="470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5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100" priority="5" operator="lessThan">
      <formula>0</formula>
    </cfRule>
    <cfRule type="cellIs" dxfId="99" priority="9" operator="lessThan">
      <formula>0</formula>
    </cfRule>
  </conditionalFormatting>
  <conditionalFormatting sqref="O4:O25">
    <cfRule type="cellIs" dxfId="98" priority="4" operator="lessThan">
      <formula>0</formula>
    </cfRule>
  </conditionalFormatting>
  <conditionalFormatting sqref="Q4:R25">
    <cfRule type="cellIs" dxfId="97" priority="1" operator="lessThan">
      <formula>0</formula>
    </cfRule>
  </conditionalFormatting>
  <conditionalFormatting sqref="S33:S54">
    <cfRule type="cellIs" dxfId="96" priority="8" operator="lessThan">
      <formula>0</formula>
    </cfRule>
  </conditionalFormatting>
  <conditionalFormatting sqref="AC33:AC54">
    <cfRule type="cellIs" dxfId="95" priority="7" operator="lessThan">
      <formula>0</formula>
    </cfRule>
  </conditionalFormatting>
  <conditionalFormatting sqref="AN4:AO25">
    <cfRule type="cellIs" dxfId="94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dimension ref="A1:P17"/>
  <sheetViews>
    <sheetView workbookViewId="0">
      <selection activeCell="G40" sqref="G40"/>
    </sheetView>
  </sheetViews>
  <sheetFormatPr defaultColWidth="9" defaultRowHeight="13.5"/>
  <cols>
    <col min="1" max="1" width="12.375" bestFit="1" customWidth="1"/>
    <col min="2" max="2" width="9.25" bestFit="1" customWidth="1"/>
    <col min="3" max="3" width="13.25" bestFit="1" customWidth="1"/>
    <col min="4" max="8" width="9.625" bestFit="1" customWidth="1"/>
    <col min="9" max="9" width="8.375" bestFit="1" customWidth="1"/>
    <col min="10" max="10" width="13.25" bestFit="1" customWidth="1"/>
    <col min="11" max="13" width="9.625" bestFit="1" customWidth="1"/>
    <col min="14" max="14" width="8.375" bestFit="1" customWidth="1"/>
    <col min="15" max="16" width="9.625" bestFit="1" customWidth="1"/>
    <col min="17" max="17" width="5.375" bestFit="1" customWidth="1"/>
    <col min="18" max="18" width="14.375" bestFit="1" customWidth="1"/>
    <col min="19" max="19" width="9.25" bestFit="1" customWidth="1"/>
    <col min="20" max="32" width="14.375" bestFit="1" customWidth="1"/>
    <col min="33" max="33" width="15.25" bestFit="1" customWidth="1"/>
    <col min="34" max="48" width="14.375" bestFit="1" customWidth="1"/>
    <col min="49" max="49" width="15.25" bestFit="1" customWidth="1"/>
    <col min="50" max="64" width="14.375" bestFit="1" customWidth="1"/>
    <col min="65" max="65" width="15.25" bestFit="1" customWidth="1"/>
    <col min="66" max="80" width="14.375" bestFit="1" customWidth="1"/>
    <col min="81" max="81" width="15.25" bestFit="1" customWidth="1"/>
    <col min="82" max="96" width="14.375" bestFit="1" customWidth="1"/>
    <col min="97" max="97" width="15.25" bestFit="1" customWidth="1"/>
    <col min="98" max="112" width="14.375" bestFit="1" customWidth="1"/>
    <col min="113" max="113" width="15.25" bestFit="1" customWidth="1"/>
    <col min="114" max="128" width="14.375" bestFit="1" customWidth="1"/>
    <col min="129" max="129" width="15.25" bestFit="1" customWidth="1"/>
    <col min="130" max="144" width="14.375" bestFit="1" customWidth="1"/>
    <col min="145" max="145" width="15.25" bestFit="1" customWidth="1"/>
    <col min="146" max="160" width="14.375" bestFit="1" customWidth="1"/>
    <col min="161" max="161" width="15.25" bestFit="1" customWidth="1"/>
    <col min="162" max="176" width="14.375" bestFit="1" customWidth="1"/>
    <col min="177" max="177" width="15.25" bestFit="1" customWidth="1"/>
    <col min="178" max="178" width="9.25" bestFit="1" customWidth="1"/>
  </cols>
  <sheetData>
    <row r="1" spans="1:16">
      <c r="A1" s="262" t="s">
        <v>4165</v>
      </c>
      <c r="B1" t="s">
        <v>3535</v>
      </c>
    </row>
    <row r="3" spans="1:16">
      <c r="A3" s="262" t="s">
        <v>4164</v>
      </c>
      <c r="B3" s="262" t="s">
        <v>2</v>
      </c>
    </row>
    <row r="4" spans="1:16">
      <c r="A4" s="262" t="s">
        <v>4166</v>
      </c>
      <c r="B4" t="s">
        <v>2744</v>
      </c>
      <c r="C4" t="s">
        <v>2747</v>
      </c>
      <c r="D4" t="s">
        <v>2748</v>
      </c>
      <c r="E4" t="s">
        <v>2749</v>
      </c>
      <c r="F4" t="s">
        <v>2750</v>
      </c>
      <c r="G4" t="s">
        <v>2751</v>
      </c>
      <c r="H4" t="s">
        <v>2752</v>
      </c>
      <c r="I4" t="s">
        <v>2755</v>
      </c>
      <c r="J4" t="s">
        <v>2756</v>
      </c>
      <c r="K4" t="s">
        <v>2757</v>
      </c>
      <c r="L4" t="s">
        <v>2758</v>
      </c>
      <c r="M4" t="s">
        <v>2759</v>
      </c>
      <c r="N4" t="s">
        <v>2754</v>
      </c>
      <c r="O4" t="s">
        <v>2760</v>
      </c>
      <c r="P4" t="s">
        <v>2761</v>
      </c>
    </row>
    <row r="5" spans="1:16">
      <c r="A5" t="s">
        <v>215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217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216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226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2502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3992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4023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4045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4169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4186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4344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4404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4375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dimension ref="A1:S391"/>
  <sheetViews>
    <sheetView topLeftCell="A361" workbookViewId="0">
      <selection activeCell="G375" sqref="G375"/>
    </sheetView>
  </sheetViews>
  <sheetFormatPr defaultColWidth="9" defaultRowHeight="13.5"/>
  <cols>
    <col min="1" max="2" width="13.25" style="383" customWidth="1"/>
    <col min="3" max="3" width="11.25" style="383" customWidth="1"/>
    <col min="4" max="4" width="10.375" style="383" customWidth="1"/>
    <col min="5" max="5" width="12.75" style="405" customWidth="1"/>
    <col min="6" max="6" width="15.375" style="383" bestFit="1" customWidth="1"/>
    <col min="7" max="7" width="9" style="383"/>
    <col min="8" max="8" width="12.375" style="383" bestFit="1" customWidth="1"/>
    <col min="9" max="9" width="13.25" style="383" bestFit="1" customWidth="1"/>
    <col min="10" max="14" width="9.375" style="383" bestFit="1" customWidth="1"/>
    <col min="15" max="15" width="8.375" style="383" bestFit="1" customWidth="1"/>
    <col min="16" max="16" width="13.25" style="383" bestFit="1" customWidth="1"/>
    <col min="17" max="19" width="9.375" style="383" bestFit="1" customWidth="1"/>
    <col min="20" max="20" width="8.375" style="383" bestFit="1" customWidth="1"/>
    <col min="21" max="22" width="9.375" style="383" bestFit="1" customWidth="1"/>
    <col min="23" max="23" width="8.375" style="383" bestFit="1" customWidth="1"/>
    <col min="24" max="24" width="13.25" style="383" bestFit="1" customWidth="1"/>
    <col min="25" max="29" width="9.375" style="383" bestFit="1" customWidth="1"/>
    <col min="30" max="30" width="8.375" style="383" bestFit="1" customWidth="1"/>
    <col min="31" max="31" width="13.25" style="383" bestFit="1" customWidth="1"/>
    <col min="32" max="34" width="9.375" style="383" bestFit="1" customWidth="1"/>
    <col min="35" max="35" width="8.375" style="383" bestFit="1" customWidth="1"/>
    <col min="36" max="37" width="9.375" style="383" bestFit="1" customWidth="1"/>
    <col min="38" max="38" width="8.375" style="383" bestFit="1" customWidth="1"/>
    <col min="39" max="16384" width="9" style="383"/>
  </cols>
  <sheetData>
    <row r="1" spans="1:19" ht="18.75" customHeight="1">
      <c r="A1" s="383" t="s">
        <v>265</v>
      </c>
      <c r="B1" s="383" t="s">
        <v>4062</v>
      </c>
      <c r="C1" s="383" t="s">
        <v>235</v>
      </c>
      <c r="D1" s="383" t="s">
        <v>4059</v>
      </c>
      <c r="E1" s="405" t="s">
        <v>4060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3" t="s">
        <v>1381</v>
      </c>
      <c r="B2" s="383" t="s">
        <v>4063</v>
      </c>
      <c r="C2" s="383" t="s">
        <v>2744</v>
      </c>
      <c r="D2" s="383">
        <v>3376</v>
      </c>
      <c r="E2" s="405" t="s">
        <v>215</v>
      </c>
      <c r="H2"/>
      <c r="I2"/>
      <c r="J2"/>
      <c r="K2"/>
      <c r="L2"/>
    </row>
    <row r="3" spans="1:19">
      <c r="A3" s="383" t="s">
        <v>1381</v>
      </c>
      <c r="B3" s="383" t="s">
        <v>4063</v>
      </c>
      <c r="C3" s="383" t="s">
        <v>2747</v>
      </c>
      <c r="D3" s="383">
        <v>640</v>
      </c>
      <c r="E3" s="405" t="s">
        <v>215</v>
      </c>
      <c r="H3"/>
      <c r="I3"/>
      <c r="J3"/>
      <c r="K3"/>
      <c r="L3"/>
    </row>
    <row r="4" spans="1:19">
      <c r="A4" s="383" t="s">
        <v>1381</v>
      </c>
      <c r="B4" s="383" t="s">
        <v>4063</v>
      </c>
      <c r="C4" s="383" t="s">
        <v>2748</v>
      </c>
      <c r="D4" s="383">
        <v>65</v>
      </c>
      <c r="E4" s="405" t="s">
        <v>215</v>
      </c>
      <c r="H4"/>
      <c r="I4"/>
      <c r="J4"/>
      <c r="K4"/>
      <c r="L4"/>
    </row>
    <row r="5" spans="1:19">
      <c r="A5" s="383" t="s">
        <v>1381</v>
      </c>
      <c r="B5" s="383" t="s">
        <v>4063</v>
      </c>
      <c r="C5" s="383" t="s">
        <v>2749</v>
      </c>
      <c r="D5" s="383">
        <v>98</v>
      </c>
      <c r="E5" s="405" t="s">
        <v>215</v>
      </c>
      <c r="H5"/>
      <c r="I5"/>
      <c r="J5"/>
      <c r="K5"/>
      <c r="L5"/>
    </row>
    <row r="6" spans="1:19">
      <c r="A6" s="383" t="s">
        <v>1381</v>
      </c>
      <c r="B6" s="383" t="s">
        <v>4063</v>
      </c>
      <c r="C6" s="383" t="s">
        <v>2750</v>
      </c>
      <c r="D6" s="383">
        <v>17</v>
      </c>
      <c r="E6" s="405" t="s">
        <v>215</v>
      </c>
      <c r="H6"/>
      <c r="I6"/>
      <c r="J6"/>
      <c r="K6"/>
      <c r="L6"/>
    </row>
    <row r="7" spans="1:19">
      <c r="A7" s="383" t="s">
        <v>1381</v>
      </c>
      <c r="B7" s="383" t="s">
        <v>4063</v>
      </c>
      <c r="C7" s="383" t="s">
        <v>2751</v>
      </c>
      <c r="D7" s="383">
        <v>3</v>
      </c>
      <c r="E7" s="405" t="s">
        <v>215</v>
      </c>
      <c r="H7"/>
      <c r="I7"/>
      <c r="J7"/>
      <c r="K7"/>
      <c r="L7"/>
    </row>
    <row r="8" spans="1:19">
      <c r="A8" s="383" t="s">
        <v>1381</v>
      </c>
      <c r="B8" s="383" t="s">
        <v>4063</v>
      </c>
      <c r="C8" s="383" t="s">
        <v>2752</v>
      </c>
      <c r="D8" s="383">
        <v>0</v>
      </c>
      <c r="E8" s="405" t="s">
        <v>215</v>
      </c>
      <c r="H8"/>
      <c r="I8"/>
      <c r="J8"/>
      <c r="K8"/>
      <c r="L8"/>
    </row>
    <row r="9" spans="1:19">
      <c r="A9" s="383" t="s">
        <v>2753</v>
      </c>
      <c r="B9" s="383" t="s">
        <v>4063</v>
      </c>
      <c r="C9" s="383" t="s">
        <v>2744</v>
      </c>
      <c r="D9" s="383">
        <v>5199</v>
      </c>
      <c r="E9" s="405" t="s">
        <v>215</v>
      </c>
      <c r="H9"/>
      <c r="I9"/>
      <c r="J9"/>
      <c r="K9"/>
      <c r="L9"/>
    </row>
    <row r="10" spans="1:19">
      <c r="A10" s="383" t="s">
        <v>2753</v>
      </c>
      <c r="B10" s="383" t="s">
        <v>4063</v>
      </c>
      <c r="C10" s="383" t="s">
        <v>2747</v>
      </c>
      <c r="D10" s="383">
        <v>816</v>
      </c>
      <c r="E10" s="405" t="s">
        <v>215</v>
      </c>
      <c r="H10"/>
      <c r="I10"/>
      <c r="J10"/>
      <c r="K10"/>
      <c r="L10"/>
    </row>
    <row r="11" spans="1:19">
      <c r="A11" s="383" t="s">
        <v>2753</v>
      </c>
      <c r="B11" s="383" t="s">
        <v>4063</v>
      </c>
      <c r="C11" s="383" t="s">
        <v>2748</v>
      </c>
      <c r="D11" s="383">
        <v>265</v>
      </c>
      <c r="E11" s="405" t="s">
        <v>215</v>
      </c>
      <c r="H11"/>
      <c r="I11"/>
      <c r="J11"/>
      <c r="K11"/>
      <c r="L11"/>
    </row>
    <row r="12" spans="1:19">
      <c r="A12" s="383" t="s">
        <v>2753</v>
      </c>
      <c r="B12" s="383" t="s">
        <v>4063</v>
      </c>
      <c r="C12" s="383" t="s">
        <v>2749</v>
      </c>
      <c r="D12" s="383">
        <v>178</v>
      </c>
      <c r="E12" s="405" t="s">
        <v>215</v>
      </c>
      <c r="H12"/>
      <c r="I12"/>
      <c r="J12"/>
      <c r="K12"/>
      <c r="L12"/>
    </row>
    <row r="13" spans="1:19">
      <c r="A13" s="383" t="s">
        <v>2753</v>
      </c>
      <c r="B13" s="383" t="s">
        <v>4063</v>
      </c>
      <c r="C13" s="383" t="s">
        <v>2750</v>
      </c>
      <c r="D13" s="383">
        <v>90</v>
      </c>
      <c r="E13" s="405" t="s">
        <v>215</v>
      </c>
      <c r="H13"/>
      <c r="I13"/>
      <c r="J13"/>
      <c r="K13"/>
      <c r="L13"/>
    </row>
    <row r="14" spans="1:19">
      <c r="A14" s="383" t="s">
        <v>2753</v>
      </c>
      <c r="B14" s="383" t="s">
        <v>4063</v>
      </c>
      <c r="C14" s="383" t="s">
        <v>2751</v>
      </c>
      <c r="D14" s="383">
        <v>10</v>
      </c>
      <c r="E14" s="405" t="s">
        <v>215</v>
      </c>
      <c r="H14"/>
      <c r="I14"/>
      <c r="J14"/>
      <c r="K14"/>
      <c r="L14"/>
    </row>
    <row r="15" spans="1:19">
      <c r="A15" s="383" t="s">
        <v>2753</v>
      </c>
      <c r="B15" s="383" t="s">
        <v>4063</v>
      </c>
      <c r="C15" s="383" t="s">
        <v>2752</v>
      </c>
      <c r="D15" s="383">
        <v>1</v>
      </c>
      <c r="E15" s="405" t="s">
        <v>215</v>
      </c>
      <c r="H15"/>
      <c r="I15"/>
      <c r="J15"/>
      <c r="K15"/>
      <c r="L15"/>
    </row>
    <row r="16" spans="1:19">
      <c r="A16" s="383" t="s">
        <v>1381</v>
      </c>
      <c r="B16" s="383" t="s">
        <v>4064</v>
      </c>
      <c r="C16" s="383" t="s">
        <v>2754</v>
      </c>
      <c r="D16" s="383">
        <v>2</v>
      </c>
      <c r="E16" s="405" t="s">
        <v>215</v>
      </c>
      <c r="H16"/>
      <c r="I16"/>
      <c r="J16"/>
      <c r="K16"/>
      <c r="L16"/>
    </row>
    <row r="17" spans="1:12">
      <c r="A17" s="383" t="s">
        <v>1381</v>
      </c>
      <c r="B17" s="383" t="s">
        <v>4064</v>
      </c>
      <c r="C17" s="383" t="s">
        <v>2755</v>
      </c>
      <c r="D17" s="383">
        <v>928</v>
      </c>
      <c r="E17" s="405" t="s">
        <v>215</v>
      </c>
      <c r="H17"/>
      <c r="I17"/>
      <c r="J17"/>
      <c r="K17"/>
      <c r="L17"/>
    </row>
    <row r="18" spans="1:12">
      <c r="A18" s="383" t="s">
        <v>1381</v>
      </c>
      <c r="B18" s="383" t="s">
        <v>4064</v>
      </c>
      <c r="C18" s="383" t="s">
        <v>2756</v>
      </c>
      <c r="D18" s="383">
        <v>367</v>
      </c>
      <c r="E18" s="405" t="s">
        <v>215</v>
      </c>
      <c r="H18"/>
      <c r="I18"/>
      <c r="J18"/>
      <c r="K18"/>
      <c r="L18"/>
    </row>
    <row r="19" spans="1:12">
      <c r="A19" s="383" t="s">
        <v>1381</v>
      </c>
      <c r="B19" s="383" t="s">
        <v>4064</v>
      </c>
      <c r="C19" s="383" t="s">
        <v>2757</v>
      </c>
      <c r="D19" s="383">
        <v>82</v>
      </c>
      <c r="E19" s="405" t="s">
        <v>215</v>
      </c>
      <c r="H19"/>
      <c r="I19"/>
      <c r="J19"/>
      <c r="K19"/>
      <c r="L19"/>
    </row>
    <row r="20" spans="1:12">
      <c r="A20" s="383" t="s">
        <v>1381</v>
      </c>
      <c r="B20" s="383" t="s">
        <v>4064</v>
      </c>
      <c r="C20" s="383" t="s">
        <v>2758</v>
      </c>
      <c r="D20" s="383">
        <v>23</v>
      </c>
      <c r="E20" s="405" t="s">
        <v>215</v>
      </c>
      <c r="H20"/>
      <c r="I20"/>
      <c r="J20"/>
      <c r="K20"/>
      <c r="L20"/>
    </row>
    <row r="21" spans="1:12">
      <c r="A21" s="383" t="s">
        <v>1381</v>
      </c>
      <c r="B21" s="383" t="s">
        <v>4064</v>
      </c>
      <c r="C21" s="383" t="s">
        <v>2759</v>
      </c>
      <c r="D21" s="383">
        <v>12</v>
      </c>
      <c r="E21" s="405" t="s">
        <v>215</v>
      </c>
      <c r="H21"/>
      <c r="I21"/>
      <c r="J21"/>
      <c r="K21"/>
      <c r="L21"/>
    </row>
    <row r="22" spans="1:12">
      <c r="A22" s="383" t="s">
        <v>1381</v>
      </c>
      <c r="B22" s="383" t="s">
        <v>4064</v>
      </c>
      <c r="C22" s="383" t="s">
        <v>2760</v>
      </c>
      <c r="D22" s="383">
        <v>3</v>
      </c>
      <c r="E22" s="405" t="s">
        <v>215</v>
      </c>
      <c r="H22"/>
      <c r="I22"/>
      <c r="J22"/>
      <c r="K22"/>
      <c r="L22"/>
    </row>
    <row r="23" spans="1:12">
      <c r="A23" s="383" t="s">
        <v>1381</v>
      </c>
      <c r="B23" s="383" t="s">
        <v>4064</v>
      </c>
      <c r="C23" s="383" t="s">
        <v>2761</v>
      </c>
      <c r="D23" s="383">
        <v>0</v>
      </c>
      <c r="E23" s="405" t="s">
        <v>215</v>
      </c>
      <c r="H23"/>
      <c r="I23"/>
      <c r="J23"/>
      <c r="K23"/>
      <c r="L23"/>
    </row>
    <row r="24" spans="1:12">
      <c r="A24" s="383" t="s">
        <v>2753</v>
      </c>
      <c r="B24" s="383" t="s">
        <v>4064</v>
      </c>
      <c r="C24" s="383" t="s">
        <v>2754</v>
      </c>
      <c r="D24" s="383">
        <v>1</v>
      </c>
      <c r="E24" s="405" t="s">
        <v>215</v>
      </c>
      <c r="H24"/>
      <c r="I24"/>
      <c r="J24"/>
      <c r="K24"/>
      <c r="L24"/>
    </row>
    <row r="25" spans="1:12">
      <c r="A25" s="383" t="s">
        <v>2753</v>
      </c>
      <c r="B25" s="383" t="s">
        <v>4064</v>
      </c>
      <c r="C25" s="383" t="s">
        <v>2755</v>
      </c>
      <c r="D25" s="383">
        <v>355</v>
      </c>
      <c r="E25" s="405" t="s">
        <v>215</v>
      </c>
      <c r="H25"/>
      <c r="I25"/>
      <c r="J25"/>
      <c r="K25"/>
      <c r="L25"/>
    </row>
    <row r="26" spans="1:12">
      <c r="A26" s="383" t="s">
        <v>2753</v>
      </c>
      <c r="B26" s="383" t="s">
        <v>4064</v>
      </c>
      <c r="C26" s="383" t="s">
        <v>2756</v>
      </c>
      <c r="D26" s="383">
        <v>108</v>
      </c>
      <c r="E26" s="405" t="s">
        <v>215</v>
      </c>
      <c r="H26"/>
      <c r="I26"/>
      <c r="J26"/>
      <c r="K26"/>
      <c r="L26"/>
    </row>
    <row r="27" spans="1:12">
      <c r="A27" s="383" t="s">
        <v>2753</v>
      </c>
      <c r="B27" s="383" t="s">
        <v>4064</v>
      </c>
      <c r="C27" s="383" t="s">
        <v>2757</v>
      </c>
      <c r="D27" s="383">
        <v>78</v>
      </c>
      <c r="E27" s="405" t="s">
        <v>215</v>
      </c>
      <c r="H27"/>
      <c r="I27"/>
      <c r="J27"/>
      <c r="K27"/>
      <c r="L27"/>
    </row>
    <row r="28" spans="1:12">
      <c r="A28" s="383" t="s">
        <v>2753</v>
      </c>
      <c r="B28" s="383" t="s">
        <v>4064</v>
      </c>
      <c r="C28" s="383" t="s">
        <v>2758</v>
      </c>
      <c r="D28" s="383">
        <v>32</v>
      </c>
      <c r="E28" s="405" t="s">
        <v>215</v>
      </c>
      <c r="H28"/>
      <c r="I28"/>
      <c r="J28"/>
      <c r="K28"/>
      <c r="L28"/>
    </row>
    <row r="29" spans="1:12">
      <c r="A29" s="383" t="s">
        <v>2753</v>
      </c>
      <c r="B29" s="383" t="s">
        <v>4064</v>
      </c>
      <c r="C29" s="383" t="s">
        <v>2759</v>
      </c>
      <c r="D29" s="383">
        <v>8</v>
      </c>
      <c r="E29" s="405" t="s">
        <v>215</v>
      </c>
      <c r="H29"/>
      <c r="I29"/>
      <c r="J29"/>
      <c r="K29"/>
      <c r="L29"/>
    </row>
    <row r="30" spans="1:12">
      <c r="A30" s="383" t="s">
        <v>2753</v>
      </c>
      <c r="B30" s="383" t="s">
        <v>4064</v>
      </c>
      <c r="C30" s="383" t="s">
        <v>2760</v>
      </c>
      <c r="D30" s="383">
        <v>1</v>
      </c>
      <c r="E30" s="405" t="s">
        <v>215</v>
      </c>
      <c r="H30"/>
      <c r="I30"/>
      <c r="J30"/>
      <c r="K30"/>
      <c r="L30"/>
    </row>
    <row r="31" spans="1:12">
      <c r="A31" s="383" t="s">
        <v>2753</v>
      </c>
      <c r="B31" s="383" t="s">
        <v>4064</v>
      </c>
      <c r="C31" s="383" t="s">
        <v>2761</v>
      </c>
      <c r="D31" s="383">
        <v>0</v>
      </c>
      <c r="E31" s="405" t="s">
        <v>215</v>
      </c>
      <c r="H31"/>
      <c r="I31"/>
      <c r="J31"/>
      <c r="K31"/>
      <c r="L31"/>
    </row>
    <row r="32" spans="1:12">
      <c r="A32" s="383" t="s">
        <v>1381</v>
      </c>
      <c r="B32" s="383" t="s">
        <v>4063</v>
      </c>
      <c r="C32" s="383" t="s">
        <v>2744</v>
      </c>
      <c r="D32" s="383">
        <v>3276</v>
      </c>
      <c r="E32" s="405" t="s">
        <v>217</v>
      </c>
      <c r="H32"/>
      <c r="I32"/>
      <c r="J32"/>
      <c r="K32"/>
      <c r="L32"/>
    </row>
    <row r="33" spans="1:12">
      <c r="A33" s="383" t="s">
        <v>1381</v>
      </c>
      <c r="B33" s="383" t="s">
        <v>4063</v>
      </c>
      <c r="C33" s="383" t="s">
        <v>2747</v>
      </c>
      <c r="D33" s="383">
        <v>632</v>
      </c>
      <c r="E33" s="405" t="s">
        <v>217</v>
      </c>
      <c r="H33"/>
      <c r="I33"/>
      <c r="J33"/>
      <c r="K33"/>
      <c r="L33"/>
    </row>
    <row r="34" spans="1:12">
      <c r="A34" s="383" t="s">
        <v>1381</v>
      </c>
      <c r="B34" s="383" t="s">
        <v>4063</v>
      </c>
      <c r="C34" s="383" t="s">
        <v>2748</v>
      </c>
      <c r="D34" s="383">
        <v>61</v>
      </c>
      <c r="E34" s="405" t="s">
        <v>217</v>
      </c>
      <c r="H34"/>
      <c r="I34"/>
      <c r="J34"/>
      <c r="K34"/>
      <c r="L34"/>
    </row>
    <row r="35" spans="1:12">
      <c r="A35" s="383" t="s">
        <v>1381</v>
      </c>
      <c r="B35" s="383" t="s">
        <v>4063</v>
      </c>
      <c r="C35" s="383" t="s">
        <v>2749</v>
      </c>
      <c r="D35" s="383">
        <v>98</v>
      </c>
      <c r="E35" s="405" t="s">
        <v>217</v>
      </c>
      <c r="H35"/>
      <c r="I35"/>
      <c r="J35"/>
      <c r="K35"/>
      <c r="L35"/>
    </row>
    <row r="36" spans="1:12">
      <c r="A36" s="383" t="s">
        <v>1381</v>
      </c>
      <c r="B36" s="383" t="s">
        <v>4063</v>
      </c>
      <c r="C36" s="383" t="s">
        <v>2750</v>
      </c>
      <c r="D36" s="383">
        <v>17</v>
      </c>
      <c r="E36" s="405" t="s">
        <v>217</v>
      </c>
      <c r="H36"/>
      <c r="I36"/>
      <c r="J36"/>
      <c r="K36"/>
      <c r="L36"/>
    </row>
    <row r="37" spans="1:12">
      <c r="A37" s="383" t="s">
        <v>1381</v>
      </c>
      <c r="B37" s="383" t="s">
        <v>4063</v>
      </c>
      <c r="C37" s="383" t="s">
        <v>2751</v>
      </c>
      <c r="D37" s="383">
        <v>0</v>
      </c>
      <c r="E37" s="405" t="s">
        <v>217</v>
      </c>
      <c r="H37"/>
      <c r="I37"/>
      <c r="J37"/>
      <c r="K37"/>
      <c r="L37"/>
    </row>
    <row r="38" spans="1:12">
      <c r="A38" s="383" t="s">
        <v>1381</v>
      </c>
      <c r="B38" s="383" t="s">
        <v>4063</v>
      </c>
      <c r="C38" s="383" t="s">
        <v>2752</v>
      </c>
      <c r="D38" s="383">
        <v>0</v>
      </c>
      <c r="E38" s="405" t="s">
        <v>217</v>
      </c>
      <c r="H38"/>
      <c r="I38"/>
      <c r="J38"/>
      <c r="K38"/>
      <c r="L38"/>
    </row>
    <row r="39" spans="1:12">
      <c r="A39" s="383" t="s">
        <v>2753</v>
      </c>
      <c r="B39" s="383" t="s">
        <v>4063</v>
      </c>
      <c r="C39" s="383" t="s">
        <v>2744</v>
      </c>
      <c r="D39" s="383">
        <v>5071</v>
      </c>
      <c r="E39" s="405" t="s">
        <v>217</v>
      </c>
      <c r="H39"/>
      <c r="I39"/>
      <c r="J39"/>
      <c r="K39"/>
      <c r="L39"/>
    </row>
    <row r="40" spans="1:12">
      <c r="A40" s="383" t="s">
        <v>2753</v>
      </c>
      <c r="B40" s="383" t="s">
        <v>4063</v>
      </c>
      <c r="C40" s="383" t="s">
        <v>2747</v>
      </c>
      <c r="D40" s="383">
        <v>773</v>
      </c>
      <c r="E40" s="405" t="s">
        <v>217</v>
      </c>
      <c r="H40"/>
      <c r="I40"/>
      <c r="J40"/>
      <c r="K40"/>
      <c r="L40"/>
    </row>
    <row r="41" spans="1:12">
      <c r="A41" s="383" t="s">
        <v>2753</v>
      </c>
      <c r="B41" s="383" t="s">
        <v>4063</v>
      </c>
      <c r="C41" s="383" t="s">
        <v>2748</v>
      </c>
      <c r="D41" s="383">
        <v>256</v>
      </c>
      <c r="E41" s="405" t="s">
        <v>217</v>
      </c>
      <c r="H41"/>
      <c r="I41"/>
      <c r="J41"/>
      <c r="K41"/>
      <c r="L41"/>
    </row>
    <row r="42" spans="1:12">
      <c r="A42" s="383" t="s">
        <v>2753</v>
      </c>
      <c r="B42" s="383" t="s">
        <v>4063</v>
      </c>
      <c r="C42" s="383" t="s">
        <v>2749</v>
      </c>
      <c r="D42" s="383">
        <v>176</v>
      </c>
      <c r="E42" s="405" t="s">
        <v>217</v>
      </c>
      <c r="H42"/>
      <c r="I42"/>
      <c r="J42"/>
      <c r="K42"/>
      <c r="L42"/>
    </row>
    <row r="43" spans="1:12">
      <c r="A43" s="383" t="s">
        <v>2753</v>
      </c>
      <c r="B43" s="383" t="s">
        <v>4063</v>
      </c>
      <c r="C43" s="383" t="s">
        <v>2750</v>
      </c>
      <c r="D43" s="383">
        <v>89</v>
      </c>
      <c r="E43" s="405" t="s">
        <v>217</v>
      </c>
      <c r="H43"/>
      <c r="I43"/>
      <c r="J43"/>
      <c r="K43"/>
      <c r="L43"/>
    </row>
    <row r="44" spans="1:12">
      <c r="A44" s="383" t="s">
        <v>2753</v>
      </c>
      <c r="B44" s="383" t="s">
        <v>4063</v>
      </c>
      <c r="C44" s="383" t="s">
        <v>2751</v>
      </c>
      <c r="D44" s="383">
        <v>7</v>
      </c>
      <c r="E44" s="405" t="s">
        <v>217</v>
      </c>
      <c r="H44"/>
      <c r="I44"/>
      <c r="J44"/>
      <c r="K44"/>
      <c r="L44"/>
    </row>
    <row r="45" spans="1:12">
      <c r="A45" s="383" t="s">
        <v>2753</v>
      </c>
      <c r="B45" s="383" t="s">
        <v>4063</v>
      </c>
      <c r="C45" s="383" t="s">
        <v>2752</v>
      </c>
      <c r="D45" s="383">
        <v>1</v>
      </c>
      <c r="E45" s="405" t="s">
        <v>217</v>
      </c>
      <c r="H45"/>
      <c r="I45"/>
      <c r="J45"/>
      <c r="K45"/>
      <c r="L45"/>
    </row>
    <row r="46" spans="1:12">
      <c r="A46" s="383" t="s">
        <v>1381</v>
      </c>
      <c r="B46" s="383" t="s">
        <v>4064</v>
      </c>
      <c r="C46" s="383" t="s">
        <v>2754</v>
      </c>
      <c r="D46" s="383">
        <v>2</v>
      </c>
      <c r="E46" s="405" t="s">
        <v>217</v>
      </c>
      <c r="H46"/>
      <c r="I46"/>
      <c r="J46"/>
      <c r="K46"/>
      <c r="L46"/>
    </row>
    <row r="47" spans="1:12">
      <c r="A47" s="383" t="s">
        <v>1381</v>
      </c>
      <c r="B47" s="383" t="s">
        <v>4064</v>
      </c>
      <c r="C47" s="383" t="s">
        <v>2755</v>
      </c>
      <c r="D47" s="383">
        <v>928</v>
      </c>
      <c r="E47" s="405" t="s">
        <v>217</v>
      </c>
      <c r="H47"/>
      <c r="I47"/>
      <c r="J47"/>
      <c r="K47"/>
      <c r="L47"/>
    </row>
    <row r="48" spans="1:12">
      <c r="A48" s="383" t="s">
        <v>1381</v>
      </c>
      <c r="B48" s="383" t="s">
        <v>4064</v>
      </c>
      <c r="C48" s="383" t="s">
        <v>2756</v>
      </c>
      <c r="D48" s="383">
        <v>367</v>
      </c>
      <c r="E48" s="405" t="s">
        <v>217</v>
      </c>
      <c r="H48"/>
      <c r="I48"/>
      <c r="J48"/>
      <c r="K48"/>
      <c r="L48"/>
    </row>
    <row r="49" spans="1:12">
      <c r="A49" s="383" t="s">
        <v>1381</v>
      </c>
      <c r="B49" s="383" t="s">
        <v>4064</v>
      </c>
      <c r="C49" s="383" t="s">
        <v>2757</v>
      </c>
      <c r="D49" s="383">
        <v>82</v>
      </c>
      <c r="E49" s="405" t="s">
        <v>217</v>
      </c>
      <c r="H49"/>
      <c r="I49"/>
      <c r="J49"/>
      <c r="K49"/>
      <c r="L49"/>
    </row>
    <row r="50" spans="1:12">
      <c r="A50" s="383" t="s">
        <v>1381</v>
      </c>
      <c r="B50" s="383" t="s">
        <v>4064</v>
      </c>
      <c r="C50" s="383" t="s">
        <v>2758</v>
      </c>
      <c r="D50" s="383">
        <v>23</v>
      </c>
      <c r="E50" s="405" t="s">
        <v>217</v>
      </c>
      <c r="H50"/>
      <c r="I50"/>
      <c r="J50"/>
      <c r="K50"/>
      <c r="L50"/>
    </row>
    <row r="51" spans="1:12">
      <c r="A51" s="383" t="s">
        <v>1381</v>
      </c>
      <c r="B51" s="383" t="s">
        <v>4064</v>
      </c>
      <c r="C51" s="383" t="s">
        <v>2759</v>
      </c>
      <c r="D51" s="383">
        <v>12</v>
      </c>
      <c r="E51" s="405" t="s">
        <v>217</v>
      </c>
      <c r="H51"/>
      <c r="I51"/>
      <c r="J51"/>
      <c r="K51"/>
      <c r="L51"/>
    </row>
    <row r="52" spans="1:12">
      <c r="A52" s="383" t="s">
        <v>1381</v>
      </c>
      <c r="B52" s="383" t="s">
        <v>4064</v>
      </c>
      <c r="C52" s="383" t="s">
        <v>2760</v>
      </c>
      <c r="D52" s="383">
        <v>3</v>
      </c>
      <c r="E52" s="405" t="s">
        <v>217</v>
      </c>
      <c r="H52"/>
      <c r="I52"/>
      <c r="J52"/>
      <c r="K52"/>
      <c r="L52"/>
    </row>
    <row r="53" spans="1:12">
      <c r="A53" s="383" t="s">
        <v>1381</v>
      </c>
      <c r="B53" s="383" t="s">
        <v>4064</v>
      </c>
      <c r="C53" s="383" t="s">
        <v>2761</v>
      </c>
      <c r="D53" s="383">
        <v>0</v>
      </c>
      <c r="E53" s="405" t="s">
        <v>217</v>
      </c>
      <c r="H53"/>
      <c r="I53"/>
      <c r="J53"/>
      <c r="K53"/>
      <c r="L53"/>
    </row>
    <row r="54" spans="1:12">
      <c r="A54" s="383" t="s">
        <v>2753</v>
      </c>
      <c r="B54" s="383" t="s">
        <v>4064</v>
      </c>
      <c r="C54" s="383" t="s">
        <v>2754</v>
      </c>
      <c r="D54" s="383">
        <v>1</v>
      </c>
      <c r="E54" s="405" t="s">
        <v>217</v>
      </c>
      <c r="H54"/>
      <c r="I54"/>
      <c r="J54"/>
      <c r="K54"/>
      <c r="L54"/>
    </row>
    <row r="55" spans="1:12">
      <c r="A55" s="383" t="s">
        <v>2753</v>
      </c>
      <c r="B55" s="383" t="s">
        <v>4064</v>
      </c>
      <c r="C55" s="383" t="s">
        <v>2755</v>
      </c>
      <c r="D55" s="383">
        <v>355</v>
      </c>
      <c r="E55" s="405" t="s">
        <v>217</v>
      </c>
      <c r="H55"/>
      <c r="I55"/>
      <c r="J55"/>
      <c r="K55"/>
      <c r="L55"/>
    </row>
    <row r="56" spans="1:12">
      <c r="A56" s="383" t="s">
        <v>2753</v>
      </c>
      <c r="B56" s="383" t="s">
        <v>4064</v>
      </c>
      <c r="C56" s="383" t="s">
        <v>2756</v>
      </c>
      <c r="D56" s="383">
        <v>108</v>
      </c>
      <c r="E56" s="405" t="s">
        <v>217</v>
      </c>
      <c r="H56"/>
      <c r="I56"/>
      <c r="J56"/>
      <c r="K56"/>
      <c r="L56"/>
    </row>
    <row r="57" spans="1:12">
      <c r="A57" s="383" t="s">
        <v>2753</v>
      </c>
      <c r="B57" s="383" t="s">
        <v>4064</v>
      </c>
      <c r="C57" s="383" t="s">
        <v>2757</v>
      </c>
      <c r="D57" s="383">
        <v>78</v>
      </c>
      <c r="E57" s="405" t="s">
        <v>217</v>
      </c>
      <c r="H57"/>
      <c r="I57"/>
      <c r="J57"/>
      <c r="K57"/>
      <c r="L57"/>
    </row>
    <row r="58" spans="1:12">
      <c r="A58" s="383" t="s">
        <v>2753</v>
      </c>
      <c r="B58" s="383" t="s">
        <v>4064</v>
      </c>
      <c r="C58" s="383" t="s">
        <v>2758</v>
      </c>
      <c r="D58" s="383">
        <v>32</v>
      </c>
      <c r="E58" s="405" t="s">
        <v>217</v>
      </c>
      <c r="H58"/>
      <c r="I58"/>
      <c r="J58"/>
      <c r="K58"/>
      <c r="L58"/>
    </row>
    <row r="59" spans="1:12">
      <c r="A59" s="383" t="s">
        <v>2753</v>
      </c>
      <c r="B59" s="383" t="s">
        <v>4064</v>
      </c>
      <c r="C59" s="383" t="s">
        <v>2759</v>
      </c>
      <c r="D59" s="383">
        <v>8</v>
      </c>
      <c r="E59" s="405" t="s">
        <v>217</v>
      </c>
      <c r="H59"/>
      <c r="I59"/>
      <c r="J59"/>
      <c r="K59"/>
      <c r="L59"/>
    </row>
    <row r="60" spans="1:12">
      <c r="A60" s="383" t="s">
        <v>2753</v>
      </c>
      <c r="B60" s="383" t="s">
        <v>4064</v>
      </c>
      <c r="C60" s="383" t="s">
        <v>2760</v>
      </c>
      <c r="D60" s="383">
        <v>1</v>
      </c>
      <c r="E60" s="405" t="s">
        <v>217</v>
      </c>
      <c r="H60"/>
      <c r="I60"/>
      <c r="J60"/>
      <c r="K60"/>
      <c r="L60"/>
    </row>
    <row r="61" spans="1:12">
      <c r="A61" s="383" t="s">
        <v>2753</v>
      </c>
      <c r="B61" s="383" t="s">
        <v>4064</v>
      </c>
      <c r="C61" s="383" t="s">
        <v>2761</v>
      </c>
      <c r="D61" s="383">
        <v>0</v>
      </c>
      <c r="E61" s="405" t="s">
        <v>217</v>
      </c>
      <c r="H61"/>
      <c r="I61"/>
      <c r="J61"/>
      <c r="K61"/>
      <c r="L61"/>
    </row>
    <row r="62" spans="1:12">
      <c r="A62" s="383" t="s">
        <v>1381</v>
      </c>
      <c r="B62" s="383" t="s">
        <v>4063</v>
      </c>
      <c r="C62" s="383" t="s">
        <v>2744</v>
      </c>
      <c r="D62" s="383">
        <v>3006</v>
      </c>
      <c r="E62" s="405" t="s">
        <v>216</v>
      </c>
      <c r="H62"/>
      <c r="I62"/>
      <c r="J62"/>
      <c r="K62"/>
      <c r="L62"/>
    </row>
    <row r="63" spans="1:12">
      <c r="A63" s="383" t="s">
        <v>1381</v>
      </c>
      <c r="B63" s="383" t="s">
        <v>4063</v>
      </c>
      <c r="C63" s="383" t="s">
        <v>2747</v>
      </c>
      <c r="D63" s="383">
        <v>582</v>
      </c>
      <c r="E63" s="405" t="s">
        <v>216</v>
      </c>
      <c r="H63"/>
      <c r="I63"/>
      <c r="J63"/>
      <c r="K63"/>
      <c r="L63"/>
    </row>
    <row r="64" spans="1:12">
      <c r="A64" s="383" t="s">
        <v>1381</v>
      </c>
      <c r="B64" s="383" t="s">
        <v>4063</v>
      </c>
      <c r="C64" s="383" t="s">
        <v>2748</v>
      </c>
      <c r="D64" s="383">
        <v>56</v>
      </c>
      <c r="E64" s="405" t="s">
        <v>216</v>
      </c>
      <c r="H64"/>
      <c r="I64"/>
      <c r="J64"/>
      <c r="K64"/>
      <c r="L64"/>
    </row>
    <row r="65" spans="1:12">
      <c r="A65" s="383" t="s">
        <v>1381</v>
      </c>
      <c r="B65" s="383" t="s">
        <v>4063</v>
      </c>
      <c r="C65" s="383" t="s">
        <v>2749</v>
      </c>
      <c r="D65" s="383">
        <v>93</v>
      </c>
      <c r="E65" s="405" t="s">
        <v>216</v>
      </c>
      <c r="H65"/>
      <c r="I65"/>
      <c r="J65"/>
      <c r="K65"/>
      <c r="L65"/>
    </row>
    <row r="66" spans="1:12">
      <c r="A66" s="383" t="s">
        <v>1381</v>
      </c>
      <c r="B66" s="383" t="s">
        <v>4063</v>
      </c>
      <c r="C66" s="383" t="s">
        <v>2750</v>
      </c>
      <c r="D66" s="383">
        <v>15</v>
      </c>
      <c r="E66" s="405" t="s">
        <v>216</v>
      </c>
      <c r="H66"/>
      <c r="I66"/>
      <c r="J66"/>
      <c r="K66"/>
      <c r="L66"/>
    </row>
    <row r="67" spans="1:12">
      <c r="A67" s="383" t="s">
        <v>1381</v>
      </c>
      <c r="B67" s="383" t="s">
        <v>4063</v>
      </c>
      <c r="C67" s="383" t="s">
        <v>2751</v>
      </c>
      <c r="D67" s="383">
        <v>0</v>
      </c>
      <c r="E67" s="405" t="s">
        <v>216</v>
      </c>
      <c r="H67"/>
      <c r="I67"/>
      <c r="J67"/>
      <c r="K67"/>
      <c r="L67"/>
    </row>
    <row r="68" spans="1:12">
      <c r="A68" s="383" t="s">
        <v>1381</v>
      </c>
      <c r="B68" s="383" t="s">
        <v>4063</v>
      </c>
      <c r="C68" s="383" t="s">
        <v>2752</v>
      </c>
      <c r="D68" s="383">
        <v>0</v>
      </c>
      <c r="E68" s="405" t="s">
        <v>216</v>
      </c>
      <c r="H68"/>
      <c r="I68"/>
      <c r="J68"/>
      <c r="K68"/>
      <c r="L68"/>
    </row>
    <row r="69" spans="1:12">
      <c r="A69" s="383" t="s">
        <v>2753</v>
      </c>
      <c r="B69" s="383" t="s">
        <v>4063</v>
      </c>
      <c r="C69" s="383" t="s">
        <v>2744</v>
      </c>
      <c r="D69" s="383">
        <v>4616</v>
      </c>
      <c r="E69" s="405" t="s">
        <v>216</v>
      </c>
      <c r="H69"/>
      <c r="I69"/>
      <c r="J69"/>
      <c r="K69"/>
      <c r="L69"/>
    </row>
    <row r="70" spans="1:12">
      <c r="A70" s="383" t="s">
        <v>2753</v>
      </c>
      <c r="B70" s="383" t="s">
        <v>4063</v>
      </c>
      <c r="C70" s="383" t="s">
        <v>2747</v>
      </c>
      <c r="D70" s="383">
        <v>756</v>
      </c>
      <c r="E70" s="405" t="s">
        <v>216</v>
      </c>
      <c r="H70"/>
      <c r="I70"/>
      <c r="J70"/>
      <c r="K70"/>
      <c r="L70"/>
    </row>
    <row r="71" spans="1:12">
      <c r="A71" s="383" t="s">
        <v>2753</v>
      </c>
      <c r="B71" s="383" t="s">
        <v>4063</v>
      </c>
      <c r="C71" s="383" t="s">
        <v>2748</v>
      </c>
      <c r="D71" s="383">
        <v>250</v>
      </c>
      <c r="E71" s="405" t="s">
        <v>216</v>
      </c>
      <c r="H71"/>
      <c r="I71"/>
      <c r="J71"/>
      <c r="K71"/>
      <c r="L71"/>
    </row>
    <row r="72" spans="1:12">
      <c r="A72" s="383" t="s">
        <v>2753</v>
      </c>
      <c r="B72" s="383" t="s">
        <v>4063</v>
      </c>
      <c r="C72" s="383" t="s">
        <v>2749</v>
      </c>
      <c r="D72" s="383">
        <v>176</v>
      </c>
      <c r="E72" s="405" t="s">
        <v>216</v>
      </c>
      <c r="H72"/>
      <c r="I72"/>
      <c r="J72"/>
      <c r="K72"/>
      <c r="L72"/>
    </row>
    <row r="73" spans="1:12">
      <c r="A73" s="383" t="s">
        <v>2753</v>
      </c>
      <c r="B73" s="383" t="s">
        <v>4063</v>
      </c>
      <c r="C73" s="383" t="s">
        <v>2750</v>
      </c>
      <c r="D73" s="383">
        <v>89</v>
      </c>
      <c r="E73" s="405" t="s">
        <v>216</v>
      </c>
      <c r="H73"/>
      <c r="I73"/>
      <c r="J73"/>
      <c r="K73"/>
      <c r="L73"/>
    </row>
    <row r="74" spans="1:12">
      <c r="A74" s="383" t="s">
        <v>2753</v>
      </c>
      <c r="B74" s="383" t="s">
        <v>4063</v>
      </c>
      <c r="C74" s="383" t="s">
        <v>2751</v>
      </c>
      <c r="D74" s="383">
        <v>10</v>
      </c>
      <c r="E74" s="405" t="s">
        <v>216</v>
      </c>
      <c r="H74"/>
      <c r="I74"/>
      <c r="J74"/>
      <c r="K74"/>
      <c r="L74"/>
    </row>
    <row r="75" spans="1:12">
      <c r="A75" s="383" t="s">
        <v>2753</v>
      </c>
      <c r="B75" s="383" t="s">
        <v>4063</v>
      </c>
      <c r="C75" s="383" t="s">
        <v>2752</v>
      </c>
      <c r="D75" s="383">
        <v>1</v>
      </c>
      <c r="E75" s="405" t="s">
        <v>216</v>
      </c>
      <c r="H75"/>
      <c r="I75"/>
      <c r="J75"/>
      <c r="K75"/>
      <c r="L75"/>
    </row>
    <row r="76" spans="1:12">
      <c r="A76" s="383" t="s">
        <v>1381</v>
      </c>
      <c r="B76" s="383" t="s">
        <v>4064</v>
      </c>
      <c r="C76" s="383" t="s">
        <v>2754</v>
      </c>
      <c r="D76" s="383">
        <v>2</v>
      </c>
      <c r="E76" s="405" t="s">
        <v>216</v>
      </c>
      <c r="H76"/>
      <c r="I76"/>
      <c r="J76"/>
      <c r="K76"/>
      <c r="L76"/>
    </row>
    <row r="77" spans="1:12">
      <c r="A77" s="383" t="s">
        <v>1381</v>
      </c>
      <c r="B77" s="383" t="s">
        <v>4064</v>
      </c>
      <c r="C77" s="383" t="s">
        <v>2755</v>
      </c>
      <c r="D77" s="383">
        <v>928</v>
      </c>
      <c r="E77" s="405" t="s">
        <v>216</v>
      </c>
      <c r="H77"/>
      <c r="I77"/>
      <c r="J77"/>
      <c r="K77"/>
      <c r="L77"/>
    </row>
    <row r="78" spans="1:12">
      <c r="A78" s="383" t="s">
        <v>1381</v>
      </c>
      <c r="B78" s="383" t="s">
        <v>4064</v>
      </c>
      <c r="C78" s="383" t="s">
        <v>2756</v>
      </c>
      <c r="D78" s="383">
        <v>367</v>
      </c>
      <c r="E78" s="405" t="s">
        <v>216</v>
      </c>
      <c r="H78"/>
      <c r="I78"/>
      <c r="J78"/>
      <c r="K78"/>
      <c r="L78"/>
    </row>
    <row r="79" spans="1:12">
      <c r="A79" s="383" t="s">
        <v>1381</v>
      </c>
      <c r="B79" s="383" t="s">
        <v>4064</v>
      </c>
      <c r="C79" s="383" t="s">
        <v>2757</v>
      </c>
      <c r="D79" s="383">
        <v>82</v>
      </c>
      <c r="E79" s="405" t="s">
        <v>216</v>
      </c>
      <c r="H79"/>
      <c r="I79"/>
      <c r="J79"/>
      <c r="K79"/>
      <c r="L79"/>
    </row>
    <row r="80" spans="1:12">
      <c r="A80" s="383" t="s">
        <v>1381</v>
      </c>
      <c r="B80" s="383" t="s">
        <v>4064</v>
      </c>
      <c r="C80" s="383" t="s">
        <v>2758</v>
      </c>
      <c r="D80" s="383">
        <v>23</v>
      </c>
      <c r="E80" s="405" t="s">
        <v>216</v>
      </c>
      <c r="H80"/>
      <c r="I80"/>
      <c r="J80"/>
      <c r="K80"/>
      <c r="L80"/>
    </row>
    <row r="81" spans="1:12">
      <c r="A81" s="383" t="s">
        <v>1381</v>
      </c>
      <c r="B81" s="383" t="s">
        <v>4064</v>
      </c>
      <c r="C81" s="383" t="s">
        <v>2759</v>
      </c>
      <c r="D81" s="383">
        <v>12</v>
      </c>
      <c r="E81" s="405" t="s">
        <v>216</v>
      </c>
      <c r="H81"/>
      <c r="I81"/>
      <c r="J81"/>
      <c r="K81"/>
      <c r="L81"/>
    </row>
    <row r="82" spans="1:12">
      <c r="A82" s="383" t="s">
        <v>1381</v>
      </c>
      <c r="B82" s="383" t="s">
        <v>4064</v>
      </c>
      <c r="C82" s="383" t="s">
        <v>2760</v>
      </c>
      <c r="D82" s="383">
        <v>3</v>
      </c>
      <c r="E82" s="405" t="s">
        <v>216</v>
      </c>
      <c r="H82"/>
      <c r="I82"/>
      <c r="J82"/>
      <c r="K82"/>
      <c r="L82"/>
    </row>
    <row r="83" spans="1:12">
      <c r="A83" s="383" t="s">
        <v>1381</v>
      </c>
      <c r="B83" s="383" t="s">
        <v>4064</v>
      </c>
      <c r="C83" s="383" t="s">
        <v>2761</v>
      </c>
      <c r="D83" s="383">
        <v>0</v>
      </c>
      <c r="E83" s="405" t="s">
        <v>216</v>
      </c>
      <c r="H83"/>
      <c r="I83"/>
      <c r="J83"/>
      <c r="K83"/>
      <c r="L83"/>
    </row>
    <row r="84" spans="1:12">
      <c r="A84" s="383" t="s">
        <v>2753</v>
      </c>
      <c r="B84" s="383" t="s">
        <v>4064</v>
      </c>
      <c r="C84" s="383" t="s">
        <v>2754</v>
      </c>
      <c r="D84" s="383">
        <v>1</v>
      </c>
      <c r="E84" s="405" t="s">
        <v>216</v>
      </c>
      <c r="H84"/>
      <c r="I84"/>
      <c r="J84"/>
      <c r="K84"/>
      <c r="L84"/>
    </row>
    <row r="85" spans="1:12">
      <c r="A85" s="383" t="s">
        <v>2753</v>
      </c>
      <c r="B85" s="383" t="s">
        <v>4064</v>
      </c>
      <c r="C85" s="383" t="s">
        <v>2755</v>
      </c>
      <c r="D85" s="383">
        <v>355</v>
      </c>
      <c r="E85" s="405" t="s">
        <v>216</v>
      </c>
      <c r="H85"/>
      <c r="I85"/>
      <c r="J85"/>
      <c r="K85"/>
      <c r="L85"/>
    </row>
    <row r="86" spans="1:12">
      <c r="A86" s="383" t="s">
        <v>2753</v>
      </c>
      <c r="B86" s="383" t="s">
        <v>4064</v>
      </c>
      <c r="C86" s="383" t="s">
        <v>2756</v>
      </c>
      <c r="D86" s="383">
        <v>108</v>
      </c>
      <c r="E86" s="405" t="s">
        <v>216</v>
      </c>
      <c r="H86"/>
      <c r="I86"/>
      <c r="J86"/>
      <c r="K86"/>
      <c r="L86"/>
    </row>
    <row r="87" spans="1:12">
      <c r="A87" s="383" t="s">
        <v>2753</v>
      </c>
      <c r="B87" s="383" t="s">
        <v>4064</v>
      </c>
      <c r="C87" s="383" t="s">
        <v>2757</v>
      </c>
      <c r="D87" s="383">
        <v>78</v>
      </c>
      <c r="E87" s="405" t="s">
        <v>216</v>
      </c>
      <c r="H87"/>
      <c r="I87"/>
      <c r="J87"/>
      <c r="K87"/>
      <c r="L87"/>
    </row>
    <row r="88" spans="1:12">
      <c r="A88" s="383" t="s">
        <v>2753</v>
      </c>
      <c r="B88" s="383" t="s">
        <v>4064</v>
      </c>
      <c r="C88" s="383" t="s">
        <v>2758</v>
      </c>
      <c r="D88" s="383">
        <v>32</v>
      </c>
      <c r="E88" s="405" t="s">
        <v>216</v>
      </c>
    </row>
    <row r="89" spans="1:12">
      <c r="A89" s="383" t="s">
        <v>2753</v>
      </c>
      <c r="B89" s="383" t="s">
        <v>4064</v>
      </c>
      <c r="C89" s="383" t="s">
        <v>2759</v>
      </c>
      <c r="D89" s="383">
        <v>8</v>
      </c>
      <c r="E89" s="405" t="s">
        <v>216</v>
      </c>
    </row>
    <row r="90" spans="1:12">
      <c r="A90" s="383" t="s">
        <v>2753</v>
      </c>
      <c r="B90" s="383" t="s">
        <v>4064</v>
      </c>
      <c r="C90" s="383" t="s">
        <v>2760</v>
      </c>
      <c r="D90" s="383">
        <v>1</v>
      </c>
      <c r="E90" s="405" t="s">
        <v>216</v>
      </c>
    </row>
    <row r="91" spans="1:12">
      <c r="A91" s="383" t="s">
        <v>2753</v>
      </c>
      <c r="B91" s="383" t="s">
        <v>4064</v>
      </c>
      <c r="C91" s="383" t="s">
        <v>2761</v>
      </c>
      <c r="D91" s="383">
        <v>0</v>
      </c>
      <c r="E91" s="405" t="s">
        <v>216</v>
      </c>
    </row>
    <row r="92" spans="1:12">
      <c r="A92" s="383" t="s">
        <v>1381</v>
      </c>
      <c r="B92" s="383" t="s">
        <v>4063</v>
      </c>
      <c r="C92" s="383" t="s">
        <v>2744</v>
      </c>
      <c r="D92" s="383">
        <v>2878</v>
      </c>
      <c r="E92" s="405" t="s">
        <v>226</v>
      </c>
    </row>
    <row r="93" spans="1:12">
      <c r="A93" s="383" t="s">
        <v>1381</v>
      </c>
      <c r="B93" s="383" t="s">
        <v>4063</v>
      </c>
      <c r="C93" s="383" t="s">
        <v>2747</v>
      </c>
      <c r="D93" s="383">
        <v>564</v>
      </c>
      <c r="E93" s="405" t="s">
        <v>226</v>
      </c>
    </row>
    <row r="94" spans="1:12">
      <c r="A94" s="383" t="s">
        <v>1381</v>
      </c>
      <c r="B94" s="383" t="s">
        <v>4063</v>
      </c>
      <c r="C94" s="383" t="s">
        <v>2748</v>
      </c>
      <c r="D94" s="383">
        <v>51</v>
      </c>
      <c r="E94" s="405" t="s">
        <v>226</v>
      </c>
    </row>
    <row r="95" spans="1:12">
      <c r="A95" s="383" t="s">
        <v>1381</v>
      </c>
      <c r="B95" s="383" t="s">
        <v>4063</v>
      </c>
      <c r="C95" s="383" t="s">
        <v>2749</v>
      </c>
      <c r="D95" s="383">
        <v>91</v>
      </c>
      <c r="E95" s="405" t="s">
        <v>226</v>
      </c>
    </row>
    <row r="96" spans="1:12">
      <c r="A96" s="383" t="s">
        <v>1381</v>
      </c>
      <c r="B96" s="383" t="s">
        <v>4063</v>
      </c>
      <c r="C96" s="383" t="s">
        <v>2750</v>
      </c>
      <c r="D96" s="383">
        <v>14</v>
      </c>
      <c r="E96" s="405" t="s">
        <v>226</v>
      </c>
    </row>
    <row r="97" spans="1:5">
      <c r="A97" s="383" t="s">
        <v>1381</v>
      </c>
      <c r="B97" s="383" t="s">
        <v>4063</v>
      </c>
      <c r="C97" s="383" t="s">
        <v>2751</v>
      </c>
      <c r="D97" s="383">
        <v>0</v>
      </c>
      <c r="E97" s="405" t="s">
        <v>226</v>
      </c>
    </row>
    <row r="98" spans="1:5">
      <c r="A98" s="383" t="s">
        <v>1381</v>
      </c>
      <c r="B98" s="383" t="s">
        <v>4063</v>
      </c>
      <c r="C98" s="383" t="s">
        <v>2752</v>
      </c>
      <c r="D98" s="383">
        <v>0</v>
      </c>
      <c r="E98" s="405" t="s">
        <v>226</v>
      </c>
    </row>
    <row r="99" spans="1:5">
      <c r="A99" s="383" t="s">
        <v>2753</v>
      </c>
      <c r="B99" s="383" t="s">
        <v>4063</v>
      </c>
      <c r="C99" s="383" t="s">
        <v>2744</v>
      </c>
      <c r="D99" s="383">
        <v>4012</v>
      </c>
      <c r="E99" s="405" t="s">
        <v>226</v>
      </c>
    </row>
    <row r="100" spans="1:5">
      <c r="A100" s="383" t="s">
        <v>2753</v>
      </c>
      <c r="B100" s="383" t="s">
        <v>4063</v>
      </c>
      <c r="C100" s="383" t="s">
        <v>2747</v>
      </c>
      <c r="D100" s="383">
        <v>673</v>
      </c>
      <c r="E100" s="405" t="s">
        <v>226</v>
      </c>
    </row>
    <row r="101" spans="1:5">
      <c r="A101" s="383" t="s">
        <v>2753</v>
      </c>
      <c r="B101" s="383" t="s">
        <v>4063</v>
      </c>
      <c r="C101" s="383" t="s">
        <v>2748</v>
      </c>
      <c r="D101" s="383">
        <v>225</v>
      </c>
      <c r="E101" s="405" t="s">
        <v>226</v>
      </c>
    </row>
    <row r="102" spans="1:5">
      <c r="A102" s="383" t="s">
        <v>2753</v>
      </c>
      <c r="B102" s="383" t="s">
        <v>4063</v>
      </c>
      <c r="C102" s="383" t="s">
        <v>2749</v>
      </c>
      <c r="D102" s="383">
        <v>164</v>
      </c>
      <c r="E102" s="405" t="s">
        <v>226</v>
      </c>
    </row>
    <row r="103" spans="1:5">
      <c r="A103" s="383" t="s">
        <v>2753</v>
      </c>
      <c r="B103" s="383" t="s">
        <v>4063</v>
      </c>
      <c r="C103" s="383" t="s">
        <v>2750</v>
      </c>
      <c r="D103" s="383">
        <v>83</v>
      </c>
      <c r="E103" s="405" t="s">
        <v>226</v>
      </c>
    </row>
    <row r="104" spans="1:5">
      <c r="A104" s="383" t="s">
        <v>2753</v>
      </c>
      <c r="B104" s="383" t="s">
        <v>4063</v>
      </c>
      <c r="C104" s="383" t="s">
        <v>2751</v>
      </c>
      <c r="D104" s="383">
        <v>5</v>
      </c>
      <c r="E104" s="405" t="s">
        <v>226</v>
      </c>
    </row>
    <row r="105" spans="1:5">
      <c r="A105" s="383" t="s">
        <v>2753</v>
      </c>
      <c r="B105" s="383" t="s">
        <v>4063</v>
      </c>
      <c r="C105" s="383" t="s">
        <v>2752</v>
      </c>
      <c r="D105" s="383">
        <v>1</v>
      </c>
      <c r="E105" s="405" t="s">
        <v>226</v>
      </c>
    </row>
    <row r="106" spans="1:5">
      <c r="A106" s="383" t="s">
        <v>1381</v>
      </c>
      <c r="B106" s="383" t="s">
        <v>4064</v>
      </c>
      <c r="C106" s="383" t="s">
        <v>2754</v>
      </c>
      <c r="D106" s="383">
        <v>2</v>
      </c>
      <c r="E106" s="405" t="s">
        <v>226</v>
      </c>
    </row>
    <row r="107" spans="1:5">
      <c r="A107" s="383" t="s">
        <v>1381</v>
      </c>
      <c r="B107" s="383" t="s">
        <v>4064</v>
      </c>
      <c r="C107" s="383" t="s">
        <v>2755</v>
      </c>
      <c r="D107" s="383">
        <v>928</v>
      </c>
      <c r="E107" s="405" t="s">
        <v>226</v>
      </c>
    </row>
    <row r="108" spans="1:5">
      <c r="A108" s="383" t="s">
        <v>1381</v>
      </c>
      <c r="B108" s="383" t="s">
        <v>4064</v>
      </c>
      <c r="C108" s="383" t="s">
        <v>2756</v>
      </c>
      <c r="D108" s="383">
        <v>367</v>
      </c>
      <c r="E108" s="405" t="s">
        <v>226</v>
      </c>
    </row>
    <row r="109" spans="1:5">
      <c r="A109" s="383" t="s">
        <v>1381</v>
      </c>
      <c r="B109" s="383" t="s">
        <v>4064</v>
      </c>
      <c r="C109" s="383" t="s">
        <v>2757</v>
      </c>
      <c r="D109" s="383">
        <v>82</v>
      </c>
      <c r="E109" s="405" t="s">
        <v>226</v>
      </c>
    </row>
    <row r="110" spans="1:5">
      <c r="A110" s="383" t="s">
        <v>1381</v>
      </c>
      <c r="B110" s="383" t="s">
        <v>4064</v>
      </c>
      <c r="C110" s="383" t="s">
        <v>2758</v>
      </c>
      <c r="D110" s="383">
        <v>23</v>
      </c>
      <c r="E110" s="405" t="s">
        <v>226</v>
      </c>
    </row>
    <row r="111" spans="1:5">
      <c r="A111" s="383" t="s">
        <v>1381</v>
      </c>
      <c r="B111" s="383" t="s">
        <v>4064</v>
      </c>
      <c r="C111" s="383" t="s">
        <v>2759</v>
      </c>
      <c r="D111" s="383">
        <v>12</v>
      </c>
      <c r="E111" s="405" t="s">
        <v>226</v>
      </c>
    </row>
    <row r="112" spans="1:5">
      <c r="A112" s="383" t="s">
        <v>1381</v>
      </c>
      <c r="B112" s="383" t="s">
        <v>4064</v>
      </c>
      <c r="C112" s="383" t="s">
        <v>2760</v>
      </c>
      <c r="D112" s="383">
        <v>3</v>
      </c>
      <c r="E112" s="405" t="s">
        <v>226</v>
      </c>
    </row>
    <row r="113" spans="1:5">
      <c r="A113" s="383" t="s">
        <v>1381</v>
      </c>
      <c r="B113" s="383" t="s">
        <v>4064</v>
      </c>
      <c r="C113" s="383" t="s">
        <v>2761</v>
      </c>
      <c r="D113" s="383">
        <v>0</v>
      </c>
      <c r="E113" s="405" t="s">
        <v>226</v>
      </c>
    </row>
    <row r="114" spans="1:5">
      <c r="A114" s="383" t="s">
        <v>2753</v>
      </c>
      <c r="B114" s="383" t="s">
        <v>4064</v>
      </c>
      <c r="C114" s="383" t="s">
        <v>2754</v>
      </c>
      <c r="D114" s="383">
        <v>1</v>
      </c>
      <c r="E114" s="405" t="s">
        <v>226</v>
      </c>
    </row>
    <row r="115" spans="1:5">
      <c r="A115" s="383" t="s">
        <v>2753</v>
      </c>
      <c r="B115" s="383" t="s">
        <v>4064</v>
      </c>
      <c r="C115" s="383" t="s">
        <v>2755</v>
      </c>
      <c r="D115" s="383">
        <v>355</v>
      </c>
      <c r="E115" s="405" t="s">
        <v>226</v>
      </c>
    </row>
    <row r="116" spans="1:5">
      <c r="A116" s="383" t="s">
        <v>2753</v>
      </c>
      <c r="B116" s="383" t="s">
        <v>4064</v>
      </c>
      <c r="C116" s="383" t="s">
        <v>2756</v>
      </c>
      <c r="D116" s="383">
        <v>108</v>
      </c>
      <c r="E116" s="405" t="s">
        <v>226</v>
      </c>
    </row>
    <row r="117" spans="1:5">
      <c r="A117" s="383" t="s">
        <v>2753</v>
      </c>
      <c r="B117" s="383" t="s">
        <v>4064</v>
      </c>
      <c r="C117" s="383" t="s">
        <v>2757</v>
      </c>
      <c r="D117" s="383">
        <v>78</v>
      </c>
      <c r="E117" s="405" t="s">
        <v>226</v>
      </c>
    </row>
    <row r="118" spans="1:5">
      <c r="A118" s="383" t="s">
        <v>2753</v>
      </c>
      <c r="B118" s="383" t="s">
        <v>4064</v>
      </c>
      <c r="C118" s="383" t="s">
        <v>2758</v>
      </c>
      <c r="D118" s="383">
        <v>28</v>
      </c>
      <c r="E118" s="405" t="s">
        <v>226</v>
      </c>
    </row>
    <row r="119" spans="1:5">
      <c r="A119" s="383" t="s">
        <v>2753</v>
      </c>
      <c r="B119" s="383" t="s">
        <v>4064</v>
      </c>
      <c r="C119" s="383" t="s">
        <v>2759</v>
      </c>
      <c r="D119" s="383">
        <v>5</v>
      </c>
      <c r="E119" s="405" t="s">
        <v>226</v>
      </c>
    </row>
    <row r="120" spans="1:5">
      <c r="A120" s="383" t="s">
        <v>2753</v>
      </c>
      <c r="B120" s="383" t="s">
        <v>4064</v>
      </c>
      <c r="C120" s="383" t="s">
        <v>2760</v>
      </c>
      <c r="D120" s="383">
        <v>1</v>
      </c>
      <c r="E120" s="405" t="s">
        <v>226</v>
      </c>
    </row>
    <row r="121" spans="1:5">
      <c r="A121" s="383" t="s">
        <v>2753</v>
      </c>
      <c r="B121" s="383" t="s">
        <v>4064</v>
      </c>
      <c r="C121" s="383" t="s">
        <v>2761</v>
      </c>
      <c r="D121" s="383">
        <v>0</v>
      </c>
      <c r="E121" s="405" t="s">
        <v>226</v>
      </c>
    </row>
    <row r="122" spans="1:5">
      <c r="A122" s="383" t="s">
        <v>1381</v>
      </c>
      <c r="B122" s="383" t="s">
        <v>4063</v>
      </c>
      <c r="C122" s="383" t="s">
        <v>2744</v>
      </c>
      <c r="D122" s="383">
        <v>2651</v>
      </c>
      <c r="E122" s="405" t="s">
        <v>2502</v>
      </c>
    </row>
    <row r="123" spans="1:5">
      <c r="A123" s="383" t="s">
        <v>1381</v>
      </c>
      <c r="B123" s="383" t="s">
        <v>4063</v>
      </c>
      <c r="C123" s="383" t="s">
        <v>2747</v>
      </c>
      <c r="D123" s="383">
        <v>472</v>
      </c>
      <c r="E123" s="405" t="s">
        <v>2502</v>
      </c>
    </row>
    <row r="124" spans="1:5">
      <c r="A124" s="383" t="s">
        <v>1381</v>
      </c>
      <c r="B124" s="383" t="s">
        <v>4063</v>
      </c>
      <c r="C124" s="383" t="s">
        <v>2748</v>
      </c>
      <c r="D124" s="383">
        <v>23</v>
      </c>
      <c r="E124" s="405" t="s">
        <v>2502</v>
      </c>
    </row>
    <row r="125" spans="1:5">
      <c r="A125" s="383" t="s">
        <v>1381</v>
      </c>
      <c r="B125" s="383" t="s">
        <v>4063</v>
      </c>
      <c r="C125" s="383" t="s">
        <v>2749</v>
      </c>
      <c r="D125" s="383">
        <v>84</v>
      </c>
      <c r="E125" s="405" t="s">
        <v>2502</v>
      </c>
    </row>
    <row r="126" spans="1:5">
      <c r="A126" s="383" t="s">
        <v>1381</v>
      </c>
      <c r="B126" s="383" t="s">
        <v>4063</v>
      </c>
      <c r="C126" s="383" t="s">
        <v>2750</v>
      </c>
      <c r="D126" s="383">
        <v>12</v>
      </c>
      <c r="E126" s="405" t="s">
        <v>2502</v>
      </c>
    </row>
    <row r="127" spans="1:5">
      <c r="A127" s="383" t="s">
        <v>1381</v>
      </c>
      <c r="B127" s="383" t="s">
        <v>4063</v>
      </c>
      <c r="C127" s="383" t="s">
        <v>2751</v>
      </c>
      <c r="D127" s="383">
        <v>0</v>
      </c>
      <c r="E127" s="405" t="s">
        <v>2502</v>
      </c>
    </row>
    <row r="128" spans="1:5">
      <c r="A128" s="383" t="s">
        <v>1381</v>
      </c>
      <c r="B128" s="383" t="s">
        <v>4063</v>
      </c>
      <c r="C128" s="383" t="s">
        <v>2752</v>
      </c>
      <c r="D128" s="383">
        <v>0</v>
      </c>
      <c r="E128" s="405" t="s">
        <v>2502</v>
      </c>
    </row>
    <row r="129" spans="1:5">
      <c r="A129" s="383" t="s">
        <v>2753</v>
      </c>
      <c r="B129" s="383" t="s">
        <v>4063</v>
      </c>
      <c r="C129" s="383" t="s">
        <v>2744</v>
      </c>
      <c r="D129" s="383">
        <v>3417</v>
      </c>
      <c r="E129" s="405" t="s">
        <v>2502</v>
      </c>
    </row>
    <row r="130" spans="1:5">
      <c r="A130" s="383" t="s">
        <v>2753</v>
      </c>
      <c r="B130" s="383" t="s">
        <v>4063</v>
      </c>
      <c r="C130" s="383" t="s">
        <v>2747</v>
      </c>
      <c r="D130" s="383">
        <v>567</v>
      </c>
      <c r="E130" s="405" t="s">
        <v>2502</v>
      </c>
    </row>
    <row r="131" spans="1:5">
      <c r="A131" s="383" t="s">
        <v>2753</v>
      </c>
      <c r="B131" s="383" t="s">
        <v>4063</v>
      </c>
      <c r="C131" s="383" t="s">
        <v>2748</v>
      </c>
      <c r="D131" s="383">
        <v>205</v>
      </c>
      <c r="E131" s="405" t="s">
        <v>2502</v>
      </c>
    </row>
    <row r="132" spans="1:5">
      <c r="A132" s="383" t="s">
        <v>2753</v>
      </c>
      <c r="B132" s="383" t="s">
        <v>4063</v>
      </c>
      <c r="C132" s="383" t="s">
        <v>2749</v>
      </c>
      <c r="D132" s="383">
        <v>150</v>
      </c>
      <c r="E132" s="405" t="s">
        <v>2502</v>
      </c>
    </row>
    <row r="133" spans="1:5">
      <c r="A133" s="383" t="s">
        <v>2753</v>
      </c>
      <c r="B133" s="383" t="s">
        <v>4063</v>
      </c>
      <c r="C133" s="383" t="s">
        <v>2750</v>
      </c>
      <c r="D133" s="383">
        <v>57</v>
      </c>
      <c r="E133" s="405" t="s">
        <v>2502</v>
      </c>
    </row>
    <row r="134" spans="1:5">
      <c r="A134" s="383" t="s">
        <v>2753</v>
      </c>
      <c r="B134" s="383" t="s">
        <v>4063</v>
      </c>
      <c r="C134" s="383" t="s">
        <v>2751</v>
      </c>
      <c r="D134" s="383">
        <v>4</v>
      </c>
      <c r="E134" s="405" t="s">
        <v>2502</v>
      </c>
    </row>
    <row r="135" spans="1:5">
      <c r="A135" s="383" t="s">
        <v>2753</v>
      </c>
      <c r="B135" s="383" t="s">
        <v>4063</v>
      </c>
      <c r="C135" s="383" t="s">
        <v>2752</v>
      </c>
      <c r="D135" s="383">
        <v>1</v>
      </c>
      <c r="E135" s="405" t="s">
        <v>2502</v>
      </c>
    </row>
    <row r="136" spans="1:5">
      <c r="A136" s="383" t="s">
        <v>1381</v>
      </c>
      <c r="B136" s="383" t="s">
        <v>4064</v>
      </c>
      <c r="C136" s="383" t="s">
        <v>2754</v>
      </c>
      <c r="D136" s="383">
        <v>2</v>
      </c>
      <c r="E136" s="405" t="s">
        <v>2502</v>
      </c>
    </row>
    <row r="137" spans="1:5">
      <c r="A137" s="383" t="s">
        <v>1381</v>
      </c>
      <c r="B137" s="383" t="s">
        <v>4064</v>
      </c>
      <c r="C137" s="383" t="s">
        <v>2755</v>
      </c>
      <c r="D137" s="383">
        <v>918</v>
      </c>
      <c r="E137" s="405" t="s">
        <v>2502</v>
      </c>
    </row>
    <row r="138" spans="1:5">
      <c r="A138" s="383" t="s">
        <v>1381</v>
      </c>
      <c r="B138" s="383" t="s">
        <v>4064</v>
      </c>
      <c r="C138" s="383" t="s">
        <v>2756</v>
      </c>
      <c r="D138" s="383">
        <v>365</v>
      </c>
      <c r="E138" s="405" t="s">
        <v>2502</v>
      </c>
    </row>
    <row r="139" spans="1:5">
      <c r="A139" s="383" t="s">
        <v>1381</v>
      </c>
      <c r="B139" s="383" t="s">
        <v>4064</v>
      </c>
      <c r="C139" s="383" t="s">
        <v>2757</v>
      </c>
      <c r="D139" s="383">
        <v>82</v>
      </c>
      <c r="E139" s="405" t="s">
        <v>2502</v>
      </c>
    </row>
    <row r="140" spans="1:5">
      <c r="A140" s="383" t="s">
        <v>1381</v>
      </c>
      <c r="B140" s="383" t="s">
        <v>4064</v>
      </c>
      <c r="C140" s="383" t="s">
        <v>2758</v>
      </c>
      <c r="D140" s="383">
        <v>23</v>
      </c>
      <c r="E140" s="405" t="s">
        <v>2502</v>
      </c>
    </row>
    <row r="141" spans="1:5">
      <c r="A141" s="383" t="s">
        <v>1381</v>
      </c>
      <c r="B141" s="383" t="s">
        <v>4064</v>
      </c>
      <c r="C141" s="383" t="s">
        <v>2759</v>
      </c>
      <c r="D141" s="383">
        <v>12</v>
      </c>
      <c r="E141" s="405" t="s">
        <v>2502</v>
      </c>
    </row>
    <row r="142" spans="1:5">
      <c r="A142" s="383" t="s">
        <v>1381</v>
      </c>
      <c r="B142" s="383" t="s">
        <v>4064</v>
      </c>
      <c r="C142" s="383" t="s">
        <v>2760</v>
      </c>
      <c r="D142" s="383">
        <v>3</v>
      </c>
      <c r="E142" s="405" t="s">
        <v>2502</v>
      </c>
    </row>
    <row r="143" spans="1:5">
      <c r="A143" s="383" t="s">
        <v>1381</v>
      </c>
      <c r="B143" s="383" t="s">
        <v>4064</v>
      </c>
      <c r="C143" s="383" t="s">
        <v>2761</v>
      </c>
      <c r="D143" s="383">
        <v>0</v>
      </c>
      <c r="E143" s="405" t="s">
        <v>2502</v>
      </c>
    </row>
    <row r="144" spans="1:5">
      <c r="A144" s="383" t="s">
        <v>2753</v>
      </c>
      <c r="B144" s="383" t="s">
        <v>4064</v>
      </c>
      <c r="C144" s="383" t="s">
        <v>2754</v>
      </c>
      <c r="D144" s="383">
        <v>1</v>
      </c>
      <c r="E144" s="405" t="s">
        <v>2502</v>
      </c>
    </row>
    <row r="145" spans="1:5">
      <c r="A145" s="383" t="s">
        <v>2753</v>
      </c>
      <c r="B145" s="383" t="s">
        <v>4064</v>
      </c>
      <c r="C145" s="383" t="s">
        <v>2755</v>
      </c>
      <c r="D145" s="383">
        <v>155</v>
      </c>
      <c r="E145" s="405" t="s">
        <v>2502</v>
      </c>
    </row>
    <row r="146" spans="1:5">
      <c r="A146" s="383" t="s">
        <v>2753</v>
      </c>
      <c r="B146" s="383" t="s">
        <v>4064</v>
      </c>
      <c r="C146" s="383" t="s">
        <v>2756</v>
      </c>
      <c r="D146" s="383">
        <v>78</v>
      </c>
      <c r="E146" s="405" t="s">
        <v>2502</v>
      </c>
    </row>
    <row r="147" spans="1:5">
      <c r="A147" s="383" t="s">
        <v>2753</v>
      </c>
      <c r="B147" s="383" t="s">
        <v>4064</v>
      </c>
      <c r="C147" s="383" t="s">
        <v>2757</v>
      </c>
      <c r="D147" s="383">
        <v>66</v>
      </c>
      <c r="E147" s="405" t="s">
        <v>2502</v>
      </c>
    </row>
    <row r="148" spans="1:5">
      <c r="A148" s="383" t="s">
        <v>2753</v>
      </c>
      <c r="B148" s="383" t="s">
        <v>4064</v>
      </c>
      <c r="C148" s="383" t="s">
        <v>2758</v>
      </c>
      <c r="D148" s="383">
        <v>25</v>
      </c>
      <c r="E148" s="405" t="s">
        <v>2502</v>
      </c>
    </row>
    <row r="149" spans="1:5">
      <c r="A149" s="383" t="s">
        <v>2753</v>
      </c>
      <c r="B149" s="383" t="s">
        <v>4064</v>
      </c>
      <c r="C149" s="383" t="s">
        <v>2759</v>
      </c>
      <c r="D149" s="383">
        <v>4</v>
      </c>
      <c r="E149" s="405" t="s">
        <v>2502</v>
      </c>
    </row>
    <row r="150" spans="1:5">
      <c r="A150" s="383" t="s">
        <v>2753</v>
      </c>
      <c r="B150" s="383" t="s">
        <v>4064</v>
      </c>
      <c r="C150" s="383" t="s">
        <v>2760</v>
      </c>
      <c r="D150" s="383">
        <v>0</v>
      </c>
      <c r="E150" s="405" t="s">
        <v>2502</v>
      </c>
    </row>
    <row r="151" spans="1:5">
      <c r="A151" s="383" t="s">
        <v>2753</v>
      </c>
      <c r="B151" s="383" t="s">
        <v>4064</v>
      </c>
      <c r="C151" s="383" t="s">
        <v>2761</v>
      </c>
      <c r="D151" s="383">
        <v>0</v>
      </c>
      <c r="E151" s="405" t="s">
        <v>2502</v>
      </c>
    </row>
    <row r="152" spans="1:5">
      <c r="A152" s="383" t="s">
        <v>1381</v>
      </c>
      <c r="B152" s="383" t="s">
        <v>4063</v>
      </c>
      <c r="C152" s="383" t="s">
        <v>2744</v>
      </c>
      <c r="D152" s="383">
        <v>1755</v>
      </c>
      <c r="E152" s="405" t="s">
        <v>3992</v>
      </c>
    </row>
    <row r="153" spans="1:5">
      <c r="A153" s="383" t="s">
        <v>1381</v>
      </c>
      <c r="B153" s="383" t="s">
        <v>4063</v>
      </c>
      <c r="C153" s="383" t="s">
        <v>2747</v>
      </c>
      <c r="D153" s="383">
        <v>252</v>
      </c>
      <c r="E153" s="405" t="s">
        <v>3992</v>
      </c>
    </row>
    <row r="154" spans="1:5">
      <c r="A154" s="383" t="s">
        <v>1381</v>
      </c>
      <c r="B154" s="383" t="s">
        <v>4063</v>
      </c>
      <c r="C154" s="383" t="s">
        <v>2748</v>
      </c>
      <c r="D154" s="383">
        <v>7</v>
      </c>
      <c r="E154" s="405" t="s">
        <v>3992</v>
      </c>
    </row>
    <row r="155" spans="1:5">
      <c r="A155" s="383" t="s">
        <v>1381</v>
      </c>
      <c r="B155" s="383" t="s">
        <v>4063</v>
      </c>
      <c r="C155" s="383" t="s">
        <v>2749</v>
      </c>
      <c r="D155" s="383">
        <v>77</v>
      </c>
      <c r="E155" s="405" t="s">
        <v>3992</v>
      </c>
    </row>
    <row r="156" spans="1:5">
      <c r="A156" s="383" t="s">
        <v>1381</v>
      </c>
      <c r="B156" s="383" t="s">
        <v>4063</v>
      </c>
      <c r="C156" s="383" t="s">
        <v>2750</v>
      </c>
      <c r="D156" s="383">
        <v>12</v>
      </c>
      <c r="E156" s="405" t="s">
        <v>3992</v>
      </c>
    </row>
    <row r="157" spans="1:5">
      <c r="A157" s="383" t="s">
        <v>1381</v>
      </c>
      <c r="B157" s="383" t="s">
        <v>4063</v>
      </c>
      <c r="C157" s="383" t="s">
        <v>2751</v>
      </c>
      <c r="D157" s="383">
        <v>0</v>
      </c>
      <c r="E157" s="405" t="s">
        <v>3992</v>
      </c>
    </row>
    <row r="158" spans="1:5">
      <c r="A158" s="383" t="s">
        <v>1381</v>
      </c>
      <c r="B158" s="383" t="s">
        <v>4063</v>
      </c>
      <c r="C158" s="383" t="s">
        <v>2752</v>
      </c>
      <c r="D158" s="383">
        <v>0</v>
      </c>
      <c r="E158" s="405" t="s">
        <v>3992</v>
      </c>
    </row>
    <row r="159" spans="1:5">
      <c r="A159" s="383" t="s">
        <v>2753</v>
      </c>
      <c r="B159" s="383" t="s">
        <v>4063</v>
      </c>
      <c r="C159" s="383" t="s">
        <v>2744</v>
      </c>
      <c r="D159" s="383">
        <v>3696</v>
      </c>
      <c r="E159" s="405" t="s">
        <v>3992</v>
      </c>
    </row>
    <row r="160" spans="1:5">
      <c r="A160" s="383" t="s">
        <v>2753</v>
      </c>
      <c r="B160" s="383" t="s">
        <v>4063</v>
      </c>
      <c r="C160" s="383" t="s">
        <v>2747</v>
      </c>
      <c r="D160" s="383">
        <v>849</v>
      </c>
      <c r="E160" s="405" t="s">
        <v>3992</v>
      </c>
    </row>
    <row r="161" spans="1:5">
      <c r="A161" s="383" t="s">
        <v>2753</v>
      </c>
      <c r="B161" s="383" t="s">
        <v>4063</v>
      </c>
      <c r="C161" s="383" t="s">
        <v>2748</v>
      </c>
      <c r="D161" s="383">
        <v>220</v>
      </c>
      <c r="E161" s="405" t="s">
        <v>3992</v>
      </c>
    </row>
    <row r="162" spans="1:5">
      <c r="A162" s="383" t="s">
        <v>2753</v>
      </c>
      <c r="B162" s="383" t="s">
        <v>4063</v>
      </c>
      <c r="C162" s="383" t="s">
        <v>2749</v>
      </c>
      <c r="D162" s="383">
        <v>150</v>
      </c>
      <c r="E162" s="405" t="s">
        <v>3992</v>
      </c>
    </row>
    <row r="163" spans="1:5">
      <c r="A163" s="383" t="s">
        <v>2753</v>
      </c>
      <c r="B163" s="383" t="s">
        <v>4063</v>
      </c>
      <c r="C163" s="383" t="s">
        <v>2750</v>
      </c>
      <c r="D163" s="383">
        <v>64</v>
      </c>
      <c r="E163" s="405" t="s">
        <v>3992</v>
      </c>
    </row>
    <row r="164" spans="1:5">
      <c r="A164" s="383" t="s">
        <v>2753</v>
      </c>
      <c r="B164" s="383" t="s">
        <v>4063</v>
      </c>
      <c r="C164" s="383" t="s">
        <v>2751</v>
      </c>
      <c r="D164" s="383">
        <v>7</v>
      </c>
      <c r="E164" s="405" t="s">
        <v>3992</v>
      </c>
    </row>
    <row r="165" spans="1:5">
      <c r="A165" s="383" t="s">
        <v>2753</v>
      </c>
      <c r="B165" s="383" t="s">
        <v>4063</v>
      </c>
      <c r="C165" s="383" t="s">
        <v>2752</v>
      </c>
      <c r="D165" s="383">
        <v>0</v>
      </c>
      <c r="E165" s="405" t="s">
        <v>3992</v>
      </c>
    </row>
    <row r="166" spans="1:5">
      <c r="A166" s="383" t="s">
        <v>1381</v>
      </c>
      <c r="B166" s="383" t="s">
        <v>4064</v>
      </c>
      <c r="C166" s="383" t="s">
        <v>2754</v>
      </c>
      <c r="D166" s="383">
        <v>1</v>
      </c>
      <c r="E166" s="405" t="s">
        <v>3992</v>
      </c>
    </row>
    <row r="167" spans="1:5">
      <c r="A167" s="383" t="s">
        <v>1381</v>
      </c>
      <c r="B167" s="383" t="s">
        <v>4064</v>
      </c>
      <c r="C167" s="383" t="s">
        <v>2755</v>
      </c>
      <c r="D167" s="383">
        <v>657</v>
      </c>
      <c r="E167" s="405" t="s">
        <v>3992</v>
      </c>
    </row>
    <row r="168" spans="1:5">
      <c r="A168" s="383" t="s">
        <v>1381</v>
      </c>
      <c r="B168" s="383" t="s">
        <v>4064</v>
      </c>
      <c r="C168" s="383" t="s">
        <v>2756</v>
      </c>
      <c r="D168" s="383">
        <v>365</v>
      </c>
      <c r="E168" s="405" t="s">
        <v>3992</v>
      </c>
    </row>
    <row r="169" spans="1:5">
      <c r="A169" s="383" t="s">
        <v>1381</v>
      </c>
      <c r="B169" s="383" t="s">
        <v>4064</v>
      </c>
      <c r="C169" s="383" t="s">
        <v>2757</v>
      </c>
      <c r="D169" s="383">
        <v>82</v>
      </c>
      <c r="E169" s="405" t="s">
        <v>3992</v>
      </c>
    </row>
    <row r="170" spans="1:5">
      <c r="A170" s="383" t="s">
        <v>1381</v>
      </c>
      <c r="B170" s="383" t="s">
        <v>4064</v>
      </c>
      <c r="C170" s="383" t="s">
        <v>2758</v>
      </c>
      <c r="D170" s="383">
        <v>23</v>
      </c>
      <c r="E170" s="405" t="s">
        <v>3992</v>
      </c>
    </row>
    <row r="171" spans="1:5">
      <c r="A171" s="383" t="s">
        <v>1381</v>
      </c>
      <c r="B171" s="383" t="s">
        <v>4064</v>
      </c>
      <c r="C171" s="383" t="s">
        <v>2759</v>
      </c>
      <c r="D171" s="383">
        <v>12</v>
      </c>
      <c r="E171" s="405" t="s">
        <v>3992</v>
      </c>
    </row>
    <row r="172" spans="1:5">
      <c r="A172" s="383" t="s">
        <v>1381</v>
      </c>
      <c r="B172" s="383" t="s">
        <v>4064</v>
      </c>
      <c r="C172" s="383" t="s">
        <v>2760</v>
      </c>
      <c r="D172" s="383">
        <v>3</v>
      </c>
      <c r="E172" s="405" t="s">
        <v>3992</v>
      </c>
    </row>
    <row r="173" spans="1:5">
      <c r="A173" s="383" t="s">
        <v>1381</v>
      </c>
      <c r="B173" s="383" t="s">
        <v>4064</v>
      </c>
      <c r="C173" s="383" t="s">
        <v>2761</v>
      </c>
      <c r="D173" s="383">
        <v>0</v>
      </c>
      <c r="E173" s="405" t="s">
        <v>3992</v>
      </c>
    </row>
    <row r="174" spans="1:5">
      <c r="A174" s="383" t="s">
        <v>2753</v>
      </c>
      <c r="B174" s="383" t="s">
        <v>4064</v>
      </c>
      <c r="C174" s="383" t="s">
        <v>2754</v>
      </c>
      <c r="D174" s="383">
        <v>2</v>
      </c>
      <c r="E174" s="405" t="s">
        <v>3992</v>
      </c>
    </row>
    <row r="175" spans="1:5">
      <c r="A175" s="383" t="s">
        <v>2753</v>
      </c>
      <c r="B175" s="383" t="s">
        <v>4064</v>
      </c>
      <c r="C175" s="383" t="s">
        <v>2755</v>
      </c>
      <c r="D175" s="383">
        <v>325</v>
      </c>
      <c r="E175" s="405" t="s">
        <v>3992</v>
      </c>
    </row>
    <row r="176" spans="1:5">
      <c r="A176" s="383" t="s">
        <v>2753</v>
      </c>
      <c r="B176" s="383" t="s">
        <v>4064</v>
      </c>
      <c r="C176" s="383" t="s">
        <v>2756</v>
      </c>
      <c r="D176" s="383">
        <v>88</v>
      </c>
      <c r="E176" s="405" t="s">
        <v>3992</v>
      </c>
    </row>
    <row r="177" spans="1:5">
      <c r="A177" s="383" t="s">
        <v>2753</v>
      </c>
      <c r="B177" s="383" t="s">
        <v>4064</v>
      </c>
      <c r="C177" s="383" t="s">
        <v>2757</v>
      </c>
      <c r="D177" s="383">
        <v>66</v>
      </c>
      <c r="E177" s="405" t="s">
        <v>3992</v>
      </c>
    </row>
    <row r="178" spans="1:5">
      <c r="A178" s="383" t="s">
        <v>2753</v>
      </c>
      <c r="B178" s="383" t="s">
        <v>4064</v>
      </c>
      <c r="C178" s="383" t="s">
        <v>2758</v>
      </c>
      <c r="D178" s="383">
        <v>25</v>
      </c>
      <c r="E178" s="405" t="s">
        <v>3992</v>
      </c>
    </row>
    <row r="179" spans="1:5">
      <c r="A179" s="383" t="s">
        <v>2753</v>
      </c>
      <c r="B179" s="383" t="s">
        <v>4064</v>
      </c>
      <c r="C179" s="383" t="s">
        <v>2759</v>
      </c>
      <c r="D179" s="383">
        <v>4</v>
      </c>
      <c r="E179" s="405" t="s">
        <v>3992</v>
      </c>
    </row>
    <row r="180" spans="1:5">
      <c r="A180" s="383" t="s">
        <v>2753</v>
      </c>
      <c r="B180" s="383" t="s">
        <v>4064</v>
      </c>
      <c r="C180" s="383" t="s">
        <v>2760</v>
      </c>
      <c r="D180" s="383">
        <v>0</v>
      </c>
      <c r="E180" s="405" t="s">
        <v>3992</v>
      </c>
    </row>
    <row r="181" spans="1:5">
      <c r="A181" s="383" t="s">
        <v>2753</v>
      </c>
      <c r="B181" s="383" t="s">
        <v>4064</v>
      </c>
      <c r="C181" s="383" t="s">
        <v>2761</v>
      </c>
      <c r="D181" s="383">
        <v>0</v>
      </c>
      <c r="E181" s="405" t="s">
        <v>3992</v>
      </c>
    </row>
    <row r="182" spans="1:5">
      <c r="A182" s="383" t="s">
        <v>1381</v>
      </c>
      <c r="B182" s="383" t="s">
        <v>4063</v>
      </c>
      <c r="C182" s="383" t="s">
        <v>2744</v>
      </c>
      <c r="D182" s="383">
        <v>1040</v>
      </c>
      <c r="E182" s="405" t="s">
        <v>4023</v>
      </c>
    </row>
    <row r="183" spans="1:5">
      <c r="A183" s="383" t="s">
        <v>1381</v>
      </c>
      <c r="B183" s="383" t="s">
        <v>4063</v>
      </c>
      <c r="C183" s="383" t="s">
        <v>2747</v>
      </c>
      <c r="D183" s="383">
        <v>217</v>
      </c>
      <c r="E183" s="405" t="s">
        <v>4023</v>
      </c>
    </row>
    <row r="184" spans="1:5">
      <c r="A184" s="383" t="s">
        <v>1381</v>
      </c>
      <c r="B184" s="383" t="s">
        <v>4063</v>
      </c>
      <c r="C184" s="383" t="s">
        <v>2748</v>
      </c>
      <c r="D184" s="383">
        <v>7</v>
      </c>
      <c r="E184" s="405" t="s">
        <v>4023</v>
      </c>
    </row>
    <row r="185" spans="1:5">
      <c r="A185" s="383" t="s">
        <v>1381</v>
      </c>
      <c r="B185" s="383" t="s">
        <v>4063</v>
      </c>
      <c r="C185" s="383" t="s">
        <v>2749</v>
      </c>
      <c r="D185" s="383">
        <v>74</v>
      </c>
      <c r="E185" s="405" t="s">
        <v>4023</v>
      </c>
    </row>
    <row r="186" spans="1:5">
      <c r="A186" s="383" t="s">
        <v>1381</v>
      </c>
      <c r="B186" s="383" t="s">
        <v>4063</v>
      </c>
      <c r="C186" s="383" t="s">
        <v>2750</v>
      </c>
      <c r="D186" s="383">
        <v>8</v>
      </c>
      <c r="E186" s="405" t="s">
        <v>4023</v>
      </c>
    </row>
    <row r="187" spans="1:5">
      <c r="A187" s="383" t="s">
        <v>1381</v>
      </c>
      <c r="B187" s="383" t="s">
        <v>4063</v>
      </c>
      <c r="C187" s="383" t="s">
        <v>2751</v>
      </c>
      <c r="D187" s="383">
        <v>0</v>
      </c>
      <c r="E187" s="405" t="s">
        <v>4023</v>
      </c>
    </row>
    <row r="188" spans="1:5">
      <c r="A188" s="383" t="s">
        <v>1381</v>
      </c>
      <c r="B188" s="383" t="s">
        <v>4063</v>
      </c>
      <c r="C188" s="383" t="s">
        <v>2752</v>
      </c>
      <c r="D188" s="383">
        <v>0</v>
      </c>
      <c r="E188" s="405" t="s">
        <v>4023</v>
      </c>
    </row>
    <row r="189" spans="1:5">
      <c r="A189" s="383" t="s">
        <v>1381</v>
      </c>
      <c r="B189" s="383" t="s">
        <v>4064</v>
      </c>
      <c r="C189" s="383" t="s">
        <v>2754</v>
      </c>
      <c r="D189" s="383">
        <v>1</v>
      </c>
      <c r="E189" s="405" t="s">
        <v>4023</v>
      </c>
    </row>
    <row r="190" spans="1:5">
      <c r="A190" s="383" t="s">
        <v>1381</v>
      </c>
      <c r="B190" s="383" t="s">
        <v>4064</v>
      </c>
      <c r="C190" s="383" t="s">
        <v>2755</v>
      </c>
      <c r="D190" s="383">
        <v>567</v>
      </c>
      <c r="E190" s="405" t="s">
        <v>4023</v>
      </c>
    </row>
    <row r="191" spans="1:5">
      <c r="A191" s="383" t="s">
        <v>1381</v>
      </c>
      <c r="B191" s="383" t="s">
        <v>4064</v>
      </c>
      <c r="C191" s="383" t="s">
        <v>2756</v>
      </c>
      <c r="D191" s="383">
        <v>365</v>
      </c>
      <c r="E191" s="405" t="s">
        <v>4023</v>
      </c>
    </row>
    <row r="192" spans="1:5">
      <c r="A192" s="383" t="s">
        <v>1381</v>
      </c>
      <c r="B192" s="383" t="s">
        <v>4064</v>
      </c>
      <c r="C192" s="383" t="s">
        <v>2757</v>
      </c>
      <c r="D192" s="383">
        <v>82</v>
      </c>
      <c r="E192" s="405" t="s">
        <v>4023</v>
      </c>
    </row>
    <row r="193" spans="1:5">
      <c r="A193" s="383" t="s">
        <v>1381</v>
      </c>
      <c r="B193" s="383" t="s">
        <v>4064</v>
      </c>
      <c r="C193" s="383" t="s">
        <v>2758</v>
      </c>
      <c r="D193" s="383">
        <v>23</v>
      </c>
      <c r="E193" s="405" t="s">
        <v>4023</v>
      </c>
    </row>
    <row r="194" spans="1:5">
      <c r="A194" s="383" t="s">
        <v>1381</v>
      </c>
      <c r="B194" s="383" t="s">
        <v>4064</v>
      </c>
      <c r="C194" s="383" t="s">
        <v>2759</v>
      </c>
      <c r="D194" s="383">
        <v>12</v>
      </c>
      <c r="E194" s="405" t="s">
        <v>4023</v>
      </c>
    </row>
    <row r="195" spans="1:5">
      <c r="A195" s="383" t="s">
        <v>1381</v>
      </c>
      <c r="B195" s="383" t="s">
        <v>4064</v>
      </c>
      <c r="C195" s="383" t="s">
        <v>2760</v>
      </c>
      <c r="D195" s="383">
        <v>2</v>
      </c>
      <c r="E195" s="405" t="s">
        <v>4023</v>
      </c>
    </row>
    <row r="196" spans="1:5">
      <c r="A196" s="383" t="s">
        <v>1381</v>
      </c>
      <c r="B196" s="383" t="s">
        <v>4064</v>
      </c>
      <c r="C196" s="383" t="s">
        <v>2761</v>
      </c>
      <c r="D196" s="383">
        <v>0</v>
      </c>
      <c r="E196" s="405" t="s">
        <v>4023</v>
      </c>
    </row>
    <row r="197" spans="1:5">
      <c r="A197" s="383" t="s">
        <v>2753</v>
      </c>
      <c r="B197" s="383" t="s">
        <v>4063</v>
      </c>
      <c r="C197" s="383" t="s">
        <v>2744</v>
      </c>
      <c r="D197" s="383">
        <v>3697</v>
      </c>
      <c r="E197" s="405" t="s">
        <v>4023</v>
      </c>
    </row>
    <row r="198" spans="1:5">
      <c r="A198" s="383" t="s">
        <v>2753</v>
      </c>
      <c r="B198" s="383" t="s">
        <v>4063</v>
      </c>
      <c r="C198" s="383" t="s">
        <v>2747</v>
      </c>
      <c r="D198" s="383">
        <v>851</v>
      </c>
      <c r="E198" s="405" t="s">
        <v>4023</v>
      </c>
    </row>
    <row r="199" spans="1:5">
      <c r="A199" s="383" t="s">
        <v>2753</v>
      </c>
      <c r="B199" s="383" t="s">
        <v>4063</v>
      </c>
      <c r="C199" s="383" t="s">
        <v>2748</v>
      </c>
      <c r="D199" s="383">
        <v>218</v>
      </c>
      <c r="E199" s="405" t="s">
        <v>4023</v>
      </c>
    </row>
    <row r="200" spans="1:5">
      <c r="A200" s="383" t="s">
        <v>2753</v>
      </c>
      <c r="B200" s="383" t="s">
        <v>4063</v>
      </c>
      <c r="C200" s="383" t="s">
        <v>2749</v>
      </c>
      <c r="D200" s="383">
        <v>150</v>
      </c>
      <c r="E200" s="405" t="s">
        <v>4023</v>
      </c>
    </row>
    <row r="201" spans="1:5">
      <c r="A201" s="383" t="s">
        <v>2753</v>
      </c>
      <c r="B201" s="383" t="s">
        <v>4063</v>
      </c>
      <c r="C201" s="383" t="s">
        <v>2750</v>
      </c>
      <c r="D201" s="383">
        <v>64</v>
      </c>
      <c r="E201" s="405" t="s">
        <v>4023</v>
      </c>
    </row>
    <row r="202" spans="1:5">
      <c r="A202" s="383" t="s">
        <v>2753</v>
      </c>
      <c r="B202" s="383" t="s">
        <v>4063</v>
      </c>
      <c r="C202" s="383" t="s">
        <v>2751</v>
      </c>
      <c r="D202" s="383">
        <v>7</v>
      </c>
      <c r="E202" s="405" t="s">
        <v>4023</v>
      </c>
    </row>
    <row r="203" spans="1:5">
      <c r="A203" s="383" t="s">
        <v>2753</v>
      </c>
      <c r="B203" s="383" t="s">
        <v>4063</v>
      </c>
      <c r="C203" s="383" t="s">
        <v>2752</v>
      </c>
      <c r="D203" s="383">
        <v>0</v>
      </c>
      <c r="E203" s="405" t="s">
        <v>4023</v>
      </c>
    </row>
    <row r="204" spans="1:5">
      <c r="A204" s="383" t="s">
        <v>2753</v>
      </c>
      <c r="B204" s="383" t="s">
        <v>4064</v>
      </c>
      <c r="C204" s="383" t="s">
        <v>2754</v>
      </c>
      <c r="D204" s="383">
        <v>2</v>
      </c>
      <c r="E204" s="405" t="s">
        <v>4023</v>
      </c>
    </row>
    <row r="205" spans="1:5">
      <c r="A205" s="383" t="s">
        <v>2753</v>
      </c>
      <c r="B205" s="383" t="s">
        <v>4064</v>
      </c>
      <c r="C205" s="383" t="s">
        <v>2755</v>
      </c>
      <c r="D205" s="383">
        <v>365</v>
      </c>
      <c r="E205" s="405" t="s">
        <v>4023</v>
      </c>
    </row>
    <row r="206" spans="1:5">
      <c r="A206" s="383" t="s">
        <v>2753</v>
      </c>
      <c r="B206" s="383" t="s">
        <v>4064</v>
      </c>
      <c r="C206" s="383" t="s">
        <v>2756</v>
      </c>
      <c r="D206" s="383">
        <v>88</v>
      </c>
      <c r="E206" s="405" t="s">
        <v>4023</v>
      </c>
    </row>
    <row r="207" spans="1:5">
      <c r="A207" s="383" t="s">
        <v>2753</v>
      </c>
      <c r="B207" s="383" t="s">
        <v>4064</v>
      </c>
      <c r="C207" s="383" t="s">
        <v>2757</v>
      </c>
      <c r="D207" s="383">
        <v>66</v>
      </c>
      <c r="E207" s="405" t="s">
        <v>4023</v>
      </c>
    </row>
    <row r="208" spans="1:5">
      <c r="A208" s="383" t="s">
        <v>2753</v>
      </c>
      <c r="B208" s="383" t="s">
        <v>4064</v>
      </c>
      <c r="C208" s="383" t="s">
        <v>2758</v>
      </c>
      <c r="D208" s="383">
        <v>25</v>
      </c>
      <c r="E208" s="405" t="s">
        <v>4023</v>
      </c>
    </row>
    <row r="209" spans="1:5">
      <c r="A209" s="383" t="s">
        <v>2753</v>
      </c>
      <c r="B209" s="383" t="s">
        <v>4064</v>
      </c>
      <c r="C209" s="383" t="s">
        <v>2759</v>
      </c>
      <c r="D209" s="383">
        <v>4</v>
      </c>
      <c r="E209" s="405" t="s">
        <v>4023</v>
      </c>
    </row>
    <row r="210" spans="1:5">
      <c r="A210" s="383" t="s">
        <v>2753</v>
      </c>
      <c r="B210" s="383" t="s">
        <v>4064</v>
      </c>
      <c r="C210" s="383" t="s">
        <v>2760</v>
      </c>
      <c r="D210" s="383">
        <v>1</v>
      </c>
      <c r="E210" s="405" t="s">
        <v>4023</v>
      </c>
    </row>
    <row r="211" spans="1:5">
      <c r="A211" s="383" t="s">
        <v>2753</v>
      </c>
      <c r="B211" s="383" t="s">
        <v>4064</v>
      </c>
      <c r="C211" s="383" t="s">
        <v>2761</v>
      </c>
      <c r="D211" s="383">
        <v>0</v>
      </c>
      <c r="E211" s="405" t="s">
        <v>4023</v>
      </c>
    </row>
    <row r="212" spans="1:5">
      <c r="A212" s="383" t="s">
        <v>1381</v>
      </c>
      <c r="B212" s="383" t="s">
        <v>4063</v>
      </c>
      <c r="C212" s="383" t="s">
        <v>2744</v>
      </c>
      <c r="D212" s="383">
        <v>1034</v>
      </c>
      <c r="E212" s="405" t="s">
        <v>4045</v>
      </c>
    </row>
    <row r="213" spans="1:5">
      <c r="A213" s="383" t="s">
        <v>1381</v>
      </c>
      <c r="B213" s="383" t="s">
        <v>4063</v>
      </c>
      <c r="C213" s="383" t="s">
        <v>2747</v>
      </c>
      <c r="D213" s="383">
        <v>217</v>
      </c>
      <c r="E213" s="405" t="s">
        <v>4045</v>
      </c>
    </row>
    <row r="214" spans="1:5">
      <c r="A214" s="383" t="s">
        <v>1381</v>
      </c>
      <c r="B214" s="383" t="s">
        <v>4063</v>
      </c>
      <c r="C214" s="383" t="s">
        <v>2748</v>
      </c>
      <c r="D214" s="383">
        <v>7</v>
      </c>
      <c r="E214" s="405" t="s">
        <v>4045</v>
      </c>
    </row>
    <row r="215" spans="1:5">
      <c r="A215" s="383" t="s">
        <v>1381</v>
      </c>
      <c r="B215" s="383" t="s">
        <v>4063</v>
      </c>
      <c r="C215" s="383" t="s">
        <v>2749</v>
      </c>
      <c r="D215" s="383">
        <v>74</v>
      </c>
      <c r="E215" s="405" t="s">
        <v>4045</v>
      </c>
    </row>
    <row r="216" spans="1:5">
      <c r="A216" s="383" t="s">
        <v>1381</v>
      </c>
      <c r="B216" s="383" t="s">
        <v>4063</v>
      </c>
      <c r="C216" s="383" t="s">
        <v>2750</v>
      </c>
      <c r="D216" s="383">
        <v>8</v>
      </c>
      <c r="E216" s="405" t="s">
        <v>4045</v>
      </c>
    </row>
    <row r="217" spans="1:5">
      <c r="A217" s="383" t="s">
        <v>1381</v>
      </c>
      <c r="B217" s="383" t="s">
        <v>4063</v>
      </c>
      <c r="C217" s="383" t="s">
        <v>2751</v>
      </c>
      <c r="D217" s="383">
        <v>0</v>
      </c>
      <c r="E217" s="405" t="s">
        <v>4045</v>
      </c>
    </row>
    <row r="218" spans="1:5">
      <c r="A218" s="383" t="s">
        <v>1381</v>
      </c>
      <c r="B218" s="383" t="s">
        <v>4063</v>
      </c>
      <c r="C218" s="383" t="s">
        <v>2752</v>
      </c>
      <c r="D218" s="383">
        <v>0</v>
      </c>
      <c r="E218" s="405" t="s">
        <v>4045</v>
      </c>
    </row>
    <row r="219" spans="1:5">
      <c r="A219" s="383" t="s">
        <v>1381</v>
      </c>
      <c r="B219" s="383" t="s">
        <v>4064</v>
      </c>
      <c r="C219" s="383" t="s">
        <v>2754</v>
      </c>
      <c r="D219" s="383">
        <v>1</v>
      </c>
      <c r="E219" s="405" t="s">
        <v>4045</v>
      </c>
    </row>
    <row r="220" spans="1:5">
      <c r="A220" s="383" t="s">
        <v>1381</v>
      </c>
      <c r="B220" s="383" t="s">
        <v>4064</v>
      </c>
      <c r="C220" s="383" t="s">
        <v>2755</v>
      </c>
      <c r="D220" s="383">
        <v>564</v>
      </c>
      <c r="E220" s="405" t="s">
        <v>4045</v>
      </c>
    </row>
    <row r="221" spans="1:5">
      <c r="A221" s="383" t="s">
        <v>1381</v>
      </c>
      <c r="B221" s="383" t="s">
        <v>4064</v>
      </c>
      <c r="C221" s="383" t="s">
        <v>2756</v>
      </c>
      <c r="D221" s="383">
        <v>365</v>
      </c>
      <c r="E221" s="405" t="s">
        <v>4045</v>
      </c>
    </row>
    <row r="222" spans="1:5">
      <c r="A222" s="383" t="s">
        <v>1381</v>
      </c>
      <c r="B222" s="383" t="s">
        <v>4064</v>
      </c>
      <c r="C222" s="383" t="s">
        <v>2757</v>
      </c>
      <c r="D222" s="383">
        <v>82</v>
      </c>
      <c r="E222" s="405" t="s">
        <v>4045</v>
      </c>
    </row>
    <row r="223" spans="1:5">
      <c r="A223" s="383" t="s">
        <v>1381</v>
      </c>
      <c r="B223" s="383" t="s">
        <v>4064</v>
      </c>
      <c r="C223" s="383" t="s">
        <v>2758</v>
      </c>
      <c r="D223" s="383">
        <v>23</v>
      </c>
      <c r="E223" s="405" t="s">
        <v>4045</v>
      </c>
    </row>
    <row r="224" spans="1:5">
      <c r="A224" s="383" t="s">
        <v>1381</v>
      </c>
      <c r="B224" s="383" t="s">
        <v>4064</v>
      </c>
      <c r="C224" s="383" t="s">
        <v>2759</v>
      </c>
      <c r="D224" s="383">
        <v>12</v>
      </c>
      <c r="E224" s="405" t="s">
        <v>4045</v>
      </c>
    </row>
    <row r="225" spans="1:5">
      <c r="A225" s="383" t="s">
        <v>1381</v>
      </c>
      <c r="B225" s="383" t="s">
        <v>4064</v>
      </c>
      <c r="C225" s="383" t="s">
        <v>2760</v>
      </c>
      <c r="D225" s="383">
        <v>2</v>
      </c>
      <c r="E225" s="405" t="s">
        <v>4045</v>
      </c>
    </row>
    <row r="226" spans="1:5">
      <c r="A226" s="383" t="s">
        <v>1381</v>
      </c>
      <c r="B226" s="383" t="s">
        <v>4064</v>
      </c>
      <c r="C226" s="383" t="s">
        <v>2761</v>
      </c>
      <c r="D226" s="383">
        <v>0</v>
      </c>
      <c r="E226" s="405" t="s">
        <v>4045</v>
      </c>
    </row>
    <row r="227" spans="1:5">
      <c r="A227" s="383" t="s">
        <v>2753</v>
      </c>
      <c r="B227" s="383" t="s">
        <v>4063</v>
      </c>
      <c r="C227" s="383" t="s">
        <v>2744</v>
      </c>
      <c r="D227" s="383">
        <v>3411</v>
      </c>
      <c r="E227" s="405" t="s">
        <v>4045</v>
      </c>
    </row>
    <row r="228" spans="1:5">
      <c r="A228" s="383" t="s">
        <v>2753</v>
      </c>
      <c r="B228" s="383" t="s">
        <v>4063</v>
      </c>
      <c r="C228" s="383" t="s">
        <v>2747</v>
      </c>
      <c r="D228" s="383">
        <v>786</v>
      </c>
      <c r="E228" s="405" t="s">
        <v>4045</v>
      </c>
    </row>
    <row r="229" spans="1:5">
      <c r="A229" s="383" t="s">
        <v>2753</v>
      </c>
      <c r="B229" s="383" t="s">
        <v>4063</v>
      </c>
      <c r="C229" s="383" t="s">
        <v>2748</v>
      </c>
      <c r="D229" s="383">
        <v>202</v>
      </c>
      <c r="E229" s="405" t="s">
        <v>4045</v>
      </c>
    </row>
    <row r="230" spans="1:5">
      <c r="A230" s="383" t="s">
        <v>2753</v>
      </c>
      <c r="B230" s="383" t="s">
        <v>4063</v>
      </c>
      <c r="C230" s="383" t="s">
        <v>2749</v>
      </c>
      <c r="D230" s="383">
        <v>146</v>
      </c>
      <c r="E230" s="405" t="s">
        <v>4045</v>
      </c>
    </row>
    <row r="231" spans="1:5">
      <c r="A231" s="383" t="s">
        <v>2753</v>
      </c>
      <c r="B231" s="383" t="s">
        <v>4063</v>
      </c>
      <c r="C231" s="383" t="s">
        <v>2750</v>
      </c>
      <c r="D231" s="383">
        <v>61</v>
      </c>
      <c r="E231" s="405" t="s">
        <v>4045</v>
      </c>
    </row>
    <row r="232" spans="1:5">
      <c r="A232" s="383" t="s">
        <v>2753</v>
      </c>
      <c r="B232" s="383" t="s">
        <v>4063</v>
      </c>
      <c r="C232" s="383" t="s">
        <v>2751</v>
      </c>
      <c r="D232" s="383">
        <v>6</v>
      </c>
      <c r="E232" s="405" t="s">
        <v>4045</v>
      </c>
    </row>
    <row r="233" spans="1:5">
      <c r="A233" s="383" t="s">
        <v>2753</v>
      </c>
      <c r="B233" s="383" t="s">
        <v>4063</v>
      </c>
      <c r="C233" s="383" t="s">
        <v>2752</v>
      </c>
      <c r="D233" s="383">
        <v>0</v>
      </c>
      <c r="E233" s="405" t="s">
        <v>4045</v>
      </c>
    </row>
    <row r="234" spans="1:5">
      <c r="A234" s="383" t="s">
        <v>2753</v>
      </c>
      <c r="B234" s="383" t="s">
        <v>4064</v>
      </c>
      <c r="C234" s="383" t="s">
        <v>2754</v>
      </c>
      <c r="D234" s="383">
        <v>0</v>
      </c>
      <c r="E234" s="405" t="s">
        <v>4045</v>
      </c>
    </row>
    <row r="235" spans="1:5">
      <c r="A235" s="383" t="s">
        <v>2753</v>
      </c>
      <c r="B235" s="383" t="s">
        <v>4064</v>
      </c>
      <c r="C235" s="383" t="s">
        <v>2755</v>
      </c>
      <c r="D235" s="383">
        <v>365</v>
      </c>
      <c r="E235" s="405" t="s">
        <v>4045</v>
      </c>
    </row>
    <row r="236" spans="1:5">
      <c r="A236" s="383" t="s">
        <v>2753</v>
      </c>
      <c r="B236" s="383" t="s">
        <v>4064</v>
      </c>
      <c r="C236" s="383" t="s">
        <v>2756</v>
      </c>
      <c r="D236" s="383">
        <v>88</v>
      </c>
      <c r="E236" s="405" t="s">
        <v>4045</v>
      </c>
    </row>
    <row r="237" spans="1:5">
      <c r="A237" s="383" t="s">
        <v>2753</v>
      </c>
      <c r="B237" s="383" t="s">
        <v>4064</v>
      </c>
      <c r="C237" s="383" t="s">
        <v>2757</v>
      </c>
      <c r="D237" s="383">
        <v>66</v>
      </c>
      <c r="E237" s="405" t="s">
        <v>4045</v>
      </c>
    </row>
    <row r="238" spans="1:5">
      <c r="A238" s="383" t="s">
        <v>2753</v>
      </c>
      <c r="B238" s="383" t="s">
        <v>4064</v>
      </c>
      <c r="C238" s="383" t="s">
        <v>2758</v>
      </c>
      <c r="D238" s="383">
        <v>25</v>
      </c>
      <c r="E238" s="405" t="s">
        <v>4045</v>
      </c>
    </row>
    <row r="239" spans="1:5">
      <c r="A239" s="383" t="s">
        <v>2753</v>
      </c>
      <c r="B239" s="383" t="s">
        <v>4064</v>
      </c>
      <c r="C239" s="383" t="s">
        <v>2759</v>
      </c>
      <c r="D239" s="383">
        <v>4</v>
      </c>
      <c r="E239" s="405" t="s">
        <v>4045</v>
      </c>
    </row>
    <row r="240" spans="1:5">
      <c r="A240" s="383" t="s">
        <v>2753</v>
      </c>
      <c r="B240" s="383" t="s">
        <v>4064</v>
      </c>
      <c r="C240" s="383" t="s">
        <v>2760</v>
      </c>
      <c r="D240" s="383">
        <v>0</v>
      </c>
      <c r="E240" s="405" t="s">
        <v>4045</v>
      </c>
    </row>
    <row r="241" spans="1:5">
      <c r="A241" s="383" t="s">
        <v>2753</v>
      </c>
      <c r="B241" s="383" t="s">
        <v>4064</v>
      </c>
      <c r="C241" s="383" t="s">
        <v>2761</v>
      </c>
      <c r="D241" s="383">
        <v>0</v>
      </c>
      <c r="E241" s="405" t="s">
        <v>4045</v>
      </c>
    </row>
    <row r="242" spans="1:5">
      <c r="A242" s="383" t="s">
        <v>1381</v>
      </c>
      <c r="B242" s="383" t="s">
        <v>4063</v>
      </c>
      <c r="C242" s="383" t="s">
        <v>2744</v>
      </c>
      <c r="D242" s="383">
        <v>584</v>
      </c>
      <c r="E242" s="405" t="s">
        <v>4169</v>
      </c>
    </row>
    <row r="243" spans="1:5">
      <c r="A243" s="383" t="s">
        <v>1381</v>
      </c>
      <c r="B243" s="383" t="s">
        <v>4063</v>
      </c>
      <c r="C243" s="383" t="s">
        <v>2747</v>
      </c>
      <c r="D243" s="383">
        <v>93</v>
      </c>
      <c r="E243" s="405" t="s">
        <v>4169</v>
      </c>
    </row>
    <row r="244" spans="1:5">
      <c r="A244" s="383" t="s">
        <v>1381</v>
      </c>
      <c r="B244" s="383" t="s">
        <v>4063</v>
      </c>
      <c r="C244" s="383" t="s">
        <v>2748</v>
      </c>
      <c r="D244" s="383">
        <v>0</v>
      </c>
      <c r="E244" s="405" t="s">
        <v>4169</v>
      </c>
    </row>
    <row r="245" spans="1:5">
      <c r="A245" s="383" t="s">
        <v>1381</v>
      </c>
      <c r="B245" s="383" t="s">
        <v>4063</v>
      </c>
      <c r="C245" s="383" t="s">
        <v>2749</v>
      </c>
      <c r="D245" s="383">
        <v>70</v>
      </c>
      <c r="E245" s="405" t="s">
        <v>4169</v>
      </c>
    </row>
    <row r="246" spans="1:5">
      <c r="A246" s="383" t="s">
        <v>1381</v>
      </c>
      <c r="B246" s="383" t="s">
        <v>4063</v>
      </c>
      <c r="C246" s="383" t="s">
        <v>2750</v>
      </c>
      <c r="D246" s="383">
        <v>7</v>
      </c>
      <c r="E246" s="405" t="s">
        <v>4169</v>
      </c>
    </row>
    <row r="247" spans="1:5">
      <c r="A247" s="383" t="s">
        <v>1381</v>
      </c>
      <c r="B247" s="383" t="s">
        <v>4063</v>
      </c>
      <c r="C247" s="383" t="s">
        <v>2751</v>
      </c>
      <c r="D247" s="383">
        <v>0</v>
      </c>
      <c r="E247" s="405" t="s">
        <v>4169</v>
      </c>
    </row>
    <row r="248" spans="1:5">
      <c r="A248" s="383" t="s">
        <v>1381</v>
      </c>
      <c r="B248" s="383" t="s">
        <v>4063</v>
      </c>
      <c r="C248" s="383" t="s">
        <v>2752</v>
      </c>
      <c r="D248" s="383">
        <v>0</v>
      </c>
      <c r="E248" s="405" t="s">
        <v>4169</v>
      </c>
    </row>
    <row r="249" spans="1:5">
      <c r="A249" s="383" t="s">
        <v>1381</v>
      </c>
      <c r="B249" s="383" t="s">
        <v>4064</v>
      </c>
      <c r="C249" s="383" t="s">
        <v>2754</v>
      </c>
      <c r="D249" s="383">
        <v>1</v>
      </c>
      <c r="E249" s="405" t="s">
        <v>4169</v>
      </c>
    </row>
    <row r="250" spans="1:5">
      <c r="A250" s="383" t="s">
        <v>1381</v>
      </c>
      <c r="B250" s="383" t="s">
        <v>4064</v>
      </c>
      <c r="C250" s="383" t="s">
        <v>2755</v>
      </c>
      <c r="D250" s="383">
        <v>554</v>
      </c>
      <c r="E250" s="405" t="s">
        <v>4169</v>
      </c>
    </row>
    <row r="251" spans="1:5">
      <c r="A251" s="383" t="s">
        <v>1381</v>
      </c>
      <c r="B251" s="383" t="s">
        <v>4064</v>
      </c>
      <c r="C251" s="383" t="s">
        <v>2756</v>
      </c>
      <c r="D251" s="383">
        <v>364</v>
      </c>
      <c r="E251" s="405" t="s">
        <v>4169</v>
      </c>
    </row>
    <row r="252" spans="1:5">
      <c r="A252" s="383" t="s">
        <v>1381</v>
      </c>
      <c r="B252" s="383" t="s">
        <v>4064</v>
      </c>
      <c r="C252" s="383" t="s">
        <v>2757</v>
      </c>
      <c r="D252" s="383">
        <v>82</v>
      </c>
      <c r="E252" s="405" t="s">
        <v>4169</v>
      </c>
    </row>
    <row r="253" spans="1:5">
      <c r="A253" s="383" t="s">
        <v>1381</v>
      </c>
      <c r="B253" s="383" t="s">
        <v>4064</v>
      </c>
      <c r="C253" s="383" t="s">
        <v>2758</v>
      </c>
      <c r="D253" s="383">
        <v>23</v>
      </c>
      <c r="E253" s="405" t="s">
        <v>4169</v>
      </c>
    </row>
    <row r="254" spans="1:5">
      <c r="A254" s="383" t="s">
        <v>1381</v>
      </c>
      <c r="B254" s="383" t="s">
        <v>4064</v>
      </c>
      <c r="C254" s="383" t="s">
        <v>2759</v>
      </c>
      <c r="D254" s="383">
        <v>12</v>
      </c>
      <c r="E254" s="405" t="s">
        <v>4169</v>
      </c>
    </row>
    <row r="255" spans="1:5">
      <c r="A255" s="383" t="s">
        <v>1381</v>
      </c>
      <c r="B255" s="383" t="s">
        <v>4064</v>
      </c>
      <c r="C255" s="383" t="s">
        <v>2760</v>
      </c>
      <c r="D255" s="383">
        <v>1</v>
      </c>
      <c r="E255" s="405" t="s">
        <v>4169</v>
      </c>
    </row>
    <row r="256" spans="1:5">
      <c r="A256" s="383" t="s">
        <v>1381</v>
      </c>
      <c r="B256" s="383" t="s">
        <v>4064</v>
      </c>
      <c r="C256" s="383" t="s">
        <v>2761</v>
      </c>
      <c r="D256" s="383">
        <v>0</v>
      </c>
      <c r="E256" s="405" t="s">
        <v>4169</v>
      </c>
    </row>
    <row r="257" spans="1:5">
      <c r="A257" s="383" t="s">
        <v>2753</v>
      </c>
      <c r="B257" s="383" t="s">
        <v>4063</v>
      </c>
      <c r="C257" s="383" t="s">
        <v>2744</v>
      </c>
      <c r="D257" s="383">
        <v>3081</v>
      </c>
      <c r="E257" s="405" t="s">
        <v>4169</v>
      </c>
    </row>
    <row r="258" spans="1:5">
      <c r="A258" s="383" t="s">
        <v>2753</v>
      </c>
      <c r="B258" s="383" t="s">
        <v>4063</v>
      </c>
      <c r="C258" s="383" t="s">
        <v>2747</v>
      </c>
      <c r="D258" s="383">
        <v>748</v>
      </c>
      <c r="E258" s="405" t="s">
        <v>4169</v>
      </c>
    </row>
    <row r="259" spans="1:5">
      <c r="A259" s="383" t="s">
        <v>2753</v>
      </c>
      <c r="B259" s="383" t="s">
        <v>4063</v>
      </c>
      <c r="C259" s="383" t="s">
        <v>2748</v>
      </c>
      <c r="D259" s="383">
        <v>187</v>
      </c>
      <c r="E259" s="405" t="s">
        <v>4169</v>
      </c>
    </row>
    <row r="260" spans="1:5">
      <c r="A260" s="383" t="s">
        <v>2753</v>
      </c>
      <c r="B260" s="383" t="s">
        <v>4063</v>
      </c>
      <c r="C260" s="383" t="s">
        <v>2749</v>
      </c>
      <c r="D260" s="383">
        <v>144</v>
      </c>
      <c r="E260" s="405" t="s">
        <v>4169</v>
      </c>
    </row>
    <row r="261" spans="1:5">
      <c r="A261" s="383" t="s">
        <v>2753</v>
      </c>
      <c r="B261" s="383" t="s">
        <v>4063</v>
      </c>
      <c r="C261" s="383" t="s">
        <v>2750</v>
      </c>
      <c r="D261" s="383">
        <v>61</v>
      </c>
      <c r="E261" s="405" t="s">
        <v>4169</v>
      </c>
    </row>
    <row r="262" spans="1:5">
      <c r="A262" s="383" t="s">
        <v>2753</v>
      </c>
      <c r="B262" s="383" t="s">
        <v>4063</v>
      </c>
      <c r="C262" s="383" t="s">
        <v>2751</v>
      </c>
      <c r="D262" s="383">
        <v>6</v>
      </c>
      <c r="E262" s="405" t="s">
        <v>4169</v>
      </c>
    </row>
    <row r="263" spans="1:5">
      <c r="A263" s="383" t="s">
        <v>2753</v>
      </c>
      <c r="B263" s="383" t="s">
        <v>4063</v>
      </c>
      <c r="C263" s="383" t="s">
        <v>2752</v>
      </c>
      <c r="D263" s="383">
        <v>0</v>
      </c>
      <c r="E263" s="405" t="s">
        <v>4169</v>
      </c>
    </row>
    <row r="264" spans="1:5">
      <c r="A264" s="383" t="s">
        <v>2753</v>
      </c>
      <c r="B264" s="383" t="s">
        <v>4064</v>
      </c>
      <c r="C264" s="383" t="s">
        <v>2754</v>
      </c>
      <c r="D264" s="383">
        <v>0</v>
      </c>
      <c r="E264" s="405" t="s">
        <v>4169</v>
      </c>
    </row>
    <row r="265" spans="1:5">
      <c r="A265" s="383" t="s">
        <v>2753</v>
      </c>
      <c r="B265" s="383" t="s">
        <v>4064</v>
      </c>
      <c r="C265" s="383" t="s">
        <v>2755</v>
      </c>
      <c r="D265" s="383">
        <v>325</v>
      </c>
      <c r="E265" s="405" t="s">
        <v>4169</v>
      </c>
    </row>
    <row r="266" spans="1:5">
      <c r="A266" s="383" t="s">
        <v>2753</v>
      </c>
      <c r="B266" s="383" t="s">
        <v>4064</v>
      </c>
      <c r="C266" s="383" t="s">
        <v>2756</v>
      </c>
      <c r="D266" s="383">
        <v>88</v>
      </c>
      <c r="E266" s="405" t="s">
        <v>4169</v>
      </c>
    </row>
    <row r="267" spans="1:5">
      <c r="A267" s="383" t="s">
        <v>2753</v>
      </c>
      <c r="B267" s="383" t="s">
        <v>4064</v>
      </c>
      <c r="C267" s="383" t="s">
        <v>2757</v>
      </c>
      <c r="D267" s="383">
        <v>66</v>
      </c>
      <c r="E267" s="405" t="s">
        <v>4169</v>
      </c>
    </row>
    <row r="268" spans="1:5">
      <c r="A268" s="383" t="s">
        <v>2753</v>
      </c>
      <c r="B268" s="383" t="s">
        <v>4064</v>
      </c>
      <c r="C268" s="383" t="s">
        <v>2758</v>
      </c>
      <c r="D268" s="383">
        <v>25</v>
      </c>
      <c r="E268" s="405" t="s">
        <v>4169</v>
      </c>
    </row>
    <row r="269" spans="1:5">
      <c r="A269" s="383" t="s">
        <v>2753</v>
      </c>
      <c r="B269" s="383" t="s">
        <v>4064</v>
      </c>
      <c r="C269" s="383" t="s">
        <v>2759</v>
      </c>
      <c r="D269" s="383">
        <v>4</v>
      </c>
      <c r="E269" s="405" t="s">
        <v>4169</v>
      </c>
    </row>
    <row r="270" spans="1:5">
      <c r="A270" s="383" t="s">
        <v>2753</v>
      </c>
      <c r="B270" s="383" t="s">
        <v>4064</v>
      </c>
      <c r="C270" s="383" t="s">
        <v>2760</v>
      </c>
      <c r="D270" s="383">
        <v>0</v>
      </c>
      <c r="E270" s="405" t="s">
        <v>4169</v>
      </c>
    </row>
    <row r="271" spans="1:5">
      <c r="A271" s="383" t="s">
        <v>2753</v>
      </c>
      <c r="B271" s="383" t="s">
        <v>4064</v>
      </c>
      <c r="C271" s="383" t="s">
        <v>2761</v>
      </c>
      <c r="D271" s="383">
        <v>0</v>
      </c>
      <c r="E271" s="405" t="s">
        <v>4169</v>
      </c>
    </row>
    <row r="272" spans="1:5">
      <c r="A272" s="383" t="s">
        <v>1381</v>
      </c>
      <c r="B272" s="383" t="s">
        <v>4063</v>
      </c>
      <c r="C272" s="383" t="s">
        <v>2744</v>
      </c>
      <c r="D272" s="383">
        <v>508</v>
      </c>
      <c r="E272" s="405" t="s">
        <v>4186</v>
      </c>
    </row>
    <row r="273" spans="1:5">
      <c r="A273" s="383" t="s">
        <v>1381</v>
      </c>
      <c r="B273" s="383" t="s">
        <v>4063</v>
      </c>
      <c r="C273" s="383" t="s">
        <v>2747</v>
      </c>
      <c r="D273" s="383">
        <v>83</v>
      </c>
      <c r="E273" s="405" t="s">
        <v>4186</v>
      </c>
    </row>
    <row r="274" spans="1:5">
      <c r="A274" s="383" t="s">
        <v>1381</v>
      </c>
      <c r="B274" s="383" t="s">
        <v>4063</v>
      </c>
      <c r="C274" s="383" t="s">
        <v>2748</v>
      </c>
      <c r="D274" s="383">
        <v>0</v>
      </c>
      <c r="E274" s="405" t="s">
        <v>4186</v>
      </c>
    </row>
    <row r="275" spans="1:5">
      <c r="A275" s="383" t="s">
        <v>1381</v>
      </c>
      <c r="B275" s="383" t="s">
        <v>4063</v>
      </c>
      <c r="C275" s="383" t="s">
        <v>2749</v>
      </c>
      <c r="D275" s="383">
        <v>67</v>
      </c>
      <c r="E275" s="405" t="s">
        <v>4186</v>
      </c>
    </row>
    <row r="276" spans="1:5">
      <c r="A276" s="383" t="s">
        <v>1381</v>
      </c>
      <c r="B276" s="383" t="s">
        <v>4063</v>
      </c>
      <c r="C276" s="383" t="s">
        <v>2750</v>
      </c>
      <c r="D276" s="383">
        <v>6</v>
      </c>
      <c r="E276" s="405" t="s">
        <v>4186</v>
      </c>
    </row>
    <row r="277" spans="1:5">
      <c r="A277" s="383" t="s">
        <v>1381</v>
      </c>
      <c r="B277" s="383" t="s">
        <v>4063</v>
      </c>
      <c r="C277" s="383" t="s">
        <v>2751</v>
      </c>
      <c r="D277" s="383">
        <v>0</v>
      </c>
      <c r="E277" s="405" t="s">
        <v>4186</v>
      </c>
    </row>
    <row r="278" spans="1:5">
      <c r="A278" s="383" t="s">
        <v>1381</v>
      </c>
      <c r="B278" s="383" t="s">
        <v>4063</v>
      </c>
      <c r="C278" s="383" t="s">
        <v>2752</v>
      </c>
      <c r="D278" s="383">
        <v>0</v>
      </c>
      <c r="E278" s="405" t="s">
        <v>4186</v>
      </c>
    </row>
    <row r="279" spans="1:5">
      <c r="A279" s="383" t="s">
        <v>1381</v>
      </c>
      <c r="B279" s="383" t="s">
        <v>4064</v>
      </c>
      <c r="C279" s="383" t="s">
        <v>2754</v>
      </c>
      <c r="D279" s="383">
        <v>2</v>
      </c>
      <c r="E279" s="405" t="s">
        <v>4186</v>
      </c>
    </row>
    <row r="280" spans="1:5">
      <c r="A280" s="383" t="s">
        <v>1381</v>
      </c>
      <c r="B280" s="383" t="s">
        <v>4064</v>
      </c>
      <c r="C280" s="383" t="s">
        <v>2755</v>
      </c>
      <c r="D280" s="383">
        <v>545</v>
      </c>
      <c r="E280" s="405" t="s">
        <v>4186</v>
      </c>
    </row>
    <row r="281" spans="1:5">
      <c r="A281" s="383" t="s">
        <v>1381</v>
      </c>
      <c r="B281" s="383" t="s">
        <v>4064</v>
      </c>
      <c r="C281" s="383" t="s">
        <v>2756</v>
      </c>
      <c r="D281" s="383">
        <v>359</v>
      </c>
      <c r="E281" s="405" t="s">
        <v>4186</v>
      </c>
    </row>
    <row r="282" spans="1:5">
      <c r="A282" s="383" t="s">
        <v>1381</v>
      </c>
      <c r="B282" s="383" t="s">
        <v>4064</v>
      </c>
      <c r="C282" s="383" t="s">
        <v>2757</v>
      </c>
      <c r="D282" s="383">
        <v>77</v>
      </c>
      <c r="E282" s="405" t="s">
        <v>4186</v>
      </c>
    </row>
    <row r="283" spans="1:5">
      <c r="A283" s="383" t="s">
        <v>1381</v>
      </c>
      <c r="B283" s="383" t="s">
        <v>4064</v>
      </c>
      <c r="C283" s="383" t="s">
        <v>2758</v>
      </c>
      <c r="D283" s="383">
        <v>23</v>
      </c>
      <c r="E283" s="405" t="s">
        <v>4186</v>
      </c>
    </row>
    <row r="284" spans="1:5">
      <c r="A284" s="383" t="s">
        <v>1381</v>
      </c>
      <c r="B284" s="383" t="s">
        <v>4064</v>
      </c>
      <c r="C284" s="383" t="s">
        <v>2759</v>
      </c>
      <c r="D284" s="383">
        <v>12</v>
      </c>
      <c r="E284" s="405" t="s">
        <v>4186</v>
      </c>
    </row>
    <row r="285" spans="1:5">
      <c r="A285" s="383" t="s">
        <v>1381</v>
      </c>
      <c r="B285" s="383" t="s">
        <v>4064</v>
      </c>
      <c r="C285" s="383" t="s">
        <v>2760</v>
      </c>
      <c r="D285" s="383">
        <v>1</v>
      </c>
      <c r="E285" s="405" t="s">
        <v>4186</v>
      </c>
    </row>
    <row r="286" spans="1:5">
      <c r="A286" s="383" t="s">
        <v>1381</v>
      </c>
      <c r="B286" s="383" t="s">
        <v>4064</v>
      </c>
      <c r="C286" s="383" t="s">
        <v>2761</v>
      </c>
      <c r="D286" s="383">
        <v>0</v>
      </c>
      <c r="E286" s="405" t="s">
        <v>4186</v>
      </c>
    </row>
    <row r="287" spans="1:5">
      <c r="A287" s="383" t="s">
        <v>2753</v>
      </c>
      <c r="B287" s="383" t="s">
        <v>4063</v>
      </c>
      <c r="C287" s="383" t="s">
        <v>2744</v>
      </c>
      <c r="D287" s="383">
        <v>3050</v>
      </c>
      <c r="E287" s="405" t="s">
        <v>4186</v>
      </c>
    </row>
    <row r="288" spans="1:5">
      <c r="A288" s="383" t="s">
        <v>2753</v>
      </c>
      <c r="B288" s="383" t="s">
        <v>4063</v>
      </c>
      <c r="C288" s="383" t="s">
        <v>2747</v>
      </c>
      <c r="D288" s="383">
        <v>748</v>
      </c>
      <c r="E288" s="405" t="s">
        <v>4186</v>
      </c>
    </row>
    <row r="289" spans="1:5">
      <c r="A289" s="383" t="s">
        <v>2753</v>
      </c>
      <c r="B289" s="383" t="s">
        <v>4063</v>
      </c>
      <c r="C289" s="383" t="s">
        <v>2748</v>
      </c>
      <c r="D289" s="383">
        <v>187</v>
      </c>
      <c r="E289" s="405" t="s">
        <v>4186</v>
      </c>
    </row>
    <row r="290" spans="1:5">
      <c r="A290" s="383" t="s">
        <v>2753</v>
      </c>
      <c r="B290" s="383" t="s">
        <v>4063</v>
      </c>
      <c r="C290" s="383" t="s">
        <v>2749</v>
      </c>
      <c r="D290" s="383">
        <v>144</v>
      </c>
      <c r="E290" s="405" t="s">
        <v>4186</v>
      </c>
    </row>
    <row r="291" spans="1:5">
      <c r="A291" s="383" t="s">
        <v>2753</v>
      </c>
      <c r="B291" s="383" t="s">
        <v>4063</v>
      </c>
      <c r="C291" s="383" t="s">
        <v>2750</v>
      </c>
      <c r="D291" s="383">
        <v>61</v>
      </c>
      <c r="E291" s="405" t="s">
        <v>4186</v>
      </c>
    </row>
    <row r="292" spans="1:5">
      <c r="A292" s="383" t="s">
        <v>2753</v>
      </c>
      <c r="B292" s="383" t="s">
        <v>4063</v>
      </c>
      <c r="C292" s="383" t="s">
        <v>2751</v>
      </c>
      <c r="D292" s="383">
        <v>6</v>
      </c>
      <c r="E292" s="405" t="s">
        <v>4186</v>
      </c>
    </row>
    <row r="293" spans="1:5">
      <c r="A293" s="383" t="s">
        <v>2753</v>
      </c>
      <c r="B293" s="383" t="s">
        <v>4063</v>
      </c>
      <c r="C293" s="383" t="s">
        <v>2752</v>
      </c>
      <c r="D293" s="383">
        <v>0</v>
      </c>
      <c r="E293" s="405" t="s">
        <v>4186</v>
      </c>
    </row>
    <row r="294" spans="1:5">
      <c r="A294" s="383" t="s">
        <v>2753</v>
      </c>
      <c r="B294" s="383" t="s">
        <v>4064</v>
      </c>
      <c r="C294" s="383" t="s">
        <v>2754</v>
      </c>
      <c r="D294" s="383">
        <v>0</v>
      </c>
      <c r="E294" s="405" t="s">
        <v>4186</v>
      </c>
    </row>
    <row r="295" spans="1:5">
      <c r="A295" s="383" t="s">
        <v>2753</v>
      </c>
      <c r="B295" s="383" t="s">
        <v>4064</v>
      </c>
      <c r="C295" s="383" t="s">
        <v>2755</v>
      </c>
      <c r="D295" s="383">
        <v>275</v>
      </c>
      <c r="E295" s="405" t="s">
        <v>4186</v>
      </c>
    </row>
    <row r="296" spans="1:5">
      <c r="A296" s="383" t="s">
        <v>2753</v>
      </c>
      <c r="B296" s="383" t="s">
        <v>4064</v>
      </c>
      <c r="C296" s="383" t="s">
        <v>2756</v>
      </c>
      <c r="D296" s="383">
        <v>77</v>
      </c>
      <c r="E296" s="405" t="s">
        <v>4186</v>
      </c>
    </row>
    <row r="297" spans="1:5">
      <c r="A297" s="383" t="s">
        <v>2753</v>
      </c>
      <c r="B297" s="383" t="s">
        <v>4064</v>
      </c>
      <c r="C297" s="383" t="s">
        <v>2757</v>
      </c>
      <c r="D297" s="383">
        <v>58</v>
      </c>
      <c r="E297" s="405" t="s">
        <v>4186</v>
      </c>
    </row>
    <row r="298" spans="1:5">
      <c r="A298" s="383" t="s">
        <v>2753</v>
      </c>
      <c r="B298" s="383" t="s">
        <v>4064</v>
      </c>
      <c r="C298" s="383" t="s">
        <v>2758</v>
      </c>
      <c r="D298" s="383">
        <v>25</v>
      </c>
      <c r="E298" s="405" t="s">
        <v>4186</v>
      </c>
    </row>
    <row r="299" spans="1:5">
      <c r="A299" s="383" t="s">
        <v>2753</v>
      </c>
      <c r="B299" s="383" t="s">
        <v>4064</v>
      </c>
      <c r="C299" s="383" t="s">
        <v>2759</v>
      </c>
      <c r="D299" s="383">
        <v>4</v>
      </c>
      <c r="E299" s="405" t="s">
        <v>4186</v>
      </c>
    </row>
    <row r="300" spans="1:5">
      <c r="A300" s="383" t="s">
        <v>2753</v>
      </c>
      <c r="B300" s="383" t="s">
        <v>4064</v>
      </c>
      <c r="C300" s="383" t="s">
        <v>2760</v>
      </c>
      <c r="D300" s="383">
        <v>0</v>
      </c>
      <c r="E300" s="405" t="s">
        <v>4186</v>
      </c>
    </row>
    <row r="301" spans="1:5">
      <c r="A301" s="383" t="s">
        <v>2753</v>
      </c>
      <c r="B301" s="383" t="s">
        <v>4064</v>
      </c>
      <c r="C301" s="383" t="s">
        <v>2761</v>
      </c>
      <c r="D301" s="383">
        <v>0</v>
      </c>
      <c r="E301" s="405" t="s">
        <v>4186</v>
      </c>
    </row>
    <row r="302" spans="1:5">
      <c r="A302" s="383" t="s">
        <v>1381</v>
      </c>
      <c r="B302" s="383" t="s">
        <v>4063</v>
      </c>
      <c r="C302" s="383" t="s">
        <v>2744</v>
      </c>
      <c r="D302" s="383">
        <v>379</v>
      </c>
      <c r="E302" s="405" t="s">
        <v>4344</v>
      </c>
    </row>
    <row r="303" spans="1:5">
      <c r="A303" s="383" t="s">
        <v>1381</v>
      </c>
      <c r="B303" s="383" t="s">
        <v>4063</v>
      </c>
      <c r="C303" s="383" t="s">
        <v>2747</v>
      </c>
      <c r="D303" s="383">
        <v>53</v>
      </c>
      <c r="E303" s="405" t="s">
        <v>4344</v>
      </c>
    </row>
    <row r="304" spans="1:5">
      <c r="A304" s="383" t="s">
        <v>1381</v>
      </c>
      <c r="B304" s="383" t="s">
        <v>4063</v>
      </c>
      <c r="C304" s="383" t="s">
        <v>2748</v>
      </c>
      <c r="D304" s="383">
        <v>0</v>
      </c>
      <c r="E304" s="405" t="s">
        <v>4344</v>
      </c>
    </row>
    <row r="305" spans="1:5">
      <c r="A305" s="383" t="s">
        <v>1381</v>
      </c>
      <c r="B305" s="383" t="s">
        <v>4063</v>
      </c>
      <c r="C305" s="383" t="s">
        <v>2749</v>
      </c>
      <c r="D305" s="383">
        <v>61</v>
      </c>
      <c r="E305" s="405" t="s">
        <v>4344</v>
      </c>
    </row>
    <row r="306" spans="1:5">
      <c r="A306" s="383" t="s">
        <v>1381</v>
      </c>
      <c r="B306" s="383" t="s">
        <v>4063</v>
      </c>
      <c r="C306" s="383" t="s">
        <v>2750</v>
      </c>
      <c r="D306" s="383">
        <v>6</v>
      </c>
      <c r="E306" s="405" t="s">
        <v>4344</v>
      </c>
    </row>
    <row r="307" spans="1:5">
      <c r="A307" s="383" t="s">
        <v>1381</v>
      </c>
      <c r="B307" s="383" t="s">
        <v>4063</v>
      </c>
      <c r="C307" s="383" t="s">
        <v>2751</v>
      </c>
      <c r="D307" s="383">
        <v>0</v>
      </c>
      <c r="E307" s="405" t="s">
        <v>4344</v>
      </c>
    </row>
    <row r="308" spans="1:5">
      <c r="A308" s="383" t="s">
        <v>1381</v>
      </c>
      <c r="B308" s="383" t="s">
        <v>4063</v>
      </c>
      <c r="C308" s="383" t="s">
        <v>2752</v>
      </c>
      <c r="D308" s="383">
        <v>0</v>
      </c>
      <c r="E308" s="405" t="s">
        <v>4344</v>
      </c>
    </row>
    <row r="309" spans="1:5">
      <c r="A309" s="383" t="s">
        <v>1381</v>
      </c>
      <c r="B309" s="383" t="s">
        <v>4064</v>
      </c>
      <c r="C309" s="383" t="s">
        <v>2754</v>
      </c>
      <c r="D309" s="383">
        <v>2</v>
      </c>
      <c r="E309" s="405" t="s">
        <v>4344</v>
      </c>
    </row>
    <row r="310" spans="1:5">
      <c r="A310" s="383" t="s">
        <v>1381</v>
      </c>
      <c r="B310" s="383" t="s">
        <v>4064</v>
      </c>
      <c r="C310" s="383" t="s">
        <v>2755</v>
      </c>
      <c r="D310" s="383">
        <v>490</v>
      </c>
      <c r="E310" s="405" t="s">
        <v>4344</v>
      </c>
    </row>
    <row r="311" spans="1:5">
      <c r="A311" s="383" t="s">
        <v>1381</v>
      </c>
      <c r="B311" s="383" t="s">
        <v>4064</v>
      </c>
      <c r="C311" s="383" t="s">
        <v>2756</v>
      </c>
      <c r="D311" s="383">
        <v>359</v>
      </c>
      <c r="E311" s="405" t="s">
        <v>4344</v>
      </c>
    </row>
    <row r="312" spans="1:5">
      <c r="A312" s="383" t="s">
        <v>1381</v>
      </c>
      <c r="B312" s="383" t="s">
        <v>4064</v>
      </c>
      <c r="C312" s="383" t="s">
        <v>2757</v>
      </c>
      <c r="D312" s="383">
        <v>71</v>
      </c>
      <c r="E312" s="405" t="s">
        <v>4344</v>
      </c>
    </row>
    <row r="313" spans="1:5">
      <c r="A313" s="383" t="s">
        <v>1381</v>
      </c>
      <c r="B313" s="383" t="s">
        <v>4064</v>
      </c>
      <c r="C313" s="383" t="s">
        <v>2758</v>
      </c>
      <c r="D313" s="383">
        <v>23</v>
      </c>
      <c r="E313" s="405" t="s">
        <v>4344</v>
      </c>
    </row>
    <row r="314" spans="1:5">
      <c r="A314" s="383" t="s">
        <v>1381</v>
      </c>
      <c r="B314" s="383" t="s">
        <v>4064</v>
      </c>
      <c r="C314" s="383" t="s">
        <v>2759</v>
      </c>
      <c r="D314" s="383">
        <v>11</v>
      </c>
      <c r="E314" s="405" t="s">
        <v>4344</v>
      </c>
    </row>
    <row r="315" spans="1:5">
      <c r="A315" s="383" t="s">
        <v>1381</v>
      </c>
      <c r="B315" s="383" t="s">
        <v>4064</v>
      </c>
      <c r="C315" s="383" t="s">
        <v>2760</v>
      </c>
      <c r="D315" s="383">
        <v>1</v>
      </c>
      <c r="E315" s="405" t="s">
        <v>4344</v>
      </c>
    </row>
    <row r="316" spans="1:5">
      <c r="A316" s="383" t="s">
        <v>1381</v>
      </c>
      <c r="B316" s="383" t="s">
        <v>4064</v>
      </c>
      <c r="C316" s="383" t="s">
        <v>2761</v>
      </c>
      <c r="D316" s="383">
        <v>0</v>
      </c>
      <c r="E316" s="405" t="s">
        <v>4344</v>
      </c>
    </row>
    <row r="317" spans="1:5">
      <c r="A317" s="383" t="s">
        <v>2753</v>
      </c>
      <c r="B317" s="383" t="s">
        <v>4063</v>
      </c>
      <c r="C317" s="383" t="s">
        <v>2744</v>
      </c>
      <c r="D317" s="383">
        <v>2977</v>
      </c>
      <c r="E317" s="405" t="s">
        <v>4344</v>
      </c>
    </row>
    <row r="318" spans="1:5">
      <c r="A318" s="383" t="s">
        <v>2753</v>
      </c>
      <c r="B318" s="383" t="s">
        <v>4063</v>
      </c>
      <c r="C318" s="383" t="s">
        <v>2747</v>
      </c>
      <c r="D318" s="383">
        <v>733</v>
      </c>
      <c r="E318" s="405" t="s">
        <v>4344</v>
      </c>
    </row>
    <row r="319" spans="1:5">
      <c r="A319" s="383" t="s">
        <v>2753</v>
      </c>
      <c r="B319" s="383" t="s">
        <v>4063</v>
      </c>
      <c r="C319" s="383" t="s">
        <v>2748</v>
      </c>
      <c r="D319" s="383">
        <v>171</v>
      </c>
      <c r="E319" s="405" t="s">
        <v>4344</v>
      </c>
    </row>
    <row r="320" spans="1:5">
      <c r="A320" s="383" t="s">
        <v>2753</v>
      </c>
      <c r="B320" s="383" t="s">
        <v>4063</v>
      </c>
      <c r="C320" s="383" t="s">
        <v>2749</v>
      </c>
      <c r="D320" s="383">
        <v>144</v>
      </c>
      <c r="E320" s="405" t="s">
        <v>4344</v>
      </c>
    </row>
    <row r="321" spans="1:5">
      <c r="A321" s="383" t="s">
        <v>2753</v>
      </c>
      <c r="B321" s="383" t="s">
        <v>4063</v>
      </c>
      <c r="C321" s="383" t="s">
        <v>2750</v>
      </c>
      <c r="D321" s="383">
        <v>60</v>
      </c>
      <c r="E321" s="405" t="s">
        <v>4344</v>
      </c>
    </row>
    <row r="322" spans="1:5">
      <c r="A322" s="383" t="s">
        <v>2753</v>
      </c>
      <c r="B322" s="383" t="s">
        <v>4063</v>
      </c>
      <c r="C322" s="383" t="s">
        <v>2751</v>
      </c>
      <c r="D322" s="383">
        <v>6</v>
      </c>
      <c r="E322" s="405" t="s">
        <v>4344</v>
      </c>
    </row>
    <row r="323" spans="1:5">
      <c r="A323" s="383" t="s">
        <v>2753</v>
      </c>
      <c r="B323" s="383" t="s">
        <v>4063</v>
      </c>
      <c r="C323" s="383" t="s">
        <v>2752</v>
      </c>
      <c r="D323" s="383">
        <v>0</v>
      </c>
      <c r="E323" s="405" t="s">
        <v>4344</v>
      </c>
    </row>
    <row r="324" spans="1:5">
      <c r="A324" s="383" t="s">
        <v>2753</v>
      </c>
      <c r="B324" s="383" t="s">
        <v>4064</v>
      </c>
      <c r="C324" s="383" t="s">
        <v>2754</v>
      </c>
      <c r="D324" s="383">
        <v>0</v>
      </c>
      <c r="E324" s="405" t="s">
        <v>4344</v>
      </c>
    </row>
    <row r="325" spans="1:5">
      <c r="A325" s="383" t="s">
        <v>2753</v>
      </c>
      <c r="B325" s="383" t="s">
        <v>4064</v>
      </c>
      <c r="C325" s="383" t="s">
        <v>2755</v>
      </c>
      <c r="D325" s="383">
        <v>0</v>
      </c>
      <c r="E325" s="405" t="s">
        <v>4344</v>
      </c>
    </row>
    <row r="326" spans="1:5">
      <c r="A326" s="383" t="s">
        <v>2753</v>
      </c>
      <c r="B326" s="383" t="s">
        <v>4064</v>
      </c>
      <c r="C326" s="383" t="s">
        <v>2756</v>
      </c>
      <c r="D326" s="383">
        <v>77</v>
      </c>
      <c r="E326" s="405" t="s">
        <v>4344</v>
      </c>
    </row>
    <row r="327" spans="1:5">
      <c r="A327" s="383" t="s">
        <v>2753</v>
      </c>
      <c r="B327" s="383" t="s">
        <v>4064</v>
      </c>
      <c r="C327" s="383" t="s">
        <v>2757</v>
      </c>
      <c r="D327" s="383">
        <v>58</v>
      </c>
      <c r="E327" s="405" t="s">
        <v>4344</v>
      </c>
    </row>
    <row r="328" spans="1:5">
      <c r="A328" s="383" t="s">
        <v>2753</v>
      </c>
      <c r="B328" s="383" t="s">
        <v>4064</v>
      </c>
      <c r="C328" s="383" t="s">
        <v>2758</v>
      </c>
      <c r="D328" s="383">
        <v>25</v>
      </c>
      <c r="E328" s="405" t="s">
        <v>4344</v>
      </c>
    </row>
    <row r="329" spans="1:5">
      <c r="A329" s="383" t="s">
        <v>2753</v>
      </c>
      <c r="B329" s="383" t="s">
        <v>4064</v>
      </c>
      <c r="C329" s="383" t="s">
        <v>2759</v>
      </c>
      <c r="D329" s="383">
        <v>4</v>
      </c>
      <c r="E329" s="405" t="s">
        <v>4344</v>
      </c>
    </row>
    <row r="330" spans="1:5">
      <c r="A330" s="383" t="s">
        <v>2753</v>
      </c>
      <c r="B330" s="383" t="s">
        <v>4064</v>
      </c>
      <c r="C330" s="383" t="s">
        <v>2760</v>
      </c>
      <c r="D330" s="383">
        <v>0</v>
      </c>
      <c r="E330" s="405" t="s">
        <v>4344</v>
      </c>
    </row>
    <row r="331" spans="1:5">
      <c r="A331" s="383" t="s">
        <v>2753</v>
      </c>
      <c r="B331" s="383" t="s">
        <v>4064</v>
      </c>
      <c r="C331" s="383" t="s">
        <v>2761</v>
      </c>
      <c r="D331" s="383">
        <v>0</v>
      </c>
      <c r="E331" s="405" t="s">
        <v>4344</v>
      </c>
    </row>
    <row r="332" spans="1:5">
      <c r="A332" s="383" t="s">
        <v>1381</v>
      </c>
      <c r="B332" s="383" t="s">
        <v>4063</v>
      </c>
      <c r="C332" s="383" t="s">
        <v>2744</v>
      </c>
      <c r="D332" s="383">
        <v>235</v>
      </c>
      <c r="E332" s="405" t="s">
        <v>4404</v>
      </c>
    </row>
    <row r="333" spans="1:5">
      <c r="A333" s="383" t="s">
        <v>1381</v>
      </c>
      <c r="B333" s="383" t="s">
        <v>4063</v>
      </c>
      <c r="C333" s="383" t="s">
        <v>2747</v>
      </c>
      <c r="D333" s="383">
        <v>41</v>
      </c>
      <c r="E333" s="405" t="s">
        <v>4404</v>
      </c>
    </row>
    <row r="334" spans="1:5">
      <c r="A334" s="383" t="s">
        <v>1381</v>
      </c>
      <c r="B334" s="383" t="s">
        <v>4063</v>
      </c>
      <c r="C334" s="383" t="s">
        <v>2748</v>
      </c>
      <c r="D334" s="383">
        <v>0</v>
      </c>
      <c r="E334" s="405" t="s">
        <v>4404</v>
      </c>
    </row>
    <row r="335" spans="1:5">
      <c r="A335" s="383" t="s">
        <v>1381</v>
      </c>
      <c r="B335" s="383" t="s">
        <v>4063</v>
      </c>
      <c r="C335" s="383" t="s">
        <v>2749</v>
      </c>
      <c r="D335" s="383">
        <v>61</v>
      </c>
      <c r="E335" s="405" t="s">
        <v>4404</v>
      </c>
    </row>
    <row r="336" spans="1:5">
      <c r="A336" s="383" t="s">
        <v>1381</v>
      </c>
      <c r="B336" s="383" t="s">
        <v>4063</v>
      </c>
      <c r="C336" s="383" t="s">
        <v>2750</v>
      </c>
      <c r="D336" s="383">
        <v>6</v>
      </c>
      <c r="E336" s="405" t="s">
        <v>4404</v>
      </c>
    </row>
    <row r="337" spans="1:5">
      <c r="A337" s="383" t="s">
        <v>1381</v>
      </c>
      <c r="B337" s="383" t="s">
        <v>4063</v>
      </c>
      <c r="C337" s="383" t="s">
        <v>2751</v>
      </c>
      <c r="D337" s="383">
        <v>0</v>
      </c>
      <c r="E337" s="405" t="s">
        <v>4404</v>
      </c>
    </row>
    <row r="338" spans="1:5">
      <c r="A338" s="383" t="s">
        <v>1381</v>
      </c>
      <c r="B338" s="383" t="s">
        <v>4063</v>
      </c>
      <c r="C338" s="383" t="s">
        <v>2752</v>
      </c>
      <c r="D338" s="383">
        <v>0</v>
      </c>
      <c r="E338" s="405" t="s">
        <v>4404</v>
      </c>
    </row>
    <row r="339" spans="1:5">
      <c r="A339" s="383" t="s">
        <v>1381</v>
      </c>
      <c r="B339" s="383" t="s">
        <v>4064</v>
      </c>
      <c r="C339" s="383" t="s">
        <v>2754</v>
      </c>
      <c r="D339" s="383">
        <v>2</v>
      </c>
      <c r="E339" s="405" t="s">
        <v>4404</v>
      </c>
    </row>
    <row r="340" spans="1:5">
      <c r="A340" s="383" t="s">
        <v>1381</v>
      </c>
      <c r="B340" s="383" t="s">
        <v>4064</v>
      </c>
      <c r="C340" s="383" t="s">
        <v>2755</v>
      </c>
      <c r="D340" s="383">
        <v>283</v>
      </c>
      <c r="E340" s="405" t="s">
        <v>4404</v>
      </c>
    </row>
    <row r="341" spans="1:5">
      <c r="A341" s="383" t="s">
        <v>1381</v>
      </c>
      <c r="B341" s="383" t="s">
        <v>4064</v>
      </c>
      <c r="C341" s="383" t="s">
        <v>2756</v>
      </c>
      <c r="D341" s="383">
        <v>344</v>
      </c>
      <c r="E341" s="405" t="s">
        <v>4404</v>
      </c>
    </row>
    <row r="342" spans="1:5">
      <c r="A342" s="383" t="s">
        <v>1381</v>
      </c>
      <c r="B342" s="383" t="s">
        <v>4064</v>
      </c>
      <c r="C342" s="383" t="s">
        <v>2757</v>
      </c>
      <c r="D342" s="383">
        <v>68</v>
      </c>
      <c r="E342" s="405" t="s">
        <v>4404</v>
      </c>
    </row>
    <row r="343" spans="1:5">
      <c r="A343" s="383" t="s">
        <v>1381</v>
      </c>
      <c r="B343" s="383" t="s">
        <v>4064</v>
      </c>
      <c r="C343" s="383" t="s">
        <v>2758</v>
      </c>
      <c r="D343" s="383">
        <v>22</v>
      </c>
      <c r="E343" s="405" t="s">
        <v>4404</v>
      </c>
    </row>
    <row r="344" spans="1:5">
      <c r="A344" s="383" t="s">
        <v>1381</v>
      </c>
      <c r="B344" s="383" t="s">
        <v>4064</v>
      </c>
      <c r="C344" s="383" t="s">
        <v>2759</v>
      </c>
      <c r="D344" s="383">
        <v>11</v>
      </c>
      <c r="E344" s="405" t="s">
        <v>4404</v>
      </c>
    </row>
    <row r="345" spans="1:5">
      <c r="A345" s="383" t="s">
        <v>1381</v>
      </c>
      <c r="B345" s="383" t="s">
        <v>4064</v>
      </c>
      <c r="C345" s="383" t="s">
        <v>2760</v>
      </c>
      <c r="D345" s="383">
        <v>1</v>
      </c>
      <c r="E345" s="405" t="s">
        <v>4404</v>
      </c>
    </row>
    <row r="346" spans="1:5">
      <c r="A346" s="383" t="s">
        <v>1381</v>
      </c>
      <c r="B346" s="383" t="s">
        <v>4064</v>
      </c>
      <c r="C346" s="383" t="s">
        <v>2761</v>
      </c>
      <c r="D346" s="383">
        <v>0</v>
      </c>
      <c r="E346" s="405" t="s">
        <v>4404</v>
      </c>
    </row>
    <row r="347" spans="1:5">
      <c r="A347" s="383" t="s">
        <v>2753</v>
      </c>
      <c r="B347" s="383" t="s">
        <v>4063</v>
      </c>
      <c r="C347" s="383" t="s">
        <v>2744</v>
      </c>
      <c r="D347" s="383">
        <v>2972</v>
      </c>
      <c r="E347" s="405" t="s">
        <v>4404</v>
      </c>
    </row>
    <row r="348" spans="1:5">
      <c r="A348" s="383" t="s">
        <v>2753</v>
      </c>
      <c r="B348" s="383" t="s">
        <v>4063</v>
      </c>
      <c r="C348" s="383" t="s">
        <v>2747</v>
      </c>
      <c r="D348" s="383">
        <v>733</v>
      </c>
      <c r="E348" s="405" t="s">
        <v>4404</v>
      </c>
    </row>
    <row r="349" spans="1:5">
      <c r="A349" s="383" t="s">
        <v>2753</v>
      </c>
      <c r="B349" s="383" t="s">
        <v>4063</v>
      </c>
      <c r="C349" s="383" t="s">
        <v>2748</v>
      </c>
      <c r="D349" s="383">
        <v>167</v>
      </c>
      <c r="E349" s="405" t="s">
        <v>4404</v>
      </c>
    </row>
    <row r="350" spans="1:5">
      <c r="A350" s="383" t="s">
        <v>2753</v>
      </c>
      <c r="B350" s="383" t="s">
        <v>4063</v>
      </c>
      <c r="C350" s="383" t="s">
        <v>2749</v>
      </c>
      <c r="D350" s="383">
        <v>144</v>
      </c>
      <c r="E350" s="405" t="s">
        <v>4404</v>
      </c>
    </row>
    <row r="351" spans="1:5">
      <c r="A351" s="383" t="s">
        <v>2753</v>
      </c>
      <c r="B351" s="383" t="s">
        <v>4063</v>
      </c>
      <c r="C351" s="383" t="s">
        <v>2750</v>
      </c>
      <c r="D351" s="383">
        <v>60</v>
      </c>
      <c r="E351" s="405" t="s">
        <v>4404</v>
      </c>
    </row>
    <row r="352" spans="1:5">
      <c r="A352" s="383" t="s">
        <v>2753</v>
      </c>
      <c r="B352" s="383" t="s">
        <v>4063</v>
      </c>
      <c r="C352" s="383" t="s">
        <v>2751</v>
      </c>
      <c r="D352" s="383">
        <v>6</v>
      </c>
      <c r="E352" s="405" t="s">
        <v>4404</v>
      </c>
    </row>
    <row r="353" spans="1:5">
      <c r="A353" s="383" t="s">
        <v>2753</v>
      </c>
      <c r="B353" s="383" t="s">
        <v>4063</v>
      </c>
      <c r="C353" s="383" t="s">
        <v>2752</v>
      </c>
      <c r="D353" s="383">
        <v>0</v>
      </c>
      <c r="E353" s="405" t="s">
        <v>4404</v>
      </c>
    </row>
    <row r="354" spans="1:5">
      <c r="A354" s="383" t="s">
        <v>2753</v>
      </c>
      <c r="B354" s="383" t="s">
        <v>4064</v>
      </c>
      <c r="C354" s="383" t="s">
        <v>2754</v>
      </c>
      <c r="D354" s="383">
        <v>0</v>
      </c>
      <c r="E354" s="405" t="s">
        <v>4404</v>
      </c>
    </row>
    <row r="355" spans="1:5">
      <c r="A355" s="383" t="s">
        <v>2753</v>
      </c>
      <c r="B355" s="383" t="s">
        <v>4064</v>
      </c>
      <c r="C355" s="383" t="s">
        <v>2755</v>
      </c>
      <c r="D355" s="383">
        <v>30</v>
      </c>
      <c r="E355" s="405" t="s">
        <v>4404</v>
      </c>
    </row>
    <row r="356" spans="1:5">
      <c r="A356" s="383" t="s">
        <v>2753</v>
      </c>
      <c r="B356" s="383" t="s">
        <v>4064</v>
      </c>
      <c r="C356" s="383" t="s">
        <v>2756</v>
      </c>
      <c r="D356" s="383">
        <v>77</v>
      </c>
      <c r="E356" s="405" t="s">
        <v>4404</v>
      </c>
    </row>
    <row r="357" spans="1:5">
      <c r="A357" s="383" t="s">
        <v>2753</v>
      </c>
      <c r="B357" s="383" t="s">
        <v>4064</v>
      </c>
      <c r="C357" s="383" t="s">
        <v>2757</v>
      </c>
      <c r="D357" s="383">
        <v>58</v>
      </c>
      <c r="E357" s="405" t="s">
        <v>4404</v>
      </c>
    </row>
    <row r="358" spans="1:5">
      <c r="A358" s="383" t="s">
        <v>2753</v>
      </c>
      <c r="B358" s="383" t="s">
        <v>4064</v>
      </c>
      <c r="C358" s="383" t="s">
        <v>2758</v>
      </c>
      <c r="D358" s="383">
        <v>25</v>
      </c>
      <c r="E358" s="405" t="s">
        <v>4404</v>
      </c>
    </row>
    <row r="359" spans="1:5">
      <c r="A359" s="383" t="s">
        <v>2753</v>
      </c>
      <c r="B359" s="383" t="s">
        <v>4064</v>
      </c>
      <c r="C359" s="383" t="s">
        <v>2759</v>
      </c>
      <c r="D359" s="383">
        <v>4</v>
      </c>
      <c r="E359" s="405" t="s">
        <v>4404</v>
      </c>
    </row>
    <row r="360" spans="1:5">
      <c r="A360" s="383" t="s">
        <v>2753</v>
      </c>
      <c r="B360" s="383" t="s">
        <v>4064</v>
      </c>
      <c r="C360" s="383" t="s">
        <v>2760</v>
      </c>
      <c r="D360" s="383">
        <v>0</v>
      </c>
      <c r="E360" s="405" t="s">
        <v>4404</v>
      </c>
    </row>
    <row r="361" spans="1:5">
      <c r="A361" s="383" t="s">
        <v>2753</v>
      </c>
      <c r="B361" s="383" t="s">
        <v>4064</v>
      </c>
      <c r="C361" s="383" t="s">
        <v>2761</v>
      </c>
      <c r="D361" s="383">
        <v>0</v>
      </c>
      <c r="E361" s="405" t="s">
        <v>4404</v>
      </c>
    </row>
    <row r="362" spans="1:5">
      <c r="A362" s="383" t="s">
        <v>1381</v>
      </c>
      <c r="B362" s="383" t="s">
        <v>4063</v>
      </c>
      <c r="C362" s="383" t="s">
        <v>2744</v>
      </c>
      <c r="D362" s="383">
        <v>0</v>
      </c>
      <c r="E362" s="405" t="s">
        <v>4375</v>
      </c>
    </row>
    <row r="363" spans="1:5">
      <c r="A363" s="383" t="s">
        <v>1381</v>
      </c>
      <c r="B363" s="383" t="s">
        <v>4063</v>
      </c>
      <c r="C363" s="383" t="s">
        <v>2747</v>
      </c>
      <c r="D363" s="383">
        <v>0</v>
      </c>
      <c r="E363" s="405" t="s">
        <v>4375</v>
      </c>
    </row>
    <row r="364" spans="1:5">
      <c r="A364" s="383" t="s">
        <v>1381</v>
      </c>
      <c r="B364" s="383" t="s">
        <v>4063</v>
      </c>
      <c r="C364" s="383" t="s">
        <v>2748</v>
      </c>
      <c r="D364" s="383">
        <v>0</v>
      </c>
      <c r="E364" s="405" t="s">
        <v>4375</v>
      </c>
    </row>
    <row r="365" spans="1:5">
      <c r="A365" s="383" t="s">
        <v>1381</v>
      </c>
      <c r="B365" s="383" t="s">
        <v>4063</v>
      </c>
      <c r="C365" s="383" t="s">
        <v>2749</v>
      </c>
      <c r="D365" s="383">
        <v>56</v>
      </c>
      <c r="E365" s="405" t="s">
        <v>4375</v>
      </c>
    </row>
    <row r="366" spans="1:5">
      <c r="A366" s="383" t="s">
        <v>1381</v>
      </c>
      <c r="B366" s="383" t="s">
        <v>4063</v>
      </c>
      <c r="C366" s="383" t="s">
        <v>2750</v>
      </c>
      <c r="D366" s="383">
        <v>4</v>
      </c>
      <c r="E366" s="405" t="s">
        <v>4375</v>
      </c>
    </row>
    <row r="367" spans="1:5">
      <c r="A367" s="383" t="s">
        <v>1381</v>
      </c>
      <c r="B367" s="383" t="s">
        <v>4063</v>
      </c>
      <c r="C367" s="383" t="s">
        <v>2751</v>
      </c>
      <c r="D367" s="383">
        <v>0</v>
      </c>
      <c r="E367" s="405" t="s">
        <v>4375</v>
      </c>
    </row>
    <row r="368" spans="1:5">
      <c r="A368" s="383" t="s">
        <v>1381</v>
      </c>
      <c r="B368" s="383" t="s">
        <v>4063</v>
      </c>
      <c r="C368" s="383" t="s">
        <v>2752</v>
      </c>
      <c r="D368" s="383">
        <v>0</v>
      </c>
      <c r="E368" s="405" t="s">
        <v>4375</v>
      </c>
    </row>
    <row r="369" spans="1:5">
      <c r="A369" s="383" t="s">
        <v>1381</v>
      </c>
      <c r="B369" s="383" t="s">
        <v>4064</v>
      </c>
      <c r="C369" s="383" t="s">
        <v>2754</v>
      </c>
      <c r="D369" s="383">
        <v>2</v>
      </c>
      <c r="E369" s="405" t="s">
        <v>4375</v>
      </c>
    </row>
    <row r="370" spans="1:5">
      <c r="A370" s="383" t="s">
        <v>1381</v>
      </c>
      <c r="B370" s="383" t="s">
        <v>4064</v>
      </c>
      <c r="C370" s="383" t="s">
        <v>2755</v>
      </c>
      <c r="D370" s="383">
        <v>163</v>
      </c>
      <c r="E370" s="405" t="s">
        <v>4375</v>
      </c>
    </row>
    <row r="371" spans="1:5">
      <c r="A371" s="383" t="s">
        <v>1381</v>
      </c>
      <c r="B371" s="383" t="s">
        <v>4064</v>
      </c>
      <c r="C371" s="383" t="s">
        <v>2756</v>
      </c>
      <c r="D371" s="383">
        <v>330</v>
      </c>
      <c r="E371" s="405" t="s">
        <v>4375</v>
      </c>
    </row>
    <row r="372" spans="1:5">
      <c r="A372" s="383" t="s">
        <v>1381</v>
      </c>
      <c r="B372" s="383" t="s">
        <v>4064</v>
      </c>
      <c r="C372" s="383" t="s">
        <v>2757</v>
      </c>
      <c r="D372" s="383">
        <v>60</v>
      </c>
      <c r="E372" s="405" t="s">
        <v>4375</v>
      </c>
    </row>
    <row r="373" spans="1:5">
      <c r="A373" s="383" t="s">
        <v>1381</v>
      </c>
      <c r="B373" s="383" t="s">
        <v>4064</v>
      </c>
      <c r="C373" s="383" t="s">
        <v>2758</v>
      </c>
      <c r="D373" s="383">
        <v>17</v>
      </c>
      <c r="E373" s="405" t="s">
        <v>4375</v>
      </c>
    </row>
    <row r="374" spans="1:5">
      <c r="A374" s="383" t="s">
        <v>1381</v>
      </c>
      <c r="B374" s="383" t="s">
        <v>4064</v>
      </c>
      <c r="C374" s="383" t="s">
        <v>2759</v>
      </c>
      <c r="D374" s="383">
        <v>7</v>
      </c>
      <c r="E374" s="405" t="s">
        <v>4375</v>
      </c>
    </row>
    <row r="375" spans="1:5">
      <c r="A375" s="383" t="s">
        <v>1381</v>
      </c>
      <c r="B375" s="383" t="s">
        <v>4064</v>
      </c>
      <c r="C375" s="383" t="s">
        <v>2760</v>
      </c>
      <c r="D375" s="383">
        <v>1</v>
      </c>
      <c r="E375" s="405" t="s">
        <v>4375</v>
      </c>
    </row>
    <row r="376" spans="1:5">
      <c r="A376" s="383" t="s">
        <v>1381</v>
      </c>
      <c r="B376" s="383" t="s">
        <v>4064</v>
      </c>
      <c r="C376" s="383" t="s">
        <v>2761</v>
      </c>
      <c r="D376" s="383">
        <v>0</v>
      </c>
      <c r="E376" s="405" t="s">
        <v>4375</v>
      </c>
    </row>
    <row r="377" spans="1:5">
      <c r="A377" s="383" t="s">
        <v>2753</v>
      </c>
      <c r="B377" s="383" t="s">
        <v>4063</v>
      </c>
      <c r="C377" s="383" t="s">
        <v>2744</v>
      </c>
      <c r="D377" s="383">
        <v>2749</v>
      </c>
      <c r="E377" s="405" t="s">
        <v>4375</v>
      </c>
    </row>
    <row r="378" spans="1:5">
      <c r="A378" s="383" t="s">
        <v>2753</v>
      </c>
      <c r="B378" s="383" t="s">
        <v>4063</v>
      </c>
      <c r="C378" s="383" t="s">
        <v>2747</v>
      </c>
      <c r="D378" s="383">
        <v>653</v>
      </c>
      <c r="E378" s="405" t="s">
        <v>4375</v>
      </c>
    </row>
    <row r="379" spans="1:5">
      <c r="A379" s="383" t="s">
        <v>2753</v>
      </c>
      <c r="B379" s="383" t="s">
        <v>4063</v>
      </c>
      <c r="C379" s="383" t="s">
        <v>2748</v>
      </c>
      <c r="D379" s="383">
        <v>141</v>
      </c>
      <c r="E379" s="405" t="s">
        <v>4375</v>
      </c>
    </row>
    <row r="380" spans="1:5">
      <c r="A380" s="383" t="s">
        <v>2753</v>
      </c>
      <c r="B380" s="383" t="s">
        <v>4063</v>
      </c>
      <c r="C380" s="383" t="s">
        <v>2749</v>
      </c>
      <c r="D380" s="383">
        <v>144</v>
      </c>
      <c r="E380" s="405" t="s">
        <v>4375</v>
      </c>
    </row>
    <row r="381" spans="1:5">
      <c r="A381" s="383" t="s">
        <v>2753</v>
      </c>
      <c r="B381" s="383" t="s">
        <v>4063</v>
      </c>
      <c r="C381" s="383" t="s">
        <v>2750</v>
      </c>
      <c r="D381" s="383">
        <v>58</v>
      </c>
      <c r="E381" s="405" t="s">
        <v>4375</v>
      </c>
    </row>
    <row r="382" spans="1:5">
      <c r="A382" s="383" t="s">
        <v>2753</v>
      </c>
      <c r="B382" s="383" t="s">
        <v>4063</v>
      </c>
      <c r="C382" s="383" t="s">
        <v>2751</v>
      </c>
      <c r="D382" s="383">
        <v>4</v>
      </c>
      <c r="E382" s="405" t="s">
        <v>4375</v>
      </c>
    </row>
    <row r="383" spans="1:5">
      <c r="A383" s="383" t="s">
        <v>2753</v>
      </c>
      <c r="B383" s="383" t="s">
        <v>4063</v>
      </c>
      <c r="C383" s="383" t="s">
        <v>2752</v>
      </c>
      <c r="D383" s="383">
        <v>0</v>
      </c>
      <c r="E383" s="405" t="s">
        <v>4375</v>
      </c>
    </row>
    <row r="384" spans="1:5">
      <c r="A384" s="383" t="s">
        <v>2753</v>
      </c>
      <c r="B384" s="383" t="s">
        <v>4064</v>
      </c>
      <c r="C384" s="383" t="s">
        <v>2754</v>
      </c>
      <c r="D384" s="383">
        <v>0</v>
      </c>
      <c r="E384" s="405" t="s">
        <v>4375</v>
      </c>
    </row>
    <row r="385" spans="1:5">
      <c r="A385" s="383" t="s">
        <v>2753</v>
      </c>
      <c r="B385" s="383" t="s">
        <v>4064</v>
      </c>
      <c r="C385" s="383" t="s">
        <v>2755</v>
      </c>
      <c r="D385" s="383">
        <v>30</v>
      </c>
      <c r="E385" s="405" t="s">
        <v>4375</v>
      </c>
    </row>
    <row r="386" spans="1:5">
      <c r="A386" s="383" t="s">
        <v>2753</v>
      </c>
      <c r="B386" s="383" t="s">
        <v>4064</v>
      </c>
      <c r="C386" s="383" t="s">
        <v>2756</v>
      </c>
      <c r="D386" s="383">
        <v>77</v>
      </c>
      <c r="E386" s="405" t="s">
        <v>4375</v>
      </c>
    </row>
    <row r="387" spans="1:5">
      <c r="A387" s="383" t="s">
        <v>2753</v>
      </c>
      <c r="B387" s="383" t="s">
        <v>4064</v>
      </c>
      <c r="C387" s="383" t="s">
        <v>2757</v>
      </c>
      <c r="D387" s="383">
        <v>58</v>
      </c>
      <c r="E387" s="405" t="s">
        <v>4375</v>
      </c>
    </row>
    <row r="388" spans="1:5">
      <c r="A388" s="383" t="s">
        <v>2753</v>
      </c>
      <c r="B388" s="383" t="s">
        <v>4064</v>
      </c>
      <c r="C388" s="383" t="s">
        <v>2758</v>
      </c>
      <c r="D388" s="383">
        <v>25</v>
      </c>
      <c r="E388" s="405" t="s">
        <v>4375</v>
      </c>
    </row>
    <row r="389" spans="1:5">
      <c r="A389" s="383" t="s">
        <v>2753</v>
      </c>
      <c r="B389" s="383" t="s">
        <v>4064</v>
      </c>
      <c r="C389" s="383" t="s">
        <v>2759</v>
      </c>
      <c r="D389" s="383">
        <v>4</v>
      </c>
      <c r="E389" s="405" t="s">
        <v>4375</v>
      </c>
    </row>
    <row r="390" spans="1:5">
      <c r="A390" s="383" t="s">
        <v>2753</v>
      </c>
      <c r="B390" s="383" t="s">
        <v>4064</v>
      </c>
      <c r="C390" s="383" t="s">
        <v>2760</v>
      </c>
      <c r="D390" s="383">
        <v>0</v>
      </c>
      <c r="E390" s="405" t="s">
        <v>4375</v>
      </c>
    </row>
    <row r="391" spans="1:5">
      <c r="A391" s="383" t="s">
        <v>2753</v>
      </c>
      <c r="B391" s="383" t="s">
        <v>4064</v>
      </c>
      <c r="C391" s="383" t="s">
        <v>2761</v>
      </c>
      <c r="D391" s="383">
        <v>0</v>
      </c>
      <c r="E391" s="405" t="s">
        <v>4375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E29" sqref="E29"/>
    </sheetView>
  </sheetViews>
  <sheetFormatPr defaultColWidth="9" defaultRowHeight="14.25"/>
  <cols>
    <col min="1" max="1" width="12.25" style="252" customWidth="1"/>
    <col min="2" max="2" width="14.25" style="252" customWidth="1"/>
    <col min="3" max="3" width="12.25" style="156" customWidth="1"/>
    <col min="4" max="4" width="13.75" style="206" customWidth="1"/>
    <col min="5" max="5" width="16.25" style="160" customWidth="1"/>
    <col min="6" max="6" width="9.25" style="157" customWidth="1"/>
    <col min="7" max="7" width="6.25" style="132" customWidth="1"/>
    <col min="8" max="8" width="5.25" style="138" customWidth="1"/>
    <col min="9" max="9" width="10.75" style="139" customWidth="1"/>
    <col min="10" max="10" width="18.25" style="139" customWidth="1"/>
    <col min="11" max="11" width="6.25" style="140" customWidth="1"/>
    <col min="12" max="12" width="9.25" style="141" customWidth="1"/>
    <col min="13" max="13" width="5.25" style="140" customWidth="1"/>
    <col min="14" max="14" width="6.25" style="132" customWidth="1"/>
    <col min="15" max="15" width="5" style="132" customWidth="1"/>
    <col min="16" max="16" width="9.75" style="142" customWidth="1"/>
    <col min="17" max="17" width="9.75" style="132" customWidth="1"/>
    <col min="18" max="18" width="9.75" style="134" customWidth="1"/>
    <col min="19" max="19" width="11.25" style="123" customWidth="1"/>
    <col min="20" max="20" width="24.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  <c r="H1" s="103" t="s">
        <v>2732</v>
      </c>
      <c r="I1" s="104" t="s">
        <v>2733</v>
      </c>
      <c r="J1" s="104" t="s">
        <v>2734</v>
      </c>
      <c r="K1" s="105" t="s">
        <v>269</v>
      </c>
      <c r="L1" s="106" t="s">
        <v>2735</v>
      </c>
      <c r="M1" s="106" t="s">
        <v>2736</v>
      </c>
      <c r="N1" s="103" t="s">
        <v>2737</v>
      </c>
      <c r="O1" s="103" t="s">
        <v>2738</v>
      </c>
      <c r="P1" s="107" t="s">
        <v>2739</v>
      </c>
      <c r="Q1" s="103" t="s">
        <v>2740</v>
      </c>
      <c r="R1" s="108" t="s">
        <v>2741</v>
      </c>
      <c r="S1" s="109" t="s">
        <v>2742</v>
      </c>
      <c r="T1" s="110" t="s">
        <v>2743</v>
      </c>
      <c r="U1" s="111"/>
    </row>
    <row r="2" spans="1:21" s="119" customFormat="1" ht="15" customHeight="1">
      <c r="A2" s="113" t="s">
        <v>2768</v>
      </c>
      <c r="B2" s="114" t="str">
        <f>VLOOKUP(A2,'Data pick slip'!B:F,5,FALSE)</f>
        <v>KHJ-MC100-00</v>
      </c>
      <c r="C2" s="115" t="s">
        <v>2857</v>
      </c>
      <c r="D2" s="115"/>
      <c r="E2" s="300"/>
      <c r="F2" s="116" t="s">
        <v>2858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2747</v>
      </c>
      <c r="B3" s="114" t="str">
        <f>VLOOKUP(A3,'Data pick slip'!B:F,5,FALSE)</f>
        <v>KHJ-MC200-00</v>
      </c>
      <c r="C3" s="115" t="s">
        <v>2857</v>
      </c>
      <c r="D3" s="115"/>
      <c r="E3" s="300"/>
      <c r="F3" s="116" t="s">
        <v>2858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2748</v>
      </c>
      <c r="B4" s="114" t="str">
        <f>VLOOKUP(A4,'Data pick slip'!B:F,5,FALSE)</f>
        <v>KHJ-MC400-00</v>
      </c>
      <c r="C4" s="115" t="s">
        <v>2857</v>
      </c>
      <c r="D4" s="115"/>
      <c r="E4" s="300"/>
      <c r="F4" s="116" t="s">
        <v>2858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2812</v>
      </c>
      <c r="B5" s="114" t="str">
        <f>VLOOKUP(A5,'Data pick slip'!B:F,5,FALSE)</f>
        <v>KHJ-MC500-00</v>
      </c>
      <c r="C5" s="115" t="s">
        <v>2857</v>
      </c>
      <c r="D5" s="115"/>
      <c r="E5" s="300"/>
      <c r="F5" s="116" t="s">
        <v>2858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2814</v>
      </c>
      <c r="B6" s="114" t="str">
        <f>VLOOKUP(A6,'Data pick slip'!B:F,5,FALSE)</f>
        <v>KHJ-MC600-00</v>
      </c>
      <c r="C6" s="115" t="s">
        <v>2857</v>
      </c>
      <c r="D6" s="115"/>
      <c r="E6" s="300"/>
      <c r="F6" s="116" t="s">
        <v>2858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2751</v>
      </c>
      <c r="B7" s="114" t="str">
        <f>VLOOKUP(A7,'Data pick slip'!B:F,5,FALSE)</f>
        <v>KHJ-MC700-00</v>
      </c>
      <c r="C7" s="115" t="s">
        <v>2857</v>
      </c>
      <c r="D7" s="115"/>
      <c r="E7" s="300"/>
      <c r="F7" s="116" t="s">
        <v>2858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2818</v>
      </c>
      <c r="B8" s="114" t="str">
        <f>VLOOKUP(A8,'Data pick slip'!B:F,5,FALSE)</f>
        <v>KHJ-MC800-00</v>
      </c>
      <c r="C8" s="115" t="s">
        <v>2857</v>
      </c>
      <c r="D8" s="115"/>
      <c r="E8" s="300"/>
      <c r="F8" s="116" t="s">
        <v>2858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2755</v>
      </c>
      <c r="B9" s="114" t="str">
        <f>VLOOKUP(A9,'Data pick slip'!B:F,5,FALSE)</f>
        <v>KLJ-MC100-00</v>
      </c>
      <c r="C9" s="115" t="s">
        <v>2857</v>
      </c>
      <c r="D9" s="115"/>
      <c r="E9" s="300"/>
      <c r="F9" s="116" t="s">
        <v>2858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2859</v>
      </c>
      <c r="B10" s="114" t="str">
        <f>VLOOKUP(A10,'Data pick slip'!B:F,5,FALSE)</f>
        <v>KLJ-MC200-00</v>
      </c>
      <c r="C10" s="115" t="s">
        <v>2857</v>
      </c>
      <c r="D10" s="115"/>
      <c r="E10" s="300"/>
      <c r="F10" s="116" t="s">
        <v>2858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2757</v>
      </c>
      <c r="B11" s="114" t="str">
        <f>VLOOKUP(A11,'Data pick slip'!B:F,5,FALSE)</f>
        <v>KLJ-MC400-00</v>
      </c>
      <c r="C11" s="115" t="s">
        <v>2857</v>
      </c>
      <c r="D11" s="115"/>
      <c r="E11" s="300"/>
      <c r="F11" s="116" t="s">
        <v>2858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2758</v>
      </c>
      <c r="B12" s="114" t="str">
        <f>VLOOKUP(A12,'Data pick slip'!B:F,5,FALSE)</f>
        <v>KLJ-MC500-00</v>
      </c>
      <c r="C12" s="115" t="s">
        <v>2857</v>
      </c>
      <c r="D12" s="115"/>
      <c r="E12" s="300"/>
      <c r="F12" s="116" t="s">
        <v>2858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2759</v>
      </c>
      <c r="B13" s="114" t="str">
        <f>VLOOKUP(A13,'Data pick slip'!B:F,5,FALSE)</f>
        <v>KLJ-MC600-00</v>
      </c>
      <c r="C13" s="115" t="s">
        <v>2857</v>
      </c>
      <c r="D13" s="115"/>
      <c r="E13" s="300"/>
      <c r="F13" s="116" t="s">
        <v>2858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2760</v>
      </c>
      <c r="B14" s="114" t="str">
        <f>VLOOKUP(A14,'Data pick slip'!B:F,5,FALSE)</f>
        <v>KLJ-MC700-00</v>
      </c>
      <c r="C14" s="115" t="s">
        <v>2857</v>
      </c>
      <c r="D14" s="115"/>
      <c r="E14" s="300"/>
      <c r="F14" s="116" t="s">
        <v>2858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2744</v>
      </c>
      <c r="B15" s="114" t="str">
        <f>VLOOKUP(A15,'Data pick slip'!B:F,5,FALSE)</f>
        <v>KHJ-MC100-00</v>
      </c>
      <c r="C15" s="115" t="s">
        <v>2860</v>
      </c>
      <c r="D15" s="115"/>
      <c r="E15" s="300"/>
      <c r="F15" s="116" t="s">
        <v>2858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2747</v>
      </c>
      <c r="B16" s="114" t="str">
        <f>VLOOKUP(A16,'Data pick slip'!B:F,5,FALSE)</f>
        <v>KHJ-MC200-00</v>
      </c>
      <c r="C16" s="115" t="s">
        <v>2860</v>
      </c>
      <c r="D16" s="115"/>
      <c r="E16" s="300"/>
      <c r="F16" s="116" t="s">
        <v>2858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2748</v>
      </c>
      <c r="B17" s="114" t="str">
        <f>VLOOKUP(A17,'Data pick slip'!B:F,5,FALSE)</f>
        <v>KHJ-MC400-00</v>
      </c>
      <c r="C17" s="115" t="s">
        <v>2860</v>
      </c>
      <c r="D17" s="115"/>
      <c r="E17" s="300"/>
      <c r="F17" s="116" t="s">
        <v>2858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2812</v>
      </c>
      <c r="B18" s="114" t="str">
        <f>VLOOKUP(A18,'Data pick slip'!B:F,5,FALSE)</f>
        <v>KHJ-MC500-00</v>
      </c>
      <c r="C18" s="115" t="s">
        <v>2860</v>
      </c>
      <c r="D18" s="115"/>
      <c r="E18" s="300"/>
      <c r="F18" s="116" t="s">
        <v>2858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2814</v>
      </c>
      <c r="B19" s="114" t="str">
        <f>VLOOKUP(A19,'Data pick slip'!B:F,5,FALSE)</f>
        <v>KHJ-MC600-00</v>
      </c>
      <c r="C19" s="115" t="s">
        <v>2860</v>
      </c>
      <c r="D19" s="115"/>
      <c r="E19" s="300"/>
      <c r="F19" s="116" t="s">
        <v>2858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2768</v>
      </c>
      <c r="B20" s="114" t="str">
        <f>VLOOKUP(A20,'Data pick slip'!B:F,5,FALSE)</f>
        <v>KHJ-MC100-00</v>
      </c>
      <c r="C20" s="115" t="s">
        <v>2857</v>
      </c>
      <c r="D20" s="115"/>
      <c r="E20" s="300"/>
      <c r="F20" s="116" t="s">
        <v>2861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2768</v>
      </c>
      <c r="B21" s="114" t="str">
        <f>VLOOKUP(A21,'Data pick slip'!B:F,5,FALSE)</f>
        <v>KHJ-MC100-00</v>
      </c>
      <c r="C21" s="115" t="s">
        <v>2857</v>
      </c>
      <c r="D21" s="115"/>
      <c r="E21" s="300"/>
      <c r="F21" s="116" t="s">
        <v>2861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2768</v>
      </c>
      <c r="B22" s="114" t="str">
        <f>VLOOKUP(A22,'Data pick slip'!B:F,5,FALSE)</f>
        <v>KHJ-MC100-00</v>
      </c>
      <c r="C22" s="115" t="s">
        <v>2857</v>
      </c>
      <c r="D22" s="115"/>
      <c r="E22" s="300"/>
      <c r="F22" s="116" t="s">
        <v>2861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2768</v>
      </c>
      <c r="B23" s="114" t="str">
        <f>VLOOKUP(A23,'Data pick slip'!B:F,5,FALSE)</f>
        <v>KHJ-MC100-00</v>
      </c>
      <c r="C23" s="115">
        <v>109382</v>
      </c>
      <c r="D23" s="115" t="str">
        <f>VLOOKUP(C23,Stock_list!D:L,2,FALSE)</f>
        <v>易而达</v>
      </c>
      <c r="E23" s="300"/>
      <c r="F23" s="116" t="s">
        <v>2861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2768</v>
      </c>
      <c r="B24" s="114" t="str">
        <f>VLOOKUP(A24,'Data pick slip'!B:F,5,FALSE)</f>
        <v>KHJ-MC100-00</v>
      </c>
      <c r="C24" s="115">
        <v>109264</v>
      </c>
      <c r="D24" s="115" t="str">
        <f>VLOOKUP(C24,Stock_list!D:L,2,FALSE)</f>
        <v>立昇</v>
      </c>
      <c r="E24" s="137"/>
      <c r="F24" s="116" t="s">
        <v>2861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2768</v>
      </c>
      <c r="B25" s="114" t="str">
        <f>VLOOKUP(A25,'Data pick slip'!B:F,5,FALSE)</f>
        <v>KHJ-MC100-00</v>
      </c>
      <c r="C25" s="115">
        <v>109264</v>
      </c>
      <c r="D25" s="115" t="str">
        <f>VLOOKUP(C25,Stock_list!D:L,2,FALSE)</f>
        <v>立昇</v>
      </c>
      <c r="E25" s="137"/>
      <c r="F25" s="116" t="s">
        <v>2861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2809</v>
      </c>
      <c r="B26" s="114" t="str">
        <f>VLOOKUP(A26,'Data pick slip'!B:F,5,FALSE)</f>
        <v>KHJ-MC200-00</v>
      </c>
      <c r="C26" s="115" t="s">
        <v>2857</v>
      </c>
      <c r="D26" s="115"/>
      <c r="E26" s="137"/>
      <c r="F26" s="116" t="s">
        <v>2862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2747</v>
      </c>
      <c r="B27" s="114" t="str">
        <f>VLOOKUP(A27,'Data pick slip'!B:F,5,FALSE)</f>
        <v>KHJ-MC200-00</v>
      </c>
      <c r="C27" s="115" t="s">
        <v>2857</v>
      </c>
      <c r="D27" s="115"/>
      <c r="E27" s="137"/>
      <c r="F27" s="116" t="s">
        <v>2862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2747</v>
      </c>
      <c r="B28" s="114" t="str">
        <f>VLOOKUP(A28,'Data pick slip'!B:F,5,FALSE)</f>
        <v>KHJ-MC200-00</v>
      </c>
      <c r="C28" s="115" t="s">
        <v>2857</v>
      </c>
      <c r="D28" s="115"/>
      <c r="E28" s="137"/>
      <c r="F28" s="116" t="s">
        <v>2862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2777</v>
      </c>
      <c r="B29" s="114" t="str">
        <f>VLOOKUP(A29,'Data pick slip'!B:F,5,FALSE)</f>
        <v>KHJ-MC400-00</v>
      </c>
      <c r="C29" s="115" t="s">
        <v>2857</v>
      </c>
      <c r="D29" s="115"/>
      <c r="E29" s="137"/>
      <c r="F29" s="116" t="s">
        <v>2861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2748</v>
      </c>
      <c r="B30" s="114" t="str">
        <f>VLOOKUP(A30,'Data pick slip'!B:F,5,FALSE)</f>
        <v>KHJ-MC400-00</v>
      </c>
      <c r="C30" s="115" t="s">
        <v>2857</v>
      </c>
      <c r="D30" s="115"/>
      <c r="E30" s="137"/>
      <c r="F30" s="116" t="s">
        <v>2861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2812</v>
      </c>
      <c r="B31" s="114" t="str">
        <f>VLOOKUP(A31,'Data pick slip'!B:F,5,FALSE)</f>
        <v>KHJ-MC500-00</v>
      </c>
      <c r="C31" s="115" t="s">
        <v>2857</v>
      </c>
      <c r="D31" s="115"/>
      <c r="E31" s="147"/>
      <c r="F31" s="116" t="s">
        <v>2862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2812</v>
      </c>
      <c r="B32" s="114" t="str">
        <f>VLOOKUP(A32,'Data pick slip'!B:F,5,FALSE)</f>
        <v>KHJ-MC500-00</v>
      </c>
      <c r="C32" s="115" t="s">
        <v>2857</v>
      </c>
      <c r="D32" s="115"/>
      <c r="E32" s="147"/>
      <c r="F32" s="116" t="s">
        <v>2862</v>
      </c>
      <c r="G32" s="117">
        <v>19</v>
      </c>
      <c r="Q32" s="143"/>
      <c r="T32" s="144"/>
      <c r="U32" s="145"/>
    </row>
    <row r="33" spans="1:21" ht="16.5" customHeight="1">
      <c r="A33" s="127" t="s">
        <v>2814</v>
      </c>
      <c r="B33" s="114" t="str">
        <f>VLOOKUP(A33,'Data pick slip'!B:F,5,FALSE)</f>
        <v>KHJ-MC600-00</v>
      </c>
      <c r="C33" s="115" t="s">
        <v>2857</v>
      </c>
      <c r="D33" s="115"/>
      <c r="E33" s="147"/>
      <c r="F33" s="116" t="s">
        <v>2862</v>
      </c>
      <c r="G33" s="117">
        <v>1</v>
      </c>
      <c r="Q33" s="143"/>
      <c r="T33" s="144"/>
      <c r="U33" s="145"/>
    </row>
    <row r="34" spans="1:21" ht="15" customHeight="1">
      <c r="A34" s="127" t="s">
        <v>2814</v>
      </c>
      <c r="B34" s="114" t="str">
        <f>VLOOKUP(A34,'Data pick slip'!B:F,5,FALSE)</f>
        <v>KHJ-MC600-00</v>
      </c>
      <c r="C34" s="115" t="s">
        <v>2857</v>
      </c>
      <c r="D34" s="115"/>
      <c r="E34" s="147"/>
      <c r="F34" s="116" t="s">
        <v>2862</v>
      </c>
      <c r="G34" s="117">
        <v>41</v>
      </c>
      <c r="Q34" s="143"/>
      <c r="T34" s="144"/>
      <c r="U34" s="145"/>
    </row>
    <row r="35" spans="1:21" ht="15" customHeight="1">
      <c r="A35" s="127" t="s">
        <v>2755</v>
      </c>
      <c r="B35" s="114" t="str">
        <f>VLOOKUP(A35,'Data pick slip'!B:F,5,FALSE)</f>
        <v>KLJ-MC100-00</v>
      </c>
      <c r="C35" s="115" t="s">
        <v>2857</v>
      </c>
      <c r="D35" s="115"/>
      <c r="E35" s="147"/>
      <c r="F35" s="116" t="s">
        <v>2862</v>
      </c>
      <c r="G35" s="117">
        <v>380</v>
      </c>
      <c r="Q35" s="143"/>
      <c r="T35" s="144"/>
      <c r="U35" s="145"/>
    </row>
    <row r="36" spans="1:21" ht="15" customHeight="1">
      <c r="A36" s="113" t="s">
        <v>2756</v>
      </c>
      <c r="B36" s="114" t="str">
        <f>VLOOKUP(A36,'Data pick slip'!B:F,5,FALSE)</f>
        <v>KLJ-MC200-00</v>
      </c>
      <c r="C36" s="115" t="s">
        <v>2857</v>
      </c>
      <c r="D36" s="115"/>
      <c r="E36" s="147"/>
      <c r="F36" s="116" t="s">
        <v>2862</v>
      </c>
      <c r="G36" s="117">
        <v>50</v>
      </c>
      <c r="T36" s="144"/>
      <c r="U36" s="145"/>
    </row>
    <row r="37" spans="1:21" ht="15" customHeight="1">
      <c r="A37" s="113" t="s">
        <v>2757</v>
      </c>
      <c r="B37" s="114" t="str">
        <f>VLOOKUP(A37,'Data pick slip'!B:F,5,FALSE)</f>
        <v>KLJ-MC400-00</v>
      </c>
      <c r="C37" s="115" t="s">
        <v>2857</v>
      </c>
      <c r="D37" s="115"/>
      <c r="E37" s="147"/>
      <c r="F37" s="116" t="s">
        <v>2862</v>
      </c>
      <c r="G37" s="117">
        <v>25</v>
      </c>
      <c r="Q37" s="143"/>
      <c r="T37" s="144"/>
      <c r="U37" s="145"/>
    </row>
    <row r="38" spans="1:21" ht="15" customHeight="1">
      <c r="A38" s="127" t="s">
        <v>2748</v>
      </c>
      <c r="B38" s="114" t="str">
        <f>VLOOKUP(A38,'Data pick slip'!B:F,5,FALSE)</f>
        <v>KHJ-MC400-00</v>
      </c>
      <c r="C38" s="115">
        <v>109382</v>
      </c>
      <c r="D38" s="115" t="str">
        <f>VLOOKUP(C38,Stock_list!D:L,2,FALSE)</f>
        <v>易而达</v>
      </c>
      <c r="E38" s="147" t="str">
        <f>VLOOKUP(C38,Stock_list!D:L,9,FALSE)</f>
        <v>已经发货</v>
      </c>
      <c r="F38" s="116" t="s">
        <v>2861</v>
      </c>
      <c r="G38" s="117">
        <v>5</v>
      </c>
      <c r="Q38" s="143"/>
      <c r="T38" s="144"/>
      <c r="U38" s="145"/>
    </row>
    <row r="39" spans="1:21" ht="21" customHeight="1">
      <c r="A39" s="127" t="s">
        <v>2747</v>
      </c>
      <c r="B39" s="114" t="str">
        <f>VLOOKUP(A39,'Data pick slip'!B:F,5,FALSE)</f>
        <v>KHJ-MC200-00</v>
      </c>
      <c r="C39" s="115">
        <v>109382</v>
      </c>
      <c r="D39" s="115" t="str">
        <f>VLOOKUP(C39,Stock_list!D:L,2,FALSE)</f>
        <v>易而达</v>
      </c>
      <c r="E39" s="147" t="str">
        <f>VLOOKUP(C39,Stock_list!D:L,9,FALSE)</f>
        <v>已经发货</v>
      </c>
      <c r="F39" s="116" t="s">
        <v>2861</v>
      </c>
      <c r="G39" s="117">
        <v>10</v>
      </c>
      <c r="Q39" s="143"/>
      <c r="T39" s="144"/>
      <c r="U39" s="145"/>
    </row>
    <row r="40" spans="1:21" ht="15" customHeight="1">
      <c r="A40" s="127" t="s">
        <v>2748</v>
      </c>
      <c r="B40" s="114" t="str">
        <f>VLOOKUP(A40,'Data pick slip'!B:F,5,FALSE)</f>
        <v>KHJ-MC400-00</v>
      </c>
      <c r="C40" s="115">
        <v>109413</v>
      </c>
      <c r="D40" s="115" t="str">
        <f>VLOOKUP(C40,Stock_list!D:L,2,FALSE)</f>
        <v>STK</v>
      </c>
      <c r="E40" s="147">
        <f>VLOOKUP(C40,Stock_list!D:L,9,FALSE)</f>
        <v>43385</v>
      </c>
      <c r="F40" s="116" t="s">
        <v>2861</v>
      </c>
      <c r="G40" s="117">
        <v>10</v>
      </c>
      <c r="Q40" s="143"/>
      <c r="T40" s="144"/>
      <c r="U40" s="145"/>
    </row>
    <row r="41" spans="1:21" ht="21" customHeight="1">
      <c r="A41" s="127" t="s">
        <v>2747</v>
      </c>
      <c r="B41" s="114" t="str">
        <f>VLOOKUP(A41,'Data pick slip'!B:F,5,FALSE)</f>
        <v>KHJ-MC200-00</v>
      </c>
      <c r="C41" s="115">
        <v>109264</v>
      </c>
      <c r="D41" s="115" t="str">
        <f>VLOOKUP(C41,Stock_list!D:L,2,FALSE)</f>
        <v>立昇</v>
      </c>
      <c r="E41" s="147" t="str">
        <f>VLOOKUP(C41,Stock_list!D:L,9,FALSE)</f>
        <v>已经发货</v>
      </c>
      <c r="F41" s="116" t="s">
        <v>2861</v>
      </c>
      <c r="G41" s="117">
        <v>10</v>
      </c>
      <c r="Q41" s="143"/>
      <c r="T41" s="144"/>
      <c r="U41" s="145"/>
    </row>
    <row r="42" spans="1:21" ht="22.5" customHeight="1">
      <c r="A42" s="113" t="s">
        <v>2768</v>
      </c>
      <c r="B42" s="114" t="str">
        <f>VLOOKUP(A42,'Data pick slip'!B:F,5,FALSE)</f>
        <v>KHJ-MC100-00</v>
      </c>
      <c r="C42" s="115">
        <v>109331</v>
      </c>
      <c r="D42" s="115" t="str">
        <f>VLOOKUP(C42,Stock_list!D:L,2,FALSE)</f>
        <v>永顺创</v>
      </c>
      <c r="E42" s="147">
        <f>VLOOKUP(C42,Stock_list!D:L,9,FALSE)</f>
        <v>43405</v>
      </c>
      <c r="F42" s="116" t="s">
        <v>2861</v>
      </c>
      <c r="G42" s="117">
        <v>70</v>
      </c>
      <c r="Q42" s="143"/>
      <c r="T42" s="144"/>
      <c r="U42" s="145"/>
    </row>
    <row r="43" spans="1:21" ht="15" customHeight="1">
      <c r="A43" s="127" t="s">
        <v>2747</v>
      </c>
      <c r="B43" s="114" t="str">
        <f>VLOOKUP(A43,'Data pick slip'!B:F,5,FALSE)</f>
        <v>KHJ-MC200-00</v>
      </c>
      <c r="C43" s="115">
        <v>109331</v>
      </c>
      <c r="D43" s="115" t="str">
        <f>VLOOKUP(C43,Stock_list!D:L,2,FALSE)</f>
        <v>永顺创</v>
      </c>
      <c r="E43" s="147">
        <f>VLOOKUP(C43,Stock_list!D:L,9,FALSE)</f>
        <v>43405</v>
      </c>
      <c r="F43" s="116" t="s">
        <v>2861</v>
      </c>
      <c r="G43" s="117">
        <v>10</v>
      </c>
      <c r="Q43" s="143"/>
      <c r="T43" s="144"/>
      <c r="U43" s="145"/>
    </row>
    <row r="44" spans="1:21" ht="15" customHeight="1">
      <c r="A44" s="127" t="s">
        <v>2748</v>
      </c>
      <c r="B44" s="114" t="str">
        <f>VLOOKUP(A44,'Data pick slip'!B:F,5,FALSE)</f>
        <v>KHJ-MC400-00</v>
      </c>
      <c r="C44" s="115">
        <v>109331</v>
      </c>
      <c r="D44" s="115" t="str">
        <f>VLOOKUP(C44,Stock_list!D:L,2,FALSE)</f>
        <v>永顺创</v>
      </c>
      <c r="E44" s="147">
        <f>VLOOKUP(C44,Stock_list!D:L,9,FALSE)</f>
        <v>43405</v>
      </c>
      <c r="F44" s="116" t="s">
        <v>2861</v>
      </c>
      <c r="G44" s="117">
        <v>5</v>
      </c>
      <c r="Q44" s="143"/>
      <c r="T44" s="144"/>
      <c r="U44" s="145"/>
    </row>
    <row r="45" spans="1:21" ht="22.5" customHeight="1">
      <c r="A45" s="127" t="s">
        <v>2812</v>
      </c>
      <c r="B45" s="114" t="str">
        <f>VLOOKUP(A45,'Data pick slip'!B:F,5,FALSE)</f>
        <v>KHJ-MC500-00</v>
      </c>
      <c r="C45" s="115">
        <v>109331</v>
      </c>
      <c r="D45" s="115" t="str">
        <f>VLOOKUP(C45,Stock_list!D:L,2,FALSE)</f>
        <v>永顺创</v>
      </c>
      <c r="E45" s="147">
        <f>VLOOKUP(C45,Stock_list!D:L,9,FALSE)</f>
        <v>43405</v>
      </c>
      <c r="F45" s="116" t="s">
        <v>2861</v>
      </c>
      <c r="G45" s="117">
        <v>2</v>
      </c>
      <c r="Q45" s="143"/>
      <c r="T45" s="144"/>
      <c r="U45" s="145"/>
    </row>
    <row r="46" spans="1:21" ht="15" customHeight="1">
      <c r="A46" s="127" t="s">
        <v>2814</v>
      </c>
      <c r="B46" s="114" t="str">
        <f>VLOOKUP(A46,'Data pick slip'!B:F,5,FALSE)</f>
        <v>KHJ-MC600-00</v>
      </c>
      <c r="C46" s="115">
        <v>109331</v>
      </c>
      <c r="D46" s="115" t="str">
        <f>VLOOKUP(C46,Stock_list!D:L,2,FALSE)</f>
        <v>永顺创</v>
      </c>
      <c r="E46" s="147">
        <f>VLOOKUP(C46,Stock_list!D:L,9,FALSE)</f>
        <v>43405</v>
      </c>
      <c r="F46" s="116" t="s">
        <v>2861</v>
      </c>
      <c r="G46" s="117">
        <v>1</v>
      </c>
      <c r="Q46" s="143"/>
      <c r="T46" s="144"/>
      <c r="U46" s="145"/>
    </row>
    <row r="47" spans="1:21" ht="21" customHeight="1">
      <c r="A47" s="113" t="s">
        <v>2768</v>
      </c>
      <c r="B47" s="114" t="str">
        <f>VLOOKUP(A47,'Data pick slip'!B:F,5,FALSE)</f>
        <v>KHJ-MC100-00</v>
      </c>
      <c r="C47" s="115">
        <v>109288</v>
      </c>
      <c r="D47" s="115" t="str">
        <f>VLOOKUP(C47,Stock_list!D:L,2,FALSE)</f>
        <v>亿联</v>
      </c>
      <c r="E47" s="147">
        <f>VLOOKUP(C47,Stock_list!D:L,9,FALSE)</f>
        <v>43407</v>
      </c>
      <c r="F47" s="116" t="s">
        <v>2862</v>
      </c>
      <c r="G47" s="117">
        <v>150</v>
      </c>
      <c r="Q47" s="143"/>
      <c r="T47" s="144"/>
      <c r="U47" s="145"/>
    </row>
    <row r="48" spans="1:21" ht="15" customHeight="1">
      <c r="A48" s="127" t="s">
        <v>2747</v>
      </c>
      <c r="B48" s="114" t="str">
        <f>VLOOKUP(A48,'Data pick slip'!B:F,5,FALSE)</f>
        <v>KHJ-MC200-00</v>
      </c>
      <c r="C48" s="115">
        <v>109288</v>
      </c>
      <c r="D48" s="115" t="str">
        <f>VLOOKUP(C48,Stock_list!D:L,2,FALSE)</f>
        <v>亿联</v>
      </c>
      <c r="E48" s="147">
        <f>VLOOKUP(C48,Stock_list!D:L,9,FALSE)</f>
        <v>43407</v>
      </c>
      <c r="F48" s="116" t="s">
        <v>2862</v>
      </c>
      <c r="G48" s="117">
        <v>5</v>
      </c>
      <c r="Q48" s="143"/>
      <c r="T48" s="144"/>
      <c r="U48" s="145"/>
    </row>
    <row r="49" spans="1:21" ht="15" customHeight="1">
      <c r="A49" s="127" t="s">
        <v>2812</v>
      </c>
      <c r="B49" s="114" t="str">
        <f>VLOOKUP(A49,'Data pick slip'!B:F,5,FALSE)</f>
        <v>KHJ-MC500-00</v>
      </c>
      <c r="C49" s="115">
        <v>109288</v>
      </c>
      <c r="D49" s="115" t="str">
        <f>VLOOKUP(C49,Stock_list!D:L,2,FALSE)</f>
        <v>亿联</v>
      </c>
      <c r="E49" s="147">
        <f>VLOOKUP(C49,Stock_list!D:L,9,FALSE)</f>
        <v>43407</v>
      </c>
      <c r="F49" s="116" t="s">
        <v>2862</v>
      </c>
      <c r="G49" s="117">
        <v>2</v>
      </c>
      <c r="Q49" s="143"/>
      <c r="T49" s="144"/>
      <c r="U49" s="145"/>
    </row>
    <row r="50" spans="1:21" ht="15" customHeight="1">
      <c r="A50" s="113" t="s">
        <v>2768</v>
      </c>
      <c r="B50" s="114" t="str">
        <f>VLOOKUP(A50,'Data pick slip'!B:F,5,FALSE)</f>
        <v>KHJ-MC100-00</v>
      </c>
      <c r="C50" s="115">
        <v>109308</v>
      </c>
      <c r="D50" s="115" t="str">
        <f>VLOOKUP(C50,Stock_list!D:L,2,FALSE)</f>
        <v>英拓邦</v>
      </c>
      <c r="E50" s="147">
        <f>VLOOKUP(C50,Stock_list!D:L,9,FALSE)</f>
        <v>43415</v>
      </c>
      <c r="F50" s="116" t="s">
        <v>2862</v>
      </c>
      <c r="G50" s="117">
        <v>120</v>
      </c>
      <c r="Q50" s="143"/>
      <c r="T50" s="144"/>
      <c r="U50" s="145"/>
    </row>
    <row r="51" spans="1:21" ht="15" customHeight="1">
      <c r="A51" s="127" t="s">
        <v>2747</v>
      </c>
      <c r="B51" s="114" t="str">
        <f>VLOOKUP(A51,'Data pick slip'!B:F,5,FALSE)</f>
        <v>KHJ-MC200-00</v>
      </c>
      <c r="C51" s="115">
        <v>109308</v>
      </c>
      <c r="D51" s="115" t="str">
        <f>VLOOKUP(C51,Stock_list!D:L,2,FALSE)</f>
        <v>英拓邦</v>
      </c>
      <c r="E51" s="147">
        <f>VLOOKUP(C51,Stock_list!D:L,9,FALSE)</f>
        <v>43415</v>
      </c>
      <c r="F51" s="116" t="s">
        <v>2862</v>
      </c>
      <c r="G51" s="117">
        <v>60</v>
      </c>
      <c r="Q51" s="143"/>
      <c r="T51" s="144"/>
      <c r="U51" s="145"/>
    </row>
    <row r="52" spans="1:21" ht="15" customHeight="1">
      <c r="A52" s="127" t="s">
        <v>2777</v>
      </c>
      <c r="B52" s="114" t="str">
        <f>VLOOKUP(A52,'Data pick slip'!B:F,5,FALSE)</f>
        <v>KHJ-MC400-00</v>
      </c>
      <c r="C52" s="115">
        <v>109308</v>
      </c>
      <c r="D52" s="115" t="str">
        <f>VLOOKUP(C52,Stock_list!D:L,2,FALSE)</f>
        <v>英拓邦</v>
      </c>
      <c r="E52" s="147">
        <f>VLOOKUP(C52,Stock_list!D:L,9,FALSE)</f>
        <v>43415</v>
      </c>
      <c r="F52" s="116" t="s">
        <v>2862</v>
      </c>
      <c r="G52" s="117">
        <v>5</v>
      </c>
      <c r="Q52" s="143"/>
      <c r="T52" s="144"/>
      <c r="U52" s="145"/>
    </row>
    <row r="53" spans="1:21" ht="15" customHeight="1">
      <c r="A53" s="127" t="s">
        <v>2812</v>
      </c>
      <c r="B53" s="114" t="str">
        <f>VLOOKUP(A53,'Data pick slip'!B:F,5,FALSE)</f>
        <v>KHJ-MC500-00</v>
      </c>
      <c r="C53" s="115">
        <v>109308</v>
      </c>
      <c r="D53" s="115" t="str">
        <f>VLOOKUP(C53,Stock_list!D:L,2,FALSE)</f>
        <v>英拓邦</v>
      </c>
      <c r="E53" s="147">
        <f>VLOOKUP(C53,Stock_list!D:L,9,FALSE)</f>
        <v>43415</v>
      </c>
      <c r="F53" s="116" t="s">
        <v>2862</v>
      </c>
      <c r="G53" s="117">
        <v>2</v>
      </c>
      <c r="Q53" s="143"/>
      <c r="T53" s="144"/>
      <c r="U53" s="145"/>
    </row>
    <row r="54" spans="1:21" ht="15" customHeight="1">
      <c r="A54" s="113" t="s">
        <v>2768</v>
      </c>
      <c r="B54" s="114" t="str">
        <f>VLOOKUP(A54,'Data pick slip'!B:F,5,FALSE)</f>
        <v>KHJ-MC100-00</v>
      </c>
      <c r="C54" s="115">
        <v>109295</v>
      </c>
      <c r="D54" s="115" t="str">
        <f>VLOOKUP(C54,Stock_list!D:L,2,FALSE)</f>
        <v>STK</v>
      </c>
      <c r="E54" s="147">
        <f>VLOOKUP(C54,Stock_list!D:L,9,FALSE)</f>
        <v>43418</v>
      </c>
      <c r="F54" s="116" t="s">
        <v>2862</v>
      </c>
      <c r="G54" s="117">
        <v>230</v>
      </c>
      <c r="Q54" s="143"/>
      <c r="T54" s="144"/>
      <c r="U54" s="145"/>
    </row>
    <row r="55" spans="1:21" ht="15" customHeight="1">
      <c r="A55" s="127" t="s">
        <v>2747</v>
      </c>
      <c r="B55" s="114" t="str">
        <f>VLOOKUP(A55,'Data pick slip'!B:F,5,FALSE)</f>
        <v>KHJ-MC200-00</v>
      </c>
      <c r="C55" s="115">
        <v>109295</v>
      </c>
      <c r="D55" s="115" t="str">
        <f>VLOOKUP(C55,Stock_list!D:L,2,FALSE)</f>
        <v>STK</v>
      </c>
      <c r="E55" s="147">
        <f>VLOOKUP(C55,Stock_list!D:L,9,FALSE)</f>
        <v>43418</v>
      </c>
      <c r="F55" s="116" t="s">
        <v>2862</v>
      </c>
      <c r="G55" s="117">
        <v>40</v>
      </c>
      <c r="Q55" s="143"/>
      <c r="T55" s="144"/>
      <c r="U55" s="145"/>
    </row>
    <row r="56" spans="1:21" ht="15" customHeight="1">
      <c r="A56" s="127" t="s">
        <v>2777</v>
      </c>
      <c r="B56" s="114" t="str">
        <f>VLOOKUP(A56,'Data pick slip'!B:F,5,FALSE)</f>
        <v>KHJ-MC400-00</v>
      </c>
      <c r="C56" s="115">
        <v>109295</v>
      </c>
      <c r="D56" s="115" t="str">
        <f>VLOOKUP(C56,Stock_list!D:L,2,FALSE)</f>
        <v>STK</v>
      </c>
      <c r="E56" s="147">
        <f>VLOOKUP(C56,Stock_list!D:L,9,FALSE)</f>
        <v>43418</v>
      </c>
      <c r="F56" s="116" t="s">
        <v>2862</v>
      </c>
      <c r="G56" s="117">
        <v>20</v>
      </c>
      <c r="Q56" s="143"/>
      <c r="T56" s="144"/>
      <c r="U56" s="145"/>
    </row>
    <row r="57" spans="1:21" ht="15" customHeight="1">
      <c r="A57" s="127" t="s">
        <v>2812</v>
      </c>
      <c r="B57" s="114" t="str">
        <f>VLOOKUP(A57,'Data pick slip'!B:F,5,FALSE)</f>
        <v>KHJ-MC500-00</v>
      </c>
      <c r="C57" s="115">
        <v>109295</v>
      </c>
      <c r="D57" s="115" t="str">
        <f>VLOOKUP(C57,Stock_list!D:L,2,FALSE)</f>
        <v>STK</v>
      </c>
      <c r="E57" s="147">
        <f>VLOOKUP(C57,Stock_list!D:L,9,FALSE)</f>
        <v>43418</v>
      </c>
      <c r="F57" s="116" t="s">
        <v>2862</v>
      </c>
      <c r="G57" s="117">
        <v>5</v>
      </c>
      <c r="Q57" s="143"/>
      <c r="T57" s="144"/>
      <c r="U57" s="145"/>
    </row>
    <row r="58" spans="1:21" ht="15" customHeight="1">
      <c r="A58" s="127" t="s">
        <v>2747</v>
      </c>
      <c r="B58" s="114" t="str">
        <f>VLOOKUP(A58,'Data pick slip'!B:F,5,FALSE)</f>
        <v>KHJ-MC200-00</v>
      </c>
      <c r="C58" s="115" t="s">
        <v>2863</v>
      </c>
      <c r="D58" s="115"/>
      <c r="E58" s="147"/>
      <c r="F58" s="116" t="s">
        <v>2773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2768</v>
      </c>
      <c r="B59" s="114" t="str">
        <f>VLOOKUP(A59,'Data pick slip'!B:F,5,FALSE)</f>
        <v>KHJ-MC100-00</v>
      </c>
      <c r="C59" s="115">
        <v>109421</v>
      </c>
      <c r="D59" s="115" t="str">
        <f>VLOOKUP(C59,Stock_list!D:L,2,FALSE)</f>
        <v>STK</v>
      </c>
      <c r="E59" s="147">
        <f>VLOOKUP(C59,Stock_list!D:L,9,FALSE)</f>
        <v>43435</v>
      </c>
      <c r="F59" s="116" t="s">
        <v>2862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2768</v>
      </c>
      <c r="B60" s="114" t="str">
        <f>VLOOKUP(A60,'Data pick slip'!B:F,5,FALSE)</f>
        <v>KHJ-MC100-00</v>
      </c>
      <c r="C60" s="115">
        <v>109454</v>
      </c>
      <c r="D60" s="115" t="str">
        <f>VLOOKUP(C60,Stock_list!D:L,2,FALSE)</f>
        <v>STK</v>
      </c>
      <c r="E60" s="147">
        <f>VLOOKUP(C60,Stock_list!D:L,9,FALSE)</f>
        <v>43442</v>
      </c>
      <c r="F60" s="116" t="s">
        <v>2862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2747</v>
      </c>
      <c r="B61" s="114" t="str">
        <f>VLOOKUP(A61,'Data pick slip'!B:F,5,FALSE)</f>
        <v>KHJ-MC200-00</v>
      </c>
      <c r="C61" s="115">
        <v>109454</v>
      </c>
      <c r="D61" s="115" t="str">
        <f>VLOOKUP(C61,Stock_list!D:L,2,FALSE)</f>
        <v>STK</v>
      </c>
      <c r="E61" s="147">
        <f>VLOOKUP(C61,Stock_list!D:L,9,FALSE)</f>
        <v>43442</v>
      </c>
      <c r="F61" s="116" t="s">
        <v>2862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2768</v>
      </c>
      <c r="B62" s="114" t="str">
        <f>VLOOKUP(A62,'Data pick slip'!B:F,5,FALSE)</f>
        <v>KHJ-MC100-00</v>
      </c>
      <c r="C62" s="115">
        <v>109423</v>
      </c>
      <c r="D62" s="115" t="str">
        <f>VLOOKUP(C62,Stock_list!D:L,2,FALSE)</f>
        <v>STK</v>
      </c>
      <c r="E62" s="147">
        <f>VLOOKUP(C62,Stock_list!D:L,9,FALSE)</f>
        <v>43455</v>
      </c>
      <c r="F62" s="116" t="s">
        <v>2862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2747</v>
      </c>
      <c r="B63" s="114" t="str">
        <f>VLOOKUP(A63,'Data pick slip'!B:F,5,FALSE)</f>
        <v>KHJ-MC200-00</v>
      </c>
      <c r="C63" s="115">
        <v>109423</v>
      </c>
      <c r="D63" s="115" t="str">
        <f>VLOOKUP(C63,Stock_list!D:L,2,FALSE)</f>
        <v>STK</v>
      </c>
      <c r="E63" s="147">
        <f>VLOOKUP(C63,Stock_list!D:L,9,FALSE)</f>
        <v>43455</v>
      </c>
      <c r="F63" s="116" t="s">
        <v>2862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2748</v>
      </c>
      <c r="B64" s="114" t="str">
        <f>VLOOKUP(A64,'Data pick slip'!B:F,5,FALSE)</f>
        <v>KHJ-MC400-00</v>
      </c>
      <c r="C64" s="115"/>
      <c r="D64" s="115"/>
      <c r="E64" s="147" t="s">
        <v>2864</v>
      </c>
      <c r="F64" s="116" t="s">
        <v>2773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2757</v>
      </c>
      <c r="B65" s="114" t="str">
        <f>VLOOKUP(A65,'Data pick slip'!B:F,5,FALSE)</f>
        <v>KLJ-MC400-00</v>
      </c>
      <c r="C65" s="115"/>
      <c r="D65" s="115"/>
      <c r="E65" s="147" t="s">
        <v>2864</v>
      </c>
      <c r="F65" s="116" t="s">
        <v>2773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2749</v>
      </c>
      <c r="B66" s="114" t="str">
        <f>VLOOKUP(A66,'Data pick slip'!B:F,5,FALSE)</f>
        <v>KHJ-MC500-00</v>
      </c>
      <c r="C66" s="115"/>
      <c r="D66" s="115"/>
      <c r="E66" s="147" t="s">
        <v>2864</v>
      </c>
      <c r="F66" s="116" t="s">
        <v>2773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2744</v>
      </c>
      <c r="B67" s="114" t="str">
        <f>VLOOKUP(A67,'Data pick slip'!B:F,5,FALSE)</f>
        <v>KHJ-MC100-00</v>
      </c>
      <c r="C67" s="115"/>
      <c r="D67" s="115"/>
      <c r="E67" s="147" t="s">
        <v>2864</v>
      </c>
      <c r="F67" s="116" t="s">
        <v>2773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2744</v>
      </c>
      <c r="B68" s="114" t="str">
        <f>VLOOKUP(A68,'Data pick slip'!B:F,5,FALSE)</f>
        <v>KHJ-MC100-00</v>
      </c>
      <c r="C68" s="115"/>
      <c r="D68" s="115"/>
      <c r="E68" s="147" t="s">
        <v>2865</v>
      </c>
      <c r="F68" s="116" t="s">
        <v>2773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2747</v>
      </c>
      <c r="B69" s="114" t="str">
        <f>VLOOKUP(A69,'Data pick slip'!B:F,5,FALSE)</f>
        <v>KHJ-MC200-00</v>
      </c>
      <c r="C69" s="115"/>
      <c r="D69" s="115"/>
      <c r="E69" s="147" t="s">
        <v>2865</v>
      </c>
      <c r="F69" s="116" t="s">
        <v>2773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2748</v>
      </c>
      <c r="B70" s="114" t="str">
        <f>VLOOKUP(A70,'Data pick slip'!B:F,5,FALSE)</f>
        <v>KHJ-MC400-00</v>
      </c>
      <c r="C70" s="115"/>
      <c r="D70" s="115"/>
      <c r="E70" s="147" t="s">
        <v>2865</v>
      </c>
      <c r="F70" s="116" t="s">
        <v>2773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2756</v>
      </c>
      <c r="B71" s="114" t="str">
        <f>VLOOKUP(A71,'Data pick slip'!B:F,5,FALSE)</f>
        <v>KLJ-MC200-00</v>
      </c>
      <c r="C71" s="115"/>
      <c r="D71" s="115"/>
      <c r="E71" s="147" t="s">
        <v>2865</v>
      </c>
      <c r="F71" s="116" t="s">
        <v>2773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2747</v>
      </c>
      <c r="B72" s="114" t="str">
        <f>VLOOKUP(A72,'Data pick slip'!B:F,5,FALSE)</f>
        <v>KHJ-MC200-00</v>
      </c>
      <c r="C72" s="115"/>
      <c r="D72" s="115"/>
      <c r="E72" s="147" t="s">
        <v>2866</v>
      </c>
      <c r="F72" s="116" t="s">
        <v>2773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2748</v>
      </c>
      <c r="B73" s="114" t="str">
        <f>VLOOKUP(A73,'Data pick slip'!B:F,5,FALSE)</f>
        <v>KHJ-MC400-00</v>
      </c>
      <c r="C73" s="115"/>
      <c r="D73" s="115"/>
      <c r="E73" s="147" t="s">
        <v>2866</v>
      </c>
      <c r="F73" s="116" t="s">
        <v>2773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2768</v>
      </c>
      <c r="B74" s="114" t="str">
        <f>VLOOKUP(A74,'Data pick slip'!B:F,5,FALSE)</f>
        <v>KHJ-MC100-00</v>
      </c>
      <c r="C74" s="115">
        <v>109478</v>
      </c>
      <c r="D74" s="115" t="str">
        <f>VLOOKUP(C74,Stock_list!D:L,2,FALSE)</f>
        <v>康佳</v>
      </c>
      <c r="E74" s="147">
        <f>VLOOKUP(C74,Stock_list!D:L,9,FALSE)</f>
        <v>43512</v>
      </c>
      <c r="F74" s="116" t="s">
        <v>2862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2812</v>
      </c>
      <c r="B75" s="114" t="str">
        <f>VLOOKUP(A75,'Data pick slip'!B:F,5,FALSE)</f>
        <v>KHJ-MC500-00</v>
      </c>
      <c r="C75" s="115">
        <v>109478</v>
      </c>
      <c r="D75" s="115" t="str">
        <f>VLOOKUP(C75,Stock_list!D:L,2,FALSE)</f>
        <v>康佳</v>
      </c>
      <c r="E75" s="147">
        <f>VLOOKUP(C75,Stock_list!D:L,9,FALSE)</f>
        <v>43512</v>
      </c>
      <c r="F75" s="116" t="s">
        <v>2862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2768</v>
      </c>
      <c r="B76" s="114" t="str">
        <f>VLOOKUP(A76,'Data pick slip'!B:F,5,FALSE)</f>
        <v>KHJ-MC100-00</v>
      </c>
      <c r="C76" s="115">
        <v>109383</v>
      </c>
      <c r="D76" s="115" t="str">
        <f>VLOOKUP(C76,Stock_list!D:L,2,FALSE)</f>
        <v>易而达名义</v>
      </c>
      <c r="E76" s="147">
        <f>VLOOKUP(C76,Stock_list!D:L,9,FALSE)</f>
        <v>43512</v>
      </c>
      <c r="F76" s="116" t="s">
        <v>2862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2768</v>
      </c>
      <c r="B77" s="114" t="str">
        <f>VLOOKUP(A77,'Data pick slip'!B:F,5,FALSE)</f>
        <v>KHJ-MC100-00</v>
      </c>
      <c r="C77" s="115">
        <v>109490</v>
      </c>
      <c r="D77" s="115" t="str">
        <f>VLOOKUP(C77,Stock_list!D:L,2,FALSE)</f>
        <v>朗特名义</v>
      </c>
      <c r="E77" s="147">
        <f>VLOOKUP(C77,Stock_list!D:L,9,FALSE)</f>
        <v>43512</v>
      </c>
      <c r="F77" s="116" t="s">
        <v>2862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2747</v>
      </c>
      <c r="B78" s="114" t="str">
        <f>VLOOKUP(A78,'Data pick slip'!B:F,5,FALSE)</f>
        <v>KHJ-MC200-00</v>
      </c>
      <c r="C78" s="115">
        <v>109490</v>
      </c>
      <c r="D78" s="115" t="str">
        <f>VLOOKUP(C78,Stock_list!D:L,2,FALSE)</f>
        <v>朗特名义</v>
      </c>
      <c r="E78" s="147">
        <f>VLOOKUP(C78,Stock_list!D:L,9,FALSE)</f>
        <v>43512</v>
      </c>
      <c r="F78" s="116" t="s">
        <v>2862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2768</v>
      </c>
      <c r="B79" s="114" t="str">
        <f>VLOOKUP(A79,'Data pick slip'!B:F,5,FALSE)</f>
        <v>KHJ-MC100-00</v>
      </c>
      <c r="C79" s="115">
        <v>109220</v>
      </c>
      <c r="D79" s="115" t="str">
        <f>VLOOKUP(C79,Stock_list!D:L,2,FALSE)</f>
        <v>丰硕名义</v>
      </c>
      <c r="E79" s="147">
        <f>VLOOKUP(C79,Stock_list!D:L,9,FALSE)</f>
        <v>43518</v>
      </c>
      <c r="F79" s="116" t="s">
        <v>2862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2747</v>
      </c>
      <c r="B80" s="114" t="str">
        <f>VLOOKUP(A80,'Data pick slip'!B:F,5,FALSE)</f>
        <v>KHJ-MC200-00</v>
      </c>
      <c r="C80" s="115">
        <v>109220</v>
      </c>
      <c r="D80" s="115" t="str">
        <f>VLOOKUP(C80,Stock_list!D:L,2,FALSE)</f>
        <v>丰硕名义</v>
      </c>
      <c r="E80" s="147">
        <f>VLOOKUP(C80,Stock_list!D:L,9,FALSE)</f>
        <v>43518</v>
      </c>
      <c r="F80" s="116" t="s">
        <v>2862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2768</v>
      </c>
      <c r="B81" s="114" t="str">
        <f>VLOOKUP(A81,'Data pick slip'!B:F,5,FALSE)</f>
        <v>KHJ-MC100-00</v>
      </c>
      <c r="C81" s="115">
        <v>109247</v>
      </c>
      <c r="D81" s="115" t="str">
        <f>VLOOKUP(C81,Stock_list!D:L,2,FALSE)</f>
        <v>栩骊名义</v>
      </c>
      <c r="E81" s="147">
        <f>VLOOKUP(C81,Stock_list!D:L,9,FALSE)</f>
        <v>43527</v>
      </c>
      <c r="F81" s="116" t="s">
        <v>2862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2747</v>
      </c>
      <c r="B82" s="114" t="str">
        <f>VLOOKUP(A82,'Data pick slip'!B:F,5,FALSE)</f>
        <v>KHJ-MC200-00</v>
      </c>
      <c r="C82" s="115">
        <v>109247</v>
      </c>
      <c r="D82" s="115" t="str">
        <f>VLOOKUP(C82,Stock_list!D:L,2,FALSE)</f>
        <v>栩骊名义</v>
      </c>
      <c r="E82" s="147">
        <f>VLOOKUP(C82,Stock_list!D:L,9,FALSE)</f>
        <v>43527</v>
      </c>
      <c r="F82" s="116" t="s">
        <v>2862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2812</v>
      </c>
      <c r="B83" s="114" t="str">
        <f>VLOOKUP(A83,'Data pick slip'!B:F,5,FALSE)</f>
        <v>KHJ-MC500-00</v>
      </c>
      <c r="C83" s="115">
        <v>109247</v>
      </c>
      <c r="D83" s="115" t="str">
        <f>VLOOKUP(C83,Stock_list!D:L,2,FALSE)</f>
        <v>栩骊名义</v>
      </c>
      <c r="E83" s="147">
        <f>VLOOKUP(C83,Stock_list!D:L,9,FALSE)</f>
        <v>43527</v>
      </c>
      <c r="F83" s="116" t="s">
        <v>2862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2768</v>
      </c>
      <c r="B84" s="114" t="str">
        <f>VLOOKUP(A84,'Data pick slip'!B:F,5,FALSE)</f>
        <v>KHJ-MC100-00</v>
      </c>
      <c r="C84" s="115">
        <v>109431</v>
      </c>
      <c r="D84" s="115" t="str">
        <f>VLOOKUP(C84,Stock_list!D:L,2,FALSE)</f>
        <v>安嘉名义</v>
      </c>
      <c r="E84" s="147">
        <f>VLOOKUP(C84,Stock_list!D:L,9,FALSE)</f>
        <v>43527</v>
      </c>
      <c r="F84" s="116" t="s">
        <v>2862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2768</v>
      </c>
      <c r="B85" s="114" t="str">
        <f>VLOOKUP(A85,'Data pick slip'!B:F,5,FALSE)</f>
        <v>KHJ-MC100-00</v>
      </c>
      <c r="C85" s="115">
        <v>109430</v>
      </c>
      <c r="D85" s="115" t="str">
        <f>VLOOKUP(C85,Stock_list!D:L,2,FALSE)</f>
        <v>瑞福联名义</v>
      </c>
      <c r="E85" s="147">
        <f>VLOOKUP(C85,Stock_list!D:L,9,FALSE)</f>
        <v>43530</v>
      </c>
      <c r="F85" s="116" t="s">
        <v>2862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2777</v>
      </c>
      <c r="B86" s="114" t="str">
        <f>VLOOKUP(A86,'Data pick slip'!B:F,5,FALSE)</f>
        <v>KHJ-MC400-00</v>
      </c>
      <c r="C86" s="115">
        <v>109430</v>
      </c>
      <c r="D86" s="115" t="str">
        <f>VLOOKUP(C86,Stock_list!D:L,2,FALSE)</f>
        <v>瑞福联名义</v>
      </c>
      <c r="E86" s="147">
        <f>VLOOKUP(C86,Stock_list!D:L,9,FALSE)</f>
        <v>43530</v>
      </c>
      <c r="F86" s="116" t="s">
        <v>2862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2755</v>
      </c>
      <c r="B87" s="114" t="str">
        <f>VLOOKUP(A87,'Data pick slip'!B:F,5,FALSE)</f>
        <v>KLJ-MC100-00</v>
      </c>
      <c r="C87" s="115">
        <v>109389</v>
      </c>
      <c r="D87" s="115" t="str">
        <f>VLOOKUP(C87,Stock_list!D:L,2,FALSE)</f>
        <v>立昇名义</v>
      </c>
      <c r="E87" s="147">
        <f>VLOOKUP(C87,Stock_list!D:L,9,FALSE)</f>
        <v>43537</v>
      </c>
      <c r="F87" s="116" t="s">
        <v>2862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2756</v>
      </c>
      <c r="B88" s="114" t="str">
        <f>VLOOKUP(A88,'Data pick slip'!B:F,5,FALSE)</f>
        <v>KLJ-MC200-00</v>
      </c>
      <c r="C88" s="115">
        <v>109389</v>
      </c>
      <c r="D88" s="115" t="str">
        <f>VLOOKUP(C88,Stock_list!D:L,2,FALSE)</f>
        <v>立昇名义</v>
      </c>
      <c r="E88" s="147">
        <f>VLOOKUP(C88,Stock_list!D:L,9,FALSE)</f>
        <v>43537</v>
      </c>
      <c r="F88" s="116" t="s">
        <v>2862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2768</v>
      </c>
      <c r="B89" s="114" t="str">
        <f>VLOOKUP(A89,'Data pick slip'!B:F,5,FALSE)</f>
        <v>KHJ-MC100-00</v>
      </c>
      <c r="C89" s="115">
        <v>109319</v>
      </c>
      <c r="D89" s="115" t="str">
        <f>VLOOKUP(C89,Stock_list!D:L,2,FALSE)</f>
        <v>深台名义</v>
      </c>
      <c r="E89" s="147">
        <f>VLOOKUP(C89,Stock_list!D:L,9,FALSE)</f>
        <v>43537</v>
      </c>
      <c r="F89" s="116" t="s">
        <v>2862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2747</v>
      </c>
      <c r="B90" s="114" t="str">
        <f>VLOOKUP(A90,'Data pick slip'!B:F,5,FALSE)</f>
        <v>KHJ-MC200-00</v>
      </c>
      <c r="C90" s="115">
        <v>109319</v>
      </c>
      <c r="D90" s="115" t="str">
        <f>VLOOKUP(C90,Stock_list!D:L,2,FALSE)</f>
        <v>深台名义</v>
      </c>
      <c r="E90" s="147">
        <f>VLOOKUP(C90,Stock_list!D:L,9,FALSE)</f>
        <v>43537</v>
      </c>
      <c r="F90" s="116" t="s">
        <v>2862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2777</v>
      </c>
      <c r="B91" s="114" t="str">
        <f>VLOOKUP(A91,'Data pick slip'!B:F,5,FALSE)</f>
        <v>KHJ-MC400-00</v>
      </c>
      <c r="C91" s="115">
        <v>109319</v>
      </c>
      <c r="D91" s="115" t="str">
        <f>VLOOKUP(C91,Stock_list!D:L,2,FALSE)</f>
        <v>深台名义</v>
      </c>
      <c r="E91" s="147">
        <f>VLOOKUP(C91,Stock_list!D:L,9,FALSE)</f>
        <v>43537</v>
      </c>
      <c r="F91" s="116" t="s">
        <v>2862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2768</v>
      </c>
      <c r="B92" s="114" t="str">
        <f>VLOOKUP(A92,'Data pick slip'!B:F,5,FALSE)</f>
        <v>KHJ-MC100-00</v>
      </c>
      <c r="C92" s="115">
        <v>109493</v>
      </c>
      <c r="D92" s="115" t="str">
        <f>VLOOKUP(C92,Stock_list!D:L,2,FALSE)</f>
        <v>朗特名义</v>
      </c>
      <c r="E92" s="147">
        <f>VLOOKUP(C92,Stock_list!D:L,9,FALSE)</f>
        <v>43546</v>
      </c>
      <c r="F92" s="116" t="s">
        <v>2862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2747</v>
      </c>
      <c r="B93" s="114" t="str">
        <f>VLOOKUP(A93,'Data pick slip'!B:F,5,FALSE)</f>
        <v>KHJ-MC200-00</v>
      </c>
      <c r="C93" s="115">
        <v>109493</v>
      </c>
      <c r="D93" s="115" t="str">
        <f>VLOOKUP(C93,Stock_list!D:L,2,FALSE)</f>
        <v>朗特名义</v>
      </c>
      <c r="E93" s="147">
        <f>VLOOKUP(C93,Stock_list!D:L,9,FALSE)</f>
        <v>43546</v>
      </c>
      <c r="F93" s="116" t="s">
        <v>2862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2777</v>
      </c>
      <c r="B94" s="114" t="str">
        <f>VLOOKUP(A94,'Data pick slip'!B:F,5,FALSE)</f>
        <v>KHJ-MC400-00</v>
      </c>
      <c r="C94" s="115">
        <v>109493</v>
      </c>
      <c r="D94" s="115" t="str">
        <f>VLOOKUP(C94,Stock_list!D:L,2,FALSE)</f>
        <v>朗特名义</v>
      </c>
      <c r="E94" s="147">
        <f>VLOOKUP(C94,Stock_list!D:L,9,FALSE)</f>
        <v>43546</v>
      </c>
      <c r="F94" s="116" t="s">
        <v>2862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2812</v>
      </c>
      <c r="B95" s="114" t="str">
        <f>VLOOKUP(A95,'Data pick slip'!B:F,5,FALSE)</f>
        <v>KHJ-MC500-00</v>
      </c>
      <c r="C95" s="115">
        <v>109493</v>
      </c>
      <c r="D95" s="115" t="str">
        <f>VLOOKUP(C95,Stock_list!D:L,2,FALSE)</f>
        <v>朗特名义</v>
      </c>
      <c r="E95" s="147">
        <f>VLOOKUP(C95,Stock_list!D:L,9,FALSE)</f>
        <v>43546</v>
      </c>
      <c r="F95" s="116" t="s">
        <v>2862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2751</v>
      </c>
      <c r="B96" s="114" t="str">
        <f>VLOOKUP(A96,'Data pick slip'!B:F,5,FALSE)</f>
        <v>KHJ-MC700-00</v>
      </c>
      <c r="C96" s="115">
        <v>109493</v>
      </c>
      <c r="D96" s="115" t="str">
        <f>VLOOKUP(C96,Stock_list!D:L,2,FALSE)</f>
        <v>朗特名义</v>
      </c>
      <c r="E96" s="147">
        <f>VLOOKUP(C96,Stock_list!D:L,9,FALSE)</f>
        <v>43546</v>
      </c>
      <c r="F96" s="116" t="s">
        <v>2862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2768</v>
      </c>
      <c r="B97" s="114" t="str">
        <f>VLOOKUP(A97,'Data pick slip'!B:F,5,FALSE)</f>
        <v>KHJ-MC100-00</v>
      </c>
      <c r="D97" s="156"/>
      <c r="E97" s="160" t="s">
        <v>2867</v>
      </c>
      <c r="F97" s="157" t="s">
        <v>2773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2747</v>
      </c>
      <c r="B98" s="114" t="str">
        <f>VLOOKUP(A98,'Data pick slip'!B:F,5,FALSE)</f>
        <v>KHJ-MC200-00</v>
      </c>
      <c r="D98" s="156"/>
      <c r="E98" s="160" t="s">
        <v>2867</v>
      </c>
      <c r="F98" s="157" t="s">
        <v>2773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2749</v>
      </c>
      <c r="B99" s="114" t="str">
        <f>VLOOKUP(A99,'Data pick slip'!B:F,5,FALSE)</f>
        <v>KHJ-MC500-00</v>
      </c>
      <c r="D99" s="156"/>
      <c r="E99" s="160" t="s">
        <v>2867</v>
      </c>
      <c r="F99" s="157" t="s">
        <v>2773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2751</v>
      </c>
      <c r="B100" s="114" t="str">
        <f>VLOOKUP(A100,'Data pick slip'!B:F,5,FALSE)</f>
        <v>KHJ-MC700-00</v>
      </c>
      <c r="D100" s="156"/>
      <c r="E100" s="160" t="s">
        <v>2867</v>
      </c>
      <c r="F100" s="157" t="s">
        <v>2773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2744</v>
      </c>
      <c r="B101" s="114" t="str">
        <f>VLOOKUP(A101,'Data pick slip'!B:F,5,FALSE)</f>
        <v>KHJ-MC100-00</v>
      </c>
      <c r="D101" s="156"/>
      <c r="E101" s="160" t="s">
        <v>2868</v>
      </c>
      <c r="F101" s="157" t="s">
        <v>2773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2747</v>
      </c>
      <c r="B102" s="114" t="str">
        <f>VLOOKUP(A102,'Data pick slip'!B:F,5,FALSE)</f>
        <v>KHJ-MC200-00</v>
      </c>
      <c r="D102" s="156"/>
      <c r="E102" s="160" t="s">
        <v>2868</v>
      </c>
      <c r="F102" s="157" t="s">
        <v>2773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2748</v>
      </c>
      <c r="B103" s="114" t="str">
        <f>VLOOKUP(A103,'Data pick slip'!B:F,5,FALSE)</f>
        <v>KHJ-MC400-00</v>
      </c>
      <c r="D103" s="156"/>
      <c r="E103" s="160" t="s">
        <v>2868</v>
      </c>
      <c r="F103" s="157" t="s">
        <v>2773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2768</v>
      </c>
      <c r="B104" s="114" t="str">
        <f>VLOOKUP(A104,'Data pick slip'!B:F,5,FALSE)</f>
        <v>KHJ-MC100-00</v>
      </c>
      <c r="C104" s="156">
        <v>109336</v>
      </c>
      <c r="D104" s="156" t="str">
        <f>VLOOKUP(C104,Stock_list!D:L,2,FALSE)</f>
        <v>BBS名义下单</v>
      </c>
      <c r="E104" s="160">
        <f>VLOOKUP(C104,Stock_list!D:L,9,FALSE)</f>
        <v>43558</v>
      </c>
      <c r="F104" s="157" t="s">
        <v>2862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2747</v>
      </c>
      <c r="B105" s="114" t="str">
        <f>VLOOKUP(A105,'Data pick slip'!B:F,5,FALSE)</f>
        <v>KHJ-MC200-00</v>
      </c>
      <c r="C105" s="156">
        <v>109336</v>
      </c>
      <c r="D105" s="156" t="str">
        <f>VLOOKUP(C105,Stock_list!D:L,2,FALSE)</f>
        <v>BBS名义下单</v>
      </c>
      <c r="E105" s="160">
        <f>VLOOKUP(C105,Stock_list!D:L,9,FALSE)</f>
        <v>43558</v>
      </c>
      <c r="F105" s="157" t="s">
        <v>2862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2777</v>
      </c>
      <c r="B106" s="114" t="str">
        <f>VLOOKUP(A106,'Data pick slip'!B:F,5,FALSE)</f>
        <v>KHJ-MC400-00</v>
      </c>
      <c r="C106" s="156">
        <v>109336</v>
      </c>
      <c r="D106" s="156" t="str">
        <f>VLOOKUP(C106,Stock_list!D:L,2,FALSE)</f>
        <v>BBS名义下单</v>
      </c>
      <c r="E106" s="160">
        <f>VLOOKUP(C106,Stock_list!D:L,9,FALSE)</f>
        <v>43558</v>
      </c>
      <c r="F106" s="157" t="s">
        <v>2862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2768</v>
      </c>
      <c r="B107" s="114" t="str">
        <f>VLOOKUP(A107,'Data pick slip'!B:F,5,FALSE)</f>
        <v>KHJ-MC100-00</v>
      </c>
      <c r="C107" s="156">
        <v>109294</v>
      </c>
      <c r="D107" s="156" t="str">
        <f>VLOOKUP(C107,Stock_list!D:L,2,FALSE)</f>
        <v>拓普艾名义</v>
      </c>
      <c r="E107" s="160">
        <f>VLOOKUP(C107,Stock_list!D:L,9,FALSE)</f>
        <v>43560</v>
      </c>
      <c r="F107" s="157" t="s">
        <v>2862</v>
      </c>
      <c r="G107" s="158">
        <v>100</v>
      </c>
      <c r="Q107" s="143"/>
      <c r="T107" s="144"/>
      <c r="U107" s="145"/>
    </row>
    <row r="108" spans="1:21" ht="15" customHeight="1">
      <c r="A108" s="159" t="s">
        <v>2809</v>
      </c>
      <c r="B108" s="114" t="str">
        <f>VLOOKUP(A108,'Data pick slip'!B:F,5,FALSE)</f>
        <v>KHJ-MC200-00</v>
      </c>
      <c r="C108" s="156">
        <v>109294</v>
      </c>
      <c r="D108" s="156" t="str">
        <f>VLOOKUP(C108,Stock_list!D:L,2,FALSE)</f>
        <v>拓普艾名义</v>
      </c>
      <c r="E108" s="160">
        <f>VLOOKUP(C108,Stock_list!D:L,9,FALSE)</f>
        <v>43560</v>
      </c>
      <c r="F108" s="157" t="s">
        <v>2862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2768</v>
      </c>
      <c r="B109" s="114" t="str">
        <f>VLOOKUP(A109,'Data pick slip'!B:F,5,FALSE)</f>
        <v>KHJ-MC100-00</v>
      </c>
      <c r="C109" s="156">
        <v>109263</v>
      </c>
      <c r="D109" s="156" t="str">
        <f>VLOOKUP(C109,Stock_list!D:L,2,FALSE)</f>
        <v>龙腾名义</v>
      </c>
      <c r="E109" s="160">
        <f>VLOOKUP(C109,Stock_list!D:L,9,FALSE)</f>
        <v>43574</v>
      </c>
      <c r="F109" s="157" t="s">
        <v>2862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2747</v>
      </c>
      <c r="B110" s="114" t="str">
        <f>VLOOKUP(A110,'Data pick slip'!B:F,5,FALSE)</f>
        <v>KHJ-MC200-00</v>
      </c>
      <c r="C110" s="156">
        <v>109263</v>
      </c>
      <c r="D110" s="156" t="str">
        <f>VLOOKUP(C110,Stock_list!D:L,2,FALSE)</f>
        <v>龙腾名义</v>
      </c>
      <c r="E110" s="160">
        <f>VLOOKUP(C110,Stock_list!D:L,9,FALSE)</f>
        <v>43574</v>
      </c>
      <c r="F110" s="157" t="s">
        <v>2862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2812</v>
      </c>
      <c r="B111" s="114" t="str">
        <f>VLOOKUP(A111,'Data pick slip'!B:F,5,FALSE)</f>
        <v>KHJ-MC500-00</v>
      </c>
      <c r="C111" s="156">
        <v>109263</v>
      </c>
      <c r="D111" s="156" t="str">
        <f>VLOOKUP(C111,Stock_list!D:L,2,FALSE)</f>
        <v>龙腾名义</v>
      </c>
      <c r="E111" s="160">
        <f>VLOOKUP(C111,Stock_list!D:L,9,FALSE)</f>
        <v>43574</v>
      </c>
      <c r="F111" s="157" t="s">
        <v>2862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2756</v>
      </c>
      <c r="B112" s="114" t="str">
        <f>VLOOKUP(A112,'Data pick slip'!B:F,5,FALSE)</f>
        <v>KLJ-MC200-00</v>
      </c>
      <c r="C112" s="156">
        <v>109526</v>
      </c>
      <c r="D112" s="156" t="str">
        <f>VLOOKUP(C112,Stock_list!D:L,2,FALSE)</f>
        <v>上达名义</v>
      </c>
      <c r="E112" s="160">
        <f>VLOOKUP(C112,Stock_list!D:L,9,FALSE)</f>
        <v>43574</v>
      </c>
      <c r="F112" s="157" t="s">
        <v>2862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2757</v>
      </c>
      <c r="B113" s="114" t="str">
        <f>VLOOKUP(A113,'Data pick slip'!B:F,5,FALSE)</f>
        <v>KLJ-MC400-00</v>
      </c>
      <c r="C113" s="156">
        <v>109526</v>
      </c>
      <c r="D113" s="156" t="str">
        <f>VLOOKUP(C113,Stock_list!D:L,2,FALSE)</f>
        <v>上达名义</v>
      </c>
      <c r="E113" s="160">
        <f>VLOOKUP(C113,Stock_list!D:L,9,FALSE)</f>
        <v>43574</v>
      </c>
      <c r="F113" s="157" t="s">
        <v>2862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2758</v>
      </c>
      <c r="B114" s="114" t="str">
        <f>VLOOKUP(A114,'Data pick slip'!B:F,5,FALSE)</f>
        <v>KLJ-MC500-00</v>
      </c>
      <c r="C114" s="156">
        <v>109526</v>
      </c>
      <c r="D114" s="156" t="str">
        <f>VLOOKUP(C114,Stock_list!D:L,2,FALSE)</f>
        <v>上达名义</v>
      </c>
      <c r="E114" s="160">
        <f>VLOOKUP(C114,Stock_list!D:L,9,FALSE)</f>
        <v>43574</v>
      </c>
      <c r="F114" s="157" t="s">
        <v>2862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2768</v>
      </c>
      <c r="B115" s="114" t="str">
        <f>VLOOKUP(A115,'Data pick slip'!B:F,5,FALSE)</f>
        <v>KHJ-MC100-00</v>
      </c>
      <c r="C115" s="156">
        <v>109344</v>
      </c>
      <c r="D115" s="156" t="str">
        <f>VLOOKUP(C115,Stock_list!D:L,2,FALSE)</f>
        <v>STK</v>
      </c>
      <c r="E115" s="160">
        <f>VLOOKUP(C115,Stock_list!D:L,9,FALSE)</f>
        <v>43565</v>
      </c>
      <c r="F115" s="157" t="s">
        <v>2862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2747</v>
      </c>
      <c r="B116" s="114" t="str">
        <f>VLOOKUP(A116,'Data pick slip'!B:F,5,FALSE)</f>
        <v>KHJ-MC200-00</v>
      </c>
      <c r="C116" s="156">
        <v>109344</v>
      </c>
      <c r="D116" s="156" t="str">
        <f>VLOOKUP(C116,Stock_list!D:L,2,FALSE)</f>
        <v>STK</v>
      </c>
      <c r="E116" s="160">
        <f>VLOOKUP(C116,Stock_list!D:L,9,FALSE)</f>
        <v>43565</v>
      </c>
      <c r="F116" s="157" t="s">
        <v>2862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2744</v>
      </c>
      <c r="B117" s="114" t="str">
        <f>VLOOKUP(A117,'Data pick slip'!B:F,5,FALSE)</f>
        <v>KHJ-MC100-00</v>
      </c>
      <c r="C117" s="156">
        <v>109497</v>
      </c>
      <c r="D117" s="156" t="str">
        <f>VLOOKUP(C117,Stock_list!D:L,2,FALSE)</f>
        <v>永顺创名义</v>
      </c>
      <c r="E117" s="160">
        <f>VLOOKUP(C117,Stock_list!D:L,9,FALSE)</f>
        <v>43593</v>
      </c>
      <c r="F117" s="157" t="s">
        <v>2862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2747</v>
      </c>
      <c r="B118" s="114" t="str">
        <f>VLOOKUP(A118,'Data pick slip'!B:F,5,FALSE)</f>
        <v>KHJ-MC200-00</v>
      </c>
      <c r="C118" s="156">
        <v>109497</v>
      </c>
      <c r="D118" s="156" t="str">
        <f>VLOOKUP(C118,Stock_list!D:L,2,FALSE)</f>
        <v>永顺创名义</v>
      </c>
      <c r="E118" s="160">
        <f>VLOOKUP(C118,Stock_list!D:L,9,FALSE)</f>
        <v>43593</v>
      </c>
      <c r="F118" s="157" t="s">
        <v>2862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2748</v>
      </c>
      <c r="B119" s="114" t="str">
        <f>VLOOKUP(A119,'Data pick slip'!B:F,5,FALSE)</f>
        <v>KHJ-MC400-00</v>
      </c>
      <c r="C119" s="156">
        <v>109497</v>
      </c>
      <c r="D119" s="156" t="str">
        <f>VLOOKUP(C119,Stock_list!D:L,2,FALSE)</f>
        <v>永顺创名义</v>
      </c>
      <c r="E119" s="160">
        <f>VLOOKUP(C119,Stock_list!D:L,9,FALSE)</f>
        <v>43593</v>
      </c>
      <c r="F119" s="157" t="s">
        <v>2862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2768</v>
      </c>
      <c r="B120" s="114" t="str">
        <f>VLOOKUP(A120,'Data pick slip'!B:F,5,FALSE)</f>
        <v>KHJ-MC100-00</v>
      </c>
      <c r="C120" s="156">
        <v>109390</v>
      </c>
      <c r="D120" s="156" t="str">
        <f>VLOOKUP(C120,Stock_list!D:L,2,FALSE)</f>
        <v>亿联名义</v>
      </c>
      <c r="E120" s="160">
        <f>VLOOKUP(C120,Stock_list!D:L,9,FALSE)</f>
        <v>43588</v>
      </c>
      <c r="F120" s="157" t="s">
        <v>2862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2768</v>
      </c>
      <c r="B121" s="114" t="str">
        <f>VLOOKUP(A121,'Data pick slip'!B:F,5,FALSE)</f>
        <v>KHJ-MC100-00</v>
      </c>
      <c r="C121" s="156">
        <v>109553</v>
      </c>
      <c r="D121" s="156" t="str">
        <f>VLOOKUP(C121,Stock_list!D:L,2,FALSE)</f>
        <v>STK</v>
      </c>
      <c r="E121" s="160">
        <f>VLOOKUP(C121,Stock_list!D:L,9,FALSE)</f>
        <v>43602</v>
      </c>
      <c r="F121" s="157" t="s">
        <v>2862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2747</v>
      </c>
      <c r="B122" s="114" t="str">
        <f>VLOOKUP(A122,'Data pick slip'!B:F,5,FALSE)</f>
        <v>KHJ-MC200-00</v>
      </c>
      <c r="C122" s="156">
        <v>109553</v>
      </c>
      <c r="D122" s="156" t="str">
        <f>VLOOKUP(C122,Stock_list!D:L,2,FALSE)</f>
        <v>STK</v>
      </c>
      <c r="E122" s="160">
        <f>VLOOKUP(C122,Stock_list!D:L,9,FALSE)</f>
        <v>43602</v>
      </c>
      <c r="F122" s="157" t="s">
        <v>2862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2777</v>
      </c>
      <c r="B123" s="114" t="str">
        <f>VLOOKUP(A123,'Data pick slip'!B:F,5,FALSE)</f>
        <v>KHJ-MC400-00</v>
      </c>
      <c r="C123" s="156">
        <v>109553</v>
      </c>
      <c r="D123" s="156" t="str">
        <f>VLOOKUP(C123,Stock_list!D:L,2,FALSE)</f>
        <v>STK</v>
      </c>
      <c r="E123" s="160">
        <f>VLOOKUP(C123,Stock_list!D:L,9,FALSE)</f>
        <v>43602</v>
      </c>
      <c r="F123" s="157" t="s">
        <v>2862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2751</v>
      </c>
      <c r="B124" s="114" t="str">
        <f>VLOOKUP(A124,'Data pick slip'!B:F,5,FALSE)</f>
        <v>KHJ-MC700-00</v>
      </c>
      <c r="C124" s="156">
        <v>109553</v>
      </c>
      <c r="D124" s="156" t="str">
        <f>VLOOKUP(C124,Stock_list!D:L,2,FALSE)</f>
        <v>STK</v>
      </c>
      <c r="E124" s="160">
        <f>VLOOKUP(C124,Stock_list!D:L,9,FALSE)</f>
        <v>43602</v>
      </c>
      <c r="F124" s="157" t="s">
        <v>2862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2768</v>
      </c>
      <c r="B125" s="114" t="str">
        <f>VLOOKUP(A125,'Data pick slip'!B:F,5,FALSE)</f>
        <v>KHJ-MC100-00</v>
      </c>
      <c r="C125" s="156">
        <v>109554</v>
      </c>
      <c r="D125" s="156" t="str">
        <f>VLOOKUP(C125,Stock_list!D:L,2,FALSE)</f>
        <v>STK</v>
      </c>
      <c r="E125" s="160">
        <f>VLOOKUP(C125,Stock_list!D:L,9,FALSE)</f>
        <v>43600</v>
      </c>
      <c r="F125" s="157" t="s">
        <v>2862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2747</v>
      </c>
      <c r="B126" s="114" t="str">
        <f>VLOOKUP(A126,'Data pick slip'!B:F,5,FALSE)</f>
        <v>KHJ-MC200-00</v>
      </c>
      <c r="C126" s="156">
        <v>109554</v>
      </c>
      <c r="D126" s="156" t="str">
        <f>VLOOKUP(C126,Stock_list!D:L,2,FALSE)</f>
        <v>STK</v>
      </c>
      <c r="E126" s="160">
        <f>VLOOKUP(C126,Stock_list!D:L,9,FALSE)</f>
        <v>43600</v>
      </c>
      <c r="F126" s="157" t="s">
        <v>2862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2777</v>
      </c>
      <c r="B127" s="114" t="str">
        <f>VLOOKUP(A127,'Data pick slip'!B:F,5,FALSE)</f>
        <v>KHJ-MC400-00</v>
      </c>
      <c r="C127" s="156">
        <v>109554</v>
      </c>
      <c r="D127" s="156" t="str">
        <f>VLOOKUP(C127,Stock_list!D:L,2,FALSE)</f>
        <v>STK</v>
      </c>
      <c r="E127" s="160">
        <f>VLOOKUP(C127,Stock_list!D:L,9,FALSE)</f>
        <v>43600</v>
      </c>
      <c r="F127" s="157" t="s">
        <v>2862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2749</v>
      </c>
      <c r="B128" s="114" t="str">
        <f>VLOOKUP(A128,'Data pick slip'!B:F,5,FALSE)</f>
        <v>KHJ-MC500-00</v>
      </c>
      <c r="C128" s="156">
        <v>109554</v>
      </c>
      <c r="D128" s="156" t="str">
        <f>VLOOKUP(C128,Stock_list!D:L,2,FALSE)</f>
        <v>STK</v>
      </c>
      <c r="E128" s="160">
        <f>VLOOKUP(C128,Stock_list!D:L,9,FALSE)</f>
        <v>43600</v>
      </c>
      <c r="F128" s="157" t="s">
        <v>2862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2768</v>
      </c>
      <c r="B129" s="114" t="str">
        <f>VLOOKUP(A129,'Data pick slip'!B:F,5,FALSE)</f>
        <v>KHJ-MC100-00</v>
      </c>
      <c r="C129" s="156">
        <v>109563</v>
      </c>
      <c r="D129" s="156" t="str">
        <f>VLOOKUP(C129,Stock_list!D:L,2,FALSE)</f>
        <v>Special price</v>
      </c>
      <c r="E129" s="160">
        <f>VLOOKUP(C129,Stock_list!D:L,9,FALSE)</f>
        <v>43617</v>
      </c>
      <c r="F129" s="157" t="s">
        <v>2862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2747</v>
      </c>
      <c r="B130" s="114" t="str">
        <f>VLOOKUP(A130,'Data pick slip'!B:F,5,FALSE)</f>
        <v>KHJ-MC200-00</v>
      </c>
      <c r="C130" s="156">
        <v>109563</v>
      </c>
      <c r="D130" s="156" t="str">
        <f>VLOOKUP(C130,Stock_list!D:L,2,FALSE)</f>
        <v>Special price</v>
      </c>
      <c r="E130" s="160">
        <f>VLOOKUP(C130,Stock_list!D:L,9,FALSE)</f>
        <v>43617</v>
      </c>
      <c r="F130" s="157" t="s">
        <v>2862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2777</v>
      </c>
      <c r="B131" s="114" t="str">
        <f>VLOOKUP(A131,'Data pick slip'!B:F,5,FALSE)</f>
        <v>KHJ-MC400-00</v>
      </c>
      <c r="C131" s="156">
        <v>109563</v>
      </c>
      <c r="D131" s="156" t="str">
        <f>VLOOKUP(C131,Stock_list!D:L,2,FALSE)</f>
        <v>Special price</v>
      </c>
      <c r="E131" s="160">
        <f>VLOOKUP(C131,Stock_list!D:L,9,FALSE)</f>
        <v>43617</v>
      </c>
      <c r="F131" s="157" t="s">
        <v>2862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2755</v>
      </c>
      <c r="B132" s="114" t="str">
        <f>VLOOKUP(A132,'Data pick slip'!B:F,5,FALSE)</f>
        <v>KLJ-MC100-00</v>
      </c>
      <c r="C132" s="156">
        <v>109564</v>
      </c>
      <c r="D132" s="156" t="str">
        <f>VLOOKUP(C132,Stock_list!D:L,2,FALSE)</f>
        <v>Special price</v>
      </c>
      <c r="E132" s="160">
        <f>VLOOKUP(C132,Stock_list!D:L,9,FALSE)</f>
        <v>43617</v>
      </c>
      <c r="F132" s="157" t="s">
        <v>2862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2756</v>
      </c>
      <c r="B133" s="114" t="str">
        <f>VLOOKUP(A133,'Data pick slip'!B:F,5,FALSE)</f>
        <v>KLJ-MC200-00</v>
      </c>
      <c r="C133" s="156">
        <v>109564</v>
      </c>
      <c r="D133" s="156" t="str">
        <f>VLOOKUP(C133,Stock_list!D:L,2,FALSE)</f>
        <v>Special price</v>
      </c>
      <c r="E133" s="160">
        <f>VLOOKUP(C133,Stock_list!D:L,9,FALSE)</f>
        <v>43617</v>
      </c>
      <c r="F133" s="157" t="s">
        <v>2862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2757</v>
      </c>
      <c r="B134" s="114" t="str">
        <f>VLOOKUP(A134,'Data pick slip'!B:F,5,FALSE)</f>
        <v>KLJ-MC400-00</v>
      </c>
      <c r="C134" s="156">
        <v>109564</v>
      </c>
      <c r="D134" s="156" t="str">
        <f>VLOOKUP(C134,Stock_list!D:L,2,FALSE)</f>
        <v>Special price</v>
      </c>
      <c r="E134" s="160">
        <f>VLOOKUP(C134,Stock_list!D:L,9,FALSE)</f>
        <v>43617</v>
      </c>
      <c r="F134" s="157" t="s">
        <v>2862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2758</v>
      </c>
      <c r="B135" s="114" t="str">
        <f>VLOOKUP(A135,'Data pick slip'!B:F,5,FALSE)</f>
        <v>KLJ-MC500-00</v>
      </c>
      <c r="C135" s="156">
        <v>109564</v>
      </c>
      <c r="D135" s="156" t="str">
        <f>VLOOKUP(C135,Stock_list!D:L,2,FALSE)</f>
        <v>Special price</v>
      </c>
      <c r="E135" s="160">
        <f>VLOOKUP(C135,Stock_list!D:L,9,FALSE)</f>
        <v>43617</v>
      </c>
      <c r="F135" s="157" t="s">
        <v>2862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2755</v>
      </c>
      <c r="B136" s="114" t="str">
        <f>VLOOKUP(A136,'Data pick slip'!B:F,5,FALSE)</f>
        <v>KLJ-MC100-00</v>
      </c>
      <c r="C136" s="156">
        <v>109582</v>
      </c>
      <c r="D136" s="156" t="str">
        <f>VLOOKUP(C136,Stock_list!D:L,2,FALSE)</f>
        <v>魔乐视名义</v>
      </c>
      <c r="E136" s="160">
        <f>VLOOKUP(C136,Stock_list!D:L,9,FALSE)</f>
        <v>43617</v>
      </c>
      <c r="F136" s="157" t="s">
        <v>2862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2756</v>
      </c>
      <c r="B137" s="114" t="str">
        <f>VLOOKUP(A137,'Data pick slip'!B:F,5,FALSE)</f>
        <v>KLJ-MC200-00</v>
      </c>
      <c r="C137" s="156">
        <v>109582</v>
      </c>
      <c r="D137" s="156" t="str">
        <f>VLOOKUP(C137,Stock_list!D:L,2,FALSE)</f>
        <v>魔乐视名义</v>
      </c>
      <c r="E137" s="160">
        <f>VLOOKUP(C137,Stock_list!D:L,9,FALSE)</f>
        <v>43617</v>
      </c>
      <c r="F137" s="157" t="s">
        <v>2862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2757</v>
      </c>
      <c r="B138" s="114" t="str">
        <f>VLOOKUP(A138,'Data pick slip'!B:F,5,FALSE)</f>
        <v>KLJ-MC400-00</v>
      </c>
      <c r="C138" s="156">
        <v>109582</v>
      </c>
      <c r="D138" s="156" t="str">
        <f>VLOOKUP(C138,Stock_list!D:L,2,FALSE)</f>
        <v>魔乐视名义</v>
      </c>
      <c r="E138" s="160">
        <f>VLOOKUP(C138,Stock_list!D:L,9,FALSE)</f>
        <v>43617</v>
      </c>
      <c r="F138" s="157" t="s">
        <v>2862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2768</v>
      </c>
      <c r="B139" s="114" t="str">
        <f>VLOOKUP(A139,'Data pick slip'!B:F,5,FALSE)</f>
        <v>KHJ-MC100-00</v>
      </c>
      <c r="C139" s="156">
        <v>109565</v>
      </c>
      <c r="D139" s="156" t="str">
        <f>VLOOKUP(C139,Stock_list!D:L,2,FALSE)</f>
        <v>Special price</v>
      </c>
      <c r="E139" s="160">
        <f>VLOOKUP(C139,Stock_list!D:L,9,FALSE)</f>
        <v>43649</v>
      </c>
      <c r="F139" s="157" t="s">
        <v>2862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2747</v>
      </c>
      <c r="B140" s="114" t="str">
        <f>VLOOKUP(A140,'Data pick slip'!B:F,5,FALSE)</f>
        <v>KHJ-MC200-00</v>
      </c>
      <c r="C140" s="156">
        <v>109565</v>
      </c>
      <c r="D140" s="156" t="str">
        <f>VLOOKUP(C140,Stock_list!D:L,2,FALSE)</f>
        <v>Special price</v>
      </c>
      <c r="E140" s="160">
        <f>VLOOKUP(C140,Stock_list!D:L,9,FALSE)</f>
        <v>43649</v>
      </c>
      <c r="F140" s="157" t="s">
        <v>2862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2777</v>
      </c>
      <c r="B141" s="114" t="str">
        <f>VLOOKUP(A141,'Data pick slip'!B:F,5,FALSE)</f>
        <v>KHJ-MC400-00</v>
      </c>
      <c r="C141" s="156">
        <v>109565</v>
      </c>
      <c r="D141" s="156" t="str">
        <f>VLOOKUP(C141,Stock_list!D:L,2,FALSE)</f>
        <v>Special price</v>
      </c>
      <c r="E141" s="160">
        <f>VLOOKUP(C141,Stock_list!D:L,9,FALSE)</f>
        <v>43649</v>
      </c>
      <c r="F141" s="157" t="s">
        <v>2862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2751</v>
      </c>
      <c r="B142" s="114" t="str">
        <f>VLOOKUP(A142,'Data pick slip'!B:F,5,FALSE)</f>
        <v>KHJ-MC700-00</v>
      </c>
      <c r="C142" s="156">
        <v>109565</v>
      </c>
      <c r="D142" s="156" t="str">
        <f>VLOOKUP(C142,Stock_list!D:L,2,FALSE)</f>
        <v>Special price</v>
      </c>
      <c r="E142" s="160">
        <f>VLOOKUP(C142,Stock_list!D:L,9,FALSE)</f>
        <v>43649</v>
      </c>
      <c r="F142" s="157" t="s">
        <v>2862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2768</v>
      </c>
      <c r="B143" s="114" t="str">
        <f>VLOOKUP(A143,'Data pick slip'!B:F,5,FALSE)</f>
        <v>KHJ-MC100-00</v>
      </c>
      <c r="C143" s="156">
        <v>109566</v>
      </c>
      <c r="D143" s="156" t="str">
        <f>VLOOKUP(C143,Stock_list!D:L,2,FALSE)</f>
        <v>Special price</v>
      </c>
      <c r="E143" s="160">
        <f>VLOOKUP(C143,Stock_list!D:L,9,FALSE)</f>
        <v>43649</v>
      </c>
      <c r="F143" s="157" t="s">
        <v>2862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2747</v>
      </c>
      <c r="B144" s="114" t="str">
        <f>VLOOKUP(A144,'Data pick slip'!B:F,5,FALSE)</f>
        <v>KHJ-MC200-00</v>
      </c>
      <c r="C144" s="156">
        <v>109566</v>
      </c>
      <c r="D144" s="156" t="str">
        <f>VLOOKUP(C144,Stock_list!D:L,2,FALSE)</f>
        <v>Special price</v>
      </c>
      <c r="E144" s="160">
        <f>VLOOKUP(C144,Stock_list!D:L,9,FALSE)</f>
        <v>43649</v>
      </c>
      <c r="F144" s="157" t="s">
        <v>2862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2777</v>
      </c>
      <c r="B145" s="114" t="str">
        <f>VLOOKUP(A145,'Data pick slip'!B:F,5,FALSE)</f>
        <v>KHJ-MC400-00</v>
      </c>
      <c r="C145" s="156">
        <v>109566</v>
      </c>
      <c r="D145" s="156" t="str">
        <f>VLOOKUP(C145,Stock_list!D:L,2,FALSE)</f>
        <v>Special price</v>
      </c>
      <c r="E145" s="160">
        <f>VLOOKUP(C145,Stock_list!D:L,9,FALSE)</f>
        <v>43649</v>
      </c>
      <c r="F145" s="157" t="s">
        <v>2862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2749</v>
      </c>
      <c r="B146" s="114" t="str">
        <f>VLOOKUP(A146,'Data pick slip'!B:F,5,FALSE)</f>
        <v>KHJ-MC500-00</v>
      </c>
      <c r="C146" s="156">
        <v>109566</v>
      </c>
      <c r="D146" s="156" t="str">
        <f>VLOOKUP(C146,Stock_list!D:L,2,FALSE)</f>
        <v>Special price</v>
      </c>
      <c r="E146" s="160">
        <f>VLOOKUP(C146,Stock_list!D:L,9,FALSE)</f>
        <v>43649</v>
      </c>
      <c r="F146" s="157" t="s">
        <v>2862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2751</v>
      </c>
      <c r="B147" s="114" t="str">
        <f>VLOOKUP(A147,'Data pick slip'!B:F,5,FALSE)</f>
        <v>KHJ-MC700-00</v>
      </c>
      <c r="C147" s="156">
        <v>109566</v>
      </c>
      <c r="D147" s="156" t="str">
        <f>VLOOKUP(C147,Stock_list!D:L,2,FALSE)</f>
        <v>Special price</v>
      </c>
      <c r="E147" s="160">
        <f>VLOOKUP(C147,Stock_list!D:L,9,FALSE)</f>
        <v>43649</v>
      </c>
      <c r="F147" s="157" t="s">
        <v>2862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2755</v>
      </c>
      <c r="B148" s="114" t="str">
        <f>VLOOKUP(A148,'Data pick slip'!B:F,5,FALSE)</f>
        <v>KLJ-MC100-00</v>
      </c>
      <c r="C148" s="156">
        <v>109602</v>
      </c>
      <c r="D148" s="156" t="str">
        <f>VLOOKUP(C148,Stock_list!D:L,2,FALSE)</f>
        <v>Special package</v>
      </c>
      <c r="E148" s="160">
        <f>VLOOKUP(C148,Stock_list!D:L,9,FALSE)</f>
        <v>43663</v>
      </c>
      <c r="F148" s="157" t="s">
        <v>2862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2756</v>
      </c>
      <c r="B149" s="114" t="str">
        <f>VLOOKUP(A149,'Data pick slip'!B:F,5,FALSE)</f>
        <v>KLJ-MC200-00</v>
      </c>
      <c r="C149" s="156">
        <v>109602</v>
      </c>
      <c r="D149" s="156" t="str">
        <f>VLOOKUP(C149,Stock_list!D:L,2,FALSE)</f>
        <v>Special package</v>
      </c>
      <c r="E149" s="160">
        <f>VLOOKUP(C149,Stock_list!D:L,9,FALSE)</f>
        <v>43663</v>
      </c>
      <c r="F149" s="157" t="s">
        <v>2862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2757</v>
      </c>
      <c r="B150" s="114" t="str">
        <f>VLOOKUP(A150,'Data pick slip'!B:F,5,FALSE)</f>
        <v>KLJ-MC400-00</v>
      </c>
      <c r="C150" s="156">
        <v>109602</v>
      </c>
      <c r="D150" s="156" t="str">
        <f>VLOOKUP(C150,Stock_list!D:L,2,FALSE)</f>
        <v>Special package</v>
      </c>
      <c r="E150" s="160">
        <f>VLOOKUP(C150,Stock_list!D:L,9,FALSE)</f>
        <v>43663</v>
      </c>
      <c r="F150" s="157" t="s">
        <v>2862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2758</v>
      </c>
      <c r="B151" s="114" t="str">
        <f>VLOOKUP(A151,'Data pick slip'!B:F,5,FALSE)</f>
        <v>KLJ-MC500-00</v>
      </c>
      <c r="C151" s="156">
        <v>109602</v>
      </c>
      <c r="D151" s="156" t="str">
        <f>VLOOKUP(C151,Stock_list!D:L,2,FALSE)</f>
        <v>Special package</v>
      </c>
      <c r="E151" s="160">
        <f>VLOOKUP(C151,Stock_list!D:L,9,FALSE)</f>
        <v>43663</v>
      </c>
      <c r="F151" s="157" t="s">
        <v>2862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2747</v>
      </c>
      <c r="B152" s="114" t="str">
        <f>VLOOKUP(A152,'Data pick slip'!B:F,5,FALSE)</f>
        <v>KHJ-MC200-00</v>
      </c>
      <c r="C152" s="156">
        <v>109602</v>
      </c>
      <c r="D152" s="156" t="str">
        <f>VLOOKUP(C152,Stock_list!D:L,2,FALSE)</f>
        <v>Special package</v>
      </c>
      <c r="E152" s="160">
        <f>VLOOKUP(C152,Stock_list!D:L,9,FALSE)</f>
        <v>43663</v>
      </c>
      <c r="F152" s="157" t="s">
        <v>2862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2748</v>
      </c>
      <c r="B153" s="114" t="str">
        <f>VLOOKUP(A153,'Data pick slip'!B:F,5,FALSE)</f>
        <v>KHJ-MC400-00</v>
      </c>
      <c r="C153" s="156">
        <v>109602</v>
      </c>
      <c r="D153" s="156" t="str">
        <f>VLOOKUP(C153,Stock_list!D:L,2,FALSE)</f>
        <v>Special package</v>
      </c>
      <c r="E153" s="160">
        <f>VLOOKUP(C153,Stock_list!D:L,9,FALSE)</f>
        <v>43663</v>
      </c>
      <c r="F153" s="157" t="s">
        <v>2862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2749</v>
      </c>
      <c r="B154" s="114" t="str">
        <f>VLOOKUP(A154,'Data pick slip'!B:F,5,FALSE)</f>
        <v>KHJ-MC500-00</v>
      </c>
      <c r="C154" s="156">
        <v>109602</v>
      </c>
      <c r="D154" s="156" t="str">
        <f>VLOOKUP(C154,Stock_list!D:L,2,FALSE)</f>
        <v>Special package</v>
      </c>
      <c r="E154" s="160">
        <f>VLOOKUP(C154,Stock_list!D:L,9,FALSE)</f>
        <v>43663</v>
      </c>
      <c r="F154" s="157" t="s">
        <v>2862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2768</v>
      </c>
      <c r="B155" s="114" t="str">
        <f>VLOOKUP(A155,'Data pick slip'!B:F,5,FALSE)</f>
        <v>KHJ-MC100-00</v>
      </c>
      <c r="C155" s="156">
        <v>109603</v>
      </c>
      <c r="D155" s="156" t="str">
        <f>VLOOKUP(C155,Stock_list!D:L,2,FALSE)</f>
        <v>Special package</v>
      </c>
      <c r="E155" s="160">
        <f>VLOOKUP(C155,Stock_list!D:L,9,FALSE)</f>
        <v>43649</v>
      </c>
      <c r="F155" s="157" t="s">
        <v>2862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2747</v>
      </c>
      <c r="B156" s="114" t="str">
        <f>VLOOKUP(A156,'Data pick slip'!B:F,5,FALSE)</f>
        <v>KHJ-MC200-00</v>
      </c>
      <c r="C156" s="156">
        <v>109603</v>
      </c>
      <c r="D156" s="156" t="str">
        <f>VLOOKUP(C156,Stock_list!D:L,2,FALSE)</f>
        <v>Special package</v>
      </c>
      <c r="E156" s="160">
        <f>VLOOKUP(C156,Stock_list!D:L,9,FALSE)</f>
        <v>43649</v>
      </c>
      <c r="F156" s="157" t="s">
        <v>2862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2777</v>
      </c>
      <c r="B157" s="114" t="str">
        <f>VLOOKUP(A157,'Data pick slip'!B:F,5,FALSE)</f>
        <v>KHJ-MC400-00</v>
      </c>
      <c r="C157" s="156">
        <v>109603</v>
      </c>
      <c r="D157" s="156" t="str">
        <f>VLOOKUP(C157,Stock_list!D:L,2,FALSE)</f>
        <v>Special package</v>
      </c>
      <c r="E157" s="160">
        <f>VLOOKUP(C157,Stock_list!D:L,9,FALSE)</f>
        <v>43649</v>
      </c>
      <c r="F157" s="157" t="s">
        <v>2862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2751</v>
      </c>
      <c r="B158" s="114" t="str">
        <f>VLOOKUP(A158,'Data pick slip'!B:F,5,FALSE)</f>
        <v>KHJ-MC700-00</v>
      </c>
      <c r="C158" s="156">
        <v>109603</v>
      </c>
      <c r="D158" s="156" t="str">
        <f>VLOOKUP(C158,Stock_list!D:L,2,FALSE)</f>
        <v>Special package</v>
      </c>
      <c r="E158" s="160">
        <f>VLOOKUP(C158,Stock_list!D:L,9,FALSE)</f>
        <v>43649</v>
      </c>
      <c r="F158" s="157" t="s">
        <v>2862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2744</v>
      </c>
      <c r="B159" s="114" t="str">
        <f>VLOOKUP(A159,'Data pick slip'!B:F,5,FALSE)</f>
        <v>KHJ-MC100-00</v>
      </c>
      <c r="C159" s="156">
        <v>109588</v>
      </c>
      <c r="D159" s="156" t="str">
        <f>VLOOKUP(C159,Stock_list!D:L,2,FALSE)</f>
        <v>Special package</v>
      </c>
      <c r="E159" s="160">
        <f>VLOOKUP(C159,Stock_list!D:L,9,FALSE)</f>
        <v>43686</v>
      </c>
      <c r="F159" s="157" t="s">
        <v>2862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2747</v>
      </c>
      <c r="B160" s="114" t="str">
        <f>VLOOKUP(A160,'Data pick slip'!B:F,5,FALSE)</f>
        <v>KHJ-MC200-00</v>
      </c>
      <c r="C160" s="156">
        <v>109588</v>
      </c>
      <c r="D160" s="156" t="str">
        <f>VLOOKUP(C160,Stock_list!D:L,2,FALSE)</f>
        <v>Special package</v>
      </c>
      <c r="E160" s="160">
        <f>VLOOKUP(C160,Stock_list!D:L,9,FALSE)</f>
        <v>43686</v>
      </c>
      <c r="F160" s="157" t="s">
        <v>2862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2748</v>
      </c>
      <c r="B161" s="114" t="str">
        <f>VLOOKUP(A161,'Data pick slip'!B:F,5,FALSE)</f>
        <v>KHJ-MC400-00</v>
      </c>
      <c r="C161" s="156">
        <v>109588</v>
      </c>
      <c r="D161" s="156" t="str">
        <f>VLOOKUP(C161,Stock_list!D:L,2,FALSE)</f>
        <v>Special package</v>
      </c>
      <c r="E161" s="160">
        <f>VLOOKUP(C161,Stock_list!D:L,9,FALSE)</f>
        <v>43686</v>
      </c>
      <c r="F161" s="157" t="s">
        <v>2862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2749</v>
      </c>
      <c r="B162" s="114" t="str">
        <f>VLOOKUP(A162,'Data pick slip'!B:F,5,FALSE)</f>
        <v>KHJ-MC500-00</v>
      </c>
      <c r="C162" s="156">
        <v>109588</v>
      </c>
      <c r="D162" s="156" t="str">
        <f>VLOOKUP(C162,Stock_list!D:L,2,FALSE)</f>
        <v>Special package</v>
      </c>
      <c r="E162" s="160">
        <f>VLOOKUP(C162,Stock_list!D:L,9,FALSE)</f>
        <v>43686</v>
      </c>
      <c r="F162" s="157" t="s">
        <v>2862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2768</v>
      </c>
      <c r="B163" s="114" t="str">
        <f>VLOOKUP(A163,'Data pick slip'!B:F,5,FALSE)</f>
        <v>KHJ-MC100-00</v>
      </c>
      <c r="D163" s="156"/>
      <c r="E163" s="160" t="s">
        <v>2869</v>
      </c>
      <c r="F163" s="157" t="s">
        <v>2773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2747</v>
      </c>
      <c r="B164" s="114" t="str">
        <f>VLOOKUP(A164,'Data pick slip'!B:F,5,FALSE)</f>
        <v>KHJ-MC200-00</v>
      </c>
      <c r="D164" s="156"/>
      <c r="E164" s="160" t="s">
        <v>2869</v>
      </c>
      <c r="F164" s="157" t="s">
        <v>2773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2749</v>
      </c>
      <c r="B165" s="114" t="str">
        <f>VLOOKUP(A165,'Data pick slip'!B:F,5,FALSE)</f>
        <v>KHJ-MC500-00</v>
      </c>
      <c r="D165" s="156"/>
      <c r="E165" s="160" t="s">
        <v>2869</v>
      </c>
      <c r="F165" s="157" t="s">
        <v>2773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2757</v>
      </c>
      <c r="B166" s="114" t="str">
        <f>VLOOKUP(A166,'Data pick slip'!B:F,5,FALSE)</f>
        <v>KLJ-MC400-00</v>
      </c>
      <c r="D166" s="156"/>
      <c r="E166" s="160" t="s">
        <v>2869</v>
      </c>
      <c r="F166" s="157" t="s">
        <v>2773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2744</v>
      </c>
      <c r="B167" s="114" t="str">
        <f>VLOOKUP(A167,'Data pick slip'!B:F,5,FALSE)</f>
        <v>KHJ-MC100-00</v>
      </c>
      <c r="D167" s="156"/>
      <c r="E167" s="160" t="s">
        <v>2870</v>
      </c>
      <c r="F167" s="157" t="s">
        <v>2773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2747</v>
      </c>
      <c r="B168" s="114" t="str">
        <f>VLOOKUP(A168,'Data pick slip'!B:F,5,FALSE)</f>
        <v>KHJ-MC200-00</v>
      </c>
      <c r="D168" s="156"/>
      <c r="E168" s="160" t="s">
        <v>2870</v>
      </c>
      <c r="F168" s="157" t="s">
        <v>2773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2748</v>
      </c>
      <c r="B169" s="114" t="str">
        <f>VLOOKUP(A169,'Data pick slip'!B:F,5,FALSE)</f>
        <v>KHJ-MC400-00</v>
      </c>
      <c r="D169" s="156"/>
      <c r="E169" s="160" t="s">
        <v>2870</v>
      </c>
      <c r="F169" s="157" t="s">
        <v>2773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2750</v>
      </c>
      <c r="B170" s="114" t="str">
        <f>VLOOKUP(A170,'Data pick slip'!B:F,5,FALSE)</f>
        <v>KHJ-MC600-00</v>
      </c>
      <c r="D170" s="156"/>
      <c r="E170" s="160" t="s">
        <v>2870</v>
      </c>
      <c r="F170" s="157" t="s">
        <v>2773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2751</v>
      </c>
      <c r="B171" s="114" t="str">
        <f>VLOOKUP(A171,'Data pick slip'!B:F,5,FALSE)</f>
        <v>KHJ-MC700-00</v>
      </c>
      <c r="D171" s="156"/>
      <c r="E171" s="160" t="s">
        <v>2870</v>
      </c>
      <c r="F171" s="157" t="s">
        <v>2773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2755</v>
      </c>
      <c r="B172" s="114" t="str">
        <f>VLOOKUP(A172,'Data pick slip'!B:F,5,FALSE)</f>
        <v>KLJ-MC100-00</v>
      </c>
      <c r="C172" s="156">
        <v>109610</v>
      </c>
      <c r="D172" s="156" t="str">
        <f>VLOOKUP(C172,Stock_list!D:L,2,FALSE)</f>
        <v>长沙健科名义</v>
      </c>
      <c r="E172" s="160">
        <f>VLOOKUP(C172,Stock_list!D:L,9,FALSE)</f>
        <v>43665</v>
      </c>
      <c r="F172" s="157" t="s">
        <v>2862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2756</v>
      </c>
      <c r="B173" s="114" t="str">
        <f>VLOOKUP(A173,'Data pick slip'!B:F,5,FALSE)</f>
        <v>KLJ-MC200-00</v>
      </c>
      <c r="C173" s="156">
        <v>109610</v>
      </c>
      <c r="D173" s="156" t="str">
        <f>VLOOKUP(C173,Stock_list!D:L,2,FALSE)</f>
        <v>长沙健科名义</v>
      </c>
      <c r="E173" s="160">
        <f>VLOOKUP(C173,Stock_list!D:L,9,FALSE)</f>
        <v>43665</v>
      </c>
      <c r="F173" s="157" t="s">
        <v>2862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2757</v>
      </c>
      <c r="B174" s="114" t="str">
        <f>VLOOKUP(A174,'Data pick slip'!B:F,5,FALSE)</f>
        <v>KLJ-MC400-00</v>
      </c>
      <c r="C174" s="156">
        <v>109610</v>
      </c>
      <c r="D174" s="156" t="str">
        <f>VLOOKUP(C174,Stock_list!D:L,2,FALSE)</f>
        <v>长沙健科名义</v>
      </c>
      <c r="E174" s="160">
        <f>VLOOKUP(C174,Stock_list!D:L,9,FALSE)</f>
        <v>43665</v>
      </c>
      <c r="F174" s="157" t="s">
        <v>2862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2744</v>
      </c>
      <c r="B175" s="114" t="str">
        <f>VLOOKUP(A175,'Data pick slip'!B:F,5,FALSE)</f>
        <v>KHJ-MC100-00</v>
      </c>
      <c r="C175" s="156">
        <v>109608</v>
      </c>
      <c r="D175" s="156" t="str">
        <f>VLOOKUP(C175,Stock_list!D:L,2,FALSE)</f>
        <v>Special package</v>
      </c>
      <c r="E175" s="160">
        <f>VLOOKUP(C175,Stock_list!D:L,9,FALSE)</f>
        <v>43665</v>
      </c>
      <c r="F175" s="157" t="s">
        <v>2862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2744</v>
      </c>
      <c r="B176" s="114" t="str">
        <f>VLOOKUP(A176,'Data pick slip'!B:F,5,FALSE)</f>
        <v>KHJ-MC100-00</v>
      </c>
      <c r="D176" s="156"/>
      <c r="E176" s="160" t="s">
        <v>2871</v>
      </c>
      <c r="F176" s="157" t="s">
        <v>2773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2747</v>
      </c>
      <c r="B177" s="114" t="str">
        <f>VLOOKUP(A177,'Data pick slip'!B:F,5,FALSE)</f>
        <v>KHJ-MC200-00</v>
      </c>
      <c r="D177" s="156"/>
      <c r="E177" s="160" t="s">
        <v>2871</v>
      </c>
      <c r="F177" s="157" t="s">
        <v>2773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2744</v>
      </c>
      <c r="B178" s="114" t="str">
        <f>VLOOKUP(A178,'Data pick slip'!B:F,5,FALSE)</f>
        <v>KHJ-MC100-00</v>
      </c>
      <c r="D178" s="156"/>
      <c r="E178" s="160" t="s">
        <v>2872</v>
      </c>
      <c r="F178" s="157" t="s">
        <v>2773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2747</v>
      </c>
      <c r="B179" s="114" t="str">
        <f>VLOOKUP(A179,'Data pick slip'!B:F,5,FALSE)</f>
        <v>KHJ-MC200-00</v>
      </c>
      <c r="D179" s="156"/>
      <c r="E179" s="160" t="s">
        <v>2872</v>
      </c>
      <c r="F179" s="157" t="s">
        <v>2773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2749</v>
      </c>
      <c r="B180" s="114" t="str">
        <f>VLOOKUP(A180,'Data pick slip'!B:F,5,FALSE)</f>
        <v>KHJ-MC500-00</v>
      </c>
      <c r="D180" s="156"/>
      <c r="E180" s="160" t="s">
        <v>2872</v>
      </c>
      <c r="F180" s="157" t="s">
        <v>2773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2755</v>
      </c>
      <c r="B181" s="114" t="str">
        <f>VLOOKUP(A181,'Data pick slip'!B:F,5,FALSE)</f>
        <v>KLJ-MC100-00</v>
      </c>
      <c r="D181" s="156"/>
      <c r="E181" s="160" t="s">
        <v>2872</v>
      </c>
      <c r="F181" s="157" t="s">
        <v>2773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2755</v>
      </c>
      <c r="B182" s="114" t="str">
        <f>VLOOKUP(A182,'Data pick slip'!B:F,5,FALSE)</f>
        <v>KLJ-MC100-00</v>
      </c>
      <c r="D182" s="156"/>
      <c r="E182" s="160" t="s">
        <v>2873</v>
      </c>
      <c r="F182" s="157" t="s">
        <v>2773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2756</v>
      </c>
      <c r="B183" s="114" t="str">
        <f>VLOOKUP(A183,'Data pick slip'!B:F,5,FALSE)</f>
        <v>KLJ-MC200-00</v>
      </c>
      <c r="D183" s="156"/>
      <c r="E183" s="160" t="s">
        <v>2873</v>
      </c>
      <c r="F183" s="157" t="s">
        <v>2773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2757</v>
      </c>
      <c r="B184" s="114" t="str">
        <f>VLOOKUP(A184,'Data pick slip'!B:F,5,FALSE)</f>
        <v>KLJ-MC400-00</v>
      </c>
      <c r="D184" s="156"/>
      <c r="E184" s="160" t="s">
        <v>2873</v>
      </c>
      <c r="F184" s="157" t="s">
        <v>2773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2747</v>
      </c>
      <c r="B185" s="114" t="str">
        <f>VLOOKUP(A185,'Data pick slip'!B:F,5,FALSE)</f>
        <v>KHJ-MC200-00</v>
      </c>
      <c r="D185" s="156"/>
      <c r="E185" s="160" t="s">
        <v>2873</v>
      </c>
      <c r="F185" s="157" t="s">
        <v>2773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2747</v>
      </c>
      <c r="B186" s="114" t="str">
        <f>VLOOKUP(A186,'Data pick slip'!B:F,5,FALSE)</f>
        <v>KHJ-MC200-00</v>
      </c>
      <c r="D186" s="156"/>
      <c r="E186" s="160" t="s">
        <v>2874</v>
      </c>
      <c r="F186" s="157" t="s">
        <v>2773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2747</v>
      </c>
      <c r="B187" s="114" t="str">
        <f>VLOOKUP(A187,'Data pick slip'!B:F,5,FALSE)</f>
        <v>KHJ-MC200-00</v>
      </c>
      <c r="D187" s="156"/>
      <c r="E187" s="160" t="s">
        <v>2875</v>
      </c>
      <c r="F187" s="157" t="s">
        <v>2773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2744</v>
      </c>
      <c r="B188" s="114" t="str">
        <f>VLOOKUP(A188,'Data pick slip'!B:F,5,FALSE)</f>
        <v>KHJ-MC100-00</v>
      </c>
      <c r="D188" s="156"/>
      <c r="E188" s="160" t="s">
        <v>2876</v>
      </c>
      <c r="F188" s="157" t="s">
        <v>2858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2744</v>
      </c>
      <c r="B189" s="114" t="str">
        <f>VLOOKUP(A189,'Data pick slip'!B:F,5,FALSE)</f>
        <v>KHJ-MC100-00</v>
      </c>
      <c r="C189" s="156">
        <v>109664</v>
      </c>
      <c r="D189" s="156" t="str">
        <f>VLOOKUP(C189,Stock_list!D:L,2,FALSE)</f>
        <v>Special package</v>
      </c>
      <c r="E189" s="160">
        <f>VLOOKUP(C189,Stock_list!D:L,9,FALSE)</f>
        <v>43770</v>
      </c>
      <c r="F189" s="157" t="s">
        <v>2862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2747</v>
      </c>
      <c r="B190" s="114" t="str">
        <f>VLOOKUP(A190,'Data pick slip'!B:F,5,FALSE)</f>
        <v>KHJ-MC200-00</v>
      </c>
      <c r="C190" s="156">
        <v>109664</v>
      </c>
      <c r="D190" s="156" t="str">
        <f>VLOOKUP(C190,Stock_list!D:L,2,FALSE)</f>
        <v>Special package</v>
      </c>
      <c r="E190" s="160">
        <f>VLOOKUP(C190,Stock_list!D:L,9,FALSE)</f>
        <v>43770</v>
      </c>
      <c r="F190" s="157" t="s">
        <v>2862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2748</v>
      </c>
      <c r="B191" s="114" t="str">
        <f>VLOOKUP(A191,'Data pick slip'!B:F,5,FALSE)</f>
        <v>KHJ-MC400-00</v>
      </c>
      <c r="C191" s="156">
        <v>109664</v>
      </c>
      <c r="D191" s="156" t="str">
        <f>VLOOKUP(C191,Stock_list!D:L,2,FALSE)</f>
        <v>Special package</v>
      </c>
      <c r="E191" s="160">
        <f>VLOOKUP(C191,Stock_list!D:L,9,FALSE)</f>
        <v>43770</v>
      </c>
      <c r="F191" s="157" t="s">
        <v>2862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2749</v>
      </c>
      <c r="B192" s="114" t="str">
        <f>VLOOKUP(A192,'Data pick slip'!B:F,5,FALSE)</f>
        <v>KHJ-MC500-00</v>
      </c>
      <c r="C192" s="156">
        <v>109664</v>
      </c>
      <c r="D192" s="156" t="str">
        <f>VLOOKUP(C192,Stock_list!D:L,2,FALSE)</f>
        <v>Special package</v>
      </c>
      <c r="E192" s="160">
        <f>VLOOKUP(C192,Stock_list!D:L,9,FALSE)</f>
        <v>43770</v>
      </c>
      <c r="F192" s="157" t="s">
        <v>2862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2747</v>
      </c>
      <c r="B193" s="114" t="str">
        <f>VLOOKUP(A193,'Data pick slip'!B:F,5,FALSE)</f>
        <v>KHJ-MC200-00</v>
      </c>
      <c r="C193" s="156">
        <v>109665</v>
      </c>
      <c r="D193" s="156" t="str">
        <f>VLOOKUP(C193,Stock_list!D:L,2,FALSE)</f>
        <v>Special package</v>
      </c>
      <c r="E193" s="160">
        <f>VLOOKUP(C193,Stock_list!D:L,9,FALSE)</f>
        <v>43749</v>
      </c>
      <c r="F193" s="157" t="s">
        <v>2862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2747</v>
      </c>
      <c r="B194" s="114" t="str">
        <f>VLOOKUP(A194,'Data pick slip'!B:F,5,FALSE)</f>
        <v>KHJ-MC200-00</v>
      </c>
      <c r="D194" s="156"/>
      <c r="E194" s="160" t="s">
        <v>2877</v>
      </c>
      <c r="F194" s="157" t="s">
        <v>2773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2749</v>
      </c>
      <c r="B195" s="114" t="str">
        <f>VLOOKUP(A195,'Data pick slip'!B:F,5,FALSE)</f>
        <v>KHJ-MC500-00</v>
      </c>
      <c r="D195" s="156"/>
      <c r="E195" s="160" t="s">
        <v>2877</v>
      </c>
      <c r="F195" s="157" t="s">
        <v>2773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2750</v>
      </c>
      <c r="B196" s="114" t="str">
        <f>VLOOKUP(A196,'Data pick slip'!B:F,5,FALSE)</f>
        <v>KHJ-MC600-00</v>
      </c>
      <c r="D196" s="156"/>
      <c r="E196" s="160" t="s">
        <v>2877</v>
      </c>
      <c r="F196" s="157" t="s">
        <v>2773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2747</v>
      </c>
      <c r="B197" s="114" t="str">
        <f>VLOOKUP(A197,'Data pick slip'!B:F,5,FALSE)</f>
        <v>KHJ-MC200-00</v>
      </c>
      <c r="C197" s="161"/>
      <c r="D197" s="161"/>
      <c r="E197" s="301" t="s">
        <v>2878</v>
      </c>
      <c r="F197" s="162" t="s">
        <v>2773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2744</v>
      </c>
      <c r="B198" s="114" t="str">
        <f>VLOOKUP(A198,'Data pick slip'!B:F,5,FALSE)</f>
        <v>KHJ-MC100-00</v>
      </c>
      <c r="D198" s="156"/>
      <c r="E198" s="160" t="s">
        <v>2879</v>
      </c>
      <c r="F198" s="157" t="s">
        <v>2773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2747</v>
      </c>
      <c r="B199" s="114" t="str">
        <f>VLOOKUP(A199,'Data pick slip'!B:F,5,FALSE)</f>
        <v>KHJ-MC200-00</v>
      </c>
      <c r="D199" s="156"/>
      <c r="E199" s="160" t="s">
        <v>2879</v>
      </c>
      <c r="F199" s="157" t="s">
        <v>2773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2748</v>
      </c>
      <c r="B200" s="114" t="str">
        <f>VLOOKUP(A200,'Data pick slip'!B:F,5,FALSE)</f>
        <v>KHJ-MC400-00</v>
      </c>
      <c r="D200" s="156"/>
      <c r="E200" s="160" t="s">
        <v>2879</v>
      </c>
      <c r="F200" s="157" t="s">
        <v>2773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2749</v>
      </c>
      <c r="B201" s="114" t="str">
        <f>VLOOKUP(A201,'Data pick slip'!B:F,5,FALSE)</f>
        <v>KHJ-MC500-00</v>
      </c>
      <c r="D201" s="156"/>
      <c r="E201" s="160" t="s">
        <v>2879</v>
      </c>
      <c r="F201" s="157" t="s">
        <v>2773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2751</v>
      </c>
      <c r="B202" s="114" t="str">
        <f>VLOOKUP(A202,'Data pick slip'!B:F,5,FALSE)</f>
        <v>KHJ-MC700-00</v>
      </c>
      <c r="D202" s="156"/>
      <c r="E202" s="160" t="s">
        <v>2879</v>
      </c>
      <c r="F202" s="157" t="s">
        <v>2773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2747</v>
      </c>
      <c r="B203" s="114" t="str">
        <f>VLOOKUP(A203,'Data pick slip'!B:F,5,FALSE)</f>
        <v>KHJ-MC200-00</v>
      </c>
      <c r="C203" s="156">
        <v>109686</v>
      </c>
      <c r="D203" s="156" t="str">
        <f>VLOOKUP(C203,Stock_list!D:L,2,FALSE)</f>
        <v>Special package</v>
      </c>
      <c r="E203" s="160">
        <f>VLOOKUP(C203,Stock_list!D:L,9,FALSE)</f>
        <v>43756</v>
      </c>
      <c r="F203" s="157" t="s">
        <v>2862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2755</v>
      </c>
      <c r="B204" s="114" t="str">
        <f>VLOOKUP(A204,'Data pick slip'!B:F,5,FALSE)</f>
        <v>KLJ-MC100-00</v>
      </c>
      <c r="D204" s="156"/>
      <c r="E204" s="160" t="s">
        <v>2880</v>
      </c>
      <c r="F204" s="157" t="s">
        <v>2773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2756</v>
      </c>
      <c r="B205" s="114" t="str">
        <f>VLOOKUP(A205,'Data pick slip'!B:F,5,FALSE)</f>
        <v>KLJ-MC200-00</v>
      </c>
      <c r="D205" s="156"/>
      <c r="E205" s="160" t="s">
        <v>2880</v>
      </c>
      <c r="F205" s="157" t="s">
        <v>2773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2757</v>
      </c>
      <c r="B206" s="114" t="str">
        <f>VLOOKUP(A206,'Data pick slip'!B:F,5,FALSE)</f>
        <v>KLJ-MC400-00</v>
      </c>
      <c r="D206" s="156"/>
      <c r="E206" s="160" t="s">
        <v>2880</v>
      </c>
      <c r="F206" s="157" t="s">
        <v>2773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2748</v>
      </c>
      <c r="B207" s="114" t="str">
        <f>VLOOKUP(A207,'Data pick slip'!B:F,5,FALSE)</f>
        <v>KHJ-MC400-00</v>
      </c>
      <c r="D207" s="156"/>
      <c r="E207" s="160" t="s">
        <v>2880</v>
      </c>
      <c r="F207" s="157" t="s">
        <v>2773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2749</v>
      </c>
      <c r="B208" s="114" t="str">
        <f>VLOOKUP(A208,'Data pick slip'!B:F,5,FALSE)</f>
        <v>KHJ-MC500-00</v>
      </c>
      <c r="D208" s="156"/>
      <c r="E208" s="160" t="s">
        <v>2880</v>
      </c>
      <c r="F208" s="157" t="s">
        <v>2773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2744</v>
      </c>
      <c r="B209" s="114" t="str">
        <f>VLOOKUP(A209,'Data pick slip'!B:F,5,FALSE)</f>
        <v>KHJ-MC100-00</v>
      </c>
      <c r="D209" s="156"/>
      <c r="E209" s="160" t="s">
        <v>2881</v>
      </c>
      <c r="F209" s="157" t="s">
        <v>2773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2747</v>
      </c>
      <c r="B210" s="114" t="str">
        <f>VLOOKUP(A210,'Data pick slip'!B:F,5,FALSE)</f>
        <v>KHJ-MC200-00</v>
      </c>
      <c r="C210" s="161"/>
      <c r="D210" s="161"/>
      <c r="E210" s="301" t="s">
        <v>2882</v>
      </c>
      <c r="F210" s="162" t="s">
        <v>2773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2744</v>
      </c>
      <c r="B211" s="114" t="str">
        <f>VLOOKUP(A211,'Data pick slip'!B:F,5,FALSE)</f>
        <v>KHJ-MC100-00</v>
      </c>
      <c r="C211" s="156">
        <v>109705</v>
      </c>
      <c r="D211" s="156" t="str">
        <f>VLOOKUP(C211,Stock_list!D:L,2,FALSE)</f>
        <v>Special package</v>
      </c>
      <c r="E211" s="160">
        <f>VLOOKUP(C211,Stock_list!D:L,9,FALSE)</f>
        <v>43770</v>
      </c>
      <c r="F211" s="157" t="s">
        <v>2862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2747</v>
      </c>
      <c r="B212" s="114" t="str">
        <f>VLOOKUP(A212,'Data pick slip'!B:F,5,FALSE)</f>
        <v>KHJ-MC200-00</v>
      </c>
      <c r="C212" s="156">
        <v>109705</v>
      </c>
      <c r="D212" s="156" t="str">
        <f>VLOOKUP(C212,Stock_list!D:L,2,FALSE)</f>
        <v>Special package</v>
      </c>
      <c r="E212" s="160">
        <f>VLOOKUP(C212,Stock_list!D:L,9,FALSE)</f>
        <v>43770</v>
      </c>
      <c r="F212" s="157" t="s">
        <v>2862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2744</v>
      </c>
      <c r="B213" s="114" t="str">
        <f>VLOOKUP(A213,'Data pick slip'!B:F,5,FALSE)</f>
        <v>KHJ-MC100-00</v>
      </c>
      <c r="D213" s="156"/>
      <c r="E213" s="160" t="s">
        <v>2883</v>
      </c>
      <c r="F213" s="157" t="s">
        <v>2773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2747</v>
      </c>
      <c r="B214" s="114" t="str">
        <f>VLOOKUP(A214,'Data pick slip'!B:F,5,FALSE)</f>
        <v>KHJ-MC200-00</v>
      </c>
      <c r="D214" s="156"/>
      <c r="E214" s="160" t="s">
        <v>2883</v>
      </c>
      <c r="F214" s="157" t="s">
        <v>2773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2748</v>
      </c>
      <c r="B215" s="114" t="str">
        <f>VLOOKUP(A215,'Data pick slip'!B:F,5,FALSE)</f>
        <v>KHJ-MC400-00</v>
      </c>
      <c r="D215" s="156"/>
      <c r="E215" s="160" t="s">
        <v>2883</v>
      </c>
      <c r="F215" s="157" t="s">
        <v>2773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2744</v>
      </c>
      <c r="B216" s="114" t="str">
        <f>VLOOKUP(A216,'Data pick slip'!B:F,5,FALSE)</f>
        <v>KHJ-MC100-00</v>
      </c>
      <c r="D216" s="156"/>
      <c r="E216" s="160" t="s">
        <v>2883</v>
      </c>
      <c r="F216" s="157" t="s">
        <v>2773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2744</v>
      </c>
      <c r="B217" s="114" t="str">
        <f>VLOOKUP(A217,'Data pick slip'!B:F,5,FALSE)</f>
        <v>KHJ-MC100-00</v>
      </c>
      <c r="D217" s="156"/>
      <c r="E217" s="160" t="s">
        <v>2884</v>
      </c>
      <c r="F217" s="157" t="s">
        <v>2773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2758</v>
      </c>
      <c r="B218" s="114" t="str">
        <f>VLOOKUP(A218,'Data pick slip'!B:F,5,FALSE)</f>
        <v>KLJ-MC500-00</v>
      </c>
      <c r="D218" s="156"/>
      <c r="E218" s="160" t="s">
        <v>2884</v>
      </c>
      <c r="F218" s="157" t="s">
        <v>2773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2748</v>
      </c>
      <c r="B219" s="114" t="str">
        <f>VLOOKUP(A219,'Data pick slip'!B:F,5,FALSE)</f>
        <v>KHJ-MC400-00</v>
      </c>
      <c r="D219" s="156"/>
      <c r="E219" s="160" t="s">
        <v>2884</v>
      </c>
      <c r="F219" s="157" t="s">
        <v>2773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2744</v>
      </c>
      <c r="B220" s="114" t="str">
        <f>VLOOKUP(A220,'Data pick slip'!B:F,5,FALSE)</f>
        <v>KHJ-MC100-00</v>
      </c>
      <c r="C220" s="156">
        <v>109715</v>
      </c>
      <c r="D220" s="156" t="str">
        <f>VLOOKUP(C220,Stock_list!D:L,2,FALSE)</f>
        <v>Special package</v>
      </c>
      <c r="E220" s="160">
        <f>VLOOKUP(C220,Stock_list!D:L,9,FALSE)</f>
        <v>43763</v>
      </c>
      <c r="F220" s="157" t="s">
        <v>2862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2747</v>
      </c>
      <c r="B221" s="114" t="str">
        <f>VLOOKUP(A221,'Data pick slip'!B:F,5,FALSE)</f>
        <v>KHJ-MC200-00</v>
      </c>
      <c r="C221" s="156">
        <v>109715</v>
      </c>
      <c r="D221" s="156" t="str">
        <f>VLOOKUP(C221,Stock_list!D:L,2,FALSE)</f>
        <v>Special package</v>
      </c>
      <c r="E221" s="160">
        <f>VLOOKUP(C221,Stock_list!D:L,9,FALSE)</f>
        <v>43763</v>
      </c>
      <c r="F221" s="157" t="s">
        <v>2862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2748</v>
      </c>
      <c r="B222" s="114" t="str">
        <f>VLOOKUP(A222,'Data pick slip'!B:F,5,FALSE)</f>
        <v>KHJ-MC400-00</v>
      </c>
      <c r="C222" s="156">
        <v>109715</v>
      </c>
      <c r="D222" s="156" t="str">
        <f>VLOOKUP(C222,Stock_list!D:L,2,FALSE)</f>
        <v>Special package</v>
      </c>
      <c r="E222" s="160">
        <f>VLOOKUP(C222,Stock_list!D:L,9,FALSE)</f>
        <v>43763</v>
      </c>
      <c r="F222" s="157" t="s">
        <v>2862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2747</v>
      </c>
      <c r="B223" s="114" t="str">
        <f>VLOOKUP(A223,'Data pick slip'!B:F,5,FALSE)</f>
        <v>KHJ-MC200-00</v>
      </c>
      <c r="C223" s="161"/>
      <c r="D223" s="161"/>
      <c r="E223" s="301" t="s">
        <v>2885</v>
      </c>
      <c r="F223" s="162" t="s">
        <v>2773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2744</v>
      </c>
      <c r="B224" s="114" t="str">
        <f>VLOOKUP(A224,'Data pick slip'!B:F,5,FALSE)</f>
        <v>KHJ-MC100-00</v>
      </c>
      <c r="D224" s="156"/>
      <c r="E224" s="160" t="s">
        <v>2886</v>
      </c>
      <c r="F224" s="157" t="s">
        <v>2773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2748</v>
      </c>
      <c r="B225" s="114" t="str">
        <f>VLOOKUP(A225,'Data pick slip'!B:F,5,FALSE)</f>
        <v>KHJ-MC400-00</v>
      </c>
      <c r="D225" s="156"/>
      <c r="E225" s="160" t="s">
        <v>2886</v>
      </c>
      <c r="F225" s="157" t="s">
        <v>2773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2744</v>
      </c>
      <c r="B226" s="114" t="str">
        <f>VLOOKUP(A226,'Data pick slip'!B:F,5,FALSE)</f>
        <v>KHJ-MC100-00</v>
      </c>
      <c r="D226" s="156"/>
      <c r="E226" s="160" t="s">
        <v>2887</v>
      </c>
      <c r="F226" s="157" t="s">
        <v>2773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2749</v>
      </c>
      <c r="B227" s="114" t="str">
        <f>VLOOKUP(A227,'Data pick slip'!B:F,5,FALSE)</f>
        <v>KHJ-MC500-00</v>
      </c>
      <c r="D227" s="156"/>
      <c r="E227" s="160" t="s">
        <v>2887</v>
      </c>
      <c r="F227" s="157" t="s">
        <v>2773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2744</v>
      </c>
      <c r="B228" s="114" t="str">
        <f>VLOOKUP(A228,'Data pick slip'!B:F,5,FALSE)</f>
        <v>KHJ-MC100-00</v>
      </c>
      <c r="C228" s="156">
        <v>109721</v>
      </c>
      <c r="D228" s="156" t="str">
        <f>VLOOKUP(C228,Stock_list!D:L,2,FALSE)</f>
        <v>Special package</v>
      </c>
      <c r="E228" s="160">
        <f>VLOOKUP(C228,Stock_list!D:L,9,FALSE)</f>
        <v>43803</v>
      </c>
      <c r="F228" s="157" t="s">
        <v>2862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2744</v>
      </c>
      <c r="B229" s="114" t="str">
        <f>VLOOKUP(A229,'Data pick slip'!B:F,5,FALSE)</f>
        <v>KHJ-MC100-00</v>
      </c>
      <c r="C229" s="156">
        <v>109723</v>
      </c>
      <c r="D229" s="156" t="str">
        <f>VLOOKUP(C229,Stock_list!D:L,2,FALSE)</f>
        <v>博星名义下单</v>
      </c>
      <c r="E229" s="160">
        <f>VLOOKUP(C229,Stock_list!D:L,9,FALSE)</f>
        <v>43824</v>
      </c>
      <c r="F229" s="157" t="s">
        <v>2862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2747</v>
      </c>
      <c r="B230" s="114" t="str">
        <f>VLOOKUP(A230,'Data pick slip'!B:F,5,FALSE)</f>
        <v>KHJ-MC200-00</v>
      </c>
      <c r="C230" s="156">
        <v>109723</v>
      </c>
      <c r="D230" s="156" t="str">
        <f>VLOOKUP(C230,Stock_list!D:L,2,FALSE)</f>
        <v>博星名义下单</v>
      </c>
      <c r="E230" s="160">
        <f>VLOOKUP(C230,Stock_list!D:L,9,FALSE)</f>
        <v>43824</v>
      </c>
      <c r="F230" s="157" t="s">
        <v>2862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2748</v>
      </c>
      <c r="B231" s="114" t="str">
        <f>VLOOKUP(A231,'Data pick slip'!B:F,5,FALSE)</f>
        <v>KHJ-MC400-00</v>
      </c>
      <c r="C231" s="156">
        <v>109723</v>
      </c>
      <c r="D231" s="156" t="str">
        <f>VLOOKUP(C231,Stock_list!D:L,2,FALSE)</f>
        <v>博星名义下单</v>
      </c>
      <c r="E231" s="160">
        <f>VLOOKUP(C231,Stock_list!D:L,9,FALSE)</f>
        <v>43824</v>
      </c>
      <c r="F231" s="157" t="s">
        <v>2862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2749</v>
      </c>
      <c r="B232" s="114" t="str">
        <f>VLOOKUP(A232,'Data pick slip'!B:F,5,FALSE)</f>
        <v>KHJ-MC500-00</v>
      </c>
      <c r="C232" s="156">
        <v>109723</v>
      </c>
      <c r="D232" s="156" t="str">
        <f>VLOOKUP(C232,Stock_list!D:L,2,FALSE)</f>
        <v>博星名义下单</v>
      </c>
      <c r="E232" s="160">
        <f>VLOOKUP(C232,Stock_list!D:L,9,FALSE)</f>
        <v>43824</v>
      </c>
      <c r="F232" s="157" t="s">
        <v>2862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2747</v>
      </c>
      <c r="B233" s="114" t="str">
        <f>VLOOKUP(A233,'Data pick slip'!B:F,5,FALSE)</f>
        <v>KHJ-MC200-00</v>
      </c>
      <c r="C233" s="161"/>
      <c r="D233" s="161"/>
      <c r="E233" s="301" t="s">
        <v>2888</v>
      </c>
      <c r="F233" s="162" t="s">
        <v>2773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2747</v>
      </c>
      <c r="B234" s="114" t="str">
        <f>VLOOKUP(A234,'Data pick slip'!B:F,5,FALSE)</f>
        <v>KHJ-MC200-00</v>
      </c>
      <c r="D234" s="156"/>
      <c r="E234" s="160" t="s">
        <v>2889</v>
      </c>
      <c r="F234" s="157" t="s">
        <v>2773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2755</v>
      </c>
      <c r="B235" s="114" t="str">
        <f>VLOOKUP(A235,'Data pick slip'!B:F,5,FALSE)</f>
        <v>KLJ-MC100-00</v>
      </c>
      <c r="C235" s="156">
        <v>109730</v>
      </c>
      <c r="D235" s="156" t="str">
        <f>VLOOKUP(C235,Stock_list!D:L,2,FALSE)</f>
        <v>博星名义下单</v>
      </c>
      <c r="E235" s="160">
        <f>VLOOKUP(C235,Stock_list!D:L,9,FALSE)</f>
        <v>43810</v>
      </c>
      <c r="F235" s="157" t="s">
        <v>2862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2756</v>
      </c>
      <c r="B236" s="114" t="str">
        <f>VLOOKUP(A236,'Data pick slip'!B:F,5,FALSE)</f>
        <v>KLJ-MC200-00</v>
      </c>
      <c r="C236" s="156">
        <v>109730</v>
      </c>
      <c r="D236" s="156" t="str">
        <f>VLOOKUP(C236,Stock_list!D:L,2,FALSE)</f>
        <v>博星名义下单</v>
      </c>
      <c r="E236" s="160">
        <f>VLOOKUP(C236,Stock_list!D:L,9,FALSE)</f>
        <v>43810</v>
      </c>
      <c r="F236" s="157" t="s">
        <v>2862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2757</v>
      </c>
      <c r="B237" s="114" t="str">
        <f>VLOOKUP(A237,'Data pick slip'!B:F,5,FALSE)</f>
        <v>KLJ-MC400-00</v>
      </c>
      <c r="C237" s="156">
        <v>109730</v>
      </c>
      <c r="D237" s="156" t="str">
        <f>VLOOKUP(C237,Stock_list!D:L,2,FALSE)</f>
        <v>博星名义下单</v>
      </c>
      <c r="E237" s="160">
        <f>VLOOKUP(C237,Stock_list!D:L,9,FALSE)</f>
        <v>43810</v>
      </c>
      <c r="F237" s="157" t="s">
        <v>2862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2758</v>
      </c>
      <c r="B238" s="114" t="str">
        <f>VLOOKUP(A238,'Data pick slip'!B:F,5,FALSE)</f>
        <v>KLJ-MC500-00</v>
      </c>
      <c r="C238" s="156">
        <v>109730</v>
      </c>
      <c r="D238" s="156" t="str">
        <f>VLOOKUP(C238,Stock_list!D:L,2,FALSE)</f>
        <v>博星名义下单</v>
      </c>
      <c r="E238" s="160">
        <f>VLOOKUP(C238,Stock_list!D:L,9,FALSE)</f>
        <v>43810</v>
      </c>
      <c r="F238" s="157" t="s">
        <v>2862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2759</v>
      </c>
      <c r="B239" s="114" t="str">
        <f>VLOOKUP(A239,'Data pick slip'!B:F,5,FALSE)</f>
        <v>KLJ-MC600-00</v>
      </c>
      <c r="C239" s="156">
        <v>109730</v>
      </c>
      <c r="D239" s="156" t="str">
        <f>VLOOKUP(C239,Stock_list!D:L,2,FALSE)</f>
        <v>博星名义下单</v>
      </c>
      <c r="E239" s="160">
        <f>VLOOKUP(C239,Stock_list!D:L,9,FALSE)</f>
        <v>43810</v>
      </c>
      <c r="F239" s="157" t="s">
        <v>2862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2760</v>
      </c>
      <c r="B240" s="114" t="str">
        <f>VLOOKUP(A240,'Data pick slip'!B:F,5,FALSE)</f>
        <v>KLJ-MC700-00</v>
      </c>
      <c r="C240" s="156">
        <v>109730</v>
      </c>
      <c r="D240" s="156" t="str">
        <f>VLOOKUP(C240,Stock_list!D:L,2,FALSE)</f>
        <v>博星名义下单</v>
      </c>
      <c r="E240" s="160">
        <f>VLOOKUP(C240,Stock_list!D:L,9,FALSE)</f>
        <v>43810</v>
      </c>
      <c r="F240" s="157" t="s">
        <v>2862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2747</v>
      </c>
      <c r="B241" s="114" t="str">
        <f>VLOOKUP(A241,'Data pick slip'!B:F,5,FALSE)</f>
        <v>KHJ-MC200-00</v>
      </c>
      <c r="D241" s="156"/>
      <c r="E241" s="160" t="s">
        <v>2890</v>
      </c>
      <c r="F241" s="157" t="s">
        <v>2773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2744</v>
      </c>
      <c r="B242" s="114" t="str">
        <f>VLOOKUP(A242,'Data pick slip'!B:F,5,FALSE)</f>
        <v>KHJ-MC100-00</v>
      </c>
      <c r="D242" s="156"/>
      <c r="E242" s="160" t="s">
        <v>2891</v>
      </c>
      <c r="F242" s="157" t="s">
        <v>2773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2747</v>
      </c>
      <c r="B243" s="114" t="str">
        <f>VLOOKUP(A243,'Data pick slip'!B:F,5,FALSE)</f>
        <v>KHJ-MC200-00</v>
      </c>
      <c r="D243" s="156"/>
      <c r="E243" s="160" t="s">
        <v>2891</v>
      </c>
      <c r="F243" s="157" t="s">
        <v>2773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2744</v>
      </c>
      <c r="B244" s="114" t="str">
        <f>VLOOKUP(A244,'Data pick slip'!B:F,5,FALSE)</f>
        <v>KHJ-MC100-00</v>
      </c>
      <c r="D244" s="156"/>
      <c r="E244" s="160" t="s">
        <v>2892</v>
      </c>
      <c r="F244" s="157" t="s">
        <v>2773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2747</v>
      </c>
      <c r="B245" s="114" t="str">
        <f>VLOOKUP(A245,'Data pick slip'!B:F,5,FALSE)</f>
        <v>KHJ-MC200-00</v>
      </c>
      <c r="D245" s="156"/>
      <c r="E245" s="160" t="s">
        <v>2892</v>
      </c>
      <c r="F245" s="157" t="s">
        <v>2773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2744</v>
      </c>
      <c r="B246" s="114" t="str">
        <f>VLOOKUP(A246,'Data pick slip'!B:F,5,FALSE)</f>
        <v>KHJ-MC100-00</v>
      </c>
      <c r="C246" s="156">
        <v>109749</v>
      </c>
      <c r="D246" s="156" t="str">
        <f>VLOOKUP(C246,Stock_list!D:L,2,FALSE)</f>
        <v>锘铧名义下单</v>
      </c>
      <c r="E246" s="160">
        <f>VLOOKUP(C246,Stock_list!D:L,9,FALSE)</f>
        <v>43836</v>
      </c>
      <c r="F246" s="157" t="s">
        <v>2862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2747</v>
      </c>
      <c r="B247" s="114" t="str">
        <f>VLOOKUP(A247,'Data pick slip'!B:F,5,FALSE)</f>
        <v>KHJ-MC200-00</v>
      </c>
      <c r="C247" s="156">
        <v>109749</v>
      </c>
      <c r="D247" s="156" t="str">
        <f>VLOOKUP(C247,Stock_list!D:L,2,FALSE)</f>
        <v>锘铧名义下单</v>
      </c>
      <c r="E247" s="160">
        <f>VLOOKUP(C247,Stock_list!D:L,9,FALSE)</f>
        <v>43836</v>
      </c>
      <c r="F247" s="157" t="s">
        <v>2862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2748</v>
      </c>
      <c r="B248" s="114" t="str">
        <f>VLOOKUP(A248,'Data pick slip'!B:F,5,FALSE)</f>
        <v>KHJ-MC400-00</v>
      </c>
      <c r="C248" s="156">
        <v>109749</v>
      </c>
      <c r="D248" s="156" t="str">
        <f>VLOOKUP(C248,Stock_list!D:L,2,FALSE)</f>
        <v>锘铧名义下单</v>
      </c>
      <c r="E248" s="160">
        <f>VLOOKUP(C248,Stock_list!D:L,9,FALSE)</f>
        <v>43836</v>
      </c>
      <c r="F248" s="157" t="s">
        <v>2862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2749</v>
      </c>
      <c r="B249" s="114" t="str">
        <f>VLOOKUP(A249,'Data pick slip'!B:F,5,FALSE)</f>
        <v>KHJ-MC500-00</v>
      </c>
      <c r="C249" s="156">
        <v>109749</v>
      </c>
      <c r="D249" s="156" t="str">
        <f>VLOOKUP(C249,Stock_list!D:L,2,FALSE)</f>
        <v>锘铧名义下单</v>
      </c>
      <c r="E249" s="160">
        <f>VLOOKUP(C249,Stock_list!D:L,9,FALSE)</f>
        <v>43836</v>
      </c>
      <c r="F249" s="157" t="s">
        <v>2862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2750</v>
      </c>
      <c r="B250" s="114" t="str">
        <f>VLOOKUP(A250,'Data pick slip'!B:F,5,FALSE)</f>
        <v>KHJ-MC600-00</v>
      </c>
      <c r="C250" s="156">
        <v>109749</v>
      </c>
      <c r="D250" s="156" t="str">
        <f>VLOOKUP(C250,Stock_list!D:L,2,FALSE)</f>
        <v>锘铧名义下单</v>
      </c>
      <c r="E250" s="160">
        <f>VLOOKUP(C250,Stock_list!D:L,9,FALSE)</f>
        <v>43836</v>
      </c>
      <c r="F250" s="157" t="s">
        <v>2862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2744</v>
      </c>
      <c r="B251" s="114" t="str">
        <f>VLOOKUP(A251,'Data pick slip'!B:F,5,FALSE)</f>
        <v>KHJ-MC100-00</v>
      </c>
      <c r="C251" s="156">
        <v>109750</v>
      </c>
      <c r="D251" s="156" t="str">
        <f>VLOOKUP(C251,Stock_list!D:L,2,FALSE)</f>
        <v>锘铧名义下单</v>
      </c>
      <c r="E251" s="160">
        <f>VLOOKUP(C251,Stock_list!D:L,9,FALSE)</f>
        <v>43836</v>
      </c>
      <c r="F251" s="157" t="s">
        <v>2862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2747</v>
      </c>
      <c r="B252" s="114" t="str">
        <f>VLOOKUP(A252,'Data pick slip'!B:F,5,FALSE)</f>
        <v>KHJ-MC200-00</v>
      </c>
      <c r="C252" s="156">
        <v>109750</v>
      </c>
      <c r="D252" s="156" t="str">
        <f>VLOOKUP(C252,Stock_list!D:L,2,FALSE)</f>
        <v>锘铧名义下单</v>
      </c>
      <c r="E252" s="160">
        <f>VLOOKUP(C252,Stock_list!D:L,9,FALSE)</f>
        <v>43836</v>
      </c>
      <c r="F252" s="157" t="s">
        <v>2862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2777</v>
      </c>
      <c r="B253" s="114" t="str">
        <f>VLOOKUP(A253,'Data pick slip'!B:F,5,FALSE)</f>
        <v>KHJ-MC400-00</v>
      </c>
      <c r="C253" s="156">
        <v>109750</v>
      </c>
      <c r="D253" s="156" t="str">
        <f>VLOOKUP(C253,Stock_list!D:L,2,FALSE)</f>
        <v>锘铧名义下单</v>
      </c>
      <c r="E253" s="160">
        <f>VLOOKUP(C253,Stock_list!D:L,9,FALSE)</f>
        <v>43836</v>
      </c>
      <c r="F253" s="157" t="s">
        <v>2862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2744</v>
      </c>
      <c r="B254" s="114" t="str">
        <f>VLOOKUP(A254,'Data pick slip'!B:F,5,FALSE)</f>
        <v>KHJ-MC100-00</v>
      </c>
      <c r="C254" s="156">
        <v>109762</v>
      </c>
      <c r="D254" s="156" t="str">
        <f>VLOOKUP(C254,Stock_list!D:L,2,FALSE)</f>
        <v>灿明名义下单</v>
      </c>
      <c r="E254" s="160">
        <f>VLOOKUP(C254,Stock_list!D:L,9,FALSE)</f>
        <v>43862</v>
      </c>
      <c r="F254" s="157" t="s">
        <v>2862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2747</v>
      </c>
      <c r="B255" s="114" t="str">
        <f>VLOOKUP(A255,'Data pick slip'!B:F,5,FALSE)</f>
        <v>KHJ-MC200-00</v>
      </c>
      <c r="C255" s="156">
        <v>109762</v>
      </c>
      <c r="D255" s="156" t="str">
        <f>VLOOKUP(C255,Stock_list!D:L,2,FALSE)</f>
        <v>灿明名义下单</v>
      </c>
      <c r="E255" s="160">
        <f>VLOOKUP(C255,Stock_list!D:L,9,FALSE)</f>
        <v>43862</v>
      </c>
      <c r="F255" s="157" t="s">
        <v>2862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2748</v>
      </c>
      <c r="B256" s="114" t="str">
        <f>VLOOKUP(A256,'Data pick slip'!B:F,5,FALSE)</f>
        <v>KHJ-MC400-00</v>
      </c>
      <c r="C256" s="156">
        <v>109762</v>
      </c>
      <c r="D256" s="156" t="str">
        <f>VLOOKUP(C256,Stock_list!D:L,2,FALSE)</f>
        <v>灿明名义下单</v>
      </c>
      <c r="E256" s="160">
        <f>VLOOKUP(C256,Stock_list!D:L,9,FALSE)</f>
        <v>43862</v>
      </c>
      <c r="F256" s="157" t="s">
        <v>2862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2749</v>
      </c>
      <c r="B257" s="114" t="str">
        <f>VLOOKUP(A257,'Data pick slip'!B:F,5,FALSE)</f>
        <v>KHJ-MC500-00</v>
      </c>
      <c r="C257" s="156">
        <v>109762</v>
      </c>
      <c r="D257" s="156" t="str">
        <f>VLOOKUP(C257,Stock_list!D:L,2,FALSE)</f>
        <v>灿明名义下单</v>
      </c>
      <c r="E257" s="160">
        <f>VLOOKUP(C257,Stock_list!D:L,9,FALSE)</f>
        <v>43862</v>
      </c>
      <c r="F257" s="157" t="s">
        <v>2862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2744</v>
      </c>
      <c r="B258" s="114" t="str">
        <f>VLOOKUP(A258,'Data pick slip'!B:F,5,FALSE)</f>
        <v>KHJ-MC100-00</v>
      </c>
      <c r="D258" s="156"/>
      <c r="E258" s="160" t="s">
        <v>2893</v>
      </c>
      <c r="F258" s="157" t="s">
        <v>2773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2747</v>
      </c>
      <c r="B259" s="114" t="str">
        <f>VLOOKUP(A259,'Data pick slip'!B:F,5,FALSE)</f>
        <v>KHJ-MC200-00</v>
      </c>
      <c r="D259" s="156"/>
      <c r="E259" s="160" t="s">
        <v>2893</v>
      </c>
      <c r="F259" s="157" t="s">
        <v>2773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2748</v>
      </c>
      <c r="B260" s="114" t="str">
        <f>VLOOKUP(A260,'Data pick slip'!B:F,5,FALSE)</f>
        <v>KHJ-MC400-00</v>
      </c>
      <c r="D260" s="156"/>
      <c r="E260" s="160" t="s">
        <v>2893</v>
      </c>
      <c r="F260" s="157" t="s">
        <v>2773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2749</v>
      </c>
      <c r="B261" s="114" t="str">
        <f>VLOOKUP(A261,'Data pick slip'!B:F,5,FALSE)</f>
        <v>KHJ-MC500-00</v>
      </c>
      <c r="D261" s="156"/>
      <c r="E261" s="160" t="s">
        <v>2893</v>
      </c>
      <c r="F261" s="157" t="s">
        <v>2773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2744</v>
      </c>
      <c r="B262" s="114" t="str">
        <f>VLOOKUP(A262,'Data pick slip'!B:F,5,FALSE)</f>
        <v>KHJ-MC100-00</v>
      </c>
      <c r="C262" s="156">
        <v>109774</v>
      </c>
      <c r="D262" s="156" t="str">
        <f>VLOOKUP(C262,Stock_list!D:L,2,FALSE)</f>
        <v>Special package</v>
      </c>
      <c r="E262" s="160">
        <f>VLOOKUP(C262,Stock_list!D:L,9,FALSE)</f>
        <v>43866</v>
      </c>
      <c r="F262" s="157" t="s">
        <v>2862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2747</v>
      </c>
      <c r="B263" s="114" t="str">
        <f>VLOOKUP(A263,'Data pick slip'!B:F,5,FALSE)</f>
        <v>KHJ-MC200-00</v>
      </c>
      <c r="D263" s="156"/>
      <c r="E263" s="160" t="s">
        <v>2894</v>
      </c>
      <c r="F263" s="157" t="s">
        <v>2773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2756</v>
      </c>
      <c r="B264" s="114" t="str">
        <f>VLOOKUP(A264,'Data pick slip'!B:F,5,FALSE)</f>
        <v>KLJ-MC200-00</v>
      </c>
      <c r="D264" s="156"/>
      <c r="E264" s="160" t="s">
        <v>2894</v>
      </c>
      <c r="F264" s="157" t="s">
        <v>2773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2744</v>
      </c>
      <c r="B265" s="114" t="str">
        <f>VLOOKUP(A265,'Data pick slip'!B:F,5,FALSE)</f>
        <v>KHJ-MC100-00</v>
      </c>
      <c r="C265" s="156">
        <v>109714</v>
      </c>
      <c r="D265" s="156" t="str">
        <f>VLOOKUP(C265,Stock_list!D:L,2,FALSE)</f>
        <v>Pro-tec</v>
      </c>
      <c r="E265" s="160">
        <f>VLOOKUP(C265,Stock_list!D:L,9,FALSE)</f>
        <v>43883</v>
      </c>
      <c r="F265" s="157" t="s">
        <v>2862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2747</v>
      </c>
      <c r="B266" s="114" t="str">
        <f>VLOOKUP(A266,'Data pick slip'!B:F,5,FALSE)</f>
        <v>KHJ-MC200-00</v>
      </c>
      <c r="C266" s="156">
        <v>109714</v>
      </c>
      <c r="D266" s="156" t="str">
        <f>VLOOKUP(C266,Stock_list!D:L,2,FALSE)</f>
        <v>Pro-tec</v>
      </c>
      <c r="E266" s="160">
        <f>VLOOKUP(C266,Stock_list!D:L,9,FALSE)</f>
        <v>43883</v>
      </c>
      <c r="F266" s="157" t="s">
        <v>2862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2748</v>
      </c>
      <c r="B267" s="114" t="str">
        <f>VLOOKUP(A267,'Data pick slip'!B:F,5,FALSE)</f>
        <v>KHJ-MC400-00</v>
      </c>
      <c r="C267" s="156">
        <v>109714</v>
      </c>
      <c r="D267" s="156" t="str">
        <f>VLOOKUP(C267,Stock_list!D:L,2,FALSE)</f>
        <v>Pro-tec</v>
      </c>
      <c r="E267" s="160">
        <f>VLOOKUP(C267,Stock_list!D:L,9,FALSE)</f>
        <v>43883</v>
      </c>
      <c r="F267" s="157" t="s">
        <v>2862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2744</v>
      </c>
      <c r="B268" s="114" t="str">
        <f>VLOOKUP(A268,'Data pick slip'!B:F,5,FALSE)</f>
        <v>KHJ-MC100-00</v>
      </c>
      <c r="C268" s="156">
        <v>109783</v>
      </c>
      <c r="D268" s="156" t="str">
        <f>VLOOKUP(C268,Stock_list!D:L,2,FALSE)</f>
        <v>博睿通名义下单</v>
      </c>
      <c r="E268" s="160">
        <f>VLOOKUP(C268,Stock_list!D:L,9,FALSE)</f>
        <v>43922</v>
      </c>
      <c r="F268" s="157" t="s">
        <v>2862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2747</v>
      </c>
      <c r="B269" s="114" t="str">
        <f>VLOOKUP(A269,'Data pick slip'!B:F,5,FALSE)</f>
        <v>KHJ-MC200-00</v>
      </c>
      <c r="C269" s="156">
        <v>109783</v>
      </c>
      <c r="D269" s="156" t="str">
        <f>VLOOKUP(C269,Stock_list!D:L,2,FALSE)</f>
        <v>博睿通名义下单</v>
      </c>
      <c r="E269" s="160">
        <f>VLOOKUP(C269,Stock_list!D:L,9,FALSE)</f>
        <v>43922</v>
      </c>
      <c r="F269" s="157" t="s">
        <v>2862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2748</v>
      </c>
      <c r="B270" s="114" t="str">
        <f>VLOOKUP(A270,'Data pick slip'!B:F,5,FALSE)</f>
        <v>KHJ-MC400-00</v>
      </c>
      <c r="C270" s="156">
        <v>109783</v>
      </c>
      <c r="D270" s="156" t="str">
        <f>VLOOKUP(C270,Stock_list!D:L,2,FALSE)</f>
        <v>博睿通名义下单</v>
      </c>
      <c r="E270" s="160">
        <f>VLOOKUP(C270,Stock_list!D:L,9,FALSE)</f>
        <v>43922</v>
      </c>
      <c r="F270" s="157" t="s">
        <v>2862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2749</v>
      </c>
      <c r="B271" s="114" t="str">
        <f>VLOOKUP(A271,'Data pick slip'!B:F,5,FALSE)</f>
        <v>KHJ-MC500-00</v>
      </c>
      <c r="C271" s="156">
        <v>109783</v>
      </c>
      <c r="D271" s="156" t="str">
        <f>VLOOKUP(C271,Stock_list!D:L,2,FALSE)</f>
        <v>博睿通名义下单</v>
      </c>
      <c r="E271" s="160">
        <f>VLOOKUP(C271,Stock_list!D:L,9,FALSE)</f>
        <v>43922</v>
      </c>
      <c r="F271" s="157" t="s">
        <v>2862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2750</v>
      </c>
      <c r="B272" s="114" t="str">
        <f>VLOOKUP(A272,'Data pick slip'!B:F,5,FALSE)</f>
        <v>KHJ-MC600-00</v>
      </c>
      <c r="C272" s="156">
        <v>109783</v>
      </c>
      <c r="D272" s="156" t="str">
        <f>VLOOKUP(C272,Stock_list!D:L,2,FALSE)</f>
        <v>博睿通名义下单</v>
      </c>
      <c r="E272" s="160">
        <f>VLOOKUP(C272,Stock_list!D:L,9,FALSE)</f>
        <v>43922</v>
      </c>
      <c r="F272" s="157" t="s">
        <v>2862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2751</v>
      </c>
      <c r="B273" s="114" t="str">
        <f>VLOOKUP(A273,'Data pick slip'!B:F,5,FALSE)</f>
        <v>KHJ-MC700-00</v>
      </c>
      <c r="C273" s="156">
        <v>109783</v>
      </c>
      <c r="D273" s="156" t="str">
        <f>VLOOKUP(C273,Stock_list!D:L,2,FALSE)</f>
        <v>博睿通名义下单</v>
      </c>
      <c r="E273" s="160">
        <f>VLOOKUP(C273,Stock_list!D:L,9,FALSE)</f>
        <v>43922</v>
      </c>
      <c r="F273" s="157" t="s">
        <v>2862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2755</v>
      </c>
      <c r="B274" s="114" t="str">
        <f>VLOOKUP(A274,'Data pick slip'!B:F,5,FALSE)</f>
        <v>KLJ-MC100-00</v>
      </c>
      <c r="C274" s="156">
        <v>109793</v>
      </c>
      <c r="D274" s="156" t="str">
        <f>VLOOKUP(C274,Stock_list!D:L,2,FALSE)</f>
        <v>耕创名义下单</v>
      </c>
      <c r="E274" s="160">
        <f>VLOOKUP(C274,Stock_list!D:L,9,FALSE)</f>
        <v>43901</v>
      </c>
      <c r="F274" s="157" t="s">
        <v>2862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2756</v>
      </c>
      <c r="B275" s="114" t="str">
        <f>VLOOKUP(A275,'Data pick slip'!B:F,5,FALSE)</f>
        <v>KLJ-MC200-00</v>
      </c>
      <c r="C275" s="156">
        <v>109793</v>
      </c>
      <c r="D275" s="156" t="str">
        <f>VLOOKUP(C275,Stock_list!D:L,2,FALSE)</f>
        <v>耕创名义下单</v>
      </c>
      <c r="E275" s="160">
        <f>VLOOKUP(C275,Stock_list!D:L,9,FALSE)</f>
        <v>43901</v>
      </c>
      <c r="F275" s="157" t="s">
        <v>2862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2755</v>
      </c>
      <c r="B276" s="114" t="str">
        <f>VLOOKUP(A276,'Data pick slip'!B:F,5,FALSE)</f>
        <v>KLJ-MC100-00</v>
      </c>
      <c r="C276" s="156">
        <v>109794</v>
      </c>
      <c r="D276" s="156" t="str">
        <f>VLOOKUP(C276,Stock_list!D:L,2,FALSE)</f>
        <v>龙大名义下单</v>
      </c>
      <c r="E276" s="160">
        <f>VLOOKUP(C276,Stock_list!D:L,9,FALSE)</f>
        <v>43908</v>
      </c>
      <c r="F276" s="157" t="s">
        <v>2862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2756</v>
      </c>
      <c r="B277" s="114" t="str">
        <f>VLOOKUP(A277,'Data pick slip'!B:F,5,FALSE)</f>
        <v>KLJ-MC200-00</v>
      </c>
      <c r="C277" s="156">
        <v>109794</v>
      </c>
      <c r="D277" s="156" t="str">
        <f>VLOOKUP(C277,Stock_list!D:L,2,FALSE)</f>
        <v>龙大名义下单</v>
      </c>
      <c r="E277" s="160">
        <f>VLOOKUP(C277,Stock_list!D:L,9,FALSE)</f>
        <v>43908</v>
      </c>
      <c r="F277" s="157" t="s">
        <v>2862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2744</v>
      </c>
      <c r="B278" s="114" t="str">
        <f>VLOOKUP(A278,'Data pick slip'!B:F,5,FALSE)</f>
        <v>KHJ-MC100-00</v>
      </c>
      <c r="D278" s="156"/>
      <c r="E278" s="160" t="s">
        <v>2895</v>
      </c>
      <c r="F278" s="157" t="s">
        <v>2773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2747</v>
      </c>
      <c r="B279" s="114" t="str">
        <f>VLOOKUP(A279,'Data pick slip'!B:F,5,FALSE)</f>
        <v>KHJ-MC200-00</v>
      </c>
      <c r="D279" s="156"/>
      <c r="E279" s="160" t="s">
        <v>2895</v>
      </c>
      <c r="F279" s="157" t="s">
        <v>2773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2748</v>
      </c>
      <c r="B280" s="114" t="str">
        <f>VLOOKUP(A280,'Data pick slip'!B:F,5,FALSE)</f>
        <v>KHJ-MC400-00</v>
      </c>
      <c r="D280" s="156"/>
      <c r="E280" s="160" t="s">
        <v>2895</v>
      </c>
      <c r="F280" s="157" t="s">
        <v>2773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2759</v>
      </c>
      <c r="B281" s="114" t="str">
        <f>VLOOKUP(A281,'Data pick slip'!B:F,5,FALSE)</f>
        <v>KLJ-MC600-00</v>
      </c>
      <c r="D281" s="156"/>
      <c r="E281" s="160" t="s">
        <v>2895</v>
      </c>
      <c r="F281" s="157" t="s">
        <v>2773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2744</v>
      </c>
      <c r="B282" s="114" t="str">
        <f>VLOOKUP(A282,'Data pick slip'!B:F,5,FALSE)</f>
        <v>KHJ-MC100-00</v>
      </c>
      <c r="D282" s="156"/>
      <c r="E282" s="160" t="s">
        <v>2896</v>
      </c>
      <c r="F282" s="157" t="s">
        <v>2773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2749</v>
      </c>
      <c r="B283" s="114" t="str">
        <f>VLOOKUP(A283,'Data pick slip'!B:F,5,FALSE)</f>
        <v>KHJ-MC500-00</v>
      </c>
      <c r="D283" s="156"/>
      <c r="E283" s="160" t="s">
        <v>2896</v>
      </c>
      <c r="F283" s="157" t="s">
        <v>2773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2744</v>
      </c>
      <c r="B284" s="114" t="str">
        <f>VLOOKUP(A284,'Data pick slip'!B:F,5,FALSE)</f>
        <v>KHJ-MC100-00</v>
      </c>
      <c r="D284" s="156"/>
      <c r="E284" s="160" t="s">
        <v>2897</v>
      </c>
      <c r="F284" s="157" t="s">
        <v>2773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2747</v>
      </c>
      <c r="B285" s="114" t="str">
        <f>VLOOKUP(A285,'Data pick slip'!B:F,5,FALSE)</f>
        <v>KHJ-MC200-00</v>
      </c>
      <c r="D285" s="156"/>
      <c r="E285" s="160" t="s">
        <v>2897</v>
      </c>
      <c r="F285" s="157" t="s">
        <v>2773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2748</v>
      </c>
      <c r="B286" s="114" t="str">
        <f>VLOOKUP(A286,'Data pick slip'!B:F,5,FALSE)</f>
        <v>KHJ-MC400-00</v>
      </c>
      <c r="D286" s="156"/>
      <c r="E286" s="160" t="s">
        <v>2897</v>
      </c>
      <c r="F286" s="157" t="s">
        <v>2773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2744</v>
      </c>
      <c r="B287" s="114" t="str">
        <f>VLOOKUP(A287,'Data pick slip'!B:F,5,FALSE)</f>
        <v>KHJ-MC100-00</v>
      </c>
      <c r="D287" s="156"/>
      <c r="E287" s="160" t="s">
        <v>2898</v>
      </c>
      <c r="F287" s="157" t="s">
        <v>2773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2747</v>
      </c>
      <c r="B288" s="114" t="str">
        <f>VLOOKUP(A288,'Data pick slip'!B:F,5,FALSE)</f>
        <v>KHJ-MC200-00</v>
      </c>
      <c r="D288" s="156"/>
      <c r="E288" s="160" t="s">
        <v>2898</v>
      </c>
      <c r="F288" s="157" t="s">
        <v>2773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2748</v>
      </c>
      <c r="B289" s="114" t="str">
        <f>VLOOKUP(A289,'Data pick slip'!B:F,5,FALSE)</f>
        <v>KHJ-MC400-00</v>
      </c>
      <c r="D289" s="156"/>
      <c r="E289" s="160" t="s">
        <v>2898</v>
      </c>
      <c r="F289" s="157" t="s">
        <v>2773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2749</v>
      </c>
      <c r="B290" s="114" t="str">
        <f>VLOOKUP(A290,'Data pick slip'!B:F,5,FALSE)</f>
        <v>KHJ-MC500-00</v>
      </c>
      <c r="D290" s="156"/>
      <c r="E290" s="160" t="s">
        <v>2898</v>
      </c>
      <c r="F290" s="157" t="s">
        <v>2773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2755</v>
      </c>
      <c r="B291" s="114" t="str">
        <f>VLOOKUP(A291,'Data pick slip'!B:F,5,FALSE)</f>
        <v>KLJ-MC100-00</v>
      </c>
      <c r="D291" s="156"/>
      <c r="E291" s="160" t="s">
        <v>2899</v>
      </c>
      <c r="F291" s="157" t="s">
        <v>2773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2756</v>
      </c>
      <c r="B292" s="114" t="str">
        <f>VLOOKUP(A292,'Data pick slip'!B:F,5,FALSE)</f>
        <v>KLJ-MC200-00</v>
      </c>
      <c r="D292" s="156"/>
      <c r="E292" s="160" t="s">
        <v>2899</v>
      </c>
      <c r="F292" s="157" t="s">
        <v>2773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2755</v>
      </c>
      <c r="B293" s="114" t="str">
        <f>VLOOKUP(A293,'Data pick slip'!B:F,5,FALSE)</f>
        <v>KLJ-MC100-00</v>
      </c>
      <c r="D293" s="156"/>
      <c r="E293" s="160" t="s">
        <v>2898</v>
      </c>
      <c r="F293" s="157" t="s">
        <v>2773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2756</v>
      </c>
      <c r="B294" s="114" t="str">
        <f>VLOOKUP(A294,'Data pick slip'!B:F,5,FALSE)</f>
        <v>KLJ-MC200-00</v>
      </c>
      <c r="D294" s="156"/>
      <c r="E294" s="160" t="s">
        <v>2898</v>
      </c>
      <c r="F294" s="157" t="s">
        <v>2773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2744</v>
      </c>
      <c r="B295" s="114" t="str">
        <f>VLOOKUP(A295,'Data pick slip'!B:F,5,FALSE)</f>
        <v>KHJ-MC100-00</v>
      </c>
      <c r="C295" s="156">
        <v>109889</v>
      </c>
      <c r="D295" s="156" t="str">
        <f>VLOOKUP(C295,Stock_list!D:L,2,FALSE)</f>
        <v>奕东名义下单</v>
      </c>
      <c r="E295" s="160">
        <f>VLOOKUP(C295,Stock_list!D:L,9,FALSE)</f>
        <v>43985</v>
      </c>
      <c r="F295" s="157" t="s">
        <v>2862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2747</v>
      </c>
      <c r="B296" s="114" t="str">
        <f>VLOOKUP(A296,'Data pick slip'!B:F,5,FALSE)</f>
        <v>KHJ-MC200-00</v>
      </c>
      <c r="C296" s="156">
        <v>109889</v>
      </c>
      <c r="D296" s="156" t="str">
        <f>VLOOKUP(C296,Stock_list!D:L,2,FALSE)</f>
        <v>奕东名义下单</v>
      </c>
      <c r="E296" s="160">
        <f>VLOOKUP(C296,Stock_list!D:L,9,FALSE)</f>
        <v>43985</v>
      </c>
      <c r="F296" s="157" t="s">
        <v>2862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2754</v>
      </c>
      <c r="B297" s="114" t="str">
        <f>VLOOKUP(A297,'Data pick slip'!B:F,5,FALSE)</f>
        <v>KLJ-MCN00-20</v>
      </c>
      <c r="C297" s="156">
        <v>109855</v>
      </c>
      <c r="D297" s="156" t="str">
        <f>VLOOKUP(C297,Stock_list!D:L,2,FALSE)</f>
        <v>Stock order</v>
      </c>
      <c r="E297" s="160">
        <f>VLOOKUP(C297,Stock_list!D:L,9,FALSE)</f>
        <v>43946</v>
      </c>
      <c r="F297" s="157" t="s">
        <v>2862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2744</v>
      </c>
      <c r="B298" s="114" t="str">
        <f>VLOOKUP(A298,'Data pick slip'!B:F,5,FALSE)</f>
        <v>KHJ-MC100-00</v>
      </c>
      <c r="C298" s="156">
        <v>109855</v>
      </c>
      <c r="D298" s="156" t="str">
        <f>VLOOKUP(C298,Stock_list!D:L,2,FALSE)</f>
        <v>Stock order</v>
      </c>
      <c r="E298" s="160">
        <f>VLOOKUP(C298,Stock_list!D:L,9,FALSE)</f>
        <v>43946</v>
      </c>
      <c r="F298" s="157" t="s">
        <v>2862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2747</v>
      </c>
      <c r="B299" s="114" t="str">
        <f>VLOOKUP(A299,'Data pick slip'!B:F,5,FALSE)</f>
        <v>KHJ-MC200-00</v>
      </c>
      <c r="C299" s="156">
        <v>109855</v>
      </c>
      <c r="D299" s="156" t="str">
        <f>VLOOKUP(C299,Stock_list!D:L,2,FALSE)</f>
        <v>Stock order</v>
      </c>
      <c r="E299" s="160">
        <f>VLOOKUP(C299,Stock_list!D:L,9,FALSE)</f>
        <v>43946</v>
      </c>
      <c r="F299" s="157" t="s">
        <v>2862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2748</v>
      </c>
      <c r="B300" s="114" t="str">
        <f>VLOOKUP(A300,'Data pick slip'!B:F,5,FALSE)</f>
        <v>KHJ-MC400-00</v>
      </c>
      <c r="C300" s="156">
        <v>109855</v>
      </c>
      <c r="D300" s="156" t="str">
        <f>VLOOKUP(C300,Stock_list!D:L,2,FALSE)</f>
        <v>Stock order</v>
      </c>
      <c r="E300" s="160">
        <f>VLOOKUP(C300,Stock_list!D:L,9,FALSE)</f>
        <v>43946</v>
      </c>
      <c r="F300" s="157" t="s">
        <v>2862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2750</v>
      </c>
      <c r="B301" s="114" t="str">
        <f>VLOOKUP(A301,'Data pick slip'!B:F,5,FALSE)</f>
        <v>KHJ-MC600-00</v>
      </c>
      <c r="C301" s="156">
        <v>109855</v>
      </c>
      <c r="D301" s="156" t="str">
        <f>VLOOKUP(C301,Stock_list!D:L,2,FALSE)</f>
        <v>Stock order</v>
      </c>
      <c r="E301" s="160">
        <f>VLOOKUP(C301,Stock_list!D:L,9,FALSE)</f>
        <v>43946</v>
      </c>
      <c r="F301" s="157" t="s">
        <v>2862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2744</v>
      </c>
      <c r="B302" s="114" t="str">
        <f>VLOOKUP(A302,'Data pick slip'!B:F,5,FALSE)</f>
        <v>KHJ-MC100-00</v>
      </c>
      <c r="D302" s="140"/>
      <c r="E302" s="160" t="s">
        <v>2900</v>
      </c>
      <c r="F302" s="157" t="s">
        <v>2773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2747</v>
      </c>
      <c r="B303" s="114" t="str">
        <f>VLOOKUP(A303,'Data pick slip'!B:F,5,FALSE)</f>
        <v>KHJ-MC200-00</v>
      </c>
      <c r="D303" s="140"/>
      <c r="E303" s="160" t="s">
        <v>2900</v>
      </c>
      <c r="F303" s="157" t="s">
        <v>2773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2748</v>
      </c>
      <c r="B304" s="114" t="str">
        <f>VLOOKUP(A304,'Data pick slip'!B:F,5,FALSE)</f>
        <v>KHJ-MC400-00</v>
      </c>
      <c r="D304" s="140"/>
      <c r="E304" s="160" t="s">
        <v>2900</v>
      </c>
      <c r="F304" s="157" t="s">
        <v>2773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2744</v>
      </c>
      <c r="B305" s="114" t="str">
        <f>VLOOKUP(A305,'Data pick slip'!B:F,5,FALSE)</f>
        <v>KHJ-MC100-00</v>
      </c>
      <c r="C305" s="156">
        <v>109868</v>
      </c>
      <c r="D305" s="156" t="str">
        <f>VLOOKUP(C305,Stock_list!D:L,2,FALSE)</f>
        <v>Stock order</v>
      </c>
      <c r="E305" s="160">
        <f>VLOOKUP(C305,Stock_list!D:L,9,FALSE)</f>
        <v>43992</v>
      </c>
      <c r="F305" s="157" t="s">
        <v>2862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2747</v>
      </c>
      <c r="B306" s="114" t="str">
        <f>VLOOKUP(A306,'Data pick slip'!B:F,5,FALSE)</f>
        <v>KHJ-MC200-00</v>
      </c>
      <c r="C306" s="156">
        <v>109868</v>
      </c>
      <c r="D306" s="156" t="str">
        <f>VLOOKUP(C306,Stock_list!D:L,2,FALSE)</f>
        <v>Stock order</v>
      </c>
      <c r="E306" s="160">
        <f>VLOOKUP(C306,Stock_list!D:L,9,FALSE)</f>
        <v>43992</v>
      </c>
      <c r="F306" s="157" t="s">
        <v>2862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2748</v>
      </c>
      <c r="B307" s="114" t="str">
        <f>VLOOKUP(A307,'Data pick slip'!B:F,5,FALSE)</f>
        <v>KHJ-MC400-00</v>
      </c>
      <c r="C307" s="156">
        <v>109868</v>
      </c>
      <c r="D307" s="156" t="str">
        <f>VLOOKUP(C307,Stock_list!D:L,2,FALSE)</f>
        <v>Stock order</v>
      </c>
      <c r="E307" s="160">
        <f>VLOOKUP(C307,Stock_list!D:L,9,FALSE)</f>
        <v>43992</v>
      </c>
      <c r="F307" s="157" t="s">
        <v>2862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2750</v>
      </c>
      <c r="B308" s="114" t="str">
        <f>VLOOKUP(A308,'Data pick slip'!B:F,5,FALSE)</f>
        <v>KHJ-MC600-00</v>
      </c>
      <c r="C308" s="156">
        <v>109868</v>
      </c>
      <c r="D308" s="156" t="str">
        <f>VLOOKUP(C308,Stock_list!D:L,2,FALSE)</f>
        <v>Stock order</v>
      </c>
      <c r="E308" s="160">
        <f>VLOOKUP(C308,Stock_list!D:L,9,FALSE)</f>
        <v>43992</v>
      </c>
      <c r="F308" s="157" t="s">
        <v>2862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2744</v>
      </c>
      <c r="B309" s="114" t="str">
        <f>VLOOKUP(A309,'Data pick slip'!B:F,5,FALSE)</f>
        <v>KHJ-MC100-00</v>
      </c>
      <c r="C309" s="156">
        <v>109886</v>
      </c>
      <c r="D309" s="156" t="str">
        <f>VLOOKUP(C309,Stock_list!D:L,2,FALSE)</f>
        <v>Stock order</v>
      </c>
      <c r="E309" s="160">
        <f>VLOOKUP(C309,Stock_list!D:L,9,FALSE)</f>
        <v>44006</v>
      </c>
      <c r="F309" s="157" t="s">
        <v>2862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2747</v>
      </c>
      <c r="B310" s="114" t="str">
        <f>VLOOKUP(A310,'Data pick slip'!B:F,5,FALSE)</f>
        <v>KHJ-MC200-00</v>
      </c>
      <c r="C310" s="156">
        <v>109886</v>
      </c>
      <c r="D310" s="156" t="str">
        <f>VLOOKUP(C310,Stock_list!D:L,2,FALSE)</f>
        <v>Stock order</v>
      </c>
      <c r="E310" s="160">
        <f>VLOOKUP(C310,Stock_list!D:L,9,FALSE)</f>
        <v>44006</v>
      </c>
      <c r="F310" s="157" t="s">
        <v>2862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2748</v>
      </c>
      <c r="B311" s="114" t="str">
        <f>VLOOKUP(A311,'Data pick slip'!B:F,5,FALSE)</f>
        <v>KHJ-MC400-00</v>
      </c>
      <c r="C311" s="156">
        <v>109886</v>
      </c>
      <c r="D311" s="156" t="str">
        <f>VLOOKUP(C311,Stock_list!D:L,2,FALSE)</f>
        <v>Stock order</v>
      </c>
      <c r="E311" s="160">
        <f>VLOOKUP(C311,Stock_list!D:L,9,FALSE)</f>
        <v>44006</v>
      </c>
      <c r="F311" s="157" t="s">
        <v>2862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2749</v>
      </c>
      <c r="B312" s="114" t="str">
        <f>VLOOKUP(A312,'Data pick slip'!B:F,5,FALSE)</f>
        <v>KHJ-MC500-00</v>
      </c>
      <c r="C312" s="156">
        <v>109886</v>
      </c>
      <c r="D312" s="156" t="str">
        <f>VLOOKUP(C312,Stock_list!D:L,2,FALSE)</f>
        <v>Stock order</v>
      </c>
      <c r="E312" s="160">
        <f>VLOOKUP(C312,Stock_list!D:L,9,FALSE)</f>
        <v>44006</v>
      </c>
      <c r="F312" s="157" t="s">
        <v>2862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2750</v>
      </c>
      <c r="B313" s="114" t="str">
        <f>VLOOKUP(A313,'Data pick slip'!B:F,5,FALSE)</f>
        <v>KHJ-MC600-00</v>
      </c>
      <c r="C313" s="156">
        <v>109886</v>
      </c>
      <c r="D313" s="156" t="str">
        <f>VLOOKUP(C313,Stock_list!D:L,2,FALSE)</f>
        <v>Stock order</v>
      </c>
      <c r="E313" s="160">
        <f>VLOOKUP(C313,Stock_list!D:L,9,FALSE)</f>
        <v>44006</v>
      </c>
      <c r="F313" s="157" t="s">
        <v>2862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2744</v>
      </c>
      <c r="B314" s="114" t="str">
        <f>VLOOKUP(A314,'Data pick slip'!B:F,5,FALSE)</f>
        <v>KHJ-MC100-00</v>
      </c>
      <c r="D314" s="156"/>
      <c r="E314" s="301" t="s">
        <v>2901</v>
      </c>
      <c r="F314" s="162" t="s">
        <v>2773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2744</v>
      </c>
      <c r="B315" s="114" t="str">
        <f>VLOOKUP(A315,'Data pick slip'!B:F,5,FALSE)</f>
        <v>KHJ-MC100-00</v>
      </c>
      <c r="D315" s="156"/>
      <c r="E315" s="160" t="s">
        <v>2901</v>
      </c>
      <c r="F315" s="157" t="s">
        <v>2773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2747</v>
      </c>
      <c r="B316" s="114" t="str">
        <f>VLOOKUP(A316,'Data pick slip'!B:F,5,FALSE)</f>
        <v>KHJ-MC200-00</v>
      </c>
      <c r="D316" s="156"/>
      <c r="E316" s="160" t="s">
        <v>2901</v>
      </c>
      <c r="F316" s="157" t="s">
        <v>2773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2748</v>
      </c>
      <c r="B317" s="114" t="str">
        <f>VLOOKUP(A317,'Data pick slip'!B:F,5,FALSE)</f>
        <v>KHJ-MC400-00</v>
      </c>
      <c r="D317" s="156"/>
      <c r="E317" s="160" t="s">
        <v>2901</v>
      </c>
      <c r="F317" s="157" t="s">
        <v>2773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2749</v>
      </c>
      <c r="B318" s="114" t="str">
        <f>VLOOKUP(A318,'Data pick slip'!B:F,5,FALSE)</f>
        <v>KHJ-MC500-00</v>
      </c>
      <c r="D318" s="156"/>
      <c r="E318" s="160" t="s">
        <v>2901</v>
      </c>
      <c r="F318" s="157" t="s">
        <v>2773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2750</v>
      </c>
      <c r="B319" s="114" t="str">
        <f>VLOOKUP(A319,'Data pick slip'!B:F,5,FALSE)</f>
        <v>KHJ-MC600-00</v>
      </c>
      <c r="D319" s="156"/>
      <c r="E319" s="160" t="s">
        <v>2901</v>
      </c>
      <c r="F319" s="157" t="s">
        <v>2773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2744</v>
      </c>
      <c r="B320" s="114" t="str">
        <f>VLOOKUP(A320,'Data pick slip'!B:F,5,FALSE)</f>
        <v>KHJ-MC100-00</v>
      </c>
      <c r="C320" s="156">
        <v>109891</v>
      </c>
      <c r="D320" s="156" t="str">
        <f>VLOOKUP(C320,Stock_list!D:L,2,FALSE)</f>
        <v>Stock order</v>
      </c>
      <c r="E320" s="160">
        <f>VLOOKUP(C320,Stock_list!D:L,9,FALSE)</f>
        <v>44004</v>
      </c>
      <c r="F320" s="157" t="s">
        <v>2862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2747</v>
      </c>
      <c r="B321" s="114" t="str">
        <f>VLOOKUP(A321,'Data pick slip'!B:F,5,FALSE)</f>
        <v>KHJ-MC200-00</v>
      </c>
      <c r="C321" s="156">
        <v>109891</v>
      </c>
      <c r="D321" s="156" t="str">
        <f>VLOOKUP(C321,Stock_list!D:L,2,FALSE)</f>
        <v>Stock order</v>
      </c>
      <c r="E321" s="160">
        <f>VLOOKUP(C321,Stock_list!D:L,9,FALSE)</f>
        <v>44004</v>
      </c>
      <c r="F321" s="157" t="s">
        <v>2862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2748</v>
      </c>
      <c r="B322" s="114" t="str">
        <f>VLOOKUP(A322,'Data pick slip'!B:F,5,FALSE)</f>
        <v>KHJ-MC400-00</v>
      </c>
      <c r="C322" s="156">
        <v>109891</v>
      </c>
      <c r="D322" s="156" t="str">
        <f>VLOOKUP(C322,Stock_list!D:L,2,FALSE)</f>
        <v>Stock order</v>
      </c>
      <c r="E322" s="160">
        <f>VLOOKUP(C322,Stock_list!D:L,9,FALSE)</f>
        <v>44004</v>
      </c>
      <c r="F322" s="157" t="s">
        <v>2862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2749</v>
      </c>
      <c r="B323" s="114" t="str">
        <f>VLOOKUP(A323,'Data pick slip'!B:F,5,FALSE)</f>
        <v>KHJ-MC500-00</v>
      </c>
      <c r="C323" s="156">
        <v>109925</v>
      </c>
      <c r="D323" s="156" t="s">
        <v>2902</v>
      </c>
      <c r="E323" s="160">
        <v>44004</v>
      </c>
      <c r="F323" s="157" t="s">
        <v>2862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2750</v>
      </c>
      <c r="B324" s="114" t="str">
        <f>VLOOKUP(A324,'Data pick slip'!B:F,5,FALSE)</f>
        <v>KHJ-MC600-00</v>
      </c>
      <c r="C324" s="156">
        <v>109891</v>
      </c>
      <c r="D324" s="156" t="str">
        <f>VLOOKUP(C324,Stock_list!D:L,2,FALSE)</f>
        <v>Stock order</v>
      </c>
      <c r="E324" s="160">
        <f>VLOOKUP(C324,Stock_list!D:L,9,FALSE)</f>
        <v>44004</v>
      </c>
      <c r="F324" s="157" t="s">
        <v>2862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2744</v>
      </c>
      <c r="B325" s="114" t="str">
        <f>VLOOKUP(A325,'Data pick slip'!B:F,5,FALSE)</f>
        <v>KHJ-MC100-00</v>
      </c>
      <c r="D325" s="156"/>
      <c r="E325" s="160" t="s">
        <v>2903</v>
      </c>
      <c r="F325" s="157" t="s">
        <v>2773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2744</v>
      </c>
      <c r="B326" s="114" t="str">
        <f>VLOOKUP(A326,'Data pick slip'!B:F,5,FALSE)</f>
        <v>KHJ-MC100-00</v>
      </c>
      <c r="D326" s="156"/>
      <c r="E326" s="160" t="s">
        <v>2904</v>
      </c>
      <c r="F326" s="157" t="s">
        <v>2773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2749</v>
      </c>
      <c r="B327" s="114" t="str">
        <f>VLOOKUP(A327,'Data pick slip'!B:F,5,FALSE)</f>
        <v>KHJ-MC500-00</v>
      </c>
      <c r="D327" s="156"/>
      <c r="E327" s="160" t="s">
        <v>2904</v>
      </c>
      <c r="F327" s="157" t="s">
        <v>2773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2750</v>
      </c>
      <c r="B328" s="114" t="str">
        <f>VLOOKUP(A328,'Data pick slip'!B:F,5,FALSE)</f>
        <v>KHJ-MC600-00</v>
      </c>
      <c r="D328" s="156"/>
      <c r="E328" s="160" t="s">
        <v>2904</v>
      </c>
      <c r="F328" s="157" t="s">
        <v>2773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2747</v>
      </c>
      <c r="B329" s="114" t="str">
        <f>VLOOKUP(A329,'Data pick slip'!B:F,5,FALSE)</f>
        <v>KHJ-MC200-00</v>
      </c>
      <c r="D329" s="156"/>
      <c r="E329" s="160" t="s">
        <v>2905</v>
      </c>
      <c r="F329" s="157" t="s">
        <v>2773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2756</v>
      </c>
      <c r="B330" s="114" t="str">
        <f>VLOOKUP(A330,'Data pick slip'!B:F,5,FALSE)</f>
        <v>KLJ-MC200-00</v>
      </c>
      <c r="D330" s="156"/>
      <c r="E330" s="160" t="s">
        <v>2905</v>
      </c>
      <c r="F330" s="157" t="s">
        <v>2773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2748</v>
      </c>
      <c r="B331" s="114" t="str">
        <f>VLOOKUP(A331,'Data pick slip'!B:F,5,FALSE)</f>
        <v>KHJ-MC400-00</v>
      </c>
      <c r="D331" s="156"/>
      <c r="E331" s="160" t="s">
        <v>2905</v>
      </c>
      <c r="F331" s="157" t="s">
        <v>2773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2750</v>
      </c>
      <c r="B332" s="114" t="str">
        <f>VLOOKUP(A332,'Data pick slip'!B:F,5,FALSE)</f>
        <v>KHJ-MC600-00</v>
      </c>
      <c r="D332" s="156"/>
      <c r="E332" s="160" t="s">
        <v>2905</v>
      </c>
      <c r="F332" s="157" t="s">
        <v>2773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2744</v>
      </c>
      <c r="B333" s="114" t="str">
        <f>VLOOKUP(A333,'Data pick slip'!B:F,5,FALSE)</f>
        <v>KHJ-MC100-00</v>
      </c>
      <c r="D333" s="156"/>
      <c r="E333" s="160" t="s">
        <v>2906</v>
      </c>
      <c r="F333" s="157" t="s">
        <v>2773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2757</v>
      </c>
      <c r="B334" s="114" t="str">
        <f>VLOOKUP(A334,'Data pick slip'!B:F,5,FALSE)</f>
        <v>KLJ-MC400-00</v>
      </c>
      <c r="D334" s="156"/>
      <c r="E334" s="160" t="s">
        <v>2906</v>
      </c>
      <c r="F334" s="157" t="s">
        <v>2773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2744</v>
      </c>
      <c r="B335" s="114" t="str">
        <f>VLOOKUP(A335,'Data pick slip'!B:F,5,FALSE)</f>
        <v>KHJ-MC100-00</v>
      </c>
      <c r="C335" s="164" t="s">
        <v>2907</v>
      </c>
      <c r="D335" s="156" t="str">
        <f>VLOOKUP(C335,Stock_list!D:L,2,FALSE)</f>
        <v>Stock order</v>
      </c>
      <c r="E335" s="160">
        <f>VLOOKUP(C335,Stock_list!D:L,9,FALSE)</f>
        <v>44034</v>
      </c>
      <c r="F335" s="157" t="s">
        <v>2862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2747</v>
      </c>
      <c r="B336" s="114" t="str">
        <f>VLOOKUP(A336,'Data pick slip'!B:F,5,FALSE)</f>
        <v>KHJ-MC200-00</v>
      </c>
      <c r="C336" s="164" t="s">
        <v>2907</v>
      </c>
      <c r="D336" s="156" t="str">
        <f>VLOOKUP(C336,Stock_list!D:L,2,FALSE)</f>
        <v>Stock order</v>
      </c>
      <c r="E336" s="160">
        <f>VLOOKUP(C336,Stock_list!D:L,9,FALSE)</f>
        <v>44034</v>
      </c>
      <c r="F336" s="157" t="s">
        <v>2862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2748</v>
      </c>
      <c r="B337" s="114" t="str">
        <f>VLOOKUP(A337,'Data pick slip'!B:F,5,FALSE)</f>
        <v>KHJ-MC400-00</v>
      </c>
      <c r="C337" s="164" t="s">
        <v>2907</v>
      </c>
      <c r="D337" s="156" t="str">
        <f>VLOOKUP(C337,Stock_list!D:L,2,FALSE)</f>
        <v>Stock order</v>
      </c>
      <c r="E337" s="160">
        <f>VLOOKUP(C337,Stock_list!D:L,9,FALSE)</f>
        <v>44034</v>
      </c>
      <c r="F337" s="157" t="s">
        <v>2862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2749</v>
      </c>
      <c r="B338" s="114" t="str">
        <f>VLOOKUP(A338,'Data pick slip'!B:F,5,FALSE)</f>
        <v>KHJ-MC500-00</v>
      </c>
      <c r="C338" s="164" t="s">
        <v>2907</v>
      </c>
      <c r="D338" s="156" t="str">
        <f>VLOOKUP(C338,Stock_list!D:L,2,FALSE)</f>
        <v>Stock order</v>
      </c>
      <c r="E338" s="160">
        <f>VLOOKUP(C338,Stock_list!D:L,9,FALSE)</f>
        <v>44034</v>
      </c>
      <c r="F338" s="157" t="s">
        <v>2862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2747</v>
      </c>
      <c r="B339" s="114" t="str">
        <f>VLOOKUP(A339,'Data pick slip'!B:F,5,FALSE)</f>
        <v>KHJ-MC200-00</v>
      </c>
      <c r="D339" s="156"/>
      <c r="E339" s="160" t="s">
        <v>2908</v>
      </c>
      <c r="F339" s="157" t="s">
        <v>2773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2749</v>
      </c>
      <c r="B340" s="114" t="str">
        <f>VLOOKUP(A340,'Data pick slip'!B:F,5,FALSE)</f>
        <v>KHJ-MC500-00</v>
      </c>
      <c r="D340" s="156"/>
      <c r="E340" s="160" t="s">
        <v>2908</v>
      </c>
      <c r="F340" s="157" t="s">
        <v>2773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2760</v>
      </c>
      <c r="B341" s="114" t="str">
        <f>VLOOKUP(A341,'Data pick slip'!B:F,5,FALSE)</f>
        <v>KLJ-MC700-00</v>
      </c>
      <c r="D341" s="156"/>
      <c r="E341" s="160" t="s">
        <v>2908</v>
      </c>
      <c r="F341" s="157" t="s">
        <v>2773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2751</v>
      </c>
      <c r="B342" s="114" t="str">
        <f>VLOOKUP(A342,'Data pick slip'!B:F,5,FALSE)</f>
        <v>KHJ-MC700-00</v>
      </c>
      <c r="D342" s="156"/>
      <c r="E342" s="160" t="s">
        <v>2908</v>
      </c>
      <c r="F342" s="157" t="s">
        <v>2773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2744</v>
      </c>
      <c r="B343" s="114" t="str">
        <f>VLOOKUP(A343,'Data pick slip'!B:F,5,FALSE)</f>
        <v>KHJ-MC100-00</v>
      </c>
      <c r="C343" s="156">
        <v>109924</v>
      </c>
      <c r="D343" s="156" t="str">
        <f>VLOOKUP(C343,Stock_list!D:L,2,FALSE)</f>
        <v>Stock order</v>
      </c>
      <c r="E343" s="160">
        <f>VLOOKUP(C343,Stock_list!D:L,9,FALSE)</f>
        <v>44034</v>
      </c>
      <c r="F343" s="157" t="s">
        <v>2862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2747</v>
      </c>
      <c r="B344" s="114" t="str">
        <f>VLOOKUP(A344,'Data pick slip'!B:F,5,FALSE)</f>
        <v>KHJ-MC200-00</v>
      </c>
      <c r="C344" s="156">
        <v>109924</v>
      </c>
      <c r="D344" s="156" t="str">
        <f>VLOOKUP(C344,Stock_list!D:L,2,FALSE)</f>
        <v>Stock order</v>
      </c>
      <c r="E344" s="160">
        <f>VLOOKUP(C344,Stock_list!D:L,9,FALSE)</f>
        <v>44034</v>
      </c>
      <c r="F344" s="157" t="s">
        <v>2862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2748</v>
      </c>
      <c r="B345" s="114" t="str">
        <f>VLOOKUP(A345,'Data pick slip'!B:F,5,FALSE)</f>
        <v>KHJ-MC400-00</v>
      </c>
      <c r="C345" s="156">
        <v>109924</v>
      </c>
      <c r="D345" s="156" t="str">
        <f>VLOOKUP(C345,Stock_list!D:L,2,FALSE)</f>
        <v>Stock order</v>
      </c>
      <c r="E345" s="160">
        <f>VLOOKUP(C345,Stock_list!D:L,9,FALSE)</f>
        <v>44034</v>
      </c>
      <c r="F345" s="157" t="s">
        <v>2862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2749</v>
      </c>
      <c r="B346" s="114" t="str">
        <f>VLOOKUP(A346,'Data pick slip'!B:F,5,FALSE)</f>
        <v>KHJ-MC500-00</v>
      </c>
      <c r="C346" s="156">
        <v>109924</v>
      </c>
      <c r="D346" s="156" t="str">
        <f>VLOOKUP(C346,Stock_list!D:L,2,FALSE)</f>
        <v>Stock order</v>
      </c>
      <c r="E346" s="160">
        <f>VLOOKUP(C346,Stock_list!D:L,9,FALSE)</f>
        <v>44034</v>
      </c>
      <c r="F346" s="157" t="s">
        <v>2862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2750</v>
      </c>
      <c r="B347" s="114" t="str">
        <f>VLOOKUP(A347,'Data pick slip'!B:F,5,FALSE)</f>
        <v>KHJ-MC600-00</v>
      </c>
      <c r="C347" s="156">
        <v>109924</v>
      </c>
      <c r="D347" s="156" t="str">
        <f>VLOOKUP(C347,Stock_list!D:L,2,FALSE)</f>
        <v>Stock order</v>
      </c>
      <c r="E347" s="160">
        <f>VLOOKUP(C347,Stock_list!D:L,9,FALSE)</f>
        <v>44034</v>
      </c>
      <c r="F347" s="157" t="s">
        <v>2862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2744</v>
      </c>
      <c r="B348" s="114" t="str">
        <f>VLOOKUP(A348,'Data pick slip'!B:F,5,FALSE)</f>
        <v>KHJ-MC100-00</v>
      </c>
      <c r="C348" s="156">
        <v>109933</v>
      </c>
      <c r="D348" s="156" t="str">
        <f>VLOOKUP(C348,Stock_list!D:L,2,FALSE)</f>
        <v>智序名义下单</v>
      </c>
      <c r="E348" s="160">
        <f>VLOOKUP(C348,Stock_list!D:L,9,FALSE)</f>
        <v>44055</v>
      </c>
      <c r="F348" s="157" t="s">
        <v>2862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2744</v>
      </c>
      <c r="B349" s="114" t="str">
        <f>VLOOKUP(A349,'Data pick slip'!B:F,5,FALSE)</f>
        <v>KHJ-MC100-00</v>
      </c>
      <c r="D349" s="156"/>
      <c r="E349" s="160" t="s">
        <v>2909</v>
      </c>
      <c r="F349" s="157" t="s">
        <v>2773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2747</v>
      </c>
      <c r="B350" s="114" t="str">
        <f>VLOOKUP(A350,'Data pick slip'!B:F,5,FALSE)</f>
        <v>KHJ-MC200-00</v>
      </c>
      <c r="D350" s="156"/>
      <c r="E350" s="160" t="s">
        <v>2909</v>
      </c>
      <c r="F350" s="157" t="s">
        <v>2773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2748</v>
      </c>
      <c r="B351" s="114" t="str">
        <f>VLOOKUP(A351,'Data pick slip'!B:F,5,FALSE)</f>
        <v>KHJ-MC400-00</v>
      </c>
      <c r="D351" s="156"/>
      <c r="E351" s="160" t="s">
        <v>2909</v>
      </c>
      <c r="F351" s="157" t="s">
        <v>2773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2750</v>
      </c>
      <c r="B352" s="114" t="str">
        <f>VLOOKUP(A352,'Data pick slip'!B:F,5,FALSE)</f>
        <v>KHJ-MC600-00</v>
      </c>
      <c r="D352" s="156"/>
      <c r="E352" s="160" t="s">
        <v>2909</v>
      </c>
      <c r="F352" s="157" t="s">
        <v>2773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2744</v>
      </c>
      <c r="B353" s="114" t="str">
        <f>VLOOKUP(A353,'Data pick slip'!B:F,5,FALSE)</f>
        <v>KHJ-MC100-00</v>
      </c>
      <c r="C353" s="156">
        <v>109954</v>
      </c>
      <c r="D353" s="156" t="str">
        <f>VLOOKUP(C353,Stock_list!D:L,2,FALSE)</f>
        <v>Stock order</v>
      </c>
      <c r="E353" s="160">
        <f>VLOOKUP(C353,Stock_list!D:L,9,FALSE)</f>
        <v>44090</v>
      </c>
      <c r="F353" s="157" t="s">
        <v>2862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2747</v>
      </c>
      <c r="B354" s="114" t="str">
        <f>VLOOKUP(A354,'Data pick slip'!B:F,5,FALSE)</f>
        <v>KHJ-MC200-00</v>
      </c>
      <c r="C354" s="156">
        <v>109954</v>
      </c>
      <c r="D354" s="156" t="str">
        <f>VLOOKUP(C354,Stock_list!D:L,2,FALSE)</f>
        <v>Stock order</v>
      </c>
      <c r="E354" s="160">
        <f>VLOOKUP(C354,Stock_list!D:L,9,FALSE)</f>
        <v>44090</v>
      </c>
      <c r="F354" s="157" t="s">
        <v>2862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2748</v>
      </c>
      <c r="B355" s="114" t="str">
        <f>VLOOKUP(A355,'Data pick slip'!B:F,5,FALSE)</f>
        <v>KHJ-MC400-00</v>
      </c>
      <c r="C355" s="156">
        <v>109954</v>
      </c>
      <c r="D355" s="156" t="str">
        <f>VLOOKUP(C355,Stock_list!D:L,2,FALSE)</f>
        <v>Stock order</v>
      </c>
      <c r="E355" s="160">
        <f>VLOOKUP(C355,Stock_list!D:L,9,FALSE)</f>
        <v>44090</v>
      </c>
      <c r="F355" s="157" t="s">
        <v>2862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2749</v>
      </c>
      <c r="B356" s="114" t="str">
        <f>VLOOKUP(A356,'Data pick slip'!B:F,5,FALSE)</f>
        <v>KHJ-MC500-00</v>
      </c>
      <c r="C356" s="156">
        <v>109954</v>
      </c>
      <c r="D356" s="156" t="str">
        <f>VLOOKUP(C356,Stock_list!D:L,2,FALSE)</f>
        <v>Stock order</v>
      </c>
      <c r="E356" s="160">
        <f>VLOOKUP(C356,Stock_list!D:L,9,FALSE)</f>
        <v>44090</v>
      </c>
      <c r="F356" s="157" t="s">
        <v>2862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2751</v>
      </c>
      <c r="B357" s="114" t="str">
        <f>VLOOKUP(A357,'Data pick slip'!B:F,5,FALSE)</f>
        <v>KHJ-MC700-00</v>
      </c>
      <c r="C357" s="156">
        <v>109954</v>
      </c>
      <c r="D357" s="156" t="str">
        <f>VLOOKUP(C357,Stock_list!D:L,2,FALSE)</f>
        <v>Stock order</v>
      </c>
      <c r="E357" s="160">
        <f>VLOOKUP(C357,Stock_list!D:L,9,FALSE)</f>
        <v>44090</v>
      </c>
      <c r="F357" s="157" t="s">
        <v>2862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2744</v>
      </c>
      <c r="B358" s="114" t="str">
        <f>VLOOKUP(A358,'Data pick slip'!B:F,5,FALSE)</f>
        <v>KHJ-MC100-00</v>
      </c>
      <c r="D358" s="156"/>
      <c r="E358" s="160" t="s">
        <v>2910</v>
      </c>
      <c r="F358" s="157" t="s">
        <v>2773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2747</v>
      </c>
      <c r="B359" s="114" t="str">
        <f>VLOOKUP(A359,'Data pick slip'!B:F,5,FALSE)</f>
        <v>KHJ-MC200-00</v>
      </c>
      <c r="D359" s="156"/>
      <c r="E359" s="160" t="s">
        <v>2910</v>
      </c>
      <c r="F359" s="157" t="s">
        <v>2773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2748</v>
      </c>
      <c r="B360" s="114" t="str">
        <f>VLOOKUP(A360,'Data pick slip'!B:F,5,FALSE)</f>
        <v>KHJ-MC400-00</v>
      </c>
      <c r="D360" s="156"/>
      <c r="E360" s="160" t="s">
        <v>2910</v>
      </c>
      <c r="F360" s="157" t="s">
        <v>2773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2749</v>
      </c>
      <c r="B361" s="114" t="str">
        <f>VLOOKUP(A361,'Data pick slip'!B:F,5,FALSE)</f>
        <v>KHJ-MC500-00</v>
      </c>
      <c r="D361" s="156"/>
      <c r="E361" s="160" t="s">
        <v>2910</v>
      </c>
      <c r="F361" s="157" t="s">
        <v>2773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2750</v>
      </c>
      <c r="B362" s="114" t="str">
        <f>VLOOKUP(A362,'Data pick slip'!B:F,5,FALSE)</f>
        <v>KHJ-MC600-00</v>
      </c>
      <c r="D362" s="156"/>
      <c r="E362" s="160" t="s">
        <v>2910</v>
      </c>
      <c r="F362" s="157" t="s">
        <v>2773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2754</v>
      </c>
      <c r="B363" s="114" t="str">
        <f>VLOOKUP(A363,'Data pick slip'!B:F,5,FALSE)</f>
        <v>KLJ-MCN00-20</v>
      </c>
      <c r="C363" s="156">
        <v>109956</v>
      </c>
      <c r="D363" s="156" t="s">
        <v>2911</v>
      </c>
      <c r="E363" s="160">
        <v>44018</v>
      </c>
      <c r="F363" s="157" t="s">
        <v>2862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2755</v>
      </c>
      <c r="B364" s="114" t="str">
        <f>VLOOKUP(A364,'Data pick slip'!B:F,5,FALSE)</f>
        <v>KLJ-MC100-00</v>
      </c>
      <c r="C364" s="156">
        <v>109956</v>
      </c>
      <c r="D364" s="156" t="s">
        <v>2911</v>
      </c>
      <c r="E364" s="160">
        <v>44018</v>
      </c>
      <c r="F364" s="157" t="s">
        <v>2862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2744</v>
      </c>
      <c r="B365" s="114" t="str">
        <f>VLOOKUP(A365,'Data pick slip'!B:F,5,FALSE)</f>
        <v>KHJ-MC100-00</v>
      </c>
      <c r="C365" s="156">
        <v>109957</v>
      </c>
      <c r="D365" s="156" t="str">
        <f>VLOOKUP(C365,Stock_list!D:L,2,FALSE)</f>
        <v>Stock order</v>
      </c>
      <c r="E365" s="160">
        <f>VLOOKUP(C365,Stock_list!D:L,9,FALSE)</f>
        <v>44064</v>
      </c>
      <c r="F365" s="157" t="s">
        <v>2862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2747</v>
      </c>
      <c r="B366" s="114" t="str">
        <f>VLOOKUP(A366,'Data pick slip'!B:F,5,FALSE)</f>
        <v>KHJ-MC200-00</v>
      </c>
      <c r="C366" s="156">
        <v>109957</v>
      </c>
      <c r="D366" s="156" t="str">
        <f>VLOOKUP(C366,Stock_list!D:L,2,FALSE)</f>
        <v>Stock order</v>
      </c>
      <c r="E366" s="160">
        <f>VLOOKUP(C366,Stock_list!D:L,9,FALSE)</f>
        <v>44064</v>
      </c>
      <c r="F366" s="157" t="s">
        <v>2862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2748</v>
      </c>
      <c r="B367" s="114" t="str">
        <f>VLOOKUP(A367,'Data pick slip'!B:F,5,FALSE)</f>
        <v>KHJ-MC400-00</v>
      </c>
      <c r="C367" s="156">
        <v>109957</v>
      </c>
      <c r="D367" s="156" t="str">
        <f>VLOOKUP(C367,Stock_list!D:L,2,FALSE)</f>
        <v>Stock order</v>
      </c>
      <c r="E367" s="160">
        <f>VLOOKUP(C367,Stock_list!D:L,9,FALSE)</f>
        <v>44064</v>
      </c>
      <c r="F367" s="157" t="s">
        <v>2862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2749</v>
      </c>
      <c r="B368" s="114" t="str">
        <f>VLOOKUP(A368,'Data pick slip'!B:F,5,FALSE)</f>
        <v>KHJ-MC500-00</v>
      </c>
      <c r="C368" s="156">
        <v>109957</v>
      </c>
      <c r="D368" s="156" t="str">
        <f>VLOOKUP(C368,Stock_list!D:L,2,FALSE)</f>
        <v>Stock order</v>
      </c>
      <c r="E368" s="160">
        <f>VLOOKUP(C368,Stock_list!D:L,9,FALSE)</f>
        <v>44064</v>
      </c>
      <c r="F368" s="157" t="s">
        <v>2862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2750</v>
      </c>
      <c r="B369" s="114" t="str">
        <f>VLOOKUP(A369,'Data pick slip'!B:F,5,FALSE)</f>
        <v>KHJ-MC600-00</v>
      </c>
      <c r="C369" s="156">
        <v>109957</v>
      </c>
      <c r="D369" s="156" t="str">
        <f>VLOOKUP(C369,Stock_list!D:L,2,FALSE)</f>
        <v>Stock order</v>
      </c>
      <c r="E369" s="160">
        <f>VLOOKUP(C369,Stock_list!D:L,9,FALSE)</f>
        <v>44064</v>
      </c>
      <c r="F369" s="157" t="s">
        <v>2862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2744</v>
      </c>
      <c r="B370" s="114" t="str">
        <f>VLOOKUP(A370,'Data pick slip'!B:F,5,FALSE)</f>
        <v>KHJ-MC100-00</v>
      </c>
      <c r="D370" s="156"/>
      <c r="E370" s="160" t="s">
        <v>2912</v>
      </c>
      <c r="F370" s="157" t="s">
        <v>2773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2749</v>
      </c>
      <c r="B371" s="114" t="str">
        <f>VLOOKUP(A371,'Data pick slip'!B:F,5,FALSE)</f>
        <v>KHJ-MC500-00</v>
      </c>
      <c r="D371" s="156"/>
      <c r="E371" s="160" t="s">
        <v>2912</v>
      </c>
      <c r="F371" s="157" t="s">
        <v>2773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2744</v>
      </c>
      <c r="B372" s="114" t="str">
        <f>VLOOKUP(A372,'Data pick slip'!B:F,5,FALSE)</f>
        <v>KHJ-MC100-00</v>
      </c>
      <c r="D372" s="156"/>
      <c r="E372" s="160" t="s">
        <v>2913</v>
      </c>
      <c r="F372" s="157" t="s">
        <v>2773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2744</v>
      </c>
      <c r="B373" s="114" t="str">
        <f>VLOOKUP(A373,'Data pick slip'!B:F,5,FALSE)</f>
        <v>KHJ-MC100-00</v>
      </c>
      <c r="C373" s="156">
        <v>109977</v>
      </c>
      <c r="D373" s="156" t="str">
        <f>VLOOKUP(C373,Stock_list!D:L,2,FALSE)</f>
        <v>Stock order</v>
      </c>
      <c r="E373" s="160">
        <f>VLOOKUP(C373,Stock_list!D:L,9,FALSE)</f>
        <v>44099</v>
      </c>
      <c r="F373" s="157" t="s">
        <v>2862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2747</v>
      </c>
      <c r="B374" s="114" t="str">
        <f>VLOOKUP(A374,'Data pick slip'!B:F,5,FALSE)</f>
        <v>KHJ-MC200-00</v>
      </c>
      <c r="C374" s="156">
        <v>109977</v>
      </c>
      <c r="D374" s="156" t="str">
        <f>VLOOKUP(C374,Stock_list!D:L,2,FALSE)</f>
        <v>Stock order</v>
      </c>
      <c r="E374" s="160">
        <f>VLOOKUP(C374,Stock_list!D:L,9,FALSE)</f>
        <v>44099</v>
      </c>
      <c r="F374" s="157" t="s">
        <v>2862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2755</v>
      </c>
      <c r="B375" s="114" t="str">
        <f>VLOOKUP(A375,'Data pick slip'!B:F,5,FALSE)</f>
        <v>KLJ-MC100-00</v>
      </c>
      <c r="C375" s="156">
        <v>109980</v>
      </c>
      <c r="D375" s="156" t="str">
        <f>VLOOKUP(C375,Stock_list!D:L,2,FALSE)</f>
        <v>德劲名义下单</v>
      </c>
      <c r="E375" s="160">
        <f>VLOOKUP(C375,Stock_list!D:L,9,FALSE)</f>
        <v>44097</v>
      </c>
      <c r="F375" s="157" t="s">
        <v>2862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2748</v>
      </c>
      <c r="B376" s="114" t="str">
        <f>VLOOKUP(A376,'Data pick slip'!B:F,5,FALSE)</f>
        <v>KHJ-MC400-00</v>
      </c>
      <c r="D376" s="156"/>
      <c r="E376" s="160" t="s">
        <v>2914</v>
      </c>
      <c r="F376" s="157" t="s">
        <v>2773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2754</v>
      </c>
      <c r="B377" s="114" t="str">
        <f>VLOOKUP(A377,'Data pick slip'!B:F,5,FALSE)</f>
        <v>KLJ-MCN00-20</v>
      </c>
      <c r="D377" s="156"/>
      <c r="E377" s="160" t="s">
        <v>2914</v>
      </c>
      <c r="F377" s="157" t="s">
        <v>2773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2755</v>
      </c>
      <c r="B378" s="114" t="str">
        <f>VLOOKUP(A378,'Data pick slip'!B:F,5,FALSE)</f>
        <v>KLJ-MC100-00</v>
      </c>
      <c r="D378" s="156"/>
      <c r="E378" s="160" t="s">
        <v>2914</v>
      </c>
      <c r="F378" s="157" t="s">
        <v>2773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2744</v>
      </c>
      <c r="B379" s="114" t="str">
        <f>VLOOKUP(A379,'Data pick slip'!B:F,5,FALSE)</f>
        <v>KHJ-MC100-00</v>
      </c>
      <c r="C379" s="156">
        <v>109992</v>
      </c>
      <c r="D379" s="156" t="str">
        <f>VLOOKUP(C379,Stock_list!D:L,2,FALSE)</f>
        <v>Stock order</v>
      </c>
      <c r="E379" s="160">
        <f>VLOOKUP(C379,Stock_list!D:L,9,FALSE)</f>
        <v>44137</v>
      </c>
      <c r="F379" s="157" t="s">
        <v>2862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2747</v>
      </c>
      <c r="B380" s="114" t="str">
        <f>VLOOKUP(A380,'Data pick slip'!B:F,5,FALSE)</f>
        <v>KHJ-MC200-00</v>
      </c>
      <c r="C380" s="156">
        <v>109992</v>
      </c>
      <c r="D380" s="156" t="str">
        <f>VLOOKUP(C380,Stock_list!D:L,2,FALSE)</f>
        <v>Stock order</v>
      </c>
      <c r="E380" s="160">
        <f>VLOOKUP(C380,Stock_list!D:L,9,FALSE)</f>
        <v>44137</v>
      </c>
      <c r="F380" s="157" t="s">
        <v>2862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2744</v>
      </c>
      <c r="B381" s="114" t="str">
        <f>VLOOKUP(A381,'Data pick slip'!B:F,5,FALSE)</f>
        <v>KHJ-MC100-00</v>
      </c>
      <c r="C381" s="156">
        <v>109995</v>
      </c>
      <c r="D381" s="156" t="str">
        <f>VLOOKUP(C381,Stock_list!D:L,2,FALSE)</f>
        <v>瑞福联名义</v>
      </c>
      <c r="E381" s="160">
        <f>VLOOKUP(C381,Stock_list!D:L,9,FALSE)</f>
        <v>44126</v>
      </c>
      <c r="F381" s="157" t="s">
        <v>2862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2747</v>
      </c>
      <c r="B382" s="114" t="str">
        <f>VLOOKUP(A382,'Data pick slip'!B:F,5,FALSE)</f>
        <v>KHJ-MC200-00</v>
      </c>
      <c r="C382" s="156">
        <v>109995</v>
      </c>
      <c r="D382" s="156" t="str">
        <f>VLOOKUP(C382,Stock_list!D:L,2,FALSE)</f>
        <v>瑞福联名义</v>
      </c>
      <c r="E382" s="160">
        <f>VLOOKUP(C382,Stock_list!D:L,9,FALSE)</f>
        <v>44126</v>
      </c>
      <c r="F382" s="157" t="s">
        <v>2862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2748</v>
      </c>
      <c r="B383" s="114" t="str">
        <f>VLOOKUP(A383,'Data pick slip'!B:F,5,FALSE)</f>
        <v>KHJ-MC400-00</v>
      </c>
      <c r="C383" s="156">
        <v>109995</v>
      </c>
      <c r="D383" s="156" t="str">
        <f>VLOOKUP(C383,Stock_list!D:L,2,FALSE)</f>
        <v>瑞福联名义</v>
      </c>
      <c r="E383" s="160">
        <f>VLOOKUP(C383,Stock_list!D:L,9,FALSE)</f>
        <v>44126</v>
      </c>
      <c r="F383" s="157" t="s">
        <v>2862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2749</v>
      </c>
      <c r="B384" s="114" t="str">
        <f>VLOOKUP(A384,'Data pick slip'!B:F,5,FALSE)</f>
        <v>KHJ-MC500-00</v>
      </c>
      <c r="C384" s="165">
        <v>109995</v>
      </c>
      <c r="D384" s="165" t="str">
        <f>VLOOKUP(C384,Stock_list!D:L,2,FALSE)</f>
        <v>瑞福联名义</v>
      </c>
      <c r="E384" s="302">
        <f>VLOOKUP(C384,Stock_list!D:L,9,FALSE)</f>
        <v>44126</v>
      </c>
      <c r="F384" s="166" t="s">
        <v>2862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2750</v>
      </c>
      <c r="B385" s="114" t="str">
        <f>VLOOKUP(A385,'Data pick slip'!B:F,5,FALSE)</f>
        <v>KHJ-MC600-00</v>
      </c>
      <c r="C385" s="168" t="s">
        <v>2915</v>
      </c>
      <c r="D385" s="156" t="s">
        <v>2916</v>
      </c>
      <c r="E385" s="160">
        <v>44126</v>
      </c>
      <c r="F385" s="157" t="s">
        <v>2862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2744</v>
      </c>
      <c r="B386" s="114" t="str">
        <f>VLOOKUP(A386,'Data pick slip'!B:F,5,FALSE)</f>
        <v>KHJ-MC100-00</v>
      </c>
      <c r="C386" s="156">
        <v>110025</v>
      </c>
      <c r="D386" s="156" t="str">
        <f>VLOOKUP(C386,Stock_list!D:L,2,FALSE)</f>
        <v>Stock order</v>
      </c>
      <c r="E386" s="160">
        <f>VLOOKUP(C386,Stock_list!D:L,9,FALSE)</f>
        <v>44142</v>
      </c>
      <c r="F386" s="157" t="s">
        <v>2862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2747</v>
      </c>
      <c r="B387" s="114" t="str">
        <f>VLOOKUP(A387,'Data pick slip'!B:F,5,FALSE)</f>
        <v>KHJ-MC200-00</v>
      </c>
      <c r="C387" s="156">
        <v>110025</v>
      </c>
      <c r="D387" s="156" t="str">
        <f>VLOOKUP(C387,Stock_list!D:L,2,FALSE)</f>
        <v>Stock order</v>
      </c>
      <c r="E387" s="160">
        <f>VLOOKUP(C387,Stock_list!D:L,9,FALSE)</f>
        <v>44142</v>
      </c>
      <c r="F387" s="157" t="s">
        <v>2862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2744</v>
      </c>
      <c r="B388" s="114" t="str">
        <f>VLOOKUP(A388,'Data pick slip'!B:F,5,FALSE)</f>
        <v>KHJ-MC100-00</v>
      </c>
      <c r="C388" s="156">
        <v>110026</v>
      </c>
      <c r="D388" s="156" t="str">
        <f>VLOOKUP(C388,Stock_list!D:L,2,FALSE)</f>
        <v>Stock order</v>
      </c>
      <c r="E388" s="160">
        <f>VLOOKUP(C388,Stock_list!D:L,9,FALSE)</f>
        <v>44161</v>
      </c>
      <c r="F388" s="157" t="s">
        <v>2862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2748</v>
      </c>
      <c r="B389" s="114" t="str">
        <f>VLOOKUP(A389,'Data pick slip'!B:F,5,FALSE)</f>
        <v>KHJ-MC400-00</v>
      </c>
      <c r="C389" s="156">
        <v>110026</v>
      </c>
      <c r="D389" s="156" t="str">
        <f>VLOOKUP(C389,Stock_list!D:L,2,FALSE)</f>
        <v>Stock order</v>
      </c>
      <c r="E389" s="160">
        <f>VLOOKUP(C389,Stock_list!D:L,9,FALSE)</f>
        <v>44161</v>
      </c>
      <c r="F389" s="157" t="s">
        <v>2862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2749</v>
      </c>
      <c r="B390" s="114" t="str">
        <f>VLOOKUP(A390,'Data pick slip'!B:F,5,FALSE)</f>
        <v>KHJ-MC500-00</v>
      </c>
      <c r="C390" s="156">
        <v>110026</v>
      </c>
      <c r="D390" s="156" t="str">
        <f>VLOOKUP(C390,Stock_list!D:L,2,FALSE)</f>
        <v>Stock order</v>
      </c>
      <c r="E390" s="160">
        <f>VLOOKUP(C390,Stock_list!D:L,9,FALSE)</f>
        <v>44161</v>
      </c>
      <c r="F390" s="157" t="s">
        <v>2862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2751</v>
      </c>
      <c r="B391" s="114" t="str">
        <f>VLOOKUP(A391,'Data pick slip'!B:F,5,FALSE)</f>
        <v>KHJ-MC700-00</v>
      </c>
      <c r="C391" s="156">
        <v>110026</v>
      </c>
      <c r="D391" s="156" t="str">
        <f>VLOOKUP(C391,Stock_list!D:L,2,FALSE)</f>
        <v>Stock order</v>
      </c>
      <c r="E391" s="160">
        <f>VLOOKUP(C391,Stock_list!D:L,9,FALSE)</f>
        <v>44161</v>
      </c>
      <c r="F391" s="157" t="s">
        <v>2862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2744</v>
      </c>
      <c r="B392" s="114" t="str">
        <f>VLOOKUP(A392,'Data pick slip'!B:F,5,FALSE)</f>
        <v>KHJ-MC100-00</v>
      </c>
      <c r="D392" s="156"/>
      <c r="E392" s="160" t="s">
        <v>2917</v>
      </c>
      <c r="F392" s="157" t="s">
        <v>2773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2747</v>
      </c>
      <c r="B393" s="114" t="str">
        <f>VLOOKUP(A393,'Data pick slip'!B:F,5,FALSE)</f>
        <v>KHJ-MC200-00</v>
      </c>
      <c r="D393" s="156"/>
      <c r="E393" s="160" t="s">
        <v>2917</v>
      </c>
      <c r="F393" s="157" t="s">
        <v>2773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2748</v>
      </c>
      <c r="B394" s="114" t="str">
        <f>VLOOKUP(A394,'Data pick slip'!B:F,5,FALSE)</f>
        <v>KHJ-MC400-00</v>
      </c>
      <c r="D394" s="156"/>
      <c r="E394" s="160" t="s">
        <v>2917</v>
      </c>
      <c r="F394" s="157" t="s">
        <v>2773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2749</v>
      </c>
      <c r="B395" s="114" t="str">
        <f>VLOOKUP(A395,'Data pick slip'!B:F,5,FALSE)</f>
        <v>KHJ-MC500-00</v>
      </c>
      <c r="D395" s="156"/>
      <c r="E395" s="160" t="s">
        <v>2917</v>
      </c>
      <c r="F395" s="157" t="s">
        <v>2773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2744</v>
      </c>
      <c r="B396" s="114" t="str">
        <f>VLOOKUP(A396,'Data pick slip'!B:F,5,FALSE)</f>
        <v>KHJ-MC100-00</v>
      </c>
      <c r="D396" s="156"/>
      <c r="E396" s="160" t="s">
        <v>2918</v>
      </c>
      <c r="F396" s="157" t="s">
        <v>2773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2744</v>
      </c>
      <c r="B397" s="114" t="str">
        <f>VLOOKUP(A397,'Data pick slip'!B:F,5,FALSE)</f>
        <v>KHJ-MC100-00</v>
      </c>
      <c r="C397" s="156">
        <v>110048</v>
      </c>
      <c r="D397" s="156" t="str">
        <f>VLOOKUP(C397,Stock_list!D:L,2,FALSE)</f>
        <v>斯迈名义下单</v>
      </c>
      <c r="E397" s="160">
        <f>VLOOKUP(C397,Stock_list!D:L,9,FALSE)</f>
        <v>44126</v>
      </c>
      <c r="F397" s="157" t="s">
        <v>2862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2748</v>
      </c>
      <c r="B398" s="114" t="str">
        <f>VLOOKUP(A398,'Data pick slip'!B:F,5,FALSE)</f>
        <v>KHJ-MC400-00</v>
      </c>
      <c r="C398" s="156">
        <v>110048</v>
      </c>
      <c r="D398" s="156" t="str">
        <f>VLOOKUP(C398,Stock_list!D:L,2,FALSE)</f>
        <v>斯迈名义下单</v>
      </c>
      <c r="E398" s="160">
        <f>VLOOKUP(C398,Stock_list!D:L,9,FALSE)</f>
        <v>44126</v>
      </c>
      <c r="F398" s="157" t="s">
        <v>2862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2751</v>
      </c>
      <c r="B399" s="114" t="str">
        <f>VLOOKUP(A399,'Data pick slip'!B:F,5,FALSE)</f>
        <v>KHJ-MC700-00</v>
      </c>
      <c r="C399" s="156">
        <v>110048</v>
      </c>
      <c r="D399" s="156" t="str">
        <f>VLOOKUP(C399,Stock_list!D:L,2,FALSE)</f>
        <v>斯迈名义下单</v>
      </c>
      <c r="E399" s="160">
        <f>VLOOKUP(C399,Stock_list!D:L,9,FALSE)</f>
        <v>44126</v>
      </c>
      <c r="F399" s="157" t="s">
        <v>2862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2744</v>
      </c>
      <c r="B400" s="114" t="str">
        <f>VLOOKUP(A400,'Data pick slip'!B:F,5,FALSE)</f>
        <v>KHJ-MC100-00</v>
      </c>
      <c r="C400" s="156">
        <v>110049</v>
      </c>
      <c r="D400" s="156" t="str">
        <f>VLOOKUP(C400,Stock_list!D:L,2,FALSE)</f>
        <v>博睿通名义下单</v>
      </c>
      <c r="E400" s="160">
        <f>VLOOKUP(C400,Stock_list!D:L,9,FALSE)</f>
        <v>44142</v>
      </c>
      <c r="F400" s="157" t="s">
        <v>2862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2747</v>
      </c>
      <c r="B401" s="114" t="str">
        <f>VLOOKUP(A401,'Data pick slip'!B:F,5,FALSE)</f>
        <v>KHJ-MC200-00</v>
      </c>
      <c r="C401" s="156">
        <v>110049</v>
      </c>
      <c r="D401" s="156" t="str">
        <f>VLOOKUP(C401,Stock_list!D:L,2,FALSE)</f>
        <v>博睿通名义下单</v>
      </c>
      <c r="E401" s="160">
        <f>VLOOKUP(C401,Stock_list!D:L,9,FALSE)</f>
        <v>44142</v>
      </c>
      <c r="F401" s="157" t="s">
        <v>2862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2748</v>
      </c>
      <c r="B402" s="114" t="str">
        <f>VLOOKUP(A402,'Data pick slip'!B:F,5,FALSE)</f>
        <v>KHJ-MC400-00</v>
      </c>
      <c r="C402" s="156">
        <v>110049</v>
      </c>
      <c r="D402" s="156" t="str">
        <f>VLOOKUP(C402,Stock_list!D:L,2,FALSE)</f>
        <v>博睿通名义下单</v>
      </c>
      <c r="E402" s="160">
        <f>VLOOKUP(C402,Stock_list!D:L,9,FALSE)</f>
        <v>44142</v>
      </c>
      <c r="F402" s="157" t="s">
        <v>2862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2749</v>
      </c>
      <c r="B403" s="114" t="str">
        <f>VLOOKUP(A403,'Data pick slip'!B:F,5,FALSE)</f>
        <v>KHJ-MC500-00</v>
      </c>
      <c r="C403" s="156">
        <v>110049</v>
      </c>
      <c r="D403" s="156" t="str">
        <f>VLOOKUP(C403,Stock_list!D:L,2,FALSE)</f>
        <v>博睿通名义下单</v>
      </c>
      <c r="E403" s="160">
        <f>VLOOKUP(C403,Stock_list!D:L,9,FALSE)</f>
        <v>44142</v>
      </c>
      <c r="F403" s="157" t="s">
        <v>2862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2750</v>
      </c>
      <c r="B404" s="114" t="str">
        <f>VLOOKUP(A404,'Data pick slip'!B:F,5,FALSE)</f>
        <v>KHJ-MC600-00</v>
      </c>
      <c r="C404" s="156">
        <v>110049</v>
      </c>
      <c r="D404" s="156" t="str">
        <f>VLOOKUP(C404,Stock_list!D:L,2,FALSE)</f>
        <v>博睿通名义下单</v>
      </c>
      <c r="E404" s="160">
        <f>VLOOKUP(C404,Stock_list!D:L,9,FALSE)</f>
        <v>44142</v>
      </c>
      <c r="F404" s="157" t="s">
        <v>2862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2744</v>
      </c>
      <c r="B405" s="114" t="str">
        <f>VLOOKUP(A405,'Data pick slip'!B:F,5,FALSE)</f>
        <v>KHJ-MC100-00</v>
      </c>
      <c r="C405" s="156">
        <v>110050</v>
      </c>
      <c r="D405" s="156" t="str">
        <f>VLOOKUP(C405,Stock_list!D:L,2,FALSE)</f>
        <v>博睿通名义下单</v>
      </c>
      <c r="E405" s="160">
        <f>VLOOKUP(C405,Stock_list!D:L,9,FALSE)</f>
        <v>44149</v>
      </c>
      <c r="F405" s="157" t="s">
        <v>2862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2747</v>
      </c>
      <c r="B406" s="114" t="str">
        <f>VLOOKUP(A406,'Data pick slip'!B:F,5,FALSE)</f>
        <v>KHJ-MC200-00</v>
      </c>
      <c r="C406" s="156">
        <v>110050</v>
      </c>
      <c r="D406" s="156" t="str">
        <f>VLOOKUP(C406,Stock_list!D:L,2,FALSE)</f>
        <v>博睿通名义下单</v>
      </c>
      <c r="E406" s="160">
        <f>VLOOKUP(C406,Stock_list!D:L,9,FALSE)</f>
        <v>44149</v>
      </c>
      <c r="F406" s="157" t="s">
        <v>2862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2748</v>
      </c>
      <c r="B407" s="114" t="str">
        <f>VLOOKUP(A407,'Data pick slip'!B:F,5,FALSE)</f>
        <v>KHJ-MC400-00</v>
      </c>
      <c r="C407" s="156">
        <v>110050</v>
      </c>
      <c r="D407" s="156" t="str">
        <f>VLOOKUP(C407,Stock_list!D:L,2,FALSE)</f>
        <v>博睿通名义下单</v>
      </c>
      <c r="E407" s="160">
        <f>VLOOKUP(C407,Stock_list!D:L,9,FALSE)</f>
        <v>44149</v>
      </c>
      <c r="F407" s="157" t="s">
        <v>2862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2749</v>
      </c>
      <c r="B408" s="114" t="str">
        <f>VLOOKUP(A408,'Data pick slip'!B:F,5,FALSE)</f>
        <v>KHJ-MC500-00</v>
      </c>
      <c r="C408" s="156">
        <v>110050</v>
      </c>
      <c r="D408" s="156" t="str">
        <f>VLOOKUP(C408,Stock_list!D:L,2,FALSE)</f>
        <v>博睿通名义下单</v>
      </c>
      <c r="E408" s="160">
        <f>VLOOKUP(C408,Stock_list!D:L,9,FALSE)</f>
        <v>44149</v>
      </c>
      <c r="F408" s="157" t="s">
        <v>2862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2750</v>
      </c>
      <c r="B409" s="114" t="str">
        <f>VLOOKUP(A409,'Data pick slip'!B:F,5,FALSE)</f>
        <v>KHJ-MC600-00</v>
      </c>
      <c r="C409" s="156">
        <v>110050</v>
      </c>
      <c r="D409" s="156" t="str">
        <f>VLOOKUP(C409,Stock_list!D:L,2,FALSE)</f>
        <v>博睿通名义下单</v>
      </c>
      <c r="E409" s="160">
        <f>VLOOKUP(C409,Stock_list!D:L,9,FALSE)</f>
        <v>44149</v>
      </c>
      <c r="F409" s="157" t="s">
        <v>2862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2744</v>
      </c>
      <c r="B410" s="114" t="str">
        <f>VLOOKUP(A410,'Data pick slip'!B:F,5,FALSE)</f>
        <v>KHJ-MC100-00</v>
      </c>
      <c r="C410" s="169"/>
      <c r="D410" s="156"/>
      <c r="E410" s="160" t="s">
        <v>2919</v>
      </c>
      <c r="F410" s="170" t="s">
        <v>2773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2747</v>
      </c>
      <c r="B411" s="114" t="str">
        <f>VLOOKUP(A411,'Data pick slip'!B:F,5,FALSE)</f>
        <v>KHJ-MC200-00</v>
      </c>
      <c r="C411" s="169"/>
      <c r="D411" s="156"/>
      <c r="E411" s="160" t="s">
        <v>2919</v>
      </c>
      <c r="F411" s="170" t="s">
        <v>2773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2744</v>
      </c>
      <c r="B412" s="114" t="str">
        <f>VLOOKUP(A412,'Data pick slip'!B:F,5,FALSE)</f>
        <v>KHJ-MC100-00</v>
      </c>
      <c r="C412" s="169">
        <v>110066</v>
      </c>
      <c r="D412" s="156" t="str">
        <f>VLOOKUP(C412,Stock_list!D:L,2,FALSE)</f>
        <v>Stock order</v>
      </c>
      <c r="E412" s="160">
        <f>VLOOKUP(C412,Stock_list!D:L,9,FALSE)</f>
        <v>44200</v>
      </c>
      <c r="F412" s="157" t="s">
        <v>1381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2744</v>
      </c>
      <c r="B413" s="114" t="str">
        <f>VLOOKUP(A413,'Data pick slip'!B:F,5,FALSE)</f>
        <v>KHJ-MC100-00</v>
      </c>
      <c r="C413" s="169"/>
      <c r="D413" s="156"/>
      <c r="E413" s="160" t="s">
        <v>2920</v>
      </c>
      <c r="F413" s="170" t="s">
        <v>2773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2747</v>
      </c>
      <c r="B414" s="114" t="str">
        <f>VLOOKUP(A414,'Data pick slip'!B:F,5,FALSE)</f>
        <v>KHJ-MC200-00</v>
      </c>
      <c r="C414" s="169"/>
      <c r="D414" s="156"/>
      <c r="E414" s="160" t="s">
        <v>2920</v>
      </c>
      <c r="F414" s="170" t="s">
        <v>2773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2748</v>
      </c>
      <c r="B415" s="114" t="str">
        <f>VLOOKUP(A415,'Data pick slip'!B:F,5,FALSE)</f>
        <v>KHJ-MC400-00</v>
      </c>
      <c r="C415" s="169"/>
      <c r="D415" s="156"/>
      <c r="E415" s="160" t="s">
        <v>2920</v>
      </c>
      <c r="F415" s="170" t="s">
        <v>2773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2749</v>
      </c>
      <c r="B416" s="114" t="str">
        <f>VLOOKUP(A416,'Data pick slip'!B:F,5,FALSE)</f>
        <v>KHJ-MC500-00</v>
      </c>
      <c r="C416" s="169"/>
      <c r="D416" s="156"/>
      <c r="E416" s="160" t="s">
        <v>2920</v>
      </c>
      <c r="F416" s="170" t="s">
        <v>2773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2750</v>
      </c>
      <c r="B417" s="114" t="str">
        <f>VLOOKUP(A417,'Data pick slip'!B:F,5,FALSE)</f>
        <v>KHJ-MC600-00</v>
      </c>
      <c r="C417" s="169"/>
      <c r="D417" s="156"/>
      <c r="E417" s="160" t="s">
        <v>2920</v>
      </c>
      <c r="F417" s="170" t="s">
        <v>2773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2749</v>
      </c>
      <c r="B418" s="114" t="str">
        <f>VLOOKUP(A418,'Data pick slip'!B:F,5,FALSE)</f>
        <v>KHJ-MC500-00</v>
      </c>
      <c r="C418" s="169">
        <v>110101</v>
      </c>
      <c r="D418" s="156" t="s">
        <v>2921</v>
      </c>
      <c r="E418" s="160">
        <v>44119</v>
      </c>
      <c r="F418" s="170" t="s">
        <v>2862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2750</v>
      </c>
      <c r="B419" s="114" t="str">
        <f>VLOOKUP(A419,'Data pick slip'!B:F,5,FALSE)</f>
        <v>KHJ-MC600-00</v>
      </c>
      <c r="C419" s="169">
        <v>110101</v>
      </c>
      <c r="D419" s="156" t="s">
        <v>2921</v>
      </c>
      <c r="E419" s="160">
        <v>44119</v>
      </c>
      <c r="F419" s="170" t="s">
        <v>2862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2751</v>
      </c>
      <c r="B420" s="114" t="str">
        <f>VLOOKUP(A420,'Data pick slip'!B:F,5,FALSE)</f>
        <v>KHJ-MC700-00</v>
      </c>
      <c r="C420" s="169">
        <v>110101</v>
      </c>
      <c r="D420" s="156" t="s">
        <v>2921</v>
      </c>
      <c r="E420" s="160">
        <v>44119</v>
      </c>
      <c r="F420" s="170" t="s">
        <v>2862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2752</v>
      </c>
      <c r="B421" s="114" t="str">
        <f>VLOOKUP(A421,'Data pick slip'!B:F,5,FALSE)</f>
        <v>KHJ-MC800-00</v>
      </c>
      <c r="C421" s="169">
        <v>110101</v>
      </c>
      <c r="D421" s="156" t="s">
        <v>2921</v>
      </c>
      <c r="E421" s="160">
        <v>44119</v>
      </c>
      <c r="F421" s="170" t="s">
        <v>2862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2922</v>
      </c>
      <c r="B422" s="114" t="e">
        <f>VLOOKUP(A422,'Data pick slip'!B:F,5,FALSE)</f>
        <v>#N/A</v>
      </c>
      <c r="C422" s="169">
        <v>110102</v>
      </c>
      <c r="D422" s="156" t="s">
        <v>2921</v>
      </c>
      <c r="E422" s="160">
        <v>44139</v>
      </c>
      <c r="F422" s="157" t="s">
        <v>2862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2744</v>
      </c>
      <c r="B423" s="114" t="str">
        <f>VLOOKUP(A423,'Data pick slip'!B:F,5,FALSE)</f>
        <v>KHJ-MC100-00</v>
      </c>
      <c r="C423" s="169">
        <v>110230</v>
      </c>
      <c r="D423" s="156" t="str">
        <f>VLOOKUP(C423,Stock_list!D:L,2,FALSE)</f>
        <v>玥芯通名义下单</v>
      </c>
      <c r="E423" s="160">
        <f>VLOOKUP(C423,Stock_list!D:L,9,FALSE)</f>
        <v>44255</v>
      </c>
      <c r="F423" s="170" t="s">
        <v>1381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2747</v>
      </c>
      <c r="B424" s="114" t="str">
        <f>VLOOKUP(A424,'Data pick slip'!B:F,5,FALSE)</f>
        <v>KHJ-MC200-00</v>
      </c>
      <c r="C424" s="169">
        <v>110230</v>
      </c>
      <c r="D424" s="156" t="str">
        <f>VLOOKUP(C424,Stock_list!D:L,2,FALSE)</f>
        <v>玥芯通名义下单</v>
      </c>
      <c r="E424" s="160">
        <f>VLOOKUP(C424,Stock_list!D:L,9,FALSE)</f>
        <v>44255</v>
      </c>
      <c r="F424" s="170" t="s">
        <v>1381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2748</v>
      </c>
      <c r="B425" s="114" t="str">
        <f>VLOOKUP(A425,'Data pick slip'!B:F,5,FALSE)</f>
        <v>KHJ-MC400-00</v>
      </c>
      <c r="C425" s="169">
        <v>110230</v>
      </c>
      <c r="D425" s="156" t="str">
        <f>VLOOKUP(C425,Stock_list!D:L,2,FALSE)</f>
        <v>玥芯通名义下单</v>
      </c>
      <c r="E425" s="160">
        <f>VLOOKUP(C425,Stock_list!D:L,9,FALSE)</f>
        <v>44255</v>
      </c>
      <c r="F425" s="170" t="s">
        <v>1381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2749</v>
      </c>
      <c r="B426" s="114" t="str">
        <f>VLOOKUP(A426,'Data pick slip'!B:F,5,FALSE)</f>
        <v>KHJ-MC500-00</v>
      </c>
      <c r="C426" s="169">
        <v>110230</v>
      </c>
      <c r="D426" s="156" t="str">
        <f>VLOOKUP(C426,Stock_list!D:L,2,FALSE)</f>
        <v>玥芯通名义下单</v>
      </c>
      <c r="E426" s="160">
        <f>VLOOKUP(C426,Stock_list!D:L,9,FALSE)</f>
        <v>44255</v>
      </c>
      <c r="F426" s="170" t="s">
        <v>1381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2744</v>
      </c>
      <c r="B427" s="114" t="str">
        <f>VLOOKUP(A427,'Data pick slip'!B:F,5,FALSE)</f>
        <v>KHJ-MC100-00</v>
      </c>
      <c r="C427" s="169">
        <v>110096</v>
      </c>
      <c r="D427" s="156" t="str">
        <f>VLOOKUP(C427,Stock_list!D:L,2,FALSE)</f>
        <v>玥芯通名义下单</v>
      </c>
      <c r="E427" s="160">
        <f>VLOOKUP(C427,Stock_list!D:L,9,FALSE)</f>
        <v>44221</v>
      </c>
      <c r="F427" s="170" t="s">
        <v>1381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2747</v>
      </c>
      <c r="B428" s="114" t="str">
        <f>VLOOKUP(A428,'Data pick slip'!B:F,5,FALSE)</f>
        <v>KHJ-MC200-00</v>
      </c>
      <c r="C428" s="169">
        <v>110096</v>
      </c>
      <c r="D428" s="156" t="str">
        <f>VLOOKUP(C428,Stock_list!D:L,2,FALSE)</f>
        <v>玥芯通名义下单</v>
      </c>
      <c r="E428" s="160">
        <f>VLOOKUP(C428,Stock_list!D:L,9,FALSE)</f>
        <v>44221</v>
      </c>
      <c r="F428" s="170" t="s">
        <v>1381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2744</v>
      </c>
      <c r="B429" s="114" t="str">
        <f>VLOOKUP(A429,'Data pick slip'!B:F,5,FALSE)</f>
        <v>KHJ-MC100-00</v>
      </c>
      <c r="C429" s="169">
        <v>110181</v>
      </c>
      <c r="D429" s="156" t="str">
        <f>VLOOKUP(C429,Stock_list!D:L,2,FALSE)</f>
        <v>玥芯通名义下单</v>
      </c>
      <c r="E429" s="160">
        <f>VLOOKUP(C429,Stock_list!D:L,9,FALSE)</f>
        <v>44186</v>
      </c>
      <c r="F429" s="170" t="s">
        <v>2862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2755</v>
      </c>
      <c r="B430" s="114" t="str">
        <f>VLOOKUP(A430,'Data pick slip'!B:F,5,FALSE)</f>
        <v>KLJ-MC100-00</v>
      </c>
      <c r="C430" s="169"/>
      <c r="D430" s="156"/>
      <c r="E430" s="160" t="s">
        <v>2923</v>
      </c>
      <c r="F430" s="170" t="s">
        <v>2773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2744</v>
      </c>
      <c r="B431" s="114" t="str">
        <f>VLOOKUP(A431,'Data pick slip'!B:F,5,FALSE)</f>
        <v>KHJ-MC100-00</v>
      </c>
      <c r="C431" s="169"/>
      <c r="D431" s="156"/>
      <c r="E431" s="160" t="s">
        <v>2924</v>
      </c>
      <c r="F431" s="170" t="s">
        <v>2773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2744</v>
      </c>
      <c r="B432" s="114" t="str">
        <f>VLOOKUP(A432,'Data pick slip'!B:F,5,FALSE)</f>
        <v>KHJ-MC100-00</v>
      </c>
      <c r="C432" s="169">
        <v>110105</v>
      </c>
      <c r="D432" s="156" t="str">
        <f>VLOOKUP(C432,Stock_list!D:L,2,FALSE)</f>
        <v>益田名义下单</v>
      </c>
      <c r="E432" s="160">
        <f>VLOOKUP(C432,Stock_list!D:L,9,FALSE)</f>
        <v>44212</v>
      </c>
      <c r="F432" s="170" t="s">
        <v>1381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2747</v>
      </c>
      <c r="B433" s="114" t="str">
        <f>VLOOKUP(A433,'Data pick slip'!B:F,5,FALSE)</f>
        <v>KHJ-MC200-00</v>
      </c>
      <c r="C433" s="169">
        <v>110105</v>
      </c>
      <c r="D433" s="156" t="str">
        <f>VLOOKUP(C433,Stock_list!D:L,2,FALSE)</f>
        <v>益田名义下单</v>
      </c>
      <c r="E433" s="160">
        <f>VLOOKUP(C433,Stock_list!D:L,9,FALSE)</f>
        <v>44212</v>
      </c>
      <c r="F433" s="170" t="s">
        <v>1381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2748</v>
      </c>
      <c r="B434" s="114" t="str">
        <f>VLOOKUP(A434,'Data pick slip'!B:F,5,FALSE)</f>
        <v>KHJ-MC400-00</v>
      </c>
      <c r="C434" s="169">
        <v>110105</v>
      </c>
      <c r="D434" s="156" t="str">
        <f>VLOOKUP(C434,Stock_list!D:L,2,FALSE)</f>
        <v>益田名义下单</v>
      </c>
      <c r="E434" s="160">
        <f>VLOOKUP(C434,Stock_list!D:L,9,FALSE)</f>
        <v>44212</v>
      </c>
      <c r="F434" s="170" t="s">
        <v>1381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2751</v>
      </c>
      <c r="B435" s="114" t="str">
        <f>VLOOKUP(A435,'Data pick slip'!B:F,5,FALSE)</f>
        <v>KHJ-MC700-00</v>
      </c>
      <c r="C435" s="169">
        <v>110105</v>
      </c>
      <c r="D435" s="156" t="str">
        <f>VLOOKUP(C435,Stock_list!D:L,2,FALSE)</f>
        <v>益田名义下单</v>
      </c>
      <c r="E435" s="160">
        <f>VLOOKUP(C435,Stock_list!D:L,9,FALSE)</f>
        <v>44212</v>
      </c>
      <c r="F435" s="170" t="s">
        <v>1381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2744</v>
      </c>
      <c r="B436" s="114" t="str">
        <f>VLOOKUP(A436,'Data pick slip'!B:F,5,FALSE)</f>
        <v>KHJ-MC100-00</v>
      </c>
      <c r="C436" s="169">
        <v>110106</v>
      </c>
      <c r="D436" s="156" t="str">
        <f>VLOOKUP(C436,Stock_list!D:L,2,FALSE)</f>
        <v>益田名义下单</v>
      </c>
      <c r="E436" s="160">
        <f>VLOOKUP(C436,Stock_list!D:L,9,FALSE)</f>
        <v>44213</v>
      </c>
      <c r="F436" s="170" t="s">
        <v>1381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2747</v>
      </c>
      <c r="B437" s="114" t="str">
        <f>VLOOKUP(A437,'Data pick slip'!B:F,5,FALSE)</f>
        <v>KHJ-MC200-00</v>
      </c>
      <c r="C437" s="169">
        <v>110106</v>
      </c>
      <c r="D437" s="156" t="str">
        <f>VLOOKUP(C437,Stock_list!D:L,2,FALSE)</f>
        <v>益田名义下单</v>
      </c>
      <c r="E437" s="160">
        <f>VLOOKUP(C437,Stock_list!D:L,9,FALSE)</f>
        <v>44213</v>
      </c>
      <c r="F437" s="170" t="s">
        <v>1381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2744</v>
      </c>
      <c r="B438" s="114" t="str">
        <f>VLOOKUP(A438,'Data pick slip'!B:F,5,FALSE)</f>
        <v>KHJ-MC100-00</v>
      </c>
      <c r="C438" s="169">
        <v>110107</v>
      </c>
      <c r="D438" s="156" t="str">
        <f>VLOOKUP(C438,Stock_list!D:L,2,FALSE)</f>
        <v>志华鑫名义下单</v>
      </c>
      <c r="E438" s="160">
        <f>VLOOKUP(C438,Stock_list!D:L,9,FALSE)</f>
        <v>44227</v>
      </c>
      <c r="F438" s="170" t="s">
        <v>1381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2747</v>
      </c>
      <c r="B439" s="114" t="str">
        <f>VLOOKUP(A439,'Data pick slip'!B:F,5,FALSE)</f>
        <v>KHJ-MC200-00</v>
      </c>
      <c r="C439" s="169">
        <v>110107</v>
      </c>
      <c r="D439" s="156" t="str">
        <f>VLOOKUP(C439,Stock_list!D:L,2,FALSE)</f>
        <v>志华鑫名义下单</v>
      </c>
      <c r="E439" s="160">
        <f>VLOOKUP(C439,Stock_list!D:L,9,FALSE)</f>
        <v>44227</v>
      </c>
      <c r="F439" s="170" t="s">
        <v>1381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2748</v>
      </c>
      <c r="B440" s="114" t="str">
        <f>VLOOKUP(A440,'Data pick slip'!B:F,5,FALSE)</f>
        <v>KHJ-MC400-00</v>
      </c>
      <c r="C440" s="169">
        <v>110107</v>
      </c>
      <c r="D440" s="156" t="str">
        <f>VLOOKUP(C440,Stock_list!D:L,2,FALSE)</f>
        <v>志华鑫名义下单</v>
      </c>
      <c r="E440" s="160">
        <f>VLOOKUP(C440,Stock_list!D:L,9,FALSE)</f>
        <v>44227</v>
      </c>
      <c r="F440" s="170" t="s">
        <v>1381</v>
      </c>
      <c r="G440" s="282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2744</v>
      </c>
      <c r="B441" s="114" t="str">
        <f>VLOOKUP(A441,'Data pick slip'!B:F,5,FALSE)</f>
        <v>KHJ-MC100-00</v>
      </c>
      <c r="C441" s="169">
        <v>110108</v>
      </c>
      <c r="D441" s="156" t="str">
        <f>VLOOKUP(C441,Stock_list!D:L,2,FALSE)</f>
        <v>志华鑫名义下单</v>
      </c>
      <c r="E441" s="160">
        <f>VLOOKUP(C441,Stock_list!D:L,9,FALSE)</f>
        <v>44197</v>
      </c>
      <c r="F441" s="170" t="s">
        <v>1381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2747</v>
      </c>
      <c r="B442" s="114" t="str">
        <f>VLOOKUP(A442,'Data pick slip'!B:F,5,FALSE)</f>
        <v>KHJ-MC200-00</v>
      </c>
      <c r="C442" s="169">
        <v>110108</v>
      </c>
      <c r="D442" s="156" t="str">
        <f>VLOOKUP(C442,Stock_list!D:L,2,FALSE)</f>
        <v>志华鑫名义下单</v>
      </c>
      <c r="E442" s="160">
        <f>VLOOKUP(C442,Stock_list!D:L,9,FALSE)</f>
        <v>44197</v>
      </c>
      <c r="F442" s="170" t="s">
        <v>1381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2744</v>
      </c>
      <c r="B443" s="114" t="str">
        <f>VLOOKUP(A443,'Data pick slip'!B:F,5,FALSE)</f>
        <v>KHJ-MC100-00</v>
      </c>
      <c r="C443" s="169"/>
      <c r="D443" s="156"/>
      <c r="E443" s="160" t="s">
        <v>2925</v>
      </c>
      <c r="F443" s="170" t="s">
        <v>2773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2747</v>
      </c>
      <c r="B444" s="114" t="str">
        <f>VLOOKUP(A444,'Data pick slip'!B:F,5,FALSE)</f>
        <v>KHJ-MC200-00</v>
      </c>
      <c r="C444" s="169"/>
      <c r="D444" s="156"/>
      <c r="E444" s="160" t="s">
        <v>2925</v>
      </c>
      <c r="F444" s="170" t="s">
        <v>2773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2748</v>
      </c>
      <c r="B445" s="114" t="str">
        <f>VLOOKUP(A445,'Data pick slip'!B:F,5,FALSE)</f>
        <v>KHJ-MC400-00</v>
      </c>
      <c r="C445" s="169"/>
      <c r="D445" s="156"/>
      <c r="E445" s="160" t="s">
        <v>2925</v>
      </c>
      <c r="F445" s="170" t="s">
        <v>2773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2749</v>
      </c>
      <c r="B446" s="114" t="str">
        <f>VLOOKUP(A446,'Data pick slip'!B:F,5,FALSE)</f>
        <v>KHJ-MC500-00</v>
      </c>
      <c r="C446" s="169"/>
      <c r="D446" s="156"/>
      <c r="E446" s="160" t="s">
        <v>2925</v>
      </c>
      <c r="F446" s="170" t="s">
        <v>2773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2750</v>
      </c>
      <c r="B447" s="114" t="str">
        <f>VLOOKUP(A447,'Data pick slip'!B:F,5,FALSE)</f>
        <v>KHJ-MC600-00</v>
      </c>
      <c r="C447" s="169"/>
      <c r="D447" s="156"/>
      <c r="E447" s="160" t="s">
        <v>2925</v>
      </c>
      <c r="F447" s="170" t="s">
        <v>2773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2755</v>
      </c>
      <c r="B448" s="114" t="str">
        <f>VLOOKUP(A448,'Data pick slip'!B:F,5,FALSE)</f>
        <v>KLJ-MC100-00</v>
      </c>
      <c r="C448" s="169" t="s">
        <v>1235</v>
      </c>
      <c r="D448" s="156" t="str">
        <f>VLOOKUP(C448,Stock_list!D:L,2,FALSE)</f>
        <v>皇家显示名义下单</v>
      </c>
      <c r="E448" s="160">
        <f>VLOOKUP(C448,Stock_list!D:L,9,FALSE)</f>
        <v>44139</v>
      </c>
      <c r="F448" s="170" t="s">
        <v>2773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2744</v>
      </c>
      <c r="B449" s="114" t="str">
        <f>VLOOKUP(A449,'Data pick slip'!B:F,5,FALSE)</f>
        <v>KHJ-MC100-00</v>
      </c>
      <c r="C449" s="169">
        <v>110122</v>
      </c>
      <c r="D449" s="156" t="str">
        <f>VLOOKUP(C449,Stock_list!D:L,2,FALSE)</f>
        <v>Stock order</v>
      </c>
      <c r="E449" s="160">
        <f>VLOOKUP(C449,Stock_list!D:L,9,FALSE)</f>
        <v>44193</v>
      </c>
      <c r="F449" s="170" t="s">
        <v>2862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2747</v>
      </c>
      <c r="B450" s="114" t="str">
        <f>VLOOKUP(A450,'Data pick slip'!B:F,5,FALSE)</f>
        <v>KHJ-MC200-00</v>
      </c>
      <c r="C450" s="169">
        <v>110122</v>
      </c>
      <c r="D450" s="156" t="str">
        <f>VLOOKUP(C450,Stock_list!D:L,2,FALSE)</f>
        <v>Stock order</v>
      </c>
      <c r="E450" s="160">
        <f>VLOOKUP(C450,Stock_list!D:L,9,FALSE)</f>
        <v>44193</v>
      </c>
      <c r="F450" s="170" t="s">
        <v>2862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2748</v>
      </c>
      <c r="B451" s="114" t="str">
        <f>VLOOKUP(A451,'Data pick slip'!B:F,5,FALSE)</f>
        <v>KHJ-MC400-00</v>
      </c>
      <c r="C451" s="169">
        <v>110122</v>
      </c>
      <c r="D451" s="156" t="str">
        <f>VLOOKUP(C451,Stock_list!D:L,2,FALSE)</f>
        <v>Stock order</v>
      </c>
      <c r="E451" s="160">
        <f>VLOOKUP(C451,Stock_list!D:L,9,FALSE)</f>
        <v>44193</v>
      </c>
      <c r="F451" s="170" t="s">
        <v>2862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2752</v>
      </c>
      <c r="B452" s="114" t="str">
        <f>VLOOKUP(A452,'Data pick slip'!B:F,5,FALSE)</f>
        <v>KHJ-MC800-00</v>
      </c>
      <c r="C452" s="169">
        <v>110122</v>
      </c>
      <c r="D452" s="156" t="str">
        <f>VLOOKUP(C452,Stock_list!D:L,2,FALSE)</f>
        <v>Stock order</v>
      </c>
      <c r="E452" s="160">
        <f>VLOOKUP(C452,Stock_list!D:L,9,FALSE)</f>
        <v>44193</v>
      </c>
      <c r="F452" s="170" t="s">
        <v>2862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2744</v>
      </c>
      <c r="B453" s="114" t="str">
        <f>VLOOKUP(A453,'Data pick slip'!B:F,5,FALSE)</f>
        <v>KHJ-MC100-00</v>
      </c>
      <c r="C453" s="169">
        <v>110199</v>
      </c>
      <c r="D453" s="156" t="str">
        <f>VLOOKUP(C453,Stock_list!D:L,2,FALSE)</f>
        <v>Stock order</v>
      </c>
      <c r="E453" s="160">
        <f>VLOOKUP(C453,Stock_list!D:L,9,FALSE)</f>
        <v>44221</v>
      </c>
      <c r="F453" s="170" t="s">
        <v>1381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2747</v>
      </c>
      <c r="B454" s="114" t="str">
        <f>VLOOKUP(A454,'Data pick slip'!B:F,5,FALSE)</f>
        <v>KHJ-MC200-00</v>
      </c>
      <c r="C454" s="169">
        <v>110199</v>
      </c>
      <c r="D454" s="156" t="str">
        <f>VLOOKUP(C454,Stock_list!D:L,2,FALSE)</f>
        <v>Stock order</v>
      </c>
      <c r="E454" s="160">
        <f>VLOOKUP(C454,Stock_list!D:L,9,FALSE)</f>
        <v>44221</v>
      </c>
      <c r="F454" s="170" t="s">
        <v>1381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2744</v>
      </c>
      <c r="B455" s="114" t="str">
        <f>VLOOKUP(A455,'Data pick slip'!B:F,5,FALSE)</f>
        <v>KHJ-MC100-00</v>
      </c>
      <c r="C455" s="169">
        <v>110130</v>
      </c>
      <c r="D455" s="156" t="str">
        <f>VLOOKUP(C455,Stock_list!D:L,2,FALSE)</f>
        <v>Stock order</v>
      </c>
      <c r="E455" s="160">
        <f>VLOOKUP(C455,Stock_list!D:L,9,FALSE)</f>
        <v>44234</v>
      </c>
      <c r="F455" s="170" t="s">
        <v>1381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2747</v>
      </c>
      <c r="B456" s="114" t="str">
        <f>VLOOKUP(A456,'Data pick slip'!B:F,5,FALSE)</f>
        <v>KHJ-MC200-00</v>
      </c>
      <c r="C456" s="169">
        <v>110130</v>
      </c>
      <c r="D456" s="156" t="str">
        <f>VLOOKUP(C456,Stock_list!D:L,2,FALSE)</f>
        <v>Stock order</v>
      </c>
      <c r="E456" s="160">
        <f>VLOOKUP(C456,Stock_list!D:L,9,FALSE)</f>
        <v>44234</v>
      </c>
      <c r="F456" s="170" t="s">
        <v>1381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2744</v>
      </c>
      <c r="B457" s="114" t="str">
        <f>VLOOKUP(A457,'Data pick slip'!B:F,5,FALSE)</f>
        <v>KHJ-MC100-00</v>
      </c>
      <c r="C457" s="169">
        <v>110131</v>
      </c>
      <c r="D457" s="156" t="str">
        <f>VLOOKUP(C457,Stock_list!D:L,2,FALSE)</f>
        <v>Stock order</v>
      </c>
      <c r="E457" s="160">
        <f>VLOOKUP(C457,Stock_list!D:L,9,FALSE)</f>
        <v>44252</v>
      </c>
      <c r="F457" s="170" t="s">
        <v>1381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2744</v>
      </c>
      <c r="B458" s="114" t="str">
        <f>VLOOKUP(A458,'Data pick slip'!B:F,5,FALSE)</f>
        <v>KHJ-MC100-00</v>
      </c>
      <c r="C458" s="169">
        <v>110132</v>
      </c>
      <c r="D458" s="156" t="str">
        <f>VLOOKUP(C458,Stock_list!D:L,2,FALSE)</f>
        <v>Stock order</v>
      </c>
      <c r="E458" s="160">
        <f>VLOOKUP(C458,Stock_list!D:L,9,FALSE)</f>
        <v>44234</v>
      </c>
      <c r="F458" s="170" t="s">
        <v>1381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2747</v>
      </c>
      <c r="B459" s="114" t="str">
        <f>VLOOKUP(A459,'Data pick slip'!B:F,5,FALSE)</f>
        <v>KHJ-MC200-00</v>
      </c>
      <c r="C459" s="169">
        <v>110132</v>
      </c>
      <c r="D459" s="156" t="str">
        <f>VLOOKUP(C459,Stock_list!D:L,2,FALSE)</f>
        <v>Stock order</v>
      </c>
      <c r="E459" s="160">
        <f>VLOOKUP(C459,Stock_list!D:L,9,FALSE)</f>
        <v>44234</v>
      </c>
      <c r="F459" s="170" t="s">
        <v>1381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2748</v>
      </c>
      <c r="B460" s="114" t="str">
        <f>VLOOKUP(A460,'Data pick slip'!B:F,5,FALSE)</f>
        <v>KHJ-MC400-00</v>
      </c>
      <c r="C460" s="169">
        <v>110132</v>
      </c>
      <c r="D460" s="156" t="str">
        <f>VLOOKUP(C460,Stock_list!D:L,2,FALSE)</f>
        <v>Stock order</v>
      </c>
      <c r="E460" s="160">
        <f>VLOOKUP(C460,Stock_list!D:L,9,FALSE)</f>
        <v>44234</v>
      </c>
      <c r="F460" s="170" t="s">
        <v>1381</v>
      </c>
      <c r="G460" s="282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2751</v>
      </c>
      <c r="B461" s="114" t="str">
        <f>VLOOKUP(A461,'Data pick slip'!B:F,5,FALSE)</f>
        <v>KHJ-MC700-00</v>
      </c>
      <c r="C461" s="169">
        <v>110132</v>
      </c>
      <c r="D461" s="156" t="str">
        <f>VLOOKUP(C461,Stock_list!D:L,2,FALSE)</f>
        <v>Stock order</v>
      </c>
      <c r="E461" s="160">
        <f>VLOOKUP(C461,Stock_list!D:L,9,FALSE)</f>
        <v>44234</v>
      </c>
      <c r="F461" s="170" t="s">
        <v>1381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2744</v>
      </c>
      <c r="B462" s="114" t="str">
        <f>VLOOKUP(A462,'Data pick slip'!B:F,5,FALSE)</f>
        <v>KHJ-MC100-00</v>
      </c>
      <c r="C462" s="169">
        <v>110133</v>
      </c>
      <c r="D462" s="156" t="str">
        <f>VLOOKUP(C462,Stock_list!D:L,2,FALSE)</f>
        <v>Stock order</v>
      </c>
      <c r="E462" s="160">
        <f>VLOOKUP(C462,Stock_list!D:L,9,FALSE)</f>
        <v>44234</v>
      </c>
      <c r="F462" s="170" t="s">
        <v>1381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2750</v>
      </c>
      <c r="B463" s="114" t="str">
        <f>VLOOKUP(A463,'Data pick slip'!B:F,5,FALSE)</f>
        <v>KHJ-MC600-00</v>
      </c>
      <c r="C463" s="169"/>
      <c r="D463" s="156"/>
      <c r="E463" s="160" t="s">
        <v>2926</v>
      </c>
      <c r="F463" s="170" t="s">
        <v>2773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2747</v>
      </c>
      <c r="B464" s="114" t="str">
        <f>VLOOKUP(A464,'Data pick slip'!B:F,5,FALSE)</f>
        <v>KHJ-MC200-00</v>
      </c>
      <c r="C464" s="169"/>
      <c r="D464" s="156"/>
      <c r="E464" s="160" t="s">
        <v>2926</v>
      </c>
      <c r="F464" s="170" t="s">
        <v>2773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2748</v>
      </c>
      <c r="B465" s="114" t="str">
        <f>VLOOKUP(A465,'Data pick slip'!B:F,5,FALSE)</f>
        <v>KHJ-MC400-00</v>
      </c>
      <c r="C465" s="169"/>
      <c r="D465" s="156"/>
      <c r="E465" s="160" t="s">
        <v>2926</v>
      </c>
      <c r="F465" s="170" t="s">
        <v>2773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2749</v>
      </c>
      <c r="B466" s="114" t="str">
        <f>VLOOKUP(A466,'Data pick slip'!B:F,5,FALSE)</f>
        <v>KHJ-MC500-00</v>
      </c>
      <c r="C466" s="169"/>
      <c r="D466" s="156"/>
      <c r="E466" s="160" t="s">
        <v>2926</v>
      </c>
      <c r="F466" s="170" t="s">
        <v>2773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2744</v>
      </c>
      <c r="B467" s="114" t="str">
        <f>VLOOKUP(A467,'Data pick slip'!B:F,5,FALSE)</f>
        <v>KHJ-MC100-00</v>
      </c>
      <c r="C467" s="169"/>
      <c r="D467" s="156"/>
      <c r="E467" s="160" t="s">
        <v>2926</v>
      </c>
      <c r="F467" s="170" t="s">
        <v>2773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2748</v>
      </c>
      <c r="B468" s="114" t="str">
        <f>VLOOKUP(A468,'Data pick slip'!B:F,5,FALSE)</f>
        <v>KHJ-MC400-00</v>
      </c>
      <c r="C468" s="169"/>
      <c r="D468" s="156"/>
      <c r="E468" s="160" t="s">
        <v>2926</v>
      </c>
      <c r="F468" s="170" t="s">
        <v>2773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2749</v>
      </c>
      <c r="B469" s="114" t="str">
        <f>VLOOKUP(A469,'Data pick slip'!B:F,5,FALSE)</f>
        <v>KHJ-MC500-00</v>
      </c>
      <c r="C469" s="169"/>
      <c r="D469" s="156"/>
      <c r="E469" s="160" t="s">
        <v>2926</v>
      </c>
      <c r="F469" s="170" t="s">
        <v>2773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2750</v>
      </c>
      <c r="B470" s="114" t="str">
        <f>VLOOKUP(A470,'Data pick slip'!B:F,5,FALSE)</f>
        <v>KHJ-MC600-00</v>
      </c>
      <c r="C470" s="169"/>
      <c r="D470" s="156"/>
      <c r="E470" s="160" t="s">
        <v>2926</v>
      </c>
      <c r="F470" s="170" t="s">
        <v>2773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2751</v>
      </c>
      <c r="B471" s="114" t="str">
        <f>VLOOKUP(A471,'Data pick slip'!B:F,5,FALSE)</f>
        <v>KHJ-MC700-00</v>
      </c>
      <c r="C471" s="169"/>
      <c r="D471" s="156"/>
      <c r="E471" s="160" t="s">
        <v>2926</v>
      </c>
      <c r="F471" s="170" t="s">
        <v>2773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2752</v>
      </c>
      <c r="B472" s="114" t="str">
        <f>VLOOKUP(A472,'Data pick slip'!B:F,5,FALSE)</f>
        <v>KHJ-MC800-00</v>
      </c>
      <c r="C472" s="169"/>
      <c r="D472" s="156"/>
      <c r="E472" s="160" t="s">
        <v>2926</v>
      </c>
      <c r="F472" s="170" t="s">
        <v>2773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2744</v>
      </c>
      <c r="B473" s="114" t="str">
        <f>VLOOKUP(A473,'Data pick slip'!B:F,5,FALSE)</f>
        <v>KHJ-MC100-00</v>
      </c>
      <c r="C473" s="169"/>
      <c r="D473" s="156"/>
      <c r="E473" s="160" t="s">
        <v>2927</v>
      </c>
      <c r="F473" s="170" t="s">
        <v>2773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2748</v>
      </c>
      <c r="B474" s="114" t="str">
        <f>VLOOKUP(A474,'Data pick slip'!B:F,5,FALSE)</f>
        <v>KHJ-MC400-00</v>
      </c>
      <c r="C474" s="169"/>
      <c r="D474" s="156"/>
      <c r="E474" s="160" t="s">
        <v>2927</v>
      </c>
      <c r="F474" s="170" t="s">
        <v>2773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2744</v>
      </c>
      <c r="B475" s="114" t="str">
        <f>VLOOKUP(A475,'Data pick slip'!B:F,5,FALSE)</f>
        <v>KHJ-MC100-00</v>
      </c>
      <c r="C475" s="169">
        <v>110150</v>
      </c>
      <c r="D475" s="156" t="str">
        <f>VLOOKUP(C475,Stock_list!D:L,2,FALSE)</f>
        <v>Stock order</v>
      </c>
      <c r="E475" s="160">
        <f>VLOOKUP(C475,Stock_list!D:L,9,FALSE)</f>
        <v>44255</v>
      </c>
      <c r="F475" s="170" t="s">
        <v>1381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2747</v>
      </c>
      <c r="B476" s="114" t="str">
        <f>VLOOKUP(A476,'Data pick slip'!B:F,5,FALSE)</f>
        <v>KHJ-MC200-00</v>
      </c>
      <c r="C476" s="169">
        <v>110150</v>
      </c>
      <c r="D476" s="156" t="str">
        <f>VLOOKUP(C476,Stock_list!D:L,2,FALSE)</f>
        <v>Stock order</v>
      </c>
      <c r="E476" s="160">
        <f>VLOOKUP(C476,Stock_list!D:L,9,FALSE)</f>
        <v>44255</v>
      </c>
      <c r="F476" s="170" t="s">
        <v>1381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2744</v>
      </c>
      <c r="B477" s="114" t="str">
        <f>VLOOKUP(A477,'Data pick slip'!B:F,5,FALSE)</f>
        <v>KHJ-MC100-00</v>
      </c>
      <c r="C477" s="169">
        <v>110151</v>
      </c>
      <c r="D477" s="156" t="str">
        <f>VLOOKUP(C477,Stock_list!D:L,2,FALSE)</f>
        <v>Stock order</v>
      </c>
      <c r="E477" s="160">
        <f>VLOOKUP(C477,Stock_list!D:L,9,FALSE)</f>
        <v>44259</v>
      </c>
      <c r="F477" s="170" t="s">
        <v>1381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2747</v>
      </c>
      <c r="B478" s="114" t="str">
        <f>VLOOKUP(A478,'Data pick slip'!B:F,5,FALSE)</f>
        <v>KHJ-MC200-00</v>
      </c>
      <c r="C478" s="169">
        <v>110151</v>
      </c>
      <c r="D478" s="156" t="str">
        <f>VLOOKUP(C478,Stock_list!D:L,2,FALSE)</f>
        <v>Stock order</v>
      </c>
      <c r="E478" s="160">
        <f>VLOOKUP(C478,Stock_list!D:L,9,FALSE)</f>
        <v>44259</v>
      </c>
      <c r="F478" s="170" t="s">
        <v>1381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2744</v>
      </c>
      <c r="B479" s="114" t="str">
        <f>VLOOKUP(A479,'Data pick slip'!B:F,5,FALSE)</f>
        <v>KHJ-MC100-00</v>
      </c>
      <c r="C479" s="169">
        <v>110153</v>
      </c>
      <c r="D479" s="156" t="str">
        <f>VLOOKUP(C479,Stock_list!D:L,2,FALSE)</f>
        <v>Stock order</v>
      </c>
      <c r="E479" s="160">
        <f>VLOOKUP(C479,Stock_list!D:L,9,FALSE)</f>
        <v>44284</v>
      </c>
      <c r="F479" s="170" t="s">
        <v>1381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2747</v>
      </c>
      <c r="B480" s="114" t="str">
        <f>VLOOKUP(A480,'Data pick slip'!B:F,5,FALSE)</f>
        <v>KHJ-MC200-00</v>
      </c>
      <c r="C480" s="169">
        <v>110153</v>
      </c>
      <c r="D480" s="156" t="str">
        <f>VLOOKUP(C480,Stock_list!D:L,2,FALSE)</f>
        <v>Stock order</v>
      </c>
      <c r="E480" s="160">
        <f>VLOOKUP(C480,Stock_list!D:L,9,FALSE)</f>
        <v>44284</v>
      </c>
      <c r="F480" s="170" t="s">
        <v>1381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2750</v>
      </c>
      <c r="B481" s="114" t="str">
        <f>VLOOKUP(A481,'Data pick slip'!B:F,5,FALSE)</f>
        <v>KHJ-MC600-00</v>
      </c>
      <c r="C481" s="169">
        <v>110153</v>
      </c>
      <c r="D481" s="156" t="str">
        <f>VLOOKUP(C481,Stock_list!D:L,2,FALSE)</f>
        <v>Stock order</v>
      </c>
      <c r="E481" s="160">
        <f>VLOOKUP(C481,Stock_list!D:L,9,FALSE)</f>
        <v>44284</v>
      </c>
      <c r="F481" s="170" t="s">
        <v>1381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2744</v>
      </c>
      <c r="B482" s="114" t="str">
        <f>VLOOKUP(A482,'Data pick slip'!B:F,5,FALSE)</f>
        <v>KHJ-MC100-00</v>
      </c>
      <c r="C482" s="169">
        <v>110158</v>
      </c>
      <c r="D482" s="156" t="str">
        <f>VLOOKUP(C482,Stock_list!D:L,2,FALSE)</f>
        <v>捷舜诚名义</v>
      </c>
      <c r="E482" s="160">
        <f>VLOOKUP(C482,Stock_list!D:L,9,FALSE)</f>
        <v>44186</v>
      </c>
      <c r="F482" s="170" t="s">
        <v>2862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2747</v>
      </c>
      <c r="B483" s="114" t="str">
        <f>VLOOKUP(A483,'Data pick slip'!B:F,5,FALSE)</f>
        <v>KHJ-MC200-00</v>
      </c>
      <c r="C483" s="169">
        <v>110158</v>
      </c>
      <c r="D483" s="156" t="str">
        <f>VLOOKUP(C483,Stock_list!D:L,2,FALSE)</f>
        <v>捷舜诚名义</v>
      </c>
      <c r="E483" s="160">
        <f>VLOOKUP(C483,Stock_list!D:L,9,FALSE)</f>
        <v>44186</v>
      </c>
      <c r="F483" s="170" t="s">
        <v>2862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2749</v>
      </c>
      <c r="B484" s="114" t="str">
        <f>VLOOKUP(A484,'Data pick slip'!B:F,5,FALSE)</f>
        <v>KHJ-MC500-00</v>
      </c>
      <c r="C484" s="169">
        <v>110158</v>
      </c>
      <c r="D484" s="156" t="str">
        <f>VLOOKUP(C484,Stock_list!D:L,2,FALSE)</f>
        <v>捷舜诚名义</v>
      </c>
      <c r="E484" s="160">
        <f>VLOOKUP(C484,Stock_list!D:L,9,FALSE)</f>
        <v>44186</v>
      </c>
      <c r="F484" s="170" t="s">
        <v>2862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2744</v>
      </c>
      <c r="B485" s="114" t="str">
        <f>VLOOKUP(A485,'Data pick slip'!B:F,5,FALSE)</f>
        <v>KHJ-MC100-00</v>
      </c>
      <c r="C485" s="169">
        <v>110159</v>
      </c>
      <c r="D485" s="156" t="str">
        <f>VLOOKUP(C485,Stock_list!D:L,2,FALSE)</f>
        <v>捷舜诚名义</v>
      </c>
      <c r="E485" s="160">
        <f>VLOOKUP(C485,Stock_list!D:L,9,FALSE)</f>
        <v>44193</v>
      </c>
      <c r="F485" s="170" t="s">
        <v>2862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2747</v>
      </c>
      <c r="B486" s="114" t="str">
        <f>VLOOKUP(A486,'Data pick slip'!B:F,5,FALSE)</f>
        <v>KHJ-MC200-00</v>
      </c>
      <c r="C486" s="169">
        <v>110159</v>
      </c>
      <c r="D486" s="156" t="str">
        <f>VLOOKUP(C486,Stock_list!D:L,2,FALSE)</f>
        <v>捷舜诚名义</v>
      </c>
      <c r="E486" s="160">
        <f>VLOOKUP(C486,Stock_list!D:L,9,FALSE)</f>
        <v>44193</v>
      </c>
      <c r="F486" s="170" t="s">
        <v>2862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2744</v>
      </c>
      <c r="B487" s="114" t="str">
        <f>VLOOKUP(A487,'Data pick slip'!B:F,5,FALSE)</f>
        <v>KHJ-MC100-00</v>
      </c>
      <c r="C487" s="169"/>
      <c r="D487" s="156"/>
      <c r="E487" s="160" t="s">
        <v>2928</v>
      </c>
      <c r="F487" s="170" t="s">
        <v>2773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2747</v>
      </c>
      <c r="B488" s="114" t="str">
        <f>VLOOKUP(A488,'Data pick slip'!B:F,5,FALSE)</f>
        <v>KHJ-MC200-00</v>
      </c>
      <c r="C488" s="169"/>
      <c r="D488" s="156"/>
      <c r="E488" s="160" t="s">
        <v>2928</v>
      </c>
      <c r="F488" s="170" t="s">
        <v>2773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2749</v>
      </c>
      <c r="B489" s="114" t="str">
        <f>VLOOKUP(A489,'Data pick slip'!B:F,5,FALSE)</f>
        <v>KHJ-MC500-00</v>
      </c>
      <c r="C489" s="169"/>
      <c r="D489" s="156"/>
      <c r="E489" s="160" t="s">
        <v>2928</v>
      </c>
      <c r="F489" s="170" t="s">
        <v>2773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2744</v>
      </c>
      <c r="B490" s="114" t="str">
        <f>VLOOKUP(A490,'Data pick slip'!B:F,5,FALSE)</f>
        <v>KHJ-MC100-00</v>
      </c>
      <c r="C490" s="169">
        <v>110172</v>
      </c>
      <c r="D490" s="156" t="str">
        <f>VLOOKUP(C490,Stock_list!D:L,2,FALSE)</f>
        <v>Stock order(reserved by Leader Tech)</v>
      </c>
      <c r="E490" s="160">
        <f>VLOOKUP(C490,Stock_list!D:L,9,FALSE)</f>
        <v>44256</v>
      </c>
      <c r="F490" s="170" t="s">
        <v>1381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2744</v>
      </c>
      <c r="B491" s="114" t="str">
        <f>VLOOKUP(A491,'Data pick slip'!B:F,5,FALSE)</f>
        <v>KHJ-MC100-00</v>
      </c>
      <c r="C491" s="169">
        <v>110173</v>
      </c>
      <c r="D491" s="156" t="str">
        <f>VLOOKUP(C491,Stock_list!D:L,2,FALSE)</f>
        <v>Stock order(reserved by Leader Tech)</v>
      </c>
      <c r="E491" s="160">
        <f>VLOOKUP(C491,Stock_list!D:L,9,FALSE)</f>
        <v>44256</v>
      </c>
      <c r="F491" s="170" t="s">
        <v>1381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2744</v>
      </c>
      <c r="B492" s="114" t="str">
        <f>VLOOKUP(A492,'Data pick slip'!B:F,5,FALSE)</f>
        <v>KHJ-MC100-00</v>
      </c>
      <c r="C492" s="169">
        <v>110174</v>
      </c>
      <c r="D492" s="156" t="str">
        <f>VLOOKUP(C492,Stock_list!D:L,2,FALSE)</f>
        <v>Stock order(reserved by Leader Tech)</v>
      </c>
      <c r="E492" s="160">
        <f>VLOOKUP(C492,Stock_list!D:L,9,FALSE)</f>
        <v>44252</v>
      </c>
      <c r="F492" s="170" t="s">
        <v>1381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2747</v>
      </c>
      <c r="B493" s="114" t="str">
        <f>VLOOKUP(A493,'Data pick slip'!B:F,5,FALSE)</f>
        <v>KHJ-MC200-00</v>
      </c>
      <c r="C493" s="169">
        <v>110174</v>
      </c>
      <c r="D493" s="156" t="str">
        <f>VLOOKUP(C493,Stock_list!D:L,2,FALSE)</f>
        <v>Stock order(reserved by Leader Tech)</v>
      </c>
      <c r="E493" s="160">
        <f>VLOOKUP(C493,Stock_list!D:L,9,FALSE)</f>
        <v>44252</v>
      </c>
      <c r="F493" s="170" t="s">
        <v>1381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2744</v>
      </c>
      <c r="B494" s="114" t="str">
        <f>VLOOKUP(A494,'Data pick slip'!B:F,5,FALSE)</f>
        <v>KHJ-MC100-00</v>
      </c>
      <c r="C494" s="169">
        <v>110175</v>
      </c>
      <c r="D494" s="156" t="str">
        <f>VLOOKUP(C494,Stock_list!D:L,2,FALSE)</f>
        <v>Stock order(reserved by Leader Tech)</v>
      </c>
      <c r="E494" s="160" t="str">
        <f>VLOOKUP(C494,Stock_list!D:L,9,FALSE)</f>
        <v>2021-2-20</v>
      </c>
      <c r="F494" s="170" t="s">
        <v>1381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2747</v>
      </c>
      <c r="B495" s="114" t="str">
        <f>VLOOKUP(A495,'Data pick slip'!B:F,5,FALSE)</f>
        <v>KHJ-MC200-00</v>
      </c>
      <c r="C495" s="169">
        <v>110175</v>
      </c>
      <c r="D495" s="156" t="str">
        <f>VLOOKUP(C495,Stock_list!D:L,2,FALSE)</f>
        <v>Stock order(reserved by Leader Tech)</v>
      </c>
      <c r="E495" s="160" t="str">
        <f>VLOOKUP(C495,Stock_list!D:L,9,FALSE)</f>
        <v>2021-2-20</v>
      </c>
      <c r="F495" s="170" t="s">
        <v>1381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2744</v>
      </c>
      <c r="B496" s="114" t="str">
        <f>VLOOKUP(A496,'Data pick slip'!B:F,5,FALSE)</f>
        <v>KHJ-MC100-00</v>
      </c>
      <c r="C496" s="169">
        <v>110176</v>
      </c>
      <c r="D496" s="156" t="str">
        <f>VLOOKUP(C496,Stock_list!D:L,2,FALSE)</f>
        <v>Stock order(reserved by Leader Tech)</v>
      </c>
      <c r="E496" s="160">
        <f>VLOOKUP(C496,Stock_list!D:L,9,FALSE)</f>
        <v>44259</v>
      </c>
      <c r="F496" s="170" t="s">
        <v>1381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2747</v>
      </c>
      <c r="B497" s="114" t="str">
        <f>VLOOKUP(A497,'Data pick slip'!B:F,5,FALSE)</f>
        <v>KHJ-MC200-00</v>
      </c>
      <c r="C497" s="169">
        <v>110176</v>
      </c>
      <c r="D497" s="156" t="str">
        <f>VLOOKUP(C497,Stock_list!D:L,2,FALSE)</f>
        <v>Stock order(reserved by Leader Tech)</v>
      </c>
      <c r="E497" s="160">
        <f>VLOOKUP(C497,Stock_list!D:L,9,FALSE)</f>
        <v>44259</v>
      </c>
      <c r="F497" s="170" t="s">
        <v>1381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2755</v>
      </c>
      <c r="B498" s="114" t="str">
        <f>VLOOKUP(A498,'Data pick slip'!B:F,5,FALSE)</f>
        <v>KLJ-MC100-00</v>
      </c>
      <c r="C498" s="169">
        <v>110287</v>
      </c>
      <c r="D498" s="156" t="str">
        <f>VLOOKUP(C498,Stock_list!D:L,2,FALSE)</f>
        <v>众鑫科名义</v>
      </c>
      <c r="E498" s="160">
        <f>VLOOKUP(C498,Stock_list!D:L,9,FALSE)</f>
        <v>44256</v>
      </c>
      <c r="F498" s="170" t="s">
        <v>1381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2756</v>
      </c>
      <c r="B499" s="114" t="str">
        <f>VLOOKUP(A499,'Data pick slip'!B:F,5,FALSE)</f>
        <v>KLJ-MC200-00</v>
      </c>
      <c r="C499" s="169">
        <v>110287</v>
      </c>
      <c r="D499" s="156" t="str">
        <f>VLOOKUP(C499,Stock_list!D:L,2,FALSE)</f>
        <v>众鑫科名义</v>
      </c>
      <c r="E499" s="160">
        <f>VLOOKUP(C499,Stock_list!D:L,9,FALSE)</f>
        <v>44256</v>
      </c>
      <c r="F499" s="170" t="s">
        <v>1381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2757</v>
      </c>
      <c r="B500" s="114" t="str">
        <f>VLOOKUP(A500,'Data pick slip'!B:F,5,FALSE)</f>
        <v>KLJ-MC400-00</v>
      </c>
      <c r="C500" s="169">
        <v>110287</v>
      </c>
      <c r="D500" s="156" t="str">
        <f>VLOOKUP(C500,Stock_list!D:L,2,FALSE)</f>
        <v>众鑫科名义</v>
      </c>
      <c r="E500" s="160">
        <f>VLOOKUP(C500,Stock_list!D:L,9,FALSE)</f>
        <v>44256</v>
      </c>
      <c r="F500" s="170" t="s">
        <v>1381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2758</v>
      </c>
      <c r="B501" s="114" t="str">
        <f>VLOOKUP(A501,'Data pick slip'!B:F,5,FALSE)</f>
        <v>KLJ-MC500-00</v>
      </c>
      <c r="C501" s="169">
        <v>110287</v>
      </c>
      <c r="D501" s="156" t="str">
        <f>VLOOKUP(C501,Stock_list!D:L,2,FALSE)</f>
        <v>众鑫科名义</v>
      </c>
      <c r="E501" s="160">
        <f>VLOOKUP(C501,Stock_list!D:L,9,FALSE)</f>
        <v>44256</v>
      </c>
      <c r="F501" s="170" t="s">
        <v>1381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2759</v>
      </c>
      <c r="B502" s="114" t="str">
        <f>VLOOKUP(A502,'Data pick slip'!B:F,5,FALSE)</f>
        <v>KLJ-MC600-00</v>
      </c>
      <c r="C502" s="169">
        <v>110287</v>
      </c>
      <c r="D502" s="156" t="str">
        <f>VLOOKUP(C502,Stock_list!D:L,2,FALSE)</f>
        <v>众鑫科名义</v>
      </c>
      <c r="E502" s="160">
        <f>VLOOKUP(C502,Stock_list!D:L,9,FALSE)</f>
        <v>44256</v>
      </c>
      <c r="F502" s="170" t="s">
        <v>1381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2744</v>
      </c>
      <c r="B503" s="114" t="str">
        <f>VLOOKUP(A503,'Data pick slip'!B:F,5,FALSE)</f>
        <v>KHJ-MC100-00</v>
      </c>
      <c r="C503" s="169">
        <v>110211</v>
      </c>
      <c r="D503" s="156" t="str">
        <f>VLOOKUP(C503,Stock_list!D:L,2,FALSE)</f>
        <v>Stock order</v>
      </c>
      <c r="E503" s="160">
        <f>VLOOKUP(C503,Stock_list!D:L,9,FALSE)</f>
        <v>44318</v>
      </c>
      <c r="F503" s="170" t="s">
        <v>1381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2747</v>
      </c>
      <c r="B504" s="114" t="str">
        <f>VLOOKUP(A504,'Data pick slip'!B:F,5,FALSE)</f>
        <v>KHJ-MC200-00</v>
      </c>
      <c r="C504" s="169">
        <v>110211</v>
      </c>
      <c r="D504" s="156" t="str">
        <f>VLOOKUP(C504,Stock_list!D:L,2,FALSE)</f>
        <v>Stock order</v>
      </c>
      <c r="E504" s="160">
        <f>VLOOKUP(C504,Stock_list!D:L,9,FALSE)</f>
        <v>44318</v>
      </c>
      <c r="F504" s="170" t="s">
        <v>1381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2748</v>
      </c>
      <c r="B505" s="114" t="str">
        <f>VLOOKUP(A505,'Data pick slip'!B:F,5,FALSE)</f>
        <v>KHJ-MC400-00</v>
      </c>
      <c r="C505" s="169">
        <v>110211</v>
      </c>
      <c r="D505" s="156" t="str">
        <f>VLOOKUP(C505,Stock_list!D:L,2,FALSE)</f>
        <v>Stock order</v>
      </c>
      <c r="E505" s="160">
        <f>VLOOKUP(C505,Stock_list!D:L,9,FALSE)</f>
        <v>44318</v>
      </c>
      <c r="F505" s="170" t="s">
        <v>1381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2749</v>
      </c>
      <c r="B506" s="114" t="str">
        <f>VLOOKUP(A506,'Data pick slip'!B:F,5,FALSE)</f>
        <v>KHJ-MC500-00</v>
      </c>
      <c r="C506" s="169">
        <v>110211</v>
      </c>
      <c r="D506" s="156" t="str">
        <f>VLOOKUP(C506,Stock_list!D:L,2,FALSE)</f>
        <v>Stock order</v>
      </c>
      <c r="E506" s="160">
        <f>VLOOKUP(C506,Stock_list!D:L,9,FALSE)</f>
        <v>44318</v>
      </c>
      <c r="F506" s="170" t="s">
        <v>1381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2750</v>
      </c>
      <c r="B507" s="114" t="str">
        <f>VLOOKUP(A507,'Data pick slip'!B:F,5,FALSE)</f>
        <v>KHJ-MC600-00</v>
      </c>
      <c r="C507" s="169">
        <v>110211</v>
      </c>
      <c r="D507" s="156" t="str">
        <f>VLOOKUP(C507,Stock_list!D:L,2,FALSE)</f>
        <v>Stock order</v>
      </c>
      <c r="E507" s="160">
        <f>VLOOKUP(C507,Stock_list!D:L,9,FALSE)</f>
        <v>44318</v>
      </c>
      <c r="F507" s="170" t="s">
        <v>1381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2751</v>
      </c>
      <c r="B508" s="114" t="str">
        <f>VLOOKUP(A508,'Data pick slip'!B:F,5,FALSE)</f>
        <v>KHJ-MC700-00</v>
      </c>
      <c r="C508" s="169">
        <v>110211</v>
      </c>
      <c r="D508" s="156" t="str">
        <f>VLOOKUP(C508,Stock_list!D:L,2,FALSE)</f>
        <v>Stock order</v>
      </c>
      <c r="E508" s="160">
        <f>VLOOKUP(C508,Stock_list!D:L,9,FALSE)</f>
        <v>44318</v>
      </c>
      <c r="F508" s="170" t="s">
        <v>1381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2752</v>
      </c>
      <c r="B509" s="114" t="str">
        <f>VLOOKUP(A509,'Data pick slip'!B:F,5,FALSE)</f>
        <v>KHJ-MC800-00</v>
      </c>
      <c r="C509" s="169">
        <v>110211</v>
      </c>
      <c r="D509" s="156" t="str">
        <f>VLOOKUP(C509,Stock_list!D:L,2,FALSE)</f>
        <v>Stock order</v>
      </c>
      <c r="E509" s="160">
        <f>VLOOKUP(C509,Stock_list!D:L,9,FALSE)</f>
        <v>44318</v>
      </c>
      <c r="F509" s="170" t="s">
        <v>1381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2744</v>
      </c>
      <c r="B510" s="114" t="str">
        <f>VLOOKUP(A510,'Data pick slip'!B:F,5,FALSE)</f>
        <v>KHJ-MC100-00</v>
      </c>
      <c r="C510" s="169">
        <v>110212</v>
      </c>
      <c r="D510" s="156" t="str">
        <f>VLOOKUP(C510,Stock_list!D:L,2,FALSE)</f>
        <v>Stock order</v>
      </c>
      <c r="E510" s="160">
        <f>VLOOKUP(C510,Stock_list!D:L,9,FALSE)</f>
        <v>44284</v>
      </c>
      <c r="F510" s="170" t="s">
        <v>1381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2747</v>
      </c>
      <c r="B511" s="114" t="str">
        <f>VLOOKUP(A511,'Data pick slip'!B:F,5,FALSE)</f>
        <v>KHJ-MC200-00</v>
      </c>
      <c r="C511" s="169">
        <v>110212</v>
      </c>
      <c r="D511" s="156" t="str">
        <f>VLOOKUP(C511,Stock_list!D:L,2,FALSE)</f>
        <v>Stock order</v>
      </c>
      <c r="E511" s="160">
        <f>VLOOKUP(C511,Stock_list!D:L,9,FALSE)</f>
        <v>44284</v>
      </c>
      <c r="F511" s="170" t="s">
        <v>1381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2747</v>
      </c>
      <c r="B512" s="114" t="str">
        <f>VLOOKUP(A512,'Data pick slip'!B:F,5,FALSE)</f>
        <v>KHJ-MC200-00</v>
      </c>
      <c r="C512" s="169"/>
      <c r="D512" s="156"/>
      <c r="E512" s="141" t="s">
        <v>2929</v>
      </c>
      <c r="F512" s="170" t="s">
        <v>2773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2922</v>
      </c>
      <c r="B513" s="114" t="e">
        <f>VLOOKUP(A513,'Data pick slip'!B:F,5,FALSE)</f>
        <v>#N/A</v>
      </c>
      <c r="C513" s="169"/>
      <c r="D513" s="156"/>
      <c r="E513" s="141" t="s">
        <v>2929</v>
      </c>
      <c r="F513" s="170" t="s">
        <v>2773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2744</v>
      </c>
      <c r="B514" s="114" t="str">
        <f>VLOOKUP(A514,'Data pick slip'!B:F,5,FALSE)</f>
        <v>KHJ-MC100-00</v>
      </c>
      <c r="C514" s="169"/>
      <c r="D514" s="156"/>
      <c r="E514" s="141" t="s">
        <v>2930</v>
      </c>
      <c r="F514" s="170" t="s">
        <v>2773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2747</v>
      </c>
      <c r="B515" s="114" t="str">
        <f>VLOOKUP(A515,'Data pick slip'!B:F,5,FALSE)</f>
        <v>KHJ-MC200-00</v>
      </c>
      <c r="C515" s="169"/>
      <c r="D515" s="156"/>
      <c r="E515" s="141" t="s">
        <v>2930</v>
      </c>
      <c r="F515" s="170" t="s">
        <v>2773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2744</v>
      </c>
      <c r="B516" s="114" t="str">
        <f>VLOOKUP(A516,'Data pick slip'!B:F,5,FALSE)</f>
        <v>KHJ-MC100-00</v>
      </c>
      <c r="C516" s="169"/>
      <c r="D516" s="156"/>
      <c r="E516" s="141" t="s">
        <v>2930</v>
      </c>
      <c r="F516" s="170" t="s">
        <v>2773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2747</v>
      </c>
      <c r="B517" s="114" t="str">
        <f>VLOOKUP(A517,'Data pick slip'!B:F,5,FALSE)</f>
        <v>KHJ-MC200-00</v>
      </c>
      <c r="C517" s="169"/>
      <c r="D517" s="156"/>
      <c r="E517" s="141" t="s">
        <v>2930</v>
      </c>
      <c r="F517" s="170" t="s">
        <v>2773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2922</v>
      </c>
      <c r="B518" s="114" t="e">
        <f>VLOOKUP(A518,'Data pick slip'!B:F,5,FALSE)</f>
        <v>#N/A</v>
      </c>
      <c r="C518" s="169"/>
      <c r="D518" s="156"/>
      <c r="E518" s="141" t="s">
        <v>2930</v>
      </c>
      <c r="F518" s="170" t="s">
        <v>2773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2744</v>
      </c>
      <c r="B519" s="114" t="str">
        <f>VLOOKUP(A519,'Data pick slip'!B:F,5,FALSE)</f>
        <v>KHJ-MC100-00</v>
      </c>
      <c r="C519" s="169"/>
      <c r="D519" s="156"/>
      <c r="E519" s="141" t="s">
        <v>2931</v>
      </c>
      <c r="F519" s="170" t="s">
        <v>2773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2748</v>
      </c>
      <c r="B520" s="114" t="str">
        <f>VLOOKUP(A520,'Data pick slip'!B:F,5,FALSE)</f>
        <v>KHJ-MC400-00</v>
      </c>
      <c r="C520" s="169"/>
      <c r="D520" s="156"/>
      <c r="E520" s="141" t="s">
        <v>2931</v>
      </c>
      <c r="F520" s="170" t="s">
        <v>2773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2749</v>
      </c>
      <c r="B521" s="114" t="str">
        <f>VLOOKUP(A521,'Data pick slip'!B:F,5,FALSE)</f>
        <v>KHJ-MC500-00</v>
      </c>
      <c r="C521" s="169"/>
      <c r="D521" s="156"/>
      <c r="E521" s="141" t="s">
        <v>2931</v>
      </c>
      <c r="F521" s="170" t="s">
        <v>2773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2751</v>
      </c>
      <c r="B522" s="114" t="str">
        <f>VLOOKUP(A522,'Data pick slip'!B:F,5,FALSE)</f>
        <v>KHJ-MC700-00</v>
      </c>
      <c r="C522" s="169"/>
      <c r="D522" s="156"/>
      <c r="E522" s="141" t="s">
        <v>2931</v>
      </c>
      <c r="F522" s="170" t="s">
        <v>2773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2744</v>
      </c>
      <c r="B523" s="114" t="str">
        <f>VLOOKUP(A523,'Data pick slip'!B:F,5,FALSE)</f>
        <v>KHJ-MC100-00</v>
      </c>
      <c r="C523" s="169">
        <v>110227</v>
      </c>
      <c r="D523" s="156" t="str">
        <f>VLOOKUP(C523,Stock_list!D:L,2,FALSE)</f>
        <v>锘铧名义下单</v>
      </c>
      <c r="E523" s="160">
        <f>VLOOKUP(C523,Stock_list!D:L,9,FALSE)</f>
        <v>44318</v>
      </c>
      <c r="F523" s="170" t="s">
        <v>1381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2747</v>
      </c>
      <c r="B524" s="114" t="str">
        <f>VLOOKUP(A524,'Data pick slip'!B:F,5,FALSE)</f>
        <v>KHJ-MC200-00</v>
      </c>
      <c r="C524" s="169">
        <v>110227</v>
      </c>
      <c r="D524" s="156" t="str">
        <f>VLOOKUP(C524,Stock_list!D:L,2,FALSE)</f>
        <v>锘铧名义下单</v>
      </c>
      <c r="E524" s="160">
        <f>VLOOKUP(C524,Stock_list!D:L,9,FALSE)</f>
        <v>44318</v>
      </c>
      <c r="F524" s="170" t="s">
        <v>1381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2748</v>
      </c>
      <c r="B525" s="114" t="str">
        <f>VLOOKUP(A525,'Data pick slip'!B:F,5,FALSE)</f>
        <v>KHJ-MC400-00</v>
      </c>
      <c r="C525" s="169">
        <v>110227</v>
      </c>
      <c r="D525" s="156" t="str">
        <f>VLOOKUP(C525,Stock_list!D:L,2,FALSE)</f>
        <v>锘铧名义下单</v>
      </c>
      <c r="E525" s="160">
        <f>VLOOKUP(C525,Stock_list!D:L,9,FALSE)</f>
        <v>44318</v>
      </c>
      <c r="F525" s="170" t="s">
        <v>1381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2749</v>
      </c>
      <c r="B526" s="114" t="str">
        <f>VLOOKUP(A526,'Data pick slip'!B:F,5,FALSE)</f>
        <v>KHJ-MC500-00</v>
      </c>
      <c r="C526" s="169">
        <v>110227</v>
      </c>
      <c r="D526" s="156" t="str">
        <f>VLOOKUP(C526,Stock_list!D:L,2,FALSE)</f>
        <v>锘铧名义下单</v>
      </c>
      <c r="E526" s="160">
        <f>VLOOKUP(C526,Stock_list!D:L,9,FALSE)</f>
        <v>44318</v>
      </c>
      <c r="F526" s="170" t="s">
        <v>1381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2750</v>
      </c>
      <c r="B527" s="114" t="str">
        <f>VLOOKUP(A527,'Data pick slip'!B:F,5,FALSE)</f>
        <v>KHJ-MC600-00</v>
      </c>
      <c r="C527" s="169">
        <v>110227</v>
      </c>
      <c r="D527" s="156" t="str">
        <f>VLOOKUP(C527,Stock_list!D:L,2,FALSE)</f>
        <v>锘铧名义下单</v>
      </c>
      <c r="E527" s="160">
        <f>VLOOKUP(C527,Stock_list!D:L,9,FALSE)</f>
        <v>44318</v>
      </c>
      <c r="F527" s="170" t="s">
        <v>1381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2751</v>
      </c>
      <c r="B528" s="114" t="str">
        <f>VLOOKUP(A528,'Data pick slip'!B:F,5,FALSE)</f>
        <v>KHJ-MC700-00</v>
      </c>
      <c r="C528" s="169">
        <v>110227</v>
      </c>
      <c r="D528" s="156" t="str">
        <f>VLOOKUP(C528,Stock_list!D:L,2,FALSE)</f>
        <v>锘铧名义下单</v>
      </c>
      <c r="E528" s="160">
        <f>VLOOKUP(C528,Stock_list!D:L,9,FALSE)</f>
        <v>44318</v>
      </c>
      <c r="F528" s="170" t="s">
        <v>1381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2744</v>
      </c>
      <c r="B529" s="114" t="str">
        <f>VLOOKUP(A529,'Data pick slip'!B:F,5,FALSE)</f>
        <v>KHJ-MC100-00</v>
      </c>
      <c r="C529" s="169">
        <v>110228</v>
      </c>
      <c r="D529" s="156" t="str">
        <f>VLOOKUP(C529,Stock_list!D:L,2,FALSE)</f>
        <v>锘铧名义下单</v>
      </c>
      <c r="E529" s="160">
        <f>VLOOKUP(C529,Stock_list!D:L,9,FALSE)</f>
        <v>44322</v>
      </c>
      <c r="F529" s="170" t="s">
        <v>1381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2747</v>
      </c>
      <c r="B530" s="114" t="str">
        <f>VLOOKUP(A530,'Data pick slip'!B:F,5,FALSE)</f>
        <v>KHJ-MC200-00</v>
      </c>
      <c r="C530" s="169">
        <v>110228</v>
      </c>
      <c r="D530" s="156" t="str">
        <f>VLOOKUP(C530,Stock_list!D:L,2,FALSE)</f>
        <v>锘铧名义下单</v>
      </c>
      <c r="E530" s="160">
        <f>VLOOKUP(C530,Stock_list!D:L,9,FALSE)</f>
        <v>44322</v>
      </c>
      <c r="F530" s="170" t="s">
        <v>1381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2744</v>
      </c>
      <c r="B531" s="114" t="str">
        <f>VLOOKUP(A531,'Data pick slip'!B:F,5,FALSE)</f>
        <v>KHJ-MC100-00</v>
      </c>
      <c r="C531" s="169">
        <v>110348</v>
      </c>
      <c r="D531" s="156" t="str">
        <f>VLOOKUP(C531,Stock_list!D:L,2,FALSE)</f>
        <v>Stock order</v>
      </c>
      <c r="E531" s="160">
        <f>VLOOKUP(C531,Stock_list!D:L,9,FALSE)</f>
        <v>44287</v>
      </c>
      <c r="F531" s="170" t="s">
        <v>1381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2747</v>
      </c>
      <c r="B532" s="114" t="str">
        <f>VLOOKUP(A532,'Data pick slip'!B:F,5,FALSE)</f>
        <v>KHJ-MC200-00</v>
      </c>
      <c r="C532" s="169">
        <v>110348</v>
      </c>
      <c r="D532" s="156" t="str">
        <f>VLOOKUP(C532,Stock_list!D:L,2,FALSE)</f>
        <v>Stock order</v>
      </c>
      <c r="E532" s="160">
        <f>VLOOKUP(C532,Stock_list!D:L,9,FALSE)</f>
        <v>44287</v>
      </c>
      <c r="F532" s="170" t="s">
        <v>1381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2748</v>
      </c>
      <c r="B533" s="114" t="str">
        <f>VLOOKUP(A533,'Data pick slip'!B:F,5,FALSE)</f>
        <v>KHJ-MC400-00</v>
      </c>
      <c r="C533" s="169">
        <v>110348</v>
      </c>
      <c r="D533" s="156" t="str">
        <f>VLOOKUP(C533,Stock_list!D:L,2,FALSE)</f>
        <v>Stock order</v>
      </c>
      <c r="E533" s="160">
        <f>VLOOKUP(C533,Stock_list!D:L,9,FALSE)</f>
        <v>44287</v>
      </c>
      <c r="F533" s="170" t="s">
        <v>1381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2744</v>
      </c>
      <c r="B534" s="114" t="str">
        <f>VLOOKUP(A534,'Data pick slip'!B:F,5,FALSE)</f>
        <v>KHJ-MC100-00</v>
      </c>
      <c r="C534" s="169">
        <v>110236</v>
      </c>
      <c r="D534" s="156" t="str">
        <f>VLOOKUP(C534,Stock_list!D:L,2,FALSE)</f>
        <v>音品名义下单</v>
      </c>
      <c r="E534" s="160">
        <f>VLOOKUP(C534,Stock_list!D:L,9,FALSE)</f>
        <v>44338</v>
      </c>
      <c r="F534" s="170" t="s">
        <v>1381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2747</v>
      </c>
      <c r="B535" s="114" t="str">
        <f>VLOOKUP(A535,'Data pick slip'!B:F,5,FALSE)</f>
        <v>KHJ-MC200-00</v>
      </c>
      <c r="C535" s="169">
        <v>110236</v>
      </c>
      <c r="D535" s="156" t="str">
        <f>VLOOKUP(C535,Stock_list!D:L,2,FALSE)</f>
        <v>音品名义下单</v>
      </c>
      <c r="E535" s="160">
        <f>VLOOKUP(C535,Stock_list!D:L,9,FALSE)</f>
        <v>44338</v>
      </c>
      <c r="F535" s="170" t="s">
        <v>1381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2748</v>
      </c>
      <c r="B536" s="114" t="str">
        <f>VLOOKUP(A536,'Data pick slip'!B:F,5,FALSE)</f>
        <v>KHJ-MC400-00</v>
      </c>
      <c r="C536" s="169">
        <v>110236</v>
      </c>
      <c r="D536" s="156" t="str">
        <f>VLOOKUP(C536,Stock_list!D:L,2,FALSE)</f>
        <v>音品名义下单</v>
      </c>
      <c r="E536" s="160">
        <f>VLOOKUP(C536,Stock_list!D:L,9,FALSE)</f>
        <v>44338</v>
      </c>
      <c r="F536" s="170" t="s">
        <v>1381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2744</v>
      </c>
      <c r="B537" s="114" t="str">
        <f>VLOOKUP(A537,'Data pick slip'!B:F,5,FALSE)</f>
        <v>KHJ-MC100-00</v>
      </c>
      <c r="C537" s="169">
        <v>110237</v>
      </c>
      <c r="D537" s="156" t="str">
        <f>VLOOKUP(C537,Stock_list!D:L,2,FALSE)</f>
        <v>音品名义下单</v>
      </c>
      <c r="E537" s="160">
        <f>VLOOKUP(C537,Stock_list!D:L,9,FALSE)</f>
        <v>44259</v>
      </c>
      <c r="F537" s="170" t="s">
        <v>1381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2747</v>
      </c>
      <c r="B538" s="114" t="str">
        <f>VLOOKUP(A538,'Data pick slip'!B:F,5,FALSE)</f>
        <v>KHJ-MC200-00</v>
      </c>
      <c r="C538" s="169">
        <v>110237</v>
      </c>
      <c r="D538" s="156" t="str">
        <f>VLOOKUP(C538,Stock_list!D:L,2,FALSE)</f>
        <v>音品名义下单</v>
      </c>
      <c r="E538" s="160">
        <f>VLOOKUP(C538,Stock_list!D:L,9,FALSE)</f>
        <v>44259</v>
      </c>
      <c r="F538" s="170" t="s">
        <v>1381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2748</v>
      </c>
      <c r="B539" s="114" t="str">
        <f>VLOOKUP(A539,'Data pick slip'!B:F,5,FALSE)</f>
        <v>KHJ-MC400-00</v>
      </c>
      <c r="C539" s="169">
        <v>110237</v>
      </c>
      <c r="D539" s="156" t="str">
        <f>VLOOKUP(C539,Stock_list!D:L,2,FALSE)</f>
        <v>音品名义下单</v>
      </c>
      <c r="E539" s="160">
        <f>VLOOKUP(C539,Stock_list!D:L,9,FALSE)</f>
        <v>44259</v>
      </c>
      <c r="F539" s="170" t="s">
        <v>1381</v>
      </c>
      <c r="G539" s="282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2744</v>
      </c>
      <c r="B540" s="114" t="str">
        <f>VLOOKUP(A540,'Data pick slip'!B:F,5,FALSE)</f>
        <v>KHJ-MC100-00</v>
      </c>
      <c r="C540" s="169">
        <v>110244</v>
      </c>
      <c r="D540" s="156" t="str">
        <f>VLOOKUP(C540,Stock_list!D:L,2,FALSE)</f>
        <v>Stock order</v>
      </c>
      <c r="E540" s="160">
        <f>VLOOKUP(C540,Stock_list!D:L,9,FALSE)</f>
        <v>44322</v>
      </c>
      <c r="F540" s="170" t="s">
        <v>1381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2747</v>
      </c>
      <c r="B541" s="114" t="str">
        <f>VLOOKUP(A541,'Data pick slip'!B:F,5,FALSE)</f>
        <v>KHJ-MC200-00</v>
      </c>
      <c r="C541" s="169">
        <v>110244</v>
      </c>
      <c r="D541" s="156" t="str">
        <f>VLOOKUP(C541,Stock_list!D:L,2,FALSE)</f>
        <v>Stock order</v>
      </c>
      <c r="E541" s="160">
        <f>VLOOKUP(C541,Stock_list!D:L,9,FALSE)</f>
        <v>44322</v>
      </c>
      <c r="F541" s="170" t="s">
        <v>1381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2748</v>
      </c>
      <c r="B542" s="114" t="str">
        <f>VLOOKUP(A542,'Data pick slip'!B:F,5,FALSE)</f>
        <v>KHJ-MC400-00</v>
      </c>
      <c r="C542" s="169">
        <v>110244</v>
      </c>
      <c r="D542" s="156" t="str">
        <f>VLOOKUP(C542,Stock_list!D:L,2,FALSE)</f>
        <v>Stock order</v>
      </c>
      <c r="E542" s="160">
        <f>VLOOKUP(C542,Stock_list!D:L,9,FALSE)</f>
        <v>44322</v>
      </c>
      <c r="F542" s="170" t="s">
        <v>1381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2749</v>
      </c>
      <c r="B543" s="114" t="str">
        <f>VLOOKUP(A543,'Data pick slip'!B:F,5,FALSE)</f>
        <v>KHJ-MC500-00</v>
      </c>
      <c r="C543" s="169">
        <v>110244</v>
      </c>
      <c r="D543" s="156" t="str">
        <f>VLOOKUP(C543,Stock_list!D:L,2,FALSE)</f>
        <v>Stock order</v>
      </c>
      <c r="E543" s="160">
        <f>VLOOKUP(C543,Stock_list!D:L,9,FALSE)</f>
        <v>44322</v>
      </c>
      <c r="F543" s="170" t="s">
        <v>1381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2750</v>
      </c>
      <c r="B544" s="114" t="str">
        <f>VLOOKUP(A544,'Data pick slip'!B:F,5,FALSE)</f>
        <v>KHJ-MC600-00</v>
      </c>
      <c r="C544" s="169">
        <v>110244</v>
      </c>
      <c r="D544" s="156" t="str">
        <f>VLOOKUP(C544,Stock_list!D:L,2,FALSE)</f>
        <v>Stock order</v>
      </c>
      <c r="E544" s="160">
        <f>VLOOKUP(C544,Stock_list!D:L,9,FALSE)</f>
        <v>44322</v>
      </c>
      <c r="F544" s="170" t="s">
        <v>1381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2744</v>
      </c>
      <c r="B545" s="114" t="str">
        <f>VLOOKUP(A545,'Data pick slip'!B:F,5,FALSE)</f>
        <v>KHJ-MC100-00</v>
      </c>
      <c r="C545" s="169">
        <v>110245</v>
      </c>
      <c r="D545" s="156" t="str">
        <f>VLOOKUP(C545,Stock_list!D:L,2,FALSE)</f>
        <v>Stock order</v>
      </c>
      <c r="E545" s="160">
        <f>VLOOKUP(C545,Stock_list!D:L,9,FALSE)</f>
        <v>44309</v>
      </c>
      <c r="F545" s="170" t="s">
        <v>1381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2747</v>
      </c>
      <c r="B546" s="114" t="str">
        <f>VLOOKUP(A546,'Data pick slip'!B:F,5,FALSE)</f>
        <v>KHJ-MC200-00</v>
      </c>
      <c r="C546" s="169">
        <v>110245</v>
      </c>
      <c r="D546" s="156" t="str">
        <f>VLOOKUP(C546,Stock_list!D:L,2,FALSE)</f>
        <v>Stock order</v>
      </c>
      <c r="E546" s="160">
        <f>VLOOKUP(C546,Stock_list!D:L,9,FALSE)</f>
        <v>44309</v>
      </c>
      <c r="F546" s="170" t="s">
        <v>1381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2744</v>
      </c>
      <c r="B547" s="114" t="str">
        <f>VLOOKUP(A547,'Data pick slip'!B:F,5,FALSE)</f>
        <v>KHJ-MC100-00</v>
      </c>
      <c r="C547" s="169">
        <v>110246</v>
      </c>
      <c r="D547" s="156" t="str">
        <f>VLOOKUP(C547,Stock_list!D:L,2,FALSE)</f>
        <v>Stock order</v>
      </c>
      <c r="E547" s="160">
        <f>VLOOKUP(C547,Stock_list!D:L,9,FALSE)</f>
        <v>44338</v>
      </c>
      <c r="F547" s="170" t="s">
        <v>1381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2747</v>
      </c>
      <c r="B548" s="114" t="str">
        <f>VLOOKUP(A548,'Data pick slip'!B:F,5,FALSE)</f>
        <v>KHJ-MC200-00</v>
      </c>
      <c r="C548" s="169">
        <v>110246</v>
      </c>
      <c r="D548" s="156" t="str">
        <f>VLOOKUP(C548,Stock_list!D:L,2,FALSE)</f>
        <v>Stock order</v>
      </c>
      <c r="E548" s="160">
        <f>VLOOKUP(C548,Stock_list!D:L,9,FALSE)</f>
        <v>44338</v>
      </c>
      <c r="F548" s="170" t="s">
        <v>1381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2748</v>
      </c>
      <c r="B549" s="114" t="str">
        <f>VLOOKUP(A549,'Data pick slip'!B:F,5,FALSE)</f>
        <v>KHJ-MC400-00</v>
      </c>
      <c r="C549" s="169">
        <v>110246</v>
      </c>
      <c r="D549" s="156" t="str">
        <f>VLOOKUP(C549,Stock_list!D:L,2,FALSE)</f>
        <v>Stock order</v>
      </c>
      <c r="E549" s="160">
        <f>VLOOKUP(C549,Stock_list!D:L,9,FALSE)</f>
        <v>44338</v>
      </c>
      <c r="F549" s="170" t="s">
        <v>1381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2749</v>
      </c>
      <c r="B550" s="114" t="str">
        <f>VLOOKUP(A550,'Data pick slip'!B:F,5,FALSE)</f>
        <v>KHJ-MC500-00</v>
      </c>
      <c r="C550" s="169">
        <v>110246</v>
      </c>
      <c r="D550" s="156" t="str">
        <f>VLOOKUP(C550,Stock_list!D:L,2,FALSE)</f>
        <v>Stock order</v>
      </c>
      <c r="E550" s="160">
        <f>VLOOKUP(C550,Stock_list!D:L,9,FALSE)</f>
        <v>44338</v>
      </c>
      <c r="F550" s="170" t="s">
        <v>1381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2750</v>
      </c>
      <c r="B551" s="114" t="str">
        <f>VLOOKUP(A551,'Data pick slip'!B:F,5,FALSE)</f>
        <v>KHJ-MC600-00</v>
      </c>
      <c r="C551" s="169">
        <v>110246</v>
      </c>
      <c r="D551" s="156" t="str">
        <f>VLOOKUP(C551,Stock_list!D:L,2,FALSE)</f>
        <v>Stock order</v>
      </c>
      <c r="E551" s="160">
        <f>VLOOKUP(C551,Stock_list!D:L,9,FALSE)</f>
        <v>44338</v>
      </c>
      <c r="F551" s="170" t="s">
        <v>1381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2751</v>
      </c>
      <c r="B552" s="114" t="str">
        <f>VLOOKUP(A552,'Data pick slip'!B:F,5,FALSE)</f>
        <v>KHJ-MC700-00</v>
      </c>
      <c r="C552" s="169">
        <v>110246</v>
      </c>
      <c r="D552" s="156" t="str">
        <f>VLOOKUP(C552,Stock_list!D:L,2,FALSE)</f>
        <v>Stock order</v>
      </c>
      <c r="E552" s="160">
        <f>VLOOKUP(C552,Stock_list!D:L,9,FALSE)</f>
        <v>44338</v>
      </c>
      <c r="F552" s="170" t="s">
        <v>1381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2744</v>
      </c>
      <c r="B553" s="114" t="str">
        <f>VLOOKUP(A553,'Data pick slip'!B:F,5,FALSE)</f>
        <v>KHJ-MC100-00</v>
      </c>
      <c r="C553" s="169">
        <v>110436</v>
      </c>
      <c r="D553" s="156" t="str">
        <f>VLOOKUP(C553,Stock_list!D:L,2,FALSE)</f>
        <v>Stock order</v>
      </c>
      <c r="E553" s="160">
        <f>VLOOKUP(C553,Stock_list!D:L,9,FALSE)</f>
        <v>44688</v>
      </c>
      <c r="F553" s="170" t="s">
        <v>1381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2744</v>
      </c>
      <c r="B554" s="114" t="str">
        <f>VLOOKUP(A554,'Data pick slip'!B:F,5,FALSE)</f>
        <v>KHJ-MC100-00</v>
      </c>
      <c r="C554" s="169">
        <v>110416</v>
      </c>
      <c r="D554" s="156" t="str">
        <f>VLOOKUP(C554,Stock_list!D:L,2,FALSE)</f>
        <v>Stock order</v>
      </c>
      <c r="E554" s="160">
        <f>VLOOKUP(C554,Stock_list!D:L,9,FALSE)</f>
        <v>44322</v>
      </c>
      <c r="F554" s="170" t="s">
        <v>1381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2747</v>
      </c>
      <c r="B555" s="114" t="str">
        <f>VLOOKUP(A555,'Data pick slip'!B:F,5,FALSE)</f>
        <v>KHJ-MC200-00</v>
      </c>
      <c r="C555" s="169">
        <v>110416</v>
      </c>
      <c r="D555" s="156" t="str">
        <f>VLOOKUP(C555,Stock_list!D:L,2,FALSE)</f>
        <v>Stock order</v>
      </c>
      <c r="E555" s="160">
        <f>VLOOKUP(C555,Stock_list!D:L,9,FALSE)</f>
        <v>44322</v>
      </c>
      <c r="F555" s="170" t="s">
        <v>1381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2748</v>
      </c>
      <c r="B556" s="114" t="str">
        <f>VLOOKUP(A556,'Data pick slip'!B:F,5,FALSE)</f>
        <v>KHJ-MC400-00</v>
      </c>
      <c r="C556" s="169">
        <v>110416</v>
      </c>
      <c r="D556" s="156" t="str">
        <f>VLOOKUP(C556,Stock_list!D:L,2,FALSE)</f>
        <v>Stock order</v>
      </c>
      <c r="E556" s="160">
        <f>VLOOKUP(C556,Stock_list!D:L,9,FALSE)</f>
        <v>44322</v>
      </c>
      <c r="F556" s="170" t="s">
        <v>1381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2744</v>
      </c>
      <c r="B557" s="114" t="str">
        <f>VLOOKUP(A557,'Data pick slip'!B:F,5,FALSE)</f>
        <v>KHJ-MC100-00</v>
      </c>
      <c r="C557" s="169">
        <v>110437</v>
      </c>
      <c r="D557" s="156" t="str">
        <f>VLOOKUP(C557,Stock_list!D:L,2,FALSE)</f>
        <v>Stock order</v>
      </c>
      <c r="E557" s="160">
        <f>VLOOKUP(C557,Stock_list!D:L,9,FALSE)</f>
        <v>44338</v>
      </c>
      <c r="F557" s="170" t="s">
        <v>1381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2744</v>
      </c>
      <c r="B558" s="114" t="str">
        <f>VLOOKUP(A558,'Data pick slip'!B:F,5,FALSE)</f>
        <v>KHJ-MC100-00</v>
      </c>
      <c r="C558" s="169" t="s">
        <v>2932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1381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2744</v>
      </c>
      <c r="B559" s="114" t="str">
        <f>VLOOKUP(A559,'Data pick slip'!B:F,5,FALSE)</f>
        <v>KHJ-MC100-00</v>
      </c>
      <c r="C559" s="169">
        <v>110479</v>
      </c>
      <c r="D559" s="156" t="str">
        <f>VLOOKUP(C559,Stock_list!D:L,2,FALSE)</f>
        <v>Stock order</v>
      </c>
      <c r="E559" s="160">
        <f>VLOOKUP(C559,Stock_list!D:L,9,FALSE)</f>
        <v>44366</v>
      </c>
      <c r="F559" s="170" t="s">
        <v>1381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2747</v>
      </c>
      <c r="B560" s="114" t="str">
        <f>VLOOKUP(A560,'Data pick slip'!B:F,5,FALSE)</f>
        <v>KHJ-MC200-00</v>
      </c>
      <c r="C560" s="169">
        <v>110248</v>
      </c>
      <c r="D560" s="156" t="str">
        <f>VLOOKUP(C560,Stock_list!D:L,2,FALSE)</f>
        <v>Stock order</v>
      </c>
      <c r="E560" s="160">
        <f>VLOOKUP(C560,Stock_list!D:L,9,FALSE)</f>
        <v>44331</v>
      </c>
      <c r="F560" s="170" t="s">
        <v>1381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2748</v>
      </c>
      <c r="B561" s="114" t="str">
        <f>VLOOKUP(A561,'Data pick slip'!B:F,5,FALSE)</f>
        <v>KHJ-MC400-00</v>
      </c>
      <c r="C561" s="169">
        <v>110248</v>
      </c>
      <c r="D561" s="156" t="str">
        <f>VLOOKUP(C561,Stock_list!D:L,2,FALSE)</f>
        <v>Stock order</v>
      </c>
      <c r="E561" s="160">
        <f>VLOOKUP(C561,Stock_list!D:L,9,FALSE)</f>
        <v>44331</v>
      </c>
      <c r="F561" s="170" t="s">
        <v>1381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2749</v>
      </c>
      <c r="B562" s="114" t="str">
        <f>VLOOKUP(A562,'Data pick slip'!B:F,5,FALSE)</f>
        <v>KHJ-MC500-00</v>
      </c>
      <c r="C562" s="169">
        <v>110248</v>
      </c>
      <c r="D562" s="156" t="str">
        <f>VLOOKUP(C562,Stock_list!D:L,2,FALSE)</f>
        <v>Stock order</v>
      </c>
      <c r="E562" s="160">
        <f>VLOOKUP(C562,Stock_list!D:L,9,FALSE)</f>
        <v>44331</v>
      </c>
      <c r="F562" s="170" t="s">
        <v>1381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2750</v>
      </c>
      <c r="B563" s="114" t="str">
        <f>VLOOKUP(A563,'Data pick slip'!B:F,5,FALSE)</f>
        <v>KHJ-MC600-00</v>
      </c>
      <c r="C563" s="169">
        <v>110248</v>
      </c>
      <c r="D563" s="156" t="str">
        <f>VLOOKUP(C563,Stock_list!D:L,2,FALSE)</f>
        <v>Stock order</v>
      </c>
      <c r="E563" s="160">
        <f>VLOOKUP(C563,Stock_list!D:L,9,FALSE)</f>
        <v>44331</v>
      </c>
      <c r="F563" s="170" t="s">
        <v>1381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2751</v>
      </c>
      <c r="B564" s="114" t="str">
        <f>VLOOKUP(A564,'Data pick slip'!B:F,5,FALSE)</f>
        <v>KHJ-MC700-00</v>
      </c>
      <c r="C564" s="169">
        <v>110248</v>
      </c>
      <c r="D564" s="156" t="str">
        <f>VLOOKUP(C564,Stock_list!D:L,2,FALSE)</f>
        <v>Stock order</v>
      </c>
      <c r="E564" s="160">
        <f>VLOOKUP(C564,Stock_list!D:L,9,FALSE)</f>
        <v>44331</v>
      </c>
      <c r="F564" s="170" t="s">
        <v>1381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2744</v>
      </c>
      <c r="B565" s="114" t="str">
        <f>VLOOKUP(A565,'Data pick slip'!B:F,5,FALSE)</f>
        <v>KHJ-MC100-00</v>
      </c>
      <c r="C565" s="169" t="s">
        <v>2933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1381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2744</v>
      </c>
      <c r="B566" s="114" t="str">
        <f>VLOOKUP(A566,'Data pick slip'!B:F,5,FALSE)</f>
        <v>KHJ-MC100-00</v>
      </c>
      <c r="C566" s="169">
        <v>110452</v>
      </c>
      <c r="D566" s="156" t="str">
        <f>VLOOKUP(C566,Stock_list!D:L,2,FALSE)</f>
        <v>Stock order</v>
      </c>
      <c r="E566" s="160">
        <f>VLOOKUP(C566,Stock_list!D:L,9,FALSE)</f>
        <v>44366</v>
      </c>
      <c r="F566" s="170" t="s">
        <v>1381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2747</v>
      </c>
      <c r="B567" s="114" t="str">
        <f>VLOOKUP(A567,'Data pick slip'!B:F,5,FALSE)</f>
        <v>KHJ-MC200-00</v>
      </c>
      <c r="C567" s="169">
        <v>110452</v>
      </c>
      <c r="D567" s="156" t="str">
        <f>VLOOKUP(C567,Stock_list!D:L,2,FALSE)</f>
        <v>Stock order</v>
      </c>
      <c r="E567" s="160">
        <f>VLOOKUP(C567,Stock_list!D:L,9,FALSE)</f>
        <v>44366</v>
      </c>
      <c r="F567" s="170" t="s">
        <v>1381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2748</v>
      </c>
      <c r="B568" s="114" t="str">
        <f>VLOOKUP(A568,'Data pick slip'!B:F,5,FALSE)</f>
        <v>KHJ-MC400-00</v>
      </c>
      <c r="C568" s="169">
        <v>110452</v>
      </c>
      <c r="D568" s="156" t="str">
        <f>VLOOKUP(C568,Stock_list!D:L,2,FALSE)</f>
        <v>Stock order</v>
      </c>
      <c r="E568" s="160">
        <f>VLOOKUP(C568,Stock_list!D:L,9,FALSE)</f>
        <v>44366</v>
      </c>
      <c r="F568" s="170" t="s">
        <v>1381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2749</v>
      </c>
      <c r="B569" s="114" t="str">
        <f>VLOOKUP(A569,'Data pick slip'!B:F,5,FALSE)</f>
        <v>KHJ-MC500-00</v>
      </c>
      <c r="C569" s="169">
        <v>110452</v>
      </c>
      <c r="D569" s="156" t="str">
        <f>VLOOKUP(C569,Stock_list!D:L,2,FALSE)</f>
        <v>Stock order</v>
      </c>
      <c r="E569" s="160">
        <f>VLOOKUP(C569,Stock_list!D:L,9,FALSE)</f>
        <v>44366</v>
      </c>
      <c r="F569" s="170" t="s">
        <v>1381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2750</v>
      </c>
      <c r="B570" s="114" t="str">
        <f>VLOOKUP(A570,'Data pick slip'!B:F,5,FALSE)</f>
        <v>KHJ-MC600-00</v>
      </c>
      <c r="C570" s="169">
        <v>110452</v>
      </c>
      <c r="D570" s="156" t="str">
        <f>VLOOKUP(C570,Stock_list!D:L,2,FALSE)</f>
        <v>Stock order</v>
      </c>
      <c r="E570" s="160">
        <f>VLOOKUP(C570,Stock_list!D:L,9,FALSE)</f>
        <v>44366</v>
      </c>
      <c r="F570" s="170" t="s">
        <v>1381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2744</v>
      </c>
      <c r="B571" s="114" t="str">
        <f>VLOOKUP(A571,'Data pick slip'!B:F,5,FALSE)</f>
        <v>KHJ-MC100-00</v>
      </c>
      <c r="C571" s="169">
        <v>110669</v>
      </c>
      <c r="D571" s="156" t="str">
        <f>VLOOKUP(C571,Stock_list!D:L,2,FALSE)</f>
        <v>Stock order</v>
      </c>
      <c r="E571" s="160">
        <f>VLOOKUP(C571,Stock_list!D:L,9,FALSE)</f>
        <v>44553</v>
      </c>
      <c r="F571" s="170" t="s">
        <v>1381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2755</v>
      </c>
      <c r="B572" s="114" t="str">
        <f>VLOOKUP(A572,'Data pick slip'!B:F,5,FALSE)</f>
        <v>KLJ-MC100-00</v>
      </c>
      <c r="C572" s="169"/>
      <c r="D572" s="156"/>
      <c r="E572" s="160" t="s">
        <v>2934</v>
      </c>
      <c r="F572" s="170" t="s">
        <v>2773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2744</v>
      </c>
      <c r="B573" s="114" t="str">
        <f>VLOOKUP(A573,'Data pick slip'!B:F,5,FALSE)</f>
        <v>KHJ-MC100-00</v>
      </c>
      <c r="C573" s="169"/>
      <c r="D573" s="156"/>
      <c r="E573" s="141" t="s">
        <v>2935</v>
      </c>
      <c r="F573" s="170" t="s">
        <v>2773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2747</v>
      </c>
      <c r="B574" s="114" t="str">
        <f>VLOOKUP(A574,'Data pick slip'!B:F,5,FALSE)</f>
        <v>KHJ-MC200-00</v>
      </c>
      <c r="C574" s="169"/>
      <c r="D574" s="156"/>
      <c r="E574" s="141" t="s">
        <v>2935</v>
      </c>
      <c r="F574" s="170" t="s">
        <v>2773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2749</v>
      </c>
      <c r="B575" s="114" t="str">
        <f>VLOOKUP(A575,'Data pick slip'!B:F,5,FALSE)</f>
        <v>KHJ-MC500-00</v>
      </c>
      <c r="C575" s="169"/>
      <c r="D575" s="156"/>
      <c r="E575" s="141" t="s">
        <v>2935</v>
      </c>
      <c r="F575" s="170" t="s">
        <v>2773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2744</v>
      </c>
      <c r="B576" s="114" t="str">
        <f>VLOOKUP(A576,'Data pick slip'!B:F,5,FALSE)</f>
        <v>KHJ-MC100-00</v>
      </c>
      <c r="C576" s="169">
        <v>110271</v>
      </c>
      <c r="D576" s="156" t="str">
        <f>VLOOKUP(C576,Stock_list!D:L,2,FALSE)</f>
        <v>精德鸿名义下单</v>
      </c>
      <c r="E576" s="160">
        <f>VLOOKUP(C576,Stock_list!D:L,9,FALSE)</f>
        <v>44316</v>
      </c>
      <c r="F576" s="170" t="s">
        <v>1381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2747</v>
      </c>
      <c r="B577" s="114" t="str">
        <f>VLOOKUP(A577,'Data pick slip'!B:F,5,FALSE)</f>
        <v>KHJ-MC200-00</v>
      </c>
      <c r="C577" s="169">
        <v>110271</v>
      </c>
      <c r="D577" s="156" t="str">
        <f>VLOOKUP(C577,Stock_list!D:L,2,FALSE)</f>
        <v>精德鸿名义下单</v>
      </c>
      <c r="E577" s="160">
        <f>VLOOKUP(C577,Stock_list!D:L,9,FALSE)</f>
        <v>44316</v>
      </c>
      <c r="F577" s="170" t="s">
        <v>1381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2744</v>
      </c>
      <c r="B578" s="114" t="str">
        <f>VLOOKUP(A578,'Data pick slip'!B:F,5,FALSE)</f>
        <v>KHJ-MC100-00</v>
      </c>
      <c r="C578" s="169">
        <v>110272</v>
      </c>
      <c r="D578" s="156" t="str">
        <f>VLOOKUP(C578,Stock_list!D:L,2,FALSE)</f>
        <v>精德鸿名义下单</v>
      </c>
      <c r="E578" s="160">
        <f>VLOOKUP(C578,Stock_list!D:L,9,FALSE)</f>
        <v>44305</v>
      </c>
      <c r="F578" s="170" t="s">
        <v>1381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2747</v>
      </c>
      <c r="B579" s="114" t="str">
        <f>VLOOKUP(A579,'Data pick slip'!B:F,5,FALSE)</f>
        <v>KHJ-MC200-00</v>
      </c>
      <c r="C579" s="169">
        <v>110272</v>
      </c>
      <c r="D579" s="156" t="str">
        <f>VLOOKUP(C579,Stock_list!D:L,2,FALSE)</f>
        <v>精德鸿名义下单</v>
      </c>
      <c r="E579" s="160">
        <f>VLOOKUP(C579,Stock_list!D:L,9,FALSE)</f>
        <v>44305</v>
      </c>
      <c r="F579" s="170" t="s">
        <v>1381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2749</v>
      </c>
      <c r="B580" s="114" t="str">
        <f>VLOOKUP(A580,'Data pick slip'!B:F,5,FALSE)</f>
        <v>KHJ-MC500-00</v>
      </c>
      <c r="C580" s="169">
        <v>110272</v>
      </c>
      <c r="D580" s="156" t="str">
        <f>VLOOKUP(C580,Stock_list!D:L,2,FALSE)</f>
        <v>精德鸿名义下单</v>
      </c>
      <c r="E580" s="160">
        <f>VLOOKUP(C580,Stock_list!D:L,9,FALSE)</f>
        <v>44305</v>
      </c>
      <c r="F580" s="170" t="s">
        <v>1381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2750</v>
      </c>
      <c r="B581" s="114" t="str">
        <f>VLOOKUP(A581,'Data pick slip'!B:F,5,FALSE)</f>
        <v>KHJ-MC600-00</v>
      </c>
      <c r="C581" s="169">
        <v>110272</v>
      </c>
      <c r="D581" s="156" t="str">
        <f>VLOOKUP(C581,Stock_list!D:L,2,FALSE)</f>
        <v>精德鸿名义下单</v>
      </c>
      <c r="E581" s="160">
        <f>VLOOKUP(C581,Stock_list!D:L,9,FALSE)</f>
        <v>44305</v>
      </c>
      <c r="F581" s="170" t="s">
        <v>1381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2755</v>
      </c>
      <c r="B582" s="114" t="str">
        <f>VLOOKUP(A582,'Data pick slip'!B:F,5,FALSE)</f>
        <v>KLJ-MC100-00</v>
      </c>
      <c r="C582" s="169">
        <v>110274</v>
      </c>
      <c r="D582" s="156" t="str">
        <f>VLOOKUP(C582,Stock_list!D:L,2,FALSE)</f>
        <v>平方兆赫名义下单</v>
      </c>
      <c r="E582" s="160">
        <f>VLOOKUP(C582,Stock_list!D:L,9,FALSE)</f>
        <v>44300</v>
      </c>
      <c r="F582" s="170" t="s">
        <v>1381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2756</v>
      </c>
      <c r="B583" s="114" t="str">
        <f>VLOOKUP(A583,'Data pick slip'!B:F,5,FALSE)</f>
        <v>KLJ-MC200-00</v>
      </c>
      <c r="C583" s="169">
        <v>110274</v>
      </c>
      <c r="D583" s="156" t="str">
        <f>VLOOKUP(C583,Stock_list!D:L,2,FALSE)</f>
        <v>平方兆赫名义下单</v>
      </c>
      <c r="E583" s="160">
        <f>VLOOKUP(C583,Stock_list!D:L,9,FALSE)</f>
        <v>44300</v>
      </c>
      <c r="F583" s="170" t="s">
        <v>2936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2757</v>
      </c>
      <c r="B584" s="114" t="str">
        <f>VLOOKUP(A584,'Data pick slip'!B:F,5,FALSE)</f>
        <v>KLJ-MC400-00</v>
      </c>
      <c r="C584" s="169">
        <v>110274</v>
      </c>
      <c r="D584" s="156" t="str">
        <f>VLOOKUP(C584,Stock_list!D:L,2,FALSE)</f>
        <v>平方兆赫名义下单</v>
      </c>
      <c r="E584" s="160">
        <f>VLOOKUP(C584,Stock_list!D:L,9,FALSE)</f>
        <v>44300</v>
      </c>
      <c r="F584" s="170" t="s">
        <v>1381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2758</v>
      </c>
      <c r="B585" s="114" t="str">
        <f>VLOOKUP(A585,'Data pick slip'!B:F,5,FALSE)</f>
        <v>KLJ-MC500-00</v>
      </c>
      <c r="C585" s="169">
        <v>110274</v>
      </c>
      <c r="D585" s="156" t="str">
        <f>VLOOKUP(C585,Stock_list!D:L,2,FALSE)</f>
        <v>平方兆赫名义下单</v>
      </c>
      <c r="E585" s="160">
        <f>VLOOKUP(C585,Stock_list!D:L,9,FALSE)</f>
        <v>44300</v>
      </c>
      <c r="F585" s="170" t="s">
        <v>1381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2759</v>
      </c>
      <c r="B586" s="114" t="str">
        <f>VLOOKUP(A586,'Data pick slip'!B:F,5,FALSE)</f>
        <v>KLJ-MC600-00</v>
      </c>
      <c r="C586" s="169">
        <v>110274</v>
      </c>
      <c r="D586" s="156" t="str">
        <f>VLOOKUP(C586,Stock_list!D:L,2,FALSE)</f>
        <v>平方兆赫名义下单</v>
      </c>
      <c r="E586" s="160">
        <f>VLOOKUP(C586,Stock_list!D:L,9,FALSE)</f>
        <v>44300</v>
      </c>
      <c r="F586" s="170" t="s">
        <v>1381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2744</v>
      </c>
      <c r="B587" s="114" t="str">
        <f>VLOOKUP(A587,'Data pick slip'!B:F,5,FALSE)</f>
        <v>KHJ-MC100-00</v>
      </c>
      <c r="C587" s="169" t="s">
        <v>2937</v>
      </c>
      <c r="D587" s="265" t="s">
        <v>2938</v>
      </c>
      <c r="E587" s="160">
        <v>44283</v>
      </c>
      <c r="F587" s="170" t="s">
        <v>1381</v>
      </c>
      <c r="G587" s="171" t="s">
        <v>2939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2744</v>
      </c>
      <c r="B588" s="114" t="str">
        <f>VLOOKUP(A588,'Data pick slip'!B:F,5,FALSE)</f>
        <v>KHJ-MC100-00</v>
      </c>
      <c r="C588" s="169" t="s">
        <v>2940</v>
      </c>
      <c r="D588" s="265" t="s">
        <v>2941</v>
      </c>
      <c r="E588" s="160" t="s">
        <v>258</v>
      </c>
      <c r="F588" s="170" t="s">
        <v>1381</v>
      </c>
      <c r="G588" s="171" t="s">
        <v>2942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2744</v>
      </c>
      <c r="B589" s="114" t="str">
        <f>VLOOKUP(A589,'Data pick slip'!B:F,5,FALSE)</f>
        <v>KHJ-MC100-00</v>
      </c>
      <c r="C589" s="169" t="s">
        <v>2943</v>
      </c>
      <c r="D589" s="265" t="s">
        <v>2944</v>
      </c>
      <c r="E589" s="160">
        <v>44283</v>
      </c>
      <c r="F589" s="170" t="s">
        <v>1381</v>
      </c>
      <c r="G589" s="171" t="s">
        <v>2939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2744</v>
      </c>
      <c r="B590" s="114" t="str">
        <f>VLOOKUP(A590,'Data pick slip'!B:F,5,FALSE)</f>
        <v>KHJ-MC100-00</v>
      </c>
      <c r="C590" s="169" t="s">
        <v>2945</v>
      </c>
      <c r="D590" s="265" t="s">
        <v>2946</v>
      </c>
      <c r="E590" s="160">
        <v>44283</v>
      </c>
      <c r="F590" s="170" t="s">
        <v>1381</v>
      </c>
      <c r="G590" s="171" t="s">
        <v>2939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2744</v>
      </c>
      <c r="B591" s="114" t="str">
        <f>VLOOKUP(A591,'Data pick slip'!B:F,5,FALSE)</f>
        <v>KHJ-MC100-00</v>
      </c>
      <c r="C591" s="169" t="s">
        <v>2947</v>
      </c>
      <c r="D591" s="265" t="s">
        <v>2948</v>
      </c>
      <c r="E591" s="160">
        <v>44283</v>
      </c>
      <c r="F591" s="170" t="s">
        <v>1381</v>
      </c>
      <c r="G591" s="171" t="s">
        <v>2949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2752</v>
      </c>
      <c r="B592" s="114" t="str">
        <f>VLOOKUP(A592,'Data pick slip'!B:F,5,FALSE)</f>
        <v>KHJ-MC800-00</v>
      </c>
      <c r="C592" s="169"/>
      <c r="D592" s="156"/>
      <c r="E592" s="160" t="s">
        <v>2950</v>
      </c>
      <c r="F592" s="170" t="s">
        <v>2773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2744</v>
      </c>
      <c r="B593" s="114" t="str">
        <f>VLOOKUP(A593,'Data pick slip'!B:F,5,FALSE)</f>
        <v>KHJ-MC100-00</v>
      </c>
      <c r="C593" s="169" t="s">
        <v>2951</v>
      </c>
      <c r="D593" s="169" t="e">
        <f>VLOOKUP(C593,Stock_list!D:L,2,FALSE)</f>
        <v>#N/A</v>
      </c>
      <c r="E593" s="281" t="e">
        <f>VLOOKUP(C593,Stock_list!D:L,9,FALSE)</f>
        <v>#N/A</v>
      </c>
      <c r="F593" s="170" t="s">
        <v>1381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2744</v>
      </c>
      <c r="B594" s="114" t="str">
        <f>VLOOKUP(A594,'Data pick slip'!B:F,5,FALSE)</f>
        <v>KHJ-MC100-00</v>
      </c>
      <c r="C594" s="169">
        <v>110314</v>
      </c>
      <c r="D594" s="169" t="str">
        <f>VLOOKUP(C594,Stock_list!D:L,2,FALSE)</f>
        <v>超思维名义下单</v>
      </c>
      <c r="E594" s="281">
        <f>VLOOKUP(C594,Stock_list!D:L,9,FALSE)</f>
        <v>44421</v>
      </c>
      <c r="F594" s="170" t="s">
        <v>1381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2747</v>
      </c>
      <c r="B595" s="114" t="str">
        <f>VLOOKUP(A595,'Data pick slip'!B:F,5,FALSE)</f>
        <v>KHJ-MC200-00</v>
      </c>
      <c r="C595" s="169">
        <v>110314</v>
      </c>
      <c r="D595" s="169" t="str">
        <f>VLOOKUP(C595,Stock_list!D:L,2,FALSE)</f>
        <v>超思维名义下单</v>
      </c>
      <c r="E595" s="281">
        <f>VLOOKUP(C595,Stock_list!D:L,9,FALSE)</f>
        <v>44421</v>
      </c>
      <c r="F595" s="170" t="s">
        <v>1381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2748</v>
      </c>
      <c r="B596" s="114" t="str">
        <f>VLOOKUP(A596,'Data pick slip'!B:F,5,FALSE)</f>
        <v>KHJ-MC400-00</v>
      </c>
      <c r="C596" s="169">
        <v>110314</v>
      </c>
      <c r="D596" s="169" t="str">
        <f>VLOOKUP(C596,Stock_list!D:L,2,FALSE)</f>
        <v>超思维名义下单</v>
      </c>
      <c r="E596" s="281">
        <f>VLOOKUP(C596,Stock_list!D:L,9,FALSE)</f>
        <v>44421</v>
      </c>
      <c r="F596" s="170" t="s">
        <v>1381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2749</v>
      </c>
      <c r="B597" s="114" t="str">
        <f>VLOOKUP(A597,'Data pick slip'!B:F,5,FALSE)</f>
        <v>KHJ-MC500-00</v>
      </c>
      <c r="C597" s="169">
        <v>110314</v>
      </c>
      <c r="D597" s="169" t="str">
        <f>VLOOKUP(C597,Stock_list!D:L,2,FALSE)</f>
        <v>超思维名义下单</v>
      </c>
      <c r="E597" s="281">
        <f>VLOOKUP(C597,Stock_list!D:L,9,FALSE)</f>
        <v>44421</v>
      </c>
      <c r="F597" s="170" t="s">
        <v>1381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2750</v>
      </c>
      <c r="B598" s="114" t="str">
        <f>VLOOKUP(A598,'Data pick slip'!B:F,5,FALSE)</f>
        <v>KHJ-MC600-00</v>
      </c>
      <c r="C598" s="169">
        <v>110314</v>
      </c>
      <c r="D598" s="169" t="str">
        <f>VLOOKUP(C598,Stock_list!D:L,2,FALSE)</f>
        <v>超思维名义下单</v>
      </c>
      <c r="E598" s="281">
        <f>VLOOKUP(C598,Stock_list!D:L,9,FALSE)</f>
        <v>44421</v>
      </c>
      <c r="F598" s="170" t="s">
        <v>1381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2751</v>
      </c>
      <c r="B599" s="114" t="str">
        <f>VLOOKUP(A599,'Data pick slip'!B:F,5,FALSE)</f>
        <v>KHJ-MC700-00</v>
      </c>
      <c r="C599" s="169">
        <v>110314</v>
      </c>
      <c r="D599" s="169" t="str">
        <f>VLOOKUP(C599,Stock_list!D:L,2,FALSE)</f>
        <v>超思维名义下单</v>
      </c>
      <c r="E599" s="281">
        <f>VLOOKUP(C599,Stock_list!D:L,9,FALSE)</f>
        <v>44421</v>
      </c>
      <c r="F599" s="170" t="s">
        <v>1381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2744</v>
      </c>
      <c r="B600" s="114" t="str">
        <f>VLOOKUP(A600,'Data pick slip'!B:F,5,FALSE)</f>
        <v>KHJ-MC100-00</v>
      </c>
      <c r="C600" s="169"/>
      <c r="D600" s="156"/>
      <c r="E600" s="141" t="s">
        <v>2952</v>
      </c>
      <c r="F600" s="170" t="s">
        <v>2773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2747</v>
      </c>
      <c r="B601" s="114" t="str">
        <f>VLOOKUP(A601,'Data pick slip'!B:F,5,FALSE)</f>
        <v>KHJ-MC200-00</v>
      </c>
      <c r="C601" s="169"/>
      <c r="D601" s="156"/>
      <c r="E601" s="141" t="s">
        <v>2952</v>
      </c>
      <c r="F601" s="170" t="s">
        <v>2773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2755</v>
      </c>
      <c r="B602" s="114" t="str">
        <f>VLOOKUP(A602,'Data pick slip'!B:F,5,FALSE)</f>
        <v>KLJ-MC100-00</v>
      </c>
      <c r="C602" s="169">
        <v>110333</v>
      </c>
      <c r="D602" s="169" t="str">
        <f>VLOOKUP(C602,Stock_list!D:L,2,FALSE)</f>
        <v>龙大名义下单</v>
      </c>
      <c r="E602" s="281">
        <f>VLOOKUP(C602,Stock_list!D:L,9,FALSE)</f>
        <v>44309</v>
      </c>
      <c r="F602" s="170" t="s">
        <v>1381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2756</v>
      </c>
      <c r="B603" s="114" t="str">
        <f>VLOOKUP(A603,'Data pick slip'!B:F,5,FALSE)</f>
        <v>KLJ-MC200-00</v>
      </c>
      <c r="C603" s="169">
        <v>110333</v>
      </c>
      <c r="D603" s="169" t="str">
        <f>VLOOKUP(C603,Stock_list!D:L,2,FALSE)</f>
        <v>龙大名义下单</v>
      </c>
      <c r="E603" s="281">
        <f>VLOOKUP(C603,Stock_list!D:L,9,FALSE)</f>
        <v>44309</v>
      </c>
      <c r="F603" s="170" t="s">
        <v>1381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2757</v>
      </c>
      <c r="B604" s="114" t="str">
        <f>VLOOKUP(A604,'Data pick slip'!B:F,5,FALSE)</f>
        <v>KLJ-MC400-00</v>
      </c>
      <c r="C604" s="169">
        <v>110333</v>
      </c>
      <c r="D604" s="169" t="str">
        <f>VLOOKUP(C604,Stock_list!D:L,2,FALSE)</f>
        <v>龙大名义下单</v>
      </c>
      <c r="E604" s="281">
        <f>VLOOKUP(C604,Stock_list!D:L,9,FALSE)</f>
        <v>44309</v>
      </c>
      <c r="F604" s="170" t="s">
        <v>1381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2744</v>
      </c>
      <c r="B605" s="114" t="str">
        <f>VLOOKUP(A605,'Data pick slip'!B:F,5,FALSE)</f>
        <v>KHJ-MC100-00</v>
      </c>
      <c r="C605" s="169">
        <v>110383</v>
      </c>
      <c r="D605" s="169" t="str">
        <f>VLOOKUP(C605,Stock_list!D:L,2,FALSE)</f>
        <v>正创名义下单</v>
      </c>
      <c r="E605" s="281">
        <f>VLOOKUP(C605,Stock_list!D:L,9,FALSE)</f>
        <v>44400</v>
      </c>
      <c r="F605" s="170" t="s">
        <v>1381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2747</v>
      </c>
      <c r="B606" s="114" t="str">
        <f>VLOOKUP(A606,'Data pick slip'!B:F,5,FALSE)</f>
        <v>KHJ-MC200-00</v>
      </c>
      <c r="C606" s="169">
        <v>110383</v>
      </c>
      <c r="D606" s="169" t="str">
        <f>VLOOKUP(C606,Stock_list!D:L,2,FALSE)</f>
        <v>正创名义下单</v>
      </c>
      <c r="E606" s="281">
        <f>VLOOKUP(C606,Stock_list!D:L,9,FALSE)</f>
        <v>44400</v>
      </c>
      <c r="F606" s="170" t="s">
        <v>1381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2748</v>
      </c>
      <c r="B607" s="114" t="str">
        <f>VLOOKUP(A607,'Data pick slip'!B:F,5,FALSE)</f>
        <v>KHJ-MC400-00</v>
      </c>
      <c r="C607" s="169">
        <v>110383</v>
      </c>
      <c r="D607" s="169" t="str">
        <f>VLOOKUP(C607,Stock_list!D:L,2,FALSE)</f>
        <v>正创名义下单</v>
      </c>
      <c r="E607" s="281">
        <f>VLOOKUP(C607,Stock_list!D:L,9,FALSE)</f>
        <v>44400</v>
      </c>
      <c r="F607" s="170" t="s">
        <v>1381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2752</v>
      </c>
      <c r="B608" s="114" t="str">
        <f>VLOOKUP(A608,'Data pick slip'!B:F,5,FALSE)</f>
        <v>KHJ-MC800-00</v>
      </c>
      <c r="C608" s="169">
        <v>110383</v>
      </c>
      <c r="D608" s="169" t="str">
        <f>VLOOKUP(C608,Stock_list!D:L,2,FALSE)</f>
        <v>正创名义下单</v>
      </c>
      <c r="E608" s="281">
        <f>VLOOKUP(C608,Stock_list!D:L,9,FALSE)</f>
        <v>44400</v>
      </c>
      <c r="F608" s="170" t="s">
        <v>1381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2744</v>
      </c>
      <c r="B609" s="114" t="str">
        <f>VLOOKUP(A609,'Data pick slip'!B:F,5,FALSE)</f>
        <v>KHJ-MC100-00</v>
      </c>
      <c r="C609" s="169">
        <v>110384</v>
      </c>
      <c r="D609" s="169" t="str">
        <f>VLOOKUP(C609,Stock_list!D:L,2,FALSE)</f>
        <v>正创名义下单</v>
      </c>
      <c r="E609" s="160">
        <f>VLOOKUP(C609,Stock_list!D:L,9,FALSE)</f>
        <v>44346</v>
      </c>
      <c r="F609" s="170" t="s">
        <v>1381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2747</v>
      </c>
      <c r="B610" s="114" t="str">
        <f>VLOOKUP(A610,'Data pick slip'!B:F,5,FALSE)</f>
        <v>KHJ-MC200-00</v>
      </c>
      <c r="C610" s="169">
        <v>110384</v>
      </c>
      <c r="D610" s="169" t="str">
        <f>VLOOKUP(C610,Stock_list!D:L,2,FALSE)</f>
        <v>正创名义下单</v>
      </c>
      <c r="E610" s="160">
        <f>VLOOKUP(C610,Stock_list!D:L,9,FALSE)</f>
        <v>44346</v>
      </c>
      <c r="F610" s="170" t="s">
        <v>1381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4.1" customHeight="1">
      <c r="A611" s="181" t="s">
        <v>2748</v>
      </c>
      <c r="B611" s="114" t="str">
        <f>VLOOKUP(A611,'Data pick slip'!B:F,5,FALSE)</f>
        <v>KHJ-MC400-00</v>
      </c>
      <c r="C611" s="169">
        <v>110384</v>
      </c>
      <c r="D611" s="169" t="str">
        <f>VLOOKUP(C611,Stock_list!D:L,2,FALSE)</f>
        <v>正创名义下单</v>
      </c>
      <c r="E611" s="160">
        <f>VLOOKUP(C611,Stock_list!D:L,9,FALSE)</f>
        <v>44346</v>
      </c>
      <c r="F611" s="170" t="s">
        <v>1381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2744</v>
      </c>
      <c r="B612" s="114" t="str">
        <f>VLOOKUP(A612,'Data pick slip'!B:F,5,FALSE)</f>
        <v>KHJ-MC100-00</v>
      </c>
      <c r="C612" s="169">
        <v>110441</v>
      </c>
      <c r="D612" s="169" t="str">
        <f>VLOOKUP(C612,Stock_list!D:L,2,FALSE)</f>
        <v>正创名义下单</v>
      </c>
      <c r="E612" s="281">
        <f>VLOOKUP(C612,Stock_list!D:L,9,FALSE)</f>
        <v>44397</v>
      </c>
      <c r="F612" s="170" t="s">
        <v>1381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2744</v>
      </c>
      <c r="B613" s="114" t="str">
        <f>VLOOKUP(A613,'Data pick slip'!B:F,5,FALSE)</f>
        <v>KHJ-MC100-00</v>
      </c>
      <c r="C613" s="169"/>
      <c r="D613" s="169" t="s">
        <v>242</v>
      </c>
      <c r="E613" s="141" t="s">
        <v>2953</v>
      </c>
      <c r="F613" s="170" t="s">
        <v>2773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2747</v>
      </c>
      <c r="B614" s="114" t="str">
        <f>VLOOKUP(A614,'Data pick slip'!B:F,5,FALSE)</f>
        <v>KHJ-MC200-00</v>
      </c>
      <c r="C614" s="169"/>
      <c r="D614" s="169"/>
      <c r="E614" s="141" t="s">
        <v>2953</v>
      </c>
      <c r="F614" s="170" t="s">
        <v>2773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2748</v>
      </c>
      <c r="B615" s="114" t="str">
        <f>VLOOKUP(A615,'Data pick slip'!B:F,5,FALSE)</f>
        <v>KHJ-MC400-00</v>
      </c>
      <c r="C615" s="169"/>
      <c r="D615" s="169"/>
      <c r="E615" s="141" t="s">
        <v>2953</v>
      </c>
      <c r="F615" s="170" t="s">
        <v>2773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2749</v>
      </c>
      <c r="B616" s="114" t="str">
        <f>VLOOKUP(A616,'Data pick slip'!B:F,5,FALSE)</f>
        <v>KHJ-MC500-00</v>
      </c>
      <c r="C616" s="169"/>
      <c r="D616" s="169"/>
      <c r="E616" s="141" t="s">
        <v>2953</v>
      </c>
      <c r="F616" s="170" t="s">
        <v>2773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2755</v>
      </c>
      <c r="B617" s="114" t="str">
        <f>VLOOKUP(A617,'Data pick slip'!B:F,5,FALSE)</f>
        <v>KLJ-MC100-00</v>
      </c>
      <c r="C617" s="169" t="s">
        <v>2954</v>
      </c>
      <c r="D617" s="169" t="e">
        <f>VLOOKUP(C617,Stock_list!D:L,2,FALSE)</f>
        <v>#N/A</v>
      </c>
      <c r="E617" s="281" t="e">
        <f>VLOOKUP(C617,Stock_list!D:L,9,FALSE)</f>
        <v>#N/A</v>
      </c>
      <c r="F617" s="170" t="s">
        <v>1381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2756</v>
      </c>
      <c r="B618" s="114" t="str">
        <f>VLOOKUP(A618,'Data pick slip'!B:F,5,FALSE)</f>
        <v>KLJ-MC200-00</v>
      </c>
      <c r="C618" s="169">
        <v>110413</v>
      </c>
      <c r="D618" s="169" t="str">
        <f>VLOOKUP(C618,Stock_list!D:L,2,FALSE)</f>
        <v>杉川名义</v>
      </c>
      <c r="E618" s="281">
        <f>VLOOKUP(C618,Stock_list!D:L,9,FALSE)</f>
        <v>44399</v>
      </c>
      <c r="F618" s="170" t="s">
        <v>1381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2757</v>
      </c>
      <c r="B619" s="114" t="str">
        <f>VLOOKUP(A619,'Data pick slip'!B:F,5,FALSE)</f>
        <v>KLJ-MC400-00</v>
      </c>
      <c r="C619" s="169">
        <v>110413</v>
      </c>
      <c r="D619" s="169" t="str">
        <f>VLOOKUP(C619,Stock_list!D:L,2,FALSE)</f>
        <v>杉川名义</v>
      </c>
      <c r="E619" s="281">
        <f>VLOOKUP(C619,Stock_list!D:L,9,FALSE)</f>
        <v>44399</v>
      </c>
      <c r="F619" s="170" t="s">
        <v>1381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2758</v>
      </c>
      <c r="B620" s="114" t="str">
        <f>VLOOKUP(A620,'Data pick slip'!B:F,5,FALSE)</f>
        <v>KLJ-MC500-00</v>
      </c>
      <c r="C620" s="169">
        <v>110413</v>
      </c>
      <c r="D620" s="169" t="str">
        <f>VLOOKUP(C620,Stock_list!D:L,2,FALSE)</f>
        <v>杉川名义</v>
      </c>
      <c r="E620" s="281">
        <f>VLOOKUP(C620,Stock_list!D:L,9,FALSE)</f>
        <v>44399</v>
      </c>
      <c r="F620" s="170" t="s">
        <v>1381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2759</v>
      </c>
      <c r="B621" s="114" t="str">
        <f>VLOOKUP(A621,'Data pick slip'!B:F,5,FALSE)</f>
        <v>KLJ-MC600-00</v>
      </c>
      <c r="C621" s="169">
        <v>110413</v>
      </c>
      <c r="D621" s="169" t="str">
        <f>VLOOKUP(C621,Stock_list!D:L,2,FALSE)</f>
        <v>杉川名义</v>
      </c>
      <c r="E621" s="281">
        <f>VLOOKUP(C621,Stock_list!D:L,9,FALSE)</f>
        <v>44399</v>
      </c>
      <c r="F621" s="170" t="s">
        <v>1381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2755</v>
      </c>
      <c r="B622" s="114" t="str">
        <f>VLOOKUP(A622,'Data pick slip'!B:F,5,FALSE)</f>
        <v>KLJ-MC100-00</v>
      </c>
      <c r="C622" s="169">
        <v>110402</v>
      </c>
      <c r="D622" s="169" t="str">
        <f>VLOOKUP(C622,Stock_list!D:L,2,FALSE)</f>
        <v>杉川名义</v>
      </c>
      <c r="E622" s="281">
        <f>VLOOKUP(C622,Stock_list!D:L,9,FALSE)</f>
        <v>44375</v>
      </c>
      <c r="F622" s="170" t="s">
        <v>1381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2756</v>
      </c>
      <c r="B623" s="114" t="str">
        <f>VLOOKUP(A623,'Data pick slip'!B:F,5,FALSE)</f>
        <v>KLJ-MC200-00</v>
      </c>
      <c r="C623" s="169">
        <v>110402</v>
      </c>
      <c r="D623" s="169" t="str">
        <f>VLOOKUP(C623,Stock_list!D:L,2,FALSE)</f>
        <v>杉川名义</v>
      </c>
      <c r="E623" s="281">
        <f>VLOOKUP(C623,Stock_list!D:L,9,FALSE)</f>
        <v>44375</v>
      </c>
      <c r="F623" s="170" t="s">
        <v>1381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2757</v>
      </c>
      <c r="B624" s="114" t="str">
        <f>VLOOKUP(A624,'Data pick slip'!B:F,5,FALSE)</f>
        <v>KLJ-MC400-00</v>
      </c>
      <c r="C624" s="169">
        <v>110402</v>
      </c>
      <c r="D624" s="169" t="str">
        <f>VLOOKUP(C624,Stock_list!D:L,2,FALSE)</f>
        <v>杉川名义</v>
      </c>
      <c r="E624" s="281">
        <f>VLOOKUP(C624,Stock_list!D:L,9,FALSE)</f>
        <v>44375</v>
      </c>
      <c r="F624" s="170" t="s">
        <v>1381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2758</v>
      </c>
      <c r="B625" s="114" t="str">
        <f>VLOOKUP(A625,'Data pick slip'!B:F,5,FALSE)</f>
        <v>KLJ-MC500-00</v>
      </c>
      <c r="C625" s="169">
        <v>110402</v>
      </c>
      <c r="D625" s="169" t="str">
        <f>VLOOKUP(C625,Stock_list!D:L,2,FALSE)</f>
        <v>杉川名义</v>
      </c>
      <c r="E625" s="281">
        <f>VLOOKUP(C625,Stock_list!D:L,9,FALSE)</f>
        <v>44375</v>
      </c>
      <c r="F625" s="170" t="s">
        <v>1381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2759</v>
      </c>
      <c r="B626" s="114" t="str">
        <f>VLOOKUP(A626,'Data pick slip'!B:F,5,FALSE)</f>
        <v>KLJ-MC600-00</v>
      </c>
      <c r="C626" s="169">
        <v>110402</v>
      </c>
      <c r="D626" s="169" t="str">
        <f>VLOOKUP(C626,Stock_list!D:L,2,FALSE)</f>
        <v>杉川名义</v>
      </c>
      <c r="E626" s="281">
        <f>VLOOKUP(C626,Stock_list!D:L,9,FALSE)</f>
        <v>44375</v>
      </c>
      <c r="F626" s="170" t="s">
        <v>1381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2760</v>
      </c>
      <c r="B627" s="114" t="str">
        <f>VLOOKUP(A627,'Data pick slip'!B:F,5,FALSE)</f>
        <v>KLJ-MC700-00</v>
      </c>
      <c r="C627" s="169">
        <v>110413</v>
      </c>
      <c r="D627" s="169" t="str">
        <f>VLOOKUP(C627,Stock_list!D:L,2,FALSE)</f>
        <v>杉川名义</v>
      </c>
      <c r="E627" s="281">
        <f>VLOOKUP(C627,Stock_list!D:L,9,FALSE)</f>
        <v>44399</v>
      </c>
      <c r="F627" s="170" t="s">
        <v>1381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2744</v>
      </c>
      <c r="B628" s="114" t="str">
        <f>VLOOKUP(A628,'Data pick slip'!B:F,5,FALSE)</f>
        <v>KHJ-MC100-00</v>
      </c>
      <c r="C628" s="169"/>
      <c r="D628" s="169"/>
      <c r="E628" s="281" t="s">
        <v>2955</v>
      </c>
      <c r="F628" s="170" t="s">
        <v>2753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2747</v>
      </c>
      <c r="B629" s="114" t="str">
        <f>VLOOKUP(A629,'Data pick slip'!B:F,5,FALSE)</f>
        <v>KHJ-MC200-00</v>
      </c>
      <c r="C629" s="169"/>
      <c r="D629" s="169"/>
      <c r="E629" s="281" t="s">
        <v>2955</v>
      </c>
      <c r="F629" s="170" t="s">
        <v>2753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2755</v>
      </c>
      <c r="B630" s="114" t="str">
        <f>VLOOKUP(A630,'Data pick slip'!B:F,5,FALSE)</f>
        <v>KLJ-MC100-00</v>
      </c>
      <c r="C630" s="169"/>
      <c r="D630" s="169"/>
      <c r="E630" s="281" t="s">
        <v>2955</v>
      </c>
      <c r="F630" s="170" t="s">
        <v>2753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2750</v>
      </c>
      <c r="B631" s="114" t="str">
        <f>VLOOKUP(A631,'Data pick slip'!B:F,5,FALSE)</f>
        <v>KHJ-MC600-00</v>
      </c>
      <c r="C631" s="169"/>
      <c r="D631" s="169"/>
      <c r="E631" s="281" t="s">
        <v>2955</v>
      </c>
      <c r="F631" s="170" t="s">
        <v>2753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2744</v>
      </c>
      <c r="B632" s="114" t="str">
        <f>VLOOKUP(A632,'Data pick slip'!B:F,5,FALSE)</f>
        <v>KHJ-MC100-00</v>
      </c>
      <c r="C632" s="169"/>
      <c r="D632" s="169"/>
      <c r="E632" s="281" t="s">
        <v>2956</v>
      </c>
      <c r="F632" s="170" t="s">
        <v>2753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2747</v>
      </c>
      <c r="B633" s="114" t="str">
        <f>VLOOKUP(A633,'Data pick slip'!B:F,5,FALSE)</f>
        <v>KHJ-MC200-00</v>
      </c>
      <c r="C633" s="169"/>
      <c r="D633" s="169"/>
      <c r="E633" s="281" t="s">
        <v>2956</v>
      </c>
      <c r="F633" s="170" t="s">
        <v>2753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2759</v>
      </c>
      <c r="B634" s="114" t="str">
        <f>VLOOKUP(A634,'Data pick slip'!B:F,5,FALSE)</f>
        <v>KLJ-MC600-00</v>
      </c>
      <c r="C634" s="169"/>
      <c r="D634" s="169"/>
      <c r="E634" s="281" t="s">
        <v>2956</v>
      </c>
      <c r="F634" s="170" t="s">
        <v>2753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2744</v>
      </c>
      <c r="B635" s="114" t="str">
        <f>VLOOKUP(A635,'Data pick slip'!B:F,5,FALSE)</f>
        <v>KHJ-MC100-00</v>
      </c>
      <c r="C635" s="169"/>
      <c r="D635" s="169"/>
      <c r="E635" s="281" t="s">
        <v>2957</v>
      </c>
      <c r="F635" s="170" t="s">
        <v>2753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2747</v>
      </c>
      <c r="B636" s="114" t="str">
        <f>VLOOKUP(A636,'Data pick slip'!B:F,5,FALSE)</f>
        <v>KHJ-MC200-00</v>
      </c>
      <c r="C636" s="169"/>
      <c r="D636" s="169"/>
      <c r="E636" s="281" t="s">
        <v>2957</v>
      </c>
      <c r="F636" s="170" t="s">
        <v>2753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2744</v>
      </c>
      <c r="B637" s="114" t="str">
        <f>VLOOKUP(A637,'Data pick slip'!B:F,5,FALSE)</f>
        <v>KHJ-MC100-00</v>
      </c>
      <c r="C637" s="169"/>
      <c r="D637" s="169"/>
      <c r="E637" s="281" t="s">
        <v>2958</v>
      </c>
      <c r="F637" s="170" t="s">
        <v>2753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2747</v>
      </c>
      <c r="B638" s="114" t="str">
        <f>VLOOKUP(A638,'Data pick slip'!B:F,5,FALSE)</f>
        <v>KHJ-MC200-00</v>
      </c>
      <c r="C638" s="169"/>
      <c r="D638" s="169"/>
      <c r="E638" s="281" t="s">
        <v>2958</v>
      </c>
      <c r="F638" s="170" t="s">
        <v>2753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2744</v>
      </c>
      <c r="B639" s="114" t="str">
        <f>VLOOKUP(A639,'Data pick slip'!B:F,5,FALSE)</f>
        <v>KHJ-MC100-00</v>
      </c>
      <c r="C639" s="169"/>
      <c r="D639" s="169"/>
      <c r="E639" s="281" t="s">
        <v>2959</v>
      </c>
      <c r="F639" s="170" t="s">
        <v>2753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2747</v>
      </c>
      <c r="B640" s="114" t="str">
        <f>VLOOKUP(A640,'Data pick slip'!B:F,5,FALSE)</f>
        <v>KHJ-MC200-00</v>
      </c>
      <c r="C640" s="169"/>
      <c r="D640" s="169"/>
      <c r="E640" s="281" t="s">
        <v>2959</v>
      </c>
      <c r="F640" s="170" t="s">
        <v>2753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2755</v>
      </c>
      <c r="B641" s="114" t="str">
        <f>VLOOKUP(A641,'Data pick slip'!B:F,5,FALSE)</f>
        <v>KLJ-MC100-00</v>
      </c>
      <c r="C641" s="169"/>
      <c r="D641" s="169"/>
      <c r="E641" s="281" t="s">
        <v>2959</v>
      </c>
      <c r="F641" s="170" t="s">
        <v>2753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2756</v>
      </c>
      <c r="B642" s="114" t="str">
        <f>VLOOKUP(A642,'Data pick slip'!B:F,5,FALSE)</f>
        <v>KLJ-MC200-00</v>
      </c>
      <c r="C642" s="169"/>
      <c r="D642" s="169"/>
      <c r="E642" s="281" t="s">
        <v>2959</v>
      </c>
      <c r="F642" s="170" t="s">
        <v>2753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2757</v>
      </c>
      <c r="B643" s="114" t="str">
        <f>VLOOKUP(A643,'Data pick slip'!B:F,5,FALSE)</f>
        <v>KLJ-MC400-00</v>
      </c>
      <c r="C643" s="169"/>
      <c r="D643" s="169"/>
      <c r="E643" s="281" t="s">
        <v>2959</v>
      </c>
      <c r="F643" s="170" t="s">
        <v>2753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2758</v>
      </c>
      <c r="B644" s="114" t="str">
        <f>VLOOKUP(A644,'Data pick slip'!B:F,5,FALSE)</f>
        <v>KLJ-MC500-00</v>
      </c>
      <c r="C644" s="169"/>
      <c r="D644" s="169"/>
      <c r="E644" s="281" t="s">
        <v>2959</v>
      </c>
      <c r="F644" s="170" t="s">
        <v>2753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2759</v>
      </c>
      <c r="B645" s="114" t="str">
        <f>VLOOKUP(A645,'Data pick slip'!B:F,5,FALSE)</f>
        <v>KLJ-MC600-00</v>
      </c>
      <c r="C645" s="169"/>
      <c r="D645" s="169"/>
      <c r="E645" s="281" t="s">
        <v>2959</v>
      </c>
      <c r="F645" s="170" t="s">
        <v>2753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2744</v>
      </c>
      <c r="B646" s="114" t="str">
        <f>VLOOKUP(A646,'Data pick slip'!B:F,5,FALSE)</f>
        <v>KHJ-MC100-00</v>
      </c>
      <c r="C646" s="169">
        <v>110459</v>
      </c>
      <c r="D646" s="169" t="str">
        <f>VLOOKUP(C646,Stock_list!D:L,2,FALSE)</f>
        <v>海红天远名义下单</v>
      </c>
      <c r="E646" s="281">
        <f>VLOOKUP(C646,Stock_list!D:L,9,FALSE)</f>
        <v>44537</v>
      </c>
      <c r="F646" s="170" t="s">
        <v>1381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2747</v>
      </c>
      <c r="B647" s="114" t="str">
        <f>VLOOKUP(A647,'Data pick slip'!B:F,5,FALSE)</f>
        <v>KHJ-MC200-00</v>
      </c>
      <c r="C647" s="169">
        <v>110459</v>
      </c>
      <c r="D647" s="169" t="str">
        <f>VLOOKUP(C647,Stock_list!D:L,2,FALSE)</f>
        <v>海红天远名义下单</v>
      </c>
      <c r="E647" s="281">
        <f>VLOOKUP(C647,Stock_list!D:L,9,FALSE)</f>
        <v>44537</v>
      </c>
      <c r="F647" s="170" t="s">
        <v>1381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2748</v>
      </c>
      <c r="B648" s="114" t="str">
        <f>VLOOKUP(A648,'Data pick slip'!B:F,5,FALSE)</f>
        <v>KHJ-MC400-00</v>
      </c>
      <c r="C648" s="169">
        <v>110459</v>
      </c>
      <c r="D648" s="169" t="str">
        <f>VLOOKUP(C648,Stock_list!D:L,2,FALSE)</f>
        <v>海红天远名义下单</v>
      </c>
      <c r="E648" s="281">
        <f>VLOOKUP(C648,Stock_list!D:L,9,FALSE)</f>
        <v>44537</v>
      </c>
      <c r="F648" s="170" t="s">
        <v>1381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2768</v>
      </c>
      <c r="B649" s="114" t="str">
        <f>VLOOKUP(A649,'Data pick slip'!B:F,5,FALSE)</f>
        <v>KHJ-MC100-00</v>
      </c>
      <c r="C649" s="169"/>
      <c r="D649" s="169"/>
      <c r="E649" s="281" t="s">
        <v>2960</v>
      </c>
      <c r="F649" s="170" t="s">
        <v>2753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2747</v>
      </c>
      <c r="B650" s="114" t="str">
        <f>VLOOKUP(A650,'Data pick slip'!B:F,5,FALSE)</f>
        <v>KHJ-MC200-00</v>
      </c>
      <c r="C650" s="169"/>
      <c r="D650" s="169"/>
      <c r="E650" s="281" t="s">
        <v>2960</v>
      </c>
      <c r="F650" s="170" t="s">
        <v>2753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2748</v>
      </c>
      <c r="B651" s="114" t="str">
        <f>VLOOKUP(A651,'Data pick slip'!B:F,5,FALSE)</f>
        <v>KHJ-MC400-00</v>
      </c>
      <c r="C651" s="169"/>
      <c r="D651" s="169"/>
      <c r="E651" s="281" t="s">
        <v>2960</v>
      </c>
      <c r="F651" s="170" t="s">
        <v>2753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2749</v>
      </c>
      <c r="B652" s="114" t="str">
        <f>VLOOKUP(A652,'Data pick slip'!B:F,5,FALSE)</f>
        <v>KHJ-MC500-00</v>
      </c>
      <c r="C652" s="169"/>
      <c r="D652" s="169"/>
      <c r="E652" s="281" t="s">
        <v>2960</v>
      </c>
      <c r="F652" s="170" t="s">
        <v>2753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2750</v>
      </c>
      <c r="B653" s="114" t="str">
        <f>VLOOKUP(A653,'Data pick slip'!B:F,5,FALSE)</f>
        <v>KHJ-MC600-00</v>
      </c>
      <c r="C653" s="169"/>
      <c r="D653" s="169"/>
      <c r="E653" s="281" t="s">
        <v>2960</v>
      </c>
      <c r="F653" s="170" t="s">
        <v>2753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2751</v>
      </c>
      <c r="B654" s="114" t="str">
        <f>VLOOKUP(A654,'Data pick slip'!B:F,5,FALSE)</f>
        <v>KHJ-MC700-00</v>
      </c>
      <c r="C654" s="169"/>
      <c r="D654" s="169"/>
      <c r="E654" s="281" t="s">
        <v>2960</v>
      </c>
      <c r="F654" s="170" t="s">
        <v>2753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2744</v>
      </c>
      <c r="B655" s="114" t="str">
        <f>VLOOKUP(A655,'Data pick slip'!B:F,5,FALSE)</f>
        <v>KHJ-MC100-00</v>
      </c>
      <c r="C655" s="169"/>
      <c r="D655" s="169"/>
      <c r="E655" s="281" t="s">
        <v>2961</v>
      </c>
      <c r="F655" s="170" t="s">
        <v>2753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2747</v>
      </c>
      <c r="B656" s="114" t="str">
        <f>VLOOKUP(A656,'Data pick slip'!B:F,5,FALSE)</f>
        <v>KHJ-MC200-00</v>
      </c>
      <c r="C656" s="169"/>
      <c r="D656" s="169"/>
      <c r="E656" s="281" t="s">
        <v>2961</v>
      </c>
      <c r="F656" s="170" t="s">
        <v>2753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2751</v>
      </c>
      <c r="B657" s="114" t="str">
        <f>VLOOKUP(A657,'Data pick slip'!B:F,5,FALSE)</f>
        <v>KHJ-MC700-00</v>
      </c>
      <c r="C657" s="169"/>
      <c r="D657" s="169"/>
      <c r="E657" s="281" t="s">
        <v>2961</v>
      </c>
      <c r="F657" s="170" t="s">
        <v>2753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2752</v>
      </c>
      <c r="B658" s="114" t="str">
        <f>VLOOKUP(A658,'Data pick slip'!B:F,5,FALSE)</f>
        <v>KHJ-MC800-00</v>
      </c>
      <c r="C658" s="169"/>
      <c r="D658" s="169"/>
      <c r="E658" s="281" t="s">
        <v>2961</v>
      </c>
      <c r="F658" s="170" t="s">
        <v>2753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2768</v>
      </c>
      <c r="B659" s="114" t="str">
        <f>VLOOKUP(A659,'Data pick slip'!B:F,5,FALSE)</f>
        <v>KHJ-MC100-00</v>
      </c>
      <c r="C659" s="169"/>
      <c r="D659" s="169"/>
      <c r="E659" s="281" t="s">
        <v>2962</v>
      </c>
      <c r="F659" s="170" t="s">
        <v>2753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2747</v>
      </c>
      <c r="B660" s="114" t="str">
        <f>VLOOKUP(A660,'Data pick slip'!B:F,5,FALSE)</f>
        <v>KHJ-MC200-00</v>
      </c>
      <c r="C660" s="169"/>
      <c r="D660" s="169"/>
      <c r="E660" s="281" t="s">
        <v>2962</v>
      </c>
      <c r="F660" s="170" t="s">
        <v>2753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2748</v>
      </c>
      <c r="B661" s="114" t="str">
        <f>VLOOKUP(A661,'Data pick slip'!B:F,5,FALSE)</f>
        <v>KHJ-MC400-00</v>
      </c>
      <c r="C661" s="169"/>
      <c r="D661" s="169"/>
      <c r="E661" s="281" t="s">
        <v>2962</v>
      </c>
      <c r="F661" s="170" t="s">
        <v>2753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2751</v>
      </c>
      <c r="B662" s="114" t="str">
        <f>VLOOKUP(A662,'Data pick slip'!B:F,5,FALSE)</f>
        <v>KHJ-MC700-00</v>
      </c>
      <c r="C662" s="169"/>
      <c r="D662" s="169"/>
      <c r="E662" s="281" t="s">
        <v>2962</v>
      </c>
      <c r="F662" s="170" t="s">
        <v>2753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2768</v>
      </c>
      <c r="B663" s="114" t="str">
        <f>VLOOKUP(A663,'Data pick slip'!B:F,5,FALSE)</f>
        <v>KHJ-MC100-00</v>
      </c>
      <c r="C663" s="169"/>
      <c r="D663" s="169"/>
      <c r="E663" s="281" t="s">
        <v>2963</v>
      </c>
      <c r="F663" s="170" t="s">
        <v>2753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2749</v>
      </c>
      <c r="B664" s="114" t="str">
        <f>VLOOKUP(A664,'Data pick slip'!B:F,5,FALSE)</f>
        <v>KHJ-MC500-00</v>
      </c>
      <c r="C664" s="169"/>
      <c r="D664" s="169"/>
      <c r="E664" s="281" t="s">
        <v>2963</v>
      </c>
      <c r="F664" s="170" t="s">
        <v>2753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2768</v>
      </c>
      <c r="B665" s="114" t="str">
        <f>VLOOKUP(A665,'Data pick slip'!B:F,5,FALSE)</f>
        <v>KHJ-MC100-00</v>
      </c>
      <c r="C665" s="169"/>
      <c r="D665" s="169"/>
      <c r="E665" s="281" t="s">
        <v>2964</v>
      </c>
      <c r="F665" s="170" t="s">
        <v>2753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2747</v>
      </c>
      <c r="B666" s="114" t="str">
        <f>VLOOKUP(A666,'Data pick slip'!B:F,5,FALSE)</f>
        <v>KHJ-MC200-00</v>
      </c>
      <c r="C666" s="169"/>
      <c r="D666" s="169"/>
      <c r="E666" s="281" t="s">
        <v>2964</v>
      </c>
      <c r="F666" s="170" t="s">
        <v>2753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2750</v>
      </c>
      <c r="B667" s="114" t="str">
        <f>VLOOKUP(A667,'Data pick slip'!B:F,5,FALSE)</f>
        <v>KHJ-MC600-00</v>
      </c>
      <c r="C667" s="169"/>
      <c r="D667" s="169"/>
      <c r="E667" s="281" t="s">
        <v>2964</v>
      </c>
      <c r="F667" s="170" t="s">
        <v>2753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2768</v>
      </c>
      <c r="B668" s="114" t="str">
        <f>VLOOKUP(A668,'Data pick slip'!B:F,5,FALSE)</f>
        <v>KHJ-MC100-00</v>
      </c>
      <c r="C668" s="169"/>
      <c r="D668" s="169"/>
      <c r="E668" s="281" t="s">
        <v>2965</v>
      </c>
      <c r="F668" s="170" t="s">
        <v>2753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2750</v>
      </c>
      <c r="B669" s="114" t="str">
        <f>VLOOKUP(A669,'Data pick slip'!B:F,5,FALSE)</f>
        <v>KHJ-MC600-00</v>
      </c>
      <c r="C669" s="169"/>
      <c r="D669" s="169"/>
      <c r="E669" s="281" t="s">
        <v>2965</v>
      </c>
      <c r="F669" s="170" t="s">
        <v>2753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2751</v>
      </c>
      <c r="B670" s="114" t="str">
        <f>VLOOKUP(A670,'Data pick slip'!B:F,5,FALSE)</f>
        <v>KHJ-MC700-00</v>
      </c>
      <c r="C670" s="169"/>
      <c r="D670" s="169"/>
      <c r="E670" s="281" t="s">
        <v>2965</v>
      </c>
      <c r="F670" s="170" t="s">
        <v>2753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2751</v>
      </c>
      <c r="B671" s="114" t="str">
        <f>VLOOKUP(A671,'Data pick slip'!B:F,5,FALSE)</f>
        <v>KHJ-MC700-00</v>
      </c>
      <c r="C671" s="169"/>
      <c r="D671" s="169"/>
      <c r="E671" s="281" t="s">
        <v>2966</v>
      </c>
      <c r="F671" s="170" t="s">
        <v>2753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2744</v>
      </c>
      <c r="B672" s="114" t="str">
        <f>VLOOKUP(A672,'Data pick slip'!B:F,5,FALSE)</f>
        <v>KHJ-MC100-00</v>
      </c>
      <c r="C672" s="169">
        <v>110576</v>
      </c>
      <c r="D672" s="169" t="str">
        <f>VLOOKUP(C672,Stock_list!D:L,2,FALSE)</f>
        <v>健科名义下单</v>
      </c>
      <c r="E672" s="281">
        <f>VLOOKUP(C672,Stock_list!D:L,9,FALSE)</f>
        <v>44486</v>
      </c>
      <c r="F672" s="170" t="s">
        <v>1381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2744</v>
      </c>
      <c r="B673" s="114" t="str">
        <f>VLOOKUP(A673,'Data pick slip'!B:F,5,FALSE)</f>
        <v>KHJ-MC100-00</v>
      </c>
      <c r="C673" s="169">
        <v>110578</v>
      </c>
      <c r="D673" s="169" t="str">
        <f>VLOOKUP(C673,Stock_list!D:L,2,FALSE)</f>
        <v>兴开泰名义下单</v>
      </c>
      <c r="E673" s="281">
        <f>VLOOKUP(C673,Stock_list!D:L,9,FALSE)</f>
        <v>44486</v>
      </c>
      <c r="F673" s="170" t="s">
        <v>1381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2747</v>
      </c>
      <c r="B674" s="114" t="str">
        <f>VLOOKUP(A674,'Data pick slip'!B:F,5,FALSE)</f>
        <v>KHJ-MC200-00</v>
      </c>
      <c r="C674" s="169">
        <v>110578</v>
      </c>
      <c r="D674" s="169" t="str">
        <f>VLOOKUP(C674,Stock_list!D:L,2,FALSE)</f>
        <v>兴开泰名义下单</v>
      </c>
      <c r="E674" s="281">
        <f>VLOOKUP(C674,Stock_list!D:L,9,FALSE)</f>
        <v>44486</v>
      </c>
      <c r="F674" s="170" t="s">
        <v>1381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2749</v>
      </c>
      <c r="B675" s="114" t="str">
        <f>VLOOKUP(A675,'Data pick slip'!B:F,5,FALSE)</f>
        <v>KHJ-MC500-00</v>
      </c>
      <c r="C675" s="169">
        <v>110578</v>
      </c>
      <c r="D675" s="169" t="str">
        <f>VLOOKUP(C675,Stock_list!D:L,2,FALSE)</f>
        <v>兴开泰名义下单</v>
      </c>
      <c r="E675" s="281">
        <f>VLOOKUP(C675,Stock_list!D:L,9,FALSE)</f>
        <v>44486</v>
      </c>
      <c r="F675" s="170" t="s">
        <v>1381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2744</v>
      </c>
      <c r="B676" s="114" t="str">
        <f>VLOOKUP(A676,'Data pick slip'!B:F,5,FALSE)</f>
        <v>KHJ-MC100-00</v>
      </c>
      <c r="C676" s="169">
        <v>110579</v>
      </c>
      <c r="D676" s="169" t="str">
        <f>VLOOKUP(C676,Stock_list!D:L,2,FALSE)</f>
        <v>格隆名义下单</v>
      </c>
      <c r="E676" s="281">
        <f>VLOOKUP(C676,Stock_list!D:L,9,FALSE)</f>
        <v>44486</v>
      </c>
      <c r="F676" s="170" t="s">
        <v>1381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2747</v>
      </c>
      <c r="B677" s="114" t="str">
        <f>VLOOKUP(A677,'Data pick slip'!B:F,5,FALSE)</f>
        <v>KHJ-MC200-00</v>
      </c>
      <c r="C677" s="169">
        <v>110579</v>
      </c>
      <c r="D677" s="169" t="str">
        <f>VLOOKUP(C677,Stock_list!D:L,2,FALSE)</f>
        <v>格隆名义下单</v>
      </c>
      <c r="E677" s="281">
        <f>VLOOKUP(C677,Stock_list!D:L,9,FALSE)</f>
        <v>44486</v>
      </c>
      <c r="F677" s="170" t="s">
        <v>1381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2752</v>
      </c>
      <c r="B678" s="114" t="str">
        <f>VLOOKUP(A678,'Data pick slip'!B:F,5,FALSE)</f>
        <v>KHJ-MC800-00</v>
      </c>
      <c r="C678" s="169">
        <v>110579</v>
      </c>
      <c r="D678" s="169" t="str">
        <f>VLOOKUP(C678,Stock_list!D:L,2,FALSE)</f>
        <v>格隆名义下单</v>
      </c>
      <c r="E678" s="281">
        <f>VLOOKUP(C678,Stock_list!D:L,9,FALSE)</f>
        <v>44486</v>
      </c>
      <c r="F678" s="170" t="s">
        <v>1381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2744</v>
      </c>
      <c r="B679" s="114" t="str">
        <f>VLOOKUP(A679,'Data pick slip'!B:F,5,FALSE)</f>
        <v>KHJ-MC100-00</v>
      </c>
      <c r="C679" s="169">
        <v>110580</v>
      </c>
      <c r="D679" s="169" t="str">
        <f>VLOOKUP(C679,Stock_list!D:L,2,FALSE)</f>
        <v>洛伦兹技术名义下单</v>
      </c>
      <c r="E679" s="281">
        <f>VLOOKUP(C679,Stock_list!D:L,9,FALSE)</f>
        <v>44486</v>
      </c>
      <c r="F679" s="170" t="s">
        <v>1381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2744</v>
      </c>
      <c r="B680" s="114" t="str">
        <f>VLOOKUP(A680,'Data pick slip'!B:F,5,FALSE)</f>
        <v>KHJ-MC100-00</v>
      </c>
      <c r="C680" s="169">
        <v>110581</v>
      </c>
      <c r="D680" s="169" t="str">
        <f>VLOOKUP(C680,Stock_list!D:L,2,FALSE)</f>
        <v>深圳上达名义下单</v>
      </c>
      <c r="E680" s="281">
        <f>VLOOKUP(C680,Stock_list!D:L,9,FALSE)</f>
        <v>44504</v>
      </c>
      <c r="F680" s="170" t="s">
        <v>1381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2744</v>
      </c>
      <c r="B681" s="114" t="str">
        <f>VLOOKUP(A681,'Data pick slip'!B:F,5,FALSE)</f>
        <v>KHJ-MC100-00</v>
      </c>
      <c r="C681" s="169">
        <v>110582</v>
      </c>
      <c r="D681" s="169" t="str">
        <f>VLOOKUP(C681,Stock_list!D:L,2,FALSE)</f>
        <v>新明海名义下单</v>
      </c>
      <c r="E681" s="281">
        <f>VLOOKUP(C681,Stock_list!D:L,9,FALSE)</f>
        <v>44494</v>
      </c>
      <c r="F681" s="170" t="s">
        <v>1381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2747</v>
      </c>
      <c r="B682" s="114" t="str">
        <f>VLOOKUP(A682,'Data pick slip'!B:F,5,FALSE)</f>
        <v>KHJ-MC200-00</v>
      </c>
      <c r="C682" s="169">
        <v>110582</v>
      </c>
      <c r="D682" s="169" t="str">
        <f>VLOOKUP(C682,Stock_list!D:L,2,FALSE)</f>
        <v>新明海名义下单</v>
      </c>
      <c r="E682" s="281">
        <f>VLOOKUP(C682,Stock_list!D:L,9,FALSE)</f>
        <v>44494</v>
      </c>
      <c r="F682" s="170" t="s">
        <v>1381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1" t="s">
        <v>2744</v>
      </c>
      <c r="B683" s="292" t="str">
        <f>VLOOKUP(A683,'Data pick slip'!B:F,5,FALSE)</f>
        <v>KHJ-MC100-00</v>
      </c>
      <c r="C683" s="293"/>
      <c r="D683" s="293" t="s">
        <v>2967</v>
      </c>
      <c r="E683" s="303" t="e">
        <f>VLOOKUP(C683,Stock_list!D:L,9,FALSE)</f>
        <v>#N/A</v>
      </c>
      <c r="F683" s="294" t="s">
        <v>2753</v>
      </c>
      <c r="G683" s="295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1" t="s">
        <v>2744</v>
      </c>
      <c r="B684" s="292" t="str">
        <f>VLOOKUP(A684,'Data pick slip'!B:F,5,FALSE)</f>
        <v>KHJ-MC100-00</v>
      </c>
      <c r="C684" s="293"/>
      <c r="D684" s="293" t="s">
        <v>2967</v>
      </c>
      <c r="E684" s="303" t="e">
        <f>VLOOKUP(C684,Stock_list!D:L,9,FALSE)</f>
        <v>#N/A</v>
      </c>
      <c r="F684" s="294" t="s">
        <v>1381</v>
      </c>
      <c r="G684" s="295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2755</v>
      </c>
      <c r="B685" s="114" t="str">
        <f>VLOOKUP(A685,'Data pick slip'!B:F,5,FALSE)</f>
        <v>KLJ-MC100-00</v>
      </c>
      <c r="C685" s="169"/>
      <c r="D685" s="169"/>
      <c r="E685" s="281" t="s">
        <v>2968</v>
      </c>
      <c r="F685" s="170" t="s">
        <v>2753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2756</v>
      </c>
      <c r="B686" s="114" t="str">
        <f>VLOOKUP(A686,'Data pick slip'!B:F,5,FALSE)</f>
        <v>KLJ-MC200-00</v>
      </c>
      <c r="C686" s="169"/>
      <c r="D686" s="169"/>
      <c r="E686" s="281" t="s">
        <v>2968</v>
      </c>
      <c r="F686" s="170" t="s">
        <v>2753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2757</v>
      </c>
      <c r="B687" s="114" t="str">
        <f>VLOOKUP(A687,'Data pick slip'!B:F,5,FALSE)</f>
        <v>KLJ-MC400-00</v>
      </c>
      <c r="C687" s="169"/>
      <c r="D687" s="169"/>
      <c r="E687" s="281" t="s">
        <v>2968</v>
      </c>
      <c r="F687" s="170" t="s">
        <v>2753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2758</v>
      </c>
      <c r="B688" s="114" t="str">
        <f>VLOOKUP(A688,'Data pick slip'!B:F,5,FALSE)</f>
        <v>KLJ-MC500-00</v>
      </c>
      <c r="C688" s="169"/>
      <c r="D688" s="169"/>
      <c r="E688" s="281" t="s">
        <v>2968</v>
      </c>
      <c r="F688" s="170" t="s">
        <v>2753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2759</v>
      </c>
      <c r="B689" s="114" t="str">
        <f>VLOOKUP(A689,'Data pick slip'!B:F,5,FALSE)</f>
        <v>KLJ-MC600-00</v>
      </c>
      <c r="C689" s="169"/>
      <c r="D689" s="169"/>
      <c r="E689" s="281" t="s">
        <v>2968</v>
      </c>
      <c r="F689" s="170" t="s">
        <v>2753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2744</v>
      </c>
      <c r="B690" s="114" t="str">
        <f>VLOOKUP(A690,'Data pick slip'!B:F,5,FALSE)</f>
        <v>KHJ-MC100-00</v>
      </c>
      <c r="C690" s="169">
        <v>110593</v>
      </c>
      <c r="D690" s="169" t="str">
        <f>VLOOKUP(C690,Stock_list!D:L,2,FALSE)</f>
        <v>Cowell 名义下单</v>
      </c>
      <c r="E690" s="281">
        <f>VLOOKUP(C690,Stock_list!D:L,9,FALSE)</f>
        <v>44458</v>
      </c>
      <c r="F690" s="170" t="s">
        <v>1381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2744</v>
      </c>
      <c r="B691" s="114" t="str">
        <f>VLOOKUP(A691,'Data pick slip'!B:F,5,FALSE)</f>
        <v>KHJ-MC100-00</v>
      </c>
      <c r="C691" s="169">
        <v>110594</v>
      </c>
      <c r="D691" s="169" t="str">
        <f>VLOOKUP(C691,Stock_list!D:L,2,FALSE)</f>
        <v>Cowell 名义下单</v>
      </c>
      <c r="E691" s="281">
        <f>VLOOKUP(C691,Stock_list!D:L,9,FALSE)</f>
        <v>44504</v>
      </c>
      <c r="F691" s="170" t="s">
        <v>1381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2744</v>
      </c>
      <c r="B692" s="114" t="str">
        <f>VLOOKUP(A692,'Data pick slip'!B:F,5,FALSE)</f>
        <v>KHJ-MC100-00</v>
      </c>
      <c r="C692" s="169">
        <v>110617</v>
      </c>
      <c r="D692" s="169" t="str">
        <f>VLOOKUP(C692,Stock_list!D:L,2,FALSE)</f>
        <v>比泰利名义下单</v>
      </c>
      <c r="E692" s="281">
        <f>VLOOKUP(C692,Stock_list!D:L,9,FALSE)</f>
        <v>44523</v>
      </c>
      <c r="F692" s="170" t="s">
        <v>1381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2749</v>
      </c>
      <c r="B693" s="114" t="str">
        <f>VLOOKUP(A693,'Data pick slip'!B:F,5,FALSE)</f>
        <v>KHJ-MC500-00</v>
      </c>
      <c r="C693" s="169">
        <v>110617</v>
      </c>
      <c r="D693" s="169" t="str">
        <f>VLOOKUP(C693,Stock_list!D:L,2,FALSE)</f>
        <v>比泰利名义下单</v>
      </c>
      <c r="E693" s="281">
        <f>VLOOKUP(C693,Stock_list!D:L,9,FALSE)</f>
        <v>44523</v>
      </c>
      <c r="F693" s="170" t="s">
        <v>1381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2751</v>
      </c>
      <c r="B694" s="114" t="str">
        <f>VLOOKUP(A694,'Data pick slip'!B:F,5,FALSE)</f>
        <v>KHJ-MC700-00</v>
      </c>
      <c r="C694" s="169">
        <v>110617</v>
      </c>
      <c r="D694" s="169" t="str">
        <f>VLOOKUP(C694,Stock_list!D:L,2,FALSE)</f>
        <v>比泰利名义下单</v>
      </c>
      <c r="E694" s="281">
        <f>VLOOKUP(C694,Stock_list!D:L,9,FALSE)</f>
        <v>44523</v>
      </c>
      <c r="F694" s="170" t="s">
        <v>1381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2752</v>
      </c>
      <c r="B695" s="114" t="str">
        <f>VLOOKUP(A695,'Data pick slip'!B:F,5,FALSE)</f>
        <v>KHJ-MC800-00</v>
      </c>
      <c r="C695" s="169">
        <v>110617</v>
      </c>
      <c r="D695" s="169" t="str">
        <f>VLOOKUP(C695,Stock_list!D:L,2,FALSE)</f>
        <v>比泰利名义下单</v>
      </c>
      <c r="E695" s="281">
        <f>VLOOKUP(C695,Stock_list!D:L,9,FALSE)</f>
        <v>44523</v>
      </c>
      <c r="F695" s="170" t="s">
        <v>1381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2744</v>
      </c>
      <c r="B696" s="114" t="str">
        <f>VLOOKUP(A696,'Data pick slip'!B:F,5,FALSE)</f>
        <v>KHJ-MC100-00</v>
      </c>
      <c r="C696" s="169">
        <v>110618</v>
      </c>
      <c r="D696" s="169" t="str">
        <f>VLOOKUP(C696,Stock_list!D:L,2,FALSE)</f>
        <v>力通威名义下单</v>
      </c>
      <c r="E696" s="281">
        <f>VLOOKUP(C696,Stock_list!D:L,9,FALSE)</f>
        <v>44526</v>
      </c>
      <c r="F696" s="170" t="s">
        <v>1381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2748</v>
      </c>
      <c r="B697" s="114" t="str">
        <f>VLOOKUP(A697,'Data pick slip'!B:F,5,FALSE)</f>
        <v>KHJ-MC400-00</v>
      </c>
      <c r="C697" s="169">
        <v>110618</v>
      </c>
      <c r="D697" s="169" t="str">
        <f>VLOOKUP(C697,Stock_list!D:L,2,FALSE)</f>
        <v>力通威名义下单</v>
      </c>
      <c r="E697" s="281">
        <f>VLOOKUP(C697,Stock_list!D:L,9,FALSE)</f>
        <v>44526</v>
      </c>
      <c r="F697" s="170" t="s">
        <v>1381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2749</v>
      </c>
      <c r="B698" s="114" t="str">
        <f>VLOOKUP(A698,'Data pick slip'!B:F,5,FALSE)</f>
        <v>KHJ-MC500-00</v>
      </c>
      <c r="C698" s="169">
        <v>110618</v>
      </c>
      <c r="D698" s="169" t="str">
        <f>VLOOKUP(C698,Stock_list!D:L,2,FALSE)</f>
        <v>力通威名义下单</v>
      </c>
      <c r="E698" s="281">
        <f>VLOOKUP(C698,Stock_list!D:L,9,FALSE)</f>
        <v>44526</v>
      </c>
      <c r="F698" s="170" t="s">
        <v>1381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2744</v>
      </c>
      <c r="B699" s="114" t="str">
        <f>VLOOKUP(A699,'Data pick slip'!B:F,5,FALSE)</f>
        <v>KHJ-MC100-00</v>
      </c>
      <c r="C699" s="169">
        <v>110619</v>
      </c>
      <c r="D699" s="169" t="str">
        <f>VLOOKUP(C699,Stock_list!D:L,2,FALSE)</f>
        <v>天邦达名义下单</v>
      </c>
      <c r="E699" s="281">
        <f>VLOOKUP(C699,Stock_list!D:L,9,FALSE)</f>
        <v>44523</v>
      </c>
      <c r="F699" s="170" t="s">
        <v>1381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2749</v>
      </c>
      <c r="B700" s="114" t="str">
        <f>VLOOKUP(A700,'Data pick slip'!B:F,5,FALSE)</f>
        <v>KHJ-MC500-00</v>
      </c>
      <c r="C700" s="169">
        <v>110619</v>
      </c>
      <c r="D700" s="169" t="str">
        <f>VLOOKUP(C700,Stock_list!D:L,2,FALSE)</f>
        <v>天邦达名义下单</v>
      </c>
      <c r="E700" s="281">
        <f>VLOOKUP(C700,Stock_list!D:L,9,FALSE)</f>
        <v>44523</v>
      </c>
      <c r="F700" s="170" t="s">
        <v>1381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2744</v>
      </c>
      <c r="B701" s="114" t="str">
        <f>VLOOKUP(A701,'Data pick slip'!B:F,5,FALSE)</f>
        <v>KHJ-MC100-00</v>
      </c>
      <c r="C701" s="169">
        <v>110620</v>
      </c>
      <c r="D701" s="169" t="str">
        <f>VLOOKUP(C701,Stock_list!D:L,2,FALSE)</f>
        <v>络鑫名义下单</v>
      </c>
      <c r="E701" s="281">
        <f>VLOOKUP(C701,Stock_list!D:L,9,FALSE)</f>
        <v>44523</v>
      </c>
      <c r="F701" s="170" t="s">
        <v>1381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2768</v>
      </c>
      <c r="B702" s="114" t="str">
        <f>VLOOKUP(A702,'Data pick slip'!B:F,5,FALSE)</f>
        <v>KHJ-MC100-00</v>
      </c>
      <c r="C702" s="169">
        <v>110634</v>
      </c>
      <c r="D702" s="169" t="str">
        <f>VLOOKUP(C702,Stock_list!D:L,2,FALSE)</f>
        <v>以络鑫名义下单</v>
      </c>
      <c r="E702" s="281">
        <f>VLOOKUP(C702,Stock_list!D:L,9,FALSE)</f>
        <v>44527</v>
      </c>
      <c r="F702" s="170" t="s">
        <v>1381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2747</v>
      </c>
      <c r="B703" s="114" t="str">
        <f>VLOOKUP(A703,'Data pick slip'!B:F,5,FALSE)</f>
        <v>KHJ-MC200-00</v>
      </c>
      <c r="C703" s="169">
        <v>110634</v>
      </c>
      <c r="D703" s="169" t="str">
        <f>VLOOKUP(C703,Stock_list!D:L,2,FALSE)</f>
        <v>以络鑫名义下单</v>
      </c>
      <c r="E703" s="281">
        <f>VLOOKUP(C703,Stock_list!D:L,9,FALSE)</f>
        <v>44527</v>
      </c>
      <c r="F703" s="170" t="s">
        <v>1381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2748</v>
      </c>
      <c r="B704" s="114" t="str">
        <f>VLOOKUP(A704,'Data pick slip'!B:F,5,FALSE)</f>
        <v>KHJ-MC400-00</v>
      </c>
      <c r="C704" s="169">
        <v>110634</v>
      </c>
      <c r="D704" s="169" t="str">
        <f>VLOOKUP(C704,Stock_list!D:L,2,FALSE)</f>
        <v>以络鑫名义下单</v>
      </c>
      <c r="E704" s="281">
        <f>VLOOKUP(C704,Stock_list!D:L,9,FALSE)</f>
        <v>44527</v>
      </c>
      <c r="F704" s="170" t="s">
        <v>1381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2749</v>
      </c>
      <c r="B705" s="114" t="str">
        <f>VLOOKUP(A705,'Data pick slip'!B:F,5,FALSE)</f>
        <v>KHJ-MC500-00</v>
      </c>
      <c r="C705" s="169">
        <v>110634</v>
      </c>
      <c r="D705" s="169" t="str">
        <f>VLOOKUP(C705,Stock_list!D:L,2,FALSE)</f>
        <v>以络鑫名义下单</v>
      </c>
      <c r="E705" s="281">
        <f>VLOOKUP(C705,Stock_list!D:L,9,FALSE)</f>
        <v>44527</v>
      </c>
      <c r="F705" s="170" t="s">
        <v>1381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2750</v>
      </c>
      <c r="B706" s="114" t="str">
        <f>VLOOKUP(A706,'Data pick slip'!B:F,5,FALSE)</f>
        <v>KHJ-MC600-00</v>
      </c>
      <c r="C706" s="169">
        <v>110634</v>
      </c>
      <c r="D706" s="169" t="str">
        <f>VLOOKUP(C706,Stock_list!D:L,2,FALSE)</f>
        <v>以络鑫名义下单</v>
      </c>
      <c r="E706" s="281">
        <f>VLOOKUP(C706,Stock_list!D:L,9,FALSE)</f>
        <v>44527</v>
      </c>
      <c r="F706" s="170" t="s">
        <v>1381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2751</v>
      </c>
      <c r="B707" s="114" t="str">
        <f>VLOOKUP(A707,'Data pick slip'!B:F,5,FALSE)</f>
        <v>KHJ-MC700-00</v>
      </c>
      <c r="C707" s="169">
        <v>110634</v>
      </c>
      <c r="D707" s="169" t="str">
        <f>VLOOKUP(C707,Stock_list!D:L,2,FALSE)</f>
        <v>以络鑫名义下单</v>
      </c>
      <c r="E707" s="281">
        <f>VLOOKUP(C707,Stock_list!D:L,9,FALSE)</f>
        <v>44527</v>
      </c>
      <c r="F707" s="170" t="s">
        <v>1381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2752</v>
      </c>
      <c r="B708" s="114" t="str">
        <f>VLOOKUP(A708,'Data pick slip'!B:F,5,FALSE)</f>
        <v>KHJ-MC800-00</v>
      </c>
      <c r="C708" s="169">
        <v>110634</v>
      </c>
      <c r="D708" s="169" t="str">
        <f>VLOOKUP(C708,Stock_list!D:L,2,FALSE)</f>
        <v>以络鑫名义下单</v>
      </c>
      <c r="E708" s="281">
        <f>VLOOKUP(C708,Stock_list!D:L,9,FALSE)</f>
        <v>44527</v>
      </c>
      <c r="F708" s="170" t="s">
        <v>1381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2768</v>
      </c>
      <c r="B709" s="114" t="str">
        <f>VLOOKUP(A709,'Data pick slip'!B:F,5,FALSE)</f>
        <v>KHJ-MC100-00</v>
      </c>
      <c r="C709" s="169">
        <v>110635</v>
      </c>
      <c r="D709" s="169" t="str">
        <f>VLOOKUP(C709,Stock_list!D:L,2,FALSE)</f>
        <v>以络鑫名义下单</v>
      </c>
      <c r="E709" s="281">
        <f>VLOOKUP(C709,Stock_list!D:L,9,FALSE)</f>
        <v>44527</v>
      </c>
      <c r="F709" s="170" t="s">
        <v>1381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2749</v>
      </c>
      <c r="B710" s="114" t="str">
        <f>VLOOKUP(A710,'Data pick slip'!B:F,5,FALSE)</f>
        <v>KHJ-MC500-00</v>
      </c>
      <c r="C710" s="169">
        <v>110635</v>
      </c>
      <c r="D710" s="169" t="str">
        <f>VLOOKUP(C710,Stock_list!D:L,2,FALSE)</f>
        <v>以络鑫名义下单</v>
      </c>
      <c r="E710" s="281">
        <f>VLOOKUP(C710,Stock_list!D:L,9,FALSE)</f>
        <v>44527</v>
      </c>
      <c r="F710" s="170" t="s">
        <v>1381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2750</v>
      </c>
      <c r="B711" s="114" t="str">
        <f>VLOOKUP(A711,'Data pick slip'!B:F,5,FALSE)</f>
        <v>KHJ-MC600-00</v>
      </c>
      <c r="C711" s="169">
        <v>110635</v>
      </c>
      <c r="D711" s="169" t="str">
        <f>VLOOKUP(C711,Stock_list!D:L,2,FALSE)</f>
        <v>以络鑫名义下单</v>
      </c>
      <c r="E711" s="281">
        <f>VLOOKUP(C711,Stock_list!D:L,9,FALSE)</f>
        <v>44527</v>
      </c>
      <c r="F711" s="170" t="s">
        <v>1381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2744</v>
      </c>
      <c r="B712" s="114" t="str">
        <f>VLOOKUP(A712,'Data pick slip'!B:F,5,FALSE)</f>
        <v>KHJ-MC100-00</v>
      </c>
      <c r="C712" s="169"/>
      <c r="D712" s="169"/>
      <c r="E712" s="281" t="s">
        <v>2969</v>
      </c>
      <c r="F712" s="170" t="s">
        <v>2753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2749</v>
      </c>
      <c r="B713" s="114" t="str">
        <f>VLOOKUP(A713,'Data pick slip'!B:F,5,FALSE)</f>
        <v>KHJ-MC500-00</v>
      </c>
      <c r="C713" s="169"/>
      <c r="D713" s="169"/>
      <c r="E713" s="281" t="s">
        <v>2969</v>
      </c>
      <c r="F713" s="170" t="s">
        <v>2753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2755</v>
      </c>
      <c r="B714" s="114" t="str">
        <f>VLOOKUP(A714,'Data pick slip'!B:F,5,FALSE)</f>
        <v>KLJ-MC100-00</v>
      </c>
      <c r="C714" s="169"/>
      <c r="D714" s="169"/>
      <c r="E714" s="281" t="s">
        <v>2969</v>
      </c>
      <c r="F714" s="170" t="s">
        <v>2753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2756</v>
      </c>
      <c r="B715" s="114" t="str">
        <f>VLOOKUP(A715,'Data pick slip'!B:F,5,FALSE)</f>
        <v>KLJ-MC200-00</v>
      </c>
      <c r="C715" s="169"/>
      <c r="D715" s="169"/>
      <c r="E715" s="281" t="s">
        <v>2969</v>
      </c>
      <c r="F715" s="170" t="s">
        <v>2753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2744</v>
      </c>
      <c r="B716" s="114" t="str">
        <f>VLOOKUP(A716,'Data pick slip'!B:F,5,FALSE)</f>
        <v>KHJ-MC100-00</v>
      </c>
      <c r="C716" s="169">
        <v>110630</v>
      </c>
      <c r="D716" s="169" t="str">
        <f>VLOOKUP(C716,Stock_list!D:L,2,FALSE)</f>
        <v>健科名义下单</v>
      </c>
      <c r="E716" s="281">
        <f>VLOOKUP(C716,Stock_list!D:L,9,FALSE)</f>
        <v>44600</v>
      </c>
      <c r="F716" s="170" t="s">
        <v>1381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2768</v>
      </c>
      <c r="B717" s="114" t="str">
        <f>VLOOKUP(A717,'Data pick slip'!B:F,5,FALSE)</f>
        <v>KHJ-MC100-00</v>
      </c>
      <c r="C717" s="169">
        <v>110664</v>
      </c>
      <c r="D717" s="169" t="str">
        <f>VLOOKUP(C717,Stock_list!D:L,2,FALSE)</f>
        <v>Stock order(54%)</v>
      </c>
      <c r="E717" s="281">
        <f>VLOOKUP(C717,Stock_list!D:L,9,FALSE)</f>
        <v>44562</v>
      </c>
      <c r="F717" s="170" t="s">
        <v>1381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2747</v>
      </c>
      <c r="B718" s="114" t="str">
        <f>VLOOKUP(A718,'Data pick slip'!B:F,5,FALSE)</f>
        <v>KHJ-MC200-00</v>
      </c>
      <c r="C718" s="169">
        <v>110664</v>
      </c>
      <c r="D718" s="169" t="str">
        <f>VLOOKUP(C718,Stock_list!D:L,2,FALSE)</f>
        <v>Stock order(54%)</v>
      </c>
      <c r="E718" s="281">
        <f>VLOOKUP(C718,Stock_list!D:L,9,FALSE)</f>
        <v>44562</v>
      </c>
      <c r="F718" s="170" t="s">
        <v>1381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2748</v>
      </c>
      <c r="B719" s="114" t="str">
        <f>VLOOKUP(A719,'Data pick slip'!B:F,5,FALSE)</f>
        <v>KHJ-MC400-00</v>
      </c>
      <c r="C719" s="169">
        <v>110664</v>
      </c>
      <c r="D719" s="169" t="str">
        <f>VLOOKUP(C719,Stock_list!D:L,2,FALSE)</f>
        <v>Stock order(54%)</v>
      </c>
      <c r="E719" s="281">
        <f>VLOOKUP(C719,Stock_list!D:L,9,FALSE)</f>
        <v>44562</v>
      </c>
      <c r="F719" s="170" t="s">
        <v>1381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2749</v>
      </c>
      <c r="B720" s="114" t="str">
        <f>VLOOKUP(A720,'Data pick slip'!B:F,5,FALSE)</f>
        <v>KHJ-MC500-00</v>
      </c>
      <c r="C720" s="169">
        <v>110664</v>
      </c>
      <c r="D720" s="169" t="str">
        <f>VLOOKUP(C720,Stock_list!D:L,2,FALSE)</f>
        <v>Stock order(54%)</v>
      </c>
      <c r="E720" s="281">
        <f>VLOOKUP(C720,Stock_list!D:L,9,FALSE)</f>
        <v>44562</v>
      </c>
      <c r="F720" s="170" t="s">
        <v>1381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2750</v>
      </c>
      <c r="B721" s="114" t="str">
        <f>VLOOKUP(A721,'Data pick slip'!B:F,5,FALSE)</f>
        <v>KHJ-MC600-00</v>
      </c>
      <c r="C721" s="169">
        <v>110664</v>
      </c>
      <c r="D721" s="169" t="str">
        <f>VLOOKUP(C721,Stock_list!D:L,2,FALSE)</f>
        <v>Stock order(54%)</v>
      </c>
      <c r="E721" s="281">
        <f>VLOOKUP(C721,Stock_list!D:L,9,FALSE)</f>
        <v>44562</v>
      </c>
      <c r="F721" s="170" t="s">
        <v>1381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2751</v>
      </c>
      <c r="B722" s="114" t="str">
        <f>VLOOKUP(A722,'Data pick slip'!B:F,5,FALSE)</f>
        <v>KHJ-MC700-00</v>
      </c>
      <c r="C722" s="169">
        <v>110664</v>
      </c>
      <c r="D722" s="169" t="str">
        <f>VLOOKUP(C722,Stock_list!D:L,2,FALSE)</f>
        <v>Stock order(54%)</v>
      </c>
      <c r="E722" s="281">
        <f>VLOOKUP(C722,Stock_list!D:L,9,FALSE)</f>
        <v>44562</v>
      </c>
      <c r="F722" s="170" t="s">
        <v>1381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2768</v>
      </c>
      <c r="B723" s="114" t="str">
        <f>VLOOKUP(A723,'Data pick slip'!B:F,5,FALSE)</f>
        <v>KHJ-MC100-00</v>
      </c>
      <c r="C723" s="169">
        <v>110708</v>
      </c>
      <c r="D723" s="169" t="str">
        <f>VLOOKUP(C723,Stock_list!D:L,2,FALSE)</f>
        <v>Stock order(51%)</v>
      </c>
      <c r="E723" s="281">
        <f>VLOOKUP(C723,Stock_list!D:L,9,FALSE)</f>
        <v>44573</v>
      </c>
      <c r="F723" s="170" t="s">
        <v>1381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2747</v>
      </c>
      <c r="B724" s="114" t="str">
        <f>VLOOKUP(A724,'Data pick slip'!B:F,5,FALSE)</f>
        <v>KHJ-MC200-00</v>
      </c>
      <c r="C724" s="169">
        <v>110708</v>
      </c>
      <c r="D724" s="169" t="str">
        <f>VLOOKUP(C724,Stock_list!D:L,2,FALSE)</f>
        <v>Stock order(51%)</v>
      </c>
      <c r="E724" s="281">
        <f>VLOOKUP(C724,Stock_list!D:L,9,FALSE)</f>
        <v>44573</v>
      </c>
      <c r="F724" s="170" t="s">
        <v>1381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2748</v>
      </c>
      <c r="B725" s="114" t="str">
        <f>VLOOKUP(A725,'Data pick slip'!B:F,5,FALSE)</f>
        <v>KHJ-MC400-00</v>
      </c>
      <c r="C725" s="169">
        <v>110708</v>
      </c>
      <c r="D725" s="169" t="str">
        <f>VLOOKUP(C725,Stock_list!D:L,2,FALSE)</f>
        <v>Stock order(51%)</v>
      </c>
      <c r="E725" s="281">
        <f>VLOOKUP(C725,Stock_list!D:L,9,FALSE)</f>
        <v>44573</v>
      </c>
      <c r="F725" s="170" t="s">
        <v>1381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2749</v>
      </c>
      <c r="B726" s="114" t="str">
        <f>VLOOKUP(A726,'Data pick slip'!B:F,5,FALSE)</f>
        <v>KHJ-MC500-00</v>
      </c>
      <c r="C726" s="169">
        <v>110708</v>
      </c>
      <c r="D726" s="169" t="str">
        <f>VLOOKUP(C726,Stock_list!D:L,2,FALSE)</f>
        <v>Stock order(51%)</v>
      </c>
      <c r="E726" s="281">
        <f>VLOOKUP(C726,Stock_list!D:L,9,FALSE)</f>
        <v>44573</v>
      </c>
      <c r="F726" s="170" t="s">
        <v>1381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2768</v>
      </c>
      <c r="B727" s="114" t="str">
        <f>VLOOKUP(A727,'Data pick slip'!B:F,5,FALSE)</f>
        <v>KHJ-MC100-00</v>
      </c>
      <c r="C727" s="169">
        <v>110670</v>
      </c>
      <c r="D727" s="169" t="str">
        <f>VLOOKUP(C727,Stock_list!D:L,2,FALSE)</f>
        <v>Stock order(54%)</v>
      </c>
      <c r="E727" s="281">
        <f>VLOOKUP(C727,Stock_list!D:L,9,FALSE)</f>
        <v>44562</v>
      </c>
      <c r="F727" s="170" t="s">
        <v>1381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2749</v>
      </c>
      <c r="B728" s="114" t="str">
        <f>VLOOKUP(A728,'Data pick slip'!B:F,5,FALSE)</f>
        <v>KHJ-MC500-00</v>
      </c>
      <c r="C728" s="169">
        <v>110670</v>
      </c>
      <c r="D728" s="169" t="str">
        <f>VLOOKUP(C728,Stock_list!D:L,2,FALSE)</f>
        <v>Stock order(54%)</v>
      </c>
      <c r="E728" s="281">
        <f>VLOOKUP(C728,Stock_list!D:L,9,FALSE)</f>
        <v>44562</v>
      </c>
      <c r="F728" s="170" t="s">
        <v>1381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2744</v>
      </c>
      <c r="B729" s="114" t="str">
        <f>VLOOKUP(A729,'Data pick slip'!B:F,5,FALSE)</f>
        <v>KHJ-MC100-00</v>
      </c>
      <c r="C729" s="169"/>
      <c r="D729" s="169"/>
      <c r="E729" s="281" t="s">
        <v>2970</v>
      </c>
      <c r="F729" s="170" t="s">
        <v>2753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2747</v>
      </c>
      <c r="B730" s="114" t="str">
        <f>VLOOKUP(A730,'Data pick slip'!B:F,5,FALSE)</f>
        <v>KHJ-MC200-00</v>
      </c>
      <c r="C730" s="169"/>
      <c r="D730" s="169"/>
      <c r="E730" s="281" t="s">
        <v>2970</v>
      </c>
      <c r="F730" s="170" t="s">
        <v>2753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2748</v>
      </c>
      <c r="B731" s="114" t="str">
        <f>VLOOKUP(A731,'Data pick slip'!B:F,5,FALSE)</f>
        <v>KHJ-MC400-00</v>
      </c>
      <c r="C731" s="169"/>
      <c r="D731" s="169"/>
      <c r="E731" s="281" t="s">
        <v>2970</v>
      </c>
      <c r="F731" s="170" t="s">
        <v>2753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2749</v>
      </c>
      <c r="B732" s="114" t="str">
        <f>VLOOKUP(A732,'Data pick slip'!B:F,5,FALSE)</f>
        <v>KHJ-MC500-00</v>
      </c>
      <c r="C732" s="169"/>
      <c r="D732" s="169"/>
      <c r="E732" s="281" t="s">
        <v>2970</v>
      </c>
      <c r="F732" s="170" t="s">
        <v>2753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2750</v>
      </c>
      <c r="B733" s="114" t="str">
        <f>VLOOKUP(A733,'Data pick slip'!B:F,5,FALSE)</f>
        <v>KHJ-MC600-00</v>
      </c>
      <c r="C733" s="169"/>
      <c r="D733" s="169"/>
      <c r="E733" s="281" t="s">
        <v>2970</v>
      </c>
      <c r="F733" s="170" t="s">
        <v>2753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2751</v>
      </c>
      <c r="B734" s="114" t="str">
        <f>VLOOKUP(A734,'Data pick slip'!B:F,5,FALSE)</f>
        <v>KHJ-MC700-00</v>
      </c>
      <c r="C734" s="169"/>
      <c r="D734" s="169"/>
      <c r="E734" s="281" t="s">
        <v>2970</v>
      </c>
      <c r="F734" s="170" t="s">
        <v>2753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2744</v>
      </c>
      <c r="B735" s="114" t="str">
        <f>VLOOKUP(A735,'Data pick slip'!B:F,5,FALSE)</f>
        <v>KHJ-MC100-00</v>
      </c>
      <c r="C735" s="169">
        <v>110689</v>
      </c>
      <c r="D735" s="169" t="str">
        <f>VLOOKUP(C735,Stock_list!D:L,2,FALSE)</f>
        <v>深圳领德创下单</v>
      </c>
      <c r="E735" s="281">
        <f>VLOOKUP(C735,Stock_list!D:L,9,FALSE)</f>
        <v>44600</v>
      </c>
      <c r="F735" s="170" t="s">
        <v>1381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2747</v>
      </c>
      <c r="B736" s="114" t="str">
        <f>VLOOKUP(A736,'Data pick slip'!B:F,5,FALSE)</f>
        <v>KHJ-MC200-00</v>
      </c>
      <c r="C736" s="169">
        <v>110689</v>
      </c>
      <c r="D736" s="169" t="str">
        <f>VLOOKUP(C736,Stock_list!D:L,2,FALSE)</f>
        <v>深圳领德创下单</v>
      </c>
      <c r="E736" s="281">
        <f>VLOOKUP(C736,Stock_list!D:L,9,FALSE)</f>
        <v>44600</v>
      </c>
      <c r="F736" s="170" t="s">
        <v>1381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2744</v>
      </c>
      <c r="B737" s="114" t="str">
        <f>VLOOKUP(A737,'Data pick slip'!B:F,5,FALSE)</f>
        <v>KHJ-MC100-00</v>
      </c>
      <c r="C737" s="169">
        <v>110690</v>
      </c>
      <c r="D737" s="169" t="str">
        <f>VLOOKUP(C737,Stock_list!D:L,2,FALSE)</f>
        <v>狂热者下单</v>
      </c>
      <c r="E737" s="281">
        <f>VLOOKUP(C737,Stock_list!D:L,9,FALSE)</f>
        <v>44600</v>
      </c>
      <c r="F737" s="170" t="s">
        <v>1381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2747</v>
      </c>
      <c r="B738" s="114" t="str">
        <f>VLOOKUP(A738,'Data pick slip'!B:F,5,FALSE)</f>
        <v>KHJ-MC200-00</v>
      </c>
      <c r="C738" s="169">
        <v>110690</v>
      </c>
      <c r="D738" s="169" t="str">
        <f>VLOOKUP(C738,Stock_list!D:L,2,FALSE)</f>
        <v>狂热者下单</v>
      </c>
      <c r="E738" s="281">
        <f>VLOOKUP(C738,Stock_list!D:L,9,FALSE)</f>
        <v>44600</v>
      </c>
      <c r="F738" s="170" t="s">
        <v>1381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2744</v>
      </c>
      <c r="B739" s="114" t="str">
        <f>VLOOKUP(A739,'Data pick slip'!B:F,5,FALSE)</f>
        <v>KHJ-MC100-00</v>
      </c>
      <c r="C739" s="169">
        <v>110691</v>
      </c>
      <c r="D739" s="169" t="str">
        <f>VLOOKUP(C739,Stock_list!D:L,2,FALSE)</f>
        <v>方案集下单</v>
      </c>
      <c r="E739" s="281">
        <f>VLOOKUP(C739,Stock_list!D:L,9,FALSE)</f>
        <v>44600</v>
      </c>
      <c r="F739" s="170" t="s">
        <v>1381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2747</v>
      </c>
      <c r="B740" s="114" t="str">
        <f>VLOOKUP(A740,'Data pick slip'!B:F,5,FALSE)</f>
        <v>KHJ-MC200-00</v>
      </c>
      <c r="C740" s="169">
        <v>110691</v>
      </c>
      <c r="D740" s="169" t="str">
        <f>VLOOKUP(C740,Stock_list!D:L,2,FALSE)</f>
        <v>方案集下单</v>
      </c>
      <c r="E740" s="281">
        <f>VLOOKUP(C740,Stock_list!D:L,9,FALSE)</f>
        <v>44600</v>
      </c>
      <c r="F740" s="170" t="s">
        <v>1381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2744</v>
      </c>
      <c r="B741" s="114" t="str">
        <f>VLOOKUP(A741,'Data pick slip'!B:F,5,FALSE)</f>
        <v>KHJ-MC100-00</v>
      </c>
      <c r="C741" s="169">
        <v>110692</v>
      </c>
      <c r="D741" s="169" t="str">
        <f>VLOOKUP(C741,Stock_list!D:L,2,FALSE)</f>
        <v>祥弘瑞下单</v>
      </c>
      <c r="E741" s="281">
        <f>VLOOKUP(C741,Stock_list!D:L,9,FALSE)</f>
        <v>44600</v>
      </c>
      <c r="F741" s="170" t="s">
        <v>1381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2744</v>
      </c>
      <c r="B742" s="114" t="str">
        <f>VLOOKUP(A742,'Data pick slip'!B:F,5,FALSE)</f>
        <v>KHJ-MC100-00</v>
      </c>
      <c r="C742" s="169">
        <v>110693</v>
      </c>
      <c r="D742" s="169" t="str">
        <f>VLOOKUP(C742,Stock_list!D:L,2,FALSE)</f>
        <v>深圳领德创下单</v>
      </c>
      <c r="E742" s="281">
        <f>VLOOKUP(C742,Stock_list!D:L,9,FALSE)</f>
        <v>44596</v>
      </c>
      <c r="F742" s="170" t="s">
        <v>1381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2747</v>
      </c>
      <c r="B743" s="114" t="str">
        <f>VLOOKUP(A743,'Data pick slip'!B:F,5,FALSE)</f>
        <v>KHJ-MC200-00</v>
      </c>
      <c r="C743" s="169">
        <v>110693</v>
      </c>
      <c r="D743" s="169" t="str">
        <f>VLOOKUP(C743,Stock_list!D:L,2,FALSE)</f>
        <v>深圳领德创下单</v>
      </c>
      <c r="E743" s="281">
        <f>VLOOKUP(C743,Stock_list!D:L,9,FALSE)</f>
        <v>44596</v>
      </c>
      <c r="F743" s="170" t="s">
        <v>1381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2748</v>
      </c>
      <c r="B744" s="114" t="str">
        <f>VLOOKUP(A744,'Data pick slip'!B:F,5,FALSE)</f>
        <v>KHJ-MC400-00</v>
      </c>
      <c r="C744" s="169">
        <v>110693</v>
      </c>
      <c r="D744" s="169" t="str">
        <f>VLOOKUP(C744,Stock_list!D:L,2,FALSE)</f>
        <v>深圳领德创下单</v>
      </c>
      <c r="E744" s="281">
        <f>VLOOKUP(C744,Stock_list!D:L,9,FALSE)</f>
        <v>44596</v>
      </c>
      <c r="F744" s="170" t="s">
        <v>1381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2749</v>
      </c>
      <c r="B745" s="114" t="str">
        <f>VLOOKUP(A745,'Data pick slip'!B:F,5,FALSE)</f>
        <v>KHJ-MC500-00</v>
      </c>
      <c r="C745" s="169">
        <v>110693</v>
      </c>
      <c r="D745" s="169" t="str">
        <f>VLOOKUP(C745,Stock_list!D:L,2,FALSE)</f>
        <v>深圳领德创下单</v>
      </c>
      <c r="E745" s="281">
        <f>VLOOKUP(C745,Stock_list!D:L,9,FALSE)</f>
        <v>44596</v>
      </c>
      <c r="F745" s="170" t="s">
        <v>1381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2744</v>
      </c>
      <c r="B746" s="114" t="str">
        <f>VLOOKUP(A746,'Data pick slip'!B:F,5,FALSE)</f>
        <v>KHJ-MC100-00</v>
      </c>
      <c r="C746" s="169">
        <v>110694</v>
      </c>
      <c r="D746" s="169" t="str">
        <f>VLOOKUP(C746,Stock_list!D:L,2,FALSE)</f>
        <v>SZ 聚亮兴业</v>
      </c>
      <c r="E746" s="281">
        <f>VLOOKUP(C746,Stock_list!D:L,9,FALSE)</f>
        <v>44598</v>
      </c>
      <c r="F746" s="170" t="s">
        <v>1381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2747</v>
      </c>
      <c r="B747" s="114" t="str">
        <f>VLOOKUP(A747,'Data pick slip'!B:F,5,FALSE)</f>
        <v>KHJ-MC200-00</v>
      </c>
      <c r="C747" s="169">
        <v>110694</v>
      </c>
      <c r="D747" s="169" t="str">
        <f>VLOOKUP(C747,Stock_list!D:L,2,FALSE)</f>
        <v>SZ 聚亮兴业</v>
      </c>
      <c r="E747" s="281">
        <f>VLOOKUP(C747,Stock_list!D:L,9,FALSE)</f>
        <v>44598</v>
      </c>
      <c r="F747" s="170" t="s">
        <v>1381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2748</v>
      </c>
      <c r="B748" s="114" t="str">
        <f>VLOOKUP(A748,'Data pick slip'!B:F,5,FALSE)</f>
        <v>KHJ-MC400-00</v>
      </c>
      <c r="C748" s="169">
        <v>110694</v>
      </c>
      <c r="D748" s="169" t="str">
        <f>VLOOKUP(C748,Stock_list!D:L,2,FALSE)</f>
        <v>SZ 聚亮兴业</v>
      </c>
      <c r="E748" s="281">
        <f>VLOOKUP(C748,Stock_list!D:L,9,FALSE)</f>
        <v>44598</v>
      </c>
      <c r="F748" s="170" t="s">
        <v>1381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2749</v>
      </c>
      <c r="B749" s="114" t="str">
        <f>VLOOKUP(A749,'Data pick slip'!B:F,5,FALSE)</f>
        <v>KHJ-MC500-00</v>
      </c>
      <c r="C749" s="169">
        <v>110694</v>
      </c>
      <c r="D749" s="169" t="str">
        <f>VLOOKUP(C749,Stock_list!D:L,2,FALSE)</f>
        <v>SZ 聚亮兴业</v>
      </c>
      <c r="E749" s="281">
        <f>VLOOKUP(C749,Stock_list!D:L,9,FALSE)</f>
        <v>44598</v>
      </c>
      <c r="F749" s="170" t="s">
        <v>1381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2744</v>
      </c>
      <c r="B750" s="114" t="str">
        <f>VLOOKUP(A750,'Data pick slip'!B:F,5,FALSE)</f>
        <v>KHJ-MC100-00</v>
      </c>
      <c r="C750" s="169">
        <v>110695</v>
      </c>
      <c r="D750" s="169" t="str">
        <f>VLOOKUP(C750,Stock_list!D:L,2,FALSE)</f>
        <v>SZ 狂热者</v>
      </c>
      <c r="E750" s="281">
        <f>VLOOKUP(C750,Stock_list!D:L,9,FALSE)</f>
        <v>44598</v>
      </c>
      <c r="F750" s="170" t="s">
        <v>1381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2747</v>
      </c>
      <c r="B751" s="114" t="str">
        <f>VLOOKUP(A751,'Data pick slip'!B:F,5,FALSE)</f>
        <v>KHJ-MC200-00</v>
      </c>
      <c r="C751" s="169">
        <v>110695</v>
      </c>
      <c r="D751" s="169" t="str">
        <f>VLOOKUP(C751,Stock_list!D:L,2,FALSE)</f>
        <v>SZ 狂热者</v>
      </c>
      <c r="E751" s="281">
        <f>VLOOKUP(C751,Stock_list!D:L,9,FALSE)</f>
        <v>44598</v>
      </c>
      <c r="F751" s="170" t="s">
        <v>1381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2748</v>
      </c>
      <c r="B752" s="114" t="str">
        <f>VLOOKUP(A752,'Data pick slip'!B:F,5,FALSE)</f>
        <v>KHJ-MC400-00</v>
      </c>
      <c r="C752" s="169">
        <v>110695</v>
      </c>
      <c r="D752" s="169" t="str">
        <f>VLOOKUP(C752,Stock_list!D:L,2,FALSE)</f>
        <v>SZ 狂热者</v>
      </c>
      <c r="E752" s="281">
        <f>VLOOKUP(C752,Stock_list!D:L,9,FALSE)</f>
        <v>44598</v>
      </c>
      <c r="F752" s="170" t="s">
        <v>1381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2749</v>
      </c>
      <c r="B753" s="114" t="str">
        <f>VLOOKUP(A753,'Data pick slip'!B:F,5,FALSE)</f>
        <v>KHJ-MC500-00</v>
      </c>
      <c r="C753" s="169">
        <v>110695</v>
      </c>
      <c r="D753" s="169" t="str">
        <f>VLOOKUP(C753,Stock_list!D:L,2,FALSE)</f>
        <v>SZ 狂热者</v>
      </c>
      <c r="E753" s="281">
        <f>VLOOKUP(C753,Stock_list!D:L,9,FALSE)</f>
        <v>44598</v>
      </c>
      <c r="F753" s="170" t="s">
        <v>1381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2750</v>
      </c>
      <c r="B754" s="114" t="str">
        <f>VLOOKUP(A754,'Data pick slip'!B:F,5,FALSE)</f>
        <v>KHJ-MC600-00</v>
      </c>
      <c r="C754" s="169">
        <v>110695</v>
      </c>
      <c r="D754" s="169" t="str">
        <f>VLOOKUP(C754,Stock_list!D:L,2,FALSE)</f>
        <v>SZ 狂热者</v>
      </c>
      <c r="E754" s="281">
        <f>VLOOKUP(C754,Stock_list!D:L,9,FALSE)</f>
        <v>44598</v>
      </c>
      <c r="F754" s="170" t="s">
        <v>1381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2751</v>
      </c>
      <c r="B755" s="114" t="str">
        <f>VLOOKUP(A755,'Data pick slip'!B:F,5,FALSE)</f>
        <v>KHJ-MC700-00</v>
      </c>
      <c r="C755" s="169">
        <v>110695</v>
      </c>
      <c r="D755" s="169" t="str">
        <f>VLOOKUP(C755,Stock_list!D:L,2,FALSE)</f>
        <v>SZ 狂热者</v>
      </c>
      <c r="E755" s="281">
        <f>VLOOKUP(C755,Stock_list!D:L,9,FALSE)</f>
        <v>44598</v>
      </c>
      <c r="F755" s="170" t="s">
        <v>1381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2744</v>
      </c>
      <c r="B756" s="114" t="str">
        <f>VLOOKUP(A756,'Data pick slip'!B:F,5,FALSE)</f>
        <v>KHJ-MC100-00</v>
      </c>
      <c r="C756" s="169">
        <v>110696</v>
      </c>
      <c r="D756" s="169" t="str">
        <f>VLOOKUP(C756,Stock_list!D:L,2,FALSE)</f>
        <v>SZ 晨鑫达</v>
      </c>
      <c r="E756" s="281">
        <f>VLOOKUP(C756,Stock_list!D:L,9,FALSE)</f>
        <v>44597</v>
      </c>
      <c r="F756" s="170" t="s">
        <v>1381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2747</v>
      </c>
      <c r="B757" s="114" t="str">
        <f>VLOOKUP(A757,'Data pick slip'!B:F,5,FALSE)</f>
        <v>KHJ-MC200-00</v>
      </c>
      <c r="C757" s="169">
        <v>110696</v>
      </c>
      <c r="D757" s="169" t="str">
        <f>VLOOKUP(C757,Stock_list!D:L,2,FALSE)</f>
        <v>SZ 晨鑫达</v>
      </c>
      <c r="E757" s="281">
        <f>VLOOKUP(C757,Stock_list!D:L,9,FALSE)</f>
        <v>44597</v>
      </c>
      <c r="F757" s="170" t="s">
        <v>1381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2748</v>
      </c>
      <c r="B758" s="114" t="str">
        <f>VLOOKUP(A758,'Data pick slip'!B:F,5,FALSE)</f>
        <v>KHJ-MC400-00</v>
      </c>
      <c r="C758" s="169">
        <v>110696</v>
      </c>
      <c r="D758" s="169" t="str">
        <f>VLOOKUP(C758,Stock_list!D:L,2,FALSE)</f>
        <v>SZ 晨鑫达</v>
      </c>
      <c r="E758" s="281">
        <f>VLOOKUP(C758,Stock_list!D:L,9,FALSE)</f>
        <v>44597</v>
      </c>
      <c r="F758" s="170" t="s">
        <v>1381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2749</v>
      </c>
      <c r="B759" s="114" t="str">
        <f>VLOOKUP(A759,'Data pick slip'!B:F,5,FALSE)</f>
        <v>KHJ-MC500-00</v>
      </c>
      <c r="C759" s="169">
        <v>110696</v>
      </c>
      <c r="D759" s="169" t="str">
        <f>VLOOKUP(C759,Stock_list!D:L,2,FALSE)</f>
        <v>SZ 晨鑫达</v>
      </c>
      <c r="E759" s="281">
        <f>VLOOKUP(C759,Stock_list!D:L,9,FALSE)</f>
        <v>44597</v>
      </c>
      <c r="F759" s="170" t="s">
        <v>1381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2750</v>
      </c>
      <c r="B760" s="114" t="str">
        <f>VLOOKUP(A760,'Data pick slip'!B:F,5,FALSE)</f>
        <v>KHJ-MC600-00</v>
      </c>
      <c r="C760" s="169">
        <v>110696</v>
      </c>
      <c r="D760" s="169" t="str">
        <f>VLOOKUP(C760,Stock_list!D:L,2,FALSE)</f>
        <v>SZ 晨鑫达</v>
      </c>
      <c r="E760" s="281">
        <f>VLOOKUP(C760,Stock_list!D:L,9,FALSE)</f>
        <v>44597</v>
      </c>
      <c r="F760" s="170" t="s">
        <v>1381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2751</v>
      </c>
      <c r="B761" s="114" t="str">
        <f>VLOOKUP(A761,'Data pick slip'!B:F,5,FALSE)</f>
        <v>KHJ-MC700-00</v>
      </c>
      <c r="C761" s="169">
        <v>110696</v>
      </c>
      <c r="D761" s="169" t="str">
        <f>VLOOKUP(C761,Stock_list!D:L,2,FALSE)</f>
        <v>SZ 晨鑫达</v>
      </c>
      <c r="E761" s="281">
        <f>VLOOKUP(C761,Stock_list!D:L,9,FALSE)</f>
        <v>44597</v>
      </c>
      <c r="F761" s="170" t="s">
        <v>1381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2744</v>
      </c>
      <c r="B762" s="114" t="str">
        <f>VLOOKUP(A762,'Data pick slip'!B:F,5,FALSE)</f>
        <v>KHJ-MC100-00</v>
      </c>
      <c r="C762" s="169">
        <v>110697</v>
      </c>
      <c r="D762" s="169" t="str">
        <f>VLOOKUP(C762,Stock_list!D:L,2,FALSE)</f>
        <v>SZ 融创新合</v>
      </c>
      <c r="E762" s="281">
        <f>VLOOKUP(C762,Stock_list!D:L,9,FALSE)</f>
        <v>44598</v>
      </c>
      <c r="F762" s="170" t="s">
        <v>1381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2747</v>
      </c>
      <c r="B763" s="114" t="str">
        <f>VLOOKUP(A763,'Data pick slip'!B:F,5,FALSE)</f>
        <v>KHJ-MC200-00</v>
      </c>
      <c r="C763" s="169">
        <v>110697</v>
      </c>
      <c r="D763" s="169" t="str">
        <f>VLOOKUP(C763,Stock_list!D:L,2,FALSE)</f>
        <v>SZ 融创新合</v>
      </c>
      <c r="E763" s="281">
        <f>VLOOKUP(C763,Stock_list!D:L,9,FALSE)</f>
        <v>44598</v>
      </c>
      <c r="F763" s="170" t="s">
        <v>1381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2748</v>
      </c>
      <c r="B764" s="114" t="str">
        <f>VLOOKUP(A764,'Data pick slip'!B:F,5,FALSE)</f>
        <v>KHJ-MC400-00</v>
      </c>
      <c r="C764" s="169">
        <v>110697</v>
      </c>
      <c r="D764" s="169" t="str">
        <f>VLOOKUP(C764,Stock_list!D:L,2,FALSE)</f>
        <v>SZ 融创新合</v>
      </c>
      <c r="E764" s="281">
        <f>VLOOKUP(C764,Stock_list!D:L,9,FALSE)</f>
        <v>44598</v>
      </c>
      <c r="F764" s="170" t="s">
        <v>1381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2749</v>
      </c>
      <c r="B765" s="114" t="str">
        <f>VLOOKUP(A765,'Data pick slip'!B:F,5,FALSE)</f>
        <v>KHJ-MC500-00</v>
      </c>
      <c r="C765" s="169">
        <v>110697</v>
      </c>
      <c r="D765" s="169" t="str">
        <f>VLOOKUP(C765,Stock_list!D:L,2,FALSE)</f>
        <v>SZ 融创新合</v>
      </c>
      <c r="E765" s="281">
        <f>VLOOKUP(C765,Stock_list!D:L,9,FALSE)</f>
        <v>44598</v>
      </c>
      <c r="F765" s="170" t="s">
        <v>1381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2750</v>
      </c>
      <c r="B766" s="114" t="str">
        <f>VLOOKUP(A766,'Data pick slip'!B:F,5,FALSE)</f>
        <v>KHJ-MC600-00</v>
      </c>
      <c r="C766" s="169">
        <v>110697</v>
      </c>
      <c r="D766" s="169" t="str">
        <f>VLOOKUP(C766,Stock_list!D:L,2,FALSE)</f>
        <v>SZ 融创新合</v>
      </c>
      <c r="E766" s="281">
        <f>VLOOKUP(C766,Stock_list!D:L,9,FALSE)</f>
        <v>44598</v>
      </c>
      <c r="F766" s="170" t="s">
        <v>1381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2744</v>
      </c>
      <c r="B767" s="114" t="str">
        <f>VLOOKUP(A767,'Data pick slip'!B:F,5,FALSE)</f>
        <v>KHJ-MC100-00</v>
      </c>
      <c r="C767" s="169">
        <v>110698</v>
      </c>
      <c r="D767" s="169" t="str">
        <f>VLOOKUP(C767,Stock_list!D:L,2,FALSE)</f>
        <v>SZ 魔乐视</v>
      </c>
      <c r="E767" s="281">
        <f>VLOOKUP(C767,Stock_list!D:L,9,FALSE)</f>
        <v>44597</v>
      </c>
      <c r="F767" s="170" t="s">
        <v>1381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2747</v>
      </c>
      <c r="B768" s="114" t="str">
        <f>VLOOKUP(A768,'Data pick slip'!B:F,5,FALSE)</f>
        <v>KHJ-MC200-00</v>
      </c>
      <c r="C768" s="169">
        <v>110698</v>
      </c>
      <c r="D768" s="169" t="str">
        <f>VLOOKUP(C768,Stock_list!D:L,2,FALSE)</f>
        <v>SZ 魔乐视</v>
      </c>
      <c r="E768" s="281">
        <f>VLOOKUP(C768,Stock_list!D:L,9,FALSE)</f>
        <v>44597</v>
      </c>
      <c r="F768" s="170" t="s">
        <v>1381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2748</v>
      </c>
      <c r="B769" s="114" t="str">
        <f>VLOOKUP(A769,'Data pick slip'!B:F,5,FALSE)</f>
        <v>KHJ-MC400-00</v>
      </c>
      <c r="C769" s="169">
        <v>110698</v>
      </c>
      <c r="D769" s="169" t="str">
        <f>VLOOKUP(C769,Stock_list!D:L,2,FALSE)</f>
        <v>SZ 魔乐视</v>
      </c>
      <c r="E769" s="281">
        <f>VLOOKUP(C769,Stock_list!D:L,9,FALSE)</f>
        <v>44597</v>
      </c>
      <c r="F769" s="170" t="s">
        <v>1381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2750</v>
      </c>
      <c r="B770" s="114" t="str">
        <f>VLOOKUP(A770,'Data pick slip'!B:F,5,FALSE)</f>
        <v>KHJ-MC600-00</v>
      </c>
      <c r="C770" s="169">
        <v>110698</v>
      </c>
      <c r="D770" s="169" t="str">
        <f>VLOOKUP(C770,Stock_list!D:L,2,FALSE)</f>
        <v>SZ 魔乐视</v>
      </c>
      <c r="E770" s="281">
        <f>VLOOKUP(C770,Stock_list!D:L,9,FALSE)</f>
        <v>44597</v>
      </c>
      <c r="F770" s="170" t="s">
        <v>1381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2744</v>
      </c>
      <c r="B771" s="114" t="str">
        <f>VLOOKUP(A771,'Data pick slip'!B:F,5,FALSE)</f>
        <v>KHJ-MC100-00</v>
      </c>
      <c r="C771" s="169"/>
      <c r="D771" s="169"/>
      <c r="E771" s="281" t="s">
        <v>2971</v>
      </c>
      <c r="F771" s="170" t="s">
        <v>2753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2748</v>
      </c>
      <c r="B772" s="114" t="str">
        <f>VLOOKUP(A772,'Data pick slip'!B:F,5,FALSE)</f>
        <v>KHJ-MC400-00</v>
      </c>
      <c r="C772" s="169"/>
      <c r="D772" s="169"/>
      <c r="E772" s="281" t="s">
        <v>2971</v>
      </c>
      <c r="F772" s="170" t="s">
        <v>2753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2749</v>
      </c>
      <c r="B773" s="114" t="str">
        <f>VLOOKUP(A773,'Data pick slip'!B:F,5,FALSE)</f>
        <v>KHJ-MC500-00</v>
      </c>
      <c r="C773" s="169"/>
      <c r="D773" s="169"/>
      <c r="E773" s="281" t="s">
        <v>2971</v>
      </c>
      <c r="F773" s="170" t="s">
        <v>2753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2750</v>
      </c>
      <c r="B774" s="114" t="str">
        <f>VLOOKUP(A774,'Data pick slip'!B:F,5,FALSE)</f>
        <v>KHJ-MC600-00</v>
      </c>
      <c r="C774" s="169"/>
      <c r="D774" s="169"/>
      <c r="E774" s="281" t="s">
        <v>2971</v>
      </c>
      <c r="F774" s="170" t="s">
        <v>2753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2751</v>
      </c>
      <c r="B775" s="114" t="str">
        <f>VLOOKUP(A775,'Data pick slip'!B:F,5,FALSE)</f>
        <v>KHJ-MC700-00</v>
      </c>
      <c r="C775" s="169"/>
      <c r="D775" s="169"/>
      <c r="E775" s="281" t="s">
        <v>2971</v>
      </c>
      <c r="F775" s="170" t="s">
        <v>2753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2752</v>
      </c>
      <c r="B776" s="114" t="str">
        <f>VLOOKUP(A776,'Data pick slip'!B:F,5,FALSE)</f>
        <v>KHJ-MC800-00</v>
      </c>
      <c r="C776" s="169"/>
      <c r="D776" s="169"/>
      <c r="E776" s="281" t="s">
        <v>2971</v>
      </c>
      <c r="F776" s="170" t="s">
        <v>2753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2744</v>
      </c>
      <c r="B777" s="114" t="str">
        <f>VLOOKUP(A777,'Data pick slip'!B:F,5,FALSE)</f>
        <v>KHJ-MC100-00</v>
      </c>
      <c r="C777" s="169">
        <v>110726</v>
      </c>
      <c r="D777" s="169" t="str">
        <f>VLOOKUP(C777,Stock_list!D:L,2,FALSE)</f>
        <v>河南融创</v>
      </c>
      <c r="E777" s="281">
        <f>VLOOKUP(C777,Stock_list!D:L,9,FALSE)</f>
        <v>44613</v>
      </c>
      <c r="F777" s="170" t="s">
        <v>1381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2747</v>
      </c>
      <c r="B778" s="114" t="str">
        <f>VLOOKUP(A778,'Data pick slip'!B:F,5,FALSE)</f>
        <v>KHJ-MC200-00</v>
      </c>
      <c r="C778" s="169">
        <v>110726</v>
      </c>
      <c r="D778" s="169" t="str">
        <f>VLOOKUP(C778,Stock_list!D:L,2,FALSE)</f>
        <v>河南融创</v>
      </c>
      <c r="E778" s="281">
        <f>VLOOKUP(C778,Stock_list!D:L,9,FALSE)</f>
        <v>44613</v>
      </c>
      <c r="F778" s="170" t="s">
        <v>1381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2748</v>
      </c>
      <c r="B779" s="114" t="str">
        <f>VLOOKUP(A779,'Data pick slip'!B:F,5,FALSE)</f>
        <v>KHJ-MC400-00</v>
      </c>
      <c r="C779" s="169">
        <v>110726</v>
      </c>
      <c r="D779" s="169" t="str">
        <f>VLOOKUP(C779,Stock_list!D:L,2,FALSE)</f>
        <v>河南融创</v>
      </c>
      <c r="E779" s="281">
        <f>VLOOKUP(C779,Stock_list!D:L,9,FALSE)</f>
        <v>44613</v>
      </c>
      <c r="F779" s="170" t="s">
        <v>1381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2744</v>
      </c>
      <c r="B780" s="114" t="str">
        <f>VLOOKUP(A780,'Data pick slip'!B:F,5,FALSE)</f>
        <v>KHJ-MC100-00</v>
      </c>
      <c r="C780" s="169">
        <v>110727</v>
      </c>
      <c r="D780" s="169" t="str">
        <f>VLOOKUP(C780,Stock_list!D:L,2,FALSE)</f>
        <v>SZ 海凌科达</v>
      </c>
      <c r="E780" s="281">
        <f>VLOOKUP(C780,Stock_list!D:L,9,FALSE)</f>
        <v>44613</v>
      </c>
      <c r="F780" s="170" t="s">
        <v>1381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2747</v>
      </c>
      <c r="B781" s="114" t="str">
        <f>VLOOKUP(A781,'Data pick slip'!B:F,5,FALSE)</f>
        <v>KHJ-MC200-00</v>
      </c>
      <c r="C781" s="169">
        <v>110727</v>
      </c>
      <c r="D781" s="169" t="str">
        <f>VLOOKUP(C781,Stock_list!D:L,2,FALSE)</f>
        <v>SZ 海凌科达</v>
      </c>
      <c r="E781" s="281">
        <f>VLOOKUP(C781,Stock_list!D:L,9,FALSE)</f>
        <v>44613</v>
      </c>
      <c r="F781" s="170" t="s">
        <v>1381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2748</v>
      </c>
      <c r="B782" s="114" t="str">
        <f>VLOOKUP(A782,'Data pick slip'!B:F,5,FALSE)</f>
        <v>KHJ-MC400-00</v>
      </c>
      <c r="C782" s="169">
        <v>110727</v>
      </c>
      <c r="D782" s="169" t="str">
        <f>VLOOKUP(C782,Stock_list!D:L,2,FALSE)</f>
        <v>SZ 海凌科达</v>
      </c>
      <c r="E782" s="281">
        <f>VLOOKUP(C782,Stock_list!D:L,9,FALSE)</f>
        <v>44613</v>
      </c>
      <c r="F782" s="170" t="s">
        <v>1381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2750</v>
      </c>
      <c r="B783" s="114" t="str">
        <f>VLOOKUP(A783,'Data pick slip'!B:F,5,FALSE)</f>
        <v>KHJ-MC600-00</v>
      </c>
      <c r="C783" s="169">
        <v>110727</v>
      </c>
      <c r="D783" s="169" t="str">
        <f>VLOOKUP(C783,Stock_list!D:L,2,FALSE)</f>
        <v>SZ 海凌科达</v>
      </c>
      <c r="E783" s="281">
        <f>VLOOKUP(C783,Stock_list!D:L,9,FALSE)</f>
        <v>44613</v>
      </c>
      <c r="F783" s="170" t="s">
        <v>1381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2751</v>
      </c>
      <c r="B784" s="114" t="str">
        <f>VLOOKUP(A784,'Data pick slip'!B:F,5,FALSE)</f>
        <v>KHJ-MC700-00</v>
      </c>
      <c r="C784" s="169">
        <v>110727</v>
      </c>
      <c r="D784" s="169" t="str">
        <f>VLOOKUP(C784,Stock_list!D:L,2,FALSE)</f>
        <v>SZ 海凌科达</v>
      </c>
      <c r="E784" s="281">
        <f>VLOOKUP(C784,Stock_list!D:L,9,FALSE)</f>
        <v>44613</v>
      </c>
      <c r="F784" s="170" t="s">
        <v>1381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2744</v>
      </c>
      <c r="B785" s="114" t="str">
        <f>VLOOKUP(A785,'Data pick slip'!B:F,5,FALSE)</f>
        <v>KHJ-MC100-00</v>
      </c>
      <c r="C785" s="169">
        <v>110728</v>
      </c>
      <c r="D785" s="169" t="str">
        <f>VLOOKUP(C785,Stock_list!D:L,2,FALSE)</f>
        <v>SZ 恒泰创新</v>
      </c>
      <c r="E785" s="281">
        <f>VLOOKUP(C785,Stock_list!D:L,9,FALSE)</f>
        <v>44622</v>
      </c>
      <c r="F785" s="170" t="s">
        <v>1381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2747</v>
      </c>
      <c r="B786" s="114" t="str">
        <f>VLOOKUP(A786,'Data pick slip'!B:F,5,FALSE)</f>
        <v>KHJ-MC200-00</v>
      </c>
      <c r="C786" s="169">
        <v>110728</v>
      </c>
      <c r="D786" s="169" t="str">
        <f>VLOOKUP(C786,Stock_list!D:L,2,FALSE)</f>
        <v>SZ 恒泰创新</v>
      </c>
      <c r="E786" s="281">
        <f>VLOOKUP(C786,Stock_list!D:L,9,FALSE)</f>
        <v>44622</v>
      </c>
      <c r="F786" s="170" t="s">
        <v>1381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2748</v>
      </c>
      <c r="B787" s="114" t="str">
        <f>VLOOKUP(A787,'Data pick slip'!B:F,5,FALSE)</f>
        <v>KHJ-MC400-00</v>
      </c>
      <c r="C787" s="169">
        <v>110728</v>
      </c>
      <c r="D787" s="169" t="str">
        <f>VLOOKUP(C787,Stock_list!D:L,2,FALSE)</f>
        <v>SZ 恒泰创新</v>
      </c>
      <c r="E787" s="281">
        <f>VLOOKUP(C787,Stock_list!D:L,9,FALSE)</f>
        <v>44622</v>
      </c>
      <c r="F787" s="170" t="s">
        <v>1381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2749</v>
      </c>
      <c r="B788" s="114" t="str">
        <f>VLOOKUP(A788,'Data pick slip'!B:F,5,FALSE)</f>
        <v>KHJ-MC500-00</v>
      </c>
      <c r="C788" s="169">
        <v>110728</v>
      </c>
      <c r="D788" s="169" t="str">
        <f>VLOOKUP(C788,Stock_list!D:L,2,FALSE)</f>
        <v>SZ 恒泰创新</v>
      </c>
      <c r="E788" s="281">
        <f>VLOOKUP(C788,Stock_list!D:L,9,FALSE)</f>
        <v>44622</v>
      </c>
      <c r="F788" s="170" t="s">
        <v>1381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2744</v>
      </c>
      <c r="B789" s="114" t="str">
        <f>VLOOKUP(A789,'Data pick slip'!B:F,5,FALSE)</f>
        <v>KHJ-MC100-00</v>
      </c>
      <c r="C789" s="169">
        <v>110729</v>
      </c>
      <c r="D789" s="169" t="str">
        <f>VLOOKUP(C789,Stock_list!D:L,2,FALSE)</f>
        <v>SZ 鸿南电子</v>
      </c>
      <c r="E789" s="281">
        <f>VLOOKUP(C789,Stock_list!D:L,9,FALSE)</f>
        <v>44613</v>
      </c>
      <c r="F789" s="170" t="s">
        <v>1381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2747</v>
      </c>
      <c r="B790" s="114" t="str">
        <f>VLOOKUP(A790,'Data pick slip'!B:F,5,FALSE)</f>
        <v>KHJ-MC200-00</v>
      </c>
      <c r="C790" s="169">
        <v>110729</v>
      </c>
      <c r="D790" s="169" t="str">
        <f>VLOOKUP(C790,Stock_list!D:L,2,FALSE)</f>
        <v>SZ 鸿南电子</v>
      </c>
      <c r="E790" s="281">
        <f>VLOOKUP(C790,Stock_list!D:L,9,FALSE)</f>
        <v>44613</v>
      </c>
      <c r="F790" s="170" t="s">
        <v>1381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2748</v>
      </c>
      <c r="B791" s="114" t="str">
        <f>VLOOKUP(A791,'Data pick slip'!B:F,5,FALSE)</f>
        <v>KHJ-MC400-00</v>
      </c>
      <c r="C791" s="169">
        <v>110729</v>
      </c>
      <c r="D791" s="169" t="str">
        <f>VLOOKUP(C791,Stock_list!D:L,2,FALSE)</f>
        <v>SZ 鸿南电子</v>
      </c>
      <c r="E791" s="281">
        <f>VLOOKUP(C791,Stock_list!D:L,9,FALSE)</f>
        <v>44613</v>
      </c>
      <c r="F791" s="170" t="s">
        <v>1381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2749</v>
      </c>
      <c r="B792" s="114" t="str">
        <f>VLOOKUP(A792,'Data pick slip'!B:F,5,FALSE)</f>
        <v>KHJ-MC500-00</v>
      </c>
      <c r="C792" s="169">
        <v>110729</v>
      </c>
      <c r="D792" s="169" t="str">
        <f>VLOOKUP(C792,Stock_list!D:L,2,FALSE)</f>
        <v>SZ 鸿南电子</v>
      </c>
      <c r="E792" s="281">
        <f>VLOOKUP(C792,Stock_list!D:L,9,FALSE)</f>
        <v>44613</v>
      </c>
      <c r="F792" s="170" t="s">
        <v>1381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2750</v>
      </c>
      <c r="B793" s="114" t="str">
        <f>VLOOKUP(A793,'Data pick slip'!B:F,5,FALSE)</f>
        <v>KHJ-MC600-00</v>
      </c>
      <c r="C793" s="169">
        <v>110729</v>
      </c>
      <c r="D793" s="169" t="str">
        <f>VLOOKUP(C793,Stock_list!D:L,2,FALSE)</f>
        <v>SZ 鸿南电子</v>
      </c>
      <c r="E793" s="281">
        <f>VLOOKUP(C793,Stock_list!D:L,9,FALSE)</f>
        <v>44613</v>
      </c>
      <c r="F793" s="170" t="s">
        <v>1381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2744</v>
      </c>
      <c r="B794" s="114" t="str">
        <f>VLOOKUP(A794,'Data pick slip'!B:F,5,FALSE)</f>
        <v>KHJ-MC100-00</v>
      </c>
      <c r="C794" s="169">
        <v>110730</v>
      </c>
      <c r="D794" s="169" t="str">
        <f>VLOOKUP(C794,Stock_list!D:L,2,FALSE)</f>
        <v>SZ 魔乐视</v>
      </c>
      <c r="E794" s="281">
        <f>VLOOKUP(C794,Stock_list!D:L,9,FALSE)</f>
        <v>44623</v>
      </c>
      <c r="F794" s="170" t="s">
        <v>1381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2747</v>
      </c>
      <c r="B795" s="114" t="str">
        <f>VLOOKUP(A795,'Data pick slip'!B:F,5,FALSE)</f>
        <v>KHJ-MC200-00</v>
      </c>
      <c r="C795" s="169">
        <v>110730</v>
      </c>
      <c r="D795" s="169" t="str">
        <f>VLOOKUP(C795,Stock_list!D:L,2,FALSE)</f>
        <v>SZ 魔乐视</v>
      </c>
      <c r="E795" s="281">
        <f>VLOOKUP(C795,Stock_list!D:L,9,FALSE)</f>
        <v>44623</v>
      </c>
      <c r="F795" s="170" t="s">
        <v>1381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2748</v>
      </c>
      <c r="B796" s="114" t="str">
        <f>VLOOKUP(A796,'Data pick slip'!B:F,5,FALSE)</f>
        <v>KHJ-MC400-00</v>
      </c>
      <c r="C796" s="169">
        <v>110730</v>
      </c>
      <c r="D796" s="169" t="str">
        <f>VLOOKUP(C796,Stock_list!D:L,2,FALSE)</f>
        <v>SZ 魔乐视</v>
      </c>
      <c r="E796" s="281">
        <f>VLOOKUP(C796,Stock_list!D:L,9,FALSE)</f>
        <v>44623</v>
      </c>
      <c r="F796" s="170" t="s">
        <v>1381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2750</v>
      </c>
      <c r="B797" s="114" t="str">
        <f>VLOOKUP(A797,'Data pick slip'!B:F,5,FALSE)</f>
        <v>KHJ-MC600-00</v>
      </c>
      <c r="C797" s="169">
        <v>110730</v>
      </c>
      <c r="D797" s="169" t="str">
        <f>VLOOKUP(C797,Stock_list!D:L,2,FALSE)</f>
        <v>SZ 魔乐视</v>
      </c>
      <c r="E797" s="281">
        <f>VLOOKUP(C797,Stock_list!D:L,9,FALSE)</f>
        <v>44623</v>
      </c>
      <c r="F797" s="170" t="s">
        <v>1381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2751</v>
      </c>
      <c r="B798" s="114" t="str">
        <f>VLOOKUP(A798,'Data pick slip'!B:F,5,FALSE)</f>
        <v>KHJ-MC700-00</v>
      </c>
      <c r="C798" s="169">
        <v>110730</v>
      </c>
      <c r="D798" s="169" t="str">
        <f>VLOOKUP(C798,Stock_list!D:L,2,FALSE)</f>
        <v>SZ 魔乐视</v>
      </c>
      <c r="E798" s="281">
        <f>VLOOKUP(C798,Stock_list!D:L,9,FALSE)</f>
        <v>44623</v>
      </c>
      <c r="F798" s="170" t="s">
        <v>1381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2744</v>
      </c>
      <c r="B799" s="114" t="str">
        <f>VLOOKUP(A799,'Data pick slip'!B:F,5,FALSE)</f>
        <v>KHJ-MC100-00</v>
      </c>
      <c r="C799" s="169">
        <v>110731</v>
      </c>
      <c r="D799" s="169" t="str">
        <f>VLOOKUP(C799,Stock_list!D:L,2,FALSE)</f>
        <v>深圳傲尔</v>
      </c>
      <c r="E799" s="281">
        <f>VLOOKUP(C799,Stock_list!D:L,9,FALSE)</f>
        <v>44600</v>
      </c>
      <c r="F799" s="170" t="s">
        <v>1381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2744</v>
      </c>
      <c r="B800" s="114" t="str">
        <f>VLOOKUP(A800,'Data pick slip'!B:F,5,FALSE)</f>
        <v>KHJ-MC100-00</v>
      </c>
      <c r="C800" s="169">
        <v>110732</v>
      </c>
      <c r="D800" s="169" t="str">
        <f>VLOOKUP(C800,Stock_list!D:L,2,FALSE)</f>
        <v>SZ 宝捷时计</v>
      </c>
      <c r="E800" s="281">
        <f>VLOOKUP(C800,Stock_list!D:L,9,FALSE)</f>
        <v>44627</v>
      </c>
      <c r="F800" s="170" t="s">
        <v>1381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2747</v>
      </c>
      <c r="B801" s="114" t="str">
        <f>VLOOKUP(A801,'Data pick slip'!B:F,5,FALSE)</f>
        <v>KHJ-MC200-00</v>
      </c>
      <c r="C801" s="169">
        <v>110732</v>
      </c>
      <c r="D801" s="169" t="str">
        <f>VLOOKUP(C801,Stock_list!D:L,2,FALSE)</f>
        <v>SZ 宝捷时计</v>
      </c>
      <c r="E801" s="281">
        <f>VLOOKUP(C801,Stock_list!D:L,9,FALSE)</f>
        <v>44627</v>
      </c>
      <c r="F801" s="170" t="s">
        <v>1381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2748</v>
      </c>
      <c r="B802" s="114" t="str">
        <f>VLOOKUP(A802,'Data pick slip'!B:F,5,FALSE)</f>
        <v>KHJ-MC400-00</v>
      </c>
      <c r="C802" s="169">
        <v>110732</v>
      </c>
      <c r="D802" s="169" t="str">
        <f>VLOOKUP(C802,Stock_list!D:L,2,FALSE)</f>
        <v>SZ 宝捷时计</v>
      </c>
      <c r="E802" s="281">
        <f>VLOOKUP(C802,Stock_list!D:L,9,FALSE)</f>
        <v>44627</v>
      </c>
      <c r="F802" s="170" t="s">
        <v>1381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2749</v>
      </c>
      <c r="B803" s="114" t="str">
        <f>VLOOKUP(A803,'Data pick slip'!B:F,5,FALSE)</f>
        <v>KHJ-MC500-00</v>
      </c>
      <c r="C803" s="169">
        <v>110732</v>
      </c>
      <c r="D803" s="169" t="str">
        <f>VLOOKUP(C803,Stock_list!D:L,2,FALSE)</f>
        <v>SZ 宝捷时计</v>
      </c>
      <c r="E803" s="281">
        <f>VLOOKUP(C803,Stock_list!D:L,9,FALSE)</f>
        <v>44627</v>
      </c>
      <c r="F803" s="170" t="s">
        <v>1381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2750</v>
      </c>
      <c r="B804" s="114" t="str">
        <f>VLOOKUP(A804,'Data pick slip'!B:F,5,FALSE)</f>
        <v>KHJ-MC600-00</v>
      </c>
      <c r="C804" s="169">
        <v>110732</v>
      </c>
      <c r="D804" s="169" t="str">
        <f>VLOOKUP(C804,Stock_list!D:L,2,FALSE)</f>
        <v>SZ 宝捷时计</v>
      </c>
      <c r="E804" s="281">
        <f>VLOOKUP(C804,Stock_list!D:L,9,FALSE)</f>
        <v>44627</v>
      </c>
      <c r="F804" s="170" t="s">
        <v>1381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2744</v>
      </c>
      <c r="B805" s="114" t="str">
        <f>VLOOKUP(A805,'Data pick slip'!B:F,5,FALSE)</f>
        <v>KHJ-MC100-00</v>
      </c>
      <c r="C805" s="169">
        <v>110733</v>
      </c>
      <c r="D805" s="169" t="str">
        <f>VLOOKUP(C805,Stock_list!D:L,2,FALSE)</f>
        <v>珠海派诺</v>
      </c>
      <c r="E805" s="281">
        <f>VLOOKUP(C805,Stock_list!D:L,9,FALSE)</f>
        <v>44622</v>
      </c>
      <c r="F805" s="170" t="s">
        <v>1381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2747</v>
      </c>
      <c r="B806" s="114" t="str">
        <f>VLOOKUP(A806,'Data pick slip'!B:F,5,FALSE)</f>
        <v>KHJ-MC200-00</v>
      </c>
      <c r="C806" s="169">
        <v>110733</v>
      </c>
      <c r="D806" s="169" t="str">
        <f>VLOOKUP(C806,Stock_list!D:L,2,FALSE)</f>
        <v>珠海派诺</v>
      </c>
      <c r="E806" s="281">
        <f>VLOOKUP(C806,Stock_list!D:L,9,FALSE)</f>
        <v>44622</v>
      </c>
      <c r="F806" s="170" t="s">
        <v>1381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2748</v>
      </c>
      <c r="B807" s="114" t="str">
        <f>VLOOKUP(A807,'Data pick slip'!B:F,5,FALSE)</f>
        <v>KHJ-MC400-00</v>
      </c>
      <c r="C807" s="169">
        <v>110733</v>
      </c>
      <c r="D807" s="169" t="str">
        <f>VLOOKUP(C807,Stock_list!D:L,2,FALSE)</f>
        <v>珠海派诺</v>
      </c>
      <c r="E807" s="281">
        <f>VLOOKUP(C807,Stock_list!D:L,9,FALSE)</f>
        <v>44622</v>
      </c>
      <c r="F807" s="170" t="s">
        <v>1381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2749</v>
      </c>
      <c r="B808" s="114" t="str">
        <f>VLOOKUP(A808,'Data pick slip'!B:F,5,FALSE)</f>
        <v>KHJ-MC500-00</v>
      </c>
      <c r="C808" s="169">
        <v>110733</v>
      </c>
      <c r="D808" s="169" t="str">
        <f>VLOOKUP(C808,Stock_list!D:L,2,FALSE)</f>
        <v>珠海派诺</v>
      </c>
      <c r="E808" s="281">
        <f>VLOOKUP(C808,Stock_list!D:L,9,FALSE)</f>
        <v>44622</v>
      </c>
      <c r="F808" s="170" t="s">
        <v>1381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2750</v>
      </c>
      <c r="B809" s="114" t="str">
        <f>VLOOKUP(A809,'Data pick slip'!B:F,5,FALSE)</f>
        <v>KHJ-MC600-00</v>
      </c>
      <c r="C809" s="169">
        <v>110733</v>
      </c>
      <c r="D809" s="169" t="str">
        <f>VLOOKUP(C809,Stock_list!D:L,2,FALSE)</f>
        <v>珠海派诺</v>
      </c>
      <c r="E809" s="281">
        <f>VLOOKUP(C809,Stock_list!D:L,9,FALSE)</f>
        <v>44622</v>
      </c>
      <c r="F809" s="170" t="s">
        <v>1381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2744</v>
      </c>
      <c r="B810" s="114" t="str">
        <f>VLOOKUP(A810,'Data pick slip'!B:F,5,FALSE)</f>
        <v>KHJ-MC100-00</v>
      </c>
      <c r="C810" s="169">
        <v>110734</v>
      </c>
      <c r="D810" s="169" t="str">
        <f>VLOOKUP(C810,Stock_list!D:L,2,FALSE)</f>
        <v>SZ 正讯</v>
      </c>
      <c r="E810" s="281">
        <f>VLOOKUP(C810,Stock_list!D:L,9,FALSE)</f>
        <v>44600</v>
      </c>
      <c r="F810" s="170" t="s">
        <v>1381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2744</v>
      </c>
      <c r="B811" s="114" t="str">
        <f>VLOOKUP(A811,'Data pick slip'!B:F,5,FALSE)</f>
        <v>KHJ-MC100-00</v>
      </c>
      <c r="C811" s="169">
        <v>110737</v>
      </c>
      <c r="D811" s="169" t="str">
        <f>VLOOKUP(C811,Stock_list!D:L,2,FALSE)</f>
        <v>SZ 英拓邦</v>
      </c>
      <c r="E811" s="281">
        <f>VLOOKUP(C811,Stock_list!D:L,9,FALSE)</f>
        <v>44627</v>
      </c>
      <c r="F811" s="170" t="s">
        <v>1381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2744</v>
      </c>
      <c r="B812" s="114" t="str">
        <f>VLOOKUP(A812,'Data pick slip'!B:F,5,FALSE)</f>
        <v>KHJ-MC100-00</v>
      </c>
      <c r="C812" s="169"/>
      <c r="D812" s="169"/>
      <c r="E812" s="281" t="s">
        <v>2972</v>
      </c>
      <c r="F812" s="170" t="s">
        <v>2753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2744</v>
      </c>
      <c r="B813" s="114" t="str">
        <f>VLOOKUP(A813,'Data pick slip'!B:F,5,FALSE)</f>
        <v>KHJ-MC100-00</v>
      </c>
      <c r="C813" s="169">
        <v>110756</v>
      </c>
      <c r="D813" s="169" t="str">
        <f>VLOOKUP(C813,Stock_list!D:L,2,FALSE)</f>
        <v>HZ 朗迅</v>
      </c>
      <c r="E813" s="281">
        <f>VLOOKUP(C813,Stock_list!D:L,9,FALSE)</f>
        <v>44642</v>
      </c>
      <c r="F813" s="170" t="s">
        <v>1381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2749</v>
      </c>
      <c r="B814" s="114" t="str">
        <f>VLOOKUP(A814,'Data pick slip'!B:F,5,FALSE)</f>
        <v>KHJ-MC500-00</v>
      </c>
      <c r="C814" s="169">
        <v>110756</v>
      </c>
      <c r="D814" s="169" t="str">
        <f>VLOOKUP(C814,Stock_list!D:L,2,FALSE)</f>
        <v>HZ 朗迅</v>
      </c>
      <c r="E814" s="281">
        <f>VLOOKUP(C814,Stock_list!D:L,9,FALSE)</f>
        <v>44642</v>
      </c>
      <c r="F814" s="170" t="s">
        <v>1381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2744</v>
      </c>
      <c r="B815" s="114" t="str">
        <f>VLOOKUP(A815,'Data pick slip'!B:F,5,FALSE)</f>
        <v>KHJ-MC100-00</v>
      </c>
      <c r="C815" s="169">
        <v>110757</v>
      </c>
      <c r="D815" s="169" t="str">
        <f>VLOOKUP(C815,Stock_list!D:L,2,FALSE)</f>
        <v>深圳晶昌鸿业(有补差额)</v>
      </c>
      <c r="E815" s="281">
        <f>VLOOKUP(C815,Stock_list!D:L,9,FALSE)</f>
        <v>44646</v>
      </c>
      <c r="F815" s="170" t="s">
        <v>1381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2747</v>
      </c>
      <c r="B816" s="114" t="str">
        <f>VLOOKUP(A816,'Data pick slip'!B:F,5,FALSE)</f>
        <v>KHJ-MC200-00</v>
      </c>
      <c r="C816" s="169">
        <v>110757</v>
      </c>
      <c r="D816" s="169" t="str">
        <f>VLOOKUP(C816,Stock_list!D:L,2,FALSE)</f>
        <v>深圳晶昌鸿业(有补差额)</v>
      </c>
      <c r="E816" s="281">
        <f>VLOOKUP(C816,Stock_list!D:L,9,FALSE)</f>
        <v>44646</v>
      </c>
      <c r="F816" s="170" t="s">
        <v>1381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2744</v>
      </c>
      <c r="B817" s="114" t="str">
        <f>VLOOKUP(A817,'Data pick slip'!B:F,5,FALSE)</f>
        <v>KHJ-MC100-00</v>
      </c>
      <c r="C817" s="169">
        <v>110763</v>
      </c>
      <c r="D817" s="169" t="str">
        <f>VLOOKUP(C817,Stock_list!D:L,2,FALSE)</f>
        <v>深圳傲尔</v>
      </c>
      <c r="E817" s="281">
        <f>VLOOKUP(C817,Stock_list!D:L,9,FALSE)</f>
        <v>44645</v>
      </c>
      <c r="F817" s="170" t="s">
        <v>1381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2747</v>
      </c>
      <c r="B818" s="114" t="str">
        <f>VLOOKUP(A818,'Data pick slip'!B:F,5,FALSE)</f>
        <v>KHJ-MC200-00</v>
      </c>
      <c r="C818" s="169">
        <v>110763</v>
      </c>
      <c r="D818" s="169" t="str">
        <f>VLOOKUP(C818,Stock_list!D:L,2,FALSE)</f>
        <v>深圳傲尔</v>
      </c>
      <c r="E818" s="281">
        <f>VLOOKUP(C818,Stock_list!D:L,9,FALSE)</f>
        <v>44645</v>
      </c>
      <c r="F818" s="170" t="s">
        <v>1381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2744</v>
      </c>
      <c r="B819" s="114" t="str">
        <f>VLOOKUP(A819,'Data pick slip'!B:F,5,FALSE)</f>
        <v>KHJ-MC100-00</v>
      </c>
      <c r="C819" s="169">
        <v>110766</v>
      </c>
      <c r="D819" s="169" t="str">
        <f>VLOOKUP(C819,Stock_list!D:L,2,FALSE)</f>
        <v>SZ 巨能</v>
      </c>
      <c r="E819" s="281">
        <f>VLOOKUP(C819,Stock_list!D:L,9,FALSE)</f>
        <v>44648</v>
      </c>
      <c r="F819" s="170" t="s">
        <v>1381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2747</v>
      </c>
      <c r="B820" s="114" t="str">
        <f>VLOOKUP(A820,'Data pick slip'!B:F,5,FALSE)</f>
        <v>KHJ-MC200-00</v>
      </c>
      <c r="C820" s="169">
        <v>110766</v>
      </c>
      <c r="D820" s="169" t="str">
        <f>VLOOKUP(C820,Stock_list!D:L,2,FALSE)</f>
        <v>SZ 巨能</v>
      </c>
      <c r="E820" s="281">
        <f>VLOOKUP(C820,Stock_list!D:L,9,FALSE)</f>
        <v>44648</v>
      </c>
      <c r="F820" s="170" t="s">
        <v>1381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2744</v>
      </c>
      <c r="B821" s="114" t="str">
        <f>VLOOKUP(A821,'Data pick slip'!B:F,5,FALSE)</f>
        <v>KHJ-MC100-00</v>
      </c>
      <c r="C821" s="169" t="s">
        <v>2973</v>
      </c>
      <c r="D821" s="169" t="str">
        <f>VLOOKUP(C821,Stock_list!D:L,2,FALSE)</f>
        <v>Dongguan Yidong</v>
      </c>
      <c r="E821" s="281" t="str">
        <f>VLOOKUP(C821,Stock_list!D:L,9,FALSE)</f>
        <v>2022/4/3深圳盐田港</v>
      </c>
      <c r="F821" s="170" t="s">
        <v>2753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2747</v>
      </c>
      <c r="B822" s="114" t="str">
        <f>VLOOKUP(A822,'Data pick slip'!B:F,5,FALSE)</f>
        <v>KHJ-MC200-00</v>
      </c>
      <c r="C822" s="169" t="s">
        <v>2973</v>
      </c>
      <c r="D822" s="169" t="str">
        <f>VLOOKUP(C822,Stock_list!D:L,2,FALSE)</f>
        <v>Dongguan Yidong</v>
      </c>
      <c r="E822" s="281" t="str">
        <f>VLOOKUP(C822,Stock_list!D:L,9,FALSE)</f>
        <v>2022/4/3深圳盐田港</v>
      </c>
      <c r="F822" s="170" t="s">
        <v>2753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2748</v>
      </c>
      <c r="B823" s="114" t="str">
        <f>VLOOKUP(A823,'Data pick slip'!B:F,5,FALSE)</f>
        <v>KHJ-MC400-00</v>
      </c>
      <c r="C823" s="169" t="s">
        <v>2973</v>
      </c>
      <c r="D823" s="169" t="str">
        <f>VLOOKUP(C823,Stock_list!D:L,2,FALSE)</f>
        <v>Dongguan Yidong</v>
      </c>
      <c r="E823" s="281" t="str">
        <f>VLOOKUP(C823,Stock_list!D:L,9,FALSE)</f>
        <v>2022/4/3深圳盐田港</v>
      </c>
      <c r="F823" s="170" t="s">
        <v>2753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2751</v>
      </c>
      <c r="B824" s="114" t="str">
        <f>VLOOKUP(A824,'Data pick slip'!B:F,5,FALSE)</f>
        <v>KHJ-MC700-00</v>
      </c>
      <c r="C824" s="169" t="s">
        <v>2973</v>
      </c>
      <c r="D824" s="169" t="str">
        <f>VLOOKUP(C824,Stock_list!D:L,2,FALSE)</f>
        <v>Dongguan Yidong</v>
      </c>
      <c r="E824" s="281" t="str">
        <f>VLOOKUP(C824,Stock_list!D:L,9,FALSE)</f>
        <v>2022/4/3深圳盐田港</v>
      </c>
      <c r="F824" s="170" t="s">
        <v>2753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2752</v>
      </c>
      <c r="B825" s="114" t="str">
        <f>VLOOKUP(A825,'Data pick slip'!B:F,5,FALSE)</f>
        <v>KHJ-MC800-00</v>
      </c>
      <c r="C825" s="169" t="s">
        <v>2973</v>
      </c>
      <c r="D825" s="169" t="str">
        <f>VLOOKUP(C825,Stock_list!D:L,2,FALSE)</f>
        <v>Dongguan Yidong</v>
      </c>
      <c r="E825" s="281" t="str">
        <f>VLOOKUP(C825,Stock_list!D:L,9,FALSE)</f>
        <v>2022/4/3深圳盐田港</v>
      </c>
      <c r="F825" s="170" t="s">
        <v>2753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2744</v>
      </c>
      <c r="B826" s="114" t="str">
        <f>VLOOKUP(A826,'Data pick slip'!B:F,5,FALSE)</f>
        <v>KHJ-MC100-00</v>
      </c>
      <c r="C826" s="169">
        <v>110810</v>
      </c>
      <c r="D826" s="169" t="str">
        <f>VLOOKUP(C826,Stock_list!D:L,2,FALSE)</f>
        <v>Dongguan Yidong</v>
      </c>
      <c r="E826" s="281">
        <f>VLOOKUP(C826,Stock_list!D:L,9,FALSE)</f>
        <v>44688</v>
      </c>
      <c r="F826" s="170" t="s">
        <v>1381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2747</v>
      </c>
      <c r="B827" s="114" t="str">
        <f>VLOOKUP(A827,'Data pick slip'!B:F,5,FALSE)</f>
        <v>KHJ-MC200-00</v>
      </c>
      <c r="C827" s="169">
        <v>110810</v>
      </c>
      <c r="D827" s="169" t="str">
        <f>VLOOKUP(C827,Stock_list!D:L,2,FALSE)</f>
        <v>Dongguan Yidong</v>
      </c>
      <c r="E827" s="281">
        <f>VLOOKUP(C827,Stock_list!D:L,9,FALSE)</f>
        <v>44688</v>
      </c>
      <c r="F827" s="170" t="s">
        <v>1381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2748</v>
      </c>
      <c r="B828" s="114" t="str">
        <f>VLOOKUP(A828,'Data pick slip'!B:F,5,FALSE)</f>
        <v>KHJ-MC400-00</v>
      </c>
      <c r="C828" s="169">
        <v>110810</v>
      </c>
      <c r="D828" s="169" t="str">
        <f>VLOOKUP(C828,Stock_list!D:L,2,FALSE)</f>
        <v>Dongguan Yidong</v>
      </c>
      <c r="E828" s="281">
        <f>VLOOKUP(C828,Stock_list!D:L,9,FALSE)</f>
        <v>44688</v>
      </c>
      <c r="F828" s="170" t="s">
        <v>1381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2744</v>
      </c>
      <c r="B829" s="114" t="str">
        <f>VLOOKUP(A829,'Data pick slip'!B:F,5,FALSE)</f>
        <v>KHJ-MC100-00</v>
      </c>
      <c r="C829" s="169">
        <v>110813</v>
      </c>
      <c r="D829" s="169" t="str">
        <f>VLOOKUP(C829,Stock_list!D:L,2,FALSE)</f>
        <v>深圳晶昌鸿业</v>
      </c>
      <c r="E829" s="281">
        <f>VLOOKUP(C829,Stock_list!D:L,9,FALSE)</f>
        <v>44646</v>
      </c>
      <c r="F829" s="170" t="s">
        <v>1381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2747</v>
      </c>
      <c r="B830" s="114" t="str">
        <f>VLOOKUP(A830,'Data pick slip'!B:F,5,FALSE)</f>
        <v>KHJ-MC200-00</v>
      </c>
      <c r="C830" s="169">
        <v>110813</v>
      </c>
      <c r="D830" s="169" t="str">
        <f>VLOOKUP(C830,Stock_list!D:L,2,FALSE)</f>
        <v>深圳晶昌鸿业</v>
      </c>
      <c r="E830" s="281">
        <f>VLOOKUP(C830,Stock_list!D:L,9,FALSE)</f>
        <v>44646</v>
      </c>
      <c r="F830" s="170" t="s">
        <v>1381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2749</v>
      </c>
      <c r="B831" s="114" t="str">
        <f>VLOOKUP(A831,'Data pick slip'!B:F,5,FALSE)</f>
        <v>KHJ-MC500-00</v>
      </c>
      <c r="C831" s="169">
        <v>110813</v>
      </c>
      <c r="D831" s="169" t="str">
        <f>VLOOKUP(C831,Stock_list!D:L,2,FALSE)</f>
        <v>深圳晶昌鸿业</v>
      </c>
      <c r="E831" s="281">
        <f>VLOOKUP(C831,Stock_list!D:L,9,FALSE)</f>
        <v>44646</v>
      </c>
      <c r="F831" s="170" t="s">
        <v>1381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2750</v>
      </c>
      <c r="B832" s="114" t="str">
        <f>VLOOKUP(A832,'Data pick slip'!B:F,5,FALSE)</f>
        <v>KHJ-MC600-00</v>
      </c>
      <c r="C832" s="169">
        <v>110813</v>
      </c>
      <c r="D832" s="169" t="str">
        <f>VLOOKUP(C832,Stock_list!D:L,2,FALSE)</f>
        <v>深圳晶昌鸿业</v>
      </c>
      <c r="E832" s="281">
        <f>VLOOKUP(C832,Stock_list!D:L,9,FALSE)</f>
        <v>44646</v>
      </c>
      <c r="F832" s="170" t="s">
        <v>1381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2744</v>
      </c>
      <c r="B833" s="114" t="str">
        <f>VLOOKUP(A833,'Data pick slip'!B:F,5,FALSE)</f>
        <v>KHJ-MC100-00</v>
      </c>
      <c r="C833" s="169">
        <v>110825</v>
      </c>
      <c r="D833" s="169" t="str">
        <f>VLOOKUP(C833,Stock_list!D:L,2,FALSE)</f>
        <v>Shenzhen 力通威</v>
      </c>
      <c r="E833" s="281">
        <f>VLOOKUP(C833,Stock_list!D:L,9,FALSE)</f>
        <v>44664</v>
      </c>
      <c r="F833" s="170" t="s">
        <v>1381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2747</v>
      </c>
      <c r="B834" s="114" t="str">
        <f>VLOOKUP(A834,'Data pick slip'!B:F,5,FALSE)</f>
        <v>KHJ-MC200-00</v>
      </c>
      <c r="C834" s="169">
        <v>110825</v>
      </c>
      <c r="D834" s="169" t="str">
        <f>VLOOKUP(C834,Stock_list!D:L,2,FALSE)</f>
        <v>Shenzhen 力通威</v>
      </c>
      <c r="E834" s="281">
        <f>VLOOKUP(C834,Stock_list!D:L,9,FALSE)</f>
        <v>44664</v>
      </c>
      <c r="F834" s="170" t="s">
        <v>1381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2744</v>
      </c>
      <c r="B835" s="114" t="str">
        <f>VLOOKUP(A835,'Data pick slip'!B:F,5,FALSE)</f>
        <v>KHJ-MC100-00</v>
      </c>
      <c r="C835" s="169">
        <v>110826</v>
      </c>
      <c r="D835" s="169" t="str">
        <f>VLOOKUP(C835,Stock_list!D:L,2,FALSE)</f>
        <v>Guangzhou 骏孚（有补差额，折扣约55.3%)</v>
      </c>
      <c r="E835" s="281">
        <f>VLOOKUP(C835,Stock_list!D:L,9,FALSE)</f>
        <v>44667</v>
      </c>
      <c r="F835" s="170" t="s">
        <v>1381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2747</v>
      </c>
      <c r="B836" s="114" t="str">
        <f>VLOOKUP(A836,'Data pick slip'!B:F,5,FALSE)</f>
        <v>KHJ-MC200-00</v>
      </c>
      <c r="C836" s="169">
        <v>110826</v>
      </c>
      <c r="D836" s="169" t="str">
        <f>VLOOKUP(C836,Stock_list!D:L,2,FALSE)</f>
        <v>Guangzhou 骏孚（有补差额，折扣约55.3%)</v>
      </c>
      <c r="E836" s="281">
        <f>VLOOKUP(C836,Stock_list!D:L,9,FALSE)</f>
        <v>44667</v>
      </c>
      <c r="F836" s="170" t="s">
        <v>1381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2744</v>
      </c>
      <c r="B837" s="114" t="str">
        <f>VLOOKUP(A837,'Data pick slip'!B:F,5,FALSE)</f>
        <v>KHJ-MC100-00</v>
      </c>
      <c r="C837" s="169">
        <v>110827</v>
      </c>
      <c r="D837" s="169" t="str">
        <f>VLOOKUP(C837,Stock_list!D:L,2,FALSE)</f>
        <v>Jinxi 昌大（有补差额，折扣约55.3%)</v>
      </c>
      <c r="E837" s="281">
        <f>VLOOKUP(C837,Stock_list!D:L,9,FALSE)</f>
        <v>44667</v>
      </c>
      <c r="F837" s="170" t="s">
        <v>1381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2747</v>
      </c>
      <c r="B838" s="114" t="str">
        <f>VLOOKUP(A838,'Data pick slip'!B:F,5,FALSE)</f>
        <v>KHJ-MC200-00</v>
      </c>
      <c r="C838" s="169">
        <v>110827</v>
      </c>
      <c r="D838" s="169" t="str">
        <f>VLOOKUP(C838,Stock_list!D:L,2,FALSE)</f>
        <v>Jinxi 昌大（有补差额，折扣约55.3%)</v>
      </c>
      <c r="E838" s="281">
        <f>VLOOKUP(C838,Stock_list!D:L,9,FALSE)</f>
        <v>44667</v>
      </c>
      <c r="F838" s="170" t="s">
        <v>1381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2744</v>
      </c>
      <c r="B839" s="114" t="str">
        <f>VLOOKUP(A839,'Data pick slip'!B:F,5,FALSE)</f>
        <v>KHJ-MC100-00</v>
      </c>
      <c r="C839" s="169">
        <v>110828</v>
      </c>
      <c r="D839" s="169" t="str">
        <f>VLOOKUP(C839,Stock_list!D:L,2,FALSE)</f>
        <v>Shenzhen 恒泰创新（有补差额，折扣约55.3%)</v>
      </c>
      <c r="E839" s="281">
        <f>VLOOKUP(C839,Stock_list!D:L,9,FALSE)</f>
        <v>44667</v>
      </c>
      <c r="F839" s="170" t="s">
        <v>1381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2747</v>
      </c>
      <c r="B840" s="114" t="str">
        <f>VLOOKUP(A840,'Data pick slip'!B:F,5,FALSE)</f>
        <v>KHJ-MC200-00</v>
      </c>
      <c r="C840" s="169">
        <v>110828</v>
      </c>
      <c r="D840" s="169" t="str">
        <f>VLOOKUP(C840,Stock_list!D:L,2,FALSE)</f>
        <v>Shenzhen 恒泰创新（有补差额，折扣约55.3%)</v>
      </c>
      <c r="E840" s="281">
        <f>VLOOKUP(C840,Stock_list!D:L,9,FALSE)</f>
        <v>44667</v>
      </c>
      <c r="F840" s="170" t="s">
        <v>1381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2744</v>
      </c>
      <c r="B841" s="114" t="str">
        <f>VLOOKUP(A841,'Data pick slip'!B:F,5,FALSE)</f>
        <v>KHJ-MC100-00</v>
      </c>
      <c r="C841" s="169">
        <v>110829</v>
      </c>
      <c r="D841" s="169" t="str">
        <f>VLOOKUP(C841,Stock_list!D:L,2,FALSE)</f>
        <v>Shenzhen 清禾</v>
      </c>
      <c r="E841" s="281">
        <f>VLOOKUP(C841,Stock_list!D:L,9,FALSE)</f>
        <v>44664</v>
      </c>
      <c r="F841" s="170" t="s">
        <v>1381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2747</v>
      </c>
      <c r="B842" s="114" t="str">
        <f>VLOOKUP(A842,'Data pick slip'!B:F,5,FALSE)</f>
        <v>KHJ-MC200-00</v>
      </c>
      <c r="C842" s="169">
        <v>110829</v>
      </c>
      <c r="D842" s="169" t="str">
        <f>VLOOKUP(C842,Stock_list!D:L,2,FALSE)</f>
        <v>Shenzhen 清禾</v>
      </c>
      <c r="E842" s="281">
        <f>VLOOKUP(C842,Stock_list!D:L,9,FALSE)</f>
        <v>44664</v>
      </c>
      <c r="F842" s="170" t="s">
        <v>1381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2744</v>
      </c>
      <c r="B843" s="114" t="str">
        <f>VLOOKUP(A843,'Data pick slip'!B:F,5,FALSE)</f>
        <v>KHJ-MC100-00</v>
      </c>
      <c r="C843" s="169">
        <v>110830</v>
      </c>
      <c r="D843" s="169" t="str">
        <f>VLOOKUP(C843,Stock_list!D:L,2,FALSE)</f>
        <v>Shenzhen 狂热者（有补差额，折扣约55.3%)</v>
      </c>
      <c r="E843" s="281">
        <f>VLOOKUP(C843,Stock_list!D:L,9,FALSE)</f>
        <v>44667</v>
      </c>
      <c r="F843" s="170" t="s">
        <v>1381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2744</v>
      </c>
      <c r="B844" s="114" t="str">
        <f>VLOOKUP(A844,'Data pick slip'!B:F,5,FALSE)</f>
        <v>KHJ-MC100-00</v>
      </c>
      <c r="C844" s="169">
        <v>110831</v>
      </c>
      <c r="D844" s="169" t="str">
        <f>VLOOKUP(C844,Stock_list!D:L,2,FALSE)</f>
        <v>Shenzhen 驰电</v>
      </c>
      <c r="E844" s="281">
        <f>VLOOKUP(C844,Stock_list!D:L,9,FALSE)</f>
        <v>44664</v>
      </c>
      <c r="F844" s="170" t="s">
        <v>1381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2744</v>
      </c>
      <c r="B845" s="114" t="str">
        <f>VLOOKUP(A845,'Data pick slip'!B:F,5,FALSE)</f>
        <v>KHJ-MC100-00</v>
      </c>
      <c r="C845" s="169">
        <v>110832</v>
      </c>
      <c r="D845" s="169" t="str">
        <f>VLOOKUP(C845,Stock_list!D:L,2,FALSE)</f>
        <v>傲尔（有补差额，折扣约55.3%)</v>
      </c>
      <c r="E845" s="281">
        <f>VLOOKUP(C845,Stock_list!D:L,9,FALSE)</f>
        <v>44667</v>
      </c>
      <c r="F845" s="170" t="s">
        <v>1381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2755</v>
      </c>
      <c r="B846" s="114" t="str">
        <f>VLOOKUP(A846,'Data pick slip'!B:F,5,FALSE)</f>
        <v>KLJ-MC100-00</v>
      </c>
      <c r="C846" s="169">
        <v>110833</v>
      </c>
      <c r="D846" s="169" t="str">
        <f>VLOOKUP(C846,Stock_list!D:L,2,FALSE)</f>
        <v>SZ 乐凡电子</v>
      </c>
      <c r="E846" s="281">
        <f>VLOOKUP(C846,Stock_list!D:L,9,FALSE)</f>
        <v>44680</v>
      </c>
      <c r="F846" s="170" t="s">
        <v>1381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2744</v>
      </c>
      <c r="B847" s="114" t="str">
        <f>VLOOKUP(A847,'Data pick slip'!B:F,5,FALSE)</f>
        <v>KHJ-MC100-00</v>
      </c>
      <c r="C847" s="169">
        <v>110833</v>
      </c>
      <c r="D847" s="169" t="str">
        <f>VLOOKUP(C847,Stock_list!D:L,2,FALSE)</f>
        <v>SZ 乐凡电子</v>
      </c>
      <c r="E847" s="281">
        <f>VLOOKUP(C847,Stock_list!D:L,9,FALSE)</f>
        <v>44680</v>
      </c>
      <c r="F847" s="170" t="s">
        <v>1381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2748</v>
      </c>
      <c r="B848" s="114" t="str">
        <f>VLOOKUP(A848,'Data pick slip'!B:F,5,FALSE)</f>
        <v>KHJ-MC400-00</v>
      </c>
      <c r="C848" s="169">
        <v>110833</v>
      </c>
      <c r="D848" s="169" t="str">
        <f>VLOOKUP(C848,Stock_list!D:L,2,FALSE)</f>
        <v>SZ 乐凡电子</v>
      </c>
      <c r="E848" s="281">
        <f>VLOOKUP(C848,Stock_list!D:L,9,FALSE)</f>
        <v>44680</v>
      </c>
      <c r="F848" s="170" t="s">
        <v>1381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2750</v>
      </c>
      <c r="B849" s="114" t="str">
        <f>VLOOKUP(A849,'Data pick slip'!B:F,5,FALSE)</f>
        <v>KHJ-MC600-00</v>
      </c>
      <c r="C849" s="169">
        <v>110833</v>
      </c>
      <c r="D849" s="169" t="str">
        <f>VLOOKUP(C849,Stock_list!D:L,2,FALSE)</f>
        <v>SZ 乐凡电子</v>
      </c>
      <c r="E849" s="281">
        <f>VLOOKUP(C849,Stock_list!D:L,9,FALSE)</f>
        <v>44680</v>
      </c>
      <c r="F849" s="170" t="s">
        <v>1381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2751</v>
      </c>
      <c r="B850" s="114" t="str">
        <f>VLOOKUP(A850,'Data pick slip'!B:F,5,FALSE)</f>
        <v>KHJ-MC700-00</v>
      </c>
      <c r="C850" s="169">
        <v>110833</v>
      </c>
      <c r="D850" s="169" t="str">
        <f>VLOOKUP(C850,Stock_list!D:L,2,FALSE)</f>
        <v>SZ 乐凡电子</v>
      </c>
      <c r="E850" s="281">
        <f>VLOOKUP(C850,Stock_list!D:L,9,FALSE)</f>
        <v>44680</v>
      </c>
      <c r="F850" s="170" t="s">
        <v>1381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2744</v>
      </c>
      <c r="B851" s="114" t="str">
        <f>VLOOKUP(A851,'Data pick slip'!B:F,5,FALSE)</f>
        <v>KHJ-MC100-00</v>
      </c>
      <c r="C851" s="169">
        <v>110834</v>
      </c>
      <c r="D851" s="169" t="str">
        <f>VLOOKUP(C851,Stock_list!D:L,2,FALSE)</f>
        <v>SZ 博新</v>
      </c>
      <c r="E851" s="281">
        <f>VLOOKUP(C851,Stock_list!D:L,9,FALSE)</f>
        <v>44680</v>
      </c>
      <c r="F851" s="170" t="s">
        <v>1381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2747</v>
      </c>
      <c r="B852" s="114" t="str">
        <f>VLOOKUP(A852,'Data pick slip'!B:F,5,FALSE)</f>
        <v>KHJ-MC200-00</v>
      </c>
      <c r="C852" s="169">
        <v>110834</v>
      </c>
      <c r="D852" s="169" t="str">
        <f>VLOOKUP(C852,Stock_list!D:L,2,FALSE)</f>
        <v>SZ 博新</v>
      </c>
      <c r="E852" s="281">
        <f>VLOOKUP(C852,Stock_list!D:L,9,FALSE)</f>
        <v>44680</v>
      </c>
      <c r="F852" s="170" t="s">
        <v>1381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2748</v>
      </c>
      <c r="B853" s="114" t="str">
        <f>VLOOKUP(A853,'Data pick slip'!B:F,5,FALSE)</f>
        <v>KHJ-MC400-00</v>
      </c>
      <c r="C853" s="169">
        <v>110834</v>
      </c>
      <c r="D853" s="169" t="str">
        <f>VLOOKUP(C853,Stock_list!D:L,2,FALSE)</f>
        <v>SZ 博新</v>
      </c>
      <c r="E853" s="281">
        <f>VLOOKUP(C853,Stock_list!D:L,9,FALSE)</f>
        <v>44680</v>
      </c>
      <c r="F853" s="170" t="s">
        <v>1381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2744</v>
      </c>
      <c r="B854" s="114" t="str">
        <f>VLOOKUP(A854,'Data pick slip'!B:F,5,FALSE)</f>
        <v>KHJ-MC100-00</v>
      </c>
      <c r="C854" s="169">
        <v>110835</v>
      </c>
      <c r="D854" s="169" t="str">
        <f>VLOOKUP(C854,Stock_list!D:L,2,FALSE)</f>
        <v>SZ 捷舜诚</v>
      </c>
      <c r="E854" s="281">
        <f>VLOOKUP(C854,Stock_list!D:L,9,FALSE)</f>
        <v>44680</v>
      </c>
      <c r="F854" s="170" t="s">
        <v>1381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2744</v>
      </c>
      <c r="B855" s="114" t="str">
        <f>VLOOKUP(A855,'Data pick slip'!B:F,5,FALSE)</f>
        <v>KHJ-MC100-00</v>
      </c>
      <c r="C855" s="169">
        <v>110836</v>
      </c>
      <c r="D855" s="169" t="str">
        <f>VLOOKUP(C855,Stock_list!D:L,2,FALSE)</f>
        <v>SZ 易通</v>
      </c>
      <c r="E855" s="281">
        <f>VLOOKUP(C855,Stock_list!D:L,9,FALSE)</f>
        <v>44680</v>
      </c>
      <c r="F855" s="170" t="s">
        <v>1381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2744</v>
      </c>
      <c r="B856" s="114" t="str">
        <f>VLOOKUP(A856,'Data pick slip'!B:F,5,FALSE)</f>
        <v>KHJ-MC100-00</v>
      </c>
      <c r="C856" s="169">
        <v>110837</v>
      </c>
      <c r="D856" s="169" t="str">
        <f>VLOOKUP(C856,Stock_list!D:L,2,FALSE)</f>
        <v>SZ 海红天远</v>
      </c>
      <c r="E856" s="281">
        <f>VLOOKUP(C856,Stock_list!D:L,9,FALSE)</f>
        <v>44680</v>
      </c>
      <c r="F856" s="170" t="s">
        <v>1381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2744</v>
      </c>
      <c r="B857" s="114" t="str">
        <f>VLOOKUP(A857,'Data pick slip'!B:F,5,FALSE)</f>
        <v>KHJ-MC100-00</v>
      </c>
      <c r="C857" s="169">
        <v>110838</v>
      </c>
      <c r="D857" s="169" t="str">
        <f>VLOOKUP(C857,Stock_list!D:L,2,FALSE)</f>
        <v>SZ 蓝极光</v>
      </c>
      <c r="E857" s="281">
        <f>VLOOKUP(C857,Stock_list!D:L,9,FALSE)</f>
        <v>44680</v>
      </c>
      <c r="F857" s="170" t="s">
        <v>1381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2744</v>
      </c>
      <c r="B858" s="114" t="str">
        <f>VLOOKUP(A858,'Data pick slip'!B:F,5,FALSE)</f>
        <v>KHJ-MC100-00</v>
      </c>
      <c r="C858" s="169"/>
      <c r="D858" s="169"/>
      <c r="E858" s="281" t="s">
        <v>2974</v>
      </c>
      <c r="F858" s="170" t="s">
        <v>2753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2748</v>
      </c>
      <c r="B859" s="114" t="str">
        <f>VLOOKUP(A859,'Data pick slip'!B:F,5,FALSE)</f>
        <v>KHJ-MC400-00</v>
      </c>
      <c r="C859" s="169"/>
      <c r="D859" s="169"/>
      <c r="E859" s="281" t="s">
        <v>2974</v>
      </c>
      <c r="F859" s="170" t="s">
        <v>2753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2755</v>
      </c>
      <c r="B860" s="114" t="str">
        <f>VLOOKUP(A860,'Data pick slip'!B:F,5,FALSE)</f>
        <v>KLJ-MC100-00</v>
      </c>
      <c r="C860" s="169"/>
      <c r="D860" s="169"/>
      <c r="E860" s="281" t="s">
        <v>2974</v>
      </c>
      <c r="F860" s="170" t="s">
        <v>2753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2744</v>
      </c>
      <c r="B861" s="114" t="str">
        <f>VLOOKUP(A861,'Data pick slip'!B:F,5,FALSE)</f>
        <v>KHJ-MC100-00</v>
      </c>
      <c r="C861" s="169"/>
      <c r="D861" s="169"/>
      <c r="E861" s="281" t="s">
        <v>2975</v>
      </c>
      <c r="F861" s="170" t="s">
        <v>2753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2747</v>
      </c>
      <c r="B862" s="114" t="str">
        <f>VLOOKUP(A862,'Data pick slip'!B:F,5,FALSE)</f>
        <v>KHJ-MC200-00</v>
      </c>
      <c r="C862" s="169"/>
      <c r="D862" s="169"/>
      <c r="E862" s="281" t="s">
        <v>2975</v>
      </c>
      <c r="F862" s="170" t="s">
        <v>2753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2744</v>
      </c>
      <c r="B863" s="114" t="str">
        <f>VLOOKUP(A863,'Data pick slip'!B:F,5,FALSE)</f>
        <v>KHJ-MC100-00</v>
      </c>
      <c r="C863" s="169">
        <v>110863</v>
      </c>
      <c r="D863" s="169" t="str">
        <f>VLOOKUP(C863,Stock_list!D:L,2,FALSE)</f>
        <v>深圳比泰利</v>
      </c>
      <c r="E863" s="281">
        <f>VLOOKUP(C863,Stock_list!D:L,9,FALSE)</f>
        <v>44714</v>
      </c>
      <c r="F863" s="170" t="s">
        <v>1381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2747</v>
      </c>
      <c r="B864" s="114" t="str">
        <f>VLOOKUP(A864,'Data pick slip'!B:F,5,FALSE)</f>
        <v>KHJ-MC200-00</v>
      </c>
      <c r="C864" s="169">
        <v>110863</v>
      </c>
      <c r="D864" s="169" t="str">
        <f>VLOOKUP(C864,Stock_list!D:L,2,FALSE)</f>
        <v>深圳比泰利</v>
      </c>
      <c r="E864" s="281">
        <f>VLOOKUP(C864,Stock_list!D:L,9,FALSE)</f>
        <v>44714</v>
      </c>
      <c r="F864" s="170" t="s">
        <v>1381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2748</v>
      </c>
      <c r="B865" s="114" t="str">
        <f>VLOOKUP(A865,'Data pick slip'!B:F,5,FALSE)</f>
        <v>KHJ-MC400-00</v>
      </c>
      <c r="C865" s="169">
        <v>110863</v>
      </c>
      <c r="D865" s="169" t="str">
        <f>VLOOKUP(C865,Stock_list!D:L,2,FALSE)</f>
        <v>深圳比泰利</v>
      </c>
      <c r="E865" s="281">
        <f>VLOOKUP(C865,Stock_list!D:L,9,FALSE)</f>
        <v>44714</v>
      </c>
      <c r="F865" s="170" t="s">
        <v>1381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2744</v>
      </c>
      <c r="B866" s="114" t="str">
        <f>VLOOKUP(A866,'Data pick slip'!B:F,5,FALSE)</f>
        <v>KHJ-MC100-00</v>
      </c>
      <c r="C866" s="169">
        <v>110864</v>
      </c>
      <c r="D866" s="169" t="str">
        <f>VLOOKUP(C866,Stock_list!D:L,2,FALSE)</f>
        <v>SZ 骏仁达</v>
      </c>
      <c r="E866" s="281">
        <f>VLOOKUP(C866,Stock_list!D:L,9,FALSE)</f>
        <v>44704</v>
      </c>
      <c r="F866" s="170" t="s">
        <v>1381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2747</v>
      </c>
      <c r="B867" s="114" t="str">
        <f>VLOOKUP(A867,'Data pick slip'!B:F,5,FALSE)</f>
        <v>KHJ-MC200-00</v>
      </c>
      <c r="C867" s="169">
        <v>110864</v>
      </c>
      <c r="D867" s="169" t="str">
        <f>VLOOKUP(C867,Stock_list!D:L,2,FALSE)</f>
        <v>SZ 骏仁达</v>
      </c>
      <c r="E867" s="281">
        <f>VLOOKUP(C867,Stock_list!D:L,9,FALSE)</f>
        <v>44704</v>
      </c>
      <c r="F867" s="170" t="s">
        <v>1381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2748</v>
      </c>
      <c r="B868" s="114" t="str">
        <f>VLOOKUP(A868,'Data pick slip'!B:F,5,FALSE)</f>
        <v>KHJ-MC400-00</v>
      </c>
      <c r="C868" s="169">
        <v>110864</v>
      </c>
      <c r="D868" s="169" t="str">
        <f>VLOOKUP(C868,Stock_list!D:L,2,FALSE)</f>
        <v>SZ 骏仁达</v>
      </c>
      <c r="E868" s="281">
        <f>VLOOKUP(C868,Stock_list!D:L,9,FALSE)</f>
        <v>44704</v>
      </c>
      <c r="F868" s="170" t="s">
        <v>1381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2755</v>
      </c>
      <c r="B869" s="114" t="str">
        <f>VLOOKUP(A869,'Data pick slip'!B:F,5,FALSE)</f>
        <v>KLJ-MC100-00</v>
      </c>
      <c r="C869" s="169">
        <v>110865</v>
      </c>
      <c r="D869" s="169" t="str">
        <f>VLOOKUP(C869,Stock_list!D:L,2,FALSE)</f>
        <v>SZ 伯莱科</v>
      </c>
      <c r="E869" s="281">
        <f>VLOOKUP(C869,Stock_list!D:L,9,FALSE)</f>
        <v>44714</v>
      </c>
      <c r="F869" s="170" t="s">
        <v>1381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2756</v>
      </c>
      <c r="B870" s="114" t="str">
        <f>VLOOKUP(A870,'Data pick slip'!B:F,5,FALSE)</f>
        <v>KLJ-MC200-00</v>
      </c>
      <c r="C870" s="169">
        <v>110865</v>
      </c>
      <c r="D870" s="169" t="str">
        <f>VLOOKUP(C870,Stock_list!D:L,2,FALSE)</f>
        <v>SZ 伯莱科</v>
      </c>
      <c r="E870" s="281">
        <f>VLOOKUP(C870,Stock_list!D:L,9,FALSE)</f>
        <v>44714</v>
      </c>
      <c r="F870" s="170" t="s">
        <v>1381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2757</v>
      </c>
      <c r="B871" s="114" t="str">
        <f>VLOOKUP(A871,'Data pick slip'!B:F,5,FALSE)</f>
        <v>KLJ-MC400-00</v>
      </c>
      <c r="C871" s="169">
        <v>110865</v>
      </c>
      <c r="D871" s="169" t="str">
        <f>VLOOKUP(C871,Stock_list!D:L,2,FALSE)</f>
        <v>SZ 伯莱科</v>
      </c>
      <c r="E871" s="281">
        <f>VLOOKUP(C871,Stock_list!D:L,9,FALSE)</f>
        <v>44714</v>
      </c>
      <c r="F871" s="170" t="s">
        <v>1381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2755</v>
      </c>
      <c r="B872" s="114" t="str">
        <f>VLOOKUP(A872,'Data pick slip'!B:F,5,FALSE)</f>
        <v>KLJ-MC100-00</v>
      </c>
      <c r="C872" s="169">
        <v>110866</v>
      </c>
      <c r="D872" s="169" t="str">
        <f>VLOOKUP(C872,Stock_list!D:L,2,FALSE)</f>
        <v>DG 普德新星</v>
      </c>
      <c r="E872" s="281">
        <f>VLOOKUP(C872,Stock_list!D:L,9,FALSE)</f>
        <v>44704</v>
      </c>
      <c r="F872" s="170" t="s">
        <v>1381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2756</v>
      </c>
      <c r="B873" s="114" t="str">
        <f>VLOOKUP(A873,'Data pick slip'!B:F,5,FALSE)</f>
        <v>KLJ-MC200-00</v>
      </c>
      <c r="C873" s="169">
        <v>110866</v>
      </c>
      <c r="D873" s="169" t="str">
        <f>VLOOKUP(C873,Stock_list!D:L,2,FALSE)</f>
        <v>DG 普德新星</v>
      </c>
      <c r="E873" s="281">
        <f>VLOOKUP(C873,Stock_list!D:L,9,FALSE)</f>
        <v>44704</v>
      </c>
      <c r="F873" s="170" t="s">
        <v>1381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2757</v>
      </c>
      <c r="B874" s="114" t="str">
        <f>VLOOKUP(A874,'Data pick slip'!B:F,5,FALSE)</f>
        <v>KLJ-MC400-00</v>
      </c>
      <c r="C874" s="169">
        <v>110866</v>
      </c>
      <c r="D874" s="169" t="str">
        <f>VLOOKUP(C874,Stock_list!D:L,2,FALSE)</f>
        <v>DG 普德新星</v>
      </c>
      <c r="E874" s="281">
        <f>VLOOKUP(C874,Stock_list!D:L,9,FALSE)</f>
        <v>44704</v>
      </c>
      <c r="F874" s="170" t="s">
        <v>1381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2744</v>
      </c>
      <c r="B875" s="114" t="str">
        <f>VLOOKUP(A875,'Data pick slip'!B:F,5,FALSE)</f>
        <v>KHJ-MC100-00</v>
      </c>
      <c r="C875" s="169">
        <v>110867</v>
      </c>
      <c r="D875" s="169" t="str">
        <f>VLOOKUP(C875,Stock_list!D:L,2,FALSE)</f>
        <v>Shenzhen Longtech</v>
      </c>
      <c r="E875" s="281">
        <f>VLOOKUP(C875,Stock_list!D:L,9,FALSE)</f>
        <v>44704</v>
      </c>
      <c r="F875" s="170" t="s">
        <v>1381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2748</v>
      </c>
      <c r="B876" s="114" t="str">
        <f>VLOOKUP(A876,'Data pick slip'!B:F,5,FALSE)</f>
        <v>KHJ-MC400-00</v>
      </c>
      <c r="C876" s="169">
        <v>110867</v>
      </c>
      <c r="D876" s="169" t="str">
        <f>VLOOKUP(C876,Stock_list!D:L,2,FALSE)</f>
        <v>Shenzhen Longtech</v>
      </c>
      <c r="E876" s="281">
        <f>VLOOKUP(C876,Stock_list!D:L,9,FALSE)</f>
        <v>44704</v>
      </c>
      <c r="F876" s="170" t="s">
        <v>1381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2749</v>
      </c>
      <c r="B877" s="114" t="str">
        <f>VLOOKUP(A877,'Data pick slip'!B:F,5,FALSE)</f>
        <v>KHJ-MC500-00</v>
      </c>
      <c r="C877" s="169">
        <v>110867</v>
      </c>
      <c r="D877" s="169" t="str">
        <f>VLOOKUP(C877,Stock_list!D:L,2,FALSE)</f>
        <v>Shenzhen Longtech</v>
      </c>
      <c r="E877" s="281">
        <f>VLOOKUP(C877,Stock_list!D:L,9,FALSE)</f>
        <v>44704</v>
      </c>
      <c r="F877" s="170" t="s">
        <v>1381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2750</v>
      </c>
      <c r="B878" s="114" t="str">
        <f>VLOOKUP(A878,'Data pick slip'!B:F,5,FALSE)</f>
        <v>KHJ-MC600-00</v>
      </c>
      <c r="C878" s="169">
        <v>110867</v>
      </c>
      <c r="D878" s="169" t="str">
        <f>VLOOKUP(C878,Stock_list!D:L,2,FALSE)</f>
        <v>Shenzhen Longtech</v>
      </c>
      <c r="E878" s="281">
        <f>VLOOKUP(C878,Stock_list!D:L,9,FALSE)</f>
        <v>44704</v>
      </c>
      <c r="F878" s="170" t="s">
        <v>1381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2751</v>
      </c>
      <c r="B879" s="114" t="str">
        <f>VLOOKUP(A879,'Data pick slip'!B:F,5,FALSE)</f>
        <v>KHJ-MC700-00</v>
      </c>
      <c r="C879" s="169">
        <v>110867</v>
      </c>
      <c r="D879" s="169" t="str">
        <f>VLOOKUP(C879,Stock_list!D:L,2,FALSE)</f>
        <v>Shenzhen Longtech</v>
      </c>
      <c r="E879" s="281">
        <f>VLOOKUP(C879,Stock_list!D:L,9,FALSE)</f>
        <v>44704</v>
      </c>
      <c r="F879" s="170" t="s">
        <v>1381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2755</v>
      </c>
      <c r="B880" s="114" t="str">
        <f>VLOOKUP(A880,'Data pick slip'!B:F,5,FALSE)</f>
        <v>KLJ-MC100-00</v>
      </c>
      <c r="C880" s="169">
        <v>110868</v>
      </c>
      <c r="D880" s="169" t="str">
        <f>VLOOKUP(C880,Stock_list!D:L,2,FALSE)</f>
        <v>SZ 盈通恒翼</v>
      </c>
      <c r="E880" s="281">
        <f>VLOOKUP(C880,Stock_list!D:L,9,FALSE)</f>
        <v>44714</v>
      </c>
      <c r="F880" s="170" t="s">
        <v>1381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2756</v>
      </c>
      <c r="B881" s="114" t="str">
        <f>VLOOKUP(A881,'Data pick slip'!B:F,5,FALSE)</f>
        <v>KLJ-MC200-00</v>
      </c>
      <c r="C881" s="169">
        <v>110868</v>
      </c>
      <c r="D881" s="169" t="str">
        <f>VLOOKUP(C881,Stock_list!D:L,2,FALSE)</f>
        <v>SZ 盈通恒翼</v>
      </c>
      <c r="E881" s="281">
        <f>VLOOKUP(C881,Stock_list!D:L,9,FALSE)</f>
        <v>44714</v>
      </c>
      <c r="F881" s="170" t="s">
        <v>1381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2755</v>
      </c>
      <c r="B882" s="114" t="str">
        <f>VLOOKUP(A882,'Data pick slip'!B:F,5,FALSE)</f>
        <v>KLJ-MC100-00</v>
      </c>
      <c r="C882" s="169">
        <v>110869</v>
      </c>
      <c r="D882" s="169" t="str">
        <f>VLOOKUP(C882,Stock_list!D:L,2,FALSE)</f>
        <v>通达科信</v>
      </c>
      <c r="E882" s="281">
        <f>VLOOKUP(C882,Stock_list!D:L,9,FALSE)</f>
        <v>44704</v>
      </c>
      <c r="F882" s="170" t="s">
        <v>1381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2756</v>
      </c>
      <c r="B883" s="114" t="str">
        <f>VLOOKUP(A883,'Data pick slip'!B:F,5,FALSE)</f>
        <v>KLJ-MC200-00</v>
      </c>
      <c r="C883" s="169">
        <v>110869</v>
      </c>
      <c r="D883" s="169" t="str">
        <f>VLOOKUP(C883,Stock_list!D:L,2,FALSE)</f>
        <v>通达科信</v>
      </c>
      <c r="E883" s="281">
        <f>VLOOKUP(C883,Stock_list!D:L,9,FALSE)</f>
        <v>44704</v>
      </c>
      <c r="F883" s="170" t="s">
        <v>1381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2758</v>
      </c>
      <c r="B884" s="114" t="str">
        <f>VLOOKUP(A884,'Data pick slip'!B:F,5,FALSE)</f>
        <v>KLJ-MC500-00</v>
      </c>
      <c r="C884" s="169">
        <v>110869</v>
      </c>
      <c r="D884" s="169" t="str">
        <f>VLOOKUP(C884,Stock_list!D:L,2,FALSE)</f>
        <v>通达科信</v>
      </c>
      <c r="E884" s="281">
        <f>VLOOKUP(C884,Stock_list!D:L,9,FALSE)</f>
        <v>44704</v>
      </c>
      <c r="F884" s="170" t="s">
        <v>1381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2744</v>
      </c>
      <c r="B885" s="114" t="str">
        <f>VLOOKUP(A885,'Data pick slip'!B:F,5,FALSE)</f>
        <v>KHJ-MC100-00</v>
      </c>
      <c r="C885" s="169">
        <v>110870</v>
      </c>
      <c r="D885" s="169" t="str">
        <f>VLOOKUP(C885,Stock_list!D:L,2,FALSE)</f>
        <v>Dongguan 岚新</v>
      </c>
      <c r="E885" s="281">
        <f>VLOOKUP(C885,Stock_list!D:L,9,FALSE)</f>
        <v>44694</v>
      </c>
      <c r="F885" s="170" t="s">
        <v>1381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2747</v>
      </c>
      <c r="B886" s="114" t="str">
        <f>VLOOKUP(A886,'Data pick slip'!B:F,5,FALSE)</f>
        <v>KHJ-MC200-00</v>
      </c>
      <c r="C886" s="169">
        <v>110870</v>
      </c>
      <c r="D886" s="169" t="str">
        <f>VLOOKUP(C886,Stock_list!D:L,2,FALSE)</f>
        <v>Dongguan 岚新</v>
      </c>
      <c r="E886" s="281">
        <f>VLOOKUP(C886,Stock_list!D:L,9,FALSE)</f>
        <v>44694</v>
      </c>
      <c r="F886" s="170" t="s">
        <v>1381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2744</v>
      </c>
      <c r="B887" s="114" t="str">
        <f>VLOOKUP(A887,'Data pick slip'!B:F,5,FALSE)</f>
        <v>KHJ-MC100-00</v>
      </c>
      <c r="C887" s="169">
        <v>110871</v>
      </c>
      <c r="D887" s="169" t="str">
        <f>VLOOKUP(C887,Stock_list!D:L,2,FALSE)</f>
        <v>SZ 骏仁达</v>
      </c>
      <c r="E887" s="281">
        <f>VLOOKUP(C887,Stock_list!D:L,9,FALSE)</f>
        <v>44724</v>
      </c>
      <c r="F887" s="170" t="s">
        <v>1381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2744</v>
      </c>
      <c r="B888" s="114" t="str">
        <f>VLOOKUP(A888,'Data pick slip'!B:F,5,FALSE)</f>
        <v>KHJ-MC100-00</v>
      </c>
      <c r="C888" s="169">
        <v>110872</v>
      </c>
      <c r="D888" s="169" t="str">
        <f>VLOOKUP(C888,Stock_list!D:L,2,FALSE)</f>
        <v>恒磊</v>
      </c>
      <c r="E888" s="281">
        <f>VLOOKUP(C888,Stock_list!D:L,9,FALSE)</f>
        <v>44704</v>
      </c>
      <c r="F888" s="170" t="s">
        <v>1381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2747</v>
      </c>
      <c r="B889" s="114" t="str">
        <f>VLOOKUP(A889,'Data pick slip'!B:F,5,FALSE)</f>
        <v>KHJ-MC200-00</v>
      </c>
      <c r="C889" s="169">
        <v>110872</v>
      </c>
      <c r="D889" s="169" t="str">
        <f>VLOOKUP(C889,Stock_list!D:L,2,FALSE)</f>
        <v>恒磊</v>
      </c>
      <c r="E889" s="281">
        <f>VLOOKUP(C889,Stock_list!D:L,9,FALSE)</f>
        <v>44704</v>
      </c>
      <c r="F889" s="170" t="s">
        <v>1381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2744</v>
      </c>
      <c r="B890" s="114" t="str">
        <f>VLOOKUP(A890,'Data pick slip'!B:F,5,FALSE)</f>
        <v>KHJ-MC100-00</v>
      </c>
      <c r="C890" s="169">
        <v>110873</v>
      </c>
      <c r="D890" s="169" t="str">
        <f>VLOOKUP(C890,Stock_list!D:L,2,FALSE)</f>
        <v>Shenzhen Longtech</v>
      </c>
      <c r="E890" s="281">
        <f>VLOOKUP(C890,Stock_list!D:L,9,FALSE)</f>
        <v>44702</v>
      </c>
      <c r="F890" s="170" t="s">
        <v>1381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2747</v>
      </c>
      <c r="B891" s="114" t="str">
        <f>VLOOKUP(A891,'Data pick slip'!B:F,5,FALSE)</f>
        <v>KHJ-MC200-00</v>
      </c>
      <c r="C891" s="169">
        <v>110873</v>
      </c>
      <c r="D891" s="169" t="str">
        <f>VLOOKUP(C891,Stock_list!D:L,2,FALSE)</f>
        <v>Shenzhen Longtech</v>
      </c>
      <c r="E891" s="281">
        <f>VLOOKUP(C891,Stock_list!D:L,9,FALSE)</f>
        <v>44702</v>
      </c>
      <c r="F891" s="170" t="s">
        <v>1381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2744</v>
      </c>
      <c r="B892" s="114" t="str">
        <f>VLOOKUP(A892,'Data pick slip'!B:F,5,FALSE)</f>
        <v>KHJ-MC100-00</v>
      </c>
      <c r="C892" s="169">
        <v>110875</v>
      </c>
      <c r="D892" s="169" t="str">
        <f>VLOOKUP(C892,Stock_list!D:L,2,FALSE)</f>
        <v>DG 普德新星</v>
      </c>
      <c r="E892" s="281">
        <f>VLOOKUP(C892,Stock_list!D:L,9,FALSE)</f>
        <v>44725</v>
      </c>
      <c r="F892" s="170" t="s">
        <v>1381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2747</v>
      </c>
      <c r="B893" s="114" t="str">
        <f>VLOOKUP(A893,'Data pick slip'!B:F,5,FALSE)</f>
        <v>KHJ-MC200-00</v>
      </c>
      <c r="C893" s="169">
        <v>110875</v>
      </c>
      <c r="D893" s="169" t="str">
        <f>VLOOKUP(C893,Stock_list!D:L,2,FALSE)</f>
        <v>DG 普德新星</v>
      </c>
      <c r="E893" s="281">
        <f>VLOOKUP(C893,Stock_list!D:L,9,FALSE)</f>
        <v>44725</v>
      </c>
      <c r="F893" s="170" t="s">
        <v>1381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2744</v>
      </c>
      <c r="B894" s="114" t="str">
        <f>VLOOKUP(A894,'Data pick slip'!B:F,5,FALSE)</f>
        <v>KHJ-MC100-00</v>
      </c>
      <c r="C894" s="169">
        <v>110874</v>
      </c>
      <c r="D894" s="169" t="str">
        <f>VLOOKUP(C894,Stock_list!D:L,2,FALSE)</f>
        <v>Shenzhen 伯莱科</v>
      </c>
      <c r="E894" s="281">
        <f>VLOOKUP(C894,Stock_list!D:L,9,FALSE)</f>
        <v>44702</v>
      </c>
      <c r="F894" s="170" t="s">
        <v>1381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2748</v>
      </c>
      <c r="B895" s="114" t="str">
        <f>VLOOKUP(A895,'Data pick slip'!B:F,5,FALSE)</f>
        <v>KHJ-MC400-00</v>
      </c>
      <c r="C895" s="169">
        <v>110874</v>
      </c>
      <c r="D895" s="169" t="str">
        <f>VLOOKUP(C895,Stock_list!D:L,2,FALSE)</f>
        <v>Shenzhen 伯莱科</v>
      </c>
      <c r="E895" s="281">
        <f>VLOOKUP(C895,Stock_list!D:L,9,FALSE)</f>
        <v>44702</v>
      </c>
      <c r="F895" s="170" t="s">
        <v>1381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2744</v>
      </c>
      <c r="B896" s="114" t="str">
        <f>VLOOKUP(A896,'Data pick slip'!B:F,5,FALSE)</f>
        <v>KHJ-MC100-00</v>
      </c>
      <c r="C896" s="169">
        <v>110883</v>
      </c>
      <c r="D896" s="169" t="str">
        <f>VLOOKUP(C896,Stock_list!D:L,2,FALSE)</f>
        <v>拓普艾名义</v>
      </c>
      <c r="E896" s="281">
        <f>VLOOKUP(C896,Stock_list!D:L,9,FALSE)</f>
        <v>44704</v>
      </c>
      <c r="F896" s="170" t="s">
        <v>1381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2747</v>
      </c>
      <c r="B897" s="114" t="str">
        <f>VLOOKUP(A897,'Data pick slip'!B:F,5,FALSE)</f>
        <v>KHJ-MC200-00</v>
      </c>
      <c r="C897" s="169">
        <v>110883</v>
      </c>
      <c r="D897" s="169" t="str">
        <f>VLOOKUP(C897,Stock_list!D:L,2,FALSE)</f>
        <v>拓普艾名义</v>
      </c>
      <c r="E897" s="281">
        <f>VLOOKUP(C897,Stock_list!D:L,9,FALSE)</f>
        <v>44704</v>
      </c>
      <c r="F897" s="170" t="s">
        <v>1381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2744</v>
      </c>
      <c r="B898" s="114" t="str">
        <f>VLOOKUP(A898,'Data pick slip'!B:F,5,FALSE)</f>
        <v>KHJ-MC100-00</v>
      </c>
      <c r="C898" s="169"/>
      <c r="D898" s="169"/>
      <c r="E898" s="281" t="s">
        <v>2976</v>
      </c>
      <c r="F898" s="170" t="s">
        <v>2753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2747</v>
      </c>
      <c r="B899" s="114" t="str">
        <f>VLOOKUP(A899,'Data pick slip'!B:F,5,FALSE)</f>
        <v>KHJ-MC200-00</v>
      </c>
      <c r="C899" s="169"/>
      <c r="D899" s="169"/>
      <c r="E899" s="281" t="s">
        <v>2976</v>
      </c>
      <c r="F899" s="170" t="s">
        <v>2753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2748</v>
      </c>
      <c r="B900" s="114" t="str">
        <f>VLOOKUP(A900,'Data pick slip'!B:F,5,FALSE)</f>
        <v>KHJ-MC400-00</v>
      </c>
      <c r="C900" s="169"/>
      <c r="D900" s="169"/>
      <c r="E900" s="281" t="s">
        <v>2976</v>
      </c>
      <c r="F900" s="170" t="s">
        <v>2753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2750</v>
      </c>
      <c r="B901" s="114" t="str">
        <f>VLOOKUP(A901,'Data pick slip'!B:F,5,FALSE)</f>
        <v>KHJ-MC600-00</v>
      </c>
      <c r="C901" s="169"/>
      <c r="D901" s="169"/>
      <c r="E901" s="281" t="s">
        <v>2976</v>
      </c>
      <c r="F901" s="170" t="s">
        <v>2753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2751</v>
      </c>
      <c r="B902" s="114" t="str">
        <f>VLOOKUP(A902,'Data pick slip'!B:F,5,FALSE)</f>
        <v>KHJ-MC700-00</v>
      </c>
      <c r="C902" s="169"/>
      <c r="D902" s="169"/>
      <c r="E902" s="281" t="s">
        <v>2976</v>
      </c>
      <c r="F902" s="170" t="s">
        <v>2753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2744</v>
      </c>
      <c r="B903" s="114" t="str">
        <f>VLOOKUP(A903,'Data pick slip'!B:F,5,FALSE)</f>
        <v>KHJ-MC100-00</v>
      </c>
      <c r="C903" s="169">
        <v>110519</v>
      </c>
      <c r="D903" s="169" t="str">
        <f>VLOOKUP(C903,Stock_list!D:L,2,FALSE)</f>
        <v xml:space="preserve">SINRI Supplier </v>
      </c>
      <c r="E903" s="281">
        <f>VLOOKUP(C903,Stock_list!D:L,9,FALSE)</f>
        <v>44662</v>
      </c>
      <c r="F903" s="170" t="s">
        <v>1381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2744</v>
      </c>
      <c r="B904" s="114" t="str">
        <f>VLOOKUP(A904,'Data pick slip'!B:F,5,FALSE)</f>
        <v>KHJ-MC100-00</v>
      </c>
      <c r="C904" s="169" t="s">
        <v>2977</v>
      </c>
      <c r="D904" s="311" t="s">
        <v>2978</v>
      </c>
      <c r="E904" s="281" t="s">
        <v>2979</v>
      </c>
      <c r="F904" s="170" t="s">
        <v>2980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2747</v>
      </c>
      <c r="B905" s="114" t="str">
        <f>VLOOKUP(A905,'Data pick slip'!B:F,5,FALSE)</f>
        <v>KHJ-MC200-00</v>
      </c>
      <c r="C905" s="169" t="s">
        <v>2977</v>
      </c>
      <c r="D905" s="311" t="s">
        <v>2978</v>
      </c>
      <c r="E905" s="281" t="s">
        <v>2979</v>
      </c>
      <c r="F905" s="170" t="s">
        <v>2980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2748</v>
      </c>
      <c r="B906" s="114" t="str">
        <f>VLOOKUP(A906,'Data pick slip'!B:F,5,FALSE)</f>
        <v>KHJ-MC400-00</v>
      </c>
      <c r="C906" s="169" t="s">
        <v>2977</v>
      </c>
      <c r="D906" s="311" t="s">
        <v>2978</v>
      </c>
      <c r="E906" s="281" t="s">
        <v>2979</v>
      </c>
      <c r="F906" s="170" t="s">
        <v>2980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2749</v>
      </c>
      <c r="B907" s="114" t="str">
        <f>VLOOKUP(A907,'Data pick slip'!B:F,5,FALSE)</f>
        <v>KHJ-MC500-00</v>
      </c>
      <c r="C907" s="169" t="s">
        <v>2977</v>
      </c>
      <c r="D907" s="311" t="s">
        <v>2978</v>
      </c>
      <c r="E907" s="281" t="s">
        <v>2979</v>
      </c>
      <c r="F907" s="170" t="s">
        <v>2980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2750</v>
      </c>
      <c r="B908" s="114" t="str">
        <f>VLOOKUP(A908,'Data pick slip'!B:F,5,FALSE)</f>
        <v>KHJ-MC600-00</v>
      </c>
      <c r="C908" s="169" t="s">
        <v>2977</v>
      </c>
      <c r="D908" s="311" t="s">
        <v>2978</v>
      </c>
      <c r="E908" s="281" t="s">
        <v>2979</v>
      </c>
      <c r="F908" s="170" t="s">
        <v>2980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2751</v>
      </c>
      <c r="B909" s="114" t="str">
        <f>VLOOKUP(A909,'Data pick slip'!B:F,5,FALSE)</f>
        <v>KHJ-MC700-00</v>
      </c>
      <c r="C909" s="169" t="s">
        <v>2977</v>
      </c>
      <c r="D909" s="311" t="s">
        <v>2978</v>
      </c>
      <c r="E909" s="281" t="s">
        <v>2979</v>
      </c>
      <c r="F909" s="170" t="s">
        <v>2980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2744</v>
      </c>
      <c r="B910" s="114" t="str">
        <f>VLOOKUP(A910,'Data pick slip'!B:F,5,FALSE)</f>
        <v>KHJ-MC100-00</v>
      </c>
      <c r="C910" s="169"/>
      <c r="D910" s="169"/>
      <c r="E910" s="281" t="s">
        <v>2981</v>
      </c>
      <c r="F910" s="170" t="s">
        <v>2753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2747</v>
      </c>
      <c r="B911" s="114" t="str">
        <f>VLOOKUP(A911,'Data pick slip'!B:F,5,FALSE)</f>
        <v>KHJ-MC200-00</v>
      </c>
      <c r="C911" s="169"/>
      <c r="D911" s="169"/>
      <c r="E911" s="281" t="s">
        <v>2981</v>
      </c>
      <c r="F911" s="170" t="s">
        <v>2753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2744</v>
      </c>
      <c r="B912" s="114" t="str">
        <f>VLOOKUP(A912,'Data pick slip'!B:F,5,FALSE)</f>
        <v>KHJ-MC100-00</v>
      </c>
      <c r="C912" s="169"/>
      <c r="D912" s="169"/>
      <c r="E912" s="281" t="s">
        <v>2982</v>
      </c>
      <c r="F912" s="170" t="s">
        <v>2753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2757</v>
      </c>
      <c r="B913" s="114" t="str">
        <f>VLOOKUP(A913,'Data pick slip'!B:F,5,FALSE)</f>
        <v>KLJ-MC400-00</v>
      </c>
      <c r="C913" s="169"/>
      <c r="D913" s="169"/>
      <c r="E913" s="281" t="s">
        <v>2982</v>
      </c>
      <c r="F913" s="170" t="s">
        <v>2753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2751</v>
      </c>
      <c r="B914" s="114" t="str">
        <f>VLOOKUP(A914,'Data pick slip'!B:F,5,FALSE)</f>
        <v>KHJ-MC700-00</v>
      </c>
      <c r="C914" s="169"/>
      <c r="D914" s="169"/>
      <c r="E914" s="281" t="s">
        <v>2982</v>
      </c>
      <c r="F914" s="170" t="s">
        <v>2753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2752</v>
      </c>
      <c r="B915" s="114" t="str">
        <f>VLOOKUP(A915,'Data pick slip'!B:F,5,FALSE)</f>
        <v>KHJ-MC800-00</v>
      </c>
      <c r="C915" s="169"/>
      <c r="D915" s="169"/>
      <c r="E915" s="281" t="s">
        <v>2982</v>
      </c>
      <c r="F915" s="170" t="s">
        <v>2753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2744</v>
      </c>
      <c r="B916" s="114" t="str">
        <f>VLOOKUP(A916,'Data pick slip'!B:F,5,FALSE)</f>
        <v>KHJ-MC100-00</v>
      </c>
      <c r="C916" s="169">
        <v>110915</v>
      </c>
      <c r="D916" s="169" t="str">
        <f>VLOOKUP(C916,Stock_list!D:L,2,FALSE)</f>
        <v>比泰利</v>
      </c>
      <c r="E916" s="281">
        <f>VLOOKUP(C916,Stock_list!D:L,9,FALSE)</f>
        <v>44756</v>
      </c>
      <c r="F916" s="170" t="s">
        <v>1381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2747</v>
      </c>
      <c r="B917" s="114" t="str">
        <f>VLOOKUP(A917,'Data pick slip'!B:F,5,FALSE)</f>
        <v>KHJ-MC200-00</v>
      </c>
      <c r="C917" s="169">
        <v>110915</v>
      </c>
      <c r="D917" s="169" t="str">
        <f>VLOOKUP(C917,Stock_list!D:L,2,FALSE)</f>
        <v>比泰利</v>
      </c>
      <c r="E917" s="281">
        <f>VLOOKUP(C917,Stock_list!D:L,9,FALSE)</f>
        <v>44756</v>
      </c>
      <c r="F917" s="170" t="s">
        <v>1381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2748</v>
      </c>
      <c r="B918" s="114" t="str">
        <f>VLOOKUP(A918,'Data pick slip'!B:F,5,FALSE)</f>
        <v>KHJ-MC400-00</v>
      </c>
      <c r="C918" s="169">
        <v>110915</v>
      </c>
      <c r="D918" s="169" t="str">
        <f>VLOOKUP(C918,Stock_list!D:L,2,FALSE)</f>
        <v>比泰利</v>
      </c>
      <c r="E918" s="281">
        <f>VLOOKUP(C918,Stock_list!D:L,9,FALSE)</f>
        <v>44756</v>
      </c>
      <c r="F918" s="170" t="s">
        <v>1381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2749</v>
      </c>
      <c r="B919" s="114" t="str">
        <f>VLOOKUP(A919,'Data pick slip'!B:F,5,FALSE)</f>
        <v>KHJ-MC500-00</v>
      </c>
      <c r="C919" s="169">
        <v>110915</v>
      </c>
      <c r="D919" s="169" t="str">
        <f>VLOOKUP(C919,Stock_list!D:L,2,FALSE)</f>
        <v>比泰利</v>
      </c>
      <c r="E919" s="281">
        <f>VLOOKUP(C919,Stock_list!D:L,9,FALSE)</f>
        <v>44756</v>
      </c>
      <c r="F919" s="170" t="s">
        <v>1381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2750</v>
      </c>
      <c r="B920" s="114" t="str">
        <f>VLOOKUP(A920,'Data pick slip'!B:F,5,FALSE)</f>
        <v>KHJ-MC600-00</v>
      </c>
      <c r="C920" s="169">
        <v>110915</v>
      </c>
      <c r="D920" s="169" t="str">
        <f>VLOOKUP(C920,Stock_list!D:L,2,FALSE)</f>
        <v>比泰利</v>
      </c>
      <c r="E920" s="281">
        <f>VLOOKUP(C920,Stock_list!D:L,9,FALSE)</f>
        <v>44756</v>
      </c>
      <c r="F920" s="170" t="s">
        <v>1381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2751</v>
      </c>
      <c r="B921" s="114" t="str">
        <f>VLOOKUP(A921,'Data pick slip'!B:F,5,FALSE)</f>
        <v>KHJ-MC700-00</v>
      </c>
      <c r="C921" s="169">
        <v>110915</v>
      </c>
      <c r="D921" s="169" t="str">
        <f>VLOOKUP(C921,Stock_list!D:L,2,FALSE)</f>
        <v>比泰利</v>
      </c>
      <c r="E921" s="281">
        <f>VLOOKUP(C921,Stock_list!D:L,9,FALSE)</f>
        <v>44756</v>
      </c>
      <c r="F921" s="170" t="s">
        <v>1381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2744</v>
      </c>
      <c r="B922" s="114" t="str">
        <f>VLOOKUP(A922,'Data pick slip'!B:F,5,FALSE)</f>
        <v>KHJ-MC100-00</v>
      </c>
      <c r="C922" s="169">
        <v>110916</v>
      </c>
      <c r="D922" s="169" t="str">
        <f>VLOOKUP(C922,Stock_list!D:L,2,FALSE)</f>
        <v xml:space="preserve"> SZ 中润互联</v>
      </c>
      <c r="E922" s="281">
        <f>VLOOKUP(C922,Stock_list!D:L,9,FALSE)</f>
        <v>44746</v>
      </c>
      <c r="F922" s="170" t="s">
        <v>1381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2747</v>
      </c>
      <c r="B923" s="114" t="str">
        <f>VLOOKUP(A923,'Data pick slip'!B:F,5,FALSE)</f>
        <v>KHJ-MC200-00</v>
      </c>
      <c r="C923" s="169">
        <v>110916</v>
      </c>
      <c r="D923" s="169" t="str">
        <f>VLOOKUP(C923,Stock_list!D:L,2,FALSE)</f>
        <v xml:space="preserve"> SZ 中润互联</v>
      </c>
      <c r="E923" s="281">
        <f>VLOOKUP(C923,Stock_list!D:L,9,FALSE)</f>
        <v>44746</v>
      </c>
      <c r="F923" s="170" t="s">
        <v>1381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2748</v>
      </c>
      <c r="B924" s="114" t="str">
        <f>VLOOKUP(A924,'Data pick slip'!B:F,5,FALSE)</f>
        <v>KHJ-MC400-00</v>
      </c>
      <c r="C924" s="169">
        <v>110916</v>
      </c>
      <c r="D924" s="169" t="str">
        <f>VLOOKUP(C924,Stock_list!D:L,2,FALSE)</f>
        <v xml:space="preserve"> SZ 中润互联</v>
      </c>
      <c r="E924" s="281">
        <f>VLOOKUP(C924,Stock_list!D:L,9,FALSE)</f>
        <v>44746</v>
      </c>
      <c r="F924" s="170" t="s">
        <v>1381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2749</v>
      </c>
      <c r="B925" s="114" t="str">
        <f>VLOOKUP(A925,'Data pick slip'!B:F,5,FALSE)</f>
        <v>KHJ-MC500-00</v>
      </c>
      <c r="C925" s="169">
        <v>110916</v>
      </c>
      <c r="D925" s="169" t="str">
        <f>VLOOKUP(C925,Stock_list!D:L,2,FALSE)</f>
        <v xml:space="preserve"> SZ 中润互联</v>
      </c>
      <c r="E925" s="281">
        <f>VLOOKUP(C925,Stock_list!D:L,9,FALSE)</f>
        <v>44746</v>
      </c>
      <c r="F925" s="170" t="s">
        <v>1381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2744</v>
      </c>
      <c r="B926" s="114" t="str">
        <f>VLOOKUP(A926,'Data pick slip'!B:F,5,FALSE)</f>
        <v>KHJ-MC100-00</v>
      </c>
      <c r="C926" s="169">
        <v>110917</v>
      </c>
      <c r="D926" s="169" t="str">
        <f>VLOOKUP(C926,Stock_list!D:L,2,FALSE)</f>
        <v>东莞鸿楠</v>
      </c>
      <c r="E926" s="281">
        <f>VLOOKUP(C926,Stock_list!D:L,9,FALSE)</f>
        <v>44746</v>
      </c>
      <c r="F926" s="170" t="s">
        <v>1381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2747</v>
      </c>
      <c r="B927" s="114" t="str">
        <f>VLOOKUP(A927,'Data pick slip'!B:F,5,FALSE)</f>
        <v>KHJ-MC200-00</v>
      </c>
      <c r="C927" s="169">
        <v>110917</v>
      </c>
      <c r="D927" s="169" t="str">
        <f>VLOOKUP(C927,Stock_list!D:L,2,FALSE)</f>
        <v>东莞鸿楠</v>
      </c>
      <c r="E927" s="281">
        <f>VLOOKUP(C927,Stock_list!D:L,9,FALSE)</f>
        <v>44746</v>
      </c>
      <c r="F927" s="170" t="s">
        <v>1381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2748</v>
      </c>
      <c r="B928" s="114" t="str">
        <f>VLOOKUP(A928,'Data pick slip'!B:F,5,FALSE)</f>
        <v>KHJ-MC400-00</v>
      </c>
      <c r="C928" s="169">
        <v>110917</v>
      </c>
      <c r="D928" s="169" t="str">
        <f>VLOOKUP(C928,Stock_list!D:L,2,FALSE)</f>
        <v>东莞鸿楠</v>
      </c>
      <c r="E928" s="281">
        <f>VLOOKUP(C928,Stock_list!D:L,9,FALSE)</f>
        <v>44746</v>
      </c>
      <c r="F928" s="170" t="s">
        <v>1381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2744</v>
      </c>
      <c r="B929" s="114" t="str">
        <f>VLOOKUP(A929,'Data pick slip'!B:F,5,FALSE)</f>
        <v>KHJ-MC100-00</v>
      </c>
      <c r="C929" s="169">
        <v>110919</v>
      </c>
      <c r="D929" s="169" t="str">
        <f>VLOOKUP(C929,Stock_list!D:L,2,FALSE)</f>
        <v>深圳朗特</v>
      </c>
      <c r="E929" s="281">
        <f>VLOOKUP(C929,Stock_list!D:L,9,FALSE)</f>
        <v>44739</v>
      </c>
      <c r="F929" s="170" t="s">
        <v>1381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2747</v>
      </c>
      <c r="B930" s="114" t="str">
        <f>VLOOKUP(A930,'Data pick slip'!B:F,5,FALSE)</f>
        <v>KHJ-MC200-00</v>
      </c>
      <c r="C930" s="169">
        <v>110919</v>
      </c>
      <c r="D930" s="169" t="str">
        <f>VLOOKUP(C930,Stock_list!D:L,2,FALSE)</f>
        <v>深圳朗特</v>
      </c>
      <c r="E930" s="281">
        <f>VLOOKUP(C930,Stock_list!D:L,9,FALSE)</f>
        <v>44739</v>
      </c>
      <c r="F930" s="170" t="s">
        <v>1381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2755</v>
      </c>
      <c r="B931" s="114" t="str">
        <f>VLOOKUP(A931,'Data pick slip'!B:F,5,FALSE)</f>
        <v>KLJ-MC100-00</v>
      </c>
      <c r="C931" s="169">
        <v>110919</v>
      </c>
      <c r="D931" s="169" t="str">
        <f>VLOOKUP(C931,Stock_list!D:L,2,FALSE)</f>
        <v>深圳朗特</v>
      </c>
      <c r="E931" s="281">
        <f>VLOOKUP(C931,Stock_list!D:L,9,FALSE)</f>
        <v>44739</v>
      </c>
      <c r="F931" s="170" t="s">
        <v>1381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2756</v>
      </c>
      <c r="B932" s="114" t="str">
        <f>VLOOKUP(A932,'Data pick slip'!B:F,5,FALSE)</f>
        <v>KLJ-MC200-00</v>
      </c>
      <c r="C932" s="169">
        <v>110919</v>
      </c>
      <c r="D932" s="169" t="str">
        <f>VLOOKUP(C932,Stock_list!D:L,2,FALSE)</f>
        <v>深圳朗特</v>
      </c>
      <c r="E932" s="281">
        <f>VLOOKUP(C932,Stock_list!D:L,9,FALSE)</f>
        <v>44739</v>
      </c>
      <c r="F932" s="170" t="s">
        <v>1381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2744</v>
      </c>
      <c r="B933" s="114" t="str">
        <f>VLOOKUP(A933,'Data pick slip'!B:F,5,FALSE)</f>
        <v>KHJ-MC100-00</v>
      </c>
      <c r="C933" s="169">
        <v>110918</v>
      </c>
      <c r="D933" s="169" t="str">
        <f>VLOOKUP(C933,Stock_list!D:L,2,FALSE)</f>
        <v>魔乐视</v>
      </c>
      <c r="E933" s="281">
        <f>VLOOKUP(C933,Stock_list!D:L,9,FALSE)</f>
        <v>44739</v>
      </c>
      <c r="F933" s="170" t="s">
        <v>1381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2747</v>
      </c>
      <c r="B934" s="114" t="str">
        <f>VLOOKUP(A934,'Data pick slip'!B:F,5,FALSE)</f>
        <v>KHJ-MC200-00</v>
      </c>
      <c r="C934" s="169">
        <v>110918</v>
      </c>
      <c r="D934" s="169" t="str">
        <f>VLOOKUP(C934,Stock_list!D:L,2,FALSE)</f>
        <v>魔乐视</v>
      </c>
      <c r="E934" s="281">
        <f>VLOOKUP(C934,Stock_list!D:L,9,FALSE)</f>
        <v>44739</v>
      </c>
      <c r="F934" s="170" t="s">
        <v>1381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2744</v>
      </c>
      <c r="B935" s="114" t="str">
        <f>VLOOKUP(A935,'Data pick slip'!B:F,5,FALSE)</f>
        <v>KHJ-MC100-00</v>
      </c>
      <c r="C935" s="169">
        <v>110924</v>
      </c>
      <c r="D935" s="169" t="str">
        <f>VLOOKUP(C935,Stock_list!D:L,2,FALSE)</f>
        <v xml:space="preserve">深圳顺禾 </v>
      </c>
      <c r="E935" s="281">
        <f>VLOOKUP(C935,Stock_list!D:L,9,FALSE)</f>
        <v>44739</v>
      </c>
      <c r="F935" s="170" t="s">
        <v>1381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2744</v>
      </c>
      <c r="B936" s="114" t="str">
        <f>VLOOKUP(A936,'Data pick slip'!B:F,5,FALSE)</f>
        <v>KHJ-MC100-00</v>
      </c>
      <c r="C936" s="169">
        <v>110923</v>
      </c>
      <c r="D936" s="169" t="str">
        <f>VLOOKUP(C936,Stock_list!D:L,2,FALSE)</f>
        <v>芯联鑫</v>
      </c>
      <c r="E936" s="281">
        <f>VLOOKUP(C936,Stock_list!D:L,9,FALSE)</f>
        <v>44746</v>
      </c>
      <c r="F936" s="170" t="s">
        <v>1381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2747</v>
      </c>
      <c r="B937" s="114" t="str">
        <f>VLOOKUP(A937,'Data pick slip'!B:F,5,FALSE)</f>
        <v>KHJ-MC200-00</v>
      </c>
      <c r="C937" s="169">
        <v>110923</v>
      </c>
      <c r="D937" s="169" t="str">
        <f>VLOOKUP(C937,Stock_list!D:L,2,FALSE)</f>
        <v>芯联鑫</v>
      </c>
      <c r="E937" s="281">
        <f>VLOOKUP(C937,Stock_list!D:L,9,FALSE)</f>
        <v>44746</v>
      </c>
      <c r="F937" s="170" t="s">
        <v>1381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2744</v>
      </c>
      <c r="B938" s="114" t="str">
        <f>VLOOKUP(A938,'Data pick slip'!B:F,5,FALSE)</f>
        <v>KHJ-MC100-00</v>
      </c>
      <c r="C938" s="169">
        <v>110922</v>
      </c>
      <c r="D938" s="169" t="str">
        <f>VLOOKUP(C938,Stock_list!D:L,2,FALSE)</f>
        <v>东莞鸿楠</v>
      </c>
      <c r="E938" s="281">
        <f>VLOOKUP(C938,Stock_list!D:L,9,FALSE)</f>
        <v>44739</v>
      </c>
      <c r="F938" s="170" t="s">
        <v>1381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2747</v>
      </c>
      <c r="B939" s="114" t="str">
        <f>VLOOKUP(A939,'Data pick slip'!B:F,5,FALSE)</f>
        <v>KHJ-MC200-00</v>
      </c>
      <c r="C939" s="169">
        <v>110922</v>
      </c>
      <c r="D939" s="169" t="str">
        <f>VLOOKUP(C939,Stock_list!D:L,2,FALSE)</f>
        <v>东莞鸿楠</v>
      </c>
      <c r="E939" s="281">
        <f>VLOOKUP(C939,Stock_list!D:L,9,FALSE)</f>
        <v>44739</v>
      </c>
      <c r="F939" s="170" t="s">
        <v>1381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2755</v>
      </c>
      <c r="B940" s="114" t="str">
        <f>VLOOKUP(A940,'Data pick slip'!B:F,5,FALSE)</f>
        <v>KLJ-MC100-00</v>
      </c>
      <c r="C940" s="169">
        <v>110922</v>
      </c>
      <c r="D940" s="169" t="str">
        <f>VLOOKUP(C940,Stock_list!D:L,2,FALSE)</f>
        <v>东莞鸿楠</v>
      </c>
      <c r="E940" s="281">
        <f>VLOOKUP(C940,Stock_list!D:L,9,FALSE)</f>
        <v>44739</v>
      </c>
      <c r="F940" s="170" t="s">
        <v>1381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2756</v>
      </c>
      <c r="B941" s="114" t="str">
        <f>VLOOKUP(A941,'Data pick slip'!B:F,5,FALSE)</f>
        <v>KLJ-MC200-00</v>
      </c>
      <c r="C941" s="169">
        <v>110922</v>
      </c>
      <c r="D941" s="169" t="str">
        <f>VLOOKUP(C941,Stock_list!D:L,2,FALSE)</f>
        <v>东莞鸿楠</v>
      </c>
      <c r="E941" s="281">
        <f>VLOOKUP(C941,Stock_list!D:L,9,FALSE)</f>
        <v>44739</v>
      </c>
      <c r="F941" s="170" t="s">
        <v>1381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2744</v>
      </c>
      <c r="B942" s="114" t="str">
        <f>VLOOKUP(A942,'Data pick slip'!B:F,5,FALSE)</f>
        <v>KHJ-MC100-00</v>
      </c>
      <c r="C942" s="169">
        <v>110921</v>
      </c>
      <c r="D942" s="169" t="str">
        <f>VLOOKUP(C942,Stock_list!D:L,2,FALSE)</f>
        <v>和创永泰</v>
      </c>
      <c r="E942" s="281">
        <f>VLOOKUP(C942,Stock_list!D:L,9,FALSE)</f>
        <v>44739</v>
      </c>
      <c r="F942" s="170" t="s">
        <v>1381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2744</v>
      </c>
      <c r="B943" s="114" t="str">
        <f>VLOOKUP(A943,'Data pick slip'!B:F,5,FALSE)</f>
        <v>KHJ-MC100-00</v>
      </c>
      <c r="C943" s="169">
        <v>110920</v>
      </c>
      <c r="D943" s="169" t="str">
        <f>VLOOKUP(C943,Stock_list!D:L,2,FALSE)</f>
        <v>博睿通</v>
      </c>
      <c r="E943" s="281">
        <f>VLOOKUP(C943,Stock_list!D:L,9,FALSE)</f>
        <v>44746</v>
      </c>
      <c r="F943" s="170" t="s">
        <v>1381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2747</v>
      </c>
      <c r="B944" s="114" t="str">
        <f>VLOOKUP(A944,'Data pick slip'!B:F,5,FALSE)</f>
        <v>KHJ-MC200-00</v>
      </c>
      <c r="C944" s="169">
        <v>110920</v>
      </c>
      <c r="D944" s="169" t="str">
        <f>VLOOKUP(C944,Stock_list!D:L,2,FALSE)</f>
        <v>博睿通</v>
      </c>
      <c r="E944" s="281">
        <f>VLOOKUP(C944,Stock_list!D:L,9,FALSE)</f>
        <v>44746</v>
      </c>
      <c r="F944" s="170" t="s">
        <v>1381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2754</v>
      </c>
      <c r="B945" s="114" t="str">
        <f>VLOOKUP(A945,'Data pick slip'!B:F,5,FALSE)</f>
        <v>KLJ-MCN00-20</v>
      </c>
      <c r="C945" s="169">
        <v>110928</v>
      </c>
      <c r="D945" s="169" t="str">
        <f>VLOOKUP(C945,Stock_list!D:L,2,FALSE)</f>
        <v>Suining konka</v>
      </c>
      <c r="E945" s="281">
        <f>VLOOKUP(C945,Stock_list!D:L,9,FALSE)</f>
        <v>44781</v>
      </c>
      <c r="F945" s="170" t="s">
        <v>2980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2744</v>
      </c>
      <c r="B946" s="114" t="str">
        <f>VLOOKUP(A946,'Data pick slip'!B:F,5,FALSE)</f>
        <v>KHJ-MC100-00</v>
      </c>
      <c r="C946" s="169">
        <v>110928</v>
      </c>
      <c r="D946" s="169" t="str">
        <f>VLOOKUP(C946,Stock_list!D:L,2,FALSE)</f>
        <v>Suining konka</v>
      </c>
      <c r="E946" s="281">
        <f>VLOOKUP(C946,Stock_list!D:L,9,FALSE)</f>
        <v>44781</v>
      </c>
      <c r="F946" s="170" t="s">
        <v>2980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2747</v>
      </c>
      <c r="B947" s="114" t="str">
        <f>VLOOKUP(A947,'Data pick slip'!B:F,5,FALSE)</f>
        <v>KHJ-MC200-00</v>
      </c>
      <c r="C947" s="169">
        <v>110928</v>
      </c>
      <c r="D947" s="169" t="str">
        <f>VLOOKUP(C947,Stock_list!D:L,2,FALSE)</f>
        <v>Suining konka</v>
      </c>
      <c r="E947" s="281">
        <f>VLOOKUP(C947,Stock_list!D:L,9,FALSE)</f>
        <v>44781</v>
      </c>
      <c r="F947" s="170" t="s">
        <v>2980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2748</v>
      </c>
      <c r="B948" s="114" t="str">
        <f>VLOOKUP(A948,'Data pick slip'!B:F,5,FALSE)</f>
        <v>KHJ-MC400-00</v>
      </c>
      <c r="C948" s="169">
        <v>110928</v>
      </c>
      <c r="D948" s="169" t="str">
        <f>VLOOKUP(C948,Stock_list!D:L,2,FALSE)</f>
        <v>Suining konka</v>
      </c>
      <c r="E948" s="281">
        <f>VLOOKUP(C948,Stock_list!D:L,9,FALSE)</f>
        <v>44781</v>
      </c>
      <c r="F948" s="170" t="s">
        <v>2980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2749</v>
      </c>
      <c r="B949" s="114" t="str">
        <f>VLOOKUP(A949,'Data pick slip'!B:F,5,FALSE)</f>
        <v>KHJ-MC500-00</v>
      </c>
      <c r="C949" s="169">
        <v>110928</v>
      </c>
      <c r="D949" s="169" t="str">
        <f>VLOOKUP(C949,Stock_list!D:L,2,FALSE)</f>
        <v>Suining konka</v>
      </c>
      <c r="E949" s="281">
        <f>VLOOKUP(C949,Stock_list!D:L,9,FALSE)</f>
        <v>44781</v>
      </c>
      <c r="F949" s="170" t="s">
        <v>2980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2750</v>
      </c>
      <c r="B950" s="114" t="str">
        <f>VLOOKUP(A950,'Data pick slip'!B:F,5,FALSE)</f>
        <v>KHJ-MC600-00</v>
      </c>
      <c r="C950" s="169">
        <v>110928</v>
      </c>
      <c r="D950" s="169" t="str">
        <f>VLOOKUP(C950,Stock_list!D:L,2,FALSE)</f>
        <v>Suining konka</v>
      </c>
      <c r="E950" s="281">
        <f>VLOOKUP(C950,Stock_list!D:L,9,FALSE)</f>
        <v>44781</v>
      </c>
      <c r="F950" s="170" t="s">
        <v>2980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2751</v>
      </c>
      <c r="B951" s="114" t="str">
        <f>VLOOKUP(A951,'Data pick slip'!B:F,5,FALSE)</f>
        <v>KHJ-MC700-00</v>
      </c>
      <c r="C951" s="169">
        <v>110928</v>
      </c>
      <c r="D951" s="169" t="str">
        <f>VLOOKUP(C951,Stock_list!D:L,2,FALSE)</f>
        <v>Suining konka</v>
      </c>
      <c r="E951" s="281">
        <f>VLOOKUP(C951,Stock_list!D:L,9,FALSE)</f>
        <v>44781</v>
      </c>
      <c r="F951" s="170" t="s">
        <v>2980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2754</v>
      </c>
      <c r="B952" s="114" t="str">
        <f>VLOOKUP(A952,'Data pick slip'!B:F,5,FALSE)</f>
        <v>KLJ-MCN00-20</v>
      </c>
      <c r="C952" s="169">
        <v>110929</v>
      </c>
      <c r="D952" s="169" t="str">
        <f>VLOOKUP(C952,Stock_list!D:L,2,FALSE)</f>
        <v>Suining konka</v>
      </c>
      <c r="E952" s="281">
        <f>VLOOKUP(C952,Stock_list!D:L,9,FALSE)</f>
        <v>44781</v>
      </c>
      <c r="F952" s="170" t="s">
        <v>2980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2744</v>
      </c>
      <c r="B953" s="114" t="str">
        <f>VLOOKUP(A953,'Data pick slip'!B:F,5,FALSE)</f>
        <v>KHJ-MC100-00</v>
      </c>
      <c r="C953" s="169">
        <v>110929</v>
      </c>
      <c r="D953" s="169" t="str">
        <f>VLOOKUP(C953,Stock_list!D:L,2,FALSE)</f>
        <v>Suining konka</v>
      </c>
      <c r="E953" s="281">
        <f>VLOOKUP(C953,Stock_list!D:L,9,FALSE)</f>
        <v>44781</v>
      </c>
      <c r="F953" s="170" t="s">
        <v>2980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2747</v>
      </c>
      <c r="B954" s="114" t="str">
        <f>VLOOKUP(A954,'Data pick slip'!B:F,5,FALSE)</f>
        <v>KHJ-MC200-00</v>
      </c>
      <c r="C954" s="169">
        <v>110929</v>
      </c>
      <c r="D954" s="169" t="str">
        <f>VLOOKUP(C954,Stock_list!D:L,2,FALSE)</f>
        <v>Suining konka</v>
      </c>
      <c r="E954" s="281">
        <f>VLOOKUP(C954,Stock_list!D:L,9,FALSE)</f>
        <v>44781</v>
      </c>
      <c r="F954" s="170" t="s">
        <v>2980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2748</v>
      </c>
      <c r="B955" s="114" t="str">
        <f>VLOOKUP(A955,'Data pick slip'!B:F,5,FALSE)</f>
        <v>KHJ-MC400-00</v>
      </c>
      <c r="C955" s="169">
        <v>110929</v>
      </c>
      <c r="D955" s="169" t="str">
        <f>VLOOKUP(C955,Stock_list!D:L,2,FALSE)</f>
        <v>Suining konka</v>
      </c>
      <c r="E955" s="281">
        <f>VLOOKUP(C955,Stock_list!D:L,9,FALSE)</f>
        <v>44781</v>
      </c>
      <c r="F955" s="170" t="s">
        <v>2980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2749</v>
      </c>
      <c r="B956" s="114" t="str">
        <f>VLOOKUP(A956,'Data pick slip'!B:F,5,FALSE)</f>
        <v>KHJ-MC500-00</v>
      </c>
      <c r="C956" s="169">
        <v>110929</v>
      </c>
      <c r="D956" s="169" t="str">
        <f>VLOOKUP(C956,Stock_list!D:L,2,FALSE)</f>
        <v>Suining konka</v>
      </c>
      <c r="E956" s="281">
        <f>VLOOKUP(C956,Stock_list!D:L,9,FALSE)</f>
        <v>44781</v>
      </c>
      <c r="F956" s="170" t="s">
        <v>2980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2744</v>
      </c>
      <c r="B957" s="114" t="str">
        <f>VLOOKUP(A957,'Data pick slip'!B:F,5,FALSE)</f>
        <v>KHJ-MC100-00</v>
      </c>
      <c r="C957" s="169">
        <v>110930</v>
      </c>
      <c r="D957" s="169" t="str">
        <f>VLOOKUP(C957,Stock_list!D:L,2,FALSE)</f>
        <v>辉拓</v>
      </c>
      <c r="E957" s="281">
        <f>VLOOKUP(C957,Stock_list!D:L,9,FALSE)</f>
        <v>44739</v>
      </c>
      <c r="F957" s="170" t="s">
        <v>1381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2747</v>
      </c>
      <c r="B958" s="114" t="str">
        <f>VLOOKUP(A958,'Data pick slip'!B:F,5,FALSE)</f>
        <v>KHJ-MC200-00</v>
      </c>
      <c r="C958" s="169">
        <v>110930</v>
      </c>
      <c r="D958" s="169" t="str">
        <f>VLOOKUP(C958,Stock_list!D:L,2,FALSE)</f>
        <v>辉拓</v>
      </c>
      <c r="E958" s="281">
        <f>VLOOKUP(C958,Stock_list!D:L,9,FALSE)</f>
        <v>44739</v>
      </c>
      <c r="F958" s="170" t="s">
        <v>1381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2744</v>
      </c>
      <c r="B959" s="114" t="str">
        <f>VLOOKUP(A959,'Data pick slip'!B:F,5,FALSE)</f>
        <v>KHJ-MC100-00</v>
      </c>
      <c r="C959" s="169">
        <v>110932</v>
      </c>
      <c r="D959" s="169" t="str">
        <f>VLOOKUP(C959,Stock_list!D:L,2,FALSE)</f>
        <v>赛美达</v>
      </c>
      <c r="E959" s="281">
        <f>VLOOKUP(C959,Stock_list!D:L,9,FALSE)</f>
        <v>44746</v>
      </c>
      <c r="F959" s="170" t="s">
        <v>1381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2744</v>
      </c>
      <c r="B960" s="114" t="str">
        <f>VLOOKUP(A960,'Data pick slip'!B:F,5,FALSE)</f>
        <v>KHJ-MC100-00</v>
      </c>
      <c r="C960" s="169">
        <v>110933</v>
      </c>
      <c r="D960" s="169" t="str">
        <f>VLOOKUP(C960,Stock_list!D:L,2,FALSE)</f>
        <v xml:space="preserve">诺亚兴 </v>
      </c>
      <c r="E960" s="281">
        <f>VLOOKUP(C960,Stock_list!D:L,9,FALSE)</f>
        <v>44750</v>
      </c>
      <c r="F960" s="170" t="s">
        <v>1381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2747</v>
      </c>
      <c r="B961" s="114" t="str">
        <f>VLOOKUP(A961,'Data pick slip'!B:F,5,FALSE)</f>
        <v>KHJ-MC200-00</v>
      </c>
      <c r="C961" s="169">
        <v>110933</v>
      </c>
      <c r="D961" s="169" t="str">
        <f>VLOOKUP(C961,Stock_list!D:L,2,FALSE)</f>
        <v xml:space="preserve">诺亚兴 </v>
      </c>
      <c r="E961" s="281">
        <f>VLOOKUP(C961,Stock_list!D:L,9,FALSE)</f>
        <v>44750</v>
      </c>
      <c r="F961" s="170" t="s">
        <v>1381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2748</v>
      </c>
      <c r="B962" s="114" t="str">
        <f>VLOOKUP(A962,'Data pick slip'!B:F,5,FALSE)</f>
        <v>KHJ-MC400-00</v>
      </c>
      <c r="C962" s="169">
        <v>110933</v>
      </c>
      <c r="D962" s="169" t="str">
        <f>VLOOKUP(C962,Stock_list!D:L,2,FALSE)</f>
        <v xml:space="preserve">诺亚兴 </v>
      </c>
      <c r="E962" s="281">
        <f>VLOOKUP(C962,Stock_list!D:L,9,FALSE)</f>
        <v>44750</v>
      </c>
      <c r="F962" s="170" t="s">
        <v>1381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2749</v>
      </c>
      <c r="B963" s="114" t="str">
        <f>VLOOKUP(A963,'Data pick slip'!B:F,5,FALSE)</f>
        <v>KHJ-MC500-00</v>
      </c>
      <c r="C963" s="169">
        <v>110933</v>
      </c>
      <c r="D963" s="169" t="str">
        <f>VLOOKUP(C963,Stock_list!D:L,2,FALSE)</f>
        <v xml:space="preserve">诺亚兴 </v>
      </c>
      <c r="E963" s="281">
        <f>VLOOKUP(C963,Stock_list!D:L,9,FALSE)</f>
        <v>44750</v>
      </c>
      <c r="F963" s="170" t="s">
        <v>1381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2744</v>
      </c>
      <c r="B964" s="114" t="str">
        <f>VLOOKUP(A964,'Data pick slip'!B:F,5,FALSE)</f>
        <v>KHJ-MC100-00</v>
      </c>
      <c r="C964" s="169">
        <v>110934</v>
      </c>
      <c r="D964" s="169" t="str">
        <f>VLOOKUP(C964,Stock_list!D:L,2,FALSE)</f>
        <v>友艺</v>
      </c>
      <c r="E964" s="281">
        <f>VLOOKUP(C964,Stock_list!D:L,9,FALSE)</f>
        <v>44750</v>
      </c>
      <c r="F964" s="170" t="s">
        <v>1381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2747</v>
      </c>
      <c r="B965" s="114" t="str">
        <f>VLOOKUP(A965,'Data pick slip'!B:F,5,FALSE)</f>
        <v>KHJ-MC200-00</v>
      </c>
      <c r="C965" s="169">
        <v>110934</v>
      </c>
      <c r="D965" s="169" t="str">
        <f>VLOOKUP(C965,Stock_list!D:L,2,FALSE)</f>
        <v>友艺</v>
      </c>
      <c r="E965" s="281">
        <f>VLOOKUP(C965,Stock_list!D:L,9,FALSE)</f>
        <v>44750</v>
      </c>
      <c r="F965" s="170" t="s">
        <v>1381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2748</v>
      </c>
      <c r="B966" s="114" t="str">
        <f>VLOOKUP(A966,'Data pick slip'!B:F,5,FALSE)</f>
        <v>KHJ-MC400-00</v>
      </c>
      <c r="C966" s="169">
        <v>110934</v>
      </c>
      <c r="D966" s="169" t="str">
        <f>VLOOKUP(C966,Stock_list!D:L,2,FALSE)</f>
        <v>友艺</v>
      </c>
      <c r="E966" s="281">
        <f>VLOOKUP(C966,Stock_list!D:L,9,FALSE)</f>
        <v>44750</v>
      </c>
      <c r="F966" s="170" t="s">
        <v>1381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2749</v>
      </c>
      <c r="B967" s="114" t="str">
        <f>VLOOKUP(A967,'Data pick slip'!B:F,5,FALSE)</f>
        <v>KHJ-MC500-00</v>
      </c>
      <c r="C967" s="169">
        <v>110934</v>
      </c>
      <c r="D967" s="169" t="str">
        <f>VLOOKUP(C967,Stock_list!D:L,2,FALSE)</f>
        <v>友艺</v>
      </c>
      <c r="E967" s="281">
        <f>VLOOKUP(C967,Stock_list!D:L,9,FALSE)</f>
        <v>44750</v>
      </c>
      <c r="F967" s="170" t="s">
        <v>1381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2744</v>
      </c>
      <c r="B968" s="114" t="str">
        <f>VLOOKUP(A968,'Data pick slip'!B:F,5,FALSE)</f>
        <v>KHJ-MC100-00</v>
      </c>
      <c r="C968" s="169"/>
      <c r="D968" s="169"/>
      <c r="E968" s="281" t="s">
        <v>2983</v>
      </c>
      <c r="F968" s="170" t="s">
        <v>2753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2747</v>
      </c>
      <c r="B969" s="114" t="str">
        <f>VLOOKUP(A969,'Data pick slip'!B:F,5,FALSE)</f>
        <v>KHJ-MC200-00</v>
      </c>
      <c r="C969" s="169"/>
      <c r="D969" s="169"/>
      <c r="E969" s="281" t="s">
        <v>2983</v>
      </c>
      <c r="F969" s="170" t="s">
        <v>2753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2748</v>
      </c>
      <c r="B970" s="114" t="str">
        <f>VLOOKUP(A970,'Data pick slip'!B:F,5,FALSE)</f>
        <v>KHJ-MC400-00</v>
      </c>
      <c r="C970" s="169"/>
      <c r="D970" s="169"/>
      <c r="E970" s="281" t="s">
        <v>2983</v>
      </c>
      <c r="F970" s="170" t="s">
        <v>2753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2751</v>
      </c>
      <c r="B971" s="114" t="str">
        <f>VLOOKUP(A971,'Data pick slip'!B:F,5,FALSE)</f>
        <v>KHJ-MC700-00</v>
      </c>
      <c r="C971" s="169"/>
      <c r="D971" s="169"/>
      <c r="E971" s="281" t="s">
        <v>2983</v>
      </c>
      <c r="F971" s="170" t="s">
        <v>2753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2744</v>
      </c>
      <c r="B972" s="114" t="str">
        <f>VLOOKUP(A972,'Data pick slip'!B:F,5,FALSE)</f>
        <v>KHJ-MC100-00</v>
      </c>
      <c r="C972" s="169">
        <v>110953</v>
      </c>
      <c r="D972" s="169" t="str">
        <f>VLOOKUP(C972,Stock_list!D:L,2,FALSE)</f>
        <v>志华鑫名义下单</v>
      </c>
      <c r="E972" s="281">
        <f>VLOOKUP(C972,Stock_list!D:L,9,FALSE)</f>
        <v>44773</v>
      </c>
      <c r="F972" s="170" t="s">
        <v>1381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2747</v>
      </c>
      <c r="B973" s="114" t="str">
        <f>VLOOKUP(A973,'Data pick slip'!B:F,5,FALSE)</f>
        <v>KHJ-MC200-00</v>
      </c>
      <c r="C973" s="169">
        <v>110953</v>
      </c>
      <c r="D973" s="169" t="str">
        <f>VLOOKUP(C973,Stock_list!D:L,2,FALSE)</f>
        <v>志华鑫名义下单</v>
      </c>
      <c r="E973" s="281">
        <f>VLOOKUP(C973,Stock_list!D:L,9,FALSE)</f>
        <v>44773</v>
      </c>
      <c r="F973" s="170" t="s">
        <v>1381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2744</v>
      </c>
      <c r="B974" s="114" t="str">
        <f>VLOOKUP(A974,'Data pick slip'!B:F,5,FALSE)</f>
        <v>KHJ-MC100-00</v>
      </c>
      <c r="C974" s="169">
        <v>110952</v>
      </c>
      <c r="D974" s="169" t="str">
        <f>VLOOKUP(C974,Stock_list!D:L,2,FALSE)</f>
        <v>利速达</v>
      </c>
      <c r="E974" s="281">
        <f>VLOOKUP(C974,Stock_list!D:L,9,FALSE)</f>
        <v>44773</v>
      </c>
      <c r="F974" s="170" t="s">
        <v>1381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2744</v>
      </c>
      <c r="B975" s="114" t="str">
        <f>VLOOKUP(A975,'Data pick slip'!B:F,5,FALSE)</f>
        <v>KHJ-MC100-00</v>
      </c>
      <c r="C975" s="169">
        <v>110951</v>
      </c>
      <c r="D975" s="169" t="str">
        <f>VLOOKUP(C975,Stock_list!D:L,2,FALSE)</f>
        <v>中润互联</v>
      </c>
      <c r="E975" s="281">
        <f>VLOOKUP(C975,Stock_list!D:L,9,FALSE)</f>
        <v>44769</v>
      </c>
      <c r="F975" s="170" t="s">
        <v>1381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2747</v>
      </c>
      <c r="B976" s="114" t="str">
        <f>VLOOKUP(A976,'Data pick slip'!B:F,5,FALSE)</f>
        <v>KHJ-MC200-00</v>
      </c>
      <c r="C976" s="169">
        <v>110951</v>
      </c>
      <c r="D976" s="169" t="str">
        <f>VLOOKUP(C976,Stock_list!D:L,2,FALSE)</f>
        <v>中润互联</v>
      </c>
      <c r="E976" s="281">
        <f>VLOOKUP(C976,Stock_list!D:L,9,FALSE)</f>
        <v>44769</v>
      </c>
      <c r="F976" s="170" t="s">
        <v>1381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2748</v>
      </c>
      <c r="B977" s="114" t="str">
        <f>VLOOKUP(A977,'Data pick slip'!B:F,5,FALSE)</f>
        <v>KHJ-MC400-00</v>
      </c>
      <c r="C977" s="169">
        <v>110951</v>
      </c>
      <c r="D977" s="169" t="str">
        <f>VLOOKUP(C977,Stock_list!D:L,2,FALSE)</f>
        <v>中润互联</v>
      </c>
      <c r="E977" s="281">
        <f>VLOOKUP(C977,Stock_list!D:L,9,FALSE)</f>
        <v>44769</v>
      </c>
      <c r="F977" s="170" t="s">
        <v>1381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2744</v>
      </c>
      <c r="B978" s="114" t="str">
        <f>VLOOKUP(A978,'Data pick slip'!B:F,5,FALSE)</f>
        <v>KHJ-MC100-00</v>
      </c>
      <c r="C978" s="169">
        <v>110956</v>
      </c>
      <c r="D978" s="169" t="str">
        <f>VLOOKUP(C978,Stock_list!D:L,2,FALSE)</f>
        <v>鑫天泰</v>
      </c>
      <c r="E978" s="281">
        <f>VLOOKUP(C978,Stock_list!D:L,9,FALSE)</f>
        <v>44773</v>
      </c>
      <c r="F978" s="170" t="s">
        <v>1381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2744</v>
      </c>
      <c r="B979" s="114" t="str">
        <f>VLOOKUP(A979,'Data pick slip'!B:F,5,FALSE)</f>
        <v>KHJ-MC100-00</v>
      </c>
      <c r="C979" s="169">
        <v>110963</v>
      </c>
      <c r="D979" s="169" t="str">
        <f>VLOOKUP(C979,Stock_list!D:L,2,FALSE)</f>
        <v>辉拓</v>
      </c>
      <c r="E979" s="281">
        <f>VLOOKUP(C979,Stock_list!D:L,9,FALSE)</f>
        <v>44774</v>
      </c>
      <c r="F979" s="170" t="s">
        <v>1381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2744</v>
      </c>
      <c r="B980" s="114" t="str">
        <f>VLOOKUP(A980,'Data pick slip'!B:F,5,FALSE)</f>
        <v>KHJ-MC100-00</v>
      </c>
      <c r="C980" s="169">
        <v>110954</v>
      </c>
      <c r="D980" s="169" t="str">
        <f>VLOOKUP(C980,Stock_list!D:L,2,FALSE)</f>
        <v>恒磊</v>
      </c>
      <c r="E980" s="281">
        <f>VLOOKUP(C980,Stock_list!D:L,9,FALSE)</f>
        <v>44773</v>
      </c>
      <c r="F980" s="170" t="s">
        <v>1381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2744</v>
      </c>
      <c r="B981" s="114" t="str">
        <f>VLOOKUP(A981,'Data pick slip'!B:F,5,FALSE)</f>
        <v>KHJ-MC100-00</v>
      </c>
      <c r="C981" s="169">
        <v>110959</v>
      </c>
      <c r="D981" s="169" t="str">
        <f>VLOOKUP(C981,Stock_list!D:L,2,FALSE)</f>
        <v>拓普艾名义</v>
      </c>
      <c r="E981" s="281">
        <f>VLOOKUP(C981,Stock_list!D:L,9,FALSE)</f>
        <v>44774</v>
      </c>
      <c r="F981" s="170" t="s">
        <v>2980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2744</v>
      </c>
      <c r="B982" s="114" t="str">
        <f>VLOOKUP(A982,'Data pick slip'!B:F,5,FALSE)</f>
        <v>KHJ-MC100-00</v>
      </c>
      <c r="C982" s="169">
        <v>110958</v>
      </c>
      <c r="D982" s="169" t="str">
        <f>VLOOKUP(C982,Stock_list!D:L,2,FALSE)</f>
        <v>伯莱科</v>
      </c>
      <c r="E982" s="281">
        <f>VLOOKUP(C982,Stock_list!D:L,9,FALSE)</f>
        <v>44773</v>
      </c>
      <c r="F982" s="170" t="s">
        <v>1381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2744</v>
      </c>
      <c r="B983" s="114" t="str">
        <f>VLOOKUP(A983,'Data pick slip'!B:F,5,FALSE)</f>
        <v>KHJ-MC100-00</v>
      </c>
      <c r="C983" s="169">
        <v>110957</v>
      </c>
      <c r="D983" s="169" t="str">
        <f>VLOOKUP(C983,Stock_list!D:L,2,FALSE)</f>
        <v>中润互联</v>
      </c>
      <c r="E983" s="281">
        <f>VLOOKUP(C983,Stock_list!D:L,9,FALSE)</f>
        <v>44769</v>
      </c>
      <c r="F983" s="170" t="s">
        <v>1381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2744</v>
      </c>
      <c r="B984" s="114" t="str">
        <f>VLOOKUP(A984,'Data pick slip'!B:F,5,FALSE)</f>
        <v>KHJ-MC100-00</v>
      </c>
      <c r="C984" s="169">
        <v>110962</v>
      </c>
      <c r="D984" s="169" t="str">
        <f>VLOOKUP(C984,Stock_list!D:L,2,FALSE)</f>
        <v>骏仁达</v>
      </c>
      <c r="E984" s="281">
        <f>VLOOKUP(C984,Stock_list!D:L,9,FALSE)</f>
        <v>44773</v>
      </c>
      <c r="F984" s="170" t="s">
        <v>1381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2744</v>
      </c>
      <c r="B985" s="114" t="str">
        <f>VLOOKUP(A985,'Data pick slip'!B:F,5,FALSE)</f>
        <v>KHJ-MC100-00</v>
      </c>
      <c r="C985" s="169">
        <v>110961</v>
      </c>
      <c r="D985" s="169" t="str">
        <f>VLOOKUP(C985,Stock_list!D:L,2,FALSE)</f>
        <v>钧溢</v>
      </c>
      <c r="E985" s="281">
        <f>VLOOKUP(C985,Stock_list!D:L,9,FALSE)</f>
        <v>44773</v>
      </c>
      <c r="F985" s="170" t="s">
        <v>1381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2744</v>
      </c>
      <c r="B986" s="114" t="str">
        <f>VLOOKUP(A986,'Data pick slip'!B:F,5,FALSE)</f>
        <v>KHJ-MC100-00</v>
      </c>
      <c r="C986" s="169">
        <v>110960</v>
      </c>
      <c r="D986" s="169" t="str">
        <f>VLOOKUP(C986,Stock_list!D:L,2,FALSE)</f>
        <v>辉拓</v>
      </c>
      <c r="E986" s="281">
        <f>VLOOKUP(C986,Stock_list!D:L,9,FALSE)</f>
        <v>44773</v>
      </c>
      <c r="F986" s="170" t="s">
        <v>1381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2744</v>
      </c>
      <c r="B987" s="114" t="str">
        <f>VLOOKUP(A987,'Data pick slip'!B:F,5,FALSE)</f>
        <v>KHJ-MC100-00</v>
      </c>
      <c r="C987" s="169"/>
      <c r="D987" s="169"/>
      <c r="E987" s="281" t="s">
        <v>2984</v>
      </c>
      <c r="F987" s="170" t="s">
        <v>2753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2747</v>
      </c>
      <c r="B988" s="114" t="str">
        <f>VLOOKUP(A988,'Data pick slip'!B:F,5,FALSE)</f>
        <v>KHJ-MC200-00</v>
      </c>
      <c r="C988" s="169"/>
      <c r="D988" s="169"/>
      <c r="E988" s="281" t="s">
        <v>2984</v>
      </c>
      <c r="F988" s="170" t="s">
        <v>2753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2748</v>
      </c>
      <c r="B989" s="114" t="str">
        <f>VLOOKUP(A989,'Data pick slip'!B:F,5,FALSE)</f>
        <v>KHJ-MC400-00</v>
      </c>
      <c r="C989" s="169"/>
      <c r="D989" s="169"/>
      <c r="E989" s="281" t="s">
        <v>2984</v>
      </c>
      <c r="F989" s="170" t="s">
        <v>2753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2755</v>
      </c>
      <c r="B990" s="114" t="str">
        <f>VLOOKUP(A990,'Data pick slip'!B:F,5,FALSE)</f>
        <v>KLJ-MC100-00</v>
      </c>
      <c r="C990" s="169"/>
      <c r="D990" s="169"/>
      <c r="E990" s="281" t="s">
        <v>2984</v>
      </c>
      <c r="F990" s="170" t="s">
        <v>2753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2744</v>
      </c>
      <c r="B991" s="114" t="str">
        <f>VLOOKUP(A991,'Data pick slip'!B:F,5,FALSE)</f>
        <v>KHJ-MC100-00</v>
      </c>
      <c r="C991" s="169"/>
      <c r="D991" s="169"/>
      <c r="E991" s="281" t="s">
        <v>2985</v>
      </c>
      <c r="F991" s="170" t="s">
        <v>2753</v>
      </c>
      <c r="G991" s="321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2747</v>
      </c>
      <c r="B992" s="114" t="str">
        <f>VLOOKUP(A992,'Data pick slip'!B:F,5,FALSE)</f>
        <v>KHJ-MC200-00</v>
      </c>
      <c r="C992" s="169"/>
      <c r="D992" s="169"/>
      <c r="E992" s="281" t="s">
        <v>2985</v>
      </c>
      <c r="F992" s="170" t="s">
        <v>2753</v>
      </c>
      <c r="G992" s="321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2748</v>
      </c>
      <c r="B993" s="114" t="str">
        <f>VLOOKUP(A993,'Data pick slip'!B:F,5,FALSE)</f>
        <v>KHJ-MC400-00</v>
      </c>
      <c r="C993" s="169"/>
      <c r="D993" s="169"/>
      <c r="E993" s="281" t="s">
        <v>2985</v>
      </c>
      <c r="F993" s="170" t="s">
        <v>2753</v>
      </c>
      <c r="G993" s="321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2750</v>
      </c>
      <c r="B994" s="114" t="str">
        <f>VLOOKUP(A994,'Data pick slip'!B:F,5,FALSE)</f>
        <v>KHJ-MC600-00</v>
      </c>
      <c r="C994" s="169"/>
      <c r="D994" s="169"/>
      <c r="E994" s="281" t="s">
        <v>2985</v>
      </c>
      <c r="F994" s="170" t="s">
        <v>2753</v>
      </c>
      <c r="G994" s="321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2751</v>
      </c>
      <c r="B995" s="114" t="str">
        <f>VLOOKUP(A995,'Data pick slip'!B:F,5,FALSE)</f>
        <v>KHJ-MC700-00</v>
      </c>
      <c r="C995" s="169"/>
      <c r="D995" s="169"/>
      <c r="E995" s="281" t="s">
        <v>2985</v>
      </c>
      <c r="F995" s="170" t="s">
        <v>2753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2744</v>
      </c>
      <c r="B996" s="114" t="str">
        <f>VLOOKUP(A996,'Data pick slip'!B:F,5,FALSE)</f>
        <v>KHJ-MC100-00</v>
      </c>
      <c r="C996" s="169">
        <v>110896</v>
      </c>
      <c r="D996" s="169" t="str">
        <f>VLOOKUP(C996,Stock_list!D:L,2,FALSE)</f>
        <v>Dongguan Yidong</v>
      </c>
      <c r="E996" s="281">
        <f>VLOOKUP(C996,Stock_list!D:L,9,FALSE)</f>
        <v>44714</v>
      </c>
      <c r="F996" s="170" t="s">
        <v>1381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2747</v>
      </c>
      <c r="B997" s="114" t="str">
        <f>VLOOKUP(A997,'Data pick slip'!B:F,5,FALSE)</f>
        <v>KHJ-MC200-00</v>
      </c>
      <c r="C997" s="169">
        <v>110896</v>
      </c>
      <c r="D997" s="169" t="str">
        <f>VLOOKUP(C997,Stock_list!D:L,2,FALSE)</f>
        <v>Dongguan Yidong</v>
      </c>
      <c r="E997" s="281">
        <f>VLOOKUP(C997,Stock_list!D:L,9,FALSE)</f>
        <v>44714</v>
      </c>
      <c r="F997" s="170" t="s">
        <v>1381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2748</v>
      </c>
      <c r="B998" s="114" t="str">
        <f>VLOOKUP(A998,'Data pick slip'!B:F,5,FALSE)</f>
        <v>KHJ-MC400-00</v>
      </c>
      <c r="C998" s="169">
        <v>110896</v>
      </c>
      <c r="D998" s="169" t="str">
        <f>VLOOKUP(C998,Stock_list!D:L,2,FALSE)</f>
        <v>Dongguan Yidong</v>
      </c>
      <c r="E998" s="281">
        <f>VLOOKUP(C998,Stock_list!D:L,9,FALSE)</f>
        <v>44714</v>
      </c>
      <c r="F998" s="170" t="s">
        <v>1381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2749</v>
      </c>
      <c r="B999" s="114" t="str">
        <f>VLOOKUP(A999,'Data pick slip'!B:F,5,FALSE)</f>
        <v>KHJ-MC500-00</v>
      </c>
      <c r="C999" s="169">
        <v>110896</v>
      </c>
      <c r="D999" s="169" t="str">
        <f>VLOOKUP(C999,Stock_list!D:L,2,FALSE)</f>
        <v>Dongguan Yidong</v>
      </c>
      <c r="E999" s="281">
        <f>VLOOKUP(C999,Stock_list!D:L,9,FALSE)</f>
        <v>44714</v>
      </c>
      <c r="F999" s="170" t="s">
        <v>1381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2744</v>
      </c>
      <c r="B1000" s="114" t="str">
        <f>VLOOKUP(A1000,'Data pick slip'!B:F,5,FALSE)</f>
        <v>KHJ-MC100-00</v>
      </c>
      <c r="C1000" s="169">
        <v>110989</v>
      </c>
      <c r="D1000" s="169" t="str">
        <f>VLOOKUP(C1000,Stock_list!D:L,2,FALSE)</f>
        <v xml:space="preserve"> SZ 金睿通(Special)</v>
      </c>
      <c r="E1000" s="281">
        <f>VLOOKUP(C1000,Stock_list!D:L,9,FALSE)</f>
        <v>44795</v>
      </c>
      <c r="F1000" s="170" t="s">
        <v>1381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2744</v>
      </c>
      <c r="B1001" s="114" t="str">
        <f>VLOOKUP(A1001,'Data pick slip'!B:F,5,FALSE)</f>
        <v>KHJ-MC100-00</v>
      </c>
      <c r="C1001" s="169">
        <v>110988</v>
      </c>
      <c r="D1001" s="169" t="str">
        <f>VLOOKUP(C1001,Stock_list!D:L,2,FALSE)</f>
        <v xml:space="preserve"> SZ 瑞福联(Special)</v>
      </c>
      <c r="E1001" s="281">
        <f>VLOOKUP(C1001,Stock_list!D:L,9,FALSE)</f>
        <v>44795</v>
      </c>
      <c r="F1001" s="170" t="s">
        <v>1381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2744</v>
      </c>
      <c r="B1002" s="114" t="str">
        <f>VLOOKUP(A1002,'Data pick slip'!B:F,5,FALSE)</f>
        <v>KHJ-MC100-00</v>
      </c>
      <c r="C1002" s="169">
        <v>110987</v>
      </c>
      <c r="D1002" s="169" t="str">
        <f>VLOOKUP(C1002,Stock_list!D:L,2,FALSE)</f>
        <v xml:space="preserve"> SZ 精德鸿(Special)</v>
      </c>
      <c r="E1002" s="281">
        <f>VLOOKUP(C1002,Stock_list!D:L,9,FALSE)</f>
        <v>44795</v>
      </c>
      <c r="F1002" s="170" t="s">
        <v>1381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2744</v>
      </c>
      <c r="B1003" s="114" t="str">
        <f>VLOOKUP(A1003,'Data pick slip'!B:F,5,FALSE)</f>
        <v>KHJ-MC100-00</v>
      </c>
      <c r="C1003" s="169">
        <v>110986</v>
      </c>
      <c r="D1003" s="169" t="str">
        <f>VLOOKUP(C1003,Stock_list!D:L,2,FALSE)</f>
        <v xml:space="preserve"> SZ 奥祺(Special)</v>
      </c>
      <c r="E1003" s="281">
        <f>VLOOKUP(C1003,Stock_list!D:L,9,FALSE)</f>
        <v>44795</v>
      </c>
      <c r="F1003" s="170" t="s">
        <v>1381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2744</v>
      </c>
      <c r="B1004" s="114" t="str">
        <f>VLOOKUP(A1004,'Data pick slip'!B:F,5,FALSE)</f>
        <v>KHJ-MC100-00</v>
      </c>
      <c r="C1004" s="169" t="s">
        <v>2572</v>
      </c>
      <c r="D1004" s="169" t="str">
        <f>VLOOKUP(C1004,Stock_list!D:L,2,FALSE)</f>
        <v xml:space="preserve"> SZ斯迈拓</v>
      </c>
      <c r="E1004" s="281">
        <f>VLOOKUP(C1004,Stock_list!D:L,9,FALSE)</f>
        <v>44801</v>
      </c>
      <c r="F1004" s="170" t="s">
        <v>2980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2744</v>
      </c>
      <c r="B1005" s="114" t="str">
        <f>VLOOKUP(A1005,'Data pick slip'!B:F,5,FALSE)</f>
        <v>KHJ-MC100-00</v>
      </c>
      <c r="C1005" s="169">
        <v>110992</v>
      </c>
      <c r="D1005" s="169" t="str">
        <f>VLOOKUP(C1005,Stock_list!D:L,2,FALSE)</f>
        <v xml:space="preserve"> SZ欣华</v>
      </c>
      <c r="E1005" s="281">
        <f>VLOOKUP(C1005,Stock_list!D:L,9,FALSE)</f>
        <v>44795</v>
      </c>
      <c r="F1005" s="170" t="s">
        <v>1381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2744</v>
      </c>
      <c r="B1006" s="114" t="str">
        <f>VLOOKUP(A1006,'Data pick slip'!B:F,5,FALSE)</f>
        <v>KHJ-MC100-00</v>
      </c>
      <c r="C1006" s="169">
        <v>110991</v>
      </c>
      <c r="D1006" s="169" t="str">
        <f>VLOOKUP(C1006,Stock_list!D:L,2,FALSE)</f>
        <v xml:space="preserve"> SZ朗迅</v>
      </c>
      <c r="E1006" s="281">
        <f>VLOOKUP(C1006,Stock_list!D:L,9,FALSE)</f>
        <v>44809</v>
      </c>
      <c r="F1006" s="170" t="s">
        <v>1381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2744</v>
      </c>
      <c r="B1007" s="114" t="str">
        <f>VLOOKUP(A1007,'Data pick slip'!B:F,5,FALSE)</f>
        <v>KHJ-MC100-00</v>
      </c>
      <c r="C1007" s="169">
        <v>110990</v>
      </c>
      <c r="D1007" s="169" t="str">
        <f>VLOOKUP(C1007,Stock_list!D:L,2,FALSE)</f>
        <v xml:space="preserve"> SZ正讯</v>
      </c>
      <c r="E1007" s="281">
        <f>VLOOKUP(C1007,Stock_list!D:L,9,FALSE)</f>
        <v>44795</v>
      </c>
      <c r="F1007" s="170" t="s">
        <v>1381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2744</v>
      </c>
      <c r="B1008" s="114" t="str">
        <f>VLOOKUP(A1008,'Data pick slip'!B:F,5,FALSE)</f>
        <v>KHJ-MC100-00</v>
      </c>
      <c r="C1008" s="169">
        <v>110887</v>
      </c>
      <c r="D1008" s="169" t="str">
        <f>VLOOKUP(C1008,Stock_list!D:L,2,FALSE)</f>
        <v>拓普艾名义</v>
      </c>
      <c r="E1008" s="281">
        <f>VLOOKUP(C1008,Stock_list!D:L,9,FALSE)</f>
        <v>44724</v>
      </c>
      <c r="F1008" s="170" t="s">
        <v>1381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2747</v>
      </c>
      <c r="B1009" s="114" t="str">
        <f>VLOOKUP(A1009,'Data pick slip'!B:F,5,FALSE)</f>
        <v>KHJ-MC200-00</v>
      </c>
      <c r="C1009" s="169">
        <v>110887</v>
      </c>
      <c r="D1009" s="169" t="str">
        <f>VLOOKUP(C1009,Stock_list!D:L,2,FALSE)</f>
        <v>拓普艾名义</v>
      </c>
      <c r="E1009" s="281">
        <f>VLOOKUP(C1009,Stock_list!D:L,9,FALSE)</f>
        <v>44724</v>
      </c>
      <c r="F1009" s="170" t="s">
        <v>1381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2744</v>
      </c>
      <c r="B1010" s="114" t="str">
        <f>VLOOKUP(A1010,'Data pick slip'!B:F,5,FALSE)</f>
        <v>KHJ-MC100-00</v>
      </c>
      <c r="C1010" s="169">
        <v>111006</v>
      </c>
      <c r="D1010" s="169" t="str">
        <f>VLOOKUP(C1010,Stock_list!D:L,2,FALSE)</f>
        <v>#04403奕东</v>
      </c>
      <c r="E1010" s="281">
        <f>VLOOKUP(C1010,Stock_list!D:L,9,FALSE)</f>
        <v>44781</v>
      </c>
      <c r="F1010" s="170" t="s">
        <v>1381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2747</v>
      </c>
      <c r="B1011" s="114" t="str">
        <f>VLOOKUP(A1011,'Data pick slip'!B:F,5,FALSE)</f>
        <v>KHJ-MC200-00</v>
      </c>
      <c r="C1011" s="169">
        <v>111006</v>
      </c>
      <c r="D1011" s="169" t="str">
        <f>VLOOKUP(C1011,Stock_list!D:L,2,FALSE)</f>
        <v>#04403奕东</v>
      </c>
      <c r="E1011" s="281">
        <f>VLOOKUP(C1011,Stock_list!D:L,9,FALSE)</f>
        <v>44781</v>
      </c>
      <c r="F1011" s="170" t="s">
        <v>1381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2748</v>
      </c>
      <c r="B1012" s="114" t="str">
        <f>VLOOKUP(A1012,'Data pick slip'!B:F,5,FALSE)</f>
        <v>KHJ-MC400-00</v>
      </c>
      <c r="C1012" s="169">
        <v>111006</v>
      </c>
      <c r="D1012" s="169" t="str">
        <f>VLOOKUP(C1012,Stock_list!D:L,2,FALSE)</f>
        <v>#04403奕东</v>
      </c>
      <c r="E1012" s="281">
        <f>VLOOKUP(C1012,Stock_list!D:L,9,FALSE)</f>
        <v>44781</v>
      </c>
      <c r="F1012" s="170" t="s">
        <v>1381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2744</v>
      </c>
      <c r="B1013" s="114" t="str">
        <f>VLOOKUP(A1013,'Data pick slip'!B:F,5,FALSE)</f>
        <v>KHJ-MC100-00</v>
      </c>
      <c r="C1013" s="169"/>
      <c r="D1013" s="169"/>
      <c r="E1013" s="281" t="s">
        <v>2986</v>
      </c>
      <c r="F1013" s="170" t="s">
        <v>2753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2747</v>
      </c>
      <c r="B1014" s="114" t="str">
        <f>VLOOKUP(A1014,'Data pick slip'!B:F,5,FALSE)</f>
        <v>KHJ-MC200-00</v>
      </c>
      <c r="C1014" s="169"/>
      <c r="D1014" s="169"/>
      <c r="E1014" s="281" t="s">
        <v>2986</v>
      </c>
      <c r="F1014" s="170" t="s">
        <v>2753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2748</v>
      </c>
      <c r="B1015" s="114" t="str">
        <f>VLOOKUP(A1015,'Data pick slip'!B:F,5,FALSE)</f>
        <v>KHJ-MC400-00</v>
      </c>
      <c r="C1015" s="169"/>
      <c r="D1015" s="169"/>
      <c r="E1015" s="281" t="s">
        <v>2986</v>
      </c>
      <c r="F1015" s="170" t="s">
        <v>2753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2749</v>
      </c>
      <c r="B1016" s="114" t="str">
        <f>VLOOKUP(A1016,'Data pick slip'!B:F,5,FALSE)</f>
        <v>KHJ-MC500-00</v>
      </c>
      <c r="C1016" s="169"/>
      <c r="D1016" s="169"/>
      <c r="E1016" s="281" t="s">
        <v>2986</v>
      </c>
      <c r="F1016" s="170" t="s">
        <v>2753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2755</v>
      </c>
      <c r="B1017" s="114" t="str">
        <f>VLOOKUP(A1017,'Data pick slip'!B:F,5,FALSE)</f>
        <v>KLJ-MC100-00</v>
      </c>
      <c r="C1017" s="169"/>
      <c r="D1017" s="169"/>
      <c r="E1017" s="281" t="s">
        <v>2986</v>
      </c>
      <c r="F1017" s="170" t="s">
        <v>2753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2756</v>
      </c>
      <c r="B1018" s="114" t="str">
        <f>VLOOKUP(A1018,'Data pick slip'!B:F,5,FALSE)</f>
        <v>KLJ-MC200-00</v>
      </c>
      <c r="C1018" s="169"/>
      <c r="D1018" s="169"/>
      <c r="E1018" s="281" t="s">
        <v>2986</v>
      </c>
      <c r="F1018" s="170" t="s">
        <v>2753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2744</v>
      </c>
      <c r="B1019" s="114" t="str">
        <f>VLOOKUP(A1019,'Data pick slip'!B:F,5,FALSE)</f>
        <v>KHJ-MC100-00</v>
      </c>
      <c r="C1019" s="169"/>
      <c r="D1019" s="169"/>
      <c r="E1019" s="281" t="s">
        <v>2987</v>
      </c>
      <c r="F1019" s="170" t="s">
        <v>2753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2749</v>
      </c>
      <c r="B1020" s="114" t="str">
        <f>VLOOKUP(A1020,'Data pick slip'!B:F,5,FALSE)</f>
        <v>KHJ-MC500-00</v>
      </c>
      <c r="C1020" s="169"/>
      <c r="D1020" s="169"/>
      <c r="E1020" s="281" t="s">
        <v>2987</v>
      </c>
      <c r="F1020" s="170" t="s">
        <v>2753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2744</v>
      </c>
      <c r="B1021" s="114" t="str">
        <f>VLOOKUP(A1021,'Data pick slip'!B:F,5,FALSE)</f>
        <v>KHJ-MC100-00</v>
      </c>
      <c r="C1021" s="169"/>
      <c r="D1021" s="169"/>
      <c r="E1021" s="281" t="s">
        <v>2988</v>
      </c>
      <c r="F1021" s="170" t="s">
        <v>2753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2747</v>
      </c>
      <c r="B1022" s="114" t="str">
        <f>VLOOKUP(A1022,'Data pick slip'!B:F,5,FALSE)</f>
        <v>KHJ-MC200-00</v>
      </c>
      <c r="C1022" s="169"/>
      <c r="D1022" s="169"/>
      <c r="E1022" s="281" t="s">
        <v>2988</v>
      </c>
      <c r="F1022" s="170" t="s">
        <v>2753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2750</v>
      </c>
      <c r="B1023" s="114" t="str">
        <f>VLOOKUP(A1023,'Data pick slip'!B:F,5,FALSE)</f>
        <v>KHJ-MC600-00</v>
      </c>
      <c r="C1023" s="169"/>
      <c r="D1023" s="169"/>
      <c r="E1023" s="281" t="s">
        <v>2988</v>
      </c>
      <c r="F1023" s="170" t="s">
        <v>2753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2744</v>
      </c>
      <c r="B1024" s="114" t="str">
        <f>VLOOKUP(A1024,'Data pick slip'!B:F,5,FALSE)</f>
        <v>KHJ-MC100-00</v>
      </c>
      <c r="C1024" s="169">
        <v>111020</v>
      </c>
      <c r="D1024" s="169" t="str">
        <f>VLOOKUP(C1024,Stock_list!D:L,2,FALSE)</f>
        <v>惠州新明海</v>
      </c>
      <c r="E1024" s="281">
        <f>VLOOKUP(C1024,Stock_list!D:L,9,FALSE)</f>
        <v>44816</v>
      </c>
      <c r="F1024" s="170" t="s">
        <v>2980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2747</v>
      </c>
      <c r="B1025" s="114" t="str">
        <f>VLOOKUP(A1025,'Data pick slip'!B:F,5,FALSE)</f>
        <v>KHJ-MC200-00</v>
      </c>
      <c r="C1025" s="169">
        <v>111020</v>
      </c>
      <c r="D1025" s="169" t="str">
        <f>VLOOKUP(C1025,Stock_list!D:L,2,FALSE)</f>
        <v>惠州新明海</v>
      </c>
      <c r="E1025" s="281">
        <f>VLOOKUP(C1025,Stock_list!D:L,9,FALSE)</f>
        <v>44816</v>
      </c>
      <c r="F1025" s="170" t="s">
        <v>2980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2744</v>
      </c>
      <c r="B1026" s="114" t="str">
        <f>VLOOKUP(A1026,'Data pick slip'!B:F,5,FALSE)</f>
        <v>KHJ-MC100-00</v>
      </c>
      <c r="C1026" s="169">
        <v>110931</v>
      </c>
      <c r="D1026" s="169" t="str">
        <f>VLOOKUP(C1026,Stock_list!D:L,2,FALSE)</f>
        <v>快宇</v>
      </c>
      <c r="E1026" s="281">
        <f>VLOOKUP(C1026,Stock_list!D:L,9,FALSE)</f>
        <v>44746</v>
      </c>
      <c r="F1026" s="170" t="s">
        <v>1381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2744</v>
      </c>
      <c r="B1027" s="114" t="str">
        <f>VLOOKUP(A1027,'Data pick slip'!B:F,5,FALSE)</f>
        <v>KHJ-MC100-00</v>
      </c>
      <c r="C1027" s="311" t="s">
        <v>2989</v>
      </c>
      <c r="D1027" s="311" t="s">
        <v>2989</v>
      </c>
      <c r="E1027" s="281">
        <v>44757</v>
      </c>
      <c r="F1027" s="170" t="s">
        <v>2753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2747</v>
      </c>
      <c r="B1028" s="114" t="str">
        <f>VLOOKUP(A1028,'Data pick slip'!B:F,5,FALSE)</f>
        <v>KHJ-MC200-00</v>
      </c>
      <c r="C1028" s="311" t="s">
        <v>2989</v>
      </c>
      <c r="D1028" s="311" t="s">
        <v>2989</v>
      </c>
      <c r="E1028" s="281">
        <v>44757</v>
      </c>
      <c r="F1028" s="170" t="s">
        <v>2753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2748</v>
      </c>
      <c r="B1029" s="114" t="str">
        <f>VLOOKUP(A1029,'Data pick slip'!B:F,5,FALSE)</f>
        <v>KHJ-MC400-00</v>
      </c>
      <c r="C1029" s="311" t="s">
        <v>2989</v>
      </c>
      <c r="D1029" s="311" t="s">
        <v>2989</v>
      </c>
      <c r="E1029" s="281">
        <v>44757</v>
      </c>
      <c r="F1029" s="170" t="s">
        <v>2753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2749</v>
      </c>
      <c r="B1030" s="114" t="str">
        <f>VLOOKUP(A1030,'Data pick slip'!B:F,5,FALSE)</f>
        <v>KHJ-MC500-00</v>
      </c>
      <c r="C1030" s="311" t="s">
        <v>2989</v>
      </c>
      <c r="D1030" s="311" t="s">
        <v>2989</v>
      </c>
      <c r="E1030" s="281">
        <v>44757</v>
      </c>
      <c r="F1030" s="170" t="s">
        <v>2753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2750</v>
      </c>
      <c r="B1031" s="114" t="str">
        <f>VLOOKUP(A1031,'Data pick slip'!B:F,5,FALSE)</f>
        <v>KHJ-MC600-00</v>
      </c>
      <c r="C1031" s="311" t="s">
        <v>2989</v>
      </c>
      <c r="D1031" s="311" t="s">
        <v>2989</v>
      </c>
      <c r="E1031" s="281">
        <v>44757</v>
      </c>
      <c r="F1031" s="170" t="s">
        <v>2753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2751</v>
      </c>
      <c r="B1032" s="114" t="str">
        <f>VLOOKUP(A1032,'Data pick slip'!B:F,5,FALSE)</f>
        <v>KHJ-MC700-00</v>
      </c>
      <c r="C1032" s="311" t="s">
        <v>2989</v>
      </c>
      <c r="D1032" s="311" t="s">
        <v>2989</v>
      </c>
      <c r="E1032" s="281">
        <v>44757</v>
      </c>
      <c r="F1032" s="170" t="s">
        <v>2753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2744</v>
      </c>
      <c r="B1033" s="114" t="str">
        <f>VLOOKUP(A1033,'Data pick slip'!B:F,5,FALSE)</f>
        <v>KHJ-MC100-00</v>
      </c>
      <c r="C1033" s="169"/>
      <c r="D1033" s="169"/>
      <c r="E1033" s="139" t="s">
        <v>2990</v>
      </c>
      <c r="F1033" s="170" t="s">
        <v>2753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2747</v>
      </c>
      <c r="B1034" s="114" t="str">
        <f>VLOOKUP(A1034,'Data pick slip'!B:F,5,FALSE)</f>
        <v>KHJ-MC200-00</v>
      </c>
      <c r="C1034" s="169"/>
      <c r="D1034" s="169"/>
      <c r="E1034" s="139" t="s">
        <v>2990</v>
      </c>
      <c r="F1034" s="170" t="s">
        <v>2753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2755</v>
      </c>
      <c r="B1035" s="114" t="str">
        <f>VLOOKUP(A1035,'Data pick slip'!B:F,5,FALSE)</f>
        <v>KLJ-MC100-00</v>
      </c>
      <c r="C1035" s="169"/>
      <c r="D1035" s="169"/>
      <c r="E1035" s="139" t="s">
        <v>2990</v>
      </c>
      <c r="F1035" s="170" t="s">
        <v>2753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2756</v>
      </c>
      <c r="B1036" s="114" t="str">
        <f>VLOOKUP(A1036,'Data pick slip'!B:F,5,FALSE)</f>
        <v>KLJ-MC200-00</v>
      </c>
      <c r="C1036" s="169"/>
      <c r="D1036" s="169"/>
      <c r="E1036" s="139" t="s">
        <v>2990</v>
      </c>
      <c r="F1036" s="170" t="s">
        <v>2753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2758</v>
      </c>
      <c r="B1037" s="114" t="str">
        <f>VLOOKUP(A1037,'Data pick slip'!B:F,5,FALSE)</f>
        <v>KLJ-MC500-00</v>
      </c>
      <c r="C1037" s="169"/>
      <c r="D1037" s="169"/>
      <c r="E1037" s="139" t="s">
        <v>2990</v>
      </c>
      <c r="F1037" s="170" t="s">
        <v>2753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2744</v>
      </c>
      <c r="B1038" s="114" t="str">
        <f>VLOOKUP(A1038,'Data pick slip'!B:F,5,FALSE)</f>
        <v>KHJ-MC100-00</v>
      </c>
      <c r="C1038" s="169"/>
      <c r="D1038" s="169"/>
      <c r="E1038" s="139" t="s">
        <v>2991</v>
      </c>
      <c r="F1038" s="170" t="s">
        <v>2753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2747</v>
      </c>
      <c r="B1039" s="114" t="str">
        <f>VLOOKUP(A1039,'Data pick slip'!B:F,5,FALSE)</f>
        <v>KHJ-MC200-00</v>
      </c>
      <c r="C1039" s="169"/>
      <c r="D1039" s="169"/>
      <c r="E1039" s="139" t="s">
        <v>2991</v>
      </c>
      <c r="F1039" s="170" t="s">
        <v>2753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2748</v>
      </c>
      <c r="B1040" s="114" t="str">
        <f>VLOOKUP(A1040,'Data pick slip'!B:F,5,FALSE)</f>
        <v>KHJ-MC400-00</v>
      </c>
      <c r="C1040" s="169"/>
      <c r="D1040" s="169"/>
      <c r="E1040" s="139" t="s">
        <v>2991</v>
      </c>
      <c r="F1040" s="170" t="s">
        <v>2753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2749</v>
      </c>
      <c r="B1041" s="114" t="str">
        <f>VLOOKUP(A1041,'Data pick slip'!B:F,5,FALSE)</f>
        <v>KHJ-MC500-00</v>
      </c>
      <c r="C1041" s="169"/>
      <c r="D1041" s="169"/>
      <c r="E1041" s="139" t="s">
        <v>2991</v>
      </c>
      <c r="F1041" s="170" t="s">
        <v>2753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2750</v>
      </c>
      <c r="B1042" s="114" t="str">
        <f>VLOOKUP(A1042,'Data pick slip'!B:F,5,FALSE)</f>
        <v>KHJ-MC600-00</v>
      </c>
      <c r="C1042" s="169"/>
      <c r="D1042" s="169"/>
      <c r="E1042" s="139" t="s">
        <v>2991</v>
      </c>
      <c r="F1042" s="170" t="s">
        <v>2753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2757</v>
      </c>
      <c r="B1043" s="114" t="str">
        <f>VLOOKUP(A1043,'Data pick slip'!B:F,5,FALSE)</f>
        <v>KLJ-MC400-00</v>
      </c>
      <c r="C1043" s="169"/>
      <c r="D1043" s="169"/>
      <c r="E1043" s="139" t="s">
        <v>2991</v>
      </c>
      <c r="F1043" s="170" t="s">
        <v>2753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2744</v>
      </c>
      <c r="B1044" s="114" t="str">
        <f>VLOOKUP(A1044,'Data pick slip'!B:F,5,FALSE)</f>
        <v>KHJ-MC100-00</v>
      </c>
      <c r="C1044" s="169"/>
      <c r="D1044" s="169"/>
      <c r="E1044" s="139" t="s">
        <v>2992</v>
      </c>
      <c r="F1044" s="170" t="s">
        <v>2753</v>
      </c>
      <c r="G1044" s="321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2747</v>
      </c>
      <c r="B1045" s="114" t="str">
        <f>VLOOKUP(A1045,'Data pick slip'!B:F,5,FALSE)</f>
        <v>KHJ-MC200-00</v>
      </c>
      <c r="C1045" s="169"/>
      <c r="D1045" s="169"/>
      <c r="E1045" s="139" t="s">
        <v>2992</v>
      </c>
      <c r="F1045" s="170" t="s">
        <v>2753</v>
      </c>
      <c r="G1045" s="321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2748</v>
      </c>
      <c r="B1046" s="114" t="str">
        <f>VLOOKUP(A1046,'Data pick slip'!B:F,5,FALSE)</f>
        <v>KHJ-MC400-00</v>
      </c>
      <c r="C1046" s="169"/>
      <c r="D1046" s="169"/>
      <c r="E1046" s="139" t="s">
        <v>2992</v>
      </c>
      <c r="F1046" s="170" t="s">
        <v>2753</v>
      </c>
      <c r="G1046" s="321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2749</v>
      </c>
      <c r="B1047" s="114" t="str">
        <f>VLOOKUP(A1047,'Data pick slip'!B:F,5,FALSE)</f>
        <v>KHJ-MC500-00</v>
      </c>
      <c r="C1047" s="169"/>
      <c r="D1047" s="169"/>
      <c r="E1047" s="139" t="s">
        <v>2992</v>
      </c>
      <c r="F1047" s="170" t="s">
        <v>2753</v>
      </c>
      <c r="G1047" s="321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2744</v>
      </c>
      <c r="B1048" s="114" t="str">
        <f>VLOOKUP(A1048,'Data pick slip'!B:F,5,FALSE)</f>
        <v>KHJ-MC100-00</v>
      </c>
      <c r="C1048" s="169"/>
      <c r="D1048" s="169"/>
      <c r="E1048" s="139" t="s">
        <v>2993</v>
      </c>
      <c r="F1048" s="170" t="s">
        <v>2753</v>
      </c>
      <c r="G1048" s="321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2747</v>
      </c>
      <c r="B1049" s="114" t="str">
        <f>VLOOKUP(A1049,'Data pick slip'!B:F,5,FALSE)</f>
        <v>KHJ-MC200-00</v>
      </c>
      <c r="C1049" s="169"/>
      <c r="D1049" s="169"/>
      <c r="E1049" s="139" t="s">
        <v>2993</v>
      </c>
      <c r="F1049" s="170" t="s">
        <v>2753</v>
      </c>
      <c r="G1049" s="321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2755</v>
      </c>
      <c r="B1050" s="114" t="str">
        <f>VLOOKUP(A1050,'Data pick slip'!B:F,5,FALSE)</f>
        <v>KLJ-MC100-00</v>
      </c>
      <c r="C1050" s="169"/>
      <c r="D1050" s="169"/>
      <c r="E1050" s="139" t="s">
        <v>2993</v>
      </c>
      <c r="F1050" s="170" t="s">
        <v>2753</v>
      </c>
      <c r="G1050" s="321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2744</v>
      </c>
      <c r="B1051" s="114" t="str">
        <f>VLOOKUP(A1051,'Data pick slip'!B:F,5,FALSE)</f>
        <v>KHJ-MC100-00</v>
      </c>
      <c r="C1051" s="169"/>
      <c r="D1051" s="169"/>
      <c r="E1051" s="139" t="s">
        <v>2994</v>
      </c>
      <c r="F1051" s="170" t="s">
        <v>2753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2747</v>
      </c>
      <c r="B1052" s="114" t="str">
        <f>VLOOKUP(A1052,'Data pick slip'!B:F,5,FALSE)</f>
        <v>KHJ-MC200-00</v>
      </c>
      <c r="C1052" s="169"/>
      <c r="D1052" s="169"/>
      <c r="E1052" s="139" t="s">
        <v>2994</v>
      </c>
      <c r="F1052" s="170" t="s">
        <v>2753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2748</v>
      </c>
      <c r="B1053" s="114" t="str">
        <f>VLOOKUP(A1053,'Data pick slip'!B:F,5,FALSE)</f>
        <v>KHJ-MC400-00</v>
      </c>
      <c r="C1053" s="169"/>
      <c r="D1053" s="169"/>
      <c r="E1053" s="139" t="s">
        <v>2994</v>
      </c>
      <c r="F1053" s="170" t="s">
        <v>2753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2749</v>
      </c>
      <c r="B1054" s="114" t="str">
        <f>VLOOKUP(A1054,'Data pick slip'!B:F,5,FALSE)</f>
        <v>KHJ-MC500-00</v>
      </c>
      <c r="C1054" s="169"/>
      <c r="D1054" s="169"/>
      <c r="E1054" s="139" t="s">
        <v>2994</v>
      </c>
      <c r="F1054" s="170" t="s">
        <v>2753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2744</v>
      </c>
      <c r="B1055" s="114" t="str">
        <f>VLOOKUP(A1055,'Data pick slip'!B:F,5,FALSE)</f>
        <v>KHJ-MC100-00</v>
      </c>
      <c r="C1055" s="169"/>
      <c r="D1055" s="169"/>
      <c r="E1055" s="139" t="s">
        <v>2995</v>
      </c>
      <c r="F1055" s="170" t="s">
        <v>2753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2747</v>
      </c>
      <c r="B1056" s="114" t="str">
        <f>VLOOKUP(A1056,'Data pick slip'!B:F,5,FALSE)</f>
        <v>KHJ-MC200-00</v>
      </c>
      <c r="C1056" s="169"/>
      <c r="D1056" s="169"/>
      <c r="E1056" s="139" t="s">
        <v>2995</v>
      </c>
      <c r="F1056" s="170" t="s">
        <v>2753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2748</v>
      </c>
      <c r="B1057" s="114" t="str">
        <f>VLOOKUP(A1057,'Data pick slip'!B:F,5,FALSE)</f>
        <v>KHJ-MC400-00</v>
      </c>
      <c r="C1057" s="169"/>
      <c r="D1057" s="169"/>
      <c r="E1057" s="139" t="s">
        <v>2995</v>
      </c>
      <c r="F1057" s="170" t="s">
        <v>2753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2750</v>
      </c>
      <c r="B1058" s="114" t="str">
        <f>VLOOKUP(A1058,'Data pick slip'!B:F,5,FALSE)</f>
        <v>KHJ-MC600-00</v>
      </c>
      <c r="C1058" s="169"/>
      <c r="D1058" s="169"/>
      <c r="E1058" s="139" t="s">
        <v>2995</v>
      </c>
      <c r="F1058" s="170" t="s">
        <v>2753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2744</v>
      </c>
      <c r="B1059" s="114" t="str">
        <f>VLOOKUP(A1059,'Data pick slip'!B:F,5,FALSE)</f>
        <v>KHJ-MC100-00</v>
      </c>
      <c r="C1059" s="169">
        <v>111097</v>
      </c>
      <c r="D1059" s="169" t="str">
        <f>VLOOKUP(C1059,Stock_list!D:L,2,FALSE)</f>
        <v>宝捷时计（special WKK-IND)</v>
      </c>
      <c r="E1059" s="281">
        <f>VLOOKUP(C1059,Stock_list!D:L,9,FALSE)</f>
        <v>44876</v>
      </c>
      <c r="F1059" s="170" t="s">
        <v>1381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2747</v>
      </c>
      <c r="B1060" s="114" t="str">
        <f>VLOOKUP(A1060,'Data pick slip'!B:F,5,FALSE)</f>
        <v>KHJ-MC200-00</v>
      </c>
      <c r="C1060" s="169">
        <v>111097</v>
      </c>
      <c r="D1060" s="169" t="str">
        <f>VLOOKUP(C1060,Stock_list!D:L,2,FALSE)</f>
        <v>宝捷时计（special WKK-IND)</v>
      </c>
      <c r="E1060" s="281">
        <f>VLOOKUP(C1060,Stock_list!D:L,9,FALSE)</f>
        <v>44876</v>
      </c>
      <c r="F1060" s="170" t="s">
        <v>1381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2748</v>
      </c>
      <c r="B1061" s="114" t="str">
        <f>VLOOKUP(A1061,'Data pick slip'!B:F,5,FALSE)</f>
        <v>KHJ-MC400-00</v>
      </c>
      <c r="C1061" s="169">
        <v>111097</v>
      </c>
      <c r="D1061" s="169" t="str">
        <f>VLOOKUP(C1061,Stock_list!D:L,2,FALSE)</f>
        <v>宝捷时计（special WKK-IND)</v>
      </c>
      <c r="E1061" s="281">
        <f>VLOOKUP(C1061,Stock_list!D:L,9,FALSE)</f>
        <v>44876</v>
      </c>
      <c r="F1061" s="170" t="s">
        <v>1381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2749</v>
      </c>
      <c r="B1062" s="114" t="str">
        <f>VLOOKUP(A1062,'Data pick slip'!B:F,5,FALSE)</f>
        <v>KHJ-MC500-00</v>
      </c>
      <c r="C1062" s="169">
        <v>111097</v>
      </c>
      <c r="D1062" s="169" t="str">
        <f>VLOOKUP(C1062,Stock_list!D:L,2,FALSE)</f>
        <v>宝捷时计（special WKK-IND)</v>
      </c>
      <c r="E1062" s="281">
        <f>VLOOKUP(C1062,Stock_list!D:L,9,FALSE)</f>
        <v>44876</v>
      </c>
      <c r="F1062" s="170" t="s">
        <v>1381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2750</v>
      </c>
      <c r="B1063" s="114" t="str">
        <f>VLOOKUP(A1063,'Data pick slip'!B:F,5,FALSE)</f>
        <v>KHJ-MC600-00</v>
      </c>
      <c r="C1063" s="169">
        <v>111097</v>
      </c>
      <c r="D1063" s="169" t="str">
        <f>VLOOKUP(C1063,Stock_list!D:L,2,FALSE)</f>
        <v>宝捷时计（special WKK-IND)</v>
      </c>
      <c r="E1063" s="281">
        <f>VLOOKUP(C1063,Stock_list!D:L,9,FALSE)</f>
        <v>44876</v>
      </c>
      <c r="F1063" s="170" t="s">
        <v>1381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2744</v>
      </c>
      <c r="B1064" s="114" t="str">
        <f>VLOOKUP(A1064,'Data pick slip'!B:F,5,FALSE)</f>
        <v>KHJ-MC100-00</v>
      </c>
      <c r="C1064" s="169"/>
      <c r="D1064" s="169"/>
      <c r="E1064" s="139" t="s">
        <v>2996</v>
      </c>
      <c r="F1064" s="170" t="s">
        <v>2753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2747</v>
      </c>
      <c r="B1065" s="114" t="str">
        <f>VLOOKUP(A1065,'Data pick slip'!B:F,5,FALSE)</f>
        <v>KHJ-MC200-00</v>
      </c>
      <c r="C1065" s="169"/>
      <c r="D1065" s="169"/>
      <c r="E1065" s="139" t="s">
        <v>2996</v>
      </c>
      <c r="F1065" s="170" t="s">
        <v>2753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2748</v>
      </c>
      <c r="B1066" s="114" t="str">
        <f>VLOOKUP(A1066,'Data pick slip'!B:F,5,FALSE)</f>
        <v>KHJ-MC400-00</v>
      </c>
      <c r="C1066" s="169"/>
      <c r="D1066" s="169"/>
      <c r="E1066" s="139" t="s">
        <v>2996</v>
      </c>
      <c r="F1066" s="170" t="s">
        <v>2753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2744</v>
      </c>
      <c r="B1067" s="114" t="str">
        <f>VLOOKUP(A1067,'Data pick slip'!B:F,5,FALSE)</f>
        <v>KHJ-MC100-00</v>
      </c>
      <c r="E1067" s="139" t="s">
        <v>2995</v>
      </c>
      <c r="F1067" s="170" t="s">
        <v>2753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2747</v>
      </c>
      <c r="B1068" s="114" t="str">
        <f>VLOOKUP(A1068,'Data pick slip'!B:F,5,FALSE)</f>
        <v>KHJ-MC200-00</v>
      </c>
      <c r="E1068" s="139" t="s">
        <v>2995</v>
      </c>
      <c r="F1068" s="170" t="s">
        <v>2753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2748</v>
      </c>
      <c r="B1069" s="114" t="str">
        <f>VLOOKUP(A1069,'Data pick slip'!B:F,5,FALSE)</f>
        <v>KHJ-MC400-00</v>
      </c>
      <c r="E1069" s="139" t="s">
        <v>2995</v>
      </c>
      <c r="F1069" s="170" t="s">
        <v>2753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2750</v>
      </c>
      <c r="B1070" s="114" t="str">
        <f>VLOOKUP(A1070,'Data pick slip'!B:F,5,FALSE)</f>
        <v>KHJ-MC600-00</v>
      </c>
      <c r="E1070" s="139" t="s">
        <v>2995</v>
      </c>
      <c r="F1070" s="170" t="s">
        <v>2753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2744</v>
      </c>
      <c r="B1071" s="114" t="str">
        <f>VLOOKUP(A1071,'Data pick slip'!B:F,5,FALSE)</f>
        <v>KHJ-MC100-00</v>
      </c>
      <c r="E1071" s="139" t="s">
        <v>2996</v>
      </c>
      <c r="F1071" s="170" t="s">
        <v>2753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2747</v>
      </c>
      <c r="B1072" s="114" t="str">
        <f>VLOOKUP(A1072,'Data pick slip'!B:F,5,FALSE)</f>
        <v>KHJ-MC200-00</v>
      </c>
      <c r="E1072" s="139" t="s">
        <v>2996</v>
      </c>
      <c r="F1072" s="170" t="s">
        <v>2753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2748</v>
      </c>
      <c r="B1073" s="114" t="str">
        <f>VLOOKUP(A1073,'Data pick slip'!B:F,5,FALSE)</f>
        <v>KHJ-MC400-00</v>
      </c>
      <c r="E1073" s="139" t="s">
        <v>2996</v>
      </c>
      <c r="F1073" s="170" t="s">
        <v>2753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2749</v>
      </c>
      <c r="B1074" s="114" t="str">
        <f>VLOOKUP(A1074,'Data pick slip'!B:F,5,FALSE)</f>
        <v>KHJ-MC500-00</v>
      </c>
      <c r="E1074" s="139" t="s">
        <v>2996</v>
      </c>
      <c r="F1074" s="170" t="s">
        <v>2753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2744</v>
      </c>
      <c r="B1075" s="114" t="str">
        <f>VLOOKUP(A1075,'Data pick slip'!B:F,5,FALSE)</f>
        <v>KHJ-MC100-00</v>
      </c>
      <c r="E1075" s="139" t="s">
        <v>2997</v>
      </c>
      <c r="F1075" s="170" t="s">
        <v>2753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2747</v>
      </c>
      <c r="B1076" s="114" t="str">
        <f>VLOOKUP(A1076,'Data pick slip'!B:F,5,FALSE)</f>
        <v>KHJ-MC200-00</v>
      </c>
      <c r="E1076" s="139" t="s">
        <v>2997</v>
      </c>
      <c r="F1076" s="170" t="s">
        <v>2753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2748</v>
      </c>
      <c r="B1077" s="114" t="str">
        <f>VLOOKUP(A1077,'Data pick slip'!B:F,5,FALSE)</f>
        <v>KHJ-MC400-00</v>
      </c>
      <c r="E1077" s="139" t="s">
        <v>2997</v>
      </c>
      <c r="F1077" s="170" t="s">
        <v>2753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2749</v>
      </c>
      <c r="B1078" s="114" t="str">
        <f>VLOOKUP(A1078,'Data pick slip'!B:F,5,FALSE)</f>
        <v>KHJ-MC500-00</v>
      </c>
      <c r="E1078" s="139" t="s">
        <v>2997</v>
      </c>
      <c r="F1078" s="170" t="s">
        <v>2753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2750</v>
      </c>
      <c r="B1079" s="114" t="str">
        <f>VLOOKUP(A1079,'Data pick slip'!B:F,5,FALSE)</f>
        <v>KHJ-MC600-00</v>
      </c>
      <c r="E1079" s="139" t="s">
        <v>2997</v>
      </c>
      <c r="F1079" s="170" t="s">
        <v>2753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2751</v>
      </c>
      <c r="B1080" s="114" t="str">
        <f>VLOOKUP(A1080,'Data pick slip'!B:F,5,FALSE)</f>
        <v>KHJ-MC700-00</v>
      </c>
      <c r="E1080" s="139" t="s">
        <v>2997</v>
      </c>
      <c r="F1080" s="170" t="s">
        <v>2753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2744</v>
      </c>
      <c r="B1081" s="114" t="str">
        <f>VLOOKUP(A1081,'Data pick slip'!B:F,5,FALSE)</f>
        <v>KHJ-MC100-00</v>
      </c>
      <c r="E1081" s="139" t="s">
        <v>2998</v>
      </c>
      <c r="F1081" s="170" t="s">
        <v>2753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2747</v>
      </c>
      <c r="B1082" s="114" t="str">
        <f>VLOOKUP(A1082,'Data pick slip'!B:F,5,FALSE)</f>
        <v>KHJ-MC200-00</v>
      </c>
      <c r="E1082" s="139" t="s">
        <v>2998</v>
      </c>
      <c r="F1082" s="170" t="s">
        <v>2753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2749</v>
      </c>
      <c r="B1083" s="114" t="str">
        <f>VLOOKUP(A1083,'Data pick slip'!B:F,5,FALSE)</f>
        <v>KHJ-MC500-00</v>
      </c>
      <c r="E1083" s="139" t="s">
        <v>2998</v>
      </c>
      <c r="F1083" s="170" t="s">
        <v>2753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2744</v>
      </c>
      <c r="B1084" s="114" t="str">
        <f>VLOOKUP(A1084,'Data pick slip'!B:F,5,FALSE)</f>
        <v>KHJ-MC100-00</v>
      </c>
      <c r="E1084" s="139" t="s">
        <v>2998</v>
      </c>
      <c r="F1084" s="170" t="s">
        <v>2753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2747</v>
      </c>
      <c r="B1085" s="114" t="str">
        <f>VLOOKUP(A1085,'Data pick slip'!B:F,5,FALSE)</f>
        <v>KHJ-MC200-00</v>
      </c>
      <c r="E1085" s="139" t="s">
        <v>2998</v>
      </c>
      <c r="F1085" s="170" t="s">
        <v>2753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2748</v>
      </c>
      <c r="B1086" s="114" t="str">
        <f>VLOOKUP(A1086,'Data pick slip'!B:F,5,FALSE)</f>
        <v>KHJ-MC400-00</v>
      </c>
      <c r="E1086" s="139" t="s">
        <v>2998</v>
      </c>
      <c r="F1086" s="170" t="s">
        <v>2753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2749</v>
      </c>
      <c r="B1087" s="114" t="str">
        <f>VLOOKUP(A1087,'Data pick slip'!B:F,5,FALSE)</f>
        <v>KHJ-MC500-00</v>
      </c>
      <c r="E1087" s="139" t="s">
        <v>2998</v>
      </c>
      <c r="F1087" s="170" t="s">
        <v>2753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2744</v>
      </c>
      <c r="B1088" s="114" t="str">
        <f>VLOOKUP(A1088,'Data pick slip'!B:F,5,FALSE)</f>
        <v>KHJ-MC100-00</v>
      </c>
      <c r="C1088" s="169"/>
      <c r="D1088" s="169"/>
      <c r="E1088" s="139" t="s">
        <v>2999</v>
      </c>
      <c r="F1088" s="170" t="s">
        <v>2753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2744</v>
      </c>
      <c r="B1089" s="114" t="str">
        <f>VLOOKUP(A1089,'Data pick slip'!B:F,5,FALSE)</f>
        <v>KHJ-MC100-00</v>
      </c>
      <c r="E1089" s="139" t="s">
        <v>3000</v>
      </c>
      <c r="F1089" s="170" t="s">
        <v>2753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2747</v>
      </c>
      <c r="B1090" s="114" t="str">
        <f>VLOOKUP(A1090,'Data pick slip'!B:F,5,FALSE)</f>
        <v>KHJ-MC200-00</v>
      </c>
      <c r="E1090" s="139" t="s">
        <v>3000</v>
      </c>
      <c r="F1090" s="170" t="s">
        <v>2753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2748</v>
      </c>
      <c r="B1091" s="114" t="str">
        <f>VLOOKUP(A1091,'Data pick slip'!B:F,5,FALSE)</f>
        <v>KHJ-MC400-00</v>
      </c>
      <c r="E1091" s="139" t="s">
        <v>3000</v>
      </c>
      <c r="F1091" s="170" t="s">
        <v>2753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2744</v>
      </c>
      <c r="B1092" s="114" t="str">
        <f>VLOOKUP(A1092,'Data pick slip'!B:F,5,FALSE)</f>
        <v>KHJ-MC100-00</v>
      </c>
      <c r="E1092" s="139" t="s">
        <v>3000</v>
      </c>
      <c r="F1092" s="170" t="s">
        <v>2753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2747</v>
      </c>
      <c r="B1093" s="114" t="str">
        <f>VLOOKUP(A1093,'Data pick slip'!B:F,5,FALSE)</f>
        <v>KHJ-MC200-00</v>
      </c>
      <c r="E1093" s="139" t="s">
        <v>3000</v>
      </c>
      <c r="F1093" s="170" t="s">
        <v>2753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2748</v>
      </c>
      <c r="B1094" s="114" t="str">
        <f>VLOOKUP(A1094,'Data pick slip'!B:F,5,FALSE)</f>
        <v>KHJ-MC400-00</v>
      </c>
      <c r="E1094" s="139" t="s">
        <v>3000</v>
      </c>
      <c r="F1094" s="170" t="s">
        <v>2753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2749</v>
      </c>
      <c r="B1095" s="114" t="str">
        <f>VLOOKUP(A1095,'Data pick slip'!B:F,5,FALSE)</f>
        <v>KHJ-MC500-00</v>
      </c>
      <c r="E1095" s="139" t="s">
        <v>3000</v>
      </c>
      <c r="F1095" s="170" t="s">
        <v>2753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2750</v>
      </c>
      <c r="B1096" s="114" t="str">
        <f>VLOOKUP(A1096,'Data pick slip'!B:F,5,FALSE)</f>
        <v>KHJ-MC600-00</v>
      </c>
      <c r="E1096" s="139" t="s">
        <v>3000</v>
      </c>
      <c r="F1096" s="170" t="s">
        <v>2753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1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1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1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1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1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1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1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1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1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4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2768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5" t="e">
        <f>VLOOKUP(C1107,Stock_list!D:L,9,FALSE)</f>
        <v>#N/A</v>
      </c>
      <c r="F1107" s="198" t="s">
        <v>2858</v>
      </c>
      <c r="G1107" s="199"/>
      <c r="H1107" s="200"/>
      <c r="I1107" s="201" t="s">
        <v>3001</v>
      </c>
      <c r="J1107" s="201" t="s">
        <v>3002</v>
      </c>
      <c r="K1107" s="92" t="s">
        <v>3003</v>
      </c>
      <c r="L1107" s="12"/>
      <c r="M1107" s="199">
        <v>5</v>
      </c>
      <c r="N1107" s="199"/>
      <c r="O1107" s="199"/>
      <c r="P1107" s="12" t="s">
        <v>291</v>
      </c>
      <c r="Q1107" s="202"/>
      <c r="R1107" s="202"/>
      <c r="S1107" s="203" t="s">
        <v>3004</v>
      </c>
      <c r="T1107" s="204" t="s">
        <v>3005</v>
      </c>
      <c r="U1107" s="145" t="e">
        <f>VLOOKUP(H1107,Stock_list!A:N,14,FALSE)</f>
        <v>#N/A</v>
      </c>
    </row>
    <row r="1108" spans="1:21" ht="16.5" customHeight="1">
      <c r="A1108" s="155" t="s">
        <v>2768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2858</v>
      </c>
      <c r="I1108" s="139" t="s">
        <v>3006</v>
      </c>
      <c r="J1108" s="139" t="s">
        <v>3007</v>
      </c>
      <c r="K1108" s="51" t="s">
        <v>3003</v>
      </c>
      <c r="L1108" s="4"/>
      <c r="M1108" s="132">
        <v>20</v>
      </c>
      <c r="P1108" s="4" t="s">
        <v>291</v>
      </c>
      <c r="Q1108" s="143"/>
      <c r="R1108" s="143"/>
      <c r="S1108" s="123" t="s">
        <v>3004</v>
      </c>
      <c r="T1108" s="144" t="s">
        <v>3008</v>
      </c>
      <c r="U1108" s="145" t="e">
        <f>VLOOKUP(H1108,Stock_list!A:N,14,FALSE)</f>
        <v>#N/A</v>
      </c>
    </row>
    <row r="1109" spans="1:21" ht="16.5" customHeight="1">
      <c r="A1109" s="159" t="s">
        <v>2747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2858</v>
      </c>
      <c r="I1109" s="139" t="s">
        <v>3006</v>
      </c>
      <c r="J1109" s="139" t="s">
        <v>3007</v>
      </c>
      <c r="K1109" s="51" t="s">
        <v>3003</v>
      </c>
      <c r="L1109" s="290" t="s">
        <v>3009</v>
      </c>
      <c r="M1109" s="132">
        <v>2</v>
      </c>
      <c r="P1109" s="4" t="s">
        <v>291</v>
      </c>
      <c r="Q1109" s="143"/>
      <c r="R1109" s="143"/>
      <c r="S1109" s="123" t="s">
        <v>3004</v>
      </c>
      <c r="T1109" s="144" t="s">
        <v>3010</v>
      </c>
      <c r="U1109" s="145" t="e">
        <f>VLOOKUP(H1109,Stock_list!A:N,14,FALSE)</f>
        <v>#N/A</v>
      </c>
    </row>
    <row r="1110" spans="1:21" ht="16.5" customHeight="1">
      <c r="A1110" s="159" t="s">
        <v>2747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2858</v>
      </c>
      <c r="I1110" s="139" t="s">
        <v>3011</v>
      </c>
      <c r="J1110" s="139" t="s">
        <v>3012</v>
      </c>
      <c r="K1110" s="51" t="s">
        <v>3003</v>
      </c>
      <c r="L1110" s="290" t="s">
        <v>3009</v>
      </c>
      <c r="M1110" s="132">
        <v>5</v>
      </c>
      <c r="P1110" s="4" t="s">
        <v>291</v>
      </c>
      <c r="Q1110" s="143"/>
      <c r="R1110" s="143"/>
      <c r="S1110" s="123" t="s">
        <v>3004</v>
      </c>
      <c r="T1110" s="144" t="s">
        <v>3013</v>
      </c>
      <c r="U1110" s="145" t="e">
        <f>VLOOKUP(H1110,Stock_list!A:N,14,FALSE)</f>
        <v>#N/A</v>
      </c>
    </row>
    <row r="1111" spans="1:21" ht="16.5" customHeight="1">
      <c r="A1111" s="155" t="s">
        <v>2748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2858</v>
      </c>
      <c r="I1111" s="139" t="s">
        <v>3014</v>
      </c>
      <c r="K1111" s="51" t="s">
        <v>3003</v>
      </c>
      <c r="L1111" s="4" t="s">
        <v>3015</v>
      </c>
      <c r="M1111" s="132">
        <v>2</v>
      </c>
      <c r="P1111" s="4" t="s">
        <v>291</v>
      </c>
      <c r="Q1111" s="143"/>
      <c r="R1111" s="143"/>
      <c r="S1111" s="123" t="s">
        <v>3004</v>
      </c>
      <c r="T1111" s="144" t="s">
        <v>3013</v>
      </c>
      <c r="U1111" s="145" t="e">
        <f>VLOOKUP(H1111,Stock_list!A:N,14,FALSE)</f>
        <v>#N/A</v>
      </c>
    </row>
    <row r="1112" spans="1:21" ht="16.5" customHeight="1">
      <c r="A1112" s="155" t="s">
        <v>2748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2858</v>
      </c>
      <c r="I1112" s="139" t="s">
        <v>2854</v>
      </c>
      <c r="K1112" s="51"/>
      <c r="L1112" s="4" t="s">
        <v>3015</v>
      </c>
      <c r="M1112" s="132">
        <v>4</v>
      </c>
      <c r="P1112" s="4" t="s">
        <v>291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2768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2861</v>
      </c>
      <c r="H1113" s="138">
        <v>104</v>
      </c>
      <c r="I1113" s="139" t="str">
        <f>VLOOKUP(H1113,Stock_list!A:R,18,FALSE)</f>
        <v>利速达</v>
      </c>
      <c r="J1113" s="139" t="str">
        <f>VLOOKUP(H1113,Stock_list!A:S,17,FALSE)</f>
        <v>C49SZX20180109SX</v>
      </c>
      <c r="K1113" s="51" t="str">
        <f>VLOOKUP(H1113,Stock_list!A:T,16,FALSE)</f>
        <v>JPY</v>
      </c>
      <c r="L1113" s="4"/>
      <c r="M1113" s="132">
        <v>40</v>
      </c>
      <c r="P1113" s="4" t="str">
        <f>VLOOKUP(H1113,Stock_list!A:Y,25,FALSE)</f>
        <v>Yes</v>
      </c>
      <c r="Q1113" s="143"/>
      <c r="R1113" s="143"/>
      <c r="T1113" s="144"/>
      <c r="U1113" s="145" t="str">
        <f>VLOOKUP(H1113,Stock_list!A:N,14,FALSE)</f>
        <v>OCT 18</v>
      </c>
    </row>
    <row r="1114" spans="1:21" ht="16.5" customHeight="1">
      <c r="A1114" s="159" t="s">
        <v>2747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2858</v>
      </c>
      <c r="H1114" s="138">
        <v>104</v>
      </c>
      <c r="I1114" s="139" t="str">
        <f>VLOOKUP(H1114,Stock_list!A:R,18,FALSE)</f>
        <v>利速达</v>
      </c>
      <c r="J1114" s="139" t="str">
        <f>VLOOKUP(H1114,Stock_list!A:S,17,FALSE)</f>
        <v>C49SZX20180109SX</v>
      </c>
      <c r="K1114" s="51" t="str">
        <f>VLOOKUP(H1114,Stock_list!A:T,16,FALSE)</f>
        <v>JPY</v>
      </c>
      <c r="L1114" s="290" t="s">
        <v>3009</v>
      </c>
      <c r="M1114" s="132">
        <v>2</v>
      </c>
      <c r="P1114" s="4" t="str">
        <f>VLOOKUP(H1114,Stock_list!A:Y,25,FALSE)</f>
        <v>Yes</v>
      </c>
      <c r="Q1114" s="143"/>
      <c r="R1114" s="143"/>
      <c r="S1114" s="123" t="s">
        <v>3004</v>
      </c>
      <c r="T1114" s="144" t="s">
        <v>3010</v>
      </c>
      <c r="U1114" s="145" t="str">
        <f>VLOOKUP(H1114,Stock_list!A:N,14,FALSE)</f>
        <v>OCT 18</v>
      </c>
    </row>
    <row r="1115" spans="1:21" ht="14.25" customHeight="1">
      <c r="A1115" s="155" t="s">
        <v>2768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2861</v>
      </c>
      <c r="I1115" s="139" t="s">
        <v>3016</v>
      </c>
      <c r="J1115" s="139" t="s">
        <v>3017</v>
      </c>
      <c r="K1115" s="51" t="s">
        <v>1246</v>
      </c>
      <c r="L1115" s="4"/>
      <c r="M1115" s="132">
        <v>95</v>
      </c>
      <c r="P1115" s="6" t="s">
        <v>291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2747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2861</v>
      </c>
      <c r="I1116" s="139" t="s">
        <v>3016</v>
      </c>
      <c r="J1116" s="139" t="s">
        <v>3017</v>
      </c>
      <c r="K1116" s="51" t="s">
        <v>1246</v>
      </c>
      <c r="L1116" s="4"/>
      <c r="M1116" s="132">
        <v>60</v>
      </c>
      <c r="P1116" s="6" t="s">
        <v>291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2748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2861</v>
      </c>
      <c r="I1117" s="139" t="s">
        <v>3016</v>
      </c>
      <c r="J1117" s="139" t="s">
        <v>3017</v>
      </c>
      <c r="K1117" s="51" t="s">
        <v>1246</v>
      </c>
      <c r="L1117" s="4"/>
      <c r="M1117" s="132">
        <v>22</v>
      </c>
      <c r="P1117" s="6" t="s">
        <v>291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2749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2861</v>
      </c>
      <c r="I1118" s="139" t="s">
        <v>3016</v>
      </c>
      <c r="J1118" s="139" t="s">
        <v>3017</v>
      </c>
      <c r="K1118" s="51" t="s">
        <v>1246</v>
      </c>
      <c r="L1118" s="4"/>
      <c r="M1118" s="132">
        <v>11</v>
      </c>
      <c r="P1118" s="6" t="s">
        <v>291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2750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2861</v>
      </c>
      <c r="I1119" s="139" t="s">
        <v>3016</v>
      </c>
      <c r="J1119" s="139" t="s">
        <v>3017</v>
      </c>
      <c r="K1119" s="51" t="s">
        <v>1246</v>
      </c>
      <c r="L1119" s="4"/>
      <c r="M1119" s="132">
        <v>1</v>
      </c>
      <c r="P1119" s="6" t="s">
        <v>291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2768</v>
      </c>
      <c r="B1120" s="114" t="str">
        <f>VLOOKUP(A1120,'Data pick slip'!B:F,5,FALSE)</f>
        <v>KHJ-MC100-00</v>
      </c>
      <c r="C1120" s="156" t="s">
        <v>242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2858</v>
      </c>
      <c r="I1120" s="139" t="s">
        <v>2854</v>
      </c>
      <c r="J1120" s="139" t="s">
        <v>3018</v>
      </c>
      <c r="K1120" s="51" t="s">
        <v>1246</v>
      </c>
      <c r="L1120" s="4"/>
      <c r="M1120" s="132">
        <v>50</v>
      </c>
      <c r="P1120" s="6" t="s">
        <v>291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2747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2858</v>
      </c>
      <c r="I1121" s="139" t="s">
        <v>2854</v>
      </c>
      <c r="J1121" s="139" t="s">
        <v>3019</v>
      </c>
      <c r="K1121" s="51" t="s">
        <v>1246</v>
      </c>
      <c r="L1121" s="290" t="s">
        <v>3009</v>
      </c>
      <c r="M1121" s="132">
        <v>8</v>
      </c>
      <c r="P1121" s="6" t="s">
        <v>291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2757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2858</v>
      </c>
      <c r="I1122" s="139" t="s">
        <v>2854</v>
      </c>
      <c r="J1122" s="139" t="s">
        <v>3020</v>
      </c>
      <c r="K1122" s="51" t="s">
        <v>1246</v>
      </c>
      <c r="L1122" s="4"/>
      <c r="M1122" s="132">
        <v>3</v>
      </c>
      <c r="P1122" s="6" t="s">
        <v>291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2768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2773</v>
      </c>
      <c r="H1123" s="138">
        <v>5</v>
      </c>
      <c r="I1123" s="139" t="s">
        <v>2854</v>
      </c>
      <c r="J1123" s="139" t="s">
        <v>3021</v>
      </c>
      <c r="K1123" s="51" t="s">
        <v>3003</v>
      </c>
      <c r="L1123" s="4">
        <v>43915</v>
      </c>
      <c r="O1123" s="132">
        <f>27-27</f>
        <v>0</v>
      </c>
      <c r="P1123" s="4" t="s">
        <v>291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2768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2858</v>
      </c>
      <c r="H1124" s="138">
        <v>10</v>
      </c>
      <c r="I1124" s="139" t="s">
        <v>2854</v>
      </c>
      <c r="J1124" s="139" t="s">
        <v>3022</v>
      </c>
      <c r="K1124" s="51" t="s">
        <v>3003</v>
      </c>
      <c r="L1124" s="4" t="s">
        <v>3015</v>
      </c>
      <c r="M1124" s="132">
        <v>75</v>
      </c>
      <c r="P1124" s="4" t="s">
        <v>291</v>
      </c>
      <c r="Q1124" s="143"/>
      <c r="R1124" s="143"/>
      <c r="S1124" s="123" t="s">
        <v>3004</v>
      </c>
      <c r="T1124" s="205" t="s">
        <v>3023</v>
      </c>
      <c r="U1124" s="145" t="e">
        <f>VLOOKUP(H1124,Stock_list!A:N,14,FALSE)</f>
        <v>#N/A</v>
      </c>
    </row>
    <row r="1125" spans="1:21" ht="16.5" customHeight="1">
      <c r="A1125" s="159" t="s">
        <v>2809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2858</v>
      </c>
      <c r="H1125" s="138">
        <v>10</v>
      </c>
      <c r="I1125" s="139" t="s">
        <v>2854</v>
      </c>
      <c r="J1125" s="139" t="s">
        <v>3022</v>
      </c>
      <c r="K1125" s="51" t="s">
        <v>3003</v>
      </c>
      <c r="L1125" s="4" t="s">
        <v>3015</v>
      </c>
      <c r="M1125" s="132">
        <v>10</v>
      </c>
      <c r="P1125" s="4" t="s">
        <v>291</v>
      </c>
      <c r="Q1125" s="143"/>
      <c r="R1125" s="143"/>
      <c r="S1125" s="123" t="s">
        <v>3004</v>
      </c>
      <c r="T1125" s="205" t="s">
        <v>3023</v>
      </c>
      <c r="U1125" s="145" t="e">
        <f>VLOOKUP(H1125,Stock_list!A:N,14,FALSE)</f>
        <v>#N/A</v>
      </c>
    </row>
    <row r="1126" spans="1:21" ht="16.5" customHeight="1">
      <c r="A1126" s="155" t="s">
        <v>2748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2858</v>
      </c>
      <c r="H1126" s="138">
        <v>10</v>
      </c>
      <c r="I1126" s="139" t="s">
        <v>2854</v>
      </c>
      <c r="J1126" s="139" t="s">
        <v>3022</v>
      </c>
      <c r="K1126" s="51" t="s">
        <v>3003</v>
      </c>
      <c r="L1126" s="4" t="s">
        <v>3015</v>
      </c>
      <c r="M1126" s="132">
        <v>2</v>
      </c>
      <c r="P1126" s="4" t="s">
        <v>291</v>
      </c>
      <c r="Q1126" s="143"/>
      <c r="R1126" s="143"/>
      <c r="S1126" s="123" t="s">
        <v>3004</v>
      </c>
      <c r="T1126" s="205" t="s">
        <v>3023</v>
      </c>
      <c r="U1126" s="145" t="e">
        <f>VLOOKUP(H1126,Stock_list!A:N,14,FALSE)</f>
        <v>#N/A</v>
      </c>
    </row>
    <row r="1127" spans="1:21" ht="16.5" customHeight="1">
      <c r="A1127" s="155" t="s">
        <v>2749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2858</v>
      </c>
      <c r="H1127" s="138">
        <v>10</v>
      </c>
      <c r="I1127" s="139" t="s">
        <v>2854</v>
      </c>
      <c r="J1127" s="139" t="s">
        <v>3022</v>
      </c>
      <c r="K1127" s="51" t="s">
        <v>3003</v>
      </c>
      <c r="L1127" s="4" t="s">
        <v>3015</v>
      </c>
      <c r="M1127" s="132">
        <v>1</v>
      </c>
      <c r="P1127" s="4" t="s">
        <v>291</v>
      </c>
      <c r="Q1127" s="143"/>
      <c r="R1127" s="143"/>
      <c r="S1127" s="123" t="s">
        <v>3004</v>
      </c>
      <c r="T1127" s="205" t="s">
        <v>3023</v>
      </c>
      <c r="U1127" s="145" t="e">
        <f>VLOOKUP(H1127,Stock_list!A:N,14,FALSE)</f>
        <v>#N/A</v>
      </c>
    </row>
    <row r="1128" spans="1:21" ht="16.5" customHeight="1">
      <c r="A1128" s="155" t="s">
        <v>2750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2858</v>
      </c>
      <c r="H1128" s="138">
        <v>10</v>
      </c>
      <c r="I1128" s="139" t="s">
        <v>2854</v>
      </c>
      <c r="J1128" s="139" t="s">
        <v>3022</v>
      </c>
      <c r="K1128" s="51" t="s">
        <v>3003</v>
      </c>
      <c r="L1128" s="4" t="s">
        <v>3015</v>
      </c>
      <c r="M1128" s="132">
        <v>1</v>
      </c>
      <c r="P1128" s="4" t="s">
        <v>291</v>
      </c>
      <c r="Q1128" s="143"/>
      <c r="R1128" s="143"/>
      <c r="S1128" s="123" t="s">
        <v>3004</v>
      </c>
      <c r="T1128" s="205" t="s">
        <v>3023</v>
      </c>
      <c r="U1128" s="145" t="e">
        <f>VLOOKUP(H1128,Stock_list!A:N,14,FALSE)</f>
        <v>#N/A</v>
      </c>
    </row>
    <row r="1129" spans="1:21" ht="16.5" customHeight="1">
      <c r="A1129" s="155" t="s">
        <v>2768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2858</v>
      </c>
      <c r="H1129" s="138">
        <v>80</v>
      </c>
      <c r="I1129" s="139" t="str">
        <f>VLOOKUP(H1129,Stock_list!A:R,18,FALSE)</f>
        <v>BBS好兄弟</v>
      </c>
      <c r="J1129" s="139" t="str">
        <f>VLOOKUP(H1129,Stock_list!A:S,17,FALSE)</f>
        <v>C49SZX20180086DZ</v>
      </c>
      <c r="K1129" s="51" t="str">
        <f>VLOOKUP(H1129,Stock_list!A:T,16,FALSE)</f>
        <v>JPY</v>
      </c>
      <c r="L1129" s="4"/>
      <c r="O1129" s="132">
        <f>150-150</f>
        <v>0</v>
      </c>
      <c r="P1129" s="4" t="str">
        <f>VLOOKUP(H1129,Stock_list!A:Y,25,FALSE)</f>
        <v>Yes</v>
      </c>
      <c r="Q1129" s="143"/>
      <c r="R1129" s="143"/>
      <c r="T1129" s="144"/>
      <c r="U1129" s="145" t="str">
        <f>VLOOKUP(H1129,Stock_list!A:N,14,FALSE)</f>
        <v>MAR 19</v>
      </c>
    </row>
    <row r="1130" spans="1:21" ht="16.5" customHeight="1">
      <c r="A1130" s="159" t="s">
        <v>2747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2858</v>
      </c>
      <c r="H1130" s="138">
        <v>80</v>
      </c>
      <c r="I1130" s="139" t="str">
        <f>VLOOKUP(H1130,Stock_list!A:R,18,FALSE)</f>
        <v>BBS好兄弟</v>
      </c>
      <c r="J1130" s="139" t="str">
        <f>VLOOKUP(H1130,Stock_list!A:S,17,FALSE)</f>
        <v>C49SZX20180086DZ</v>
      </c>
      <c r="K1130" s="51" t="str">
        <f>VLOOKUP(H1130,Stock_list!A:T,16,FALSE)</f>
        <v>JPY</v>
      </c>
      <c r="L1130" s="290" t="s">
        <v>3009</v>
      </c>
      <c r="O1130" s="132">
        <f>10-10</f>
        <v>0</v>
      </c>
      <c r="P1130" s="4" t="str">
        <f>VLOOKUP(H1130,Stock_list!A:Y,25,FALSE)</f>
        <v>Yes</v>
      </c>
      <c r="Q1130" s="143"/>
      <c r="R1130" s="143"/>
      <c r="T1130" s="144"/>
      <c r="U1130" s="145" t="str">
        <f>VLOOKUP(H1130,Stock_list!A:N,14,FALSE)</f>
        <v>MAR 19</v>
      </c>
    </row>
    <row r="1131" spans="1:21" ht="16.5" customHeight="1">
      <c r="A1131" s="155" t="s">
        <v>2768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2861</v>
      </c>
      <c r="H1131" s="138">
        <v>96</v>
      </c>
      <c r="I1131" s="139" t="str">
        <f>VLOOKUP(H1131,Stock_list!A:R,18,FALSE)</f>
        <v>易而达</v>
      </c>
      <c r="J1131" s="139" t="str">
        <f>VLOOKUP(H1131,Stock_list!A:S,17,FALSE)</f>
        <v>C49SZX20180101JL</v>
      </c>
      <c r="K1131" s="51" t="str">
        <f>VLOOKUP(H1131,Stock_list!A:T,16,FALSE)</f>
        <v>JPY</v>
      </c>
      <c r="L1131" s="4"/>
      <c r="M1131" s="132">
        <v>60</v>
      </c>
      <c r="P1131" s="4" t="str">
        <f>VLOOKUP(H1131,Stock_list!A:Y,25,FALSE)</f>
        <v>Yes</v>
      </c>
      <c r="Q1131" s="143"/>
      <c r="R1131" s="143"/>
      <c r="T1131" s="144"/>
      <c r="U1131" s="145" t="str">
        <f>VLOOKUP(H1131,Stock_list!A:N,14,FALSE)</f>
        <v>OCT 18</v>
      </c>
    </row>
    <row r="1132" spans="1:21" ht="16.5" customHeight="1">
      <c r="A1132" s="159" t="s">
        <v>2747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2861</v>
      </c>
      <c r="H1132" s="138">
        <v>96</v>
      </c>
      <c r="I1132" s="139" t="str">
        <f>VLOOKUP(H1132,Stock_list!A:R,18,FALSE)</f>
        <v>易而达</v>
      </c>
      <c r="J1132" s="139" t="str">
        <f>VLOOKUP(H1132,Stock_list!A:S,17,FALSE)</f>
        <v>C49SZX20180101JL</v>
      </c>
      <c r="K1132" s="51" t="str">
        <f>VLOOKUP(H1132,Stock_list!A:T,16,FALSE)</f>
        <v>JPY</v>
      </c>
      <c r="L1132" s="4"/>
      <c r="M1132" s="132">
        <v>10</v>
      </c>
      <c r="P1132" s="4" t="str">
        <f>VLOOKUP(H1132,Stock_list!A:Y,25,FALSE)</f>
        <v>Yes</v>
      </c>
      <c r="Q1132" s="143"/>
      <c r="R1132" s="143"/>
      <c r="T1132" s="144"/>
      <c r="U1132" s="145" t="str">
        <f>VLOOKUP(H1132,Stock_list!A:N,14,FALSE)</f>
        <v>OCT 18</v>
      </c>
    </row>
    <row r="1133" spans="1:21" ht="16.5" customHeight="1">
      <c r="A1133" s="155" t="s">
        <v>2748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2861</v>
      </c>
      <c r="H1133" s="138">
        <v>96</v>
      </c>
      <c r="I1133" s="139" t="str">
        <f>VLOOKUP(H1133,Stock_list!A:R,18,FALSE)</f>
        <v>易而达</v>
      </c>
      <c r="J1133" s="139" t="str">
        <f>VLOOKUP(H1133,Stock_list!A:S,17,FALSE)</f>
        <v>C49SZX20180101JL</v>
      </c>
      <c r="K1133" s="51" t="str">
        <f>VLOOKUP(H1133,Stock_list!A:T,16,FALSE)</f>
        <v>JPY</v>
      </c>
      <c r="L1133" s="4"/>
      <c r="M1133" s="132">
        <v>5</v>
      </c>
      <c r="P1133" s="4" t="str">
        <f>VLOOKUP(H1133,Stock_list!A:Y,25,FALSE)</f>
        <v>Yes</v>
      </c>
      <c r="Q1133" s="143"/>
      <c r="R1133" s="143"/>
      <c r="T1133" s="144"/>
      <c r="U1133" s="145" t="str">
        <f>VLOOKUP(H1133,Stock_list!A:N,14,FALSE)</f>
        <v>OCT 18</v>
      </c>
    </row>
    <row r="1134" spans="1:21" ht="16.5" customHeight="1">
      <c r="A1134" s="155" t="s">
        <v>2768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2861</v>
      </c>
      <c r="H1134" s="138">
        <v>145</v>
      </c>
      <c r="I1134" s="139" t="str">
        <f>VLOOKUP(H1134,Stock_list!A:R,18,FALSE)</f>
        <v>雅鑫特</v>
      </c>
      <c r="J1134" s="139" t="str">
        <f>VLOOKUP(H1134,Stock_list!A:S,17,FALSE)</f>
        <v>C49SZX20180152ZX</v>
      </c>
      <c r="K1134" s="51" t="str">
        <f>VLOOKUP(H1134,Stock_list!A:T,16,FALSE)</f>
        <v>JPY</v>
      </c>
      <c r="L1134" s="4"/>
      <c r="M1134" s="132">
        <v>105</v>
      </c>
      <c r="P1134" s="4" t="str">
        <f>VLOOKUP(H1134,Stock_list!A:Y,25,FALSE)</f>
        <v>Yes</v>
      </c>
      <c r="Q1134" s="143"/>
      <c r="R1134" s="143"/>
      <c r="T1134" s="144"/>
      <c r="U1134" s="145" t="str">
        <f>VLOOKUP(H1134,Stock_list!A:N,14,FALSE)</f>
        <v>OCT 18</v>
      </c>
    </row>
    <row r="1135" spans="1:21" ht="16.5" customHeight="1">
      <c r="A1135" s="159" t="s">
        <v>2747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2861</v>
      </c>
      <c r="H1135" s="138">
        <v>145</v>
      </c>
      <c r="I1135" s="139" t="str">
        <f>VLOOKUP(H1135,Stock_list!A:R,18,FALSE)</f>
        <v>雅鑫特</v>
      </c>
      <c r="J1135" s="139" t="str">
        <f>VLOOKUP(H1135,Stock_list!A:S,17,FALSE)</f>
        <v>C49SZX20180152ZX</v>
      </c>
      <c r="K1135" s="51" t="str">
        <f>VLOOKUP(H1135,Stock_list!A:T,16,FALSE)</f>
        <v>JPY</v>
      </c>
      <c r="L1135" s="4"/>
      <c r="M1135" s="132">
        <v>10</v>
      </c>
      <c r="P1135" s="4" t="str">
        <f>VLOOKUP(H1135,Stock_list!A:Y,25,FALSE)</f>
        <v>Yes</v>
      </c>
      <c r="Q1135" s="143"/>
      <c r="R1135" s="143"/>
      <c r="T1135" s="144"/>
      <c r="U1135" s="145" t="str">
        <f>VLOOKUP(H1135,Stock_list!A:N,14,FALSE)</f>
        <v>OCT 18</v>
      </c>
    </row>
    <row r="1136" spans="1:21">
      <c r="A1136" s="155" t="s">
        <v>2748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2858</v>
      </c>
      <c r="H1136" s="138">
        <v>145</v>
      </c>
      <c r="I1136" s="139" t="str">
        <f>VLOOKUP(H1136,Stock_list!A:R,18,FALSE)</f>
        <v>雅鑫特</v>
      </c>
      <c r="J1136" s="139" t="str">
        <f>VLOOKUP(H1136,Stock_list!A:S,17,FALSE)</f>
        <v>C49SZX20180152ZX</v>
      </c>
      <c r="K1136" s="51" t="str">
        <f>VLOOKUP(H1136,Stock_list!A:T,16,FALSE)</f>
        <v>JPY</v>
      </c>
      <c r="L1136" s="4" t="s">
        <v>3015</v>
      </c>
      <c r="M1136" s="132">
        <v>2</v>
      </c>
      <c r="P1136" s="4" t="str">
        <f>VLOOKUP(H1136,Stock_list!A:Y,25,FALSE)</f>
        <v>Yes</v>
      </c>
      <c r="Q1136" s="143"/>
      <c r="R1136" s="143"/>
      <c r="S1136" s="123" t="s">
        <v>3004</v>
      </c>
      <c r="T1136" s="144" t="s">
        <v>3024</v>
      </c>
      <c r="U1136" s="145" t="str">
        <f>VLOOKUP(H1136,Stock_list!A:N,14,FALSE)</f>
        <v>OCT 18</v>
      </c>
    </row>
    <row r="1137" spans="1:21">
      <c r="A1137" s="155" t="s">
        <v>2749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2858</v>
      </c>
      <c r="H1137" s="138">
        <v>145</v>
      </c>
      <c r="I1137" s="139" t="str">
        <f>VLOOKUP(H1137,Stock_list!A:R,18,FALSE)</f>
        <v>雅鑫特</v>
      </c>
      <c r="J1137" s="139" t="str">
        <f>VLOOKUP(H1137,Stock_list!A:S,17,FALSE)</f>
        <v>C49SZX20180152ZX</v>
      </c>
      <c r="K1137" s="51" t="str">
        <f>VLOOKUP(H1137,Stock_list!A:T,16,FALSE)</f>
        <v>JPY</v>
      </c>
      <c r="L1137" s="4"/>
      <c r="M1137" s="132">
        <v>1</v>
      </c>
      <c r="P1137" s="4" t="str">
        <f>VLOOKUP(H1137,Stock_list!A:Y,25,FALSE)</f>
        <v>Yes</v>
      </c>
      <c r="Q1137" s="143"/>
      <c r="R1137" s="143"/>
      <c r="S1137" s="123" t="s">
        <v>3004</v>
      </c>
      <c r="T1137" s="144" t="s">
        <v>3010</v>
      </c>
      <c r="U1137" s="145" t="str">
        <f>VLOOKUP(H1137,Stock_list!A:N,14,FALSE)</f>
        <v>OCT 18</v>
      </c>
    </row>
    <row r="1138" spans="1:21" ht="16.5" customHeight="1">
      <c r="A1138" s="155" t="s">
        <v>2768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2858</v>
      </c>
      <c r="H1138" s="138">
        <v>142</v>
      </c>
      <c r="I1138" s="139" t="str">
        <f>VLOOKUP(H1138,Stock_list!A:R,18,FALSE)</f>
        <v>上达</v>
      </c>
      <c r="J1138" s="139" t="str">
        <f>VLOOKUP(H1138,Stock_list!A:S,17,FALSE)</f>
        <v>SDPUR-20180047</v>
      </c>
      <c r="K1138" s="51" t="str">
        <f>VLOOKUP(H1138,Stock_list!A:T,16,FALSE)</f>
        <v>RMB</v>
      </c>
      <c r="L1138" s="4"/>
      <c r="M1138" s="132">
        <v>20</v>
      </c>
      <c r="P1138" s="4" t="str">
        <f>VLOOKUP(H1138,Stock_list!A:Y,25,FALSE)</f>
        <v>Yes</v>
      </c>
      <c r="Q1138" s="133"/>
      <c r="R1138" s="143"/>
      <c r="T1138" s="144"/>
      <c r="U1138" s="145" t="str">
        <f>VLOOKUP(H1138,Stock_list!A:N,14,FALSE)</f>
        <v>DEC 18</v>
      </c>
    </row>
    <row r="1139" spans="1:21" ht="16.5" customHeight="1">
      <c r="A1139" s="159" t="s">
        <v>2747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2858</v>
      </c>
      <c r="H1139" s="138">
        <v>142</v>
      </c>
      <c r="I1139" s="139" t="str">
        <f>VLOOKUP(H1139,Stock_list!A:R,18,FALSE)</f>
        <v>上达</v>
      </c>
      <c r="J1139" s="139" t="str">
        <f>VLOOKUP(H1139,Stock_list!A:S,17,FALSE)</f>
        <v>SDPUR-20180047</v>
      </c>
      <c r="K1139" s="51" t="str">
        <f>VLOOKUP(H1139,Stock_list!A:T,16,FALSE)</f>
        <v>RMB</v>
      </c>
      <c r="L1139" s="290" t="s">
        <v>3009</v>
      </c>
      <c r="M1139" s="132">
        <v>10</v>
      </c>
      <c r="P1139" s="4" t="str">
        <f>VLOOKUP(H1139,Stock_list!A:Y,25,FALSE)</f>
        <v>Yes</v>
      </c>
      <c r="Q1139" s="133"/>
      <c r="R1139" s="143"/>
      <c r="T1139" s="144"/>
      <c r="U1139" s="145" t="str">
        <f>VLOOKUP(H1139,Stock_list!A:N,14,FALSE)</f>
        <v>DEC 18</v>
      </c>
    </row>
    <row r="1140" spans="1:21" ht="16.5" customHeight="1">
      <c r="A1140" s="155" t="s">
        <v>2748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2858</v>
      </c>
      <c r="H1140" s="138">
        <v>142</v>
      </c>
      <c r="I1140" s="139" t="str">
        <f>VLOOKUP(H1140,Stock_list!A:R,18,FALSE)</f>
        <v>上达</v>
      </c>
      <c r="J1140" s="139" t="str">
        <f>VLOOKUP(H1140,Stock_list!A:S,17,FALSE)</f>
        <v>SDPUR-20180047</v>
      </c>
      <c r="K1140" s="51" t="str">
        <f>VLOOKUP(H1140,Stock_list!A:T,16,FALSE)</f>
        <v>RMB</v>
      </c>
      <c r="L1140" s="4" t="s">
        <v>3015</v>
      </c>
      <c r="M1140" s="132">
        <v>10</v>
      </c>
      <c r="P1140" s="4" t="str">
        <f>VLOOKUP(H1140,Stock_list!A:Y,25,FALSE)</f>
        <v>Yes</v>
      </c>
      <c r="Q1140" s="133"/>
      <c r="R1140" s="143"/>
      <c r="T1140" s="144"/>
      <c r="U1140" s="145" t="str">
        <f>VLOOKUP(H1140,Stock_list!A:N,14,FALSE)</f>
        <v>DEC 18</v>
      </c>
    </row>
    <row r="1141" spans="1:21" ht="16.5" customHeight="1">
      <c r="A1141" s="155" t="s">
        <v>2749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2858</v>
      </c>
      <c r="H1141" s="138">
        <v>142</v>
      </c>
      <c r="I1141" s="139" t="str">
        <f>VLOOKUP(H1141,Stock_list!A:R,18,FALSE)</f>
        <v>上达</v>
      </c>
      <c r="J1141" s="139" t="str">
        <f>VLOOKUP(H1141,Stock_list!A:S,17,FALSE)</f>
        <v>SDPUR-20180047</v>
      </c>
      <c r="K1141" s="51" t="str">
        <f>VLOOKUP(H1141,Stock_list!A:T,16,FALSE)</f>
        <v>RMB</v>
      </c>
      <c r="L1141" s="4"/>
      <c r="M1141" s="132">
        <v>4</v>
      </c>
      <c r="P1141" s="4" t="str">
        <f>VLOOKUP(H1141,Stock_list!A:Y,25,FALSE)</f>
        <v>Yes</v>
      </c>
      <c r="Q1141" s="133"/>
      <c r="R1141" s="143"/>
      <c r="T1141" s="144"/>
      <c r="U1141" s="145" t="str">
        <f>VLOOKUP(H1141,Stock_list!A:N,14,FALSE)</f>
        <v>DEC 18</v>
      </c>
    </row>
    <row r="1142" spans="1:21" ht="16.5" customHeight="1">
      <c r="A1142" s="155" t="s">
        <v>2750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2858</v>
      </c>
      <c r="H1142" s="138">
        <v>142</v>
      </c>
      <c r="I1142" s="139" t="str">
        <f>VLOOKUP(H1142,Stock_list!A:R,18,FALSE)</f>
        <v>上达</v>
      </c>
      <c r="J1142" s="139" t="str">
        <f>VLOOKUP(H1142,Stock_list!A:S,17,FALSE)</f>
        <v>SDPUR-20180047</v>
      </c>
      <c r="K1142" s="51" t="str">
        <f>VLOOKUP(H1142,Stock_list!A:T,16,FALSE)</f>
        <v>RMB</v>
      </c>
      <c r="L1142" s="4"/>
      <c r="M1142" s="132">
        <v>2</v>
      </c>
      <c r="P1142" s="4" t="str">
        <f>VLOOKUP(H1142,Stock_list!A:Y,25,FALSE)</f>
        <v>Yes</v>
      </c>
      <c r="Q1142" s="133"/>
      <c r="R1142" s="143"/>
      <c r="T1142" s="144"/>
      <c r="U1142" s="145" t="str">
        <f>VLOOKUP(H1142,Stock_list!A:N,14,FALSE)</f>
        <v>DEC 18</v>
      </c>
    </row>
    <row r="1143" spans="1:21" ht="16.5" customHeight="1">
      <c r="A1143" s="155" t="s">
        <v>2768</v>
      </c>
      <c r="B1143" s="114" t="str">
        <f>VLOOKUP(A1143,'Data pick slip'!B:F,5,FALSE)</f>
        <v>KHJ-MC100-00</v>
      </c>
      <c r="C1143" s="156">
        <v>109263</v>
      </c>
      <c r="E1143" s="160">
        <f>VLOOKUP(C1143,Stock_list!D:L,9,FALSE)</f>
        <v>43574</v>
      </c>
      <c r="F1143" s="157" t="s">
        <v>2862</v>
      </c>
      <c r="H1143" s="138">
        <v>42</v>
      </c>
      <c r="I1143" s="139" t="str">
        <f>VLOOKUP(H1143,Stock_list!A:R,18,FALSE)</f>
        <v>格力创</v>
      </c>
      <c r="J1143" s="139" t="str">
        <f>VLOOKUP(H1143,Stock_list!A:S,17,FALSE)</f>
        <v>C49SZX20180066JY</v>
      </c>
      <c r="K1143" s="51" t="str">
        <f>VLOOKUP(H1143,Stock_list!A:T,16,FALSE)</f>
        <v>JPY</v>
      </c>
      <c r="L1143" s="4">
        <v>43552</v>
      </c>
      <c r="M1143" s="132">
        <v>40</v>
      </c>
      <c r="P1143" s="4" t="str">
        <f>VLOOKUP(H1143,Stock_list!A:Y,25,FALSE)</f>
        <v>Yes</v>
      </c>
      <c r="Q1143" s="133"/>
      <c r="R1143" s="143"/>
      <c r="T1143" s="144"/>
      <c r="U1143" s="145" t="str">
        <f>VLOOKUP(H1143,Stock_list!A:N,14,FALSE)</f>
        <v>MAR 19</v>
      </c>
    </row>
    <row r="1144" spans="1:21" ht="16.5" customHeight="1">
      <c r="A1144" s="159" t="s">
        <v>2747</v>
      </c>
      <c r="B1144" s="114" t="str">
        <f>VLOOKUP(A1144,'Data pick slip'!B:F,5,FALSE)</f>
        <v>KHJ-MC200-00</v>
      </c>
      <c r="C1144" s="156">
        <v>109263</v>
      </c>
      <c r="E1144" s="160">
        <f>VLOOKUP(C1144,Stock_list!D:L,9,FALSE)</f>
        <v>43574</v>
      </c>
      <c r="F1144" s="157" t="s">
        <v>2862</v>
      </c>
      <c r="H1144" s="138">
        <v>42</v>
      </c>
      <c r="I1144" s="139" t="str">
        <f>VLOOKUP(H1144,Stock_list!A:R,18,FALSE)</f>
        <v>格力创</v>
      </c>
      <c r="J1144" s="139" t="str">
        <f>VLOOKUP(H1144,Stock_list!A:S,17,FALSE)</f>
        <v>C49SZX20180066JY</v>
      </c>
      <c r="K1144" s="51" t="str">
        <f>VLOOKUP(H1144,Stock_list!A:T,16,FALSE)</f>
        <v>JPY</v>
      </c>
      <c r="L1144" s="4">
        <v>43552</v>
      </c>
      <c r="M1144" s="132">
        <v>8</v>
      </c>
      <c r="P1144" s="4" t="str">
        <f>VLOOKUP(H1144,Stock_list!A:Y,25,FALSE)</f>
        <v>Yes</v>
      </c>
      <c r="Q1144" s="133"/>
      <c r="R1144" s="143"/>
      <c r="T1144" s="144"/>
      <c r="U1144" s="145" t="str">
        <f>VLOOKUP(H1144,Stock_list!A:N,14,FALSE)</f>
        <v>MAR 19</v>
      </c>
    </row>
    <row r="1145" spans="1:21" ht="16.5" customHeight="1">
      <c r="A1145" s="155" t="s">
        <v>2748</v>
      </c>
      <c r="B1145" s="114" t="str">
        <f>VLOOKUP(A1145,'Data pick slip'!B:F,5,FALSE)</f>
        <v>KHJ-MC400-00</v>
      </c>
      <c r="C1145" s="156">
        <v>109295</v>
      </c>
      <c r="E1145" s="160">
        <f>VLOOKUP(C1145,Stock_list!D:L,9,FALSE)</f>
        <v>43418</v>
      </c>
      <c r="F1145" s="157" t="s">
        <v>2862</v>
      </c>
      <c r="H1145" s="138">
        <v>42</v>
      </c>
      <c r="I1145" s="139" t="str">
        <f>VLOOKUP(H1145,Stock_list!A:R,18,FALSE)</f>
        <v>格力创</v>
      </c>
      <c r="J1145" s="139" t="str">
        <f>VLOOKUP(H1145,Stock_list!A:S,17,FALSE)</f>
        <v>C49SZX20180066JY</v>
      </c>
      <c r="K1145" s="51" t="str">
        <f>VLOOKUP(H1145,Stock_list!A:T,16,FALSE)</f>
        <v>JPY</v>
      </c>
      <c r="L1145" s="4">
        <v>43552</v>
      </c>
      <c r="M1145" s="132">
        <v>2</v>
      </c>
      <c r="P1145" s="4" t="str">
        <f>VLOOKUP(H1145,Stock_list!A:Y,25,FALSE)</f>
        <v>Yes</v>
      </c>
      <c r="Q1145" s="133"/>
      <c r="R1145" s="143"/>
      <c r="T1145" s="144"/>
      <c r="U1145" s="145" t="str">
        <f>VLOOKUP(H1145,Stock_list!A:N,14,FALSE)</f>
        <v>MAR 19</v>
      </c>
    </row>
    <row r="1146" spans="1:21" ht="16.5" customHeight="1">
      <c r="A1146" s="155" t="s">
        <v>2768</v>
      </c>
      <c r="B1146" s="114" t="str">
        <f>VLOOKUP(A1146,'Data pick slip'!B:F,5,FALSE)</f>
        <v>KHJ-MC100-00</v>
      </c>
      <c r="C1146" s="156">
        <v>109423</v>
      </c>
      <c r="E1146" s="160">
        <f>VLOOKUP(C1146,Stock_list!D:L,9,FALSE)</f>
        <v>43455</v>
      </c>
      <c r="F1146" s="157" t="s">
        <v>2862</v>
      </c>
      <c r="H1146" s="128">
        <v>101</v>
      </c>
      <c r="I1146" s="139" t="str">
        <f>VLOOKUP(H1146,Stock_list!A:R,18,FALSE)</f>
        <v>恒润</v>
      </c>
      <c r="J1146" s="139" t="str">
        <f>VLOOKUP(H1146,Stock_list!A:S,17,FALSE)</f>
        <v>C49SZX20180105JY</v>
      </c>
      <c r="K1146" s="51" t="str">
        <f>VLOOKUP(H1146,Stock_list!A:T,16,FALSE)</f>
        <v>JPY</v>
      </c>
      <c r="L1146" s="4"/>
      <c r="M1146" s="132">
        <v>48</v>
      </c>
      <c r="P1146" s="4" t="str">
        <f>VLOOKUP(H1146,Stock_list!A:Y,25,FALSE)</f>
        <v>Yes</v>
      </c>
      <c r="Q1146" s="133"/>
      <c r="R1146" s="133"/>
      <c r="S1146" s="129"/>
      <c r="T1146" s="135"/>
      <c r="U1146" s="145" t="str">
        <f>VLOOKUP(H1146,Stock_list!A:N,14,FALSE)</f>
        <v>DEC 18</v>
      </c>
    </row>
    <row r="1147" spans="1:21" ht="16.5" customHeight="1">
      <c r="A1147" s="159" t="s">
        <v>2747</v>
      </c>
      <c r="B1147" s="114" t="str">
        <f>VLOOKUP(A1147,'Data pick slip'!B:F,5,FALSE)</f>
        <v>KHJ-MC200-00</v>
      </c>
      <c r="C1147" s="156">
        <v>109423</v>
      </c>
      <c r="E1147" s="160">
        <f>VLOOKUP(C1147,Stock_list!D:L,9,FALSE)</f>
        <v>43455</v>
      </c>
      <c r="F1147" s="157" t="s">
        <v>2862</v>
      </c>
      <c r="H1147" s="138">
        <v>101</v>
      </c>
      <c r="I1147" s="139" t="str">
        <f>VLOOKUP(H1147,Stock_list!A:R,18,FALSE)</f>
        <v>恒润</v>
      </c>
      <c r="J1147" s="139" t="str">
        <f>VLOOKUP(H1147,Stock_list!A:S,17,FALSE)</f>
        <v>C49SZX20180105JY</v>
      </c>
      <c r="K1147" s="51" t="str">
        <f>VLOOKUP(H1147,Stock_list!A:T,16,FALSE)</f>
        <v>JPY</v>
      </c>
      <c r="L1147" s="4"/>
      <c r="M1147" s="50">
        <v>10</v>
      </c>
      <c r="P1147" s="4" t="str">
        <f>VLOOKUP(H1147,Stock_list!A:Y,25,FALSE)</f>
        <v>Yes</v>
      </c>
      <c r="Q1147" s="5"/>
      <c r="R1147" s="143"/>
      <c r="T1147" s="144"/>
      <c r="U1147" s="145" t="str">
        <f>VLOOKUP(H1147,Stock_list!A:N,14,FALSE)</f>
        <v>DEC 18</v>
      </c>
    </row>
    <row r="1148" spans="1:21" ht="16.5" customHeight="1">
      <c r="A1148" s="155" t="s">
        <v>2748</v>
      </c>
      <c r="B1148" s="114" t="str">
        <f>VLOOKUP(A1148,'Data pick slip'!B:F,5,FALSE)</f>
        <v>KHJ-MC400-00</v>
      </c>
      <c r="C1148" s="156">
        <v>109430</v>
      </c>
      <c r="E1148" s="160">
        <f>VLOOKUP(C1148,Stock_list!D:L,9,FALSE)</f>
        <v>43530</v>
      </c>
      <c r="F1148" s="157" t="s">
        <v>2773</v>
      </c>
      <c r="H1148" s="138">
        <v>101</v>
      </c>
      <c r="I1148" s="139" t="str">
        <f>VLOOKUP(H1148,Stock_list!A:R,18,FALSE)</f>
        <v>恒润</v>
      </c>
      <c r="J1148" s="139" t="str">
        <f>VLOOKUP(H1148,Stock_list!A:S,17,FALSE)</f>
        <v>C49SZX20180105JY</v>
      </c>
      <c r="K1148" s="51" t="str">
        <f>VLOOKUP(H1148,Stock_list!A:T,16,FALSE)</f>
        <v>JPY</v>
      </c>
      <c r="L1148" s="4" t="s">
        <v>3015</v>
      </c>
      <c r="M1148" s="50">
        <v>4</v>
      </c>
      <c r="P1148" s="4" t="str">
        <f>VLOOKUP(H1148,Stock_list!A:Y,25,FALSE)</f>
        <v>Yes</v>
      </c>
      <c r="Q1148" s="5"/>
      <c r="S1148" s="123" t="s">
        <v>3004</v>
      </c>
      <c r="T1148" s="144" t="s">
        <v>3024</v>
      </c>
      <c r="U1148" s="145" t="str">
        <f>VLOOKUP(H1148,Stock_list!A:N,14,FALSE)</f>
        <v>DEC 18</v>
      </c>
    </row>
    <row r="1149" spans="1:21" ht="16.5" customHeight="1">
      <c r="A1149" s="155" t="s">
        <v>2749</v>
      </c>
      <c r="B1149" s="114" t="str">
        <f>VLOOKUP(A1149,'Data pick slip'!B:F,5,FALSE)</f>
        <v>KHJ-MC500-00</v>
      </c>
      <c r="C1149" s="156">
        <v>109263</v>
      </c>
      <c r="E1149" s="160">
        <f>VLOOKUP(C1149,Stock_list!D:L,9,FALSE)</f>
        <v>43574</v>
      </c>
      <c r="F1149" s="157" t="s">
        <v>2773</v>
      </c>
      <c r="H1149" s="138">
        <v>101</v>
      </c>
      <c r="I1149" s="139" t="str">
        <f>VLOOKUP(H1149,Stock_list!A:R,18,FALSE)</f>
        <v>恒润</v>
      </c>
      <c r="J1149" s="139" t="str">
        <f>VLOOKUP(H1149,Stock_list!A:S,17,FALSE)</f>
        <v>C49SZX20180105JY</v>
      </c>
      <c r="K1149" s="51" t="str">
        <f>VLOOKUP(H1149,Stock_list!A:T,16,FALSE)</f>
        <v>JPY</v>
      </c>
      <c r="L1149" s="4"/>
      <c r="M1149" s="50">
        <v>2</v>
      </c>
      <c r="P1149" s="4" t="str">
        <f>VLOOKUP(H1149,Stock_list!A:Y,25,FALSE)</f>
        <v>Yes</v>
      </c>
      <c r="Q1149" s="5"/>
      <c r="S1149" s="123" t="s">
        <v>3004</v>
      </c>
      <c r="T1149" s="144" t="s">
        <v>3024</v>
      </c>
      <c r="U1149" s="145" t="str">
        <f>VLOOKUP(H1149,Stock_list!A:N,14,FALSE)</f>
        <v>DEC 18</v>
      </c>
    </row>
    <row r="1150" spans="1:21" ht="16.5" customHeight="1">
      <c r="A1150" s="155" t="s">
        <v>2768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2862</v>
      </c>
      <c r="H1150" s="138">
        <v>7</v>
      </c>
      <c r="I1150" s="139" t="str">
        <f>VLOOKUP(H1150,Stock_list!A:R,18,FALSE)</f>
        <v>祥弘瑞</v>
      </c>
      <c r="J1150" s="139" t="str">
        <f>VLOOKUP(H1150,Stock_list!A:S,17,FALSE)</f>
        <v>C49SZX201800038SS</v>
      </c>
      <c r="K1150" s="51" t="str">
        <f>VLOOKUP(H1150,Stock_list!A:T,16,FALSE)</f>
        <v>JPY</v>
      </c>
      <c r="L1150" s="4"/>
      <c r="M1150" s="50">
        <v>45</v>
      </c>
      <c r="P1150" s="4" t="str">
        <f>VLOOKUP(H1150,Stock_list!A:Y,25,FALSE)</f>
        <v>Yes</v>
      </c>
      <c r="Q1150" s="5"/>
      <c r="R1150" s="143"/>
      <c r="T1150" s="144"/>
      <c r="U1150" s="145" t="str">
        <f>VLOOKUP(H1150,Stock_list!A:N,14,FALSE)</f>
        <v>DEC 18</v>
      </c>
    </row>
    <row r="1151" spans="1:21" ht="16.5" customHeight="1">
      <c r="A1151" s="155" t="s">
        <v>2747</v>
      </c>
      <c r="B1151" s="114" t="str">
        <f>VLOOKUP(A1151,'Data pick slip'!B:F,5,FALSE)</f>
        <v>KHJ-MC200-00</v>
      </c>
      <c r="F1151" s="157" t="s">
        <v>2862</v>
      </c>
      <c r="H1151" s="138">
        <v>7</v>
      </c>
      <c r="I1151" s="139" t="str">
        <f>VLOOKUP(H1151,Stock_list!A:R,18,FALSE)</f>
        <v>祥弘瑞</v>
      </c>
      <c r="J1151" s="139" t="str">
        <f>VLOOKUP(H1151,Stock_list!A:S,17,FALSE)</f>
        <v>C49SZX201800038SS</v>
      </c>
      <c r="K1151" s="51" t="str">
        <f>VLOOKUP(H1151,Stock_list!A:T,16,FALSE)</f>
        <v>JPY</v>
      </c>
      <c r="L1151" s="4"/>
      <c r="M1151" s="50">
        <v>3</v>
      </c>
      <c r="P1151" s="4" t="str">
        <f>VLOOKUP(H1151,Stock_list!A:Y,25,FALSE)</f>
        <v>Yes</v>
      </c>
      <c r="Q1151" s="5"/>
      <c r="R1151" s="143"/>
      <c r="T1151" s="144"/>
      <c r="U1151" s="145" t="str">
        <f>VLOOKUP(H1151,Stock_list!A:N,14,FALSE)</f>
        <v>DEC 18</v>
      </c>
    </row>
    <row r="1152" spans="1:21" ht="16.5" customHeight="1">
      <c r="A1152" s="155" t="s">
        <v>2768</v>
      </c>
      <c r="B1152" s="114" t="str">
        <f>VLOOKUP(A1152,'Data pick slip'!B:F,5,FALSE)</f>
        <v>KHJ-MC100-00</v>
      </c>
      <c r="C1152" s="156">
        <v>109421</v>
      </c>
      <c r="E1152" s="160">
        <f>VLOOKUP(C1152,Stock_list!D:L,9,FALSE)</f>
        <v>43435</v>
      </c>
      <c r="F1152" s="157" t="s">
        <v>2862</v>
      </c>
      <c r="H1152" s="138">
        <v>119</v>
      </c>
      <c r="I1152" s="139" t="str">
        <f>VLOOKUP(H1152,Stock_list!A:R,18,FALSE)</f>
        <v>朗特</v>
      </c>
      <c r="J1152" s="139" t="str">
        <f>VLOOKUP(H1152,Stock_list!A:S,17,FALSE)</f>
        <v>C49SZX20180131DZ</v>
      </c>
      <c r="K1152" s="51" t="str">
        <f>VLOOKUP(H1152,Stock_list!A:T,16,FALSE)</f>
        <v>JPY</v>
      </c>
      <c r="L1152" s="4"/>
      <c r="M1152" s="50">
        <v>30</v>
      </c>
      <c r="N1152" s="50"/>
      <c r="P1152" s="4" t="str">
        <f>VLOOKUP(H1152,Stock_list!A:Y,25,FALSE)</f>
        <v>Yes</v>
      </c>
      <c r="Q1152" s="5"/>
      <c r="T1152" s="144"/>
      <c r="U1152" s="145" t="str">
        <f>VLOOKUP(H1152,Stock_list!A:N,14,FALSE)</f>
        <v>DEC 18</v>
      </c>
    </row>
    <row r="1153" spans="1:21" ht="16.5" customHeight="1">
      <c r="A1153" s="155" t="s">
        <v>2768</v>
      </c>
      <c r="B1153" s="114" t="str">
        <f>VLOOKUP(A1153,'Data pick slip'!B:F,5,FALSE)</f>
        <v>KHJ-MC100-00</v>
      </c>
      <c r="C1153" s="156">
        <v>109421</v>
      </c>
      <c r="E1153" s="160">
        <f>VLOOKUP(C1153,Stock_list!D:L,9,FALSE)</f>
        <v>43435</v>
      </c>
      <c r="F1153" s="157" t="s">
        <v>2862</v>
      </c>
      <c r="H1153" s="138">
        <v>119</v>
      </c>
      <c r="I1153" s="139" t="str">
        <f>VLOOKUP(H1153,Stock_list!A:R,18,FALSE)</f>
        <v>朗特</v>
      </c>
      <c r="J1153" s="139" t="str">
        <f>VLOOKUP(H1153,Stock_list!A:S,17,FALSE)</f>
        <v>C49SZX20180131DZ</v>
      </c>
      <c r="K1153" s="51" t="str">
        <f>VLOOKUP(H1153,Stock_list!A:T,16,FALSE)</f>
        <v>JPY</v>
      </c>
      <c r="L1153" s="4"/>
      <c r="M1153" s="50">
        <v>50</v>
      </c>
      <c r="N1153" s="50"/>
      <c r="P1153" s="4" t="str">
        <f>VLOOKUP(H1153,Stock_list!A:Y,25,FALSE)</f>
        <v>Yes</v>
      </c>
      <c r="Q1153" s="5"/>
      <c r="T1153" s="144"/>
      <c r="U1153" s="145" t="str">
        <f>VLOOKUP(H1153,Stock_list!A:N,14,FALSE)</f>
        <v>DEC 18</v>
      </c>
    </row>
    <row r="1154" spans="1:21" ht="16.5" customHeight="1">
      <c r="A1154" s="159" t="s">
        <v>2747</v>
      </c>
      <c r="B1154" s="114" t="str">
        <f>VLOOKUP(A1154,'Data pick slip'!B:F,5,FALSE)</f>
        <v>KHJ-MC200-00</v>
      </c>
      <c r="C1154" s="156">
        <v>109454</v>
      </c>
      <c r="E1154" s="160">
        <f>VLOOKUP(C1154,Stock_list!D:L,9,FALSE)</f>
        <v>43442</v>
      </c>
      <c r="F1154" s="157" t="s">
        <v>2862</v>
      </c>
      <c r="H1154" s="138">
        <v>119</v>
      </c>
      <c r="I1154" s="139" t="str">
        <f>VLOOKUP(H1154,Stock_list!A:R,18,FALSE)</f>
        <v>朗特</v>
      </c>
      <c r="J1154" s="139" t="str">
        <f>VLOOKUP(H1154,Stock_list!A:S,17,FALSE)</f>
        <v>C49SZX20180131DZ</v>
      </c>
      <c r="K1154" s="51" t="str">
        <f>VLOOKUP(H1154,Stock_list!A:T,16,FALSE)</f>
        <v>JPY</v>
      </c>
      <c r="L1154" s="4"/>
      <c r="M1154" s="50">
        <v>15</v>
      </c>
      <c r="N1154" s="50"/>
      <c r="P1154" s="4" t="str">
        <f>VLOOKUP(H1154,Stock_list!A:Y,25,FALSE)</f>
        <v>Yes</v>
      </c>
      <c r="Q1154" s="5"/>
      <c r="T1154" s="144"/>
      <c r="U1154" s="145" t="str">
        <f>VLOOKUP(H1154,Stock_list!A:N,14,FALSE)</f>
        <v>DEC 18</v>
      </c>
    </row>
    <row r="1155" spans="1:21" ht="16.5" customHeight="1">
      <c r="A1155" s="155" t="s">
        <v>2748</v>
      </c>
      <c r="B1155" s="114" t="str">
        <f>VLOOKUP(A1155,'Data pick slip'!B:F,5,FALSE)</f>
        <v>KHJ-MC400-00</v>
      </c>
      <c r="C1155" s="156">
        <v>109295</v>
      </c>
      <c r="E1155" s="160">
        <f>VLOOKUP(C1155,Stock_list!D:L,9,FALSE)</f>
        <v>43418</v>
      </c>
      <c r="F1155" s="157" t="s">
        <v>2862</v>
      </c>
      <c r="H1155" s="138">
        <v>119</v>
      </c>
      <c r="I1155" s="139" t="str">
        <f>VLOOKUP(H1155,Stock_list!A:R,18,FALSE)</f>
        <v>朗特</v>
      </c>
      <c r="J1155" s="139" t="str">
        <f>VLOOKUP(H1155,Stock_list!A:S,17,FALSE)</f>
        <v>C49SZX20180131DZ</v>
      </c>
      <c r="K1155" s="51" t="str">
        <f>VLOOKUP(H1155,Stock_list!A:T,16,FALSE)</f>
        <v>JPY</v>
      </c>
      <c r="L1155" s="4"/>
      <c r="M1155" s="50">
        <v>2</v>
      </c>
      <c r="N1155" s="50"/>
      <c r="P1155" s="4" t="str">
        <f>VLOOKUP(H1155,Stock_list!A:Y,25,FALSE)</f>
        <v>Yes</v>
      </c>
      <c r="Q1155" s="5"/>
      <c r="T1155" s="144"/>
      <c r="U1155" s="145" t="str">
        <f>VLOOKUP(H1155,Stock_list!A:N,14,FALSE)</f>
        <v>DEC 18</v>
      </c>
    </row>
    <row r="1156" spans="1:21" ht="16.5" customHeight="1">
      <c r="A1156" s="155" t="s">
        <v>2748</v>
      </c>
      <c r="B1156" s="114" t="str">
        <f>VLOOKUP(A1156,'Data pick slip'!B:F,5,FALSE)</f>
        <v>KHJ-MC400-00</v>
      </c>
      <c r="C1156" s="156">
        <v>109295</v>
      </c>
      <c r="E1156" s="160">
        <f>VLOOKUP(C1156,Stock_list!D:L,9,FALSE)</f>
        <v>43418</v>
      </c>
      <c r="F1156" s="157" t="s">
        <v>2862</v>
      </c>
      <c r="H1156" s="138">
        <v>119</v>
      </c>
      <c r="I1156" s="139" t="str">
        <f>VLOOKUP(H1156,Stock_list!A:R,18,FALSE)</f>
        <v>朗特</v>
      </c>
      <c r="J1156" s="139" t="str">
        <f>VLOOKUP(H1156,Stock_list!A:S,17,FALSE)</f>
        <v>C49SZX20180131DZ</v>
      </c>
      <c r="K1156" s="51" t="str">
        <f>VLOOKUP(H1156,Stock_list!A:T,16,FALSE)</f>
        <v>JPY</v>
      </c>
      <c r="L1156" s="4"/>
      <c r="M1156" s="50">
        <v>2</v>
      </c>
      <c r="N1156" s="50"/>
      <c r="P1156" s="4" t="str">
        <f>VLOOKUP(H1156,Stock_list!A:Y,25,FALSE)</f>
        <v>Yes</v>
      </c>
      <c r="Q1156" s="5"/>
      <c r="T1156" s="144"/>
      <c r="U1156" s="145" t="str">
        <f>VLOOKUP(H1156,Stock_list!A:N,14,FALSE)</f>
        <v>DEC 18</v>
      </c>
    </row>
    <row r="1157" spans="1:21" ht="16.5" customHeight="1">
      <c r="A1157" s="155" t="s">
        <v>2749</v>
      </c>
      <c r="B1157" s="114" t="str">
        <f>VLOOKUP(A1157,'Data pick slip'!B:F,5,FALSE)</f>
        <v>KHJ-MC500-00</v>
      </c>
      <c r="C1157" s="156">
        <v>109295</v>
      </c>
      <c r="E1157" s="160">
        <f>VLOOKUP(C1157,Stock_list!D:L,9,FALSE)</f>
        <v>43418</v>
      </c>
      <c r="F1157" s="157" t="s">
        <v>2862</v>
      </c>
      <c r="H1157" s="138">
        <v>119</v>
      </c>
      <c r="I1157" s="139" t="str">
        <f>VLOOKUP(H1157,Stock_list!A:R,18,FALSE)</f>
        <v>朗特</v>
      </c>
      <c r="J1157" s="139" t="str">
        <f>VLOOKUP(H1157,Stock_list!A:S,17,FALSE)</f>
        <v>C49SZX20180131DZ</v>
      </c>
      <c r="K1157" s="51" t="str">
        <f>VLOOKUP(H1157,Stock_list!A:T,16,FALSE)</f>
        <v>JPY</v>
      </c>
      <c r="L1157" s="4"/>
      <c r="M1157" s="50">
        <v>1</v>
      </c>
      <c r="N1157" s="50"/>
      <c r="P1157" s="4" t="str">
        <f>VLOOKUP(H1157,Stock_list!A:Y,25,FALSE)</f>
        <v>Yes</v>
      </c>
      <c r="Q1157" s="5"/>
      <c r="T1157" s="144"/>
      <c r="U1157" s="145" t="str">
        <f>VLOOKUP(H1157,Stock_list!A:N,14,FALSE)</f>
        <v>DEC 18</v>
      </c>
    </row>
    <row r="1158" spans="1:21" ht="16.5" customHeight="1">
      <c r="A1158" s="155" t="s">
        <v>2768</v>
      </c>
      <c r="B1158" s="114" t="str">
        <f>VLOOKUP(A1158,'Data pick slip'!B:F,5,FALSE)</f>
        <v>KHJ-MC100-00</v>
      </c>
      <c r="C1158" s="156">
        <v>109390</v>
      </c>
      <c r="E1158" s="160">
        <f>VLOOKUP(C1158,Stock_list!D:L,9,FALSE)</f>
        <v>43588</v>
      </c>
      <c r="F1158" s="157" t="s">
        <v>2862</v>
      </c>
      <c r="H1158" s="138">
        <v>80</v>
      </c>
      <c r="I1158" s="139" t="str">
        <f>VLOOKUP(H1158,Stock_list!A:R,18,FALSE)</f>
        <v>BBS好兄弟</v>
      </c>
      <c r="J1158" s="139" t="str">
        <f>VLOOKUP(H1158,Stock_list!A:S,17,FALSE)</f>
        <v>C49SZX20180086DZ</v>
      </c>
      <c r="K1158" s="51" t="str">
        <f>VLOOKUP(H1158,Stock_list!A:T,16,FALSE)</f>
        <v>JPY</v>
      </c>
      <c r="L1158" s="4"/>
      <c r="M1158" s="50">
        <v>300</v>
      </c>
      <c r="N1158" s="50"/>
      <c r="P1158" s="4" t="str">
        <f>VLOOKUP(H1158,Stock_list!A:Y,25,FALSE)</f>
        <v>Yes</v>
      </c>
      <c r="Q1158" s="5"/>
      <c r="R1158" s="143"/>
      <c r="T1158" s="144"/>
      <c r="U1158" s="145" t="str">
        <f>VLOOKUP(H1158,Stock_list!A:N,14,FALSE)</f>
        <v>MAR 19</v>
      </c>
    </row>
    <row r="1159" spans="1:21" ht="16.5" customHeight="1">
      <c r="A1159" s="155" t="s">
        <v>2768</v>
      </c>
      <c r="B1159" s="114" t="str">
        <f>VLOOKUP(A1159,'Data pick slip'!B:F,5,FALSE)</f>
        <v>KHJ-MC100-00</v>
      </c>
      <c r="C1159" s="156">
        <v>109336</v>
      </c>
      <c r="E1159" s="160">
        <f>VLOOKUP(C1159,Stock_list!D:L,9,FALSE)</f>
        <v>43558</v>
      </c>
      <c r="F1159" s="157" t="s">
        <v>2862</v>
      </c>
      <c r="H1159" s="138">
        <v>80</v>
      </c>
      <c r="I1159" s="139" t="str">
        <f>VLOOKUP(H1159,Stock_list!A:R,18,FALSE)</f>
        <v>BBS好兄弟</v>
      </c>
      <c r="J1159" s="139" t="str">
        <f>VLOOKUP(H1159,Stock_list!A:S,17,FALSE)</f>
        <v>C49SZX20180086DZ</v>
      </c>
      <c r="K1159" s="51" t="str">
        <f>VLOOKUP(H1159,Stock_list!A:T,16,FALSE)</f>
        <v>JPY</v>
      </c>
      <c r="L1159" s="4"/>
      <c r="M1159" s="50">
        <v>500</v>
      </c>
      <c r="N1159" s="50"/>
      <c r="P1159" s="4" t="str">
        <f>VLOOKUP(H1159,Stock_list!A:Y,25,FALSE)</f>
        <v>Yes</v>
      </c>
      <c r="Q1159" s="5"/>
      <c r="R1159" s="143"/>
      <c r="T1159" s="144"/>
      <c r="U1159" s="145" t="str">
        <f>VLOOKUP(H1159,Stock_list!A:N,14,FALSE)</f>
        <v>MAR 19</v>
      </c>
    </row>
    <row r="1160" spans="1:21" ht="16.5" customHeight="1">
      <c r="A1160" s="159" t="s">
        <v>2747</v>
      </c>
      <c r="B1160" s="114" t="str">
        <f>VLOOKUP(A1160,'Data pick slip'!B:F,5,FALSE)</f>
        <v>KHJ-MC200-00</v>
      </c>
      <c r="C1160" s="156">
        <v>109336</v>
      </c>
      <c r="E1160" s="160">
        <f>VLOOKUP(C1160,Stock_list!D:L,9,FALSE)</f>
        <v>43558</v>
      </c>
      <c r="F1160" s="157" t="s">
        <v>2862</v>
      </c>
      <c r="H1160" s="138">
        <v>80</v>
      </c>
      <c r="I1160" s="139" t="str">
        <f>VLOOKUP(H1160,Stock_list!A:R,18,FALSE)</f>
        <v>BBS好兄弟</v>
      </c>
      <c r="J1160" s="139" t="str">
        <f>VLOOKUP(H1160,Stock_list!A:S,17,FALSE)</f>
        <v>C49SZX20180086DZ</v>
      </c>
      <c r="K1160" s="51" t="str">
        <f>VLOOKUP(H1160,Stock_list!A:T,16,FALSE)</f>
        <v>JPY</v>
      </c>
      <c r="L1160" s="4">
        <v>43544</v>
      </c>
      <c r="M1160" s="50">
        <v>50</v>
      </c>
      <c r="N1160" s="50"/>
      <c r="P1160" s="4" t="str">
        <f>VLOOKUP(H1160,Stock_list!A:Y,25,FALSE)</f>
        <v>Yes</v>
      </c>
      <c r="Q1160" s="5"/>
      <c r="R1160" s="143"/>
      <c r="T1160" s="144"/>
      <c r="U1160" s="145" t="str">
        <f>VLOOKUP(H1160,Stock_list!A:N,14,FALSE)</f>
        <v>MAR 19</v>
      </c>
    </row>
    <row r="1161" spans="1:21" ht="16.5" customHeight="1">
      <c r="A1161" s="155" t="s">
        <v>2748</v>
      </c>
      <c r="B1161" s="114" t="str">
        <f>VLOOKUP(A1161,'Data pick slip'!B:F,5,FALSE)</f>
        <v>KHJ-MC400-00</v>
      </c>
      <c r="C1161" s="156">
        <v>109336</v>
      </c>
      <c r="E1161" s="160">
        <f>VLOOKUP(C1161,Stock_list!D:L,9,FALSE)</f>
        <v>43558</v>
      </c>
      <c r="F1161" s="157" t="s">
        <v>2862</v>
      </c>
      <c r="H1161" s="138">
        <v>80</v>
      </c>
      <c r="I1161" s="139" t="str">
        <f>VLOOKUP(H1161,Stock_list!A:R,18,FALSE)</f>
        <v>BBS好兄弟</v>
      </c>
      <c r="J1161" s="139" t="str">
        <f>VLOOKUP(H1161,Stock_list!A:S,17,FALSE)</f>
        <v>C49SZX20180086DZ</v>
      </c>
      <c r="K1161" s="51" t="str">
        <f>VLOOKUP(H1161,Stock_list!A:T,16,FALSE)</f>
        <v>JPY</v>
      </c>
      <c r="L1161" s="4"/>
      <c r="M1161" s="50">
        <v>6</v>
      </c>
      <c r="N1161" s="50"/>
      <c r="P1161" s="4" t="str">
        <f>VLOOKUP(H1161,Stock_list!A:Y,25,FALSE)</f>
        <v>Yes</v>
      </c>
      <c r="Q1161" s="5"/>
      <c r="R1161" s="143"/>
      <c r="T1161" s="144"/>
      <c r="U1161" s="145" t="str">
        <f>VLOOKUP(H1161,Stock_list!A:N,14,FALSE)</f>
        <v>MAR 19</v>
      </c>
    </row>
    <row r="1162" spans="1:21" ht="16.5" customHeight="1">
      <c r="A1162" s="155" t="s">
        <v>2768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2861</v>
      </c>
      <c r="H1162" s="138">
        <v>76</v>
      </c>
      <c r="I1162" s="139" t="str">
        <f>VLOOKUP(H1162,Stock_list!A:R,18,FALSE)</f>
        <v>HangTe航特</v>
      </c>
      <c r="J1162" s="139" t="str">
        <f>VLOOKUP(H1162,Stock_list!A:S,17,FALSE)</f>
        <v>C49SZX20180083DZ</v>
      </c>
      <c r="K1162" s="51" t="str">
        <f>VLOOKUP(H1162,Stock_list!A:T,16,FALSE)</f>
        <v>JPY</v>
      </c>
      <c r="L1162" s="4"/>
      <c r="M1162" s="50">
        <v>60</v>
      </c>
      <c r="N1162" s="50"/>
      <c r="P1162" s="4" t="str">
        <f>VLOOKUP(H1162,Stock_list!A:Y,25,FALSE)</f>
        <v>Yes</v>
      </c>
      <c r="Q1162" s="5"/>
      <c r="R1162" s="143"/>
      <c r="T1162" s="144"/>
      <c r="U1162" s="145" t="str">
        <f>VLOOKUP(H1162,Stock_list!A:N,14,FALSE)</f>
        <v>NOV 18</v>
      </c>
    </row>
    <row r="1163" spans="1:21" ht="16.5" customHeight="1">
      <c r="A1163" s="159" t="s">
        <v>2747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2861</v>
      </c>
      <c r="H1163" s="138">
        <v>76</v>
      </c>
      <c r="I1163" s="139" t="str">
        <f>VLOOKUP(H1163,Stock_list!A:R,18,FALSE)</f>
        <v>HangTe航特</v>
      </c>
      <c r="J1163" s="139" t="str">
        <f>VLOOKUP(H1163,Stock_list!A:S,17,FALSE)</f>
        <v>C49SZX20180083DZ</v>
      </c>
      <c r="K1163" s="51" t="str">
        <f>VLOOKUP(H1163,Stock_list!A:T,16,FALSE)</f>
        <v>JPY</v>
      </c>
      <c r="L1163" s="4" t="s">
        <v>3025</v>
      </c>
      <c r="M1163" s="50">
        <v>12</v>
      </c>
      <c r="N1163" s="50"/>
      <c r="P1163" s="4" t="str">
        <f>VLOOKUP(H1163,Stock_list!A:Y,25,FALSE)</f>
        <v>Yes</v>
      </c>
      <c r="Q1163" s="5"/>
      <c r="R1163" s="143"/>
      <c r="T1163" s="144"/>
      <c r="U1163" s="145" t="str">
        <f>VLOOKUP(H1163,Stock_list!A:N,14,FALSE)</f>
        <v>NOV 18</v>
      </c>
    </row>
    <row r="1164" spans="1:21" ht="16.5" customHeight="1">
      <c r="A1164" s="155" t="s">
        <v>2748</v>
      </c>
      <c r="B1164" s="114" t="str">
        <f>VLOOKUP(A1164,'Data pick slip'!B:F,5,FALSE)</f>
        <v>KHJ-MC400-00</v>
      </c>
      <c r="C1164" s="156">
        <v>109413</v>
      </c>
      <c r="E1164" s="160">
        <f>VLOOKUP(C1164,Stock_list!D:L,9,FALSE)</f>
        <v>43385</v>
      </c>
      <c r="F1164" s="157" t="s">
        <v>2861</v>
      </c>
      <c r="H1164" s="138">
        <v>76</v>
      </c>
      <c r="I1164" s="139" t="str">
        <f>VLOOKUP(H1164,Stock_list!A:R,18,FALSE)</f>
        <v>HangTe航特</v>
      </c>
      <c r="J1164" s="139" t="str">
        <f>VLOOKUP(H1164,Stock_list!A:S,17,FALSE)</f>
        <v>C49SZX20180083DZ</v>
      </c>
      <c r="K1164" s="51" t="str">
        <f>VLOOKUP(H1164,Stock_list!A:T,16,FALSE)</f>
        <v>JPY</v>
      </c>
      <c r="L1164" s="4"/>
      <c r="M1164" s="50">
        <v>3</v>
      </c>
      <c r="N1164" s="50"/>
      <c r="P1164" s="4" t="str">
        <f>VLOOKUP(H1164,Stock_list!A:Y,25,FALSE)</f>
        <v>Yes</v>
      </c>
      <c r="Q1164" s="5"/>
      <c r="R1164" s="143"/>
      <c r="T1164" s="144"/>
      <c r="U1164" s="145" t="str">
        <f>VLOOKUP(H1164,Stock_list!A:N,14,FALSE)</f>
        <v>NOV 18</v>
      </c>
    </row>
    <row r="1165" spans="1:21" ht="16.5" customHeight="1">
      <c r="A1165" s="155" t="s">
        <v>2768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2862</v>
      </c>
      <c r="H1165" s="138">
        <v>98</v>
      </c>
      <c r="I1165" s="139" t="str">
        <f>VLOOKUP(H1165,Stock_list!A:R,18,FALSE)</f>
        <v>易而达</v>
      </c>
      <c r="J1165" s="139" t="str">
        <f>VLOOKUP(H1165,Stock_list!A:S,17,FALSE)</f>
        <v>C49SZX20180102JL</v>
      </c>
      <c r="K1165" s="51" t="str">
        <f>VLOOKUP(H1165,Stock_list!A:T,16,FALSE)</f>
        <v>JPY</v>
      </c>
      <c r="L1165" s="4"/>
      <c r="M1165" s="50">
        <v>60</v>
      </c>
      <c r="P1165" s="4" t="str">
        <f>VLOOKUP(H1165,Stock_list!A:Y,25,FALSE)</f>
        <v>Yes</v>
      </c>
      <c r="Q1165" s="5"/>
      <c r="R1165" s="143"/>
      <c r="T1165" s="144"/>
      <c r="U1165" s="145" t="str">
        <f>VLOOKUP(H1165,Stock_list!A:N,14,FALSE)</f>
        <v>DEC 18</v>
      </c>
    </row>
    <row r="1166" spans="1:21" ht="16.5" customHeight="1">
      <c r="A1166" s="155" t="s">
        <v>2768</v>
      </c>
      <c r="B1166" s="114" t="str">
        <f>VLOOKUP(A1166,'Data pick slip'!B:F,5,FALSE)</f>
        <v>KHJ-MC100-00</v>
      </c>
      <c r="C1166" s="156">
        <v>109319</v>
      </c>
      <c r="E1166" s="160">
        <f>VLOOKUP(C1166,Stock_list!D:L,9,FALSE)</f>
        <v>43537</v>
      </c>
      <c r="F1166" s="157" t="s">
        <v>2773</v>
      </c>
      <c r="H1166" s="138">
        <v>30</v>
      </c>
      <c r="I1166" s="139" t="str">
        <f>VLOOKUP(H1166,Stock_list!A:R,18,FALSE)</f>
        <v>STK深台</v>
      </c>
      <c r="J1166" s="139" t="str">
        <f>VLOOKUP(H1166,Stock_list!A:S,17,FALSE)</f>
        <v>C49SZX20180058KW</v>
      </c>
      <c r="K1166" s="51" t="str">
        <f>VLOOKUP(H1166,Stock_list!A:T,16,FALSE)</f>
        <v>RMB</v>
      </c>
      <c r="L1166" s="4">
        <v>43580</v>
      </c>
      <c r="M1166" s="50">
        <v>85</v>
      </c>
      <c r="P1166" s="4" t="str">
        <f>VLOOKUP(H1166,Stock_list!A:Y,25,FALSE)</f>
        <v>Yes</v>
      </c>
      <c r="Q1166" s="5"/>
      <c r="R1166" s="143"/>
      <c r="T1166" s="144"/>
      <c r="U1166" s="145" t="str">
        <f>VLOOKUP(H1166,Stock_list!A:N,14,FALSE)</f>
        <v>APR 19</v>
      </c>
    </row>
    <row r="1167" spans="1:21" ht="16.5" customHeight="1">
      <c r="A1167" s="159" t="s">
        <v>2747</v>
      </c>
      <c r="B1167" s="114" t="str">
        <f>VLOOKUP(A1167,'Data pick slip'!B:F,5,FALSE)</f>
        <v>KHJ-MC200-00</v>
      </c>
      <c r="C1167" s="156">
        <v>109319</v>
      </c>
      <c r="E1167" s="160">
        <f>VLOOKUP(C1167,Stock_list!D:L,9,FALSE)</f>
        <v>43537</v>
      </c>
      <c r="F1167" s="157" t="s">
        <v>2773</v>
      </c>
      <c r="H1167" s="138">
        <v>30</v>
      </c>
      <c r="I1167" s="139" t="str">
        <f>VLOOKUP(H1167,Stock_list!A:R,18,FALSE)</f>
        <v>STK深台</v>
      </c>
      <c r="J1167" s="139" t="str">
        <f>VLOOKUP(H1167,Stock_list!A:S,17,FALSE)</f>
        <v>C49SZX20180058KW</v>
      </c>
      <c r="K1167" s="51" t="str">
        <f>VLOOKUP(H1167,Stock_list!A:T,16,FALSE)</f>
        <v>RMB</v>
      </c>
      <c r="L1167" s="4">
        <v>43580</v>
      </c>
      <c r="M1167" s="50">
        <v>9</v>
      </c>
      <c r="P1167" s="4" t="str">
        <f>VLOOKUP(H1167,Stock_list!A:Y,25,FALSE)</f>
        <v>Yes</v>
      </c>
      <c r="Q1167" s="5"/>
      <c r="R1167" s="143"/>
      <c r="T1167" s="144"/>
      <c r="U1167" s="145" t="str">
        <f>VLOOKUP(H1167,Stock_list!A:N,14,FALSE)</f>
        <v>APR 19</v>
      </c>
    </row>
    <row r="1168" spans="1:21" ht="16.5" customHeight="1">
      <c r="A1168" s="155" t="s">
        <v>2748</v>
      </c>
      <c r="B1168" s="114" t="str">
        <f>VLOOKUP(A1168,'Data pick slip'!B:F,5,FALSE)</f>
        <v>KHJ-MC400-00</v>
      </c>
      <c r="C1168" s="156">
        <v>109319</v>
      </c>
      <c r="E1168" s="160">
        <f>VLOOKUP(C1168,Stock_list!D:L,9,FALSE)</f>
        <v>43537</v>
      </c>
      <c r="F1168" s="157" t="s">
        <v>2773</v>
      </c>
      <c r="H1168" s="138">
        <v>30</v>
      </c>
      <c r="I1168" s="139" t="str">
        <f>VLOOKUP(H1168,Stock_list!A:R,18,FALSE)</f>
        <v>STK深台</v>
      </c>
      <c r="J1168" s="139" t="str">
        <f>VLOOKUP(H1168,Stock_list!A:S,17,FALSE)</f>
        <v>C49SZX20180058KW</v>
      </c>
      <c r="K1168" s="51" t="str">
        <f>VLOOKUP(H1168,Stock_list!A:T,16,FALSE)</f>
        <v>RMB</v>
      </c>
      <c r="L1168" s="4">
        <v>43580</v>
      </c>
      <c r="M1168" s="50">
        <v>2</v>
      </c>
      <c r="P1168" s="4" t="str">
        <f>VLOOKUP(H1168,Stock_list!A:Y,25,FALSE)</f>
        <v>Yes</v>
      </c>
      <c r="Q1168" s="5"/>
      <c r="R1168" s="143"/>
      <c r="T1168" s="144"/>
      <c r="U1168" s="145" t="str">
        <f>VLOOKUP(H1168,Stock_list!A:N,14,FALSE)</f>
        <v>APR 19</v>
      </c>
    </row>
    <row r="1169" spans="1:21" ht="16.5" customHeight="1">
      <c r="A1169" s="155" t="s">
        <v>2768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2862</v>
      </c>
      <c r="H1169" s="138">
        <v>129</v>
      </c>
      <c r="I1169" s="139" t="str">
        <f>VLOOKUP(H1169,Stock_list!A:R,18,FALSE)</f>
        <v>安嘉</v>
      </c>
      <c r="J1169" s="139" t="str">
        <f>VLOOKUP(H1169,Stock_list!A:S,17,FALSE)</f>
        <v>C49SZX20180136JY</v>
      </c>
      <c r="K1169" s="51" t="str">
        <f>VLOOKUP(H1169,Stock_list!A:T,16,FALSE)</f>
        <v>JPY</v>
      </c>
      <c r="L1169" s="4"/>
      <c r="M1169" s="50">
        <v>120</v>
      </c>
      <c r="P1169" s="4" t="str">
        <f>VLOOKUP(H1169,Stock_list!A:Y,25,FALSE)</f>
        <v>Yes</v>
      </c>
      <c r="Q1169" s="5"/>
      <c r="R1169" s="143"/>
      <c r="T1169" s="144"/>
      <c r="U1169" s="145" t="str">
        <f>VLOOKUP(H1169,Stock_list!A:N,14,FALSE)</f>
        <v>FEB 19</v>
      </c>
    </row>
    <row r="1170" spans="1:21" ht="16.5" customHeight="1">
      <c r="A1170" s="155" t="s">
        <v>2768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2861</v>
      </c>
      <c r="H1170" s="138">
        <v>127</v>
      </c>
      <c r="I1170" s="139" t="str">
        <f>VLOOKUP(H1170,Stock_list!A:R,18,FALSE)</f>
        <v>兴开泰</v>
      </c>
      <c r="J1170" s="139" t="str">
        <f>VLOOKUP(H1170,Stock_list!A:S,17,FALSE)</f>
        <v>C49SZX20180135SX</v>
      </c>
      <c r="K1170" s="51" t="str">
        <f>VLOOKUP(H1170,Stock_list!A:T,16,FALSE)</f>
        <v>JPY</v>
      </c>
      <c r="L1170" s="4"/>
      <c r="M1170" s="50">
        <v>40</v>
      </c>
      <c r="P1170" s="4" t="str">
        <f>VLOOKUP(H1170,Stock_list!A:Y,25,FALSE)</f>
        <v>Yes</v>
      </c>
      <c r="Q1170" s="5"/>
      <c r="R1170" s="143"/>
      <c r="T1170" s="144"/>
      <c r="U1170" s="145" t="str">
        <f>VLOOKUP(H1170,Stock_list!A:N,14,FALSE)</f>
        <v>NOV 18</v>
      </c>
    </row>
    <row r="1171" spans="1:21" ht="16.5" customHeight="1">
      <c r="A1171" s="159" t="s">
        <v>2747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2861</v>
      </c>
      <c r="H1171" s="138">
        <v>127</v>
      </c>
      <c r="I1171" s="139" t="str">
        <f>VLOOKUP(H1171,Stock_list!A:R,18,FALSE)</f>
        <v>兴开泰</v>
      </c>
      <c r="J1171" s="139" t="str">
        <f>VLOOKUP(H1171,Stock_list!A:S,17,FALSE)</f>
        <v>C49SZX20180135SX</v>
      </c>
      <c r="K1171" s="51" t="str">
        <f>VLOOKUP(H1171,Stock_list!A:T,16,FALSE)</f>
        <v>JPY</v>
      </c>
      <c r="L1171" s="4"/>
      <c r="M1171" s="50">
        <v>10</v>
      </c>
      <c r="P1171" s="4" t="str">
        <f>VLOOKUP(H1171,Stock_list!A:Y,25,FALSE)</f>
        <v>Yes</v>
      </c>
      <c r="Q1171" s="5"/>
      <c r="R1171" s="143"/>
      <c r="T1171" s="144"/>
      <c r="U1171" s="145" t="str">
        <f>VLOOKUP(H1171,Stock_list!A:N,14,FALSE)</f>
        <v>NOV 18</v>
      </c>
    </row>
    <row r="1172" spans="1:21" ht="16.5" customHeight="1">
      <c r="A1172" s="155" t="s">
        <v>2748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2861</v>
      </c>
      <c r="H1172" s="138">
        <v>127</v>
      </c>
      <c r="I1172" s="139" t="str">
        <f>VLOOKUP(H1172,Stock_list!A:R,18,FALSE)</f>
        <v>兴开泰</v>
      </c>
      <c r="J1172" s="139" t="str">
        <f>VLOOKUP(H1172,Stock_list!A:S,17,FALSE)</f>
        <v>C49SZX20180135SX</v>
      </c>
      <c r="K1172" s="51" t="str">
        <f>VLOOKUP(H1172,Stock_list!A:T,16,FALSE)</f>
        <v>JPY</v>
      </c>
      <c r="L1172" s="4"/>
      <c r="M1172" s="50">
        <v>2</v>
      </c>
      <c r="P1172" s="4" t="str">
        <f>VLOOKUP(H1172,Stock_list!A:Y,25,FALSE)</f>
        <v>Yes</v>
      </c>
      <c r="Q1172" s="5"/>
      <c r="R1172" s="143"/>
      <c r="T1172" s="144"/>
      <c r="U1172" s="145" t="str">
        <f>VLOOKUP(H1172,Stock_list!A:N,14,FALSE)</f>
        <v>NOV 18</v>
      </c>
    </row>
    <row r="1173" spans="1:21" ht="16.5" customHeight="1">
      <c r="A1173" s="155" t="s">
        <v>2749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2861</v>
      </c>
      <c r="H1173" s="138">
        <v>127</v>
      </c>
      <c r="I1173" s="139" t="str">
        <f>VLOOKUP(H1173,Stock_list!A:R,18,FALSE)</f>
        <v>兴开泰</v>
      </c>
      <c r="J1173" s="139" t="str">
        <f>VLOOKUP(H1173,Stock_list!A:S,17,FALSE)</f>
        <v>C49SZX20180135SX</v>
      </c>
      <c r="K1173" s="51" t="str">
        <f>VLOOKUP(H1173,Stock_list!A:T,16,FALSE)</f>
        <v>JPY</v>
      </c>
      <c r="L1173" s="4"/>
      <c r="M1173" s="50">
        <v>2</v>
      </c>
      <c r="P1173" s="4" t="str">
        <f>VLOOKUP(H1173,Stock_list!A:Y,25,FALSE)</f>
        <v>Yes</v>
      </c>
      <c r="Q1173" s="5"/>
      <c r="R1173" s="143"/>
      <c r="T1173" s="144"/>
      <c r="U1173" s="145" t="str">
        <f>VLOOKUP(H1173,Stock_list!A:N,14,FALSE)</f>
        <v>NOV 18</v>
      </c>
    </row>
    <row r="1174" spans="1:21" ht="16.5" customHeight="1">
      <c r="A1174" s="155" t="s">
        <v>2768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2862</v>
      </c>
      <c r="H1174" s="138">
        <v>50</v>
      </c>
      <c r="I1174" s="139" t="str">
        <f>VLOOKUP(H1174,Stock_list!A:R,18,FALSE)</f>
        <v>朗特</v>
      </c>
      <c r="J1174" s="139" t="str">
        <f>VLOOKUP(H1174,Stock_list!A:S,17,FALSE)</f>
        <v>C49SZX20180078DZ</v>
      </c>
      <c r="K1174" s="51" t="str">
        <f>VLOOKUP(H1174,Stock_list!A:T,16,FALSE)</f>
        <v>JPY</v>
      </c>
      <c r="L1174" s="4"/>
      <c r="M1174" s="132">
        <v>80</v>
      </c>
      <c r="P1174" s="4" t="str">
        <f>VLOOKUP(H1174,Stock_list!A:Y,25,FALSE)</f>
        <v>Yes</v>
      </c>
      <c r="Q1174" s="133"/>
      <c r="T1174" s="144"/>
      <c r="U1174" s="145" t="str">
        <f>VLOOKUP(H1174,Stock_list!A:N,14,FALSE)</f>
        <v>DEC 18</v>
      </c>
    </row>
    <row r="1175" spans="1:21" ht="16.5" customHeight="1">
      <c r="A1175" s="159" t="s">
        <v>2747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2862</v>
      </c>
      <c r="H1175" s="138">
        <v>50</v>
      </c>
      <c r="I1175" s="139" t="str">
        <f>VLOOKUP(H1175,Stock_list!A:R,18,FALSE)</f>
        <v>朗特</v>
      </c>
      <c r="J1175" s="139" t="str">
        <f>VLOOKUP(H1175,Stock_list!A:S,17,FALSE)</f>
        <v>C49SZX20180078DZ</v>
      </c>
      <c r="K1175" s="51" t="str">
        <f>VLOOKUP(H1175,Stock_list!A:T,16,FALSE)</f>
        <v>JPY</v>
      </c>
      <c r="L1175" s="4"/>
      <c r="M1175" s="132">
        <v>15</v>
      </c>
      <c r="P1175" s="4" t="str">
        <f>VLOOKUP(H1175,Stock_list!A:Y,25,FALSE)</f>
        <v>Yes</v>
      </c>
      <c r="Q1175" s="133"/>
      <c r="T1175" s="144"/>
      <c r="U1175" s="145" t="str">
        <f>VLOOKUP(H1175,Stock_list!A:N,14,FALSE)</f>
        <v>DEC 18</v>
      </c>
    </row>
    <row r="1176" spans="1:21" ht="16.5" customHeight="1">
      <c r="A1176" s="155" t="s">
        <v>2757</v>
      </c>
      <c r="B1176" s="114" t="str">
        <f>VLOOKUP(A1176,'Data pick slip'!B:F,5,FALSE)</f>
        <v>KLJ-MC400-00</v>
      </c>
      <c r="C1176" s="156">
        <v>109295</v>
      </c>
      <c r="E1176" s="160">
        <f>VLOOKUP(C1176,Stock_list!D:L,9,FALSE)</f>
        <v>43418</v>
      </c>
      <c r="F1176" s="157" t="s">
        <v>2862</v>
      </c>
      <c r="H1176" s="138">
        <v>50</v>
      </c>
      <c r="I1176" s="139" t="str">
        <f>VLOOKUP(H1176,Stock_list!A:R,18,FALSE)</f>
        <v>朗特</v>
      </c>
      <c r="J1176" s="139" t="str">
        <f>VLOOKUP(H1176,Stock_list!A:S,17,FALSE)</f>
        <v>C49SZX20180078DZ</v>
      </c>
      <c r="K1176" s="51" t="str">
        <f>VLOOKUP(H1176,Stock_list!A:T,16,FALSE)</f>
        <v>JPY</v>
      </c>
      <c r="L1176" s="4"/>
      <c r="M1176" s="207">
        <v>4</v>
      </c>
      <c r="O1176" s="207"/>
      <c r="P1176" s="4" t="str">
        <f>VLOOKUP(H1176,Stock_list!A:Y,25,FALSE)</f>
        <v>Yes</v>
      </c>
      <c r="Q1176" s="208"/>
      <c r="T1176" s="144"/>
      <c r="U1176" s="145" t="str">
        <f>VLOOKUP(H1176,Stock_list!A:N,14,FALSE)</f>
        <v>DEC 18</v>
      </c>
    </row>
    <row r="1177" spans="1:21" ht="16.5" customHeight="1">
      <c r="A1177" s="155" t="s">
        <v>2749</v>
      </c>
      <c r="B1177" s="114" t="str">
        <f>VLOOKUP(A1177,'Data pick slip'!B:F,5,FALSE)</f>
        <v>KHJ-MC500-00</v>
      </c>
      <c r="C1177" s="156">
        <v>109295</v>
      </c>
      <c r="E1177" s="160">
        <f>VLOOKUP(C1177,Stock_list!D:L,9,FALSE)</f>
        <v>43418</v>
      </c>
      <c r="F1177" s="157" t="s">
        <v>2862</v>
      </c>
      <c r="H1177" s="138">
        <v>50</v>
      </c>
      <c r="I1177" s="139" t="str">
        <f>VLOOKUP(H1177,Stock_list!A:R,18,FALSE)</f>
        <v>朗特</v>
      </c>
      <c r="J1177" s="139" t="str">
        <f>VLOOKUP(H1177,Stock_list!A:S,17,FALSE)</f>
        <v>C49SZX20180078DZ</v>
      </c>
      <c r="K1177" s="51" t="str">
        <f>VLOOKUP(H1177,Stock_list!A:T,16,FALSE)</f>
        <v>JPY</v>
      </c>
      <c r="L1177" s="4"/>
      <c r="M1177" s="132">
        <v>1</v>
      </c>
      <c r="P1177" s="4" t="str">
        <f>VLOOKUP(H1177,Stock_list!A:Y,25,FALSE)</f>
        <v>Yes</v>
      </c>
      <c r="Q1177" s="133"/>
      <c r="T1177" s="144"/>
      <c r="U1177" s="145" t="str">
        <f>VLOOKUP(H1177,Stock_list!A:N,14,FALSE)</f>
        <v>DEC 18</v>
      </c>
    </row>
    <row r="1178" spans="1:21" ht="16.5" customHeight="1">
      <c r="A1178" s="155" t="s">
        <v>2768</v>
      </c>
      <c r="B1178" s="114" t="str">
        <f>VLOOKUP(A1178,'Data pick slip'!B:F,5,FALSE)</f>
        <v>KHJ-MC100-00</v>
      </c>
      <c r="C1178" s="156">
        <v>109454</v>
      </c>
      <c r="E1178" s="160">
        <f>VLOOKUP(C1178,Stock_list!D:L,9,FALSE)</f>
        <v>43442</v>
      </c>
      <c r="F1178" s="157" t="s">
        <v>2862</v>
      </c>
      <c r="H1178" s="138">
        <v>100</v>
      </c>
      <c r="I1178" s="139" t="str">
        <f>VLOOKUP(H1178,Stock_list!A:R,18,FALSE)</f>
        <v>小耳朵</v>
      </c>
      <c r="J1178" s="139" t="str">
        <f>VLOOKUP(H1178,Stock_list!A:S,17,FALSE)</f>
        <v>C49SZX20180103MZ</v>
      </c>
      <c r="K1178" s="51" t="str">
        <f>VLOOKUP(H1178,Stock_list!A:T,16,FALSE)</f>
        <v>JPY</v>
      </c>
      <c r="L1178" s="4"/>
      <c r="M1178" s="132">
        <v>70</v>
      </c>
      <c r="P1178" s="4" t="str">
        <f>VLOOKUP(H1178,Stock_list!A:Y,25,FALSE)</f>
        <v>Yes</v>
      </c>
      <c r="Q1178" s="133"/>
      <c r="R1178" s="143"/>
      <c r="T1178" s="144"/>
      <c r="U1178" s="145" t="str">
        <f>VLOOKUP(H1178,Stock_list!A:N,14,FALSE)</f>
        <v>FEB 19</v>
      </c>
    </row>
    <row r="1179" spans="1:21" ht="16.5" customHeight="1">
      <c r="A1179" s="159" t="s">
        <v>2747</v>
      </c>
      <c r="B1179" s="114" t="str">
        <f>VLOOKUP(A1179,'Data pick slip'!B:F,5,FALSE)</f>
        <v>KHJ-MC200-00</v>
      </c>
      <c r="C1179" s="156">
        <v>109344</v>
      </c>
      <c r="E1179" s="160">
        <f>VLOOKUP(C1179,Stock_list!D:L,9,FALSE)</f>
        <v>43565</v>
      </c>
      <c r="F1179" s="157" t="s">
        <v>2862</v>
      </c>
      <c r="H1179" s="138">
        <v>100</v>
      </c>
      <c r="I1179" s="139" t="str">
        <f>VLOOKUP(H1179,Stock_list!A:R,18,FALSE)</f>
        <v>小耳朵</v>
      </c>
      <c r="J1179" s="139" t="str">
        <f>VLOOKUP(H1179,Stock_list!A:S,17,FALSE)</f>
        <v>C49SZX20180103MZ</v>
      </c>
      <c r="K1179" s="51" t="str">
        <f>VLOOKUP(H1179,Stock_list!A:T,16,FALSE)</f>
        <v>JPY</v>
      </c>
      <c r="L1179" s="4">
        <v>43521</v>
      </c>
      <c r="M1179" s="132">
        <v>9</v>
      </c>
      <c r="P1179" s="4" t="str">
        <f>VLOOKUP(H1179,Stock_list!A:Y,25,FALSE)</f>
        <v>Yes</v>
      </c>
      <c r="Q1179" s="133"/>
      <c r="R1179" s="143"/>
      <c r="T1179" s="144"/>
      <c r="U1179" s="145" t="str">
        <f>VLOOKUP(H1179,Stock_list!A:N,14,FALSE)</f>
        <v>FEB 19</v>
      </c>
    </row>
    <row r="1180" spans="1:21" ht="16.5" customHeight="1">
      <c r="A1180" s="155" t="s">
        <v>2748</v>
      </c>
      <c r="B1180" s="114" t="str">
        <f>VLOOKUP(A1180,'Data pick slip'!B:F,5,FALSE)</f>
        <v>KHJ-MC400-00</v>
      </c>
      <c r="C1180" s="156">
        <v>109336</v>
      </c>
      <c r="E1180" s="160">
        <f>VLOOKUP(C1180,Stock_list!D:L,9,FALSE)</f>
        <v>43558</v>
      </c>
      <c r="F1180" s="157" t="s">
        <v>2862</v>
      </c>
      <c r="H1180" s="138">
        <v>100</v>
      </c>
      <c r="I1180" s="139" t="str">
        <f>VLOOKUP(H1180,Stock_list!A:R,18,FALSE)</f>
        <v>小耳朵</v>
      </c>
      <c r="J1180" s="139" t="str">
        <f>VLOOKUP(H1180,Stock_list!A:S,17,FALSE)</f>
        <v>C49SZX20180103MZ</v>
      </c>
      <c r="K1180" s="51" t="str">
        <f>VLOOKUP(H1180,Stock_list!A:T,16,FALSE)</f>
        <v>JPY</v>
      </c>
      <c r="L1180" s="4"/>
      <c r="M1180" s="132">
        <v>4</v>
      </c>
      <c r="P1180" s="4" t="str">
        <f>VLOOKUP(H1180,Stock_list!A:Y,25,FALSE)</f>
        <v>Yes</v>
      </c>
      <c r="Q1180" s="133"/>
      <c r="R1180" s="143"/>
      <c r="T1180" s="144"/>
      <c r="U1180" s="145" t="str">
        <f>VLOOKUP(H1180,Stock_list!A:N,14,FALSE)</f>
        <v>FEB 19</v>
      </c>
    </row>
    <row r="1181" spans="1:21" ht="16.5" customHeight="1">
      <c r="A1181" s="155" t="s">
        <v>2749</v>
      </c>
      <c r="B1181" s="114" t="str">
        <f>VLOOKUP(A1181,'Data pick slip'!B:F,5,FALSE)</f>
        <v>KHJ-MC500-00</v>
      </c>
      <c r="C1181" s="156">
        <v>109478</v>
      </c>
      <c r="E1181" s="160">
        <f>VLOOKUP(C1181,Stock_list!D:L,9,FALSE)</f>
        <v>43512</v>
      </c>
      <c r="F1181" s="157" t="s">
        <v>2862</v>
      </c>
      <c r="H1181" s="138">
        <v>100</v>
      </c>
      <c r="I1181" s="139" t="str">
        <f>VLOOKUP(H1181,Stock_list!A:R,18,FALSE)</f>
        <v>小耳朵</v>
      </c>
      <c r="J1181" s="139" t="str">
        <f>VLOOKUP(H1181,Stock_list!A:S,17,FALSE)</f>
        <v>C49SZX20180103MZ</v>
      </c>
      <c r="K1181" s="51" t="str">
        <f>VLOOKUP(H1181,Stock_list!A:T,16,FALSE)</f>
        <v>JPY</v>
      </c>
      <c r="L1181" s="4"/>
      <c r="M1181" s="132">
        <v>4</v>
      </c>
      <c r="P1181" s="4" t="str">
        <f>VLOOKUP(H1181,Stock_list!A:Y,25,FALSE)</f>
        <v>Yes</v>
      </c>
      <c r="Q1181" s="133"/>
      <c r="R1181" s="143"/>
      <c r="T1181" s="144"/>
      <c r="U1181" s="145" t="str">
        <f>VLOOKUP(H1181,Stock_list!A:N,14,FALSE)</f>
        <v>FEB 19</v>
      </c>
    </row>
    <row r="1182" spans="1:21" ht="16.5" customHeight="1">
      <c r="A1182" s="155" t="s">
        <v>2750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2862</v>
      </c>
      <c r="H1182" s="138">
        <v>100</v>
      </c>
      <c r="I1182" s="139" t="str">
        <f>VLOOKUP(H1182,Stock_list!A:R,18,FALSE)</f>
        <v>小耳朵</v>
      </c>
      <c r="J1182" s="139" t="str">
        <f>VLOOKUP(H1182,Stock_list!A:S,17,FALSE)</f>
        <v>C49SZX20180103MZ</v>
      </c>
      <c r="K1182" s="51" t="str">
        <f>VLOOKUP(H1182,Stock_list!A:T,16,FALSE)</f>
        <v>JPY</v>
      </c>
      <c r="L1182" s="4"/>
      <c r="M1182" s="132">
        <v>2</v>
      </c>
      <c r="P1182" s="4" t="str">
        <f>VLOOKUP(H1182,Stock_list!A:Y,25,FALSE)</f>
        <v>Yes</v>
      </c>
      <c r="Q1182" s="133"/>
      <c r="R1182" s="143"/>
      <c r="T1182" s="144"/>
      <c r="U1182" s="145" t="str">
        <f>VLOOKUP(H1182,Stock_list!A:N,14,FALSE)</f>
        <v>FEB 19</v>
      </c>
    </row>
    <row r="1183" spans="1:21" ht="27" customHeight="1">
      <c r="A1183" s="155" t="s">
        <v>2768</v>
      </c>
      <c r="B1183" s="114" t="str">
        <f>VLOOKUP(A1183,'Data pick slip'!B:F,5,FALSE)</f>
        <v>KHJ-MC100-00</v>
      </c>
      <c r="C1183" s="156">
        <v>109331</v>
      </c>
      <c r="E1183" s="160">
        <f>VLOOKUP(C1183,Stock_list!D:L,9,FALSE)</f>
        <v>43405</v>
      </c>
      <c r="F1183" s="157" t="s">
        <v>2861</v>
      </c>
      <c r="H1183" s="138">
        <v>48</v>
      </c>
      <c r="I1183" s="139" t="str">
        <f>VLOOKUP(H1183,Stock_list!A:R,18,FALSE)</f>
        <v>永顺创（Sales accurel in Oct)</v>
      </c>
      <c r="J1183" s="139" t="str">
        <f>VLOOKUP(H1183,Stock_list!A:S,17,FALSE)</f>
        <v>C49SZX20180070SX</v>
      </c>
      <c r="K1183" s="51" t="str">
        <f>VLOOKUP(H1183,Stock_list!A:T,16,FALSE)</f>
        <v>JPY</v>
      </c>
      <c r="L1183" s="4"/>
      <c r="M1183" s="132">
        <v>70</v>
      </c>
      <c r="P1183" s="4" t="str">
        <f>VLOOKUP(H1183,Stock_list!A:Y,25,FALSE)</f>
        <v>Yes</v>
      </c>
      <c r="Q1183" s="143"/>
      <c r="R1183" s="143"/>
      <c r="T1183" s="144"/>
      <c r="U1183" s="145" t="str">
        <f>VLOOKUP(H1183,Stock_list!A:N,14,FALSE)</f>
        <v>NOV 18</v>
      </c>
    </row>
    <row r="1184" spans="1:21" ht="27" customHeight="1">
      <c r="A1184" s="159" t="s">
        <v>2747</v>
      </c>
      <c r="B1184" s="114" t="str">
        <f>VLOOKUP(A1184,'Data pick slip'!B:F,5,FALSE)</f>
        <v>KHJ-MC200-00</v>
      </c>
      <c r="C1184" s="156">
        <v>109331</v>
      </c>
      <c r="E1184" s="160">
        <f>VLOOKUP(C1184,Stock_list!D:L,9,FALSE)</f>
        <v>43405</v>
      </c>
      <c r="F1184" s="157" t="s">
        <v>2861</v>
      </c>
      <c r="H1184" s="138">
        <v>48</v>
      </c>
      <c r="I1184" s="139" t="str">
        <f>VLOOKUP(H1184,Stock_list!A:R,18,FALSE)</f>
        <v>永顺创（Sales accurel in Oct)</v>
      </c>
      <c r="J1184" s="139" t="str">
        <f>VLOOKUP(H1184,Stock_list!A:S,17,FALSE)</f>
        <v>C49SZX20180070SX</v>
      </c>
      <c r="K1184" s="51" t="str">
        <f>VLOOKUP(H1184,Stock_list!A:T,16,FALSE)</f>
        <v>JPY</v>
      </c>
      <c r="L1184" s="4" t="s">
        <v>3025</v>
      </c>
      <c r="M1184" s="132">
        <v>10</v>
      </c>
      <c r="P1184" s="4" t="str">
        <f>VLOOKUP(H1184,Stock_list!A:Y,25,FALSE)</f>
        <v>Yes</v>
      </c>
      <c r="Q1184" s="143"/>
      <c r="R1184" s="143"/>
      <c r="T1184" s="144"/>
      <c r="U1184" s="145" t="str">
        <f>VLOOKUP(H1184,Stock_list!A:N,14,FALSE)</f>
        <v>NOV 18</v>
      </c>
    </row>
    <row r="1185" spans="1:21" ht="27" customHeight="1">
      <c r="A1185" s="155" t="s">
        <v>2748</v>
      </c>
      <c r="B1185" s="114" t="str">
        <f>VLOOKUP(A1185,'Data pick slip'!B:F,5,FALSE)</f>
        <v>KHJ-MC400-00</v>
      </c>
      <c r="C1185" s="156">
        <v>109331</v>
      </c>
      <c r="E1185" s="160">
        <f>VLOOKUP(C1185,Stock_list!D:L,9,FALSE)</f>
        <v>43405</v>
      </c>
      <c r="F1185" s="157" t="s">
        <v>2861</v>
      </c>
      <c r="H1185" s="138">
        <v>48</v>
      </c>
      <c r="I1185" s="139" t="str">
        <f>VLOOKUP(H1185,Stock_list!A:R,18,FALSE)</f>
        <v>永顺创（Sales accurel in Oct)</v>
      </c>
      <c r="J1185" s="139" t="str">
        <f>VLOOKUP(H1185,Stock_list!A:S,17,FALSE)</f>
        <v>C49SZX20180070SX</v>
      </c>
      <c r="K1185" s="51" t="str">
        <f>VLOOKUP(H1185,Stock_list!A:T,16,FALSE)</f>
        <v>JPY</v>
      </c>
      <c r="L1185" s="4"/>
      <c r="M1185" s="132">
        <v>5</v>
      </c>
      <c r="P1185" s="4" t="str">
        <f>VLOOKUP(H1185,Stock_list!A:Y,25,FALSE)</f>
        <v>Yes</v>
      </c>
      <c r="Q1185" s="143"/>
      <c r="R1185" s="143"/>
      <c r="T1185" s="144"/>
      <c r="U1185" s="145" t="str">
        <f>VLOOKUP(H1185,Stock_list!A:N,14,FALSE)</f>
        <v>NOV 18</v>
      </c>
    </row>
    <row r="1186" spans="1:21" ht="27" customHeight="1">
      <c r="A1186" s="155" t="s">
        <v>2749</v>
      </c>
      <c r="B1186" s="114" t="str">
        <f>VLOOKUP(A1186,'Data pick slip'!B:F,5,FALSE)</f>
        <v>KHJ-MC500-00</v>
      </c>
      <c r="C1186" s="156">
        <v>109331</v>
      </c>
      <c r="E1186" s="160">
        <f>VLOOKUP(C1186,Stock_list!D:L,9,FALSE)</f>
        <v>43405</v>
      </c>
      <c r="F1186" s="157" t="s">
        <v>2861</v>
      </c>
      <c r="H1186" s="138">
        <v>48</v>
      </c>
      <c r="I1186" s="139" t="str">
        <f>VLOOKUP(H1186,Stock_list!A:R,18,FALSE)</f>
        <v>永顺创（Sales accurel in Oct)</v>
      </c>
      <c r="J1186" s="139" t="str">
        <f>VLOOKUP(H1186,Stock_list!A:S,17,FALSE)</f>
        <v>C49SZX20180070SX</v>
      </c>
      <c r="K1186" s="51" t="str">
        <f>VLOOKUP(H1186,Stock_list!A:T,16,FALSE)</f>
        <v>JPY</v>
      </c>
      <c r="L1186" s="4"/>
      <c r="M1186" s="132">
        <v>2</v>
      </c>
      <c r="P1186" s="4" t="str">
        <f>VLOOKUP(H1186,Stock_list!A:Y,25,FALSE)</f>
        <v>Yes</v>
      </c>
      <c r="Q1186" s="143"/>
      <c r="R1186" s="143"/>
      <c r="T1186" s="144"/>
      <c r="U1186" s="145" t="str">
        <f>VLOOKUP(H1186,Stock_list!A:N,14,FALSE)</f>
        <v>NOV 18</v>
      </c>
    </row>
    <row r="1187" spans="1:21" ht="27" customHeight="1">
      <c r="A1187" s="155" t="s">
        <v>2750</v>
      </c>
      <c r="B1187" s="114" t="str">
        <f>VLOOKUP(A1187,'Data pick slip'!B:F,5,FALSE)</f>
        <v>KHJ-MC600-00</v>
      </c>
      <c r="C1187" s="156">
        <v>109331</v>
      </c>
      <c r="E1187" s="160">
        <f>VLOOKUP(C1187,Stock_list!D:L,9,FALSE)</f>
        <v>43405</v>
      </c>
      <c r="F1187" s="157" t="s">
        <v>2861</v>
      </c>
      <c r="H1187" s="138">
        <v>48</v>
      </c>
      <c r="I1187" s="139" t="str">
        <f>VLOOKUP(H1187,Stock_list!A:R,18,FALSE)</f>
        <v>永顺创（Sales accurel in Oct)</v>
      </c>
      <c r="J1187" s="139" t="str">
        <f>VLOOKUP(H1187,Stock_list!A:S,17,FALSE)</f>
        <v>C49SZX20180070SX</v>
      </c>
      <c r="K1187" s="51" t="str">
        <f>VLOOKUP(H1187,Stock_list!A:T,16,FALSE)</f>
        <v>JPY</v>
      </c>
      <c r="L1187" s="4"/>
      <c r="M1187" s="132">
        <v>1</v>
      </c>
      <c r="P1187" s="4" t="str">
        <f>VLOOKUP(H1187,Stock_list!A:Y,25,FALSE)</f>
        <v>Yes</v>
      </c>
      <c r="Q1187" s="143"/>
      <c r="R1187" s="143"/>
      <c r="T1187" s="144"/>
      <c r="U1187" s="145" t="str">
        <f>VLOOKUP(H1187,Stock_list!A:N,14,FALSE)</f>
        <v>NOV 18</v>
      </c>
    </row>
    <row r="1188" spans="1:21" ht="16.5" customHeight="1">
      <c r="A1188" s="155" t="s">
        <v>2768</v>
      </c>
      <c r="B1188" s="114" t="str">
        <f>VLOOKUP(A1188,'Data pick slip'!B:F,5,FALSE)</f>
        <v>KHJ-MC100-00</v>
      </c>
      <c r="C1188" s="156">
        <v>109389</v>
      </c>
      <c r="E1188" s="160">
        <f>VLOOKUP(C1188,Stock_list!D:L,9,FALSE)</f>
        <v>43537</v>
      </c>
      <c r="F1188" s="157" t="s">
        <v>2862</v>
      </c>
      <c r="H1188" s="138">
        <v>291</v>
      </c>
      <c r="I1188" s="139" t="str">
        <f>VLOOKUP(H1188,Stock_list!A:R,18,FALSE)</f>
        <v>宝捷</v>
      </c>
      <c r="J1188" s="139" t="str">
        <f>VLOOKUP(H1188,Stock_list!A:S,17,FALSE)</f>
        <v>C49SZX20190060DZ</v>
      </c>
      <c r="K1188" s="51" t="str">
        <f>VLOOKUP(H1188,Stock_list!A:T,16,FALSE)</f>
        <v>JPY</v>
      </c>
      <c r="L1188" s="4">
        <v>43686</v>
      </c>
      <c r="M1188" s="132">
        <v>30</v>
      </c>
      <c r="P1188" s="4" t="str">
        <f>VLOOKUP(H1188,Stock_list!A:Y,25,FALSE)</f>
        <v>Yes</v>
      </c>
      <c r="Q1188" s="133"/>
      <c r="R1188" s="143"/>
      <c r="T1188" s="144"/>
      <c r="U1188" s="145" t="str">
        <f>VLOOKUP(H1188,Stock_list!A:N,14,FALSE)</f>
        <v>AUG 19</v>
      </c>
    </row>
    <row r="1189" spans="1:21" ht="16.5" customHeight="1">
      <c r="A1189" s="159" t="s">
        <v>2747</v>
      </c>
      <c r="B1189" s="114" t="str">
        <f>VLOOKUP(A1189,'Data pick slip'!B:F,5,FALSE)</f>
        <v>KHJ-MC200-00</v>
      </c>
      <c r="C1189" s="156">
        <v>109389</v>
      </c>
      <c r="E1189" s="160">
        <f>VLOOKUP(C1189,Stock_list!D:L,9,FALSE)</f>
        <v>43537</v>
      </c>
      <c r="F1189" s="157" t="s">
        <v>2862</v>
      </c>
      <c r="H1189" s="138">
        <v>291</v>
      </c>
      <c r="I1189" s="139" t="str">
        <f>VLOOKUP(H1189,Stock_list!A:R,18,FALSE)</f>
        <v>宝捷</v>
      </c>
      <c r="J1189" s="139" t="str">
        <f>VLOOKUP(H1189,Stock_list!A:S,17,FALSE)</f>
        <v>C49SZX20190060DZ</v>
      </c>
      <c r="K1189" s="51" t="str">
        <f>VLOOKUP(H1189,Stock_list!A:T,16,FALSE)</f>
        <v>JPY</v>
      </c>
      <c r="L1189" s="4">
        <v>43686</v>
      </c>
      <c r="M1189" s="140">
        <v>5</v>
      </c>
      <c r="P1189" s="4" t="str">
        <f>VLOOKUP(H1189,Stock_list!A:Y,25,FALSE)</f>
        <v>Yes</v>
      </c>
      <c r="Q1189" s="133"/>
      <c r="R1189" s="143"/>
      <c r="T1189" s="205"/>
      <c r="U1189" s="145" t="str">
        <f>VLOOKUP(H1189,Stock_list!A:N,14,FALSE)</f>
        <v>AUG 19</v>
      </c>
    </row>
    <row r="1190" spans="1:21" ht="16.5" customHeight="1">
      <c r="A1190" s="159" t="s">
        <v>2747</v>
      </c>
      <c r="B1190" s="114" t="str">
        <f>VLOOKUP(A1190,'Data pick slip'!B:F,5,FALSE)</f>
        <v>KHJ-MC200-00</v>
      </c>
      <c r="C1190" s="156">
        <v>109389</v>
      </c>
      <c r="E1190" s="160">
        <f>VLOOKUP(C1190,Stock_list!D:L,9,FALSE)</f>
        <v>43537</v>
      </c>
      <c r="F1190" s="157" t="s">
        <v>2862</v>
      </c>
      <c r="H1190" s="138">
        <v>291</v>
      </c>
      <c r="I1190" s="139" t="str">
        <f>VLOOKUP(H1190,Stock_list!A:R,18,FALSE)</f>
        <v>宝捷</v>
      </c>
      <c r="J1190" s="139" t="str">
        <f>VLOOKUP(H1190,Stock_list!A:S,17,FALSE)</f>
        <v>C49SZX20190060DZ</v>
      </c>
      <c r="K1190" s="51" t="str">
        <f>VLOOKUP(H1190,Stock_list!A:T,16,FALSE)</f>
        <v>JPY</v>
      </c>
      <c r="L1190" s="4">
        <v>43686</v>
      </c>
      <c r="M1190" s="140">
        <v>1</v>
      </c>
      <c r="P1190" s="4" t="str">
        <f>VLOOKUP(H1190,Stock_list!A:Y,25,FALSE)</f>
        <v>Yes</v>
      </c>
      <c r="Q1190" s="133"/>
      <c r="R1190" s="143"/>
      <c r="T1190" s="144"/>
      <c r="U1190" s="145" t="str">
        <f>VLOOKUP(H1190,Stock_list!A:N,14,FALSE)</f>
        <v>AUG 19</v>
      </c>
    </row>
    <row r="1191" spans="1:21" ht="16.5" customHeight="1">
      <c r="A1191" s="155" t="s">
        <v>2755</v>
      </c>
      <c r="B1191" s="114" t="str">
        <f>VLOOKUP(A1191,'Data pick slip'!B:F,5,FALSE)</f>
        <v>KLJ-MC100-00</v>
      </c>
      <c r="C1191" s="156">
        <v>109421</v>
      </c>
      <c r="F1191" s="157" t="s">
        <v>2862</v>
      </c>
      <c r="H1191" s="138">
        <v>239</v>
      </c>
      <c r="I1191" s="139" t="str">
        <f>VLOOKUP(H1191,Stock_list!A:R,18,FALSE)</f>
        <v>睿视科技</v>
      </c>
      <c r="J1191" s="139" t="str">
        <f>VLOOKUP(H1191,Stock_list!A:S,17,FALSE)</f>
        <v>C49SZX20190024JL</v>
      </c>
      <c r="K1191" s="51" t="str">
        <f>VLOOKUP(H1191,Stock_list!A:T,16,FALSE)</f>
        <v>JPY</v>
      </c>
      <c r="L1191" s="4"/>
      <c r="M1191" s="132">
        <v>25</v>
      </c>
      <c r="P1191" s="4" t="str">
        <f>VLOOKUP(H1191,Stock_list!A:Y,25,FALSE)</f>
        <v>Yes</v>
      </c>
      <c r="Q1191" s="133"/>
      <c r="R1191" s="143"/>
      <c r="T1191" s="144"/>
      <c r="U1191" s="145" t="str">
        <f>VLOOKUP(H1191,Stock_list!A:N,14,FALSE)</f>
        <v>MAR 19</v>
      </c>
    </row>
    <row r="1192" spans="1:21" ht="16.5" customHeight="1">
      <c r="A1192" s="159" t="s">
        <v>2747</v>
      </c>
      <c r="B1192" s="114" t="str">
        <f>VLOOKUP(A1192,'Data pick slip'!B:F,5,FALSE)</f>
        <v>KHJ-MC200-00</v>
      </c>
      <c r="C1192" s="156">
        <v>109421</v>
      </c>
      <c r="F1192" s="157" t="s">
        <v>2862</v>
      </c>
      <c r="H1192" s="138">
        <v>239</v>
      </c>
      <c r="I1192" s="139" t="str">
        <f>VLOOKUP(H1192,Stock_list!A:R,18,FALSE)</f>
        <v>睿视科技</v>
      </c>
      <c r="J1192" s="139" t="str">
        <f>VLOOKUP(H1192,Stock_list!A:S,17,FALSE)</f>
        <v>C49SZX20190024JL</v>
      </c>
      <c r="K1192" s="51" t="str">
        <f>VLOOKUP(H1192,Stock_list!A:T,16,FALSE)</f>
        <v>JPY</v>
      </c>
      <c r="L1192" s="4" t="s">
        <v>3025</v>
      </c>
      <c r="M1192" s="132">
        <v>15</v>
      </c>
      <c r="P1192" s="4" t="str">
        <f>VLOOKUP(H1192,Stock_list!A:Y,25,FALSE)</f>
        <v>Yes</v>
      </c>
      <c r="Q1192" s="133"/>
      <c r="R1192" s="143"/>
      <c r="T1192" s="144"/>
      <c r="U1192" s="145" t="str">
        <f>VLOOKUP(H1192,Stock_list!A:N,14,FALSE)</f>
        <v>MAR 19</v>
      </c>
    </row>
    <row r="1193" spans="1:21" ht="16.5" customHeight="1">
      <c r="A1193" s="155" t="s">
        <v>2757</v>
      </c>
      <c r="B1193" s="114" t="str">
        <f>VLOOKUP(A1193,'Data pick slip'!B:F,5,FALSE)</f>
        <v>KLJ-MC400-00</v>
      </c>
      <c r="C1193" s="156">
        <v>109421</v>
      </c>
      <c r="F1193" s="157" t="s">
        <v>2773</v>
      </c>
      <c r="H1193" s="138">
        <v>239</v>
      </c>
      <c r="I1193" s="139" t="str">
        <f>VLOOKUP(H1193,Stock_list!A:R,18,FALSE)</f>
        <v>睿视科技</v>
      </c>
      <c r="J1193" s="139" t="str">
        <f>VLOOKUP(H1193,Stock_list!A:S,17,FALSE)</f>
        <v>C49SZX20190024JL</v>
      </c>
      <c r="K1193" s="51" t="str">
        <f>VLOOKUP(H1193,Stock_list!A:T,16,FALSE)</f>
        <v>JPY</v>
      </c>
      <c r="L1193" s="4"/>
      <c r="M1193" s="132">
        <v>2</v>
      </c>
      <c r="P1193" s="4" t="str">
        <f>VLOOKUP(H1193,Stock_list!A:Y,25,FALSE)</f>
        <v>Yes</v>
      </c>
      <c r="Q1193" s="133"/>
      <c r="R1193" s="143"/>
      <c r="S1193" s="123" t="s">
        <v>3004</v>
      </c>
      <c r="T1193" s="144" t="s">
        <v>3026</v>
      </c>
      <c r="U1193" s="145" t="str">
        <f>VLOOKUP(H1193,Stock_list!A:N,14,FALSE)</f>
        <v>MAR 19</v>
      </c>
    </row>
    <row r="1194" spans="1:21" ht="16.5" customHeight="1">
      <c r="A1194" s="159" t="s">
        <v>2755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2861</v>
      </c>
      <c r="H1194" s="138">
        <v>123</v>
      </c>
      <c r="I1194" s="139" t="str">
        <f>VLOOKUP(H1194,Stock_list!A:R,18,FALSE)</f>
        <v>维众</v>
      </c>
      <c r="J1194" s="139" t="str">
        <f>VLOOKUP(H1194,Stock_list!A:S,17,FALSE)</f>
        <v>C49SZX20180133SX</v>
      </c>
      <c r="K1194" s="51" t="str">
        <f>VLOOKUP(H1194,Stock_list!A:T,16,FALSE)</f>
        <v>JPY</v>
      </c>
      <c r="L1194" s="4" t="s">
        <v>3027</v>
      </c>
      <c r="M1194" s="132">
        <v>60</v>
      </c>
      <c r="P1194" s="4" t="str">
        <f>VLOOKUP(H1194,Stock_list!A:Y,25,FALSE)</f>
        <v>Yes</v>
      </c>
      <c r="Q1194" s="143"/>
      <c r="T1194" s="144"/>
      <c r="U1194" s="145" t="str">
        <f>VLOOKUP(H1194,Stock_list!A:N,14,FALSE)</f>
        <v>DEC 18</v>
      </c>
    </row>
    <row r="1195" spans="1:21" ht="16.5" customHeight="1">
      <c r="A1195" s="155" t="s">
        <v>2756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2861</v>
      </c>
      <c r="H1195" s="138">
        <v>123</v>
      </c>
      <c r="I1195" s="139" t="str">
        <f>VLOOKUP(H1195,Stock_list!A:R,18,FALSE)</f>
        <v>维众</v>
      </c>
      <c r="J1195" s="139" t="str">
        <f>VLOOKUP(H1195,Stock_list!A:S,17,FALSE)</f>
        <v>C49SZX20180133SX</v>
      </c>
      <c r="K1195" s="51" t="str">
        <f>VLOOKUP(H1195,Stock_list!A:T,16,FALSE)</f>
        <v>JPY</v>
      </c>
      <c r="L1195" s="4" t="s">
        <v>3027</v>
      </c>
      <c r="M1195" s="132">
        <v>10</v>
      </c>
      <c r="P1195" s="4" t="str">
        <f>VLOOKUP(H1195,Stock_list!A:Y,25,FALSE)</f>
        <v>Yes</v>
      </c>
      <c r="T1195" s="144"/>
      <c r="U1195" s="145" t="str">
        <f>VLOOKUP(H1195,Stock_list!A:N,14,FALSE)</f>
        <v>DEC 18</v>
      </c>
    </row>
    <row r="1196" spans="1:21" ht="16.5" customHeight="1">
      <c r="A1196" s="159" t="s">
        <v>2747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2858</v>
      </c>
      <c r="I1196" s="139" t="s">
        <v>2854</v>
      </c>
      <c r="J1196" s="139" t="s">
        <v>3028</v>
      </c>
      <c r="K1196" s="51" t="s">
        <v>1246</v>
      </c>
      <c r="L1196" s="4" t="s">
        <v>3025</v>
      </c>
      <c r="M1196" s="140">
        <v>20</v>
      </c>
      <c r="P1196" s="4" t="s">
        <v>291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2749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2858</v>
      </c>
      <c r="I1197" s="139" t="s">
        <v>2854</v>
      </c>
      <c r="J1197" s="139" t="s">
        <v>3028</v>
      </c>
      <c r="K1197" s="51" t="s">
        <v>1246</v>
      </c>
      <c r="L1197" s="4"/>
      <c r="M1197" s="140">
        <v>3</v>
      </c>
      <c r="P1197" s="4" t="s">
        <v>291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2768</v>
      </c>
      <c r="B1198" s="114" t="str">
        <f>VLOOKUP(A1198,'Data pick slip'!B:F,5,FALSE)</f>
        <v>KHJ-MC100-00</v>
      </c>
      <c r="C1198" s="156">
        <v>109421</v>
      </c>
      <c r="D1198" s="206"/>
      <c r="E1198" s="160">
        <f>VLOOKUP(C1198,Stock_list!D:L,9,FALSE)</f>
        <v>43435</v>
      </c>
      <c r="F1198" s="157" t="s">
        <v>2862</v>
      </c>
      <c r="G1198" s="132"/>
      <c r="H1198" s="138">
        <v>131</v>
      </c>
      <c r="I1198" s="139" t="str">
        <f>VLOOKUP(H1198,Stock_list!A:R,18,FALSE)</f>
        <v>朗特</v>
      </c>
      <c r="J1198" s="139" t="str">
        <f>VLOOKUP(H1198,Stock_list!A:S,17,FALSE)</f>
        <v>C49SZX20180137DZ</v>
      </c>
      <c r="K1198" s="51" t="str">
        <f>VLOOKUP(H1198,Stock_list!A:T,16,FALSE)</f>
        <v>JPY</v>
      </c>
      <c r="L1198" s="4"/>
      <c r="M1198" s="132">
        <v>150</v>
      </c>
      <c r="N1198" s="130"/>
      <c r="O1198" s="132"/>
      <c r="P1198" s="4" t="str">
        <f>VLOOKUP(H1198,Stock_list!A:Y,25,FALSE)</f>
        <v>Yes</v>
      </c>
      <c r="Q1198" s="133"/>
      <c r="R1198" s="134"/>
      <c r="S1198" s="123"/>
      <c r="T1198" s="144"/>
      <c r="U1198" s="145" t="str">
        <f>VLOOKUP(H1198,Stock_list!A:N,14,FALSE)</f>
        <v>DEC 18</v>
      </c>
    </row>
    <row r="1199" spans="1:21" s="142" customFormat="1" ht="16.5" customHeight="1">
      <c r="A1199" s="159" t="s">
        <v>2747</v>
      </c>
      <c r="B1199" s="114" t="str">
        <f>VLOOKUP(A1199,'Data pick slip'!B:F,5,FALSE)</f>
        <v>KHJ-MC200-00</v>
      </c>
      <c r="C1199" s="156">
        <v>109421</v>
      </c>
      <c r="D1199" s="206"/>
      <c r="E1199" s="160">
        <f>VLOOKUP(C1199,Stock_list!D:L,9,FALSE)</f>
        <v>43435</v>
      </c>
      <c r="F1199" s="157" t="s">
        <v>2862</v>
      </c>
      <c r="G1199" s="132"/>
      <c r="H1199" s="138">
        <v>131</v>
      </c>
      <c r="I1199" s="139" t="str">
        <f>VLOOKUP(H1199,Stock_list!A:R,18,FALSE)</f>
        <v>朗特</v>
      </c>
      <c r="J1199" s="139" t="str">
        <f>VLOOKUP(H1199,Stock_list!A:S,17,FALSE)</f>
        <v>C49SZX20180137DZ</v>
      </c>
      <c r="K1199" s="51" t="str">
        <f>VLOOKUP(H1199,Stock_list!A:T,16,FALSE)</f>
        <v>JPY</v>
      </c>
      <c r="L1199" s="4" t="s">
        <v>3025</v>
      </c>
      <c r="M1199" s="132">
        <v>35</v>
      </c>
      <c r="N1199" s="130"/>
      <c r="O1199" s="132"/>
      <c r="P1199" s="4" t="str">
        <f>VLOOKUP(H1199,Stock_list!A:Y,25,FALSE)</f>
        <v>Yes</v>
      </c>
      <c r="Q1199" s="133"/>
      <c r="R1199" s="134"/>
      <c r="S1199" s="123"/>
      <c r="T1199" s="144"/>
      <c r="U1199" s="145" t="str">
        <f>VLOOKUP(H1199,Stock_list!A:N,14,FALSE)</f>
        <v>DEC 18</v>
      </c>
    </row>
    <row r="1200" spans="1:21" s="142" customFormat="1" ht="16.5" customHeight="1">
      <c r="A1200" s="155" t="s">
        <v>2748</v>
      </c>
      <c r="B1200" s="114" t="str">
        <f>VLOOKUP(A1200,'Data pick slip'!B:F,5,FALSE)</f>
        <v>KHJ-MC400-00</v>
      </c>
      <c r="C1200" s="156">
        <v>109295</v>
      </c>
      <c r="D1200" s="206"/>
      <c r="E1200" s="160">
        <f>VLOOKUP(C1200,Stock_list!D:L,9,FALSE)</f>
        <v>43418</v>
      </c>
      <c r="F1200" s="157" t="s">
        <v>2862</v>
      </c>
      <c r="G1200" s="132"/>
      <c r="H1200" s="138">
        <v>131</v>
      </c>
      <c r="I1200" s="139" t="str">
        <f>VLOOKUP(H1200,Stock_list!A:R,18,FALSE)</f>
        <v>朗特</v>
      </c>
      <c r="J1200" s="139" t="str">
        <f>VLOOKUP(H1200,Stock_list!A:S,17,FALSE)</f>
        <v>C49SZX20180137DZ</v>
      </c>
      <c r="K1200" s="51" t="str">
        <f>VLOOKUP(H1200,Stock_list!A:T,16,FALSE)</f>
        <v>JPY</v>
      </c>
      <c r="L1200" s="4"/>
      <c r="M1200" s="132">
        <v>16</v>
      </c>
      <c r="N1200" s="130"/>
      <c r="O1200" s="132"/>
      <c r="P1200" s="4" t="str">
        <f>VLOOKUP(H1200,Stock_list!A:Y,25,FALSE)</f>
        <v>Yes</v>
      </c>
      <c r="Q1200" s="133"/>
      <c r="R1200" s="134"/>
      <c r="S1200" s="123"/>
      <c r="T1200" s="144"/>
      <c r="U1200" s="145" t="str">
        <f>VLOOKUP(H1200,Stock_list!A:N,14,FALSE)</f>
        <v>DEC 18</v>
      </c>
    </row>
    <row r="1201" spans="1:21" s="142" customFormat="1" ht="16.5" customHeight="1">
      <c r="A1201" s="155" t="s">
        <v>2749</v>
      </c>
      <c r="B1201" s="114" t="str">
        <f>VLOOKUP(A1201,'Data pick slip'!B:F,5,FALSE)</f>
        <v>KHJ-MC500-00</v>
      </c>
      <c r="C1201" s="156">
        <v>109295</v>
      </c>
      <c r="D1201" s="206"/>
      <c r="E1201" s="160">
        <f>VLOOKUP(C1201,Stock_list!D:L,9,FALSE)</f>
        <v>43418</v>
      </c>
      <c r="F1201" s="157" t="s">
        <v>2862</v>
      </c>
      <c r="G1201" s="132"/>
      <c r="H1201" s="138">
        <v>131</v>
      </c>
      <c r="I1201" s="139" t="str">
        <f>VLOOKUP(H1201,Stock_list!A:R,18,FALSE)</f>
        <v>朗特</v>
      </c>
      <c r="J1201" s="139" t="str">
        <f>VLOOKUP(H1201,Stock_list!A:S,17,FALSE)</f>
        <v>C49SZX20180137DZ</v>
      </c>
      <c r="K1201" s="51" t="str">
        <f>VLOOKUP(H1201,Stock_list!A:T,16,FALSE)</f>
        <v>JPY</v>
      </c>
      <c r="L1201" s="4"/>
      <c r="M1201" s="132">
        <v>3</v>
      </c>
      <c r="N1201" s="130"/>
      <c r="O1201" s="132"/>
      <c r="P1201" s="4" t="str">
        <f>VLOOKUP(H1201,Stock_list!A:Y,25,FALSE)</f>
        <v>Yes</v>
      </c>
      <c r="Q1201" s="133"/>
      <c r="R1201" s="134"/>
      <c r="S1201" s="123"/>
      <c r="T1201" s="144"/>
      <c r="U1201" s="145" t="str">
        <f>VLOOKUP(H1201,Stock_list!A:N,14,FALSE)</f>
        <v>DEC 18</v>
      </c>
    </row>
    <row r="1202" spans="1:21" s="142" customFormat="1" ht="16.5" customHeight="1">
      <c r="A1202" s="155" t="s">
        <v>2750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2862</v>
      </c>
      <c r="G1202" s="132"/>
      <c r="H1202" s="138">
        <v>131</v>
      </c>
      <c r="I1202" s="139" t="str">
        <f>VLOOKUP(H1202,Stock_list!A:R,18,FALSE)</f>
        <v>朗特</v>
      </c>
      <c r="J1202" s="139" t="str">
        <f>VLOOKUP(H1202,Stock_list!A:S,17,FALSE)</f>
        <v>C49SZX20180137DZ</v>
      </c>
      <c r="K1202" s="51" t="str">
        <f>VLOOKUP(H1202,Stock_list!A:T,16,FALSE)</f>
        <v>JPY</v>
      </c>
      <c r="L1202" s="4"/>
      <c r="M1202" s="132">
        <v>1</v>
      </c>
      <c r="N1202" s="130"/>
      <c r="O1202" s="132"/>
      <c r="P1202" s="4" t="str">
        <f>VLOOKUP(H1202,Stock_list!A:Y,25,FALSE)</f>
        <v>Yes</v>
      </c>
      <c r="Q1202" s="133"/>
      <c r="R1202" s="134"/>
      <c r="S1202" s="123"/>
      <c r="T1202" s="144"/>
      <c r="U1202" s="145" t="str">
        <f>VLOOKUP(H1202,Stock_list!A:N,14,FALSE)</f>
        <v>DEC 18</v>
      </c>
    </row>
    <row r="1203" spans="1:21" s="142" customFormat="1" ht="16.5" customHeight="1">
      <c r="A1203" s="127" t="s">
        <v>2760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2773</v>
      </c>
      <c r="G1203" s="132"/>
      <c r="H1203" s="138">
        <v>131</v>
      </c>
      <c r="I1203" s="139" t="str">
        <f>VLOOKUP(H1203,Stock_list!A:R,18,FALSE)</f>
        <v>朗特</v>
      </c>
      <c r="J1203" s="139" t="str">
        <f>VLOOKUP(H1203,Stock_list!A:S,17,FALSE)</f>
        <v>C49SZX20180137DZ</v>
      </c>
      <c r="K1203" s="51" t="str">
        <f>VLOOKUP(H1203,Stock_list!A:T,16,FALSE)</f>
        <v>JPY</v>
      </c>
      <c r="L1203" s="4"/>
      <c r="M1203" s="132">
        <v>1</v>
      </c>
      <c r="N1203" s="130"/>
      <c r="O1203" s="132"/>
      <c r="P1203" s="4" t="str">
        <f>VLOOKUP(H1203,Stock_list!A:Y,25,FALSE)</f>
        <v>Yes</v>
      </c>
      <c r="Q1203" s="133"/>
      <c r="R1203" s="134"/>
      <c r="S1203" s="123" t="s">
        <v>3004</v>
      </c>
      <c r="T1203" s="144" t="s">
        <v>3024</v>
      </c>
      <c r="U1203" s="145" t="str">
        <f>VLOOKUP(H1203,Stock_list!A:N,14,FALSE)</f>
        <v>DEC 18</v>
      </c>
    </row>
    <row r="1204" spans="1:21" s="142" customFormat="1" ht="16.5" customHeight="1">
      <c r="A1204" s="155" t="s">
        <v>2768</v>
      </c>
      <c r="B1204" s="114" t="str">
        <f>VLOOKUP(A1204,'Data pick slip'!B:F,5,FALSE)</f>
        <v>KHJ-MC100-00</v>
      </c>
      <c r="C1204" s="156">
        <v>109352</v>
      </c>
      <c r="D1204" s="206"/>
      <c r="E1204" s="160">
        <f>VLOOKUP(C1204,Stock_list!D:L,9,FALSE)</f>
        <v>43358</v>
      </c>
      <c r="F1204" s="157" t="s">
        <v>2861</v>
      </c>
      <c r="G1204" s="132"/>
      <c r="H1204" s="138">
        <v>149</v>
      </c>
      <c r="I1204" s="139" t="str">
        <f>VLOOKUP(H1204,Stock_list!A:R,18,FALSE)</f>
        <v>德兰明海</v>
      </c>
      <c r="J1204" s="139" t="str">
        <f>VLOOKUP(H1204,Stock_list!A:S,17,FALSE)</f>
        <v>C49SZX20180158ZX</v>
      </c>
      <c r="K1204" s="51" t="str">
        <f>VLOOKUP(H1204,Stock_list!A:T,16,FALSE)</f>
        <v>JPY</v>
      </c>
      <c r="L1204" s="4"/>
      <c r="M1204" s="132">
        <v>60</v>
      </c>
      <c r="N1204" s="130"/>
      <c r="O1204" s="132"/>
      <c r="P1204" s="4" t="str">
        <f>VLOOKUP(H1204,Stock_list!A:Y,25,FALSE)</f>
        <v>Yes</v>
      </c>
      <c r="R1204" s="143"/>
      <c r="S1204" s="123"/>
      <c r="T1204" s="144"/>
      <c r="U1204" s="145" t="str">
        <f>VLOOKUP(H1204,Stock_list!A:N,14,FALSE)</f>
        <v>NOV 18</v>
      </c>
    </row>
    <row r="1205" spans="1:21" s="142" customFormat="1" ht="16.5" customHeight="1">
      <c r="A1205" s="159" t="s">
        <v>2747</v>
      </c>
      <c r="B1205" s="114" t="str">
        <f>VLOOKUP(A1205,'Data pick slip'!B:F,5,FALSE)</f>
        <v>KHJ-MC200-00</v>
      </c>
      <c r="C1205" s="156">
        <v>109352</v>
      </c>
      <c r="D1205" s="206"/>
      <c r="E1205" s="160">
        <f>VLOOKUP(C1205,Stock_list!D:L,9,FALSE)</f>
        <v>43358</v>
      </c>
      <c r="F1205" s="157" t="s">
        <v>2861</v>
      </c>
      <c r="G1205" s="132"/>
      <c r="H1205" s="138">
        <v>149</v>
      </c>
      <c r="I1205" s="139" t="str">
        <f>VLOOKUP(H1205,Stock_list!A:R,18,FALSE)</f>
        <v>德兰明海</v>
      </c>
      <c r="J1205" s="139" t="str">
        <f>VLOOKUP(H1205,Stock_list!A:S,17,FALSE)</f>
        <v>C49SZX20180158ZX</v>
      </c>
      <c r="K1205" s="51" t="str">
        <f>VLOOKUP(H1205,Stock_list!A:T,16,FALSE)</f>
        <v>JPY</v>
      </c>
      <c r="L1205" s="4" t="s">
        <v>3025</v>
      </c>
      <c r="M1205" s="132">
        <v>18</v>
      </c>
      <c r="N1205" s="130"/>
      <c r="O1205" s="132"/>
      <c r="P1205" s="4" t="str">
        <f>VLOOKUP(H1205,Stock_list!A:Y,25,FALSE)</f>
        <v>Yes</v>
      </c>
      <c r="R1205" s="143"/>
      <c r="S1205" s="123"/>
      <c r="T1205" s="144"/>
      <c r="U1205" s="145" t="str">
        <f>VLOOKUP(H1205,Stock_list!A:N,14,FALSE)</f>
        <v>NOV 18</v>
      </c>
    </row>
    <row r="1206" spans="1:21" s="142" customFormat="1" ht="16.5" customHeight="1">
      <c r="A1206" s="155" t="s">
        <v>2748</v>
      </c>
      <c r="B1206" s="114" t="str">
        <f>VLOOKUP(A1206,'Data pick slip'!B:F,5,FALSE)</f>
        <v>KHJ-MC400-00</v>
      </c>
      <c r="C1206" s="156">
        <v>109352</v>
      </c>
      <c r="D1206" s="206"/>
      <c r="E1206" s="160">
        <f>VLOOKUP(C1206,Stock_list!D:L,9,FALSE)</f>
        <v>43358</v>
      </c>
      <c r="F1206" s="157" t="s">
        <v>2861</v>
      </c>
      <c r="G1206" s="132"/>
      <c r="H1206" s="138">
        <v>149</v>
      </c>
      <c r="I1206" s="139" t="str">
        <f>VLOOKUP(H1206,Stock_list!A:R,18,FALSE)</f>
        <v>德兰明海</v>
      </c>
      <c r="J1206" s="139" t="str">
        <f>VLOOKUP(H1206,Stock_list!A:S,17,FALSE)</f>
        <v>C49SZX20180158ZX</v>
      </c>
      <c r="K1206" s="51" t="str">
        <f>VLOOKUP(H1206,Stock_list!A:T,16,FALSE)</f>
        <v>JPY</v>
      </c>
      <c r="L1206" s="4"/>
      <c r="M1206" s="132">
        <v>2</v>
      </c>
      <c r="N1206" s="130"/>
      <c r="O1206" s="132"/>
      <c r="P1206" s="4" t="str">
        <f>VLOOKUP(H1206,Stock_list!A:Y,25,FALSE)</f>
        <v>Yes</v>
      </c>
      <c r="R1206" s="143"/>
      <c r="S1206" s="123"/>
      <c r="T1206" s="144"/>
      <c r="U1206" s="145" t="str">
        <f>VLOOKUP(H1206,Stock_list!A:N,14,FALSE)</f>
        <v>NOV 18</v>
      </c>
    </row>
    <row r="1207" spans="1:21" s="142" customFormat="1" ht="16.5" customHeight="1">
      <c r="A1207" s="155" t="s">
        <v>2768</v>
      </c>
      <c r="B1207" s="114" t="str">
        <f>VLOOKUP(A1207,'Data pick slip'!B:F,5,FALSE)</f>
        <v>KHJ-MC100-00</v>
      </c>
      <c r="C1207" s="156">
        <v>109247</v>
      </c>
      <c r="D1207" s="206"/>
      <c r="E1207" s="160">
        <f>VLOOKUP(C1207,Stock_list!D:L,9,FALSE)</f>
        <v>43527</v>
      </c>
      <c r="F1207" s="157" t="s">
        <v>2862</v>
      </c>
      <c r="G1207" s="132"/>
      <c r="H1207" s="138">
        <v>150</v>
      </c>
      <c r="I1207" s="139" t="str">
        <f>VLOOKUP(H1207,Stock_list!A:R,18,FALSE)</f>
        <v>可祁</v>
      </c>
      <c r="J1207" s="139" t="str">
        <f>VLOOKUP(H1207,Stock_list!A:S,17,FALSE)</f>
        <v>C49SZX20180156SX</v>
      </c>
      <c r="K1207" s="51" t="str">
        <f>VLOOKUP(H1207,Stock_list!A:T,16,FALSE)</f>
        <v>JPY</v>
      </c>
      <c r="L1207" s="4">
        <v>43578</v>
      </c>
      <c r="M1207" s="132">
        <v>70</v>
      </c>
      <c r="N1207" s="130"/>
      <c r="O1207" s="132"/>
      <c r="P1207" s="4" t="str">
        <f>VLOOKUP(H1207,Stock_list!A:Y,25,FALSE)</f>
        <v>Yes</v>
      </c>
      <c r="Q1207" s="133"/>
      <c r="R1207" s="143"/>
      <c r="S1207" s="123"/>
      <c r="T1207" s="144"/>
      <c r="U1207" s="145" t="str">
        <f>VLOOKUP(H1207,Stock_list!A:N,14,FALSE)</f>
        <v>APR 19</v>
      </c>
    </row>
    <row r="1208" spans="1:21" s="142" customFormat="1" ht="16.5" customHeight="1">
      <c r="A1208" s="159" t="s">
        <v>2747</v>
      </c>
      <c r="B1208" s="114" t="str">
        <f>VLOOKUP(A1208,'Data pick slip'!B:F,5,FALSE)</f>
        <v>KHJ-MC200-00</v>
      </c>
      <c r="C1208" s="156">
        <v>109247</v>
      </c>
      <c r="D1208" s="206"/>
      <c r="E1208" s="160">
        <f>VLOOKUP(C1208,Stock_list!D:L,9,FALSE)</f>
        <v>43527</v>
      </c>
      <c r="F1208" s="157" t="s">
        <v>2862</v>
      </c>
      <c r="G1208" s="132"/>
      <c r="H1208" s="138">
        <v>150</v>
      </c>
      <c r="I1208" s="139" t="str">
        <f>VLOOKUP(H1208,Stock_list!A:R,18,FALSE)</f>
        <v>可祁</v>
      </c>
      <c r="J1208" s="139" t="str">
        <f>VLOOKUP(H1208,Stock_list!A:S,17,FALSE)</f>
        <v>C49SZX20180156SX</v>
      </c>
      <c r="K1208" s="51" t="str">
        <f>VLOOKUP(H1208,Stock_list!A:T,16,FALSE)</f>
        <v>JPY</v>
      </c>
      <c r="L1208" s="4">
        <v>43578</v>
      </c>
      <c r="M1208" s="132">
        <v>4</v>
      </c>
      <c r="N1208" s="130"/>
      <c r="O1208" s="132"/>
      <c r="P1208" s="4" t="str">
        <f>VLOOKUP(H1208,Stock_list!A:Y,25,FALSE)</f>
        <v>Yes</v>
      </c>
      <c r="Q1208" s="133"/>
      <c r="R1208" s="143"/>
      <c r="S1208" s="123"/>
      <c r="T1208" s="144"/>
      <c r="U1208" s="145" t="str">
        <f>VLOOKUP(H1208,Stock_list!A:N,14,FALSE)</f>
        <v>APR 19</v>
      </c>
    </row>
    <row r="1209" spans="1:21" s="142" customFormat="1" ht="16.5" customHeight="1">
      <c r="A1209" s="155" t="s">
        <v>2748</v>
      </c>
      <c r="B1209" s="114" t="str">
        <f>VLOOKUP(A1209,'Data pick slip'!B:F,5,FALSE)</f>
        <v>KHJ-MC400-00</v>
      </c>
      <c r="C1209" s="156">
        <v>109319</v>
      </c>
      <c r="D1209" s="206"/>
      <c r="E1209" s="160">
        <f>VLOOKUP(C1209,Stock_list!D:L,9,FALSE)</f>
        <v>43537</v>
      </c>
      <c r="F1209" s="157" t="s">
        <v>2862</v>
      </c>
      <c r="G1209" s="132"/>
      <c r="H1209" s="138">
        <v>150</v>
      </c>
      <c r="I1209" s="139" t="str">
        <f>VLOOKUP(H1209,Stock_list!A:R,18,FALSE)</f>
        <v>可祁</v>
      </c>
      <c r="J1209" s="139" t="str">
        <f>VLOOKUP(H1209,Stock_list!A:S,17,FALSE)</f>
        <v>C49SZX20180156SX</v>
      </c>
      <c r="K1209" s="51" t="str">
        <f>VLOOKUP(H1209,Stock_list!A:T,16,FALSE)</f>
        <v>JPY</v>
      </c>
      <c r="L1209" s="4">
        <v>43578</v>
      </c>
      <c r="M1209" s="132">
        <v>4</v>
      </c>
      <c r="N1209" s="130"/>
      <c r="O1209" s="132"/>
      <c r="P1209" s="4" t="str">
        <f>VLOOKUP(H1209,Stock_list!A:Y,25,FALSE)</f>
        <v>Yes</v>
      </c>
      <c r="Q1209" s="133"/>
      <c r="R1209" s="143"/>
      <c r="S1209" s="123"/>
      <c r="T1209" s="144"/>
      <c r="U1209" s="145" t="str">
        <f>VLOOKUP(H1209,Stock_list!A:N,14,FALSE)</f>
        <v>APR 19</v>
      </c>
    </row>
    <row r="1210" spans="1:21" s="142" customFormat="1" ht="16.5" customHeight="1">
      <c r="A1210" s="155" t="s">
        <v>2748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2858</v>
      </c>
      <c r="G1210" s="132"/>
      <c r="H1210" s="138"/>
      <c r="I1210" s="139" t="s">
        <v>2854</v>
      </c>
      <c r="J1210" s="139" t="s">
        <v>3029</v>
      </c>
      <c r="K1210" s="51" t="s">
        <v>1246</v>
      </c>
      <c r="L1210" s="4" t="s">
        <v>3015</v>
      </c>
      <c r="M1210" s="140">
        <v>1</v>
      </c>
      <c r="N1210" s="132"/>
      <c r="O1210" s="132"/>
      <c r="P1210" s="4" t="s">
        <v>291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2768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2773</v>
      </c>
      <c r="G1211" s="132"/>
      <c r="H1211" s="138">
        <v>7</v>
      </c>
      <c r="I1211" s="139" t="str">
        <f>VLOOKUP(H1211,Stock_list!A:R,18,FALSE)</f>
        <v>祥弘瑞</v>
      </c>
      <c r="J1211" s="139" t="str">
        <f>VLOOKUP(H1211,Stock_list!A:S,17,FALSE)</f>
        <v>C49SZX201800038SS</v>
      </c>
      <c r="K1211" s="51" t="str">
        <f>VLOOKUP(H1211,Stock_list!A:T,16,FALSE)</f>
        <v>JPY</v>
      </c>
      <c r="L1211" s="4"/>
      <c r="M1211" s="140"/>
      <c r="N1211" s="132"/>
      <c r="O1211" s="132">
        <f>25-25</f>
        <v>0</v>
      </c>
      <c r="P1211" s="4" t="str">
        <f>VLOOKUP(H1211,Stock_list!A:Y,25,FALSE)</f>
        <v>Yes</v>
      </c>
      <c r="Q1211" s="143"/>
      <c r="R1211" s="143"/>
      <c r="S1211" s="123"/>
      <c r="T1211" s="144"/>
      <c r="U1211" s="145" t="str">
        <f>VLOOKUP(H1211,Stock_list!A:N,14,FALSE)</f>
        <v>DEC 18</v>
      </c>
    </row>
    <row r="1212" spans="1:21" s="142" customFormat="1" ht="16.5" customHeight="1">
      <c r="A1212" s="159" t="s">
        <v>2747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2773</v>
      </c>
      <c r="G1212" s="132"/>
      <c r="H1212" s="138">
        <v>7</v>
      </c>
      <c r="I1212" s="139" t="str">
        <f>VLOOKUP(H1212,Stock_list!A:R,18,FALSE)</f>
        <v>祥弘瑞</v>
      </c>
      <c r="J1212" s="139" t="str">
        <f>VLOOKUP(H1212,Stock_list!A:S,17,FALSE)</f>
        <v>C49SZX201800038SS</v>
      </c>
      <c r="K1212" s="51" t="str">
        <f>VLOOKUP(H1212,Stock_list!A:T,16,FALSE)</f>
        <v>JPY</v>
      </c>
      <c r="L1212" s="290" t="s">
        <v>3009</v>
      </c>
      <c r="M1212" s="140"/>
      <c r="N1212" s="132"/>
      <c r="O1212" s="132">
        <f>3-3</f>
        <v>0</v>
      </c>
      <c r="P1212" s="4" t="str">
        <f>VLOOKUP(H1212,Stock_list!A:Y,25,FALSE)</f>
        <v>Yes</v>
      </c>
      <c r="Q1212" s="143"/>
      <c r="R1212" s="143"/>
      <c r="S1212" s="123"/>
      <c r="T1212" s="144"/>
      <c r="U1212" s="145" t="str">
        <f>VLOOKUP(H1212,Stock_list!A:N,14,FALSE)</f>
        <v>DEC 18</v>
      </c>
    </row>
    <row r="1213" spans="1:21" s="142" customFormat="1" ht="16.5" customHeight="1">
      <c r="A1213" s="155" t="s">
        <v>2768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2773</v>
      </c>
      <c r="G1213" s="132"/>
      <c r="H1213" s="138">
        <v>50</v>
      </c>
      <c r="I1213" s="139" t="str">
        <f>VLOOKUP(H1213,Stock_list!A:R,18,FALSE)</f>
        <v>朗特</v>
      </c>
      <c r="J1213" s="139" t="str">
        <f>VLOOKUP(H1213,Stock_list!A:S,17,FALSE)</f>
        <v>C49SZX20180078DZ</v>
      </c>
      <c r="K1213" s="51" t="str">
        <f>VLOOKUP(H1213,Stock_list!A:T,16,FALSE)</f>
        <v>JPY</v>
      </c>
      <c r="L1213" s="4"/>
      <c r="M1213" s="140"/>
      <c r="N1213" s="132"/>
      <c r="O1213" s="132">
        <f>80-80</f>
        <v>0</v>
      </c>
      <c r="P1213" s="4" t="str">
        <f>VLOOKUP(H1213,Stock_list!A:Y,25,FALSE)</f>
        <v>Yes</v>
      </c>
      <c r="Q1213" s="143"/>
      <c r="R1213" s="134"/>
      <c r="S1213" s="123"/>
      <c r="T1213" s="144"/>
      <c r="U1213" s="145" t="str">
        <f>VLOOKUP(H1213,Stock_list!A:N,14,FALSE)</f>
        <v>DEC 18</v>
      </c>
    </row>
    <row r="1214" spans="1:21" s="142" customFormat="1" ht="16.5" customHeight="1">
      <c r="A1214" s="159" t="s">
        <v>2747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2862</v>
      </c>
      <c r="G1214" s="132"/>
      <c r="H1214" s="138">
        <v>50</v>
      </c>
      <c r="I1214" s="139" t="str">
        <f>VLOOKUP(H1214,Stock_list!A:R,18,FALSE)</f>
        <v>朗特</v>
      </c>
      <c r="J1214" s="139" t="str">
        <f>VLOOKUP(H1214,Stock_list!A:S,17,FALSE)</f>
        <v>C49SZX20180078DZ</v>
      </c>
      <c r="K1214" s="51" t="str">
        <f>VLOOKUP(H1214,Stock_list!A:T,16,FALSE)</f>
        <v>JPY</v>
      </c>
      <c r="L1214" s="4"/>
      <c r="M1214" s="140"/>
      <c r="N1214" s="132"/>
      <c r="O1214" s="132">
        <f>15-15</f>
        <v>0</v>
      </c>
      <c r="P1214" s="4" t="str">
        <f>VLOOKUP(H1214,Stock_list!A:Y,25,FALSE)</f>
        <v>Yes</v>
      </c>
      <c r="Q1214" s="143"/>
      <c r="R1214" s="134"/>
      <c r="S1214" s="123"/>
      <c r="T1214" s="144"/>
      <c r="U1214" s="145" t="str">
        <f>VLOOKUP(H1214,Stock_list!A:N,14,FALSE)</f>
        <v>DEC 18</v>
      </c>
    </row>
    <row r="1215" spans="1:21" s="142" customFormat="1" ht="16.5" customHeight="1">
      <c r="A1215" s="159" t="s">
        <v>2757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2862</v>
      </c>
      <c r="G1215" s="132"/>
      <c r="H1215" s="138">
        <v>50</v>
      </c>
      <c r="I1215" s="139" t="str">
        <f>VLOOKUP(H1215,Stock_list!A:R,18,FALSE)</f>
        <v>朗特</v>
      </c>
      <c r="J1215" s="139" t="str">
        <f>VLOOKUP(H1215,Stock_list!A:S,17,FALSE)</f>
        <v>C49SZX20180078DZ</v>
      </c>
      <c r="K1215" s="51" t="str">
        <f>VLOOKUP(H1215,Stock_list!A:T,16,FALSE)</f>
        <v>JPY</v>
      </c>
      <c r="L1215" s="4"/>
      <c r="M1215" s="140"/>
      <c r="N1215" s="132"/>
      <c r="O1215" s="132">
        <f>4-4</f>
        <v>0</v>
      </c>
      <c r="P1215" s="4" t="str">
        <f>VLOOKUP(H1215,Stock_list!A:Y,25,FALSE)</f>
        <v>Yes</v>
      </c>
      <c r="Q1215" s="143"/>
      <c r="R1215" s="134"/>
      <c r="S1215" s="123"/>
      <c r="T1215" s="144"/>
      <c r="U1215" s="145" t="str">
        <f>VLOOKUP(H1215,Stock_list!A:N,14,FALSE)</f>
        <v>DEC 18</v>
      </c>
    </row>
    <row r="1216" spans="1:21" s="142" customFormat="1" ht="16.5" customHeight="1">
      <c r="A1216" s="159" t="s">
        <v>2749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2862</v>
      </c>
      <c r="G1216" s="132"/>
      <c r="H1216" s="138">
        <v>50</v>
      </c>
      <c r="I1216" s="139" t="str">
        <f>VLOOKUP(H1216,Stock_list!A:R,18,FALSE)</f>
        <v>朗特</v>
      </c>
      <c r="J1216" s="139" t="str">
        <f>VLOOKUP(H1216,Stock_list!A:S,17,FALSE)</f>
        <v>C49SZX20180078DZ</v>
      </c>
      <c r="K1216" s="51" t="str">
        <f>VLOOKUP(H1216,Stock_list!A:T,16,FALSE)</f>
        <v>JPY</v>
      </c>
      <c r="L1216" s="4"/>
      <c r="M1216" s="140"/>
      <c r="N1216" s="132"/>
      <c r="O1216" s="132">
        <f>1-1</f>
        <v>0</v>
      </c>
      <c r="P1216" s="4" t="str">
        <f>VLOOKUP(H1216,Stock_list!A:Y,25,FALSE)</f>
        <v>Yes</v>
      </c>
      <c r="Q1216" s="143"/>
      <c r="R1216" s="134"/>
      <c r="S1216" s="123"/>
      <c r="T1216" s="144"/>
      <c r="U1216" s="145" t="str">
        <f>VLOOKUP(H1216,Stock_list!A:N,14,FALSE)</f>
        <v>DEC 18</v>
      </c>
    </row>
    <row r="1217" spans="1:21" s="142" customFormat="1" ht="16.5" customHeight="1">
      <c r="A1217" s="159" t="s">
        <v>2748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2773</v>
      </c>
      <c r="G1217" s="132"/>
      <c r="H1217" s="138"/>
      <c r="I1217" s="139" t="s">
        <v>2854</v>
      </c>
      <c r="J1217" s="139" t="s">
        <v>3030</v>
      </c>
      <c r="K1217" s="51" t="s">
        <v>1246</v>
      </c>
      <c r="L1217" s="4" t="s">
        <v>3015</v>
      </c>
      <c r="M1217" s="140">
        <v>1</v>
      </c>
      <c r="N1217" s="132"/>
      <c r="O1217" s="132"/>
      <c r="P1217" s="4" t="s">
        <v>291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2748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2773</v>
      </c>
      <c r="G1218" s="132"/>
      <c r="H1218" s="138"/>
      <c r="I1218" s="139" t="s">
        <v>2854</v>
      </c>
      <c r="J1218" s="139" t="s">
        <v>3031</v>
      </c>
      <c r="K1218" s="51" t="s">
        <v>1246</v>
      </c>
      <c r="L1218" s="4" t="s">
        <v>3015</v>
      </c>
      <c r="M1218" s="140">
        <v>1</v>
      </c>
      <c r="N1218" s="132"/>
      <c r="O1218" s="132"/>
      <c r="P1218" s="4" t="s">
        <v>291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2755</v>
      </c>
      <c r="B1219" s="114" t="str">
        <f>VLOOKUP(A1219,'Data pick slip'!B:F,5,FALSE)</f>
        <v>KLJ-MC100-00</v>
      </c>
      <c r="C1219" s="156">
        <v>109218</v>
      </c>
      <c r="E1219" s="160">
        <f>VLOOKUP(C1219,Stock_list!D:L,9,FALSE)</f>
        <v>43278</v>
      </c>
      <c r="F1219" s="157" t="s">
        <v>2773</v>
      </c>
      <c r="H1219" s="138">
        <v>152</v>
      </c>
      <c r="I1219" s="139" t="str">
        <f>VLOOKUP(H1219,Stock_list!A:R,18,FALSE)</f>
        <v>龙大光电</v>
      </c>
      <c r="J1219" s="139" t="str">
        <f>VLOOKUP(H1219,Stock_list!A:S,17,FALSE)</f>
        <v>C49SZX20180162SS</v>
      </c>
      <c r="K1219" s="51" t="str">
        <f>VLOOKUP(H1219,Stock_list!A:T,16,FALSE)</f>
        <v>RMB</v>
      </c>
      <c r="L1219" s="4"/>
      <c r="M1219" s="140">
        <v>40</v>
      </c>
      <c r="P1219" s="4" t="str">
        <f>VLOOKUP(H1219,Stock_list!A:Y,25,FALSE)</f>
        <v>Yes</v>
      </c>
      <c r="Q1219" s="143"/>
      <c r="T1219" s="144"/>
      <c r="U1219" s="145" t="str">
        <f>VLOOKUP(H1219,Stock_list!A:N,14,FALSE)</f>
        <v>JAN 19</v>
      </c>
    </row>
    <row r="1220" spans="1:21" ht="16.5" customHeight="1">
      <c r="A1220" s="159" t="s">
        <v>2755</v>
      </c>
      <c r="B1220" s="114" t="str">
        <f>VLOOKUP(A1220,'Data pick slip'!B:F,5,FALSE)</f>
        <v>KLJ-MC100-00</v>
      </c>
      <c r="C1220" s="156">
        <v>109421</v>
      </c>
      <c r="E1220" s="160">
        <f>VLOOKUP(C1220,Stock_list!D:L,9,FALSE)</f>
        <v>43435</v>
      </c>
      <c r="F1220" s="157" t="s">
        <v>2862</v>
      </c>
      <c r="H1220" s="138">
        <v>154</v>
      </c>
      <c r="I1220" s="139" t="str">
        <f>VLOOKUP(H1220,Stock_list!A:R,18,FALSE)</f>
        <v>格美通</v>
      </c>
      <c r="J1220" s="139" t="str">
        <f>VLOOKUP(H1220,Stock_list!A:S,17,FALSE)</f>
        <v>C49SZX20180165ZX</v>
      </c>
      <c r="K1220" s="51" t="str">
        <f>VLOOKUP(H1220,Stock_list!A:T,16,FALSE)</f>
        <v>JPY</v>
      </c>
      <c r="L1220" s="4"/>
      <c r="M1220" s="132">
        <v>60</v>
      </c>
      <c r="P1220" s="4" t="str">
        <f>VLOOKUP(H1220,Stock_list!A:Y,25,FALSE)</f>
        <v>Yes</v>
      </c>
      <c r="Q1220" s="143"/>
      <c r="T1220" s="144"/>
      <c r="U1220" s="145" t="str">
        <f>VLOOKUP(H1220,Stock_list!A:N,14,FALSE)</f>
        <v>DEC 18</v>
      </c>
    </row>
    <row r="1221" spans="1:21" ht="16.5" customHeight="1">
      <c r="A1221" s="159" t="s">
        <v>2744</v>
      </c>
      <c r="B1221" s="114" t="str">
        <f>VLOOKUP(A1221,'Data pick slip'!B:F,5,FALSE)</f>
        <v>KHJ-MC100-00</v>
      </c>
      <c r="C1221" s="156">
        <v>109493</v>
      </c>
      <c r="E1221" s="160">
        <f>VLOOKUP(C1221,Stock_list!D:L,9,FALSE)</f>
        <v>43546</v>
      </c>
      <c r="F1221" s="157" t="s">
        <v>2862</v>
      </c>
      <c r="H1221" s="138">
        <v>155</v>
      </c>
      <c r="I1221" s="139" t="str">
        <f>VLOOKUP(H1221,Stock_list!A:R,18,FALSE)</f>
        <v>朗特</v>
      </c>
      <c r="J1221" s="139" t="str">
        <f>VLOOKUP(H1221,Stock_list!A:S,17,FALSE)</f>
        <v>C49SZX20180167DZ</v>
      </c>
      <c r="K1221" s="51" t="str">
        <f>VLOOKUP(H1221,Stock_list!A:T,16,FALSE)</f>
        <v>JPY</v>
      </c>
      <c r="L1221" s="4">
        <v>43557</v>
      </c>
      <c r="M1221" s="132">
        <v>670</v>
      </c>
      <c r="P1221" s="4" t="str">
        <f>VLOOKUP(H1221,Stock_list!A:Y,25,FALSE)</f>
        <v>Yes</v>
      </c>
      <c r="Q1221" s="143"/>
      <c r="T1221" s="144"/>
      <c r="U1221" s="145" t="str">
        <f>VLOOKUP(H1221,Stock_list!A:N,14,FALSE)</f>
        <v>APR 19</v>
      </c>
    </row>
    <row r="1222" spans="1:21" ht="16.5" customHeight="1">
      <c r="A1222" s="159" t="s">
        <v>2755</v>
      </c>
      <c r="B1222" s="114" t="str">
        <f>VLOOKUP(A1222,'Data pick slip'!B:F,5,FALSE)</f>
        <v>KLJ-MC100-00</v>
      </c>
      <c r="F1222" s="157" t="s">
        <v>2773</v>
      </c>
      <c r="H1222" s="138">
        <v>155</v>
      </c>
      <c r="I1222" s="139" t="str">
        <f>VLOOKUP(H1222,Stock_list!A:R,18,FALSE)</f>
        <v>朗特</v>
      </c>
      <c r="J1222" s="139" t="str">
        <f>VLOOKUP(H1222,Stock_list!A:S,17,FALSE)</f>
        <v>C49SZX20180167DZ</v>
      </c>
      <c r="K1222" s="51" t="str">
        <f>VLOOKUP(H1222,Stock_list!A:T,16,FALSE)</f>
        <v>JPY</v>
      </c>
      <c r="L1222" s="4">
        <v>43557</v>
      </c>
      <c r="M1222" s="132">
        <v>10</v>
      </c>
      <c r="P1222" s="4" t="str">
        <f>VLOOKUP(H1222,Stock_list!A:Y,25,FALSE)</f>
        <v>Yes</v>
      </c>
      <c r="Q1222" s="143"/>
      <c r="S1222" s="123" t="s">
        <v>3004</v>
      </c>
      <c r="T1222" s="205" t="s">
        <v>3032</v>
      </c>
      <c r="U1222" s="145" t="str">
        <f>VLOOKUP(H1222,Stock_list!A:N,14,FALSE)</f>
        <v>APR 19</v>
      </c>
    </row>
    <row r="1223" spans="1:21" ht="16.5" customHeight="1">
      <c r="A1223" s="159" t="s">
        <v>2755</v>
      </c>
      <c r="B1223" s="114" t="str">
        <f>VLOOKUP(A1223,'Data pick slip'!B:F,5,FALSE)</f>
        <v>KLJ-MC100-00</v>
      </c>
      <c r="F1223" s="157" t="s">
        <v>2773</v>
      </c>
      <c r="H1223" s="138">
        <v>155</v>
      </c>
      <c r="I1223" s="139" t="str">
        <f>VLOOKUP(H1223,Stock_list!A:R,18,FALSE)</f>
        <v>朗特</v>
      </c>
      <c r="J1223" s="139" t="str">
        <f>VLOOKUP(H1223,Stock_list!A:S,17,FALSE)</f>
        <v>C49SZX20180167DZ</v>
      </c>
      <c r="K1223" s="51" t="str">
        <f>VLOOKUP(H1223,Stock_list!A:T,16,FALSE)</f>
        <v>JPY</v>
      </c>
      <c r="L1223" s="4">
        <v>43557</v>
      </c>
      <c r="M1223" s="132">
        <v>10</v>
      </c>
      <c r="P1223" s="4" t="str">
        <f>VLOOKUP(H1223,Stock_list!A:Y,25,FALSE)</f>
        <v>Yes</v>
      </c>
      <c r="Q1223" s="143"/>
      <c r="S1223" s="123" t="s">
        <v>3004</v>
      </c>
      <c r="T1223" s="205" t="s">
        <v>3033</v>
      </c>
      <c r="U1223" s="145" t="str">
        <f>VLOOKUP(H1223,Stock_list!A:N,14,FALSE)</f>
        <v>APR 19</v>
      </c>
    </row>
    <row r="1224" spans="1:21" ht="16.5" customHeight="1">
      <c r="A1224" s="159" t="s">
        <v>2755</v>
      </c>
      <c r="B1224" s="114" t="str">
        <f>VLOOKUP(A1224,'Data pick slip'!B:F,5,FALSE)</f>
        <v>KLJ-MC100-00</v>
      </c>
      <c r="F1224" s="157" t="s">
        <v>2773</v>
      </c>
      <c r="H1224" s="138">
        <v>155</v>
      </c>
      <c r="I1224" s="139" t="str">
        <f>VLOOKUP(H1224,Stock_list!A:R,18,FALSE)</f>
        <v>朗特</v>
      </c>
      <c r="J1224" s="139" t="str">
        <f>VLOOKUP(H1224,Stock_list!A:S,17,FALSE)</f>
        <v>C49SZX20180167DZ</v>
      </c>
      <c r="K1224" s="51" t="str">
        <f>VLOOKUP(H1224,Stock_list!A:T,16,FALSE)</f>
        <v>JPY</v>
      </c>
      <c r="L1224" s="4">
        <v>43557</v>
      </c>
      <c r="M1224" s="132">
        <v>10</v>
      </c>
      <c r="P1224" s="4" t="str">
        <f>VLOOKUP(H1224,Stock_list!A:Y,25,FALSE)</f>
        <v>Yes</v>
      </c>
      <c r="Q1224" s="143"/>
      <c r="S1224" s="123" t="s">
        <v>3004</v>
      </c>
      <c r="T1224" s="205" t="s">
        <v>3034</v>
      </c>
      <c r="U1224" s="145" t="str">
        <f>VLOOKUP(H1224,Stock_list!A:N,14,FALSE)</f>
        <v>APR 19</v>
      </c>
    </row>
    <row r="1225" spans="1:21" ht="16.5" customHeight="1">
      <c r="A1225" s="159" t="s">
        <v>2755</v>
      </c>
      <c r="B1225" s="114" t="str">
        <f>VLOOKUP(A1225,'Data pick slip'!B:F,5,FALSE)</f>
        <v>KLJ-MC100-00</v>
      </c>
      <c r="F1225" s="157" t="s">
        <v>2773</v>
      </c>
      <c r="H1225" s="138">
        <v>155</v>
      </c>
      <c r="I1225" s="139" t="str">
        <f>VLOOKUP(H1225,Stock_list!A:R,18,FALSE)</f>
        <v>朗特</v>
      </c>
      <c r="J1225" s="139" t="str">
        <f>VLOOKUP(H1225,Stock_list!A:S,17,FALSE)</f>
        <v>C49SZX20180167DZ</v>
      </c>
      <c r="K1225" s="51" t="str">
        <f>VLOOKUP(H1225,Stock_list!A:T,16,FALSE)</f>
        <v>JPY</v>
      </c>
      <c r="L1225" s="4">
        <v>43557</v>
      </c>
      <c r="M1225" s="132">
        <v>10</v>
      </c>
      <c r="P1225" s="4" t="str">
        <f>VLOOKUP(H1225,Stock_list!A:Y,25,FALSE)</f>
        <v>Yes</v>
      </c>
      <c r="Q1225" s="143"/>
      <c r="S1225" s="123" t="s">
        <v>3004</v>
      </c>
      <c r="T1225" s="205" t="s">
        <v>3035</v>
      </c>
      <c r="U1225" s="145" t="str">
        <f>VLOOKUP(H1225,Stock_list!A:N,14,FALSE)</f>
        <v>APR 19</v>
      </c>
    </row>
    <row r="1226" spans="1:21" ht="16.5" customHeight="1">
      <c r="A1226" s="159" t="s">
        <v>2755</v>
      </c>
      <c r="B1226" s="114" t="str">
        <f>VLOOKUP(A1226,'Data pick slip'!B:F,5,FALSE)</f>
        <v>KLJ-MC100-00</v>
      </c>
      <c r="F1226" s="157" t="s">
        <v>2773</v>
      </c>
      <c r="H1226" s="138">
        <v>155</v>
      </c>
      <c r="I1226" s="139" t="str">
        <f>VLOOKUP(H1226,Stock_list!A:R,18,FALSE)</f>
        <v>朗特</v>
      </c>
      <c r="J1226" s="139" t="str">
        <f>VLOOKUP(H1226,Stock_list!A:S,17,FALSE)</f>
        <v>C49SZX20180167DZ</v>
      </c>
      <c r="K1226" s="51" t="str">
        <f>VLOOKUP(H1226,Stock_list!A:T,16,FALSE)</f>
        <v>JPY</v>
      </c>
      <c r="L1226" s="4">
        <v>43557</v>
      </c>
      <c r="M1226" s="132">
        <v>10</v>
      </c>
      <c r="P1226" s="4" t="str">
        <f>VLOOKUP(H1226,Stock_list!A:Y,25,FALSE)</f>
        <v>Yes</v>
      </c>
      <c r="Q1226" s="143"/>
      <c r="S1226" s="123" t="s">
        <v>3004</v>
      </c>
      <c r="T1226" s="205" t="s">
        <v>3036</v>
      </c>
      <c r="U1226" s="145" t="str">
        <f>VLOOKUP(H1226,Stock_list!A:N,14,FALSE)</f>
        <v>APR 19</v>
      </c>
    </row>
    <row r="1227" spans="1:21" ht="16.5" customHeight="1">
      <c r="A1227" s="159" t="s">
        <v>2747</v>
      </c>
      <c r="B1227" s="114" t="str">
        <f>VLOOKUP(A1227,'Data pick slip'!B:F,5,FALSE)</f>
        <v>KHJ-MC200-00</v>
      </c>
      <c r="C1227" s="156">
        <v>109493</v>
      </c>
      <c r="E1227" s="160">
        <f>VLOOKUP(C1227,Stock_list!D:L,9,FALSE)</f>
        <v>43546</v>
      </c>
      <c r="F1227" s="157" t="s">
        <v>2862</v>
      </c>
      <c r="H1227" s="138">
        <v>155</v>
      </c>
      <c r="I1227" s="139" t="str">
        <f>VLOOKUP(H1227,Stock_list!A:R,18,FALSE)</f>
        <v>朗特</v>
      </c>
      <c r="J1227" s="139" t="str">
        <f>VLOOKUP(H1227,Stock_list!A:S,17,FALSE)</f>
        <v>C49SZX20180167DZ</v>
      </c>
      <c r="K1227" s="51" t="str">
        <f>VLOOKUP(H1227,Stock_list!A:T,16,FALSE)</f>
        <v>JPY</v>
      </c>
      <c r="L1227" s="4">
        <v>43557</v>
      </c>
      <c r="M1227" s="132">
        <v>95</v>
      </c>
      <c r="P1227" s="4" t="str">
        <f>VLOOKUP(H1227,Stock_list!A:Y,25,FALSE)</f>
        <v>Yes</v>
      </c>
      <c r="Q1227" s="143"/>
      <c r="T1227" s="144"/>
      <c r="U1227" s="145" t="str">
        <f>VLOOKUP(H1227,Stock_list!A:N,14,FALSE)</f>
        <v>APR 19</v>
      </c>
    </row>
    <row r="1228" spans="1:21" ht="16.5" customHeight="1">
      <c r="A1228" s="159" t="s">
        <v>2756</v>
      </c>
      <c r="B1228" s="114" t="str">
        <f>VLOOKUP(A1228,'Data pick slip'!B:F,5,FALSE)</f>
        <v>KLJ-MC200-00</v>
      </c>
      <c r="F1228" s="157" t="s">
        <v>2862</v>
      </c>
      <c r="H1228" s="138">
        <v>155</v>
      </c>
      <c r="I1228" s="139" t="str">
        <f>VLOOKUP(H1228,Stock_list!A:R,18,FALSE)</f>
        <v>朗特</v>
      </c>
      <c r="J1228" s="139" t="str">
        <f>VLOOKUP(H1228,Stock_list!A:S,17,FALSE)</f>
        <v>C49SZX20180167DZ</v>
      </c>
      <c r="K1228" s="51" t="str">
        <f>VLOOKUP(H1228,Stock_list!A:T,16,FALSE)</f>
        <v>JPY</v>
      </c>
      <c r="L1228" s="4">
        <v>43557</v>
      </c>
      <c r="M1228" s="132">
        <v>20</v>
      </c>
      <c r="P1228" s="4" t="str">
        <f>VLOOKUP(H1228,Stock_list!A:Y,25,FALSE)</f>
        <v>Yes</v>
      </c>
      <c r="T1228" s="144"/>
      <c r="U1228" s="145" t="str">
        <f>VLOOKUP(H1228,Stock_list!A:N,14,FALSE)</f>
        <v>APR 19</v>
      </c>
    </row>
    <row r="1229" spans="1:21" ht="16.5" customHeight="1">
      <c r="A1229" s="159" t="s">
        <v>2809</v>
      </c>
      <c r="B1229" s="114" t="str">
        <f>VLOOKUP(A1229,'Data pick slip'!B:F,5,FALSE)</f>
        <v>KHJ-MC200-00</v>
      </c>
      <c r="C1229" s="156">
        <v>109493</v>
      </c>
      <c r="E1229" s="160">
        <f>VLOOKUP(C1229,Stock_list!D:L,9,FALSE)</f>
        <v>43546</v>
      </c>
      <c r="F1229" s="157" t="s">
        <v>2773</v>
      </c>
      <c r="H1229" s="138">
        <v>155</v>
      </c>
      <c r="I1229" s="139" t="str">
        <f>VLOOKUP(H1229,Stock_list!A:R,18,FALSE)</f>
        <v>朗特</v>
      </c>
      <c r="J1229" s="139" t="str">
        <f>VLOOKUP(H1229,Stock_list!A:S,17,FALSE)</f>
        <v>C49SZX20180167DZ</v>
      </c>
      <c r="K1229" s="51" t="str">
        <f>VLOOKUP(H1229,Stock_list!A:T,16,FALSE)</f>
        <v>JPY</v>
      </c>
      <c r="L1229" s="4">
        <v>43532</v>
      </c>
      <c r="M1229" s="132">
        <v>5</v>
      </c>
      <c r="P1229" s="4" t="str">
        <f>VLOOKUP(H1229,Stock_list!A:Y,25,FALSE)</f>
        <v>Yes</v>
      </c>
      <c r="Q1229" s="143"/>
      <c r="S1229" s="123" t="s">
        <v>3004</v>
      </c>
      <c r="T1229" s="205" t="s">
        <v>3036</v>
      </c>
      <c r="U1229" s="145" t="str">
        <f>VLOOKUP(H1229,Stock_list!A:N,14,FALSE)</f>
        <v>APR 19</v>
      </c>
    </row>
    <row r="1230" spans="1:21" ht="16.5" customHeight="1">
      <c r="A1230" s="159" t="s">
        <v>2748</v>
      </c>
      <c r="B1230" s="114" t="str">
        <f>VLOOKUP(A1230,'Data pick slip'!B:F,5,FALSE)</f>
        <v>KHJ-MC400-00</v>
      </c>
      <c r="C1230" s="156">
        <v>109493</v>
      </c>
      <c r="E1230" s="160">
        <f>VLOOKUP(C1230,Stock_list!D:L,9,FALSE)</f>
        <v>43546</v>
      </c>
      <c r="F1230" s="157" t="s">
        <v>2862</v>
      </c>
      <c r="H1230" s="138">
        <v>155</v>
      </c>
      <c r="I1230" s="139" t="str">
        <f>VLOOKUP(H1230,Stock_list!A:R,18,FALSE)</f>
        <v>朗特</v>
      </c>
      <c r="J1230" s="139" t="str">
        <f>VLOOKUP(H1230,Stock_list!A:S,17,FALSE)</f>
        <v>C49SZX20180167DZ</v>
      </c>
      <c r="K1230" s="51" t="str">
        <f>VLOOKUP(H1230,Stock_list!A:T,16,FALSE)</f>
        <v>JPY</v>
      </c>
      <c r="L1230" s="4">
        <v>43557</v>
      </c>
      <c r="M1230" s="132">
        <v>36</v>
      </c>
      <c r="P1230" s="4" t="str">
        <f>VLOOKUP(H1230,Stock_list!A:Y,25,FALSE)</f>
        <v>Yes</v>
      </c>
      <c r="Q1230" s="143"/>
      <c r="T1230" s="144"/>
      <c r="U1230" s="145" t="str">
        <f>VLOOKUP(H1230,Stock_list!A:N,14,FALSE)</f>
        <v>APR 19</v>
      </c>
    </row>
    <row r="1231" spans="1:21" ht="16.5" customHeight="1">
      <c r="A1231" s="159" t="s">
        <v>2749</v>
      </c>
      <c r="B1231" s="114" t="str">
        <f>VLOOKUP(A1231,'Data pick slip'!B:F,5,FALSE)</f>
        <v>KHJ-MC500-00</v>
      </c>
      <c r="C1231" s="156">
        <v>109493</v>
      </c>
      <c r="E1231" s="160">
        <f>VLOOKUP(C1231,Stock_list!D:L,9,FALSE)</f>
        <v>43546</v>
      </c>
      <c r="F1231" s="157" t="s">
        <v>2862</v>
      </c>
      <c r="H1231" s="138">
        <v>155</v>
      </c>
      <c r="I1231" s="139" t="str">
        <f>VLOOKUP(H1231,Stock_list!A:R,18,FALSE)</f>
        <v>朗特</v>
      </c>
      <c r="J1231" s="139" t="str">
        <f>VLOOKUP(H1231,Stock_list!A:S,17,FALSE)</f>
        <v>C49SZX20180167DZ</v>
      </c>
      <c r="K1231" s="51" t="str">
        <f>VLOOKUP(H1231,Stock_list!A:T,16,FALSE)</f>
        <v>JPY</v>
      </c>
      <c r="L1231" s="4">
        <v>43557</v>
      </c>
      <c r="M1231" s="132">
        <v>12</v>
      </c>
      <c r="P1231" s="4" t="str">
        <f>VLOOKUP(H1231,Stock_list!A:Y,25,FALSE)</f>
        <v>Yes</v>
      </c>
      <c r="Q1231" s="143"/>
      <c r="T1231" s="144"/>
      <c r="U1231" s="145" t="str">
        <f>VLOOKUP(H1231,Stock_list!A:N,14,FALSE)</f>
        <v>APR 19</v>
      </c>
    </row>
    <row r="1232" spans="1:21" ht="16.5" customHeight="1">
      <c r="A1232" s="159" t="s">
        <v>2750</v>
      </c>
      <c r="B1232" s="114" t="str">
        <f>VLOOKUP(A1232,'Data pick slip'!B:F,5,FALSE)</f>
        <v>KHJ-MC600-00</v>
      </c>
      <c r="C1232" s="156">
        <v>109430</v>
      </c>
      <c r="E1232" s="160">
        <f>VLOOKUP(C1232,Stock_list!D:L,9,FALSE)</f>
        <v>43530</v>
      </c>
      <c r="F1232" s="157" t="s">
        <v>2862</v>
      </c>
      <c r="H1232" s="138">
        <v>155</v>
      </c>
      <c r="I1232" s="139" t="str">
        <f>VLOOKUP(H1232,Stock_list!A:R,18,FALSE)</f>
        <v>朗特</v>
      </c>
      <c r="J1232" s="139" t="str">
        <f>VLOOKUP(H1232,Stock_list!A:S,17,FALSE)</f>
        <v>C49SZX20180167DZ</v>
      </c>
      <c r="K1232" s="51" t="str">
        <f>VLOOKUP(H1232,Stock_list!A:T,16,FALSE)</f>
        <v>JPY</v>
      </c>
      <c r="L1232" s="4">
        <v>43557</v>
      </c>
      <c r="M1232" s="132">
        <v>6</v>
      </c>
      <c r="P1232" s="4" t="str">
        <f>VLOOKUP(H1232,Stock_list!A:Y,25,FALSE)</f>
        <v>Yes</v>
      </c>
      <c r="Q1232" s="143"/>
      <c r="T1232" s="144"/>
      <c r="U1232" s="145" t="str">
        <f>VLOOKUP(H1232,Stock_list!A:N,14,FALSE)</f>
        <v>APR 19</v>
      </c>
    </row>
    <row r="1233" spans="1:21" ht="16.5" customHeight="1">
      <c r="A1233" s="159" t="s">
        <v>2751</v>
      </c>
      <c r="B1233" s="114" t="str">
        <f>VLOOKUP(A1233,'Data pick slip'!B:F,5,FALSE)</f>
        <v>KHJ-MC700-00</v>
      </c>
      <c r="C1233" s="156">
        <v>109493</v>
      </c>
      <c r="E1233" s="160">
        <f>VLOOKUP(C1233,Stock_list!D:L,9,FALSE)</f>
        <v>43546</v>
      </c>
      <c r="F1233" s="157" t="s">
        <v>2862</v>
      </c>
      <c r="H1233" s="138">
        <v>155</v>
      </c>
      <c r="I1233" s="139" t="str">
        <f>VLOOKUP(H1233,Stock_list!A:R,18,FALSE)</f>
        <v>朗特</v>
      </c>
      <c r="J1233" s="139" t="str">
        <f>VLOOKUP(H1233,Stock_list!A:S,17,FALSE)</f>
        <v>C49SZX20180167DZ</v>
      </c>
      <c r="K1233" s="51" t="str">
        <f>VLOOKUP(H1233,Stock_list!A:T,16,FALSE)</f>
        <v>JPY</v>
      </c>
      <c r="L1233" s="4">
        <v>43557</v>
      </c>
      <c r="M1233" s="132">
        <v>6</v>
      </c>
      <c r="P1233" s="4" t="str">
        <f>VLOOKUP(H1233,Stock_list!A:Y,25,FALSE)</f>
        <v>Yes</v>
      </c>
      <c r="Q1233" s="143"/>
      <c r="T1233" s="144"/>
      <c r="U1233" s="145" t="str">
        <f>VLOOKUP(H1233,Stock_list!A:N,14,FALSE)</f>
        <v>APR 19</v>
      </c>
    </row>
    <row r="1234" spans="1:21" ht="16.5" customHeight="1">
      <c r="A1234" s="159" t="s">
        <v>2744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2862</v>
      </c>
      <c r="H1234" s="138">
        <v>166</v>
      </c>
      <c r="I1234" s="139" t="str">
        <f>VLOOKUP(H1234,Stock_list!A:R,18,FALSE)</f>
        <v>比泰利</v>
      </c>
      <c r="J1234" s="139" t="str">
        <f>VLOOKUP(H1234,Stock_list!A:S,17,FALSE)</f>
        <v>C49SZX20180166ZX</v>
      </c>
      <c r="K1234" s="51" t="str">
        <f>VLOOKUP(H1234,Stock_list!A:T,16,FALSE)</f>
        <v>JPY</v>
      </c>
      <c r="L1234" s="4"/>
      <c r="M1234" s="132">
        <v>150</v>
      </c>
      <c r="P1234" s="4" t="str">
        <f>VLOOKUP(H1234,Stock_list!A:Y,25,FALSE)</f>
        <v>Yes</v>
      </c>
      <c r="Q1234" s="143"/>
      <c r="T1234" s="144"/>
      <c r="U1234" s="145" t="str">
        <f>VLOOKUP(H1234,Stock_list!A:N,14,FALSE)</f>
        <v>DEC 18</v>
      </c>
    </row>
    <row r="1235" spans="1:21" ht="16.5" customHeight="1">
      <c r="A1235" s="159" t="s">
        <v>2747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2862</v>
      </c>
      <c r="H1235" s="138">
        <v>166</v>
      </c>
      <c r="I1235" s="139" t="str">
        <f>VLOOKUP(H1235,Stock_list!A:R,18,FALSE)</f>
        <v>比泰利</v>
      </c>
      <c r="J1235" s="139" t="str">
        <f>VLOOKUP(H1235,Stock_list!A:S,17,FALSE)</f>
        <v>C49SZX20180166ZX</v>
      </c>
      <c r="K1235" s="51" t="str">
        <f>VLOOKUP(H1235,Stock_list!A:T,16,FALSE)</f>
        <v>JPY</v>
      </c>
      <c r="L1235" s="4" t="s">
        <v>3025</v>
      </c>
      <c r="M1235" s="132">
        <v>40</v>
      </c>
      <c r="P1235" s="4" t="str">
        <f>VLOOKUP(H1235,Stock_list!A:Y,25,FALSE)</f>
        <v>Yes</v>
      </c>
      <c r="Q1235" s="143"/>
      <c r="T1235" s="144"/>
      <c r="U1235" s="145" t="str">
        <f>VLOOKUP(H1235,Stock_list!A:N,14,FALSE)</f>
        <v>DEC 18</v>
      </c>
    </row>
    <row r="1236" spans="1:21" ht="16.5" customHeight="1">
      <c r="A1236" s="159" t="s">
        <v>2748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2862</v>
      </c>
      <c r="H1236" s="138">
        <v>166</v>
      </c>
      <c r="I1236" s="139" t="str">
        <f>VLOOKUP(H1236,Stock_list!A:R,18,FALSE)</f>
        <v>比泰利</v>
      </c>
      <c r="J1236" s="139" t="str">
        <f>VLOOKUP(H1236,Stock_list!A:S,17,FALSE)</f>
        <v>C49SZX20180166ZX</v>
      </c>
      <c r="K1236" s="51" t="str">
        <f>VLOOKUP(H1236,Stock_list!A:T,16,FALSE)</f>
        <v>JPY</v>
      </c>
      <c r="L1236" s="4"/>
      <c r="M1236" s="132">
        <v>6</v>
      </c>
      <c r="P1236" s="4" t="str">
        <f>VLOOKUP(H1236,Stock_list!A:Y,25,FALSE)</f>
        <v>Yes</v>
      </c>
      <c r="Q1236" s="143"/>
      <c r="T1236" s="144"/>
      <c r="U1236" s="145" t="str">
        <f>VLOOKUP(H1236,Stock_list!A:N,14,FALSE)</f>
        <v>DEC 18</v>
      </c>
    </row>
    <row r="1237" spans="1:21" ht="16.5" customHeight="1">
      <c r="A1237" s="159" t="s">
        <v>2749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2862</v>
      </c>
      <c r="H1237" s="138">
        <v>166</v>
      </c>
      <c r="I1237" s="139" t="str">
        <f>VLOOKUP(H1237,Stock_list!A:R,18,FALSE)</f>
        <v>比泰利</v>
      </c>
      <c r="J1237" s="139" t="str">
        <f>VLOOKUP(H1237,Stock_list!A:S,17,FALSE)</f>
        <v>C49SZX20180166ZX</v>
      </c>
      <c r="K1237" s="51" t="str">
        <f>VLOOKUP(H1237,Stock_list!A:T,16,FALSE)</f>
        <v>JPY</v>
      </c>
      <c r="L1237" s="4"/>
      <c r="M1237" s="132">
        <v>2</v>
      </c>
      <c r="P1237" s="4" t="str">
        <f>VLOOKUP(H1237,Stock_list!A:Y,25,FALSE)</f>
        <v>Yes</v>
      </c>
      <c r="Q1237" s="143"/>
      <c r="T1237" s="144"/>
      <c r="U1237" s="145" t="str">
        <f>VLOOKUP(H1237,Stock_list!A:N,14,FALSE)</f>
        <v>DEC 18</v>
      </c>
    </row>
    <row r="1238" spans="1:21" ht="16.5" customHeight="1">
      <c r="A1238" s="159" t="s">
        <v>2750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2862</v>
      </c>
      <c r="H1238" s="138">
        <v>166</v>
      </c>
      <c r="I1238" s="139" t="str">
        <f>VLOOKUP(H1238,Stock_list!A:R,18,FALSE)</f>
        <v>比泰利</v>
      </c>
      <c r="J1238" s="139" t="str">
        <f>VLOOKUP(H1238,Stock_list!A:S,17,FALSE)</f>
        <v>C49SZX20180166ZX</v>
      </c>
      <c r="K1238" s="51" t="str">
        <f>VLOOKUP(H1238,Stock_list!A:T,16,FALSE)</f>
        <v>JPY</v>
      </c>
      <c r="L1238" s="4"/>
      <c r="M1238" s="132">
        <v>1</v>
      </c>
      <c r="P1238" s="4" t="str">
        <f>VLOOKUP(H1238,Stock_list!A:Y,25,FALSE)</f>
        <v>Yes</v>
      </c>
      <c r="Q1238" s="143"/>
      <c r="T1238" s="144"/>
      <c r="U1238" s="145" t="str">
        <f>VLOOKUP(H1238,Stock_list!A:N,14,FALSE)</f>
        <v>DEC 18</v>
      </c>
    </row>
    <row r="1239" spans="1:21" ht="16.5" customHeight="1">
      <c r="A1239" s="159" t="s">
        <v>2751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2773</v>
      </c>
      <c r="H1239" s="138">
        <v>166</v>
      </c>
      <c r="I1239" s="139" t="str">
        <f>VLOOKUP(H1239,Stock_list!A:R,18,FALSE)</f>
        <v>比泰利</v>
      </c>
      <c r="J1239" s="139" t="str">
        <f>VLOOKUP(H1239,Stock_list!A:S,17,FALSE)</f>
        <v>C49SZX20180166ZX</v>
      </c>
      <c r="K1239" s="51" t="str">
        <f>VLOOKUP(H1239,Stock_list!A:T,16,FALSE)</f>
        <v>JPY</v>
      </c>
      <c r="L1239" s="4"/>
      <c r="M1239" s="132">
        <v>1</v>
      </c>
      <c r="P1239" s="4" t="str">
        <f>VLOOKUP(H1239,Stock_list!A:Y,25,FALSE)</f>
        <v>Yes</v>
      </c>
      <c r="Q1239" s="143"/>
      <c r="S1239" s="123" t="s">
        <v>3004</v>
      </c>
      <c r="T1239" s="144" t="s">
        <v>3024</v>
      </c>
      <c r="U1239" s="145" t="str">
        <f>VLOOKUP(H1239,Stock_list!A:N,14,FALSE)</f>
        <v>DEC 18</v>
      </c>
    </row>
    <row r="1240" spans="1:21" ht="16.5" customHeight="1">
      <c r="A1240" s="159" t="s">
        <v>2744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2862</v>
      </c>
      <c r="H1240" s="138">
        <v>177</v>
      </c>
      <c r="I1240" s="139" t="str">
        <f>VLOOKUP(H1240,Stock_list!A:R,18,FALSE)</f>
        <v>奥晨</v>
      </c>
      <c r="J1240" s="139" t="str">
        <f>VLOOKUP(H1240,Stock_list!A:S,17,FALSE)</f>
        <v>C49SZX20180154JL</v>
      </c>
      <c r="K1240" s="51" t="str">
        <f>VLOOKUP(H1240,Stock_list!A:T,16,FALSE)</f>
        <v>JPY</v>
      </c>
      <c r="L1240" s="4">
        <v>43672</v>
      </c>
      <c r="M1240" s="132">
        <v>60</v>
      </c>
      <c r="P1240" s="4" t="str">
        <f>VLOOKUP(H1240,Stock_list!A:Y,25,FALSE)</f>
        <v>Yes</v>
      </c>
      <c r="Q1240" s="143"/>
      <c r="T1240" s="144"/>
      <c r="U1240" s="145" t="str">
        <f>VLOOKUP(H1240,Stock_list!A:N,14,FALSE)</f>
        <v>JUL 19</v>
      </c>
    </row>
    <row r="1241" spans="1:21" ht="16.5" customHeight="1">
      <c r="A1241" s="159" t="s">
        <v>2747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2862</v>
      </c>
      <c r="H1241" s="138">
        <v>177</v>
      </c>
      <c r="I1241" s="139" t="str">
        <f>VLOOKUP(H1241,Stock_list!A:R,18,FALSE)</f>
        <v>奥晨</v>
      </c>
      <c r="J1241" s="139" t="str">
        <f>VLOOKUP(H1241,Stock_list!A:S,17,FALSE)</f>
        <v>C49SZX20180154JL</v>
      </c>
      <c r="K1241" s="51" t="str">
        <f>VLOOKUP(H1241,Stock_list!A:T,16,FALSE)</f>
        <v>JPY</v>
      </c>
      <c r="L1241" s="4">
        <v>43672</v>
      </c>
      <c r="M1241" s="132">
        <v>10</v>
      </c>
      <c r="P1241" s="4" t="str">
        <f>VLOOKUP(H1241,Stock_list!A:Y,25,FALSE)</f>
        <v>Yes</v>
      </c>
      <c r="Q1241" s="143"/>
      <c r="T1241" s="144"/>
      <c r="U1241" s="145" t="str">
        <f>VLOOKUP(H1241,Stock_list!A:N,14,FALSE)</f>
        <v>JUL 19</v>
      </c>
    </row>
    <row r="1242" spans="1:21" ht="16.5" customHeight="1">
      <c r="A1242" s="159" t="s">
        <v>2748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2862</v>
      </c>
      <c r="H1242" s="138">
        <v>177</v>
      </c>
      <c r="I1242" s="139" t="str">
        <f>VLOOKUP(H1242,Stock_list!A:R,18,FALSE)</f>
        <v>奥晨</v>
      </c>
      <c r="J1242" s="139" t="str">
        <f>VLOOKUP(H1242,Stock_list!A:S,17,FALSE)</f>
        <v>C49SZX20180154JL</v>
      </c>
      <c r="K1242" s="51" t="str">
        <f>VLOOKUP(H1242,Stock_list!A:T,16,FALSE)</f>
        <v>JPY</v>
      </c>
      <c r="L1242" s="4">
        <v>43672</v>
      </c>
      <c r="M1242" s="132">
        <v>6</v>
      </c>
      <c r="P1242" s="4" t="str">
        <f>VLOOKUP(H1242,Stock_list!A:Y,25,FALSE)</f>
        <v>Yes</v>
      </c>
      <c r="Q1242" s="143"/>
      <c r="T1242" s="144"/>
      <c r="U1242" s="145" t="str">
        <f>VLOOKUP(H1242,Stock_list!A:N,14,FALSE)</f>
        <v>JUL 19</v>
      </c>
    </row>
    <row r="1243" spans="1:21" ht="16.5" customHeight="1">
      <c r="A1243" s="159" t="s">
        <v>2749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2862</v>
      </c>
      <c r="H1243" s="138">
        <v>177</v>
      </c>
      <c r="I1243" s="139" t="str">
        <f>VLOOKUP(H1243,Stock_list!A:R,18,FALSE)</f>
        <v>奥晨</v>
      </c>
      <c r="J1243" s="139" t="str">
        <f>VLOOKUP(H1243,Stock_list!A:S,17,FALSE)</f>
        <v>C49SZX20180154JL</v>
      </c>
      <c r="K1243" s="51" t="str">
        <f>VLOOKUP(H1243,Stock_list!A:T,16,FALSE)</f>
        <v>JPY</v>
      </c>
      <c r="L1243" s="4">
        <v>43672</v>
      </c>
      <c r="M1243" s="132">
        <v>3</v>
      </c>
      <c r="P1243" s="4" t="str">
        <f>VLOOKUP(H1243,Stock_list!A:Y,25,FALSE)</f>
        <v>Yes</v>
      </c>
      <c r="Q1243" s="143"/>
      <c r="T1243" s="144"/>
      <c r="U1243" s="145" t="str">
        <f>VLOOKUP(H1243,Stock_list!A:N,14,FALSE)</f>
        <v>JUL 19</v>
      </c>
    </row>
    <row r="1244" spans="1:21" ht="16.5" customHeight="1">
      <c r="A1244" s="159" t="s">
        <v>2744</v>
      </c>
      <c r="B1244" s="114" t="str">
        <f>VLOOKUP(A1244,'Data pick slip'!B:F,5,FALSE)</f>
        <v>KHJ-MC100-00</v>
      </c>
      <c r="C1244" s="156">
        <v>109295</v>
      </c>
      <c r="E1244" s="160">
        <f>VLOOKUP(C1244,Stock_list!D:L,9,FALSE)</f>
        <v>43418</v>
      </c>
      <c r="F1244" s="157" t="s">
        <v>2862</v>
      </c>
      <c r="H1244" s="138">
        <v>181</v>
      </c>
      <c r="I1244" s="139" t="str">
        <f>VLOOKUP(H1244,Stock_list!A:R,18,FALSE)</f>
        <v>网娱视通</v>
      </c>
      <c r="J1244" s="139" t="str">
        <f>VLOOKUP(H1244,Stock_list!A:S,17,FALSE)</f>
        <v>C49SZX20180172ZX</v>
      </c>
      <c r="K1244" s="51" t="str">
        <f>VLOOKUP(H1244,Stock_list!A:T,16,FALSE)</f>
        <v>JPY</v>
      </c>
      <c r="L1244" s="4"/>
      <c r="M1244" s="132">
        <v>40</v>
      </c>
      <c r="P1244" s="4" t="str">
        <f>VLOOKUP(H1244,Stock_list!A:Y,25,FALSE)</f>
        <v>Yes</v>
      </c>
      <c r="Q1244" s="143"/>
      <c r="T1244" s="144"/>
      <c r="U1244" s="145" t="str">
        <f>VLOOKUP(H1244,Stock_list!A:N,14,FALSE)</f>
        <v>DEC 18</v>
      </c>
    </row>
    <row r="1245" spans="1:21" ht="16.5" customHeight="1">
      <c r="A1245" s="159" t="s">
        <v>2747</v>
      </c>
      <c r="B1245" s="114" t="str">
        <f>VLOOKUP(A1245,'Data pick slip'!B:F,5,FALSE)</f>
        <v>KHJ-MC200-00</v>
      </c>
      <c r="C1245" s="156">
        <v>109295</v>
      </c>
      <c r="E1245" s="160">
        <f>VLOOKUP(C1245,Stock_list!D:L,9,FALSE)</f>
        <v>43418</v>
      </c>
      <c r="F1245" s="157" t="s">
        <v>2862</v>
      </c>
      <c r="H1245" s="138">
        <v>181</v>
      </c>
      <c r="I1245" s="139" t="str">
        <f>VLOOKUP(H1245,Stock_list!A:R,18,FALSE)</f>
        <v>网娱视通</v>
      </c>
      <c r="J1245" s="139" t="str">
        <f>VLOOKUP(H1245,Stock_list!A:S,17,FALSE)</f>
        <v>C49SZX20180172ZX</v>
      </c>
      <c r="K1245" s="51" t="str">
        <f>VLOOKUP(H1245,Stock_list!A:T,16,FALSE)</f>
        <v>JPY</v>
      </c>
      <c r="L1245" s="4" t="s">
        <v>3025</v>
      </c>
      <c r="M1245" s="132">
        <v>15</v>
      </c>
      <c r="P1245" s="4" t="str">
        <f>VLOOKUP(H1245,Stock_list!A:Y,25,FALSE)</f>
        <v>Yes</v>
      </c>
      <c r="Q1245" s="143"/>
      <c r="T1245" s="144"/>
      <c r="U1245" s="145" t="str">
        <f>VLOOKUP(H1245,Stock_list!A:N,14,FALSE)</f>
        <v>DEC 18</v>
      </c>
    </row>
    <row r="1246" spans="1:21" ht="16.5" customHeight="1">
      <c r="A1246" s="159" t="s">
        <v>2748</v>
      </c>
      <c r="B1246" s="114" t="str">
        <f>VLOOKUP(A1246,'Data pick slip'!B:F,5,FALSE)</f>
        <v>KHJ-MC400-00</v>
      </c>
      <c r="C1246" s="156">
        <v>109295</v>
      </c>
      <c r="E1246" s="160">
        <f>VLOOKUP(C1246,Stock_list!D:L,9,FALSE)</f>
        <v>43418</v>
      </c>
      <c r="F1246" s="157" t="s">
        <v>2862</v>
      </c>
      <c r="H1246" s="138">
        <v>181</v>
      </c>
      <c r="I1246" s="139" t="str">
        <f>VLOOKUP(H1246,Stock_list!A:R,18,FALSE)</f>
        <v>网娱视通</v>
      </c>
      <c r="J1246" s="139" t="str">
        <f>VLOOKUP(H1246,Stock_list!A:S,17,FALSE)</f>
        <v>C49SZX20180172ZX</v>
      </c>
      <c r="K1246" s="51" t="str">
        <f>VLOOKUP(H1246,Stock_list!A:T,16,FALSE)</f>
        <v>JPY</v>
      </c>
      <c r="L1246" s="4"/>
      <c r="M1246" s="132">
        <v>2</v>
      </c>
      <c r="P1246" s="4" t="str">
        <f>VLOOKUP(H1246,Stock_list!A:Y,25,FALSE)</f>
        <v>Yes</v>
      </c>
      <c r="Q1246" s="143"/>
      <c r="T1246" s="144"/>
      <c r="U1246" s="145" t="str">
        <f>VLOOKUP(H1246,Stock_list!A:N,14,FALSE)</f>
        <v>DEC 18</v>
      </c>
    </row>
    <row r="1247" spans="1:21" ht="16.5" customHeight="1">
      <c r="A1247" s="159" t="s">
        <v>2749</v>
      </c>
      <c r="B1247" s="114" t="str">
        <f>VLOOKUP(A1247,'Data pick slip'!B:F,5,FALSE)</f>
        <v>KHJ-MC500-00</v>
      </c>
      <c r="C1247" s="156">
        <v>109295</v>
      </c>
      <c r="E1247" s="160">
        <f>VLOOKUP(C1247,Stock_list!D:L,9,FALSE)</f>
        <v>43418</v>
      </c>
      <c r="F1247" s="157" t="s">
        <v>2862</v>
      </c>
      <c r="H1247" s="138">
        <v>181</v>
      </c>
      <c r="I1247" s="139" t="str">
        <f>VLOOKUP(H1247,Stock_list!A:R,18,FALSE)</f>
        <v>网娱视通</v>
      </c>
      <c r="J1247" s="139" t="str">
        <f>VLOOKUP(H1247,Stock_list!A:S,17,FALSE)</f>
        <v>C49SZX20180172ZX</v>
      </c>
      <c r="K1247" s="51" t="str">
        <f>VLOOKUP(H1247,Stock_list!A:T,16,FALSE)</f>
        <v>JPY</v>
      </c>
      <c r="L1247" s="4"/>
      <c r="M1247" s="132">
        <v>2</v>
      </c>
      <c r="P1247" s="4" t="str">
        <f>VLOOKUP(H1247,Stock_list!A:Y,25,FALSE)</f>
        <v>Yes</v>
      </c>
      <c r="Q1247" s="143"/>
      <c r="T1247" s="144"/>
      <c r="U1247" s="145" t="str">
        <f>VLOOKUP(H1247,Stock_list!A:N,14,FALSE)</f>
        <v>DEC 18</v>
      </c>
    </row>
    <row r="1248" spans="1:21" ht="16.5" customHeight="1">
      <c r="A1248" s="159" t="s">
        <v>2744</v>
      </c>
      <c r="B1248" s="114" t="str">
        <f>VLOOKUP(A1248,'Data pick slip'!B:F,5,FALSE)</f>
        <v>KHJ-MC100-00</v>
      </c>
      <c r="C1248" s="156">
        <v>109279</v>
      </c>
      <c r="E1248" s="160">
        <f>VLOOKUP(C1248,Stock_list!D:L,9,FALSE)</f>
        <v>43439</v>
      </c>
      <c r="F1248" s="157" t="s">
        <v>2862</v>
      </c>
      <c r="H1248" s="138">
        <v>182</v>
      </c>
      <c r="I1248" s="139" t="str">
        <f>VLOOKUP(H1248,Stock_list!A:R,18,FALSE)</f>
        <v>网娱视通</v>
      </c>
      <c r="J1248" s="139" t="str">
        <f>VLOOKUP(H1248,Stock_list!A:S,17,FALSE)</f>
        <v>C49SZX20180173ZX</v>
      </c>
      <c r="K1248" s="51" t="str">
        <f>VLOOKUP(H1248,Stock_list!A:T,16,FALSE)</f>
        <v>JPY</v>
      </c>
      <c r="L1248" s="4"/>
      <c r="M1248" s="140">
        <v>20</v>
      </c>
      <c r="P1248" s="4" t="str">
        <f>VLOOKUP(H1248,Stock_list!A:Y,25,FALSE)</f>
        <v>Yes</v>
      </c>
      <c r="Q1248" s="143"/>
      <c r="T1248" s="144"/>
      <c r="U1248" s="145" t="str">
        <f>VLOOKUP(H1248,Stock_list!A:N,14,FALSE)</f>
        <v>DEC 18</v>
      </c>
    </row>
    <row r="1249" spans="1:21" ht="16.5" customHeight="1">
      <c r="A1249" s="159" t="s">
        <v>2744</v>
      </c>
      <c r="B1249" s="114" t="str">
        <f>VLOOKUP(A1249,'Data pick slip'!B:F,5,FALSE)</f>
        <v>KHJ-MC100-00</v>
      </c>
      <c r="C1249" s="156">
        <v>109390</v>
      </c>
      <c r="E1249" s="160">
        <f>VLOOKUP(C1249,Stock_list!D:L,9,FALSE)</f>
        <v>43588</v>
      </c>
      <c r="F1249" s="157" t="s">
        <v>2862</v>
      </c>
      <c r="H1249" s="138">
        <v>183</v>
      </c>
      <c r="I1249" s="139" t="str">
        <f>VLOOKUP(H1249,Stock_list!A:R,18,FALSE)</f>
        <v>柏星</v>
      </c>
      <c r="J1249" s="139" t="str">
        <f>VLOOKUP(H1249,Stock_list!A:S,17,FALSE)</f>
        <v>C49SZX20180176SX</v>
      </c>
      <c r="K1249" s="51" t="str">
        <f>VLOOKUP(H1249,Stock_list!A:T,16,FALSE)</f>
        <v>JPY</v>
      </c>
      <c r="L1249" s="4"/>
      <c r="M1249" s="132">
        <v>50</v>
      </c>
      <c r="P1249" s="4" t="str">
        <f>VLOOKUP(H1249,Stock_list!A:Y,25,FALSE)</f>
        <v>Yes</v>
      </c>
      <c r="Q1249" s="143"/>
      <c r="T1249" s="144"/>
      <c r="U1249" s="145" t="str">
        <f>VLOOKUP(H1249,Stock_list!A:N,14,FALSE)</f>
        <v>FEB 19</v>
      </c>
    </row>
    <row r="1250" spans="1:21" ht="16.5" customHeight="1">
      <c r="A1250" s="159" t="s">
        <v>2747</v>
      </c>
      <c r="B1250" s="114" t="str">
        <f>VLOOKUP(A1250,'Data pick slip'!B:F,5,FALSE)</f>
        <v>KHJ-MC200-00</v>
      </c>
      <c r="C1250" s="156">
        <v>109493</v>
      </c>
      <c r="E1250" s="160">
        <f>VLOOKUP(C1250,Stock_list!D:L,9,FALSE)</f>
        <v>43546</v>
      </c>
      <c r="F1250" s="157" t="s">
        <v>2862</v>
      </c>
      <c r="H1250" s="138">
        <v>183</v>
      </c>
      <c r="I1250" s="139" t="str">
        <f>VLOOKUP(H1250,Stock_list!A:R,18,FALSE)</f>
        <v>柏星</v>
      </c>
      <c r="J1250" s="139" t="str">
        <f>VLOOKUP(H1250,Stock_list!A:S,17,FALSE)</f>
        <v>C49SZX20180176SX</v>
      </c>
      <c r="K1250" s="51" t="str">
        <f>VLOOKUP(H1250,Stock_list!A:T,16,FALSE)</f>
        <v>JPY</v>
      </c>
      <c r="L1250" s="4" t="s">
        <v>3025</v>
      </c>
      <c r="M1250" s="132">
        <v>5</v>
      </c>
      <c r="P1250" s="4" t="str">
        <f>VLOOKUP(H1250,Stock_list!A:Y,25,FALSE)</f>
        <v>Yes</v>
      </c>
      <c r="Q1250" s="143"/>
      <c r="T1250" s="144"/>
      <c r="U1250" s="145" t="str">
        <f>VLOOKUP(H1250,Stock_list!A:N,14,FALSE)</f>
        <v>FEB 19</v>
      </c>
    </row>
    <row r="1251" spans="1:21" ht="16.5" customHeight="1">
      <c r="A1251" s="159" t="s">
        <v>2748</v>
      </c>
      <c r="B1251" s="114" t="str">
        <f>VLOOKUP(A1251,'Data pick slip'!B:F,5,FALSE)</f>
        <v>KHJ-MC400-00</v>
      </c>
      <c r="C1251" s="156">
        <v>109493</v>
      </c>
      <c r="E1251" s="160">
        <f>VLOOKUP(C1251,Stock_list!D:L,9,FALSE)</f>
        <v>43546</v>
      </c>
      <c r="F1251" s="157" t="s">
        <v>2862</v>
      </c>
      <c r="H1251" s="138">
        <v>183</v>
      </c>
      <c r="I1251" s="139" t="str">
        <f>VLOOKUP(H1251,Stock_list!A:R,18,FALSE)</f>
        <v>柏星</v>
      </c>
      <c r="J1251" s="139" t="str">
        <f>VLOOKUP(H1251,Stock_list!A:S,17,FALSE)</f>
        <v>C49SZX20180176SX</v>
      </c>
      <c r="K1251" s="51" t="str">
        <f>VLOOKUP(H1251,Stock_list!A:T,16,FALSE)</f>
        <v>JPY</v>
      </c>
      <c r="L1251" s="4"/>
      <c r="M1251" s="132">
        <v>2</v>
      </c>
      <c r="P1251" s="4" t="str">
        <f>VLOOKUP(H1251,Stock_list!A:Y,25,FALSE)</f>
        <v>Yes</v>
      </c>
      <c r="Q1251" s="143"/>
      <c r="T1251" s="144"/>
      <c r="U1251" s="145" t="str">
        <f>VLOOKUP(H1251,Stock_list!A:N,14,FALSE)</f>
        <v>FEB 19</v>
      </c>
    </row>
    <row r="1252" spans="1:21" ht="16.5" customHeight="1">
      <c r="A1252" s="159" t="s">
        <v>2755</v>
      </c>
      <c r="B1252" s="114" t="str">
        <f>VLOOKUP(A1252,'Data pick slip'!B:F,5,FALSE)</f>
        <v>KLJ-MC100-00</v>
      </c>
      <c r="F1252" s="157" t="s">
        <v>2773</v>
      </c>
      <c r="H1252" s="138">
        <v>183</v>
      </c>
      <c r="I1252" s="139" t="str">
        <f>VLOOKUP(H1252,Stock_list!A:R,18,FALSE)</f>
        <v>柏星</v>
      </c>
      <c r="J1252" s="139" t="str">
        <f>VLOOKUP(H1252,Stock_list!A:S,17,FALSE)</f>
        <v>C49SZX20180176SX</v>
      </c>
      <c r="K1252" s="51" t="str">
        <f>VLOOKUP(H1252,Stock_list!A:T,16,FALSE)</f>
        <v>JPY</v>
      </c>
      <c r="L1252" s="4"/>
      <c r="M1252" s="132">
        <v>18</v>
      </c>
      <c r="P1252" s="4" t="str">
        <f>VLOOKUP(H1252,Stock_list!A:Y,25,FALSE)</f>
        <v>Yes</v>
      </c>
      <c r="Q1252" s="143"/>
      <c r="S1252" s="123" t="s">
        <v>3004</v>
      </c>
      <c r="T1252" s="144" t="s">
        <v>3037</v>
      </c>
      <c r="U1252" s="145" t="str">
        <f>VLOOKUP(H1252,Stock_list!A:N,14,FALSE)</f>
        <v>FEB 19</v>
      </c>
    </row>
    <row r="1253" spans="1:21" ht="16.5" customHeight="1">
      <c r="A1253" s="159" t="s">
        <v>2749</v>
      </c>
      <c r="B1253" s="114" t="str">
        <f>VLOOKUP(A1253,'Data pick slip'!B:F,5,FALSE)</f>
        <v>KHJ-MC500-00</v>
      </c>
      <c r="C1253" s="156">
        <v>109493</v>
      </c>
      <c r="E1253" s="160">
        <f>VLOOKUP(C1253,Stock_list!D:L,9,FALSE)</f>
        <v>43546</v>
      </c>
      <c r="F1253" s="157" t="s">
        <v>2773</v>
      </c>
      <c r="H1253" s="138">
        <v>183</v>
      </c>
      <c r="I1253" s="139" t="str">
        <f>VLOOKUP(H1253,Stock_list!A:R,18,FALSE)</f>
        <v>柏星</v>
      </c>
      <c r="J1253" s="139" t="str">
        <f>VLOOKUP(H1253,Stock_list!A:S,17,FALSE)</f>
        <v>C49SZX20180176SX</v>
      </c>
      <c r="K1253" s="51" t="str">
        <f>VLOOKUP(H1253,Stock_list!A:T,16,FALSE)</f>
        <v>JPY</v>
      </c>
      <c r="L1253" s="4"/>
      <c r="M1253" s="132">
        <v>1</v>
      </c>
      <c r="P1253" s="4" t="str">
        <f>VLOOKUP(H1253,Stock_list!A:Y,25,FALSE)</f>
        <v>Yes</v>
      </c>
      <c r="Q1253" s="143"/>
      <c r="S1253" s="123" t="s">
        <v>3004</v>
      </c>
      <c r="T1253" s="144" t="s">
        <v>3024</v>
      </c>
      <c r="U1253" s="145" t="str">
        <f>VLOOKUP(H1253,Stock_list!A:N,14,FALSE)</f>
        <v>FEB 19</v>
      </c>
    </row>
    <row r="1254" spans="1:21" ht="16.5" customHeight="1">
      <c r="A1254" s="159" t="s">
        <v>2750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2773</v>
      </c>
      <c r="H1254" s="138">
        <v>183</v>
      </c>
      <c r="I1254" s="139" t="str">
        <f>VLOOKUP(H1254,Stock_list!A:R,18,FALSE)</f>
        <v>柏星</v>
      </c>
      <c r="J1254" s="139" t="str">
        <f>VLOOKUP(H1254,Stock_list!A:S,17,FALSE)</f>
        <v>C49SZX20180176SX</v>
      </c>
      <c r="K1254" s="51" t="str">
        <f>VLOOKUP(H1254,Stock_list!A:T,16,FALSE)</f>
        <v>JPY</v>
      </c>
      <c r="L1254" s="4"/>
      <c r="M1254" s="132">
        <v>1</v>
      </c>
      <c r="P1254" s="4" t="str">
        <f>VLOOKUP(H1254,Stock_list!A:Y,25,FALSE)</f>
        <v>Yes</v>
      </c>
      <c r="Q1254" s="143"/>
      <c r="S1254" s="123" t="s">
        <v>3004</v>
      </c>
      <c r="T1254" s="144" t="s">
        <v>3024</v>
      </c>
      <c r="U1254" s="145" t="str">
        <f>VLOOKUP(H1254,Stock_list!A:N,14,FALSE)</f>
        <v>FEB 19</v>
      </c>
    </row>
    <row r="1255" spans="1:21" ht="16.5" customHeight="1">
      <c r="A1255" s="159" t="s">
        <v>2744</v>
      </c>
      <c r="B1255" s="114" t="str">
        <f>VLOOKUP(A1255,'Data pick slip'!B:F,5,FALSE)</f>
        <v>KHJ-MC100-00</v>
      </c>
      <c r="C1255" s="156">
        <v>109390</v>
      </c>
      <c r="E1255" s="160">
        <f>VLOOKUP(C1255,Stock_list!D:L,9,FALSE)</f>
        <v>43588</v>
      </c>
      <c r="F1255" s="157" t="s">
        <v>2862</v>
      </c>
      <c r="H1255" s="138">
        <v>184</v>
      </c>
      <c r="I1255" s="139" t="str">
        <f>VLOOKUP(H1255,Stock_list!A:R,18,FALSE)</f>
        <v>永顺创</v>
      </c>
      <c r="J1255" s="139" t="str">
        <f>VLOOKUP(H1255,Stock_list!A:S,17,FALSE)</f>
        <v>C49SZX20180175SX</v>
      </c>
      <c r="K1255" s="51" t="str">
        <f>VLOOKUP(H1255,Stock_list!A:T,16,FALSE)</f>
        <v>JPY</v>
      </c>
      <c r="L1255" s="4"/>
      <c r="M1255" s="132">
        <v>50</v>
      </c>
      <c r="P1255" s="4" t="str">
        <f>VLOOKUP(H1255,Stock_list!A:Y,25,FALSE)</f>
        <v>Yes</v>
      </c>
      <c r="Q1255" s="143"/>
      <c r="T1255" s="144"/>
      <c r="U1255" s="145" t="str">
        <f>VLOOKUP(H1255,Stock_list!A:N,14,FALSE)</f>
        <v>MAR 19</v>
      </c>
    </row>
    <row r="1256" spans="1:21" ht="16.5" customHeight="1">
      <c r="A1256" s="159" t="s">
        <v>2747</v>
      </c>
      <c r="B1256" s="114" t="str">
        <f>VLOOKUP(A1256,'Data pick slip'!B:F,5,FALSE)</f>
        <v>KHJ-MC200-00</v>
      </c>
      <c r="C1256" s="156">
        <v>109493</v>
      </c>
      <c r="E1256" s="160">
        <f>VLOOKUP(C1256,Stock_list!D:L,9,FALSE)</f>
        <v>43546</v>
      </c>
      <c r="F1256" s="157" t="s">
        <v>2862</v>
      </c>
      <c r="H1256" s="138">
        <v>184</v>
      </c>
      <c r="I1256" s="139" t="str">
        <f>VLOOKUP(H1256,Stock_list!A:R,18,FALSE)</f>
        <v>永顺创</v>
      </c>
      <c r="J1256" s="139" t="str">
        <f>VLOOKUP(H1256,Stock_list!A:S,17,FALSE)</f>
        <v>C49SZX20180175SX</v>
      </c>
      <c r="K1256" s="51" t="str">
        <f>VLOOKUP(H1256,Stock_list!A:T,16,FALSE)</f>
        <v>JPY</v>
      </c>
      <c r="L1256" s="4">
        <v>43532</v>
      </c>
      <c r="M1256" s="132">
        <v>8</v>
      </c>
      <c r="P1256" s="4" t="str">
        <f>VLOOKUP(H1256,Stock_list!A:Y,25,FALSE)</f>
        <v>Yes</v>
      </c>
      <c r="Q1256" s="143"/>
      <c r="T1256" s="144"/>
      <c r="U1256" s="145" t="str">
        <f>VLOOKUP(H1256,Stock_list!A:N,14,FALSE)</f>
        <v>MAR 19</v>
      </c>
    </row>
    <row r="1257" spans="1:21" ht="16.5" customHeight="1">
      <c r="A1257" s="159" t="s">
        <v>2748</v>
      </c>
      <c r="B1257" s="114" t="str">
        <f>VLOOKUP(A1257,'Data pick slip'!B:F,5,FALSE)</f>
        <v>KHJ-MC400-00</v>
      </c>
      <c r="C1257" s="156">
        <v>109493</v>
      </c>
      <c r="E1257" s="160">
        <f>VLOOKUP(C1257,Stock_list!D:L,9,FALSE)</f>
        <v>43546</v>
      </c>
      <c r="F1257" s="157" t="s">
        <v>2862</v>
      </c>
      <c r="H1257" s="138">
        <v>184</v>
      </c>
      <c r="I1257" s="139" t="str">
        <f>VLOOKUP(H1257,Stock_list!A:R,18,FALSE)</f>
        <v>永顺创</v>
      </c>
      <c r="J1257" s="139" t="str">
        <f>VLOOKUP(H1257,Stock_list!A:S,17,FALSE)</f>
        <v>C49SZX20180175SX</v>
      </c>
      <c r="K1257" s="51" t="str">
        <f>VLOOKUP(H1257,Stock_list!A:T,16,FALSE)</f>
        <v>JPY</v>
      </c>
      <c r="L1257" s="4"/>
      <c r="M1257" s="132">
        <v>2</v>
      </c>
      <c r="P1257" s="4" t="str">
        <f>VLOOKUP(H1257,Stock_list!A:Y,25,FALSE)</f>
        <v>Yes</v>
      </c>
      <c r="Q1257" s="143"/>
      <c r="T1257" s="144"/>
      <c r="U1257" s="145" t="str">
        <f>VLOOKUP(H1257,Stock_list!A:N,14,FALSE)</f>
        <v>MAR 19</v>
      </c>
    </row>
    <row r="1258" spans="1:21" ht="16.5" customHeight="1">
      <c r="A1258" s="159" t="s">
        <v>2749</v>
      </c>
      <c r="B1258" s="114" t="str">
        <f>VLOOKUP(A1258,'Data pick slip'!B:F,5,FALSE)</f>
        <v>KHJ-MC500-00</v>
      </c>
      <c r="C1258" s="156">
        <v>109493</v>
      </c>
      <c r="E1258" s="160">
        <f>VLOOKUP(C1258,Stock_list!D:L,9,FALSE)</f>
        <v>43546</v>
      </c>
      <c r="F1258" s="157" t="s">
        <v>2862</v>
      </c>
      <c r="H1258" s="138">
        <v>184</v>
      </c>
      <c r="I1258" s="139" t="str">
        <f>VLOOKUP(H1258,Stock_list!A:R,18,FALSE)</f>
        <v>永顺创</v>
      </c>
      <c r="J1258" s="139" t="str">
        <f>VLOOKUP(H1258,Stock_list!A:S,17,FALSE)</f>
        <v>C49SZX20180175SX</v>
      </c>
      <c r="K1258" s="51" t="str">
        <f>VLOOKUP(H1258,Stock_list!A:T,16,FALSE)</f>
        <v>JPY</v>
      </c>
      <c r="L1258" s="4"/>
      <c r="M1258" s="132">
        <v>1</v>
      </c>
      <c r="P1258" s="4" t="str">
        <f>VLOOKUP(H1258,Stock_list!A:Y,25,FALSE)</f>
        <v>Yes</v>
      </c>
      <c r="Q1258" s="143"/>
      <c r="T1258" s="144"/>
      <c r="U1258" s="145" t="str">
        <f>VLOOKUP(H1258,Stock_list!A:N,14,FALSE)</f>
        <v>MAR 19</v>
      </c>
    </row>
    <row r="1259" spans="1:21" ht="16.5" customHeight="1">
      <c r="A1259" s="159" t="s">
        <v>2755</v>
      </c>
      <c r="B1259" s="114" t="str">
        <f>VLOOKUP(A1259,'Data pick slip'!B:F,5,FALSE)</f>
        <v>KLJ-MC100-00</v>
      </c>
      <c r="F1259" s="157" t="s">
        <v>2773</v>
      </c>
      <c r="H1259" s="138">
        <v>184</v>
      </c>
      <c r="I1259" s="139" t="str">
        <f>VLOOKUP(H1259,Stock_list!A:R,18,FALSE)</f>
        <v>永顺创</v>
      </c>
      <c r="J1259" s="139" t="str">
        <f>VLOOKUP(H1259,Stock_list!A:S,17,FALSE)</f>
        <v>C49SZX20180175SX</v>
      </c>
      <c r="K1259" s="51" t="str">
        <f>VLOOKUP(H1259,Stock_list!A:T,16,FALSE)</f>
        <v>JPY</v>
      </c>
      <c r="L1259" s="4"/>
      <c r="M1259" s="132">
        <v>38</v>
      </c>
      <c r="P1259" s="4" t="str">
        <f>VLOOKUP(H1259,Stock_list!A:Y,25,FALSE)</f>
        <v>Yes</v>
      </c>
      <c r="Q1259" s="143"/>
      <c r="S1259" s="123" t="s">
        <v>3004</v>
      </c>
      <c r="T1259" s="205" t="s">
        <v>3038</v>
      </c>
      <c r="U1259" s="145" t="str">
        <f>VLOOKUP(H1259,Stock_list!A:N,14,FALSE)</f>
        <v>MAR 19</v>
      </c>
    </row>
    <row r="1260" spans="1:21" ht="16.5" customHeight="1">
      <c r="A1260" s="159" t="s">
        <v>2751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2773</v>
      </c>
      <c r="I1260" s="139" t="s">
        <v>2854</v>
      </c>
      <c r="J1260" s="139" t="s">
        <v>3039</v>
      </c>
      <c r="K1260" s="51" t="s">
        <v>1246</v>
      </c>
      <c r="L1260" s="4"/>
      <c r="M1260" s="132">
        <v>1</v>
      </c>
      <c r="P1260" s="4" t="s">
        <v>291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2748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2862</v>
      </c>
      <c r="I1261" s="139" t="s">
        <v>2854</v>
      </c>
      <c r="J1261" s="139" t="s">
        <v>3040</v>
      </c>
      <c r="K1261" s="51" t="s">
        <v>1246</v>
      </c>
      <c r="L1261" s="4"/>
      <c r="M1261" s="132">
        <v>2</v>
      </c>
      <c r="P1261" s="4" t="s">
        <v>291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2744</v>
      </c>
      <c r="B1262" s="114" t="str">
        <f>VLOOKUP(A1262,'Data pick slip'!B:F,5,FALSE)</f>
        <v>KHJ-MC100-00</v>
      </c>
      <c r="C1262" s="156">
        <v>109238</v>
      </c>
      <c r="E1262" s="160">
        <f>VLOOKUP(C1262,Stock_list!D:L,9,FALSE)</f>
        <v>43327</v>
      </c>
      <c r="F1262" s="157" t="s">
        <v>2862</v>
      </c>
      <c r="H1262" s="138">
        <v>186</v>
      </c>
      <c r="I1262" s="139" t="str">
        <f>VLOOKUP(H1262,Stock_list!A:R,18,FALSE)</f>
        <v>世达威</v>
      </c>
      <c r="J1262" s="139" t="str">
        <f>VLOOKUP(H1262,Stock_list!A:S,17,FALSE)</f>
        <v>C49SZX20180180ZX</v>
      </c>
      <c r="K1262" s="51" t="str">
        <f>VLOOKUP(H1262,Stock_list!A:T,16,FALSE)</f>
        <v>JPY</v>
      </c>
      <c r="L1262" s="4"/>
      <c r="M1262" s="132">
        <v>20</v>
      </c>
      <c r="P1262" s="4" t="str">
        <f>VLOOKUP(H1262,Stock_list!A:Y,25,FALSE)</f>
        <v>Yes</v>
      </c>
      <c r="Q1262" s="143"/>
      <c r="T1262" s="144"/>
      <c r="U1262" s="145" t="str">
        <f>VLOOKUP(H1262,Stock_list!A:N,14,FALSE)</f>
        <v>DEC 18</v>
      </c>
    </row>
    <row r="1263" spans="1:21" ht="16.5" customHeight="1">
      <c r="A1263" s="159" t="s">
        <v>2747</v>
      </c>
      <c r="B1263" s="114" t="str">
        <f>VLOOKUP(A1263,'Data pick slip'!B:F,5,FALSE)</f>
        <v>KHJ-MC200-00</v>
      </c>
      <c r="C1263" s="156">
        <v>109238</v>
      </c>
      <c r="E1263" s="160">
        <f>VLOOKUP(C1263,Stock_list!D:L,9,FALSE)</f>
        <v>43327</v>
      </c>
      <c r="F1263" s="157" t="s">
        <v>2862</v>
      </c>
      <c r="H1263" s="138">
        <v>186</v>
      </c>
      <c r="I1263" s="139" t="str">
        <f>VLOOKUP(H1263,Stock_list!A:R,18,FALSE)</f>
        <v>世达威</v>
      </c>
      <c r="J1263" s="139" t="str">
        <f>VLOOKUP(H1263,Stock_list!A:S,17,FALSE)</f>
        <v>C49SZX20180180ZX</v>
      </c>
      <c r="K1263" s="51" t="str">
        <f>VLOOKUP(H1263,Stock_list!A:T,16,FALSE)</f>
        <v>JPY</v>
      </c>
      <c r="L1263" s="4" t="s">
        <v>3025</v>
      </c>
      <c r="M1263" s="132">
        <v>10</v>
      </c>
      <c r="P1263" s="4" t="str">
        <f>VLOOKUP(H1263,Stock_list!A:Y,25,FALSE)</f>
        <v>Yes</v>
      </c>
      <c r="Q1263" s="143"/>
      <c r="T1263" s="144"/>
      <c r="U1263" s="145" t="str">
        <f>VLOOKUP(H1263,Stock_list!A:N,14,FALSE)</f>
        <v>DEC 18</v>
      </c>
    </row>
    <row r="1264" spans="1:21" ht="16.5" customHeight="1">
      <c r="A1264" s="159" t="s">
        <v>2748</v>
      </c>
      <c r="B1264" s="114" t="str">
        <f>VLOOKUP(A1264,'Data pick slip'!B:F,5,FALSE)</f>
        <v>KHJ-MC400-00</v>
      </c>
      <c r="C1264" s="156">
        <v>109238</v>
      </c>
      <c r="E1264" s="160">
        <f>VLOOKUP(C1264,Stock_list!D:L,9,FALSE)</f>
        <v>43327</v>
      </c>
      <c r="F1264" s="157" t="s">
        <v>2862</v>
      </c>
      <c r="H1264" s="138">
        <v>186</v>
      </c>
      <c r="I1264" s="139" t="str">
        <f>VLOOKUP(H1264,Stock_list!A:R,18,FALSE)</f>
        <v>世达威</v>
      </c>
      <c r="J1264" s="139" t="str">
        <f>VLOOKUP(H1264,Stock_list!A:S,17,FALSE)</f>
        <v>C49SZX20180180ZX</v>
      </c>
      <c r="K1264" s="51" t="str">
        <f>VLOOKUP(H1264,Stock_list!A:T,16,FALSE)</f>
        <v>JPY</v>
      </c>
      <c r="L1264" s="4"/>
      <c r="M1264" s="132">
        <v>2</v>
      </c>
      <c r="P1264" s="4" t="str">
        <f>VLOOKUP(H1264,Stock_list!A:Y,25,FALSE)</f>
        <v>Yes</v>
      </c>
      <c r="Q1264" s="143"/>
      <c r="T1264" s="144"/>
      <c r="U1264" s="145" t="str">
        <f>VLOOKUP(H1264,Stock_list!A:N,14,FALSE)</f>
        <v>DEC 18</v>
      </c>
    </row>
    <row r="1265" spans="1:21" ht="16.5" customHeight="1">
      <c r="A1265" s="159" t="s">
        <v>2744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2773</v>
      </c>
      <c r="H1265" s="138">
        <v>100</v>
      </c>
      <c r="I1265" s="139" t="str">
        <f>VLOOKUP(H1265,Stock_list!A:R,18,FALSE)</f>
        <v>小耳朵</v>
      </c>
      <c r="J1265" s="139" t="str">
        <f>VLOOKUP(H1265,Stock_list!A:S,17,FALSE)</f>
        <v>C49SZX20180103MZ</v>
      </c>
      <c r="K1265" s="51" t="str">
        <f>VLOOKUP(H1265,Stock_list!A:T,16,FALSE)</f>
        <v>JPY</v>
      </c>
      <c r="L1265" s="4"/>
      <c r="M1265" s="132"/>
      <c r="O1265" s="132">
        <f>3-3</f>
        <v>0</v>
      </c>
      <c r="P1265" s="4" t="str">
        <f>VLOOKUP(H1265,Stock_list!A:Y,25,FALSE)</f>
        <v>Yes</v>
      </c>
      <c r="Q1265" s="143"/>
      <c r="T1265" s="144"/>
      <c r="U1265" s="145" t="str">
        <f>VLOOKUP(H1265,Stock_list!A:N,14,FALSE)</f>
        <v>FEB 19</v>
      </c>
    </row>
    <row r="1266" spans="1:21" ht="16.5" customHeight="1">
      <c r="A1266" s="159" t="s">
        <v>2748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2862</v>
      </c>
      <c r="I1266" s="139" t="s">
        <v>3016</v>
      </c>
      <c r="J1266" s="139" t="s">
        <v>3041</v>
      </c>
      <c r="K1266" s="51" t="s">
        <v>1246</v>
      </c>
      <c r="L1266" s="4"/>
      <c r="M1266" s="132">
        <v>10</v>
      </c>
      <c r="P1266" s="4" t="s">
        <v>291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2757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2862</v>
      </c>
      <c r="I1267" s="139" t="s">
        <v>3016</v>
      </c>
      <c r="J1267" s="139" t="s">
        <v>3041</v>
      </c>
      <c r="K1267" s="51" t="s">
        <v>1246</v>
      </c>
      <c r="L1267" s="4"/>
      <c r="M1267" s="132">
        <v>21</v>
      </c>
      <c r="P1267" s="4" t="s">
        <v>291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2749</v>
      </c>
      <c r="B1268" s="114" t="str">
        <f>VLOOKUP(A1268,'Data pick slip'!B:F,5,FALSE)</f>
        <v>KHJ-MC500-00</v>
      </c>
      <c r="F1268" s="157" t="s">
        <v>2862</v>
      </c>
      <c r="I1268" s="139" t="s">
        <v>3016</v>
      </c>
      <c r="J1268" s="139" t="s">
        <v>3041</v>
      </c>
      <c r="K1268" s="51" t="s">
        <v>1246</v>
      </c>
      <c r="L1268" s="4"/>
      <c r="M1268" s="132">
        <v>7</v>
      </c>
      <c r="P1268" s="4" t="s">
        <v>291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2744</v>
      </c>
      <c r="B1269" s="114" t="str">
        <f>VLOOKUP(A1269,'Data pick slip'!B:F,5,FALSE)</f>
        <v>KHJ-MC100-00</v>
      </c>
      <c r="F1269" s="157" t="s">
        <v>2862</v>
      </c>
      <c r="I1269" s="139" t="s">
        <v>3016</v>
      </c>
      <c r="J1269" s="139" t="s">
        <v>3041</v>
      </c>
      <c r="K1269" s="51" t="s">
        <v>1246</v>
      </c>
      <c r="L1269" s="4">
        <v>43441</v>
      </c>
      <c r="M1269" s="132">
        <v>150</v>
      </c>
      <c r="P1269" s="4" t="s">
        <v>291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2748</v>
      </c>
      <c r="B1270" s="114" t="str">
        <f>VLOOKUP(A1270,'Data pick slip'!B:F,5,FALSE)</f>
        <v>KHJ-MC400-00</v>
      </c>
      <c r="F1270" s="157" t="s">
        <v>2773</v>
      </c>
      <c r="I1270" s="139" t="s">
        <v>2854</v>
      </c>
      <c r="J1270" s="139" t="s">
        <v>3042</v>
      </c>
      <c r="K1270" s="51" t="s">
        <v>1246</v>
      </c>
      <c r="L1270" s="4" t="s">
        <v>3015</v>
      </c>
      <c r="M1270" s="132">
        <v>8</v>
      </c>
      <c r="P1270" s="4" t="s">
        <v>291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2744</v>
      </c>
      <c r="B1271" s="114" t="str">
        <f>VLOOKUP(A1271,'Data pick slip'!B:F,5,FALSE)</f>
        <v>KHJ-MC100-00</v>
      </c>
      <c r="F1271" s="157" t="s">
        <v>2773</v>
      </c>
      <c r="I1271" s="139" t="s">
        <v>2854</v>
      </c>
      <c r="J1271" s="139" t="s">
        <v>3043</v>
      </c>
      <c r="K1271" s="51" t="s">
        <v>1246</v>
      </c>
      <c r="L1271" s="4"/>
      <c r="M1271" s="132">
        <v>45</v>
      </c>
      <c r="P1271" s="4" t="s">
        <v>291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2747</v>
      </c>
      <c r="B1272" s="114" t="str">
        <f>VLOOKUP(A1272,'Data pick slip'!B:F,5,FALSE)</f>
        <v>KHJ-MC200-00</v>
      </c>
      <c r="F1272" s="157" t="s">
        <v>2773</v>
      </c>
      <c r="I1272" s="139" t="s">
        <v>2854</v>
      </c>
      <c r="J1272" s="139" t="s">
        <v>3043</v>
      </c>
      <c r="K1272" s="51" t="s">
        <v>1246</v>
      </c>
      <c r="L1272" s="4" t="s">
        <v>3025</v>
      </c>
      <c r="M1272" s="132">
        <v>2</v>
      </c>
      <c r="P1272" s="4" t="s">
        <v>291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2750</v>
      </c>
      <c r="B1273" s="114" t="str">
        <f>VLOOKUP(A1273,'Data pick slip'!B:F,5,FALSE)</f>
        <v>KHJ-MC600-00</v>
      </c>
      <c r="F1273" s="157" t="s">
        <v>2773</v>
      </c>
      <c r="I1273" s="139" t="s">
        <v>2854</v>
      </c>
      <c r="J1273" s="139" t="s">
        <v>3043</v>
      </c>
      <c r="K1273" s="51" t="s">
        <v>1246</v>
      </c>
      <c r="L1273" s="4"/>
      <c r="M1273" s="132">
        <v>1</v>
      </c>
      <c r="P1273" s="4" t="s">
        <v>291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2744</v>
      </c>
      <c r="B1274" s="114" t="str">
        <f>VLOOKUP(A1274,'Data pick slip'!B:F,5,FALSE)</f>
        <v>KHJ-MC100-00</v>
      </c>
      <c r="F1274" s="157" t="s">
        <v>2773</v>
      </c>
      <c r="I1274" s="139" t="s">
        <v>2854</v>
      </c>
      <c r="J1274" s="139" t="s">
        <v>3044</v>
      </c>
      <c r="K1274" s="51" t="s">
        <v>1246</v>
      </c>
      <c r="L1274" s="4"/>
      <c r="M1274" s="132">
        <v>10</v>
      </c>
      <c r="P1274" s="4" t="s">
        <v>291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2750</v>
      </c>
      <c r="B1275" s="114" t="str">
        <f>VLOOKUP(A1275,'Data pick slip'!B:F,5,FALSE)</f>
        <v>KHJ-MC600-00</v>
      </c>
      <c r="F1275" s="157" t="s">
        <v>2773</v>
      </c>
      <c r="I1275" s="139" t="s">
        <v>2854</v>
      </c>
      <c r="J1275" s="139" t="s">
        <v>3045</v>
      </c>
      <c r="K1275" s="51" t="s">
        <v>1246</v>
      </c>
      <c r="L1275" s="4"/>
      <c r="M1275" s="132">
        <v>4</v>
      </c>
      <c r="P1275" s="4" t="s">
        <v>291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2744</v>
      </c>
      <c r="B1276" s="114" t="str">
        <f>VLOOKUP(A1276,'Data pick slip'!B:F,5,FALSE)</f>
        <v>KHJ-MC100-00</v>
      </c>
      <c r="F1276" s="157" t="s">
        <v>2773</v>
      </c>
      <c r="I1276" s="139" t="s">
        <v>2854</v>
      </c>
      <c r="J1276" s="139" t="s">
        <v>3046</v>
      </c>
      <c r="K1276" s="51" t="s">
        <v>1246</v>
      </c>
      <c r="L1276" s="4"/>
      <c r="M1276" s="132">
        <v>26</v>
      </c>
      <c r="P1276" s="4" t="s">
        <v>291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2756</v>
      </c>
      <c r="B1277" s="114" t="str">
        <f>VLOOKUP(A1277,'Data pick slip'!B:F,5,FALSE)</f>
        <v>KLJ-MC200-00</v>
      </c>
      <c r="F1277" s="157" t="s">
        <v>2773</v>
      </c>
      <c r="I1277" s="139" t="s">
        <v>2854</v>
      </c>
      <c r="J1277" s="139" t="s">
        <v>3046</v>
      </c>
      <c r="K1277" s="51" t="s">
        <v>1246</v>
      </c>
      <c r="L1277" s="4"/>
      <c r="M1277" s="132">
        <v>8</v>
      </c>
      <c r="P1277" s="4" t="s">
        <v>291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2757</v>
      </c>
      <c r="B1278" s="114" t="str">
        <f>VLOOKUP(A1278,'Data pick slip'!B:F,5,FALSE)</f>
        <v>KLJ-MC400-00</v>
      </c>
      <c r="F1278" s="157" t="s">
        <v>2773</v>
      </c>
      <c r="I1278" s="139" t="s">
        <v>2854</v>
      </c>
      <c r="J1278" s="139" t="s">
        <v>3046</v>
      </c>
      <c r="K1278" s="51" t="s">
        <v>1246</v>
      </c>
      <c r="L1278" s="4"/>
      <c r="M1278" s="132">
        <v>2</v>
      </c>
      <c r="P1278" s="4" t="s">
        <v>291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2749</v>
      </c>
      <c r="B1279" s="114" t="str">
        <f>VLOOKUP(A1279,'Data pick slip'!B:F,5,FALSE)</f>
        <v>KHJ-MC500-00</v>
      </c>
      <c r="F1279" s="157" t="s">
        <v>2773</v>
      </c>
      <c r="I1279" s="139" t="s">
        <v>2854</v>
      </c>
      <c r="J1279" s="139" t="s">
        <v>3046</v>
      </c>
      <c r="K1279" s="51" t="s">
        <v>1246</v>
      </c>
      <c r="L1279" s="4"/>
      <c r="M1279" s="132">
        <v>1</v>
      </c>
      <c r="P1279" s="4" t="s">
        <v>291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2756</v>
      </c>
      <c r="B1280" s="114" t="str">
        <f>VLOOKUP(A1280,'Data pick slip'!B:F,5,FALSE)</f>
        <v>KLJ-MC200-00</v>
      </c>
      <c r="F1280" s="157" t="s">
        <v>2773</v>
      </c>
      <c r="I1280" s="139" t="s">
        <v>2854</v>
      </c>
      <c r="J1280" s="139" t="s">
        <v>3047</v>
      </c>
      <c r="K1280" s="51" t="s">
        <v>1246</v>
      </c>
      <c r="L1280" s="4"/>
      <c r="M1280" s="132">
        <v>14</v>
      </c>
      <c r="P1280" s="4" t="s">
        <v>291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2744</v>
      </c>
      <c r="B1281" s="114" t="str">
        <f>VLOOKUP(A1281,'Data pick slip'!B:F,5,FALSE)</f>
        <v>KHJ-MC100-00</v>
      </c>
      <c r="F1281" s="157" t="s">
        <v>2773</v>
      </c>
      <c r="H1281" s="138">
        <v>189</v>
      </c>
      <c r="I1281" s="139" t="str">
        <f>VLOOKUP(H1281,Stock_list!A:R,18,FALSE)</f>
        <v>美斯特</v>
      </c>
      <c r="J1281" s="139" t="str">
        <f>VLOOKUP(H1281,Stock_list!A:S,17,FALSE)</f>
        <v>C49SZX20180185ZX</v>
      </c>
      <c r="K1281" s="51" t="str">
        <f>VLOOKUP(H1281,Stock_list!A:T,16,FALSE)</f>
        <v>RMB</v>
      </c>
      <c r="L1281" s="4"/>
      <c r="M1281" s="132">
        <v>40</v>
      </c>
      <c r="P1281" s="4" t="str">
        <f>VLOOKUP(H1281,Stock_list!A:Y,25,FALSE)</f>
        <v>Yes</v>
      </c>
      <c r="Q1281" s="133"/>
      <c r="T1281" s="144"/>
      <c r="U1281" s="145" t="str">
        <f>VLOOKUP(H1281,Stock_list!A:N,14,FALSE)</f>
        <v>FEB 19</v>
      </c>
    </row>
    <row r="1282" spans="1:21" ht="16.5" customHeight="1">
      <c r="A1282" s="159" t="s">
        <v>2747</v>
      </c>
      <c r="B1282" s="114" t="str">
        <f>VLOOKUP(A1282,'Data pick slip'!B:F,5,FALSE)</f>
        <v>KHJ-MC200-00</v>
      </c>
      <c r="F1282" s="157" t="s">
        <v>2773</v>
      </c>
      <c r="H1282" s="138">
        <v>189</v>
      </c>
      <c r="I1282" s="139" t="str">
        <f>VLOOKUP(H1282,Stock_list!A:R,18,FALSE)</f>
        <v>美斯特</v>
      </c>
      <c r="J1282" s="139" t="str">
        <f>VLOOKUP(H1282,Stock_list!A:S,17,FALSE)</f>
        <v>C49SZX20180185ZX</v>
      </c>
      <c r="K1282" s="51" t="str">
        <f>VLOOKUP(H1282,Stock_list!A:T,16,FALSE)</f>
        <v>RMB</v>
      </c>
      <c r="L1282" s="4" t="s">
        <v>3025</v>
      </c>
      <c r="M1282" s="132">
        <v>2</v>
      </c>
      <c r="P1282" s="4" t="str">
        <f>VLOOKUP(H1282,Stock_list!A:Y,25,FALSE)</f>
        <v>Yes</v>
      </c>
      <c r="Q1282" s="133"/>
      <c r="T1282" s="144"/>
      <c r="U1282" s="145" t="str">
        <f>VLOOKUP(H1282,Stock_list!A:N,14,FALSE)</f>
        <v>FEB 19</v>
      </c>
    </row>
    <row r="1283" spans="1:21" ht="16.5" customHeight="1">
      <c r="A1283" s="159" t="s">
        <v>2748</v>
      </c>
      <c r="B1283" s="114" t="str">
        <f>VLOOKUP(A1283,'Data pick slip'!B:F,5,FALSE)</f>
        <v>KHJ-MC400-00</v>
      </c>
      <c r="F1283" s="157" t="s">
        <v>2773</v>
      </c>
      <c r="H1283" s="138">
        <v>189</v>
      </c>
      <c r="I1283" s="139" t="str">
        <f>VLOOKUP(H1283,Stock_list!A:R,18,FALSE)</f>
        <v>美斯特</v>
      </c>
      <c r="J1283" s="139" t="str">
        <f>VLOOKUP(H1283,Stock_list!A:S,17,FALSE)</f>
        <v>C49SZX20180185ZX</v>
      </c>
      <c r="K1283" s="51" t="str">
        <f>VLOOKUP(H1283,Stock_list!A:T,16,FALSE)</f>
        <v>RMB</v>
      </c>
      <c r="L1283" s="4" t="s">
        <v>3015</v>
      </c>
      <c r="M1283" s="132">
        <v>2</v>
      </c>
      <c r="P1283" s="4" t="str">
        <f>VLOOKUP(H1283,Stock_list!A:Y,25,FALSE)</f>
        <v>Yes</v>
      </c>
      <c r="Q1283" s="133"/>
      <c r="T1283" s="144"/>
      <c r="U1283" s="145" t="str">
        <f>VLOOKUP(H1283,Stock_list!A:N,14,FALSE)</f>
        <v>FEB 19</v>
      </c>
    </row>
    <row r="1284" spans="1:21" ht="16.5" customHeight="1">
      <c r="A1284" s="159" t="s">
        <v>2744</v>
      </c>
      <c r="B1284" s="114" t="str">
        <f>VLOOKUP(A1284,'Data pick slip'!B:F,5,FALSE)</f>
        <v>KHJ-MC100-00</v>
      </c>
      <c r="C1284" s="156">
        <v>109344</v>
      </c>
      <c r="F1284" s="157" t="s">
        <v>2862</v>
      </c>
      <c r="H1284" s="138">
        <v>201</v>
      </c>
      <c r="I1284" s="139" t="str">
        <f>VLOOKUP(H1284,Stock_list!A:R,18,FALSE)</f>
        <v>Kingtron络鑫</v>
      </c>
      <c r="J1284" s="139" t="str">
        <f>VLOOKUP(H1284,Stock_list!A:S,17,FALSE)</f>
        <v>C49SZX20190001JY</v>
      </c>
      <c r="K1284" s="51" t="str">
        <f>VLOOKUP(H1284,Stock_list!A:T,16,FALSE)</f>
        <v>JPY</v>
      </c>
      <c r="L1284" s="4">
        <v>43628</v>
      </c>
      <c r="M1284" s="132">
        <v>170</v>
      </c>
      <c r="P1284" s="4" t="str">
        <f>VLOOKUP(H1284,Stock_list!A:Y,25,FALSE)</f>
        <v>Yes</v>
      </c>
      <c r="Q1284" s="133"/>
      <c r="T1284" s="144"/>
      <c r="U1284" s="145" t="str">
        <f>VLOOKUP(H1284,Stock_list!A:N,14,FALSE)</f>
        <v>JUN 19</v>
      </c>
    </row>
    <row r="1285" spans="1:21" ht="16.5" customHeight="1">
      <c r="A1285" s="159" t="s">
        <v>2747</v>
      </c>
      <c r="B1285" s="114" t="str">
        <f>VLOOKUP(A1285,'Data pick slip'!B:F,5,FALSE)</f>
        <v>KHJ-MC200-00</v>
      </c>
      <c r="C1285" s="156">
        <v>109344</v>
      </c>
      <c r="F1285" s="157" t="s">
        <v>2862</v>
      </c>
      <c r="H1285" s="138">
        <v>201</v>
      </c>
      <c r="I1285" s="139" t="str">
        <f>VLOOKUP(H1285,Stock_list!A:R,18,FALSE)</f>
        <v>Kingtron络鑫</v>
      </c>
      <c r="J1285" s="139" t="str">
        <f>VLOOKUP(H1285,Stock_list!A:S,17,FALSE)</f>
        <v>C49SZX20190001JY</v>
      </c>
      <c r="K1285" s="51" t="str">
        <f>VLOOKUP(H1285,Stock_list!A:T,16,FALSE)</f>
        <v>JPY</v>
      </c>
      <c r="L1285" s="4">
        <v>43628</v>
      </c>
      <c r="M1285" s="132">
        <v>25</v>
      </c>
      <c r="P1285" s="4" t="str">
        <f>VLOOKUP(H1285,Stock_list!A:Y,25,FALSE)</f>
        <v>Yes</v>
      </c>
      <c r="Q1285" s="133"/>
      <c r="T1285" s="144"/>
      <c r="U1285" s="145" t="str">
        <f>VLOOKUP(H1285,Stock_list!A:N,14,FALSE)</f>
        <v>JUN 19</v>
      </c>
    </row>
    <row r="1286" spans="1:21" ht="16.5" customHeight="1">
      <c r="A1286" s="159" t="s">
        <v>2748</v>
      </c>
      <c r="B1286" s="114" t="str">
        <f>VLOOKUP(A1286,'Data pick slip'!B:F,5,FALSE)</f>
        <v>KHJ-MC400-00</v>
      </c>
      <c r="C1286" s="156">
        <v>109493</v>
      </c>
      <c r="F1286" s="157" t="s">
        <v>2862</v>
      </c>
      <c r="H1286" s="138">
        <v>201</v>
      </c>
      <c r="I1286" s="139" t="str">
        <f>VLOOKUP(H1286,Stock_list!A:R,18,FALSE)</f>
        <v>Kingtron络鑫</v>
      </c>
      <c r="J1286" s="139" t="str">
        <f>VLOOKUP(H1286,Stock_list!A:S,17,FALSE)</f>
        <v>C49SZX20190001JY</v>
      </c>
      <c r="K1286" s="51" t="str">
        <f>VLOOKUP(H1286,Stock_list!A:T,16,FALSE)</f>
        <v>JPY</v>
      </c>
      <c r="L1286" s="4">
        <v>43628</v>
      </c>
      <c r="M1286" s="132">
        <v>3</v>
      </c>
      <c r="P1286" s="4" t="str">
        <f>VLOOKUP(H1286,Stock_list!A:Y,25,FALSE)</f>
        <v>Yes</v>
      </c>
      <c r="Q1286" s="133"/>
      <c r="T1286" s="144"/>
      <c r="U1286" s="145" t="str">
        <f>VLOOKUP(H1286,Stock_list!A:N,14,FALSE)</f>
        <v>JUN 19</v>
      </c>
    </row>
    <row r="1287" spans="1:21" ht="16.5" customHeight="1">
      <c r="A1287" s="159" t="s">
        <v>2749</v>
      </c>
      <c r="B1287" s="114" t="str">
        <f>VLOOKUP(A1287,'Data pick slip'!B:F,5,FALSE)</f>
        <v>KHJ-MC500-00</v>
      </c>
      <c r="C1287" s="156">
        <v>109493</v>
      </c>
      <c r="F1287" s="157" t="s">
        <v>2862</v>
      </c>
      <c r="H1287" s="138">
        <v>201</v>
      </c>
      <c r="I1287" s="139" t="str">
        <f>VLOOKUP(H1287,Stock_list!A:R,18,FALSE)</f>
        <v>Kingtron络鑫</v>
      </c>
      <c r="J1287" s="139" t="str">
        <f>VLOOKUP(H1287,Stock_list!A:S,17,FALSE)</f>
        <v>C49SZX20190001JY</v>
      </c>
      <c r="K1287" s="51" t="str">
        <f>VLOOKUP(H1287,Stock_list!A:T,16,FALSE)</f>
        <v>JPY</v>
      </c>
      <c r="L1287" s="4">
        <v>43628</v>
      </c>
      <c r="M1287" s="132">
        <v>1</v>
      </c>
      <c r="P1287" s="4" t="str">
        <f>VLOOKUP(H1287,Stock_list!A:Y,25,FALSE)</f>
        <v>Yes</v>
      </c>
      <c r="Q1287" s="133"/>
      <c r="T1287" s="144"/>
      <c r="U1287" s="145" t="str">
        <f>VLOOKUP(H1287,Stock_list!A:N,14,FALSE)</f>
        <v>JUN 19</v>
      </c>
    </row>
    <row r="1288" spans="1:21" ht="16.5" customHeight="1">
      <c r="A1288" s="159" t="s">
        <v>2744</v>
      </c>
      <c r="B1288" s="114" t="str">
        <f>VLOOKUP(A1288,'Data pick slip'!B:F,5,FALSE)</f>
        <v>KHJ-MC100-00</v>
      </c>
      <c r="F1288" s="157" t="s">
        <v>2773</v>
      </c>
      <c r="H1288" s="138">
        <v>208</v>
      </c>
      <c r="I1288" s="139" t="str">
        <f>VLOOKUP(H1288,Stock_list!A:R,18,FALSE)</f>
        <v>An Lin东莞安林</v>
      </c>
      <c r="J1288" s="139" t="str">
        <f>VLOOKUP(H1288,Stock_list!A:S,17,FALSE)</f>
        <v>C49SZX20190005SX</v>
      </c>
      <c r="K1288" s="51" t="str">
        <f>VLOOKUP(H1288,Stock_list!A:T,16,FALSE)</f>
        <v>RMB</v>
      </c>
      <c r="L1288" s="4"/>
      <c r="M1288" s="132">
        <v>40</v>
      </c>
      <c r="P1288" s="4" t="str">
        <f>VLOOKUP(H1288,Stock_list!A:Y,25,FALSE)</f>
        <v>Yes</v>
      </c>
      <c r="Q1288" s="143"/>
      <c r="T1288" s="144"/>
      <c r="U1288" s="145" t="str">
        <f>VLOOKUP(H1288,Stock_list!A:N,14,FALSE)</f>
        <v>FEB 19</v>
      </c>
    </row>
    <row r="1289" spans="1:21" ht="16.5" customHeight="1">
      <c r="A1289" s="159" t="s">
        <v>2747</v>
      </c>
      <c r="B1289" s="114" t="str">
        <f>VLOOKUP(A1289,'Data pick slip'!B:F,5,FALSE)</f>
        <v>KHJ-MC200-00</v>
      </c>
      <c r="F1289" s="157" t="s">
        <v>2773</v>
      </c>
      <c r="H1289" s="138">
        <v>208</v>
      </c>
      <c r="I1289" s="139" t="str">
        <f>VLOOKUP(H1289,Stock_list!A:R,18,FALSE)</f>
        <v>An Lin东莞安林</v>
      </c>
      <c r="J1289" s="139" t="str">
        <f>VLOOKUP(H1289,Stock_list!A:S,17,FALSE)</f>
        <v>C49SZX20190005SX</v>
      </c>
      <c r="K1289" s="51" t="str">
        <f>VLOOKUP(H1289,Stock_list!A:T,16,FALSE)</f>
        <v>RMB</v>
      </c>
      <c r="L1289" s="290" t="s">
        <v>3009</v>
      </c>
      <c r="M1289" s="132">
        <v>5</v>
      </c>
      <c r="P1289" s="4" t="str">
        <f>VLOOKUP(H1289,Stock_list!A:Y,25,FALSE)</f>
        <v>Yes</v>
      </c>
      <c r="Q1289" s="143"/>
      <c r="T1289" s="144"/>
      <c r="U1289" s="145" t="str">
        <f>VLOOKUP(H1289,Stock_list!A:N,14,FALSE)</f>
        <v>FEB 19</v>
      </c>
    </row>
    <row r="1290" spans="1:21" ht="16.5" customHeight="1">
      <c r="A1290" s="159" t="s">
        <v>2748</v>
      </c>
      <c r="B1290" s="114" t="str">
        <f>VLOOKUP(A1290,'Data pick slip'!B:F,5,FALSE)</f>
        <v>KHJ-MC400-00</v>
      </c>
      <c r="F1290" s="157" t="s">
        <v>2773</v>
      </c>
      <c r="H1290" s="138">
        <v>208</v>
      </c>
      <c r="I1290" s="139" t="str">
        <f>VLOOKUP(H1290,Stock_list!A:R,18,FALSE)</f>
        <v>An Lin东莞安林</v>
      </c>
      <c r="J1290" s="139" t="str">
        <f>VLOOKUP(H1290,Stock_list!A:S,17,FALSE)</f>
        <v>C49SZX20190005SX</v>
      </c>
      <c r="K1290" s="51" t="str">
        <f>VLOOKUP(H1290,Stock_list!A:T,16,FALSE)</f>
        <v>RMB</v>
      </c>
      <c r="L1290" s="4" t="s">
        <v>3015</v>
      </c>
      <c r="M1290" s="132">
        <v>1</v>
      </c>
      <c r="P1290" s="4" t="str">
        <f>VLOOKUP(H1290,Stock_list!A:Y,25,FALSE)</f>
        <v>Yes</v>
      </c>
      <c r="Q1290" s="143"/>
      <c r="T1290" s="144"/>
      <c r="U1290" s="145" t="str">
        <f>VLOOKUP(H1290,Stock_list!A:N,14,FALSE)</f>
        <v>FEB 19</v>
      </c>
    </row>
    <row r="1291" spans="1:21" ht="27" customHeight="1">
      <c r="A1291" s="159" t="s">
        <v>2744</v>
      </c>
      <c r="B1291" s="114" t="str">
        <f>VLOOKUP(A1291,'Data pick slip'!B:F,5,FALSE)</f>
        <v>KHJ-MC100-00</v>
      </c>
      <c r="F1291" s="157" t="s">
        <v>2773</v>
      </c>
      <c r="H1291" s="138">
        <v>209</v>
      </c>
      <c r="I1291" s="139" t="str">
        <f>VLOOKUP(H1291,Stock_list!A:R,18,FALSE)</f>
        <v>KeChengDa科诚达</v>
      </c>
      <c r="J1291" s="139" t="str">
        <f>VLOOKUP(H1291,Stock_list!A:S,17,FALSE)</f>
        <v>C49SZX20190006ZX</v>
      </c>
      <c r="K1291" s="51" t="str">
        <f>VLOOKUP(H1291,Stock_list!A:T,16,FALSE)</f>
        <v>RMB</v>
      </c>
      <c r="L1291" s="4"/>
      <c r="M1291" s="132">
        <v>60</v>
      </c>
      <c r="P1291" s="4" t="str">
        <f>VLOOKUP(H1291,Stock_list!A:Y,25,FALSE)</f>
        <v>Yes</v>
      </c>
      <c r="Q1291" s="143"/>
      <c r="T1291" s="144"/>
      <c r="U1291" s="145" t="str">
        <f>VLOOKUP(H1291,Stock_list!A:N,14,FALSE)</f>
        <v>FEB 19</v>
      </c>
    </row>
    <row r="1292" spans="1:21" ht="16.5" customHeight="1">
      <c r="A1292" s="159" t="s">
        <v>2744</v>
      </c>
      <c r="B1292" s="114" t="str">
        <f>VLOOKUP(A1292,'Data pick slip'!B:F,5,FALSE)</f>
        <v>KHJ-MC100-00</v>
      </c>
      <c r="F1292" s="157" t="s">
        <v>2773</v>
      </c>
      <c r="H1292" s="138">
        <v>211</v>
      </c>
      <c r="I1292" s="139" t="str">
        <f>VLOOKUP(H1292,Stock_list!A:R,18,FALSE)</f>
        <v>安林An Lin</v>
      </c>
      <c r="J1292" s="139" t="str">
        <f>VLOOKUP(H1292,Stock_list!A:S,17,FALSE)</f>
        <v>C49SZX20190011SX</v>
      </c>
      <c r="K1292" s="51" t="str">
        <f>VLOOKUP(H1292,Stock_list!A:T,16,FALSE)</f>
        <v>RMB</v>
      </c>
      <c r="L1292" s="4"/>
      <c r="M1292" s="132">
        <v>40</v>
      </c>
      <c r="P1292" s="4" t="str">
        <f>VLOOKUP(H1292,Stock_list!A:Y,25,FALSE)</f>
        <v>Yes</v>
      </c>
      <c r="Q1292" s="143"/>
      <c r="T1292" s="144"/>
      <c r="U1292" s="145" t="str">
        <f>VLOOKUP(H1292,Stock_list!A:N,14,FALSE)</f>
        <v>FEB 19</v>
      </c>
    </row>
    <row r="1293" spans="1:21" ht="16.5" customHeight="1">
      <c r="A1293" s="159" t="s">
        <v>2747</v>
      </c>
      <c r="B1293" s="114" t="str">
        <f>VLOOKUP(A1293,'Data pick slip'!B:F,5,FALSE)</f>
        <v>KHJ-MC200-00</v>
      </c>
      <c r="F1293" s="157" t="s">
        <v>2773</v>
      </c>
      <c r="H1293" s="138">
        <v>211</v>
      </c>
      <c r="I1293" s="139" t="str">
        <f>VLOOKUP(H1293,Stock_list!A:R,18,FALSE)</f>
        <v>安林An Lin</v>
      </c>
      <c r="J1293" s="139" t="str">
        <f>VLOOKUP(H1293,Stock_list!A:S,17,FALSE)</f>
        <v>C49SZX20190011SX</v>
      </c>
      <c r="K1293" s="51" t="str">
        <f>VLOOKUP(H1293,Stock_list!A:T,16,FALSE)</f>
        <v>RMB</v>
      </c>
      <c r="L1293" s="290" t="s">
        <v>3009</v>
      </c>
      <c r="M1293" s="132">
        <v>5</v>
      </c>
      <c r="P1293" s="4" t="str">
        <f>VLOOKUP(H1293,Stock_list!A:Y,25,FALSE)</f>
        <v>Yes</v>
      </c>
      <c r="Q1293" s="143"/>
      <c r="T1293" s="144"/>
      <c r="U1293" s="145" t="str">
        <f>VLOOKUP(H1293,Stock_list!A:N,14,FALSE)</f>
        <v>FEB 19</v>
      </c>
    </row>
    <row r="1294" spans="1:21" ht="16.5" customHeight="1">
      <c r="A1294" s="159" t="s">
        <v>2748</v>
      </c>
      <c r="B1294" s="114" t="str">
        <f>VLOOKUP(A1294,'Data pick slip'!B:F,5,FALSE)</f>
        <v>KHJ-MC400-00</v>
      </c>
      <c r="F1294" s="157" t="s">
        <v>2773</v>
      </c>
      <c r="H1294" s="138">
        <v>211</v>
      </c>
      <c r="I1294" s="139" t="str">
        <f>VLOOKUP(H1294,Stock_list!A:R,18,FALSE)</f>
        <v>安林An Lin</v>
      </c>
      <c r="J1294" s="139" t="str">
        <f>VLOOKUP(H1294,Stock_list!A:S,17,FALSE)</f>
        <v>C49SZX20190011SX</v>
      </c>
      <c r="K1294" s="51" t="str">
        <f>VLOOKUP(H1294,Stock_list!A:T,16,FALSE)</f>
        <v>RMB</v>
      </c>
      <c r="L1294" s="4" t="s">
        <v>3015</v>
      </c>
      <c r="M1294" s="132">
        <v>1</v>
      </c>
      <c r="P1294" s="4" t="str">
        <f>VLOOKUP(H1294,Stock_list!A:Y,25,FALSE)</f>
        <v>Yes</v>
      </c>
      <c r="Q1294" s="143"/>
      <c r="T1294" s="144"/>
      <c r="U1294" s="145" t="str">
        <f>VLOOKUP(H1294,Stock_list!A:N,14,FALSE)</f>
        <v>FEB 19</v>
      </c>
    </row>
    <row r="1295" spans="1:21" ht="16.5" customHeight="1">
      <c r="A1295" s="159" t="s">
        <v>2744</v>
      </c>
      <c r="B1295" s="114" t="str">
        <f>VLOOKUP(A1295,'Data pick slip'!B:F,5,FALSE)</f>
        <v>KHJ-MC100-00</v>
      </c>
      <c r="C1295" s="156">
        <v>109344</v>
      </c>
      <c r="F1295" s="157" t="s">
        <v>2862</v>
      </c>
      <c r="H1295" s="138">
        <v>212</v>
      </c>
      <c r="I1295" s="139" t="str">
        <f>VLOOKUP(H1295,Stock_list!A:R,18,FALSE)</f>
        <v>昶达CHEERSTAR</v>
      </c>
      <c r="J1295" s="139" t="str">
        <f>VLOOKUP(H1295,Stock_list!A:S,17,FALSE)</f>
        <v>C49SZX20190007JL</v>
      </c>
      <c r="K1295" s="51" t="str">
        <f>VLOOKUP(H1295,Stock_list!A:T,16,FALSE)</f>
        <v>JPY</v>
      </c>
      <c r="L1295" s="4"/>
      <c r="M1295" s="132">
        <v>40</v>
      </c>
      <c r="P1295" s="4" t="str">
        <f>VLOOKUP(H1295,Stock_list!A:Y,25,FALSE)</f>
        <v>Yes</v>
      </c>
      <c r="Q1295" s="143"/>
      <c r="T1295" s="144"/>
      <c r="U1295" s="145" t="str">
        <f>VLOOKUP(H1295,Stock_list!A:N,14,FALSE)</f>
        <v>MAR 19</v>
      </c>
    </row>
    <row r="1296" spans="1:21" ht="16.5" customHeight="1">
      <c r="A1296" s="159" t="s">
        <v>2747</v>
      </c>
      <c r="B1296" s="114" t="str">
        <f>VLOOKUP(A1296,'Data pick slip'!B:F,5,FALSE)</f>
        <v>KHJ-MC200-00</v>
      </c>
      <c r="C1296" s="156">
        <v>109344</v>
      </c>
      <c r="F1296" s="157" t="s">
        <v>2862</v>
      </c>
      <c r="H1296" s="138">
        <v>212</v>
      </c>
      <c r="I1296" s="139" t="str">
        <f>VLOOKUP(H1296,Stock_list!A:R,18,FALSE)</f>
        <v>昶达CHEERSTAR</v>
      </c>
      <c r="J1296" s="139" t="str">
        <f>VLOOKUP(H1296,Stock_list!A:S,17,FALSE)</f>
        <v>C49SZX20190007JL</v>
      </c>
      <c r="K1296" s="51" t="str">
        <f>VLOOKUP(H1296,Stock_list!A:T,16,FALSE)</f>
        <v>JPY</v>
      </c>
      <c r="L1296" s="4">
        <v>43529</v>
      </c>
      <c r="M1296" s="132">
        <v>10</v>
      </c>
      <c r="P1296" s="4" t="str">
        <f>VLOOKUP(H1296,Stock_list!A:Y,25,FALSE)</f>
        <v>Yes</v>
      </c>
      <c r="Q1296" s="143"/>
      <c r="T1296" s="144"/>
      <c r="U1296" s="145" t="str">
        <f>VLOOKUP(H1296,Stock_list!A:N,14,FALSE)</f>
        <v>MAR 19</v>
      </c>
    </row>
    <row r="1297" spans="1:21" ht="16.5" customHeight="1">
      <c r="A1297" s="159" t="s">
        <v>2748</v>
      </c>
      <c r="B1297" s="114" t="str">
        <f>VLOOKUP(A1297,'Data pick slip'!B:F,5,FALSE)</f>
        <v>KHJ-MC400-00</v>
      </c>
      <c r="C1297" s="156">
        <v>109493</v>
      </c>
      <c r="F1297" s="157" t="s">
        <v>2862</v>
      </c>
      <c r="H1297" s="138">
        <v>212</v>
      </c>
      <c r="I1297" s="139" t="str">
        <f>VLOOKUP(H1297,Stock_list!A:R,18,FALSE)</f>
        <v>昶达CHEERSTAR</v>
      </c>
      <c r="J1297" s="139" t="str">
        <f>VLOOKUP(H1297,Stock_list!A:S,17,FALSE)</f>
        <v>C49SZX20190007JL</v>
      </c>
      <c r="K1297" s="51" t="str">
        <f>VLOOKUP(H1297,Stock_list!A:T,16,FALSE)</f>
        <v>JPY</v>
      </c>
      <c r="L1297" s="4"/>
      <c r="M1297" s="132">
        <v>4</v>
      </c>
      <c r="P1297" s="4" t="str">
        <f>VLOOKUP(H1297,Stock_list!A:Y,25,FALSE)</f>
        <v>Yes</v>
      </c>
      <c r="Q1297" s="143"/>
      <c r="T1297" s="144"/>
      <c r="U1297" s="145" t="str">
        <f>VLOOKUP(H1297,Stock_list!A:N,14,FALSE)</f>
        <v>MAR 19</v>
      </c>
    </row>
    <row r="1298" spans="1:21" ht="16.5" customHeight="1">
      <c r="A1298" s="159" t="s">
        <v>2755</v>
      </c>
      <c r="B1298" s="114" t="str">
        <f>VLOOKUP(A1298,'Data pick slip'!B:F,5,FALSE)</f>
        <v>KLJ-MC100-00</v>
      </c>
      <c r="F1298" s="157" t="s">
        <v>2773</v>
      </c>
      <c r="H1298" s="138">
        <v>212</v>
      </c>
      <c r="I1298" s="139" t="str">
        <f>VLOOKUP(H1298,Stock_list!A:R,18,FALSE)</f>
        <v>昶达CHEERSTAR</v>
      </c>
      <c r="J1298" s="139" t="str">
        <f>VLOOKUP(H1298,Stock_list!A:S,17,FALSE)</f>
        <v>C49SZX20190007JL</v>
      </c>
      <c r="K1298" s="51" t="str">
        <f>VLOOKUP(H1298,Stock_list!A:T,16,FALSE)</f>
        <v>JPY</v>
      </c>
      <c r="L1298" s="4"/>
      <c r="M1298" s="132">
        <v>7</v>
      </c>
      <c r="P1298" s="4" t="str">
        <f>VLOOKUP(H1298,Stock_list!A:Y,25,FALSE)</f>
        <v>Yes</v>
      </c>
      <c r="Q1298" s="143"/>
      <c r="S1298" s="123" t="s">
        <v>3004</v>
      </c>
      <c r="T1298" s="205" t="s">
        <v>3048</v>
      </c>
      <c r="U1298" s="145" t="str">
        <f>VLOOKUP(H1298,Stock_list!A:N,14,FALSE)</f>
        <v>MAR 19</v>
      </c>
    </row>
    <row r="1299" spans="1:21" ht="16.5" customHeight="1">
      <c r="A1299" s="159" t="s">
        <v>2744</v>
      </c>
      <c r="B1299" s="114" t="str">
        <f>VLOOKUP(A1299,'Data pick slip'!B:F,5,FALSE)</f>
        <v>KHJ-MC100-00</v>
      </c>
      <c r="F1299" s="157" t="s">
        <v>2862</v>
      </c>
      <c r="H1299" s="138">
        <v>222</v>
      </c>
      <c r="I1299" s="139" t="str">
        <f>VLOOKUP(H1299,Stock_list!A:R,18,FALSE)</f>
        <v>恒泰</v>
      </c>
      <c r="J1299" s="139" t="str">
        <f>VLOOKUP(H1299,Stock_list!A:S,17,FALSE)</f>
        <v>C49SZX20190012SX</v>
      </c>
      <c r="K1299" s="51" t="str">
        <f>VLOOKUP(H1299,Stock_list!A:T,16,FALSE)</f>
        <v>JPY</v>
      </c>
      <c r="L1299" s="4">
        <v>43490</v>
      </c>
      <c r="M1299" s="132">
        <v>20</v>
      </c>
      <c r="P1299" s="4" t="str">
        <f>VLOOKUP(H1299,Stock_list!A:Y,25,FALSE)</f>
        <v>Yes</v>
      </c>
      <c r="Q1299" s="143"/>
      <c r="T1299" s="144"/>
      <c r="U1299" s="145" t="str">
        <f>VLOOKUP(H1299,Stock_list!A:N,14,FALSE)</f>
        <v>JAN 19</v>
      </c>
    </row>
    <row r="1300" spans="1:21" ht="16.5" customHeight="1">
      <c r="A1300" s="159" t="s">
        <v>2747</v>
      </c>
      <c r="B1300" s="114" t="str">
        <f>VLOOKUP(A1300,'Data pick slip'!B:F,5,FALSE)</f>
        <v>KHJ-MC200-00</v>
      </c>
      <c r="F1300" s="157" t="s">
        <v>2862</v>
      </c>
      <c r="H1300" s="138">
        <v>222</v>
      </c>
      <c r="I1300" s="139" t="str">
        <f>VLOOKUP(H1300,Stock_list!A:R,18,FALSE)</f>
        <v>恒泰</v>
      </c>
      <c r="J1300" s="139" t="str">
        <f>VLOOKUP(H1300,Stock_list!A:S,17,FALSE)</f>
        <v>C49SZX20190012SX</v>
      </c>
      <c r="K1300" s="51" t="str">
        <f>VLOOKUP(H1300,Stock_list!A:T,16,FALSE)</f>
        <v>JPY</v>
      </c>
      <c r="L1300" s="4">
        <v>43490</v>
      </c>
      <c r="M1300" s="132">
        <v>10</v>
      </c>
      <c r="P1300" s="4" t="str">
        <f>VLOOKUP(H1300,Stock_list!A:Y,25,FALSE)</f>
        <v>Yes</v>
      </c>
      <c r="Q1300" s="143"/>
      <c r="T1300" s="144"/>
      <c r="U1300" s="145" t="str">
        <f>VLOOKUP(H1300,Stock_list!A:N,14,FALSE)</f>
        <v>JAN 19</v>
      </c>
    </row>
    <row r="1301" spans="1:21" ht="16.5" customHeight="1">
      <c r="A1301" s="159" t="s">
        <v>2748</v>
      </c>
      <c r="B1301" s="114" t="str">
        <f>VLOOKUP(A1301,'Data pick slip'!B:F,5,FALSE)</f>
        <v>KHJ-MC400-00</v>
      </c>
      <c r="F1301" s="157" t="s">
        <v>2862</v>
      </c>
      <c r="H1301" s="138">
        <v>222</v>
      </c>
      <c r="I1301" s="139" t="str">
        <f>VLOOKUP(H1301,Stock_list!A:R,18,FALSE)</f>
        <v>恒泰</v>
      </c>
      <c r="J1301" s="139" t="str">
        <f>VLOOKUP(H1301,Stock_list!A:S,17,FALSE)</f>
        <v>C49SZX20190012SX</v>
      </c>
      <c r="K1301" s="51" t="str">
        <f>VLOOKUP(H1301,Stock_list!A:T,16,FALSE)</f>
        <v>JPY</v>
      </c>
      <c r="L1301" s="4">
        <v>43490</v>
      </c>
      <c r="M1301" s="132">
        <v>3</v>
      </c>
      <c r="P1301" s="4" t="str">
        <f>VLOOKUP(H1301,Stock_list!A:Y,25,FALSE)</f>
        <v>Yes</v>
      </c>
      <c r="Q1301" s="143"/>
      <c r="T1301" s="144"/>
      <c r="U1301" s="145" t="str">
        <f>VLOOKUP(H1301,Stock_list!A:N,14,FALSE)</f>
        <v>JAN 19</v>
      </c>
    </row>
    <row r="1302" spans="1:21" ht="16.5" customHeight="1">
      <c r="A1302" s="159" t="s">
        <v>2755</v>
      </c>
      <c r="B1302" s="114" t="str">
        <f>VLOOKUP(A1302,'Data pick slip'!B:F,5,FALSE)</f>
        <v>KLJ-MC100-00</v>
      </c>
      <c r="F1302" s="157" t="s">
        <v>2773</v>
      </c>
      <c r="H1302" s="138">
        <v>222</v>
      </c>
      <c r="I1302" s="139" t="str">
        <f>VLOOKUP(H1302,Stock_list!A:R,18,FALSE)</f>
        <v>恒泰</v>
      </c>
      <c r="J1302" s="139" t="str">
        <f>VLOOKUP(H1302,Stock_list!A:S,17,FALSE)</f>
        <v>C49SZX20190012SX</v>
      </c>
      <c r="K1302" s="51" t="str">
        <f>VLOOKUP(H1302,Stock_list!A:T,16,FALSE)</f>
        <v>JPY</v>
      </c>
      <c r="L1302" s="4">
        <v>43490</v>
      </c>
      <c r="M1302" s="132">
        <v>10</v>
      </c>
      <c r="P1302" s="4" t="str">
        <f>VLOOKUP(H1302,Stock_list!A:Y,25,FALSE)</f>
        <v>Yes</v>
      </c>
      <c r="Q1302" s="143"/>
      <c r="S1302" s="123" t="s">
        <v>3004</v>
      </c>
      <c r="T1302" s="144" t="s">
        <v>3037</v>
      </c>
      <c r="U1302" s="145" t="str">
        <f>VLOOKUP(H1302,Stock_list!A:N,14,FALSE)</f>
        <v>JAN 19</v>
      </c>
    </row>
    <row r="1303" spans="1:21" ht="16.5" customHeight="1">
      <c r="A1303" s="159" t="s">
        <v>2744</v>
      </c>
      <c r="B1303" s="114" t="str">
        <f>VLOOKUP(A1303,'Data pick slip'!B:F,5,FALSE)</f>
        <v>KHJ-MC100-00</v>
      </c>
      <c r="F1303" s="157" t="s">
        <v>2862</v>
      </c>
      <c r="I1303" s="139" t="s">
        <v>3016</v>
      </c>
      <c r="J1303" s="139" t="s">
        <v>3049</v>
      </c>
      <c r="K1303" s="51" t="s">
        <v>1246</v>
      </c>
      <c r="L1303" s="4">
        <v>43490</v>
      </c>
      <c r="M1303" s="132">
        <v>260</v>
      </c>
      <c r="P1303" s="4" t="s">
        <v>291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2747</v>
      </c>
      <c r="B1304" s="114" t="str">
        <f>VLOOKUP(A1304,'Data pick slip'!B:F,5,FALSE)</f>
        <v>KHJ-MC200-00</v>
      </c>
      <c r="F1304" s="157" t="s">
        <v>2862</v>
      </c>
      <c r="I1304" s="139" t="s">
        <v>3016</v>
      </c>
      <c r="J1304" s="139" t="s">
        <v>3049</v>
      </c>
      <c r="K1304" s="51" t="s">
        <v>1246</v>
      </c>
      <c r="L1304" s="4">
        <v>43490</v>
      </c>
      <c r="M1304" s="132">
        <v>30</v>
      </c>
      <c r="P1304" s="4" t="s">
        <v>291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2748</v>
      </c>
      <c r="B1305" s="114" t="str">
        <f>VLOOKUP(A1305,'Data pick slip'!B:F,5,FALSE)</f>
        <v>KHJ-MC400-00</v>
      </c>
      <c r="F1305" s="157" t="s">
        <v>2862</v>
      </c>
      <c r="I1305" s="139" t="s">
        <v>3016</v>
      </c>
      <c r="J1305" s="139" t="s">
        <v>3049</v>
      </c>
      <c r="K1305" s="51" t="s">
        <v>1246</v>
      </c>
      <c r="L1305" s="4"/>
      <c r="M1305" s="132">
        <v>20</v>
      </c>
      <c r="P1305" s="4" t="s">
        <v>291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2756</v>
      </c>
      <c r="B1306" s="114" t="str">
        <f>VLOOKUP(A1306,'Data pick slip'!B:F,5,FALSE)</f>
        <v>KLJ-MC200-00</v>
      </c>
      <c r="F1306" s="157" t="s">
        <v>2862</v>
      </c>
      <c r="I1306" s="139" t="s">
        <v>3016</v>
      </c>
      <c r="J1306" s="139" t="s">
        <v>3049</v>
      </c>
      <c r="K1306" s="51" t="s">
        <v>1246</v>
      </c>
      <c r="L1306" s="4"/>
      <c r="M1306" s="132">
        <v>20</v>
      </c>
      <c r="P1306" s="4" t="s">
        <v>291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2755</v>
      </c>
      <c r="B1307" s="114" t="str">
        <f>VLOOKUP(A1307,'Data pick slip'!B:F,5,FALSE)</f>
        <v>KLJ-MC100-00</v>
      </c>
      <c r="F1307" s="157" t="s">
        <v>2862</v>
      </c>
      <c r="H1307" s="138">
        <v>227</v>
      </c>
      <c r="I1307" s="139" t="str">
        <f>VLOOKUP(H1307,Stock_list!A:R,18,FALSE)</f>
        <v>兆晖</v>
      </c>
      <c r="J1307" s="139" t="str">
        <f>VLOOKUP(H1307,Stock_list!A:S,17,FALSE)</f>
        <v>C49SZX20190013DZ</v>
      </c>
      <c r="K1307" s="51" t="str">
        <f>VLOOKUP(H1307,Stock_list!A:T,16,FALSE)</f>
        <v>JPY</v>
      </c>
      <c r="L1307" s="4"/>
      <c r="M1307" s="132">
        <v>60</v>
      </c>
      <c r="P1307" s="4" t="str">
        <f>VLOOKUP(H1307,Stock_list!A:Y,25,FALSE)</f>
        <v>Yes</v>
      </c>
      <c r="Q1307" s="143"/>
      <c r="T1307" s="144"/>
      <c r="U1307" s="145" t="str">
        <f>VLOOKUP(H1307,Stock_list!A:N,14,FALSE)</f>
        <v>MAR 19</v>
      </c>
    </row>
    <row r="1308" spans="1:21" ht="16.5" customHeight="1">
      <c r="A1308" s="159" t="s">
        <v>2744</v>
      </c>
      <c r="B1308" s="114" t="str">
        <f>VLOOKUP(A1308,'Data pick slip'!B:F,5,FALSE)</f>
        <v>KHJ-MC100-00</v>
      </c>
      <c r="F1308" s="157" t="s">
        <v>2773</v>
      </c>
      <c r="I1308" s="139" t="s">
        <v>2854</v>
      </c>
      <c r="J1308" s="141" t="s">
        <v>3050</v>
      </c>
      <c r="K1308" s="51" t="s">
        <v>1246</v>
      </c>
      <c r="L1308" s="4"/>
      <c r="M1308" s="132">
        <v>6</v>
      </c>
      <c r="P1308" s="4" t="s">
        <v>291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2747</v>
      </c>
      <c r="B1309" s="114" t="str">
        <f>VLOOKUP(A1309,'Data pick slip'!B:F,5,FALSE)</f>
        <v>KHJ-MC200-00</v>
      </c>
      <c r="F1309" s="157" t="s">
        <v>2862</v>
      </c>
      <c r="I1309" s="139" t="s">
        <v>3016</v>
      </c>
      <c r="J1309" s="139" t="s">
        <v>3051</v>
      </c>
      <c r="K1309" s="51" t="s">
        <v>1246</v>
      </c>
      <c r="L1309" s="4">
        <v>43521</v>
      </c>
      <c r="M1309" s="132">
        <v>30</v>
      </c>
      <c r="P1309" s="4" t="s">
        <v>291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2748</v>
      </c>
      <c r="B1310" s="114" t="str">
        <f>VLOOKUP(A1310,'Data pick slip'!B:F,5,FALSE)</f>
        <v>KHJ-MC400-00</v>
      </c>
      <c r="F1310" s="157" t="s">
        <v>2862</v>
      </c>
      <c r="I1310" s="139" t="s">
        <v>3016</v>
      </c>
      <c r="J1310" s="139" t="s">
        <v>3051</v>
      </c>
      <c r="K1310" s="51" t="s">
        <v>1246</v>
      </c>
      <c r="L1310" s="4">
        <v>43521</v>
      </c>
      <c r="M1310" s="132">
        <v>10</v>
      </c>
      <c r="P1310" s="4" t="s">
        <v>291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2747</v>
      </c>
      <c r="B1311" s="114" t="str">
        <f>VLOOKUP(A1311,'Data pick slip'!B:F,5,FALSE)</f>
        <v>KHJ-MC200-00</v>
      </c>
      <c r="F1311" s="157" t="s">
        <v>2773</v>
      </c>
      <c r="I1311" s="139" t="s">
        <v>2854</v>
      </c>
      <c r="J1311" s="141" t="s">
        <v>3050</v>
      </c>
      <c r="K1311" s="51" t="s">
        <v>1246</v>
      </c>
      <c r="L1311" s="4" t="s">
        <v>3025</v>
      </c>
      <c r="M1311" s="132">
        <v>3</v>
      </c>
      <c r="P1311" s="4" t="s">
        <v>291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2744</v>
      </c>
      <c r="B1312" s="114" t="str">
        <f>VLOOKUP(A1312,'Data pick slip'!B:F,5,FALSE)</f>
        <v>KHJ-MC100-00</v>
      </c>
      <c r="F1312" s="157" t="s">
        <v>2773</v>
      </c>
      <c r="I1312" s="139" t="s">
        <v>2854</v>
      </c>
      <c r="J1312" s="139" t="s">
        <v>3052</v>
      </c>
      <c r="K1312" s="51" t="s">
        <v>1246</v>
      </c>
      <c r="L1312" s="4"/>
      <c r="M1312" s="132">
        <v>30</v>
      </c>
      <c r="P1312" s="4" t="s">
        <v>291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2747</v>
      </c>
      <c r="B1313" s="114" t="str">
        <f>VLOOKUP(A1313,'Data pick slip'!B:F,5,FALSE)</f>
        <v>KHJ-MC200-00</v>
      </c>
      <c r="F1313" s="157" t="s">
        <v>2773</v>
      </c>
      <c r="I1313" s="139" t="s">
        <v>2854</v>
      </c>
      <c r="J1313" s="139" t="s">
        <v>3052</v>
      </c>
      <c r="K1313" s="51" t="s">
        <v>1246</v>
      </c>
      <c r="L1313" s="4" t="s">
        <v>3025</v>
      </c>
      <c r="M1313" s="132">
        <v>20</v>
      </c>
      <c r="P1313" s="4" t="s">
        <v>291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2748</v>
      </c>
      <c r="B1314" s="114" t="str">
        <f>VLOOKUP(A1314,'Data pick slip'!B:F,5,FALSE)</f>
        <v>KHJ-MC400-00</v>
      </c>
      <c r="F1314" s="157" t="s">
        <v>2773</v>
      </c>
      <c r="I1314" s="139" t="s">
        <v>2854</v>
      </c>
      <c r="J1314" s="139" t="s">
        <v>3052</v>
      </c>
      <c r="K1314" s="51" t="s">
        <v>1246</v>
      </c>
      <c r="L1314" s="4" t="s">
        <v>3015</v>
      </c>
      <c r="M1314" s="132">
        <v>6</v>
      </c>
      <c r="P1314" s="4" t="s">
        <v>291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2749</v>
      </c>
      <c r="B1315" s="114" t="str">
        <f>VLOOKUP(A1315,'Data pick slip'!B:F,5,FALSE)</f>
        <v>KHJ-MC500-00</v>
      </c>
      <c r="F1315" s="157" t="s">
        <v>2773</v>
      </c>
      <c r="I1315" s="139" t="s">
        <v>2854</v>
      </c>
      <c r="J1315" s="139" t="s">
        <v>3052</v>
      </c>
      <c r="K1315" s="51" t="s">
        <v>21</v>
      </c>
      <c r="L1315" s="4"/>
      <c r="M1315" s="132">
        <v>1</v>
      </c>
      <c r="P1315" s="4" t="s">
        <v>291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2755</v>
      </c>
      <c r="B1316" s="114" t="str">
        <f>VLOOKUP(A1316,'Data pick slip'!B:F,5,FALSE)</f>
        <v>KLJ-MC100-00</v>
      </c>
      <c r="F1316" s="157" t="s">
        <v>2862</v>
      </c>
      <c r="H1316" s="138">
        <v>187</v>
      </c>
      <c r="I1316" s="139" t="str">
        <f>VLOOKUP(H1316,Stock_list!A:R,18,FALSE)</f>
        <v>恩圣</v>
      </c>
      <c r="J1316" s="139" t="str">
        <f>VLOOKUP(H1316,Stock_list!A:S,17,FALSE)</f>
        <v>C49SZX20180161RY</v>
      </c>
      <c r="K1316" s="51" t="str">
        <f>VLOOKUP(H1316,Stock_list!A:T,16,FALSE)</f>
        <v>JPY</v>
      </c>
      <c r="L1316" s="4"/>
      <c r="M1316" s="132">
        <v>30</v>
      </c>
      <c r="P1316" s="4" t="str">
        <f>VLOOKUP(H1316,Stock_list!A:Y,25,FALSE)</f>
        <v>Yes</v>
      </c>
      <c r="Q1316" s="143"/>
      <c r="T1316" s="144"/>
      <c r="U1316" s="145" t="str">
        <f>VLOOKUP(H1316,Stock_list!A:N,14,FALSE)</f>
        <v>FEB 19</v>
      </c>
    </row>
    <row r="1317" spans="1:21" ht="16.5" customHeight="1">
      <c r="A1317" s="159" t="s">
        <v>2747</v>
      </c>
      <c r="B1317" s="114" t="str">
        <f>VLOOKUP(A1317,'Data pick slip'!B:F,5,FALSE)</f>
        <v>KHJ-MC200-00</v>
      </c>
      <c r="F1317" s="157" t="s">
        <v>2862</v>
      </c>
      <c r="H1317" s="138">
        <v>187</v>
      </c>
      <c r="I1317" s="139" t="str">
        <f>VLOOKUP(H1317,Stock_list!A:R,18,FALSE)</f>
        <v>恩圣</v>
      </c>
      <c r="J1317" s="139" t="str">
        <f>VLOOKUP(H1317,Stock_list!A:S,17,FALSE)</f>
        <v>C49SZX20180161RY</v>
      </c>
      <c r="K1317" s="51" t="str">
        <f>VLOOKUP(H1317,Stock_list!A:T,16,FALSE)</f>
        <v>JPY</v>
      </c>
      <c r="L1317" s="4">
        <v>43522</v>
      </c>
      <c r="M1317" s="132">
        <v>8</v>
      </c>
      <c r="P1317" s="4" t="str">
        <f>VLOOKUP(H1317,Stock_list!A:Y,25,FALSE)</f>
        <v>Yes</v>
      </c>
      <c r="Q1317" s="143"/>
      <c r="T1317" s="144"/>
      <c r="U1317" s="145" t="str">
        <f>VLOOKUP(H1317,Stock_list!A:N,14,FALSE)</f>
        <v>FEB 19</v>
      </c>
    </row>
    <row r="1318" spans="1:21" ht="16.5" customHeight="1">
      <c r="A1318" s="159" t="s">
        <v>2755</v>
      </c>
      <c r="B1318" s="114" t="str">
        <f>VLOOKUP(A1318,'Data pick slip'!B:F,5,FALSE)</f>
        <v>KLJ-MC100-00</v>
      </c>
      <c r="F1318" s="157" t="s">
        <v>2862</v>
      </c>
      <c r="H1318" s="138">
        <v>187</v>
      </c>
      <c r="I1318" s="139" t="str">
        <f>VLOOKUP(H1318,Stock_list!A:R,18,FALSE)</f>
        <v>恩圣</v>
      </c>
      <c r="J1318" s="139" t="str">
        <f>VLOOKUP(H1318,Stock_list!A:S,17,FALSE)</f>
        <v>C49SZX20180161RY</v>
      </c>
      <c r="K1318" s="51" t="str">
        <f>VLOOKUP(H1318,Stock_list!A:T,16,FALSE)</f>
        <v>JPY</v>
      </c>
      <c r="L1318" s="4"/>
      <c r="M1318" s="132">
        <v>5</v>
      </c>
      <c r="P1318" s="4" t="str">
        <f>VLOOKUP(H1318,Stock_list!A:Y,25,FALSE)</f>
        <v>Yes</v>
      </c>
      <c r="Q1318" s="143"/>
      <c r="T1318" s="144"/>
      <c r="U1318" s="145" t="str">
        <f>VLOOKUP(H1318,Stock_list!A:N,14,FALSE)</f>
        <v>FEB 19</v>
      </c>
    </row>
    <row r="1319" spans="1:21" ht="27" customHeight="1">
      <c r="A1319" s="159" t="s">
        <v>2756</v>
      </c>
      <c r="B1319" s="114" t="str">
        <f>VLOOKUP(A1319,'Data pick slip'!B:F,5,FALSE)</f>
        <v>KLJ-MC200-00</v>
      </c>
      <c r="F1319" s="157" t="s">
        <v>2773</v>
      </c>
      <c r="I1319" s="139" t="s">
        <v>2854</v>
      </c>
      <c r="J1319" s="139" t="s">
        <v>3053</v>
      </c>
      <c r="K1319" s="51" t="s">
        <v>1246</v>
      </c>
      <c r="L1319" s="4"/>
      <c r="M1319" s="132"/>
      <c r="O1319" s="132">
        <f>1-1</f>
        <v>0</v>
      </c>
      <c r="P1319" s="4" t="s">
        <v>3054</v>
      </c>
      <c r="T1319" s="144"/>
      <c r="U1319" s="145" t="e">
        <f>VLOOKUP(H1319,Stock_list!A:N,14,FALSE)</f>
        <v>#N/A</v>
      </c>
    </row>
    <row r="1320" spans="1:21" ht="16.5" customHeight="1">
      <c r="A1320" s="159" t="s">
        <v>3055</v>
      </c>
      <c r="B1320" s="114">
        <f>VLOOKUP(A1320,'Data pick slip'!B:F,5,FALSE)</f>
        <v>0</v>
      </c>
      <c r="H1320" s="138">
        <v>100</v>
      </c>
      <c r="I1320" s="139" t="str">
        <f>VLOOKUP(H1320,Stock_list!A:R,18,FALSE)</f>
        <v>小耳朵</v>
      </c>
      <c r="J1320" s="139" t="str">
        <f>VLOOKUP(H1320,Stock_list!A:S,17,FALSE)</f>
        <v>C49SZX20180103MZ</v>
      </c>
      <c r="K1320" s="51" t="str">
        <f>VLOOKUP(H1320,Stock_list!A:T,16,FALSE)</f>
        <v>JPY</v>
      </c>
      <c r="L1320" s="4"/>
      <c r="M1320" s="132">
        <v>1</v>
      </c>
      <c r="P1320" s="4" t="str">
        <f>VLOOKUP(H1320,Stock_list!A:Y,25,FALSE)</f>
        <v>Yes</v>
      </c>
      <c r="Q1320" s="143"/>
      <c r="S1320" s="123" t="s">
        <v>3004</v>
      </c>
      <c r="T1320" s="205" t="s">
        <v>3056</v>
      </c>
      <c r="U1320" s="145" t="str">
        <f>VLOOKUP(H1320,Stock_list!A:N,14,FALSE)</f>
        <v>FEB 19</v>
      </c>
    </row>
    <row r="1321" spans="1:21" ht="16.5" customHeight="1">
      <c r="A1321" s="159" t="s">
        <v>3057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str">
        <f>VLOOKUP(H1321,Stock_list!A:R,18,FALSE)</f>
        <v>小耳朵</v>
      </c>
      <c r="J1321" s="139" t="str">
        <f>VLOOKUP(H1321,Stock_list!A:S,17,FALSE)</f>
        <v>C49SZX20180103MZ</v>
      </c>
      <c r="K1321" s="51" t="str">
        <f>VLOOKUP(H1321,Stock_list!A:T,16,FALSE)</f>
        <v>JPY</v>
      </c>
      <c r="L1321" s="4"/>
      <c r="M1321" s="132">
        <v>1</v>
      </c>
      <c r="P1321" s="4" t="str">
        <f>VLOOKUP(H1321,Stock_list!A:Y,25,FALSE)</f>
        <v>Yes</v>
      </c>
      <c r="Q1321" s="143"/>
      <c r="S1321" s="123" t="s">
        <v>3004</v>
      </c>
      <c r="T1321" s="205" t="s">
        <v>3056</v>
      </c>
      <c r="U1321" s="145" t="str">
        <f>VLOOKUP(H1321,Stock_list!A:N,14,FALSE)</f>
        <v>FEB 19</v>
      </c>
    </row>
    <row r="1322" spans="1:21" ht="16.5" customHeight="1">
      <c r="A1322" s="159" t="s">
        <v>2747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2862</v>
      </c>
      <c r="H1322" s="138">
        <v>236</v>
      </c>
      <c r="I1322" s="139" t="str">
        <f>VLOOKUP(H1322,Stock_list!A:R,18,FALSE)</f>
        <v>永顺创</v>
      </c>
      <c r="J1322" s="139" t="str">
        <f>VLOOKUP(H1322,Stock_list!A:S,17,FALSE)</f>
        <v>C49SZX20190019SX</v>
      </c>
      <c r="K1322" s="51" t="str">
        <f>VLOOKUP(H1322,Stock_list!A:T,16,FALSE)</f>
        <v>JPY</v>
      </c>
      <c r="L1322" s="4">
        <v>43532</v>
      </c>
      <c r="M1322" s="132">
        <v>5</v>
      </c>
      <c r="P1322" s="4" t="str">
        <f>VLOOKUP(H1322,Stock_list!A:Y,25,FALSE)</f>
        <v>Yes</v>
      </c>
      <c r="Q1322" s="143"/>
      <c r="T1322" s="144"/>
      <c r="U1322" s="145" t="str">
        <f>VLOOKUP(H1322,Stock_list!A:N,14,FALSE)</f>
        <v>MAR 19</v>
      </c>
    </row>
    <row r="1323" spans="1:21" ht="16.5" customHeight="1">
      <c r="A1323" s="159" t="s">
        <v>2744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2773</v>
      </c>
      <c r="H1323" s="138">
        <v>237</v>
      </c>
      <c r="I1323" s="139" t="str">
        <f>VLOOKUP(H1323,Stock_list!A:R,18,FALSE)</f>
        <v>名佳</v>
      </c>
      <c r="J1323" s="139" t="str">
        <f>VLOOKUP(H1323,Stock_list!A:S,17,FALSE)</f>
        <v>C49SZX20190021JL</v>
      </c>
      <c r="K1323" s="51" t="str">
        <f>VLOOKUP(H1323,Stock_list!A:T,16,FALSE)</f>
        <v>RMB</v>
      </c>
      <c r="L1323" s="4">
        <v>43574</v>
      </c>
      <c r="M1323" s="132">
        <v>40</v>
      </c>
      <c r="P1323" s="4" t="str">
        <f>VLOOKUP(H1323,Stock_list!A:Y,25,FALSE)</f>
        <v>Yes</v>
      </c>
      <c r="Q1323" s="143"/>
      <c r="T1323" s="144"/>
      <c r="U1323" s="145" t="str">
        <f>VLOOKUP(H1323,Stock_list!A:N,14,FALSE)</f>
        <v>JUN 19</v>
      </c>
    </row>
    <row r="1324" spans="1:21" ht="16.5" customHeight="1">
      <c r="A1324" s="159" t="s">
        <v>2747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2773</v>
      </c>
      <c r="H1324" s="138">
        <v>237</v>
      </c>
      <c r="I1324" s="139" t="str">
        <f>VLOOKUP(H1324,Stock_list!A:R,18,FALSE)</f>
        <v>名佳</v>
      </c>
      <c r="J1324" s="139" t="str">
        <f>VLOOKUP(H1324,Stock_list!A:S,17,FALSE)</f>
        <v>C49SZX20190021JL</v>
      </c>
      <c r="K1324" s="51" t="str">
        <f>VLOOKUP(H1324,Stock_list!A:T,16,FALSE)</f>
        <v>RMB</v>
      </c>
      <c r="L1324" s="4">
        <v>43574</v>
      </c>
      <c r="M1324" s="132">
        <v>6</v>
      </c>
      <c r="P1324" s="4" t="str">
        <f>VLOOKUP(H1324,Stock_list!A:Y,25,FALSE)</f>
        <v>Yes</v>
      </c>
      <c r="Q1324" s="143"/>
      <c r="T1324" s="144"/>
      <c r="U1324" s="145" t="str">
        <f>VLOOKUP(H1324,Stock_list!A:N,14,FALSE)</f>
        <v>JUN 19</v>
      </c>
    </row>
    <row r="1325" spans="1:21" ht="16.5" customHeight="1">
      <c r="A1325" s="159" t="s">
        <v>2748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2773</v>
      </c>
      <c r="H1325" s="138">
        <v>237</v>
      </c>
      <c r="I1325" s="139" t="str">
        <f>VLOOKUP(H1325,Stock_list!A:R,18,FALSE)</f>
        <v>名佳</v>
      </c>
      <c r="J1325" s="139" t="str">
        <f>VLOOKUP(H1325,Stock_list!A:S,17,FALSE)</f>
        <v>C49SZX20190021JL</v>
      </c>
      <c r="K1325" s="51" t="str">
        <f>VLOOKUP(H1325,Stock_list!A:T,16,FALSE)</f>
        <v>RMB</v>
      </c>
      <c r="L1325" s="4">
        <v>43574</v>
      </c>
      <c r="M1325" s="132">
        <v>1</v>
      </c>
      <c r="P1325" s="4" t="str">
        <f>VLOOKUP(H1325,Stock_list!A:Y,25,FALSE)</f>
        <v>Yes</v>
      </c>
      <c r="Q1325" s="143"/>
      <c r="T1325" s="144"/>
      <c r="U1325" s="145" t="str">
        <f>VLOOKUP(H1325,Stock_list!A:N,14,FALSE)</f>
        <v>JUN 19</v>
      </c>
    </row>
    <row r="1326" spans="1:21" ht="16.5" customHeight="1">
      <c r="A1326" s="159" t="s">
        <v>2744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2862</v>
      </c>
      <c r="H1326" s="138">
        <v>244</v>
      </c>
      <c r="I1326" s="139" t="str">
        <f>VLOOKUP(H1326,Stock_list!A:R,18,FALSE)</f>
        <v>鸿南</v>
      </c>
      <c r="J1326" s="139" t="str">
        <f>VLOOKUP(H1326,Stock_list!A:S,17,FALSE)</f>
        <v>C49SZX20190031MZ</v>
      </c>
      <c r="K1326" s="51" t="str">
        <f>VLOOKUP(H1326,Stock_list!A:T,16,FALSE)</f>
        <v>JPY</v>
      </c>
      <c r="L1326" s="4">
        <v>43608</v>
      </c>
      <c r="M1326" s="132">
        <v>100</v>
      </c>
      <c r="P1326" s="4" t="str">
        <f>VLOOKUP(H1326,Stock_list!A:Y,25,FALSE)</f>
        <v>Yes</v>
      </c>
      <c r="Q1326" s="143"/>
      <c r="T1326" s="144"/>
      <c r="U1326" s="145" t="str">
        <f>VLOOKUP(H1326,Stock_list!A:N,14,FALSE)</f>
        <v>MAY 19</v>
      </c>
    </row>
    <row r="1327" spans="1:21" ht="16.5" customHeight="1">
      <c r="A1327" s="159" t="s">
        <v>2747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2862</v>
      </c>
      <c r="H1327" s="138">
        <v>244</v>
      </c>
      <c r="I1327" s="139" t="str">
        <f>VLOOKUP(H1327,Stock_list!A:R,18,FALSE)</f>
        <v>鸿南</v>
      </c>
      <c r="J1327" s="139" t="str">
        <f>VLOOKUP(H1327,Stock_list!A:S,17,FALSE)</f>
        <v>C49SZX20190031MZ</v>
      </c>
      <c r="K1327" s="51" t="str">
        <f>VLOOKUP(H1327,Stock_list!A:T,16,FALSE)</f>
        <v>JPY</v>
      </c>
      <c r="L1327" s="4">
        <v>43608</v>
      </c>
      <c r="M1327" s="132">
        <v>20</v>
      </c>
      <c r="P1327" s="4" t="str">
        <f>VLOOKUP(H1327,Stock_list!A:Y,25,FALSE)</f>
        <v>Yes</v>
      </c>
      <c r="Q1327" s="143"/>
      <c r="T1327" s="144"/>
      <c r="U1327" s="145" t="str">
        <f>VLOOKUP(H1327,Stock_list!A:N,14,FALSE)</f>
        <v>MAY 19</v>
      </c>
    </row>
    <row r="1328" spans="1:21" ht="16.5" customHeight="1">
      <c r="A1328" s="159" t="s">
        <v>2755</v>
      </c>
      <c r="B1328" s="114" t="str">
        <f>VLOOKUP(A1328,'Data pick slip'!B:F,5,FALSE)</f>
        <v>KLJ-MC100-00</v>
      </c>
      <c r="F1328" s="157" t="s">
        <v>2862</v>
      </c>
      <c r="H1328" s="138">
        <v>238</v>
      </c>
      <c r="I1328" s="139" t="str">
        <f>VLOOKUP(H1328,Stock_list!A:R,18,FALSE)</f>
        <v>智宏创</v>
      </c>
      <c r="J1328" s="139" t="str">
        <f>VLOOKUP(H1328,Stock_list!A:S,17,FALSE)</f>
        <v>C49SZX20190022SS</v>
      </c>
      <c r="K1328" s="51" t="str">
        <f>VLOOKUP(H1328,Stock_list!A:T,16,FALSE)</f>
        <v>JPY</v>
      </c>
      <c r="L1328" s="4"/>
      <c r="M1328" s="132">
        <v>60</v>
      </c>
      <c r="P1328" s="4" t="str">
        <f>VLOOKUP(H1328,Stock_list!A:Y,25,FALSE)</f>
        <v>Yes</v>
      </c>
      <c r="Q1328" s="143"/>
      <c r="T1328" s="144"/>
      <c r="U1328" s="145" t="str">
        <f>VLOOKUP(H1328,Stock_list!A:N,14,FALSE)</f>
        <v>MAR 19</v>
      </c>
    </row>
    <row r="1329" spans="1:21" ht="16.5" customHeight="1">
      <c r="A1329" s="159" t="s">
        <v>2756</v>
      </c>
      <c r="B1329" s="114" t="str">
        <f>VLOOKUP(A1329,'Data pick slip'!B:F,5,FALSE)</f>
        <v>KLJ-MC200-00</v>
      </c>
      <c r="F1329" s="157" t="s">
        <v>2773</v>
      </c>
      <c r="H1329" s="138">
        <v>238</v>
      </c>
      <c r="I1329" s="139" t="str">
        <f>VLOOKUP(H1329,Stock_list!A:R,18,FALSE)</f>
        <v>智宏创</v>
      </c>
      <c r="J1329" s="139" t="str">
        <f>VLOOKUP(H1329,Stock_list!A:S,17,FALSE)</f>
        <v>C49SZX20190022SS</v>
      </c>
      <c r="K1329" s="51" t="str">
        <f>VLOOKUP(H1329,Stock_list!A:T,16,FALSE)</f>
        <v>JPY</v>
      </c>
      <c r="L1329" s="4"/>
      <c r="M1329" s="132">
        <v>8</v>
      </c>
      <c r="P1329" s="4" t="str">
        <f>VLOOKUP(H1329,Stock_list!A:Y,25,FALSE)</f>
        <v>Yes</v>
      </c>
      <c r="S1329" s="123" t="s">
        <v>3004</v>
      </c>
      <c r="T1329" s="205" t="s">
        <v>3058</v>
      </c>
      <c r="U1329" s="145" t="str">
        <f>VLOOKUP(H1329,Stock_list!A:N,14,FALSE)</f>
        <v>MAR 19</v>
      </c>
    </row>
    <row r="1330" spans="1:21" ht="16.5" customHeight="1">
      <c r="A1330" s="159" t="s">
        <v>2757</v>
      </c>
      <c r="B1330" s="114" t="str">
        <f>VLOOKUP(A1330,'Data pick slip'!B:F,5,FALSE)</f>
        <v>KLJ-MC400-00</v>
      </c>
      <c r="F1330" s="157" t="s">
        <v>2773</v>
      </c>
      <c r="H1330" s="138">
        <v>238</v>
      </c>
      <c r="I1330" s="139" t="str">
        <f>VLOOKUP(H1330,Stock_list!A:R,18,FALSE)</f>
        <v>智宏创</v>
      </c>
      <c r="J1330" s="139" t="str">
        <f>VLOOKUP(H1330,Stock_list!A:S,17,FALSE)</f>
        <v>C49SZX20190022SS</v>
      </c>
      <c r="K1330" s="51" t="str">
        <f>VLOOKUP(H1330,Stock_list!A:T,16,FALSE)</f>
        <v>JPY</v>
      </c>
      <c r="L1330" s="4"/>
      <c r="M1330" s="132">
        <v>2</v>
      </c>
      <c r="P1330" s="4" t="str">
        <f>VLOOKUP(H1330,Stock_list!A:Y,25,FALSE)</f>
        <v>Yes</v>
      </c>
      <c r="Q1330" s="143"/>
      <c r="S1330" s="123" t="s">
        <v>3004</v>
      </c>
      <c r="T1330" s="205" t="s">
        <v>3058</v>
      </c>
      <c r="U1330" s="145" t="str">
        <f>VLOOKUP(H1330,Stock_list!A:N,14,FALSE)</f>
        <v>MAR 19</v>
      </c>
    </row>
    <row r="1331" spans="1:21" ht="16.5" customHeight="1">
      <c r="A1331" s="159" t="s">
        <v>2748</v>
      </c>
      <c r="B1331" s="114" t="str">
        <f>VLOOKUP(A1331,'Data pick slip'!B:F,5,FALSE)</f>
        <v>KHJ-MC400-00</v>
      </c>
      <c r="F1331" s="157" t="s">
        <v>2773</v>
      </c>
      <c r="I1331" s="139" t="s">
        <v>2854</v>
      </c>
      <c r="J1331" s="139" t="s">
        <v>3059</v>
      </c>
      <c r="K1331" s="51" t="s">
        <v>1246</v>
      </c>
      <c r="L1331" s="4" t="s">
        <v>3015</v>
      </c>
      <c r="M1331" s="140">
        <v>2</v>
      </c>
      <c r="P1331" s="4" t="s">
        <v>291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2744</v>
      </c>
      <c r="B1332" s="114" t="str">
        <f>VLOOKUP(A1332,'Data pick slip'!B:F,5,FALSE)</f>
        <v>KHJ-MC100-00</v>
      </c>
      <c r="F1332" s="157" t="s">
        <v>2862</v>
      </c>
      <c r="H1332" s="138">
        <v>250</v>
      </c>
      <c r="I1332" s="139" t="str">
        <f>VLOOKUP(H1332,Stock_list!A:R,18,FALSE)</f>
        <v>比泰利</v>
      </c>
      <c r="J1332" s="139" t="str">
        <f>VLOOKUP(H1332,Stock_list!A:S,17,FALSE)</f>
        <v>C49SZX20190026ZX</v>
      </c>
      <c r="K1332" s="51" t="str">
        <f>VLOOKUP(H1332,Stock_list!A:T,16,FALSE)</f>
        <v>JPY</v>
      </c>
      <c r="L1332" s="4">
        <v>43609</v>
      </c>
      <c r="M1332" s="132">
        <v>70</v>
      </c>
      <c r="P1332" s="4" t="str">
        <f>VLOOKUP(H1332,Stock_list!A:Y,25,FALSE)</f>
        <v>Yes</v>
      </c>
      <c r="Q1332" s="143"/>
      <c r="T1332" s="144"/>
      <c r="U1332" s="145" t="str">
        <f>VLOOKUP(H1332,Stock_list!A:N,14,FALSE)</f>
        <v>MAY 19</v>
      </c>
    </row>
    <row r="1333" spans="1:21" ht="16.5" customHeight="1">
      <c r="A1333" s="159" t="s">
        <v>2747</v>
      </c>
      <c r="B1333" s="114" t="str">
        <f>VLOOKUP(A1333,'Data pick slip'!B:F,5,FALSE)</f>
        <v>KHJ-MC200-00</v>
      </c>
      <c r="F1333" s="157" t="s">
        <v>2862</v>
      </c>
      <c r="H1333" s="138">
        <v>250</v>
      </c>
      <c r="I1333" s="139" t="str">
        <f>VLOOKUP(H1333,Stock_list!A:R,18,FALSE)</f>
        <v>比泰利</v>
      </c>
      <c r="J1333" s="139" t="str">
        <f>VLOOKUP(H1333,Stock_list!A:S,17,FALSE)</f>
        <v>C49SZX20190026ZX</v>
      </c>
      <c r="K1333" s="51" t="str">
        <f>VLOOKUP(H1333,Stock_list!A:T,16,FALSE)</f>
        <v>JPY</v>
      </c>
      <c r="L1333" s="4">
        <v>43609</v>
      </c>
      <c r="M1333" s="132">
        <v>20</v>
      </c>
      <c r="P1333" s="4" t="str">
        <f>VLOOKUP(H1333,Stock_list!A:Y,25,FALSE)</f>
        <v>Yes</v>
      </c>
      <c r="Q1333" s="143"/>
      <c r="T1333" s="144"/>
      <c r="U1333" s="145" t="str">
        <f>VLOOKUP(H1333,Stock_list!A:N,14,FALSE)</f>
        <v>MAY 19</v>
      </c>
    </row>
    <row r="1334" spans="1:21" ht="16.5" customHeight="1">
      <c r="A1334" s="159" t="s">
        <v>2748</v>
      </c>
      <c r="B1334" s="114" t="str">
        <f>VLOOKUP(A1334,'Data pick slip'!B:F,5,FALSE)</f>
        <v>KHJ-MC400-00</v>
      </c>
      <c r="F1334" s="157" t="s">
        <v>2862</v>
      </c>
      <c r="H1334" s="138">
        <v>250</v>
      </c>
      <c r="I1334" s="139" t="str">
        <f>VLOOKUP(H1334,Stock_list!A:R,18,FALSE)</f>
        <v>比泰利</v>
      </c>
      <c r="J1334" s="139" t="str">
        <f>VLOOKUP(H1334,Stock_list!A:S,17,FALSE)</f>
        <v>C49SZX20190026ZX</v>
      </c>
      <c r="K1334" s="51" t="str">
        <f>VLOOKUP(H1334,Stock_list!A:T,16,FALSE)</f>
        <v>JPY</v>
      </c>
      <c r="L1334" s="4">
        <v>43609</v>
      </c>
      <c r="M1334" s="132">
        <v>3</v>
      </c>
      <c r="P1334" s="4" t="str">
        <f>VLOOKUP(H1334,Stock_list!A:Y,25,FALSE)</f>
        <v>Yes</v>
      </c>
      <c r="Q1334" s="143"/>
      <c r="T1334" s="144"/>
      <c r="U1334" s="145" t="str">
        <f>VLOOKUP(H1334,Stock_list!A:N,14,FALSE)</f>
        <v>MAY 19</v>
      </c>
    </row>
    <row r="1335" spans="1:21" ht="16.5" customHeight="1">
      <c r="A1335" s="159" t="s">
        <v>2749</v>
      </c>
      <c r="B1335" s="114" t="str">
        <f>VLOOKUP(A1335,'Data pick slip'!B:F,5,FALSE)</f>
        <v>KHJ-MC500-00</v>
      </c>
      <c r="F1335" s="157" t="s">
        <v>2862</v>
      </c>
      <c r="H1335" s="138">
        <v>250</v>
      </c>
      <c r="I1335" s="139" t="str">
        <f>VLOOKUP(H1335,Stock_list!A:R,18,FALSE)</f>
        <v>比泰利</v>
      </c>
      <c r="J1335" s="139" t="str">
        <f>VLOOKUP(H1335,Stock_list!A:S,17,FALSE)</f>
        <v>C49SZX20190026ZX</v>
      </c>
      <c r="K1335" s="51" t="str">
        <f>VLOOKUP(H1335,Stock_list!A:T,16,FALSE)</f>
        <v>JPY</v>
      </c>
      <c r="L1335" s="4">
        <v>43609</v>
      </c>
      <c r="M1335" s="132">
        <v>1</v>
      </c>
      <c r="P1335" s="4" t="str">
        <f>VLOOKUP(H1335,Stock_list!A:Y,25,FALSE)</f>
        <v>Yes</v>
      </c>
      <c r="Q1335" s="143"/>
      <c r="T1335" s="144"/>
      <c r="U1335" s="145" t="str">
        <f>VLOOKUP(H1335,Stock_list!A:N,14,FALSE)</f>
        <v>MAY 19</v>
      </c>
    </row>
    <row r="1336" spans="1:21" ht="16.5" customHeight="1">
      <c r="A1336" s="159" t="s">
        <v>2750</v>
      </c>
      <c r="B1336" s="114" t="str">
        <f>VLOOKUP(A1336,'Data pick slip'!B:F,5,FALSE)</f>
        <v>KHJ-MC600-00</v>
      </c>
      <c r="F1336" s="157" t="s">
        <v>2862</v>
      </c>
      <c r="H1336" s="138">
        <v>250</v>
      </c>
      <c r="I1336" s="139" t="str">
        <f>VLOOKUP(H1336,Stock_list!A:R,18,FALSE)</f>
        <v>比泰利</v>
      </c>
      <c r="J1336" s="139" t="str">
        <f>VLOOKUP(H1336,Stock_list!A:S,17,FALSE)</f>
        <v>C49SZX20190026ZX</v>
      </c>
      <c r="K1336" s="51" t="str">
        <f>VLOOKUP(H1336,Stock_list!A:T,16,FALSE)</f>
        <v>JPY</v>
      </c>
      <c r="L1336" s="4">
        <v>43609</v>
      </c>
      <c r="M1336" s="132">
        <v>1</v>
      </c>
      <c r="P1336" s="4" t="str">
        <f>VLOOKUP(H1336,Stock_list!A:Y,25,FALSE)</f>
        <v>Yes</v>
      </c>
      <c r="Q1336" s="143"/>
      <c r="T1336" s="144"/>
      <c r="U1336" s="145" t="str">
        <f>VLOOKUP(H1336,Stock_list!A:N,14,FALSE)</f>
        <v>MAY 19</v>
      </c>
    </row>
    <row r="1337" spans="1:21" ht="16.5" customHeight="1">
      <c r="A1337" s="159" t="s">
        <v>2751</v>
      </c>
      <c r="B1337" s="114" t="str">
        <f>VLOOKUP(A1337,'Data pick slip'!B:F,5,FALSE)</f>
        <v>KHJ-MC700-00</v>
      </c>
      <c r="F1337" s="157" t="s">
        <v>2862</v>
      </c>
      <c r="H1337" s="138">
        <v>250</v>
      </c>
      <c r="I1337" s="139" t="str">
        <f>VLOOKUP(H1337,Stock_list!A:R,18,FALSE)</f>
        <v>比泰利</v>
      </c>
      <c r="J1337" s="139" t="str">
        <f>VLOOKUP(H1337,Stock_list!A:S,17,FALSE)</f>
        <v>C49SZX20190026ZX</v>
      </c>
      <c r="K1337" s="51" t="str">
        <f>VLOOKUP(H1337,Stock_list!A:T,16,FALSE)</f>
        <v>JPY</v>
      </c>
      <c r="L1337" s="4">
        <v>43609</v>
      </c>
      <c r="M1337" s="132">
        <v>1</v>
      </c>
      <c r="P1337" s="4" t="str">
        <f>VLOOKUP(H1337,Stock_list!A:Y,25,FALSE)</f>
        <v>Yes</v>
      </c>
      <c r="Q1337" s="143"/>
      <c r="T1337" s="144"/>
      <c r="U1337" s="145" t="str">
        <f>VLOOKUP(H1337,Stock_list!A:N,14,FALSE)</f>
        <v>MAY 19</v>
      </c>
    </row>
    <row r="1338" spans="1:21" ht="16.5" customHeight="1">
      <c r="A1338" s="159" t="s">
        <v>2744</v>
      </c>
      <c r="B1338" s="114" t="str">
        <f>VLOOKUP(A1338,'Data pick slip'!B:F,5,FALSE)</f>
        <v>KHJ-MC100-00</v>
      </c>
      <c r="F1338" s="157" t="s">
        <v>2862</v>
      </c>
      <c r="H1338" s="138">
        <v>243</v>
      </c>
      <c r="I1338" s="139" t="str">
        <f>VLOOKUP(H1338,Stock_list!A:R,18,FALSE)</f>
        <v>世启纳</v>
      </c>
      <c r="J1338" s="139" t="str">
        <f>VLOOKUP(H1338,Stock_list!A:S,17,FALSE)</f>
        <v>C49SZX20190023SS</v>
      </c>
      <c r="K1338" s="51" t="str">
        <f>VLOOKUP(H1338,Stock_list!A:T,16,FALSE)</f>
        <v>JPY</v>
      </c>
      <c r="L1338" s="4"/>
      <c r="M1338" s="132">
        <v>22</v>
      </c>
      <c r="P1338" s="4" t="str">
        <f>VLOOKUP(H1338,Stock_list!A:Y,25,FALSE)</f>
        <v>Yes</v>
      </c>
      <c r="Q1338" s="143"/>
      <c r="T1338" s="144"/>
      <c r="U1338" s="145" t="str">
        <f>VLOOKUP(H1338,Stock_list!A:N,14,FALSE)</f>
        <v>MAR 19</v>
      </c>
    </row>
    <row r="1339" spans="1:21" ht="16.5" customHeight="1">
      <c r="A1339" s="159" t="s">
        <v>2744</v>
      </c>
      <c r="B1339" s="114" t="str">
        <f>VLOOKUP(A1339,'Data pick slip'!B:F,5,FALSE)</f>
        <v>KHJ-MC100-00</v>
      </c>
      <c r="F1339" s="157" t="s">
        <v>2862</v>
      </c>
      <c r="H1339" s="138">
        <v>248</v>
      </c>
      <c r="I1339" s="139" t="str">
        <f>VLOOKUP(H1339,Stock_list!A:R,18,FALSE)</f>
        <v>惠阳锐诚</v>
      </c>
      <c r="J1339" s="139" t="str">
        <f>VLOOKUP(H1339,Stock_list!A:S,17,FALSE)</f>
        <v>C49SZX20190030SX</v>
      </c>
      <c r="K1339" s="51" t="str">
        <f>VLOOKUP(H1339,Stock_list!A:T,16,FALSE)</f>
        <v>JPY</v>
      </c>
      <c r="L1339" s="4"/>
      <c r="M1339" s="132">
        <v>10</v>
      </c>
      <c r="P1339" s="4" t="str">
        <f>VLOOKUP(H1339,Stock_list!A:Y,25,FALSE)</f>
        <v>Yes</v>
      </c>
      <c r="Q1339" s="143"/>
      <c r="T1339" s="144"/>
      <c r="U1339" s="145" t="str">
        <f>VLOOKUP(H1339,Stock_list!A:N,14,FALSE)</f>
        <v>MAR 19</v>
      </c>
    </row>
    <row r="1340" spans="1:21" ht="16.5" customHeight="1">
      <c r="A1340" s="159" t="s">
        <v>2747</v>
      </c>
      <c r="B1340" s="114" t="str">
        <f>VLOOKUP(A1340,'Data pick slip'!B:F,5,FALSE)</f>
        <v>KHJ-MC200-00</v>
      </c>
      <c r="F1340" s="157" t="s">
        <v>2862</v>
      </c>
      <c r="H1340" s="138">
        <v>248</v>
      </c>
      <c r="I1340" s="139" t="str">
        <f>VLOOKUP(H1340,Stock_list!A:R,18,FALSE)</f>
        <v>惠阳锐诚</v>
      </c>
      <c r="J1340" s="139" t="str">
        <f>VLOOKUP(H1340,Stock_list!A:S,17,FALSE)</f>
        <v>C49SZX20190030SX</v>
      </c>
      <c r="K1340" s="51" t="str">
        <f>VLOOKUP(H1340,Stock_list!A:T,16,FALSE)</f>
        <v>JPY</v>
      </c>
      <c r="L1340" s="4">
        <v>43545</v>
      </c>
      <c r="M1340" s="132">
        <v>4</v>
      </c>
      <c r="P1340" s="4" t="str">
        <f>VLOOKUP(H1340,Stock_list!A:Y,25,FALSE)</f>
        <v>Yes</v>
      </c>
      <c r="Q1340" s="143"/>
      <c r="T1340" s="144"/>
      <c r="U1340" s="145" t="str">
        <f>VLOOKUP(H1340,Stock_list!A:N,14,FALSE)</f>
        <v>MAR 19</v>
      </c>
    </row>
    <row r="1341" spans="1:21" ht="16.5" customHeight="1">
      <c r="A1341" s="159" t="s">
        <v>3060</v>
      </c>
      <c r="B1341" s="114">
        <f>VLOOKUP(A1341,'Data pick slip'!B:F,5,FALSE)</f>
        <v>0</v>
      </c>
      <c r="F1341" s="157" t="s">
        <v>2773</v>
      </c>
      <c r="H1341" s="138">
        <v>243</v>
      </c>
      <c r="I1341" s="139" t="str">
        <f>VLOOKUP(H1341,Stock_list!A:R,18,FALSE)</f>
        <v>世启纳</v>
      </c>
      <c r="J1341" s="139" t="str">
        <f>VLOOKUP(H1341,Stock_list!A:S,17,FALSE)</f>
        <v>C49SZX20190023SS</v>
      </c>
      <c r="K1341" s="51" t="str">
        <f>VLOOKUP(H1341,Stock_list!A:T,16,FALSE)</f>
        <v>JPY</v>
      </c>
      <c r="L1341" s="4"/>
      <c r="M1341" s="132">
        <v>2</v>
      </c>
      <c r="P1341" s="4" t="str">
        <f>VLOOKUP(H1341,Stock_list!A:Y,25,FALSE)</f>
        <v>Yes</v>
      </c>
      <c r="Q1341" s="143"/>
      <c r="S1341" s="123" t="s">
        <v>3004</v>
      </c>
      <c r="T1341" s="205" t="s">
        <v>3048</v>
      </c>
      <c r="U1341" s="145" t="str">
        <f>VLOOKUP(H1341,Stock_list!A:N,14,FALSE)</f>
        <v>MAR 19</v>
      </c>
    </row>
    <row r="1342" spans="1:21" ht="16.5" customHeight="1">
      <c r="A1342" s="159" t="s">
        <v>2748</v>
      </c>
      <c r="B1342" s="114" t="str">
        <f>VLOOKUP(A1342,'Data pick slip'!B:F,5,FALSE)</f>
        <v>KHJ-MC400-00</v>
      </c>
      <c r="F1342" s="157" t="s">
        <v>2773</v>
      </c>
      <c r="I1342" s="139" t="s">
        <v>2854</v>
      </c>
      <c r="J1342" s="139" t="s">
        <v>3061</v>
      </c>
      <c r="K1342" s="51" t="s">
        <v>1246</v>
      </c>
      <c r="L1342" s="4" t="s">
        <v>3015</v>
      </c>
      <c r="M1342" s="140">
        <v>2</v>
      </c>
      <c r="P1342" s="4" t="s">
        <v>291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2749</v>
      </c>
      <c r="B1343" s="114" t="str">
        <f>VLOOKUP(A1343,'Data pick slip'!B:F,5,FALSE)</f>
        <v>KHJ-MC500-00</v>
      </c>
      <c r="F1343" s="157" t="s">
        <v>2773</v>
      </c>
      <c r="I1343" s="139" t="s">
        <v>2854</v>
      </c>
      <c r="J1343" s="139" t="s">
        <v>3061</v>
      </c>
      <c r="K1343" s="51" t="s">
        <v>1246</v>
      </c>
      <c r="L1343" s="4"/>
      <c r="M1343" s="140">
        <v>1</v>
      </c>
      <c r="P1343" s="4" t="s">
        <v>291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2755</v>
      </c>
      <c r="B1344" s="114" t="str">
        <f>VLOOKUP(A1344,'Data pick slip'!B:F,5,FALSE)</f>
        <v>KLJ-MC100-00</v>
      </c>
      <c r="F1344" s="157" t="s">
        <v>2773</v>
      </c>
      <c r="H1344" s="138">
        <v>252</v>
      </c>
      <c r="I1344" s="139" t="str">
        <f>VLOOKUP(H1344,Stock_list!A:R,18,FALSE)</f>
        <v>魔乐视/end user:拓普赛特</v>
      </c>
      <c r="J1344" s="139" t="str">
        <f>VLOOKUP(H1344,Stock_list!A:S,17,FALSE)</f>
        <v>C49SZX20190027MZ</v>
      </c>
      <c r="K1344" s="51" t="str">
        <f>VLOOKUP(H1344,Stock_list!A:T,16,FALSE)</f>
        <v>JPY</v>
      </c>
      <c r="L1344" s="4">
        <v>43572</v>
      </c>
      <c r="M1344" s="132">
        <v>35</v>
      </c>
      <c r="P1344" s="4" t="str">
        <f>VLOOKUP(H1344,Stock_list!A:Y,25,FALSE)</f>
        <v>Yes</v>
      </c>
      <c r="Q1344" s="143"/>
      <c r="S1344" s="123" t="s">
        <v>3004</v>
      </c>
      <c r="T1344" s="205" t="s">
        <v>3033</v>
      </c>
      <c r="U1344" s="145" t="str">
        <f>VLOOKUP(H1344,Stock_list!A:N,14,FALSE)</f>
        <v>APR 19</v>
      </c>
    </row>
    <row r="1345" spans="1:21" ht="16.5" customHeight="1">
      <c r="A1345" s="159" t="s">
        <v>2755</v>
      </c>
      <c r="B1345" s="114" t="str">
        <f>VLOOKUP(A1345,'Data pick slip'!B:F,5,FALSE)</f>
        <v>KLJ-MC100-00</v>
      </c>
      <c r="F1345" s="157" t="s">
        <v>2773</v>
      </c>
      <c r="H1345" s="138">
        <v>252</v>
      </c>
      <c r="I1345" s="139" t="str">
        <f>VLOOKUP(H1345,Stock_list!A:R,18,FALSE)</f>
        <v>魔乐视/end user:拓普赛特</v>
      </c>
      <c r="J1345" s="139" t="str">
        <f>VLOOKUP(H1345,Stock_list!A:S,17,FALSE)</f>
        <v>C49SZX20190027MZ</v>
      </c>
      <c r="K1345" s="51" t="str">
        <f>VLOOKUP(H1345,Stock_list!A:T,16,FALSE)</f>
        <v>JPY</v>
      </c>
      <c r="L1345" s="4">
        <v>43572</v>
      </c>
      <c r="M1345" s="132">
        <v>10</v>
      </c>
      <c r="P1345" s="4" t="str">
        <f>VLOOKUP(H1345,Stock_list!A:Y,25,FALSE)</f>
        <v>Yes</v>
      </c>
      <c r="Q1345" s="143"/>
      <c r="S1345" s="123" t="s">
        <v>3004</v>
      </c>
      <c r="T1345" s="205" t="s">
        <v>3062</v>
      </c>
      <c r="U1345" s="145" t="str">
        <f>VLOOKUP(H1345,Stock_list!A:N,14,FALSE)</f>
        <v>APR 19</v>
      </c>
    </row>
    <row r="1346" spans="1:21" ht="16.5" customHeight="1">
      <c r="A1346" s="159" t="s">
        <v>2755</v>
      </c>
      <c r="B1346" s="114" t="str">
        <f>VLOOKUP(A1346,'Data pick slip'!B:F,5,FALSE)</f>
        <v>KLJ-MC100-00</v>
      </c>
      <c r="F1346" s="157" t="s">
        <v>2773</v>
      </c>
      <c r="H1346" s="138">
        <v>252</v>
      </c>
      <c r="I1346" s="139" t="str">
        <f>VLOOKUP(H1346,Stock_list!A:R,18,FALSE)</f>
        <v>魔乐视/end user:拓普赛特</v>
      </c>
      <c r="J1346" s="139" t="str">
        <f>VLOOKUP(H1346,Stock_list!A:S,17,FALSE)</f>
        <v>C49SZX20190027MZ</v>
      </c>
      <c r="K1346" s="51" t="str">
        <f>VLOOKUP(H1346,Stock_list!A:T,16,FALSE)</f>
        <v>JPY</v>
      </c>
      <c r="L1346" s="4">
        <v>43572</v>
      </c>
      <c r="M1346" s="132">
        <v>9</v>
      </c>
      <c r="P1346" s="4" t="str">
        <f>VLOOKUP(H1346,Stock_list!A:Y,25,FALSE)</f>
        <v>Yes</v>
      </c>
      <c r="Q1346" s="143"/>
      <c r="S1346" s="123" t="s">
        <v>3004</v>
      </c>
      <c r="T1346" s="205" t="s">
        <v>3063</v>
      </c>
      <c r="U1346" s="145" t="str">
        <f>VLOOKUP(H1346,Stock_list!A:N,14,FALSE)</f>
        <v>APR 19</v>
      </c>
    </row>
    <row r="1347" spans="1:21" ht="16.5" customHeight="1">
      <c r="A1347" s="159" t="s">
        <v>2755</v>
      </c>
      <c r="B1347" s="114" t="str">
        <f>VLOOKUP(A1347,'Data pick slip'!B:F,5,FALSE)</f>
        <v>KLJ-MC100-00</v>
      </c>
      <c r="F1347" s="157" t="s">
        <v>2773</v>
      </c>
      <c r="H1347" s="138">
        <v>252</v>
      </c>
      <c r="I1347" s="139" t="str">
        <f>VLOOKUP(H1347,Stock_list!A:R,18,FALSE)</f>
        <v>魔乐视/end user:拓普赛特</v>
      </c>
      <c r="J1347" s="139" t="str">
        <f>VLOOKUP(H1347,Stock_list!A:S,17,FALSE)</f>
        <v>C49SZX20190027MZ</v>
      </c>
      <c r="K1347" s="51" t="str">
        <f>VLOOKUP(H1347,Stock_list!A:T,16,FALSE)</f>
        <v>JPY</v>
      </c>
      <c r="L1347" s="4">
        <v>43572</v>
      </c>
      <c r="M1347" s="132">
        <v>1</v>
      </c>
      <c r="P1347" s="4" t="str">
        <f>VLOOKUP(H1347,Stock_list!A:Y,25,FALSE)</f>
        <v>Yes</v>
      </c>
      <c r="Q1347" s="143"/>
      <c r="S1347" s="123" t="s">
        <v>3004</v>
      </c>
      <c r="T1347" s="205" t="s">
        <v>3064</v>
      </c>
      <c r="U1347" s="145" t="str">
        <f>VLOOKUP(H1347,Stock_list!A:N,14,FALSE)</f>
        <v>APR 19</v>
      </c>
    </row>
    <row r="1348" spans="1:21" ht="16.5" customHeight="1">
      <c r="A1348" s="159" t="s">
        <v>2755</v>
      </c>
      <c r="B1348" s="114" t="str">
        <f>VLOOKUP(A1348,'Data pick slip'!B:F,5,FALSE)</f>
        <v>KLJ-MC100-00</v>
      </c>
      <c r="F1348" s="157" t="s">
        <v>2773</v>
      </c>
      <c r="H1348" s="138">
        <v>252</v>
      </c>
      <c r="I1348" s="139" t="str">
        <f>VLOOKUP(H1348,Stock_list!A:R,18,FALSE)</f>
        <v>魔乐视/end user:拓普赛特</v>
      </c>
      <c r="J1348" s="139" t="str">
        <f>VLOOKUP(H1348,Stock_list!A:S,17,FALSE)</f>
        <v>C49SZX20190027MZ</v>
      </c>
      <c r="K1348" s="51" t="str">
        <f>VLOOKUP(H1348,Stock_list!A:T,16,FALSE)</f>
        <v>JPY</v>
      </c>
      <c r="L1348" s="4">
        <v>43572</v>
      </c>
      <c r="M1348" s="132">
        <v>5</v>
      </c>
      <c r="P1348" s="4" t="str">
        <f>VLOOKUP(H1348,Stock_list!A:Y,25,FALSE)</f>
        <v>Yes</v>
      </c>
      <c r="Q1348" s="143"/>
      <c r="S1348" s="123" t="s">
        <v>3004</v>
      </c>
      <c r="T1348" s="205" t="s">
        <v>3065</v>
      </c>
      <c r="U1348" s="145" t="str">
        <f>VLOOKUP(H1348,Stock_list!A:N,14,FALSE)</f>
        <v>APR 19</v>
      </c>
    </row>
    <row r="1349" spans="1:21" ht="16.5" customHeight="1">
      <c r="A1349" s="159" t="s">
        <v>2755</v>
      </c>
      <c r="B1349" s="114" t="str">
        <f>VLOOKUP(A1349,'Data pick slip'!B:F,5,FALSE)</f>
        <v>KLJ-MC100-00</v>
      </c>
      <c r="F1349" s="157" t="s">
        <v>2773</v>
      </c>
      <c r="H1349" s="138">
        <v>252</v>
      </c>
      <c r="I1349" s="139" t="str">
        <f>VLOOKUP(H1349,Stock_list!A:R,18,FALSE)</f>
        <v>魔乐视/end user:拓普赛特</v>
      </c>
      <c r="J1349" s="139" t="str">
        <f>VLOOKUP(H1349,Stock_list!A:S,17,FALSE)</f>
        <v>C49SZX20190027MZ</v>
      </c>
      <c r="K1349" s="51" t="str">
        <f>VLOOKUP(H1349,Stock_list!A:T,16,FALSE)</f>
        <v>JPY</v>
      </c>
      <c r="L1349" s="4">
        <v>43572</v>
      </c>
      <c r="M1349" s="132">
        <v>5</v>
      </c>
      <c r="P1349" s="4" t="str">
        <f>VLOOKUP(H1349,Stock_list!A:Y,25,FALSE)</f>
        <v>Yes</v>
      </c>
      <c r="Q1349" s="143"/>
      <c r="S1349" s="123" t="s">
        <v>3004</v>
      </c>
      <c r="T1349" s="205" t="s">
        <v>3066</v>
      </c>
      <c r="U1349" s="145" t="str">
        <f>VLOOKUP(H1349,Stock_list!A:N,14,FALSE)</f>
        <v>APR 19</v>
      </c>
    </row>
    <row r="1350" spans="1:21" ht="16.5" customHeight="1">
      <c r="A1350" s="159" t="s">
        <v>2755</v>
      </c>
      <c r="B1350" s="114" t="str">
        <f>VLOOKUP(A1350,'Data pick slip'!B:F,5,FALSE)</f>
        <v>KLJ-MC100-00</v>
      </c>
      <c r="F1350" s="157" t="s">
        <v>2773</v>
      </c>
      <c r="H1350" s="138">
        <v>252</v>
      </c>
      <c r="I1350" s="139" t="str">
        <f>VLOOKUP(H1350,Stock_list!A:R,18,FALSE)</f>
        <v>魔乐视/end user:拓普赛特</v>
      </c>
      <c r="J1350" s="139" t="str">
        <f>VLOOKUP(H1350,Stock_list!A:S,17,FALSE)</f>
        <v>C49SZX20190027MZ</v>
      </c>
      <c r="K1350" s="51" t="str">
        <f>VLOOKUP(H1350,Stock_list!A:T,16,FALSE)</f>
        <v>JPY</v>
      </c>
      <c r="L1350" s="4">
        <v>43572</v>
      </c>
      <c r="M1350" s="132">
        <v>20</v>
      </c>
      <c r="P1350" s="4" t="str">
        <f>VLOOKUP(H1350,Stock_list!A:Y,25,FALSE)</f>
        <v>Yes</v>
      </c>
      <c r="Q1350" s="143"/>
      <c r="S1350" s="123" t="s">
        <v>3004</v>
      </c>
      <c r="T1350" s="205" t="s">
        <v>3067</v>
      </c>
      <c r="U1350" s="145" t="str">
        <f>VLOOKUP(H1350,Stock_list!A:N,14,FALSE)</f>
        <v>APR 19</v>
      </c>
    </row>
    <row r="1351" spans="1:21" ht="16.5" customHeight="1">
      <c r="A1351" s="159" t="s">
        <v>2755</v>
      </c>
      <c r="B1351" s="114" t="str">
        <f>VLOOKUP(A1351,'Data pick slip'!B:F,5,FALSE)</f>
        <v>KLJ-MC100-00</v>
      </c>
      <c r="F1351" s="157" t="s">
        <v>2773</v>
      </c>
      <c r="H1351" s="138">
        <v>252</v>
      </c>
      <c r="I1351" s="139" t="str">
        <f>VLOOKUP(H1351,Stock_list!A:R,18,FALSE)</f>
        <v>魔乐视/end user:拓普赛特</v>
      </c>
      <c r="J1351" s="139" t="str">
        <f>VLOOKUP(H1351,Stock_list!A:S,17,FALSE)</f>
        <v>C49SZX20190027MZ</v>
      </c>
      <c r="K1351" s="51" t="str">
        <f>VLOOKUP(H1351,Stock_list!A:T,16,FALSE)</f>
        <v>JPY</v>
      </c>
      <c r="L1351" s="4">
        <v>43572</v>
      </c>
      <c r="M1351" s="132">
        <v>15</v>
      </c>
      <c r="P1351" s="4" t="str">
        <f>VLOOKUP(H1351,Stock_list!A:Y,25,FALSE)</f>
        <v>Yes</v>
      </c>
      <c r="Q1351" s="143"/>
      <c r="S1351" s="123" t="s">
        <v>3004</v>
      </c>
      <c r="T1351" s="205" t="s">
        <v>3068</v>
      </c>
      <c r="U1351" s="145" t="str">
        <f>VLOOKUP(H1351,Stock_list!A:N,14,FALSE)</f>
        <v>APR 19</v>
      </c>
    </row>
    <row r="1352" spans="1:21" ht="16.5" customHeight="1">
      <c r="A1352" s="159" t="s">
        <v>2756</v>
      </c>
      <c r="B1352" s="114" t="str">
        <f>VLOOKUP(A1352,'Data pick slip'!B:F,5,FALSE)</f>
        <v>KLJ-MC200-00</v>
      </c>
      <c r="F1352" s="157" t="s">
        <v>2773</v>
      </c>
      <c r="H1352" s="138">
        <v>252</v>
      </c>
      <c r="I1352" s="139" t="str">
        <f>VLOOKUP(H1352,Stock_list!A:R,18,FALSE)</f>
        <v>魔乐视/end user:拓普赛特</v>
      </c>
      <c r="J1352" s="139" t="str">
        <f>VLOOKUP(H1352,Stock_list!A:S,17,FALSE)</f>
        <v>C49SZX20190027MZ</v>
      </c>
      <c r="K1352" s="51" t="str">
        <f>VLOOKUP(H1352,Stock_list!A:T,16,FALSE)</f>
        <v>JPY</v>
      </c>
      <c r="L1352" s="4">
        <v>43572</v>
      </c>
      <c r="M1352" s="132">
        <v>20</v>
      </c>
      <c r="P1352" s="4" t="str">
        <f>VLOOKUP(H1352,Stock_list!A:Y,25,FALSE)</f>
        <v>Yes</v>
      </c>
      <c r="S1352" s="123" t="s">
        <v>3004</v>
      </c>
      <c r="T1352" s="205" t="s">
        <v>3069</v>
      </c>
      <c r="U1352" s="145" t="str">
        <f>VLOOKUP(H1352,Stock_list!A:N,14,FALSE)</f>
        <v>APR 19</v>
      </c>
    </row>
    <row r="1353" spans="1:21" ht="16.5" customHeight="1">
      <c r="A1353" s="159" t="s">
        <v>2757</v>
      </c>
      <c r="B1353" s="114" t="str">
        <f>VLOOKUP(A1353,'Data pick slip'!B:F,5,FALSE)</f>
        <v>KLJ-MC400-00</v>
      </c>
      <c r="F1353" s="157" t="s">
        <v>2773</v>
      </c>
      <c r="H1353" s="138">
        <v>252</v>
      </c>
      <c r="I1353" s="139" t="str">
        <f>VLOOKUP(H1353,Stock_list!A:R,18,FALSE)</f>
        <v>魔乐视/end user:拓普赛特</v>
      </c>
      <c r="J1353" s="139" t="str">
        <f>VLOOKUP(H1353,Stock_list!A:S,17,FALSE)</f>
        <v>C49SZX20190027MZ</v>
      </c>
      <c r="K1353" s="51" t="str">
        <f>VLOOKUP(H1353,Stock_list!A:T,16,FALSE)</f>
        <v>JPY</v>
      </c>
      <c r="L1353" s="4">
        <v>43572</v>
      </c>
      <c r="M1353" s="132">
        <v>3</v>
      </c>
      <c r="P1353" s="4" t="str">
        <f>VLOOKUP(H1353,Stock_list!A:Y,25,FALSE)</f>
        <v>Yes</v>
      </c>
      <c r="Q1353" s="143"/>
      <c r="S1353" s="123" t="s">
        <v>3004</v>
      </c>
      <c r="T1353" s="205" t="s">
        <v>3070</v>
      </c>
      <c r="U1353" s="145" t="str">
        <f>VLOOKUP(H1353,Stock_list!A:N,14,FALSE)</f>
        <v>APR 19</v>
      </c>
    </row>
    <row r="1354" spans="1:21" ht="16.5" customHeight="1">
      <c r="A1354" s="159" t="s">
        <v>2758</v>
      </c>
      <c r="B1354" s="114" t="str">
        <f>VLOOKUP(A1354,'Data pick slip'!B:F,5,FALSE)</f>
        <v>KLJ-MC500-00</v>
      </c>
      <c r="F1354" s="157" t="s">
        <v>2773</v>
      </c>
      <c r="H1354" s="138">
        <v>252</v>
      </c>
      <c r="I1354" s="139" t="str">
        <f>VLOOKUP(H1354,Stock_list!A:R,18,FALSE)</f>
        <v>魔乐视/end user:拓普赛特</v>
      </c>
      <c r="J1354" s="139" t="str">
        <f>VLOOKUP(H1354,Stock_list!A:S,17,FALSE)</f>
        <v>C49SZX20190027MZ</v>
      </c>
      <c r="K1354" s="51" t="str">
        <f>VLOOKUP(H1354,Stock_list!A:T,16,FALSE)</f>
        <v>JPY</v>
      </c>
      <c r="L1354" s="4">
        <v>43572</v>
      </c>
      <c r="M1354" s="132">
        <v>1</v>
      </c>
      <c r="P1354" s="4" t="str">
        <f>VLOOKUP(H1354,Stock_list!A:Y,25,FALSE)</f>
        <v>Yes</v>
      </c>
      <c r="Q1354" s="143"/>
      <c r="S1354" s="123" t="s">
        <v>3004</v>
      </c>
      <c r="T1354" s="205" t="s">
        <v>3070</v>
      </c>
      <c r="U1354" s="145" t="str">
        <f>VLOOKUP(H1354,Stock_list!A:N,14,FALSE)</f>
        <v>APR 19</v>
      </c>
    </row>
    <row r="1355" spans="1:21" ht="16.5" customHeight="1">
      <c r="A1355" s="159" t="s">
        <v>2759</v>
      </c>
      <c r="B1355" s="114" t="str">
        <f>VLOOKUP(A1355,'Data pick slip'!B:F,5,FALSE)</f>
        <v>KLJ-MC600-00</v>
      </c>
      <c r="F1355" s="157" t="s">
        <v>2773</v>
      </c>
      <c r="H1355" s="138">
        <v>252</v>
      </c>
      <c r="I1355" s="139" t="str">
        <f>VLOOKUP(H1355,Stock_list!A:R,18,FALSE)</f>
        <v>魔乐视/end user:拓普赛特</v>
      </c>
      <c r="J1355" s="139" t="str">
        <f>VLOOKUP(H1355,Stock_list!A:S,17,FALSE)</f>
        <v>C49SZX20190027MZ</v>
      </c>
      <c r="K1355" s="51" t="str">
        <f>VLOOKUP(H1355,Stock_list!A:T,16,FALSE)</f>
        <v>JPY</v>
      </c>
      <c r="L1355" s="4">
        <v>43572</v>
      </c>
      <c r="M1355" s="132">
        <v>1</v>
      </c>
      <c r="P1355" s="4" t="str">
        <f>VLOOKUP(H1355,Stock_list!A:Y,25,FALSE)</f>
        <v>Yes</v>
      </c>
      <c r="Q1355" s="143"/>
      <c r="S1355" s="123" t="s">
        <v>3004</v>
      </c>
      <c r="T1355" s="205" t="s">
        <v>3070</v>
      </c>
      <c r="U1355" s="145" t="str">
        <f>VLOOKUP(H1355,Stock_list!A:N,14,FALSE)</f>
        <v>APR 19</v>
      </c>
    </row>
    <row r="1356" spans="1:21" ht="16.5" customHeight="1">
      <c r="A1356" s="159" t="s">
        <v>2760</v>
      </c>
      <c r="B1356" s="114" t="str">
        <f>VLOOKUP(A1356,'Data pick slip'!B:F,5,FALSE)</f>
        <v>KLJ-MC700-00</v>
      </c>
      <c r="F1356" s="157" t="s">
        <v>2773</v>
      </c>
      <c r="H1356" s="138">
        <v>252</v>
      </c>
      <c r="I1356" s="139" t="str">
        <f>VLOOKUP(H1356,Stock_list!A:R,18,FALSE)</f>
        <v>魔乐视/end user:拓普赛特</v>
      </c>
      <c r="J1356" s="139" t="str">
        <f>VLOOKUP(H1356,Stock_list!A:S,17,FALSE)</f>
        <v>C49SZX20190027MZ</v>
      </c>
      <c r="K1356" s="51" t="str">
        <f>VLOOKUP(H1356,Stock_list!A:T,16,FALSE)</f>
        <v>JPY</v>
      </c>
      <c r="L1356" s="4">
        <v>43572</v>
      </c>
      <c r="M1356" s="132">
        <v>1</v>
      </c>
      <c r="P1356" s="4" t="str">
        <f>VLOOKUP(H1356,Stock_list!A:Y,25,FALSE)</f>
        <v>Yes</v>
      </c>
      <c r="Q1356" s="143"/>
      <c r="S1356" s="123" t="s">
        <v>3004</v>
      </c>
      <c r="T1356" s="205" t="s">
        <v>3070</v>
      </c>
      <c r="U1356" s="145" t="str">
        <f>VLOOKUP(H1356,Stock_list!A:N,14,FALSE)</f>
        <v>APR 19</v>
      </c>
    </row>
    <row r="1357" spans="1:21" ht="16.5" customHeight="1">
      <c r="A1357" s="159" t="s">
        <v>2755</v>
      </c>
      <c r="B1357" s="114" t="str">
        <f>VLOOKUP(A1357,'Data pick slip'!B:F,5,FALSE)</f>
        <v>KLJ-MC100-00</v>
      </c>
      <c r="F1357" s="157" t="s">
        <v>2862</v>
      </c>
      <c r="H1357" s="138">
        <v>460</v>
      </c>
      <c r="I1357" s="139" t="str">
        <f>VLOOKUP(H1357,Stock_list!A:R,18,FALSE)</f>
        <v>魔乐视/end user:拓普赛特</v>
      </c>
      <c r="J1357" s="139" t="str">
        <f>VLOOKUP(H1357,Stock_list!A:S,17,FALSE)</f>
        <v>C49SZX20190028MZR1</v>
      </c>
      <c r="K1357" s="51" t="str">
        <f>VLOOKUP(H1357,Stock_list!A:T,16,FALSE)</f>
        <v>JPY</v>
      </c>
      <c r="L1357" s="4">
        <v>43811</v>
      </c>
      <c r="M1357" s="132">
        <v>200</v>
      </c>
      <c r="P1357" s="4" t="str">
        <f>VLOOKUP(H1357,Stock_list!A:Y,25,FALSE)</f>
        <v>Yes</v>
      </c>
      <c r="Q1357" s="143"/>
      <c r="T1357" s="144"/>
      <c r="U1357" s="145" t="str">
        <f>VLOOKUP(H1357,Stock_list!A:N,14,FALSE)</f>
        <v>DEC 19</v>
      </c>
    </row>
    <row r="1358" spans="1:21" ht="16.5" customHeight="1">
      <c r="A1358" s="159" t="s">
        <v>2756</v>
      </c>
      <c r="B1358" s="114" t="str">
        <f>VLOOKUP(A1358,'Data pick slip'!B:F,5,FALSE)</f>
        <v>KLJ-MC200-00</v>
      </c>
      <c r="F1358" s="157" t="s">
        <v>2862</v>
      </c>
      <c r="H1358" s="138">
        <v>460</v>
      </c>
      <c r="I1358" s="139" t="str">
        <f>VLOOKUP(H1358,Stock_list!A:R,18,FALSE)</f>
        <v>魔乐视/end user:拓普赛特</v>
      </c>
      <c r="J1358" s="139" t="str">
        <f>VLOOKUP(H1358,Stock_list!A:S,17,FALSE)</f>
        <v>C49SZX20190028MZR1</v>
      </c>
      <c r="K1358" s="51" t="str">
        <f>VLOOKUP(H1358,Stock_list!A:T,16,FALSE)</f>
        <v>JPY</v>
      </c>
      <c r="L1358" s="4">
        <v>43811</v>
      </c>
      <c r="M1358" s="132">
        <v>30</v>
      </c>
      <c r="P1358" s="4" t="str">
        <f>VLOOKUP(H1358,Stock_list!A:Y,25,FALSE)</f>
        <v>Yes</v>
      </c>
      <c r="T1358" s="144"/>
      <c r="U1358" s="145" t="str">
        <f>VLOOKUP(H1358,Stock_list!A:N,14,FALSE)</f>
        <v>DEC 19</v>
      </c>
    </row>
    <row r="1359" spans="1:21" ht="16.5" customHeight="1">
      <c r="A1359" s="159" t="s">
        <v>2757</v>
      </c>
      <c r="B1359" s="114" t="str">
        <f>VLOOKUP(A1359,'Data pick slip'!B:F,5,FALSE)</f>
        <v>KLJ-MC400-00</v>
      </c>
      <c r="F1359" s="157" t="s">
        <v>2862</v>
      </c>
      <c r="H1359" s="138">
        <v>460</v>
      </c>
      <c r="I1359" s="139" t="str">
        <f>VLOOKUP(H1359,Stock_list!A:R,18,FALSE)</f>
        <v>魔乐视/end user:拓普赛特</v>
      </c>
      <c r="J1359" s="139" t="str">
        <f>VLOOKUP(H1359,Stock_list!A:S,17,FALSE)</f>
        <v>C49SZX20190028MZR1</v>
      </c>
      <c r="K1359" s="51" t="str">
        <f>VLOOKUP(H1359,Stock_list!A:T,16,FALSE)</f>
        <v>JPY</v>
      </c>
      <c r="L1359" s="4">
        <v>43811</v>
      </c>
      <c r="M1359" s="132">
        <v>12</v>
      </c>
      <c r="P1359" s="4" t="str">
        <f>VLOOKUP(H1359,Stock_list!A:Y,25,FALSE)</f>
        <v>Yes</v>
      </c>
      <c r="Q1359" s="143"/>
      <c r="T1359" s="144"/>
      <c r="U1359" s="145" t="str">
        <f>VLOOKUP(H1359,Stock_list!A:N,14,FALSE)</f>
        <v>DEC 19</v>
      </c>
    </row>
    <row r="1360" spans="1:21" ht="16.5" customHeight="1">
      <c r="A1360" s="159" t="s">
        <v>2758</v>
      </c>
      <c r="B1360" s="114" t="str">
        <f>VLOOKUP(A1360,'Data pick slip'!B:F,5,FALSE)</f>
        <v>KLJ-MC500-00</v>
      </c>
      <c r="F1360" s="157" t="s">
        <v>2862</v>
      </c>
      <c r="H1360" s="138">
        <v>460</v>
      </c>
      <c r="I1360" s="139" t="str">
        <f>VLOOKUP(H1360,Stock_list!A:R,18,FALSE)</f>
        <v>魔乐视/end user:拓普赛特</v>
      </c>
      <c r="J1360" s="139" t="str">
        <f>VLOOKUP(H1360,Stock_list!A:S,17,FALSE)</f>
        <v>C49SZX20190028MZR1</v>
      </c>
      <c r="K1360" s="51" t="str">
        <f>VLOOKUP(H1360,Stock_list!A:T,16,FALSE)</f>
        <v>JPY</v>
      </c>
      <c r="L1360" s="4">
        <v>43811</v>
      </c>
      <c r="M1360" s="132">
        <v>4</v>
      </c>
      <c r="P1360" s="4" t="str">
        <f>VLOOKUP(H1360,Stock_list!A:Y,25,FALSE)</f>
        <v>Yes</v>
      </c>
      <c r="Q1360" s="143"/>
      <c r="T1360" s="144"/>
      <c r="U1360" s="145" t="str">
        <f>VLOOKUP(H1360,Stock_list!A:N,14,FALSE)</f>
        <v>DEC 19</v>
      </c>
    </row>
    <row r="1361" spans="1:21" ht="16.5" customHeight="1">
      <c r="A1361" s="159" t="s">
        <v>2755</v>
      </c>
      <c r="B1361" s="114" t="str">
        <f>VLOOKUP(A1361,'Data pick slip'!B:F,5,FALSE)</f>
        <v>KLJ-MC100-00</v>
      </c>
      <c r="F1361" s="157" t="s">
        <v>2862</v>
      </c>
      <c r="H1361" s="138">
        <v>263</v>
      </c>
      <c r="I1361" s="139" t="str">
        <f>VLOOKUP(H1361,Stock_list!A:R,18,FALSE)</f>
        <v>恒泰创新</v>
      </c>
      <c r="J1361" s="139" t="str">
        <f>VLOOKUP(H1361,Stock_list!A:S,17,FALSE)</f>
        <v>C49SZX20190035ZX</v>
      </c>
      <c r="K1361" s="51" t="str">
        <f>VLOOKUP(H1361,Stock_list!A:T,16,FALSE)</f>
        <v>JPY</v>
      </c>
      <c r="L1361" s="4">
        <v>43580</v>
      </c>
      <c r="M1361" s="132">
        <v>55</v>
      </c>
      <c r="P1361" s="4" t="str">
        <f>VLOOKUP(H1361,Stock_list!A:Y,25,FALSE)</f>
        <v>Yes</v>
      </c>
      <c r="Q1361" s="143"/>
      <c r="T1361" s="144"/>
      <c r="U1361" s="145" t="str">
        <f>VLOOKUP(H1361,Stock_list!A:N,14,FALSE)</f>
        <v>APR 19</v>
      </c>
    </row>
    <row r="1362" spans="1:21" ht="16.5" customHeight="1">
      <c r="A1362" s="159" t="s">
        <v>2755</v>
      </c>
      <c r="B1362" s="114" t="str">
        <f>VLOOKUP(A1362,'Data pick slip'!B:F,5,FALSE)</f>
        <v>KLJ-MC100-00</v>
      </c>
      <c r="F1362" s="157" t="s">
        <v>2773</v>
      </c>
      <c r="H1362" s="138">
        <v>263</v>
      </c>
      <c r="I1362" s="139" t="str">
        <f>VLOOKUP(H1362,Stock_list!A:R,18,FALSE)</f>
        <v>恒泰创新</v>
      </c>
      <c r="J1362" s="139" t="str">
        <f>VLOOKUP(H1362,Stock_list!A:S,17,FALSE)</f>
        <v>C49SZX20190035ZX</v>
      </c>
      <c r="K1362" s="51" t="str">
        <f>VLOOKUP(H1362,Stock_list!A:T,16,FALSE)</f>
        <v>JPY</v>
      </c>
      <c r="L1362" s="4">
        <v>43580</v>
      </c>
      <c r="M1362" s="132">
        <v>5</v>
      </c>
      <c r="P1362" s="4" t="str">
        <f>VLOOKUP(H1362,Stock_list!A:Y,25,FALSE)</f>
        <v>Yes</v>
      </c>
      <c r="Q1362" s="143"/>
      <c r="S1362" s="123" t="s">
        <v>3004</v>
      </c>
      <c r="T1362" s="205" t="s">
        <v>3071</v>
      </c>
      <c r="U1362" s="145" t="str">
        <f>VLOOKUP(H1362,Stock_list!A:N,14,FALSE)</f>
        <v>APR 19</v>
      </c>
    </row>
    <row r="1363" spans="1:21" ht="16.5" customHeight="1">
      <c r="A1363" s="159" t="s">
        <v>2756</v>
      </c>
      <c r="B1363" s="114" t="str">
        <f>VLOOKUP(A1363,'Data pick slip'!B:F,5,FALSE)</f>
        <v>KLJ-MC200-00</v>
      </c>
      <c r="F1363" s="157" t="s">
        <v>2773</v>
      </c>
      <c r="H1363" s="138">
        <v>263</v>
      </c>
      <c r="I1363" s="139" t="str">
        <f>VLOOKUP(H1363,Stock_list!A:R,18,FALSE)</f>
        <v>恒泰创新</v>
      </c>
      <c r="J1363" s="139" t="str">
        <f>VLOOKUP(H1363,Stock_list!A:S,17,FALSE)</f>
        <v>C49SZX20190035ZX</v>
      </c>
      <c r="K1363" s="51" t="str">
        <f>VLOOKUP(H1363,Stock_list!A:T,16,FALSE)</f>
        <v>JPY</v>
      </c>
      <c r="L1363" s="4">
        <v>43580</v>
      </c>
      <c r="M1363" s="132">
        <v>8</v>
      </c>
      <c r="P1363" s="4" t="str">
        <f>VLOOKUP(H1363,Stock_list!A:Y,25,FALSE)</f>
        <v>Yes</v>
      </c>
      <c r="S1363" s="123" t="s">
        <v>3004</v>
      </c>
      <c r="T1363" s="205" t="s">
        <v>3072</v>
      </c>
      <c r="U1363" s="145" t="str">
        <f>VLOOKUP(H1363,Stock_list!A:N,14,FALSE)</f>
        <v>APR 19</v>
      </c>
    </row>
    <row r="1364" spans="1:21" ht="16.5" customHeight="1">
      <c r="A1364" s="159" t="s">
        <v>2757</v>
      </c>
      <c r="B1364" s="114" t="str">
        <f>VLOOKUP(A1364,'Data pick slip'!B:F,5,FALSE)</f>
        <v>KLJ-MC400-00</v>
      </c>
      <c r="F1364" s="157" t="s">
        <v>2773</v>
      </c>
      <c r="H1364" s="138">
        <v>263</v>
      </c>
      <c r="I1364" s="139" t="str">
        <f>VLOOKUP(H1364,Stock_list!A:R,18,FALSE)</f>
        <v>恒泰创新</v>
      </c>
      <c r="J1364" s="139" t="str">
        <f>VLOOKUP(H1364,Stock_list!A:S,17,FALSE)</f>
        <v>C49SZX20190035ZX</v>
      </c>
      <c r="K1364" s="51" t="str">
        <f>VLOOKUP(H1364,Stock_list!A:T,16,FALSE)</f>
        <v>JPY</v>
      </c>
      <c r="L1364" s="4">
        <v>43580</v>
      </c>
      <c r="M1364" s="132">
        <v>2</v>
      </c>
      <c r="P1364" s="4" t="str">
        <f>VLOOKUP(H1364,Stock_list!A:Y,25,FALSE)</f>
        <v>Yes</v>
      </c>
      <c r="Q1364" s="143"/>
      <c r="S1364" s="123" t="s">
        <v>3004</v>
      </c>
      <c r="T1364" s="205" t="s">
        <v>3073</v>
      </c>
      <c r="U1364" s="145" t="str">
        <f>VLOOKUP(H1364,Stock_list!A:N,14,FALSE)</f>
        <v>APR 19</v>
      </c>
    </row>
    <row r="1365" spans="1:21" ht="16.5" customHeight="1">
      <c r="A1365" s="159" t="s">
        <v>2744</v>
      </c>
      <c r="B1365" s="114" t="str">
        <f>VLOOKUP(A1365,'Data pick slip'!B:F,5,FALSE)</f>
        <v>KHJ-MC100-00</v>
      </c>
      <c r="F1365" s="157" t="s">
        <v>2862</v>
      </c>
      <c r="H1365" s="138">
        <v>265</v>
      </c>
      <c r="I1365" s="139" t="str">
        <f>VLOOKUP(H1365,Stock_list!A:R,18,FALSE)</f>
        <v>凌鑫</v>
      </c>
      <c r="J1365" s="139" t="str">
        <f>VLOOKUP(H1365,Stock_list!A:S,17,FALSE)</f>
        <v>C49SZX20190032SX</v>
      </c>
      <c r="K1365" s="51" t="str">
        <f>VLOOKUP(H1365,Stock_list!A:T,16,FALSE)</f>
        <v>JPY</v>
      </c>
      <c r="L1365" s="4">
        <v>43558</v>
      </c>
      <c r="M1365" s="132">
        <v>45</v>
      </c>
      <c r="N1365" s="149"/>
      <c r="P1365" s="4" t="str">
        <f>VLOOKUP(H1365,Stock_list!A:Y,25,FALSE)</f>
        <v>Yes</v>
      </c>
      <c r="Q1365" s="143"/>
      <c r="T1365" s="144"/>
      <c r="U1365" s="145" t="str">
        <f>VLOOKUP(H1365,Stock_list!A:N,14,FALSE)</f>
        <v>APR 19</v>
      </c>
    </row>
    <row r="1366" spans="1:21" ht="16.5" customHeight="1">
      <c r="A1366" s="159" t="s">
        <v>2747</v>
      </c>
      <c r="B1366" s="114" t="str">
        <f>VLOOKUP(A1366,'Data pick slip'!B:F,5,FALSE)</f>
        <v>KHJ-MC200-00</v>
      </c>
      <c r="F1366" s="157" t="s">
        <v>2862</v>
      </c>
      <c r="H1366" s="138">
        <v>265</v>
      </c>
      <c r="I1366" s="139" t="str">
        <f>VLOOKUP(H1366,Stock_list!A:R,18,FALSE)</f>
        <v>凌鑫</v>
      </c>
      <c r="J1366" s="139" t="str">
        <f>VLOOKUP(H1366,Stock_list!A:S,17,FALSE)</f>
        <v>C49SZX20190032SX</v>
      </c>
      <c r="K1366" s="51" t="str">
        <f>VLOOKUP(H1366,Stock_list!A:T,16,FALSE)</f>
        <v>JPY</v>
      </c>
      <c r="L1366" s="4">
        <v>43558</v>
      </c>
      <c r="M1366" s="132">
        <v>5</v>
      </c>
      <c r="N1366" s="149"/>
      <c r="P1366" s="4" t="str">
        <f>VLOOKUP(H1366,Stock_list!A:Y,25,FALSE)</f>
        <v>Yes</v>
      </c>
      <c r="Q1366" s="143"/>
      <c r="T1366" s="144"/>
      <c r="U1366" s="145" t="str">
        <f>VLOOKUP(H1366,Stock_list!A:N,14,FALSE)</f>
        <v>APR 19</v>
      </c>
    </row>
    <row r="1367" spans="1:21" ht="16.5" customHeight="1">
      <c r="A1367" s="159" t="s">
        <v>2756</v>
      </c>
      <c r="B1367" s="114" t="str">
        <f>VLOOKUP(A1367,'Data pick slip'!B:F,5,FALSE)</f>
        <v>KLJ-MC200-00</v>
      </c>
      <c r="F1367" s="157" t="s">
        <v>2773</v>
      </c>
      <c r="H1367" s="138">
        <v>267</v>
      </c>
      <c r="I1367" s="139" t="str">
        <f>VLOOKUP(H1367,Stock_list!A:R,18,FALSE)</f>
        <v>永顺创</v>
      </c>
      <c r="J1367" s="139" t="str">
        <f>VLOOKUP(H1367,Stock_list!A:S,17,FALSE)</f>
        <v>C49SZX20190046SX</v>
      </c>
      <c r="K1367" s="51" t="str">
        <f>VLOOKUP(H1367,Stock_list!A:T,16,FALSE)</f>
        <v>JPY</v>
      </c>
      <c r="L1367" s="4">
        <v>43553</v>
      </c>
      <c r="M1367" s="132">
        <v>10</v>
      </c>
      <c r="P1367" s="4" t="str">
        <f>VLOOKUP(H1367,Stock_list!A:Y,25,FALSE)</f>
        <v>Yes</v>
      </c>
      <c r="S1367" s="123" t="s">
        <v>3004</v>
      </c>
      <c r="T1367" s="205" t="s">
        <v>3074</v>
      </c>
      <c r="U1367" s="145" t="str">
        <f>VLOOKUP(H1367,Stock_list!A:N,14,FALSE)</f>
        <v>APR 19</v>
      </c>
    </row>
    <row r="1368" spans="1:21" ht="16.5" customHeight="1">
      <c r="A1368" s="159" t="s">
        <v>3075</v>
      </c>
      <c r="B1368" s="114" t="str">
        <f>VLOOKUP(A1368,'Data pick slip'!B:F,5,FALSE)</f>
        <v>KLJ-MC100-00</v>
      </c>
      <c r="F1368" s="157" t="s">
        <v>2773</v>
      </c>
      <c r="H1368" s="138">
        <v>267</v>
      </c>
      <c r="I1368" s="139" t="str">
        <f>VLOOKUP(H1368,Stock_list!A:R,18,FALSE)</f>
        <v>永顺创</v>
      </c>
      <c r="J1368" s="139" t="str">
        <f>VLOOKUP(H1368,Stock_list!A:S,17,FALSE)</f>
        <v>C49SZX20190046SX</v>
      </c>
      <c r="K1368" s="51" t="str">
        <f>VLOOKUP(H1368,Stock_list!A:T,16,FALSE)</f>
        <v>JPY</v>
      </c>
      <c r="L1368" s="4">
        <v>43553</v>
      </c>
      <c r="M1368" s="132">
        <v>5</v>
      </c>
      <c r="P1368" s="4" t="str">
        <f>VLOOKUP(H1368,Stock_list!A:Y,25,FALSE)</f>
        <v>Yes</v>
      </c>
      <c r="Q1368" s="143"/>
      <c r="S1368" s="123" t="s">
        <v>3004</v>
      </c>
      <c r="T1368" s="205" t="s">
        <v>3076</v>
      </c>
      <c r="U1368" s="145" t="str">
        <f>VLOOKUP(H1368,Stock_list!A:N,14,FALSE)</f>
        <v>APR 19</v>
      </c>
    </row>
    <row r="1369" spans="1:21" ht="16.5" customHeight="1">
      <c r="A1369" s="159" t="s">
        <v>2755</v>
      </c>
      <c r="B1369" s="114" t="str">
        <f>VLOOKUP(A1369,'Data pick slip'!B:F,5,FALSE)</f>
        <v>KLJ-MC100-00</v>
      </c>
      <c r="F1369" s="157" t="s">
        <v>2862</v>
      </c>
      <c r="H1369" s="138">
        <v>268</v>
      </c>
      <c r="I1369" s="139" t="str">
        <f>VLOOKUP(H1369,Stock_list!A:R,18,FALSE)</f>
        <v>兴丰源</v>
      </c>
      <c r="J1369" s="139" t="str">
        <f>VLOOKUP(H1369,Stock_list!A:S,17,FALSE)</f>
        <v>C49SZX20190045SS</v>
      </c>
      <c r="K1369" s="51" t="str">
        <f>VLOOKUP(H1369,Stock_list!A:T,16,FALSE)</f>
        <v>JPY</v>
      </c>
      <c r="L1369" s="4">
        <v>43551</v>
      </c>
      <c r="M1369" s="132">
        <v>50</v>
      </c>
      <c r="P1369" s="4" t="str">
        <f>VLOOKUP(H1369,Stock_list!A:Y,25,FALSE)</f>
        <v>Yes</v>
      </c>
      <c r="Q1369" s="143"/>
      <c r="T1369" s="144"/>
      <c r="U1369" s="145" t="str">
        <f>VLOOKUP(H1369,Stock_list!A:N,14,FALSE)</f>
        <v>MAR 19</v>
      </c>
    </row>
    <row r="1370" spans="1:21" ht="16.5" customHeight="1">
      <c r="A1370" s="159" t="s">
        <v>2744</v>
      </c>
      <c r="B1370" s="114" t="str">
        <f>VLOOKUP(A1370,'Data pick slip'!B:F,5,FALSE)</f>
        <v>KHJ-MC100-00</v>
      </c>
      <c r="F1370" s="157" t="s">
        <v>2862</v>
      </c>
      <c r="H1370" s="138">
        <v>268</v>
      </c>
      <c r="I1370" s="139" t="str">
        <f>VLOOKUP(H1370,Stock_list!A:R,18,FALSE)</f>
        <v>兴丰源</v>
      </c>
      <c r="J1370" s="139" t="str">
        <f>VLOOKUP(H1370,Stock_list!A:S,17,FALSE)</f>
        <v>C49SZX20190045SS</v>
      </c>
      <c r="K1370" s="51" t="str">
        <f>VLOOKUP(H1370,Stock_list!A:T,16,FALSE)</f>
        <v>JPY</v>
      </c>
      <c r="L1370" s="4">
        <v>43551</v>
      </c>
      <c r="M1370" s="132">
        <v>2</v>
      </c>
      <c r="P1370" s="4" t="str">
        <f>VLOOKUP(H1370,Stock_list!A:Y,25,FALSE)</f>
        <v>Yes</v>
      </c>
      <c r="Q1370" s="143"/>
      <c r="T1370" s="144"/>
      <c r="U1370" s="145" t="str">
        <f>VLOOKUP(H1370,Stock_list!A:N,14,FALSE)</f>
        <v>MAR 19</v>
      </c>
    </row>
    <row r="1371" spans="1:21" ht="16.5" customHeight="1">
      <c r="A1371" s="159" t="s">
        <v>2747</v>
      </c>
      <c r="B1371" s="114" t="str">
        <f>VLOOKUP(A1371,'Data pick slip'!B:F,5,FALSE)</f>
        <v>KHJ-MC200-00</v>
      </c>
      <c r="F1371" s="157" t="s">
        <v>2862</v>
      </c>
      <c r="H1371" s="138">
        <v>268</v>
      </c>
      <c r="I1371" s="139" t="str">
        <f>VLOOKUP(H1371,Stock_list!A:R,18,FALSE)</f>
        <v>兴丰源</v>
      </c>
      <c r="J1371" s="139" t="str">
        <f>VLOOKUP(H1371,Stock_list!A:S,17,FALSE)</f>
        <v>C49SZX20190045SS</v>
      </c>
      <c r="K1371" s="51" t="str">
        <f>VLOOKUP(H1371,Stock_list!A:T,16,FALSE)</f>
        <v>JPY</v>
      </c>
      <c r="L1371" s="4">
        <v>43551</v>
      </c>
      <c r="M1371" s="132">
        <v>1</v>
      </c>
      <c r="P1371" s="4" t="str">
        <f>VLOOKUP(H1371,Stock_list!A:Y,25,FALSE)</f>
        <v>Yes</v>
      </c>
      <c r="Q1371" s="143"/>
      <c r="T1371" s="144"/>
      <c r="U1371" s="145" t="str">
        <f>VLOOKUP(H1371,Stock_list!A:N,14,FALSE)</f>
        <v>MAR 19</v>
      </c>
    </row>
    <row r="1372" spans="1:21" ht="27" customHeight="1">
      <c r="A1372" s="159" t="s">
        <v>2744</v>
      </c>
      <c r="B1372" s="114" t="str">
        <f>VLOOKUP(A1372,'Data pick slip'!B:F,5,FALSE)</f>
        <v>KHJ-MC100-00</v>
      </c>
      <c r="F1372" s="157" t="s">
        <v>2862</v>
      </c>
      <c r="H1372" s="138">
        <v>273</v>
      </c>
      <c r="I1372" s="139" t="str">
        <f>VLOOKUP(H1372,Stock_list!A:R,18,FALSE)</f>
        <v>微力创/end user 昶达</v>
      </c>
      <c r="J1372" s="139" t="str">
        <f>VLOOKUP(H1372,Stock_list!A:S,17,FALSE)</f>
        <v>C49SZX20190041JL</v>
      </c>
      <c r="K1372" s="51" t="str">
        <f>VLOOKUP(H1372,Stock_list!A:T,16,FALSE)</f>
        <v>JPY</v>
      </c>
      <c r="L1372" s="4">
        <v>43599</v>
      </c>
      <c r="M1372" s="132">
        <v>50</v>
      </c>
      <c r="P1372" s="4" t="str">
        <f>VLOOKUP(H1372,Stock_list!A:Y,25,FALSE)</f>
        <v>Yes</v>
      </c>
      <c r="Q1372" s="143"/>
      <c r="T1372" s="144"/>
      <c r="U1372" s="145" t="str">
        <f>VLOOKUP(H1372,Stock_list!A:N,14,FALSE)</f>
        <v>MAY 19</v>
      </c>
    </row>
    <row r="1373" spans="1:21" ht="27" customHeight="1">
      <c r="A1373" s="159" t="s">
        <v>2747</v>
      </c>
      <c r="B1373" s="114" t="str">
        <f>VLOOKUP(A1373,'Data pick slip'!B:F,5,FALSE)</f>
        <v>KHJ-MC200-00</v>
      </c>
      <c r="F1373" s="157" t="s">
        <v>2862</v>
      </c>
      <c r="H1373" s="138">
        <v>273</v>
      </c>
      <c r="I1373" s="139" t="str">
        <f>VLOOKUP(H1373,Stock_list!A:R,18,FALSE)</f>
        <v>微力创/end user 昶达</v>
      </c>
      <c r="J1373" s="139" t="str">
        <f>VLOOKUP(H1373,Stock_list!A:S,17,FALSE)</f>
        <v>C49SZX20190041JL</v>
      </c>
      <c r="K1373" s="51" t="str">
        <f>VLOOKUP(H1373,Stock_list!A:T,16,FALSE)</f>
        <v>JPY</v>
      </c>
      <c r="L1373" s="4">
        <v>43599</v>
      </c>
      <c r="M1373" s="132">
        <v>10</v>
      </c>
      <c r="P1373" s="4" t="str">
        <f>VLOOKUP(H1373,Stock_list!A:Y,25,FALSE)</f>
        <v>Yes</v>
      </c>
      <c r="Q1373" s="143"/>
      <c r="T1373" s="144"/>
      <c r="U1373" s="145" t="str">
        <f>VLOOKUP(H1373,Stock_list!A:N,14,FALSE)</f>
        <v>MAY 19</v>
      </c>
    </row>
    <row r="1374" spans="1:21" ht="27" customHeight="1">
      <c r="A1374" s="159" t="s">
        <v>2748</v>
      </c>
      <c r="B1374" s="114" t="str">
        <f>VLOOKUP(A1374,'Data pick slip'!B:F,5,FALSE)</f>
        <v>KHJ-MC400-00</v>
      </c>
      <c r="F1374" s="157" t="s">
        <v>2862</v>
      </c>
      <c r="H1374" s="138">
        <v>273</v>
      </c>
      <c r="I1374" s="139" t="str">
        <f>VLOOKUP(H1374,Stock_list!A:R,18,FALSE)</f>
        <v>微力创/end user 昶达</v>
      </c>
      <c r="J1374" s="139" t="str">
        <f>VLOOKUP(H1374,Stock_list!A:S,17,FALSE)</f>
        <v>C49SZX20190041JL</v>
      </c>
      <c r="K1374" s="51" t="str">
        <f>VLOOKUP(H1374,Stock_list!A:T,16,FALSE)</f>
        <v>JPY</v>
      </c>
      <c r="L1374" s="4">
        <v>43599</v>
      </c>
      <c r="M1374" s="132">
        <v>4</v>
      </c>
      <c r="P1374" s="4" t="str">
        <f>VLOOKUP(H1374,Stock_list!A:Y,25,FALSE)</f>
        <v>Yes</v>
      </c>
      <c r="Q1374" s="143"/>
      <c r="T1374" s="144"/>
      <c r="U1374" s="145" t="str">
        <f>VLOOKUP(H1374,Stock_list!A:N,14,FALSE)</f>
        <v>MAY 19</v>
      </c>
    </row>
    <row r="1375" spans="1:21" ht="16.5" customHeight="1">
      <c r="A1375" s="159" t="s">
        <v>2750</v>
      </c>
      <c r="B1375" s="114" t="str">
        <f>VLOOKUP(A1375,'Data pick slip'!B:F,5,FALSE)</f>
        <v>KHJ-MC600-00</v>
      </c>
      <c r="F1375" s="157" t="s">
        <v>2773</v>
      </c>
      <c r="I1375" s="139" t="s">
        <v>2854</v>
      </c>
      <c r="J1375" s="139" t="s">
        <v>3077</v>
      </c>
      <c r="K1375" s="51" t="s">
        <v>3003</v>
      </c>
      <c r="L1375" s="4">
        <v>43551</v>
      </c>
      <c r="M1375" s="140">
        <v>1</v>
      </c>
      <c r="P1375" s="4" t="s">
        <v>291</v>
      </c>
      <c r="Q1375" s="143"/>
      <c r="S1375" s="123" t="s">
        <v>3004</v>
      </c>
      <c r="T1375" s="144" t="s">
        <v>3078</v>
      </c>
      <c r="U1375" s="145" t="e">
        <f>VLOOKUP(H1375,Stock_list!A:N,14,FALSE)</f>
        <v>#N/A</v>
      </c>
    </row>
    <row r="1376" spans="1:21" ht="16.5" customHeight="1">
      <c r="A1376" s="159" t="s">
        <v>2755</v>
      </c>
      <c r="B1376" s="114" t="str">
        <f>VLOOKUP(A1376,'Data pick slip'!B:F,5,FALSE)</f>
        <v>KLJ-MC100-00</v>
      </c>
      <c r="F1376" s="157" t="s">
        <v>2773</v>
      </c>
      <c r="H1376" s="138">
        <v>275</v>
      </c>
      <c r="I1376" s="139" t="str">
        <f>VLOOKUP(H1376,Stock_list!A:R,18,FALSE)</f>
        <v>卡迪圣</v>
      </c>
      <c r="J1376" s="139" t="str">
        <f>VLOOKUP(H1376,Stock_list!A:S,17,FALSE)</f>
        <v>C49SZX20190047SS</v>
      </c>
      <c r="K1376" s="51" t="str">
        <f>VLOOKUP(H1376,Stock_list!A:T,16,FALSE)</f>
        <v>JPY</v>
      </c>
      <c r="L1376" s="4">
        <v>43566</v>
      </c>
      <c r="M1376" s="132">
        <v>10</v>
      </c>
      <c r="P1376" s="4" t="str">
        <f>VLOOKUP(H1376,Stock_list!A:Y,25,FALSE)</f>
        <v>Yes</v>
      </c>
      <c r="Q1376" s="143"/>
      <c r="S1376" s="123" t="s">
        <v>3004</v>
      </c>
      <c r="T1376" s="205" t="s">
        <v>3079</v>
      </c>
      <c r="U1376" s="145" t="str">
        <f>VLOOKUP(H1376,Stock_list!A:N,14,FALSE)</f>
        <v>APR 19</v>
      </c>
    </row>
    <row r="1377" spans="1:21" ht="16.5" customHeight="1">
      <c r="A1377" s="159" t="s">
        <v>2744</v>
      </c>
      <c r="B1377" s="114" t="str">
        <f>VLOOKUP(A1377,'Data pick slip'!B:F,5,FALSE)</f>
        <v>KHJ-MC100-00</v>
      </c>
      <c r="F1377" s="157" t="s">
        <v>2773</v>
      </c>
      <c r="H1377" s="138">
        <v>275</v>
      </c>
      <c r="I1377" s="139" t="str">
        <f>VLOOKUP(H1377,Stock_list!A:R,18,FALSE)</f>
        <v>卡迪圣</v>
      </c>
      <c r="J1377" s="139" t="str">
        <f>VLOOKUP(H1377,Stock_list!A:S,17,FALSE)</f>
        <v>C49SZX20190047SS</v>
      </c>
      <c r="K1377" s="51" t="str">
        <f>VLOOKUP(H1377,Stock_list!A:T,16,FALSE)</f>
        <v>JPY</v>
      </c>
      <c r="L1377" s="4">
        <v>43566</v>
      </c>
      <c r="M1377" s="132">
        <v>2</v>
      </c>
      <c r="P1377" s="4" t="str">
        <f>VLOOKUP(H1377,Stock_list!A:Y,25,FALSE)</f>
        <v>Yes</v>
      </c>
      <c r="Q1377" s="143"/>
      <c r="S1377" s="123" t="s">
        <v>3004</v>
      </c>
      <c r="T1377" s="205" t="s">
        <v>3080</v>
      </c>
      <c r="U1377" s="145" t="str">
        <f>VLOOKUP(H1377,Stock_list!A:N,14,FALSE)</f>
        <v>APR 19</v>
      </c>
    </row>
    <row r="1378" spans="1:21" ht="16.5" customHeight="1">
      <c r="A1378" s="159" t="s">
        <v>3060</v>
      </c>
      <c r="B1378" s="114" t="s">
        <v>3081</v>
      </c>
      <c r="F1378" s="157" t="s">
        <v>2773</v>
      </c>
      <c r="H1378" s="138">
        <v>275</v>
      </c>
      <c r="I1378" s="139" t="str">
        <f>VLOOKUP(H1378,Stock_list!A:R,18,FALSE)</f>
        <v>卡迪圣</v>
      </c>
      <c r="J1378" s="139" t="str">
        <f>VLOOKUP(H1378,Stock_list!A:S,17,FALSE)</f>
        <v>C49SZX20190047SS</v>
      </c>
      <c r="K1378" s="51" t="str">
        <f>VLOOKUP(H1378,Stock_list!A:T,16,FALSE)</f>
        <v>JPY</v>
      </c>
      <c r="L1378" s="4">
        <v>43566</v>
      </c>
      <c r="M1378" s="132">
        <v>1</v>
      </c>
      <c r="P1378" s="4" t="str">
        <f>VLOOKUP(H1378,Stock_list!A:Y,25,FALSE)</f>
        <v>Yes</v>
      </c>
      <c r="Q1378" s="143"/>
      <c r="S1378" s="123" t="s">
        <v>3004</v>
      </c>
      <c r="T1378" s="205" t="s">
        <v>3082</v>
      </c>
      <c r="U1378" s="145" t="str">
        <f>VLOOKUP(H1378,Stock_list!A:N,14,FALSE)</f>
        <v>APR 19</v>
      </c>
    </row>
    <row r="1379" spans="1:21" ht="16.5" customHeight="1">
      <c r="A1379" s="159" t="s">
        <v>2748</v>
      </c>
      <c r="B1379" s="114" t="str">
        <f>VLOOKUP(A1379,'Data pick slip'!B:F,5,FALSE)</f>
        <v>KHJ-MC400-00</v>
      </c>
      <c r="F1379" s="157" t="s">
        <v>2773</v>
      </c>
      <c r="I1379" s="139" t="s">
        <v>2854</v>
      </c>
      <c r="J1379" s="139" t="s">
        <v>3083</v>
      </c>
      <c r="K1379" s="51" t="s">
        <v>1246</v>
      </c>
      <c r="L1379" s="4">
        <v>43556</v>
      </c>
      <c r="M1379" s="140">
        <v>2</v>
      </c>
      <c r="P1379" s="4" t="s">
        <v>291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2749</v>
      </c>
      <c r="B1380" s="114" t="str">
        <f>VLOOKUP(A1380,'Data pick slip'!B:F,5,FALSE)</f>
        <v>KHJ-MC500-00</v>
      </c>
      <c r="F1380" s="157" t="s">
        <v>2773</v>
      </c>
      <c r="I1380" s="139" t="s">
        <v>2854</v>
      </c>
      <c r="J1380" s="139" t="s">
        <v>3083</v>
      </c>
      <c r="K1380" s="51" t="s">
        <v>1246</v>
      </c>
      <c r="L1380" s="4">
        <v>43556</v>
      </c>
      <c r="M1380" s="140">
        <v>1</v>
      </c>
      <c r="P1380" s="4" t="s">
        <v>291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2744</v>
      </c>
      <c r="B1381" s="114" t="str">
        <f>VLOOKUP(A1381,'Data pick slip'!B:F,5,FALSE)</f>
        <v>KHJ-MC100-00</v>
      </c>
      <c r="F1381" s="157" t="s">
        <v>2862</v>
      </c>
      <c r="H1381" s="138">
        <v>251</v>
      </c>
      <c r="I1381" s="139" t="str">
        <f>VLOOKUP(H1381,Stock_list!A:R,18,FALSE)</f>
        <v>东莞圣亨</v>
      </c>
      <c r="J1381" s="139" t="str">
        <f>VLOOKUP(H1381,Stock_list!A:S,17,FALSE)</f>
        <v>C49SZX20190029ZX</v>
      </c>
      <c r="K1381" s="51" t="str">
        <f>VLOOKUP(H1381,Stock_list!A:T,16,FALSE)</f>
        <v>JPY</v>
      </c>
      <c r="L1381" s="4">
        <v>43559</v>
      </c>
      <c r="M1381" s="140">
        <v>30</v>
      </c>
      <c r="P1381" s="4" t="str">
        <f>VLOOKUP(H1381,Stock_list!A:Y,25,FALSE)</f>
        <v>Yes</v>
      </c>
      <c r="Q1381" s="143"/>
      <c r="T1381" s="144"/>
      <c r="U1381" s="145" t="str">
        <f>VLOOKUP(H1381,Stock_list!A:N,14,FALSE)</f>
        <v>APR 19</v>
      </c>
    </row>
    <row r="1382" spans="1:21" ht="16.5" customHeight="1">
      <c r="A1382" s="159" t="s">
        <v>2744</v>
      </c>
      <c r="B1382" s="114" t="str">
        <f>VLOOKUP(A1382,'Data pick slip'!B:F,5,FALSE)</f>
        <v>KHJ-MC100-00</v>
      </c>
      <c r="F1382" s="157" t="s">
        <v>2862</v>
      </c>
      <c r="H1382" s="138">
        <v>276</v>
      </c>
      <c r="I1382" s="139" t="str">
        <f>VLOOKUP(H1382,Stock_list!A:R,18,FALSE)</f>
        <v>存封</v>
      </c>
      <c r="J1382" s="139" t="str">
        <f>VLOOKUP(H1382,Stock_list!A:S,17,FALSE)</f>
        <v>C49SZX20190049SS</v>
      </c>
      <c r="K1382" s="51" t="str">
        <f>VLOOKUP(H1382,Stock_list!A:T,16,FALSE)</f>
        <v>JPY</v>
      </c>
      <c r="L1382" s="4">
        <v>43571</v>
      </c>
      <c r="M1382" s="132">
        <v>10</v>
      </c>
      <c r="P1382" s="4" t="str">
        <f>VLOOKUP(H1382,Stock_list!A:Y,25,FALSE)</f>
        <v>Yes</v>
      </c>
      <c r="Q1382" s="143"/>
      <c r="T1382" s="144"/>
      <c r="U1382" s="145" t="str">
        <f>VLOOKUP(H1382,Stock_list!A:N,14,FALSE)</f>
        <v>APR 19</v>
      </c>
    </row>
    <row r="1383" spans="1:21" ht="16.5" customHeight="1">
      <c r="A1383" s="159" t="s">
        <v>2747</v>
      </c>
      <c r="B1383" s="114" t="str">
        <f>VLOOKUP(A1383,'Data pick slip'!B:F,5,FALSE)</f>
        <v>KHJ-MC200-00</v>
      </c>
      <c r="F1383" s="157" t="s">
        <v>2862</v>
      </c>
      <c r="H1383" s="138">
        <v>276</v>
      </c>
      <c r="I1383" s="139" t="str">
        <f>VLOOKUP(H1383,Stock_list!A:R,18,FALSE)</f>
        <v>存封</v>
      </c>
      <c r="J1383" s="139" t="str">
        <f>VLOOKUP(H1383,Stock_list!A:S,17,FALSE)</f>
        <v>C49SZX20190049SS</v>
      </c>
      <c r="K1383" s="51" t="str">
        <f>VLOOKUP(H1383,Stock_list!A:T,16,FALSE)</f>
        <v>JPY</v>
      </c>
      <c r="L1383" s="4">
        <v>43571</v>
      </c>
      <c r="M1383" s="132">
        <v>1</v>
      </c>
      <c r="P1383" s="4" t="str">
        <f>VLOOKUP(H1383,Stock_list!A:Y,25,FALSE)</f>
        <v>Yes</v>
      </c>
      <c r="Q1383" s="143"/>
      <c r="T1383" s="144"/>
      <c r="U1383" s="145" t="str">
        <f>VLOOKUP(H1383,Stock_list!A:N,14,FALSE)</f>
        <v>APR 19</v>
      </c>
    </row>
    <row r="1384" spans="1:21" ht="16.5" customHeight="1">
      <c r="A1384" s="159" t="s">
        <v>2755</v>
      </c>
      <c r="B1384" s="114" t="str">
        <f>VLOOKUP(A1384,'Data pick slip'!B:F,5,FALSE)</f>
        <v>KLJ-MC100-00</v>
      </c>
      <c r="F1384" s="157" t="s">
        <v>2862</v>
      </c>
      <c r="H1384" s="138">
        <v>277</v>
      </c>
      <c r="I1384" s="139" t="str">
        <f>VLOOKUP(H1384,Stock_list!A:R,18,FALSE)</f>
        <v>丰硕</v>
      </c>
      <c r="J1384" s="139" t="str">
        <f>VLOOKUP(H1384,Stock_list!A:S,17,FALSE)</f>
        <v>C49SZX20190043SX</v>
      </c>
      <c r="K1384" s="51" t="str">
        <f>VLOOKUP(H1384,Stock_list!A:T,16,FALSE)</f>
        <v>JPY</v>
      </c>
      <c r="L1384" s="4">
        <v>43640</v>
      </c>
      <c r="M1384" s="132">
        <v>75</v>
      </c>
      <c r="P1384" s="4" t="str">
        <f>VLOOKUP(H1384,Stock_list!A:Y,25,FALSE)</f>
        <v>Yes</v>
      </c>
      <c r="Q1384" s="143"/>
      <c r="T1384" s="144"/>
      <c r="U1384" s="145" t="str">
        <f>VLOOKUP(H1384,Stock_list!A:N,14,FALSE)</f>
        <v>JUN 19</v>
      </c>
    </row>
    <row r="1385" spans="1:21" ht="16.5" customHeight="1">
      <c r="A1385" s="159" t="s">
        <v>2744</v>
      </c>
      <c r="B1385" s="114" t="str">
        <f>VLOOKUP(A1385,'Data pick slip'!B:F,5,FALSE)</f>
        <v>KHJ-MC100-00</v>
      </c>
      <c r="F1385" s="157" t="s">
        <v>2862</v>
      </c>
      <c r="H1385" s="138">
        <v>277</v>
      </c>
      <c r="I1385" s="139" t="str">
        <f>VLOOKUP(H1385,Stock_list!A:R,18,FALSE)</f>
        <v>丰硕</v>
      </c>
      <c r="J1385" s="139" t="str">
        <f>VLOOKUP(H1385,Stock_list!A:S,17,FALSE)</f>
        <v>C49SZX20190043SX</v>
      </c>
      <c r="K1385" s="51" t="str">
        <f>VLOOKUP(H1385,Stock_list!A:T,16,FALSE)</f>
        <v>JPY</v>
      </c>
      <c r="L1385" s="4">
        <v>43640</v>
      </c>
      <c r="M1385" s="132">
        <v>2</v>
      </c>
      <c r="P1385" s="4" t="str">
        <f>VLOOKUP(H1385,Stock_list!A:Y,25,FALSE)</f>
        <v>Yes</v>
      </c>
      <c r="Q1385" s="143"/>
      <c r="T1385" s="144"/>
      <c r="U1385" s="145" t="str">
        <f>VLOOKUP(H1385,Stock_list!A:N,14,FALSE)</f>
        <v>JUN 19</v>
      </c>
    </row>
    <row r="1386" spans="1:21" ht="16.5" customHeight="1">
      <c r="A1386" s="159" t="s">
        <v>2755</v>
      </c>
      <c r="B1386" s="114" t="str">
        <f>VLOOKUP(A1386,'Data pick slip'!B:F,5,FALSE)</f>
        <v>KLJ-MC100-00</v>
      </c>
      <c r="F1386" s="157" t="s">
        <v>2862</v>
      </c>
      <c r="H1386" s="138">
        <v>277</v>
      </c>
      <c r="I1386" s="139" t="str">
        <f>VLOOKUP(H1386,Stock_list!A:R,18,FALSE)</f>
        <v>丰硕</v>
      </c>
      <c r="J1386" s="139" t="str">
        <f>VLOOKUP(H1386,Stock_list!A:S,17,FALSE)</f>
        <v>C49SZX20190043SX</v>
      </c>
      <c r="K1386" s="51" t="str">
        <f>VLOOKUP(H1386,Stock_list!A:T,16,FALSE)</f>
        <v>JPY</v>
      </c>
      <c r="L1386" s="4">
        <v>43640</v>
      </c>
      <c r="M1386" s="132">
        <v>4</v>
      </c>
      <c r="P1386" s="4" t="str">
        <f>VLOOKUP(H1386,Stock_list!A:Y,25,FALSE)</f>
        <v>Yes</v>
      </c>
      <c r="Q1386" s="143"/>
      <c r="T1386" s="144"/>
      <c r="U1386" s="145" t="str">
        <f>VLOOKUP(H1386,Stock_list!A:N,14,FALSE)</f>
        <v>JUN 19</v>
      </c>
    </row>
    <row r="1387" spans="1:21" ht="16.5" customHeight="1">
      <c r="A1387" s="159" t="s">
        <v>2756</v>
      </c>
      <c r="B1387" s="114" t="str">
        <f>VLOOKUP(A1387,'Data pick slip'!B:F,5,FALSE)</f>
        <v>KLJ-MC200-00</v>
      </c>
      <c r="F1387" s="157" t="s">
        <v>2862</v>
      </c>
      <c r="H1387" s="138">
        <v>277</v>
      </c>
      <c r="I1387" s="139" t="str">
        <f>VLOOKUP(H1387,Stock_list!A:R,18,FALSE)</f>
        <v>丰硕</v>
      </c>
      <c r="J1387" s="139" t="str">
        <f>VLOOKUP(H1387,Stock_list!A:S,17,FALSE)</f>
        <v>C49SZX20190043SX</v>
      </c>
      <c r="K1387" s="51" t="str">
        <f>VLOOKUP(H1387,Stock_list!A:T,16,FALSE)</f>
        <v>JPY</v>
      </c>
      <c r="L1387" s="4">
        <v>43640</v>
      </c>
      <c r="M1387" s="132">
        <v>6</v>
      </c>
      <c r="P1387" s="4" t="str">
        <f>VLOOKUP(H1387,Stock_list!A:Y,25,FALSE)</f>
        <v>Yes</v>
      </c>
      <c r="T1387" s="144"/>
      <c r="U1387" s="145" t="str">
        <f>VLOOKUP(H1387,Stock_list!A:N,14,FALSE)</f>
        <v>JUN 19</v>
      </c>
    </row>
    <row r="1388" spans="1:21" ht="16.5" customHeight="1">
      <c r="A1388" s="159" t="s">
        <v>2744</v>
      </c>
      <c r="B1388" s="114" t="str">
        <f>VLOOKUP(A1388,'Data pick slip'!B:F,5,FALSE)</f>
        <v>KHJ-MC100-00</v>
      </c>
      <c r="F1388" s="157" t="s">
        <v>2862</v>
      </c>
      <c r="H1388" s="138">
        <v>279</v>
      </c>
      <c r="I1388" s="139" t="str">
        <f>VLOOKUP(H1388,Stock_list!A:R,18,FALSE)</f>
        <v>世启纳</v>
      </c>
      <c r="J1388" s="139" t="str">
        <f>VLOOKUP(H1388,Stock_list!A:S,17,FALSE)</f>
        <v>C49SZX20190051SS</v>
      </c>
      <c r="K1388" s="51" t="str">
        <f>VLOOKUP(H1388,Stock_list!A:T,16,FALSE)</f>
        <v>JPY</v>
      </c>
      <c r="L1388" s="4">
        <v>43570</v>
      </c>
      <c r="M1388" s="132">
        <v>92</v>
      </c>
      <c r="P1388" s="4" t="str">
        <f>VLOOKUP(H1388,Stock_list!A:Y,25,FALSE)</f>
        <v>Yes</v>
      </c>
      <c r="Q1388" s="143"/>
      <c r="T1388" s="144"/>
      <c r="U1388" s="145" t="str">
        <f>VLOOKUP(H1388,Stock_list!A:N,14,FALSE)</f>
        <v>APR 19</v>
      </c>
    </row>
    <row r="1389" spans="1:21" ht="16.5" customHeight="1">
      <c r="A1389" s="159" t="s">
        <v>2747</v>
      </c>
      <c r="B1389" s="114" t="str">
        <f>VLOOKUP(A1389,'Data pick slip'!B:F,5,FALSE)</f>
        <v>KHJ-MC200-00</v>
      </c>
      <c r="F1389" s="157" t="s">
        <v>2862</v>
      </c>
      <c r="H1389" s="138">
        <v>279</v>
      </c>
      <c r="I1389" s="139" t="str">
        <f>VLOOKUP(H1389,Stock_list!A:R,18,FALSE)</f>
        <v>世启纳</v>
      </c>
      <c r="J1389" s="139" t="str">
        <f>VLOOKUP(H1389,Stock_list!A:S,17,FALSE)</f>
        <v>C49SZX20190051SS</v>
      </c>
      <c r="K1389" s="51" t="str">
        <f>VLOOKUP(H1389,Stock_list!A:T,16,FALSE)</f>
        <v>JPY</v>
      </c>
      <c r="L1389" s="4">
        <v>43570</v>
      </c>
      <c r="M1389" s="132">
        <v>13</v>
      </c>
      <c r="P1389" s="4" t="str">
        <f>VLOOKUP(H1389,Stock_list!A:Y,25,FALSE)</f>
        <v>Yes</v>
      </c>
      <c r="Q1389" s="143"/>
      <c r="T1389" s="144"/>
      <c r="U1389" s="145" t="str">
        <f>VLOOKUP(H1389,Stock_list!A:N,14,FALSE)</f>
        <v>APR 19</v>
      </c>
    </row>
    <row r="1390" spans="1:21" ht="16.5" customHeight="1">
      <c r="A1390" s="159" t="s">
        <v>2748</v>
      </c>
      <c r="B1390" s="114" t="str">
        <f>VLOOKUP(A1390,'Data pick slip'!B:F,5,FALSE)</f>
        <v>KHJ-MC400-00</v>
      </c>
      <c r="F1390" s="157" t="s">
        <v>2862</v>
      </c>
      <c r="H1390" s="138">
        <v>279</v>
      </c>
      <c r="I1390" s="139" t="str">
        <f>VLOOKUP(H1390,Stock_list!A:R,18,FALSE)</f>
        <v>世启纳</v>
      </c>
      <c r="J1390" s="139" t="str">
        <f>VLOOKUP(H1390,Stock_list!A:S,17,FALSE)</f>
        <v>C49SZX20190051SS</v>
      </c>
      <c r="K1390" s="51" t="str">
        <f>VLOOKUP(H1390,Stock_list!A:T,16,FALSE)</f>
        <v>JPY</v>
      </c>
      <c r="L1390" s="4">
        <v>43570</v>
      </c>
      <c r="M1390" s="132">
        <v>1</v>
      </c>
      <c r="P1390" s="4" t="str">
        <f>VLOOKUP(H1390,Stock_list!A:Y,25,FALSE)</f>
        <v>Yes</v>
      </c>
      <c r="Q1390" s="143"/>
      <c r="T1390" s="144"/>
      <c r="U1390" s="145" t="str">
        <f>VLOOKUP(H1390,Stock_list!A:N,14,FALSE)</f>
        <v>APR 19</v>
      </c>
    </row>
    <row r="1391" spans="1:21" ht="16.5" customHeight="1">
      <c r="A1391" s="159" t="s">
        <v>2748</v>
      </c>
      <c r="B1391" s="114" t="str">
        <f>VLOOKUP(A1391,'Data pick slip'!B:F,5,FALSE)</f>
        <v>KHJ-MC400-00</v>
      </c>
      <c r="F1391" s="157" t="s">
        <v>2773</v>
      </c>
      <c r="I1391" s="139" t="s">
        <v>2854</v>
      </c>
      <c r="J1391" s="139" t="s">
        <v>3084</v>
      </c>
      <c r="K1391" s="51" t="s">
        <v>1246</v>
      </c>
      <c r="L1391" s="4">
        <v>43566</v>
      </c>
      <c r="M1391" s="140">
        <v>2</v>
      </c>
      <c r="P1391" s="4" t="s">
        <v>291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2744</v>
      </c>
      <c r="B1392" s="114" t="str">
        <f>VLOOKUP(A1392,'Data pick slip'!B:F,5,FALSE)</f>
        <v>KHJ-MC100-00</v>
      </c>
      <c r="F1392" s="157" t="s">
        <v>2862</v>
      </c>
      <c r="H1392" s="138">
        <v>280</v>
      </c>
      <c r="I1392" s="139" t="str">
        <f>VLOOKUP(H1392,Stock_list!A:R,18,FALSE)</f>
        <v>乐上</v>
      </c>
      <c r="J1392" s="139" t="str">
        <f>VLOOKUP(H1392,Stock_list!A:S,17,FALSE)</f>
        <v>C49SZX20190052SS</v>
      </c>
      <c r="K1392" s="51" t="str">
        <f>VLOOKUP(H1392,Stock_list!A:T,16,FALSE)</f>
        <v>JPY</v>
      </c>
      <c r="L1392" s="4">
        <v>43580</v>
      </c>
      <c r="M1392" s="132">
        <v>60</v>
      </c>
      <c r="P1392" s="4" t="str">
        <f>VLOOKUP(H1392,Stock_list!A:Y,25,FALSE)</f>
        <v>Yes</v>
      </c>
      <c r="Q1392" s="143"/>
      <c r="T1392" s="144"/>
      <c r="U1392" s="145" t="str">
        <f>VLOOKUP(H1392,Stock_list!A:N,14,FALSE)</f>
        <v>APR 19</v>
      </c>
    </row>
    <row r="1393" spans="1:21" ht="16.5" customHeight="1">
      <c r="A1393" s="159" t="s">
        <v>2747</v>
      </c>
      <c r="B1393" s="114" t="str">
        <f>VLOOKUP(A1393,'Data pick slip'!B:F,5,FALSE)</f>
        <v>KHJ-MC200-00</v>
      </c>
      <c r="F1393" s="157" t="s">
        <v>2862</v>
      </c>
      <c r="H1393" s="138">
        <v>280</v>
      </c>
      <c r="I1393" s="139" t="str">
        <f>VLOOKUP(H1393,Stock_list!A:R,18,FALSE)</f>
        <v>乐上</v>
      </c>
      <c r="J1393" s="139" t="str">
        <f>VLOOKUP(H1393,Stock_list!A:S,17,FALSE)</f>
        <v>C49SZX20190052SS</v>
      </c>
      <c r="K1393" s="51" t="str">
        <f>VLOOKUP(H1393,Stock_list!A:T,16,FALSE)</f>
        <v>JPY</v>
      </c>
      <c r="L1393" s="4">
        <v>43580</v>
      </c>
      <c r="M1393" s="132">
        <v>21</v>
      </c>
      <c r="P1393" s="4" t="str">
        <f>VLOOKUP(H1393,Stock_list!A:Y,25,FALSE)</f>
        <v>Yes</v>
      </c>
      <c r="Q1393" s="143"/>
      <c r="T1393" s="144"/>
      <c r="U1393" s="145" t="str">
        <f>VLOOKUP(H1393,Stock_list!A:N,14,FALSE)</f>
        <v>APR 19</v>
      </c>
    </row>
    <row r="1394" spans="1:21" ht="16.5" customHeight="1">
      <c r="A1394" s="159" t="s">
        <v>2748</v>
      </c>
      <c r="B1394" s="114" t="str">
        <f>VLOOKUP(A1394,'Data pick slip'!B:F,5,FALSE)</f>
        <v>KHJ-MC400-00</v>
      </c>
      <c r="F1394" s="157" t="s">
        <v>2862</v>
      </c>
      <c r="H1394" s="138">
        <v>280</v>
      </c>
      <c r="I1394" s="139" t="str">
        <f>VLOOKUP(H1394,Stock_list!A:R,18,FALSE)</f>
        <v>乐上</v>
      </c>
      <c r="J1394" s="139" t="str">
        <f>VLOOKUP(H1394,Stock_list!A:S,17,FALSE)</f>
        <v>C49SZX20190052SS</v>
      </c>
      <c r="K1394" s="51" t="str">
        <f>VLOOKUP(H1394,Stock_list!A:T,16,FALSE)</f>
        <v>JPY</v>
      </c>
      <c r="L1394" s="4">
        <v>43580</v>
      </c>
      <c r="M1394" s="132">
        <v>9</v>
      </c>
      <c r="P1394" s="4" t="str">
        <f>VLOOKUP(H1394,Stock_list!A:Y,25,FALSE)</f>
        <v>Yes</v>
      </c>
      <c r="Q1394" s="143"/>
      <c r="T1394" s="144"/>
      <c r="U1394" s="145" t="str">
        <f>VLOOKUP(H1394,Stock_list!A:N,14,FALSE)</f>
        <v>APR 19</v>
      </c>
    </row>
    <row r="1395" spans="1:21" ht="16.5" customHeight="1">
      <c r="A1395" s="159" t="s">
        <v>2748</v>
      </c>
      <c r="B1395" s="114" t="str">
        <f>VLOOKUP(A1395,'Data pick slip'!B:F,5,FALSE)</f>
        <v>KHJ-MC400-00</v>
      </c>
      <c r="F1395" s="157" t="s">
        <v>2773</v>
      </c>
      <c r="H1395" s="138">
        <v>280</v>
      </c>
      <c r="I1395" s="139" t="str">
        <f>VLOOKUP(H1395,Stock_list!A:R,18,FALSE)</f>
        <v>乐上</v>
      </c>
      <c r="J1395" s="139" t="str">
        <f>VLOOKUP(H1395,Stock_list!A:S,17,FALSE)</f>
        <v>C49SZX20190052SS</v>
      </c>
      <c r="K1395" s="51" t="str">
        <f>VLOOKUP(H1395,Stock_list!A:T,16,FALSE)</f>
        <v>JPY</v>
      </c>
      <c r="L1395" s="4">
        <v>43580</v>
      </c>
      <c r="M1395" s="132">
        <v>3</v>
      </c>
      <c r="P1395" s="4" t="str">
        <f>VLOOKUP(H1395,Stock_list!A:Y,25,FALSE)</f>
        <v>Yes</v>
      </c>
      <c r="Q1395" s="143"/>
      <c r="S1395" s="123" t="s">
        <v>3004</v>
      </c>
      <c r="T1395" s="205" t="s">
        <v>3085</v>
      </c>
      <c r="U1395" s="145" t="str">
        <f>VLOOKUP(H1395,Stock_list!A:N,14,FALSE)</f>
        <v>APR 19</v>
      </c>
    </row>
    <row r="1396" spans="1:21" ht="16.5" customHeight="1">
      <c r="A1396" s="159" t="s">
        <v>2749</v>
      </c>
      <c r="B1396" s="114" t="str">
        <f>VLOOKUP(A1396,'Data pick slip'!B:F,5,FALSE)</f>
        <v>KHJ-MC500-00</v>
      </c>
      <c r="F1396" s="157" t="s">
        <v>2773</v>
      </c>
      <c r="H1396" s="138">
        <v>280</v>
      </c>
      <c r="I1396" s="139" t="str">
        <f>VLOOKUP(H1396,Stock_list!A:R,18,FALSE)</f>
        <v>乐上</v>
      </c>
      <c r="J1396" s="139" t="str">
        <f>VLOOKUP(H1396,Stock_list!A:S,17,FALSE)</f>
        <v>C49SZX20190052SS</v>
      </c>
      <c r="K1396" s="51" t="str">
        <f>VLOOKUP(H1396,Stock_list!A:T,16,FALSE)</f>
        <v>JPY</v>
      </c>
      <c r="L1396" s="4">
        <v>43580</v>
      </c>
      <c r="M1396" s="132">
        <v>2</v>
      </c>
      <c r="P1396" s="4" t="str">
        <f>VLOOKUP(H1396,Stock_list!A:Y,25,FALSE)</f>
        <v>Yes</v>
      </c>
      <c r="Q1396" s="143"/>
      <c r="S1396" s="123" t="s">
        <v>3004</v>
      </c>
      <c r="T1396" s="205" t="s">
        <v>3085</v>
      </c>
      <c r="U1396" s="145" t="str">
        <f>VLOOKUP(H1396,Stock_list!A:N,14,FALSE)</f>
        <v>APR 19</v>
      </c>
    </row>
    <row r="1397" spans="1:21" ht="16.5" customHeight="1">
      <c r="A1397" s="159" t="s">
        <v>2744</v>
      </c>
      <c r="B1397" s="114" t="str">
        <f>VLOOKUP(A1397,'Data pick slip'!B:F,5,FALSE)</f>
        <v>KHJ-MC100-00</v>
      </c>
      <c r="F1397" s="157" t="s">
        <v>2773</v>
      </c>
      <c r="I1397" s="139" t="s">
        <v>2854</v>
      </c>
      <c r="J1397" s="139" t="s">
        <v>3086</v>
      </c>
      <c r="K1397" s="51" t="s">
        <v>1246</v>
      </c>
      <c r="L1397" s="4">
        <v>43572</v>
      </c>
      <c r="M1397" s="132">
        <v>65</v>
      </c>
      <c r="P1397" s="4" t="s">
        <v>291</v>
      </c>
      <c r="Q1397" s="143"/>
      <c r="S1397" s="123" t="s">
        <v>3004</v>
      </c>
      <c r="T1397" s="144" t="s">
        <v>3087</v>
      </c>
      <c r="U1397" s="145" t="e">
        <f>VLOOKUP(H1397,Stock_list!A:N,14,FALSE)</f>
        <v>#N/A</v>
      </c>
    </row>
    <row r="1398" spans="1:21" ht="16.5" customHeight="1">
      <c r="A1398" s="159" t="s">
        <v>2747</v>
      </c>
      <c r="B1398" s="114" t="str">
        <f>VLOOKUP(A1398,'Data pick slip'!B:F,5,FALSE)</f>
        <v>KHJ-MC200-00</v>
      </c>
      <c r="F1398" s="157" t="s">
        <v>2773</v>
      </c>
      <c r="I1398" s="139" t="s">
        <v>2854</v>
      </c>
      <c r="J1398" s="139" t="s">
        <v>3086</v>
      </c>
      <c r="K1398" s="51" t="s">
        <v>1246</v>
      </c>
      <c r="L1398" s="4">
        <v>43572</v>
      </c>
      <c r="M1398" s="132">
        <v>20</v>
      </c>
      <c r="P1398" s="4" t="s">
        <v>291</v>
      </c>
      <c r="Q1398" s="143"/>
      <c r="S1398" s="123" t="s">
        <v>3004</v>
      </c>
      <c r="T1398" s="144" t="s">
        <v>3087</v>
      </c>
      <c r="U1398" s="145" t="e">
        <f>VLOOKUP(H1398,Stock_list!A:N,14,FALSE)</f>
        <v>#N/A</v>
      </c>
    </row>
    <row r="1399" spans="1:21" ht="16.5" customHeight="1">
      <c r="A1399" s="159" t="s">
        <v>2750</v>
      </c>
      <c r="B1399" s="114" t="str">
        <f>VLOOKUP(A1399,'Data pick slip'!B:F,5,FALSE)</f>
        <v>KHJ-MC600-00</v>
      </c>
      <c r="F1399" s="157" t="s">
        <v>2773</v>
      </c>
      <c r="I1399" s="139" t="s">
        <v>2854</v>
      </c>
      <c r="J1399" s="139" t="s">
        <v>3086</v>
      </c>
      <c r="K1399" s="51" t="s">
        <v>1246</v>
      </c>
      <c r="L1399" s="4">
        <v>43572</v>
      </c>
      <c r="M1399" s="132">
        <v>1</v>
      </c>
      <c r="P1399" s="4" t="s">
        <v>291</v>
      </c>
      <c r="Q1399" s="143"/>
      <c r="S1399" s="123" t="s">
        <v>3004</v>
      </c>
      <c r="T1399" s="144" t="s">
        <v>3087</v>
      </c>
      <c r="U1399" s="145" t="e">
        <f>VLOOKUP(H1399,Stock_list!A:N,14,FALSE)</f>
        <v>#N/A</v>
      </c>
    </row>
    <row r="1400" spans="1:21" ht="27" customHeight="1">
      <c r="A1400" s="159" t="s">
        <v>2744</v>
      </c>
      <c r="B1400" s="114" t="str">
        <f>VLOOKUP(A1400,'Data pick slip'!B:F,5,FALSE)</f>
        <v>KHJ-MC100-00</v>
      </c>
      <c r="F1400" s="157" t="s">
        <v>2862</v>
      </c>
      <c r="H1400" s="138">
        <v>283</v>
      </c>
      <c r="I1400" s="139" t="str">
        <f>VLOOKUP(H1400,Stock_list!A:R,18,FALSE)</f>
        <v>杉川/end user:放德劲</v>
      </c>
      <c r="J1400" s="139" t="str">
        <f>VLOOKUP(H1400,Stock_list!A:S,17,FALSE)</f>
        <v>C49SZX20190042JL</v>
      </c>
      <c r="K1400" s="51" t="str">
        <f>VLOOKUP(H1400,Stock_list!A:T,16,FALSE)</f>
        <v>JPY</v>
      </c>
      <c r="L1400" s="4">
        <v>43584</v>
      </c>
      <c r="M1400" s="132">
        <v>40</v>
      </c>
      <c r="P1400" s="4" t="str">
        <f>VLOOKUP(H1400,Stock_list!A:Y,25,FALSE)</f>
        <v>Yes</v>
      </c>
      <c r="Q1400" s="143"/>
      <c r="T1400" s="144"/>
      <c r="U1400" s="145" t="str">
        <f>VLOOKUP(H1400,Stock_list!A:N,14,FALSE)</f>
        <v>APR 19</v>
      </c>
    </row>
    <row r="1401" spans="1:21" ht="27" customHeight="1">
      <c r="A1401" s="159" t="s">
        <v>2747</v>
      </c>
      <c r="B1401" s="114" t="str">
        <f>VLOOKUP(A1401,'Data pick slip'!B:F,5,FALSE)</f>
        <v>KHJ-MC200-00</v>
      </c>
      <c r="F1401" s="157" t="s">
        <v>2862</v>
      </c>
      <c r="H1401" s="138">
        <v>283</v>
      </c>
      <c r="I1401" s="139" t="str">
        <f>VLOOKUP(H1401,Stock_list!A:R,18,FALSE)</f>
        <v>杉川/end user:放德劲</v>
      </c>
      <c r="J1401" s="139" t="str">
        <f>VLOOKUP(H1401,Stock_list!A:S,17,FALSE)</f>
        <v>C49SZX20190042JL</v>
      </c>
      <c r="K1401" s="51" t="str">
        <f>VLOOKUP(H1401,Stock_list!A:T,16,FALSE)</f>
        <v>JPY</v>
      </c>
      <c r="L1401" s="4">
        <v>43584</v>
      </c>
      <c r="M1401" s="132">
        <v>20</v>
      </c>
      <c r="P1401" s="4" t="str">
        <f>VLOOKUP(H1401,Stock_list!A:Y,25,FALSE)</f>
        <v>Yes</v>
      </c>
      <c r="Q1401" s="143"/>
      <c r="T1401" s="144"/>
      <c r="U1401" s="145" t="str">
        <f>VLOOKUP(H1401,Stock_list!A:N,14,FALSE)</f>
        <v>APR 19</v>
      </c>
    </row>
    <row r="1402" spans="1:21" ht="27" customHeight="1">
      <c r="A1402" s="159" t="s">
        <v>2748</v>
      </c>
      <c r="B1402" s="114" t="str">
        <f>VLOOKUP(A1402,'Data pick slip'!B:F,5,FALSE)</f>
        <v>KHJ-MC400-00</v>
      </c>
      <c r="F1402" s="157" t="s">
        <v>2773</v>
      </c>
      <c r="H1402" s="138">
        <v>283</v>
      </c>
      <c r="I1402" s="139" t="str">
        <f>VLOOKUP(H1402,Stock_list!A:R,18,FALSE)</f>
        <v>杉川/end user:放德劲</v>
      </c>
      <c r="J1402" s="139" t="str">
        <f>VLOOKUP(H1402,Stock_list!A:S,17,FALSE)</f>
        <v>C49SZX20190042JL</v>
      </c>
      <c r="K1402" s="51" t="str">
        <f>VLOOKUP(H1402,Stock_list!A:T,16,FALSE)</f>
        <v>JPY</v>
      </c>
      <c r="L1402" s="4">
        <v>43584</v>
      </c>
      <c r="M1402" s="132">
        <v>4</v>
      </c>
      <c r="P1402" s="4" t="str">
        <f>VLOOKUP(H1402,Stock_list!A:Y,25,FALSE)</f>
        <v>Yes</v>
      </c>
      <c r="Q1402" s="143"/>
      <c r="S1402" s="123" t="s">
        <v>3004</v>
      </c>
      <c r="T1402" s="205" t="s">
        <v>3082</v>
      </c>
      <c r="U1402" s="145" t="str">
        <f>VLOOKUP(H1402,Stock_list!A:N,14,FALSE)</f>
        <v>APR 19</v>
      </c>
    </row>
    <row r="1403" spans="1:21" ht="16.5" customHeight="1">
      <c r="A1403" s="159" t="s">
        <v>2744</v>
      </c>
      <c r="B1403" s="114" t="str">
        <f>VLOOKUP(A1403,'Data pick slip'!B:F,5,FALSE)</f>
        <v>KHJ-MC100-00</v>
      </c>
      <c r="F1403" s="157" t="s">
        <v>2862</v>
      </c>
      <c r="H1403" s="138">
        <v>284</v>
      </c>
      <c r="I1403" s="139" t="str">
        <f>VLOOKUP(H1403,Stock_list!A:R,18,FALSE)</f>
        <v>玮芯电子</v>
      </c>
      <c r="J1403" s="139" t="str">
        <f>VLOOKUP(H1403,Stock_list!A:S,17,FALSE)</f>
        <v>C49SZX20190058SX</v>
      </c>
      <c r="K1403" s="51" t="str">
        <f>VLOOKUP(H1403,Stock_list!A:T,16,FALSE)</f>
        <v>JPY</v>
      </c>
      <c r="L1403" s="4">
        <v>43593</v>
      </c>
      <c r="M1403" s="132">
        <v>35</v>
      </c>
      <c r="P1403" s="4" t="str">
        <f>VLOOKUP(H1403,Stock_list!A:Y,25,FALSE)</f>
        <v>Yes</v>
      </c>
      <c r="Q1403" s="143"/>
      <c r="T1403" s="144"/>
      <c r="U1403" s="145" t="str">
        <f>VLOOKUP(H1403,Stock_list!A:N,14,FALSE)</f>
        <v>MAY 19</v>
      </c>
    </row>
    <row r="1404" spans="1:21" ht="16.5" customHeight="1">
      <c r="A1404" s="159" t="s">
        <v>2747</v>
      </c>
      <c r="B1404" s="114" t="str">
        <f>VLOOKUP(A1404,'Data pick slip'!B:F,5,FALSE)</f>
        <v>KHJ-MC200-00</v>
      </c>
      <c r="F1404" s="157" t="s">
        <v>2862</v>
      </c>
      <c r="H1404" s="138">
        <v>284</v>
      </c>
      <c r="I1404" s="139" t="str">
        <f>VLOOKUP(H1404,Stock_list!A:R,18,FALSE)</f>
        <v>玮芯电子</v>
      </c>
      <c r="J1404" s="139" t="str">
        <f>VLOOKUP(H1404,Stock_list!A:S,17,FALSE)</f>
        <v>C49SZX20190058SX</v>
      </c>
      <c r="K1404" s="51" t="str">
        <f>VLOOKUP(H1404,Stock_list!A:T,16,FALSE)</f>
        <v>JPY</v>
      </c>
      <c r="L1404" s="4">
        <v>43593</v>
      </c>
      <c r="M1404" s="132">
        <v>5</v>
      </c>
      <c r="P1404" s="4" t="str">
        <f>VLOOKUP(H1404,Stock_list!A:Y,25,FALSE)</f>
        <v>Yes</v>
      </c>
      <c r="Q1404" s="143"/>
      <c r="T1404" s="144"/>
      <c r="U1404" s="145" t="str">
        <f>VLOOKUP(H1404,Stock_list!A:N,14,FALSE)</f>
        <v>MAY 19</v>
      </c>
    </row>
    <row r="1405" spans="1:21" ht="16.5" customHeight="1">
      <c r="A1405" s="159" t="s">
        <v>2747</v>
      </c>
      <c r="B1405" s="114" t="str">
        <f>VLOOKUP(A1405,'Data pick slip'!B:F,5,FALSE)</f>
        <v>KHJ-MC200-00</v>
      </c>
      <c r="F1405" s="157" t="s">
        <v>2773</v>
      </c>
      <c r="I1405" s="139" t="s">
        <v>2854</v>
      </c>
      <c r="J1405" s="139" t="s">
        <v>3088</v>
      </c>
      <c r="K1405" s="51" t="s">
        <v>1246</v>
      </c>
      <c r="L1405" s="4">
        <v>43577</v>
      </c>
      <c r="M1405" s="140">
        <v>5</v>
      </c>
      <c r="P1405" s="4" t="s">
        <v>291</v>
      </c>
      <c r="Q1405" s="143"/>
      <c r="S1405" s="123" t="s">
        <v>3004</v>
      </c>
      <c r="T1405" s="144" t="s">
        <v>3087</v>
      </c>
      <c r="U1405" s="145" t="e">
        <f>VLOOKUP(H1405,Stock_list!A:N,14,FALSE)</f>
        <v>#N/A</v>
      </c>
    </row>
    <row r="1406" spans="1:21" ht="16.5" customHeight="1">
      <c r="A1406" s="159" t="s">
        <v>2748</v>
      </c>
      <c r="B1406" s="114" t="str">
        <f>VLOOKUP(A1406,'Data pick slip'!B:F,5,FALSE)</f>
        <v>KHJ-MC400-00</v>
      </c>
      <c r="F1406" s="157" t="s">
        <v>2773</v>
      </c>
      <c r="I1406" s="139" t="s">
        <v>2854</v>
      </c>
      <c r="J1406" s="139" t="s">
        <v>3088</v>
      </c>
      <c r="K1406" s="51" t="s">
        <v>1246</v>
      </c>
      <c r="L1406" s="4">
        <v>43577</v>
      </c>
      <c r="M1406" s="140">
        <v>1</v>
      </c>
      <c r="P1406" s="4" t="s">
        <v>291</v>
      </c>
      <c r="Q1406" s="143"/>
      <c r="S1406" s="123" t="s">
        <v>3004</v>
      </c>
      <c r="T1406" s="144" t="s">
        <v>3087</v>
      </c>
      <c r="U1406" s="145" t="e">
        <f>VLOOKUP(H1406,Stock_list!A:N,14,FALSE)</f>
        <v>#N/A</v>
      </c>
    </row>
    <row r="1407" spans="1:21" ht="16.5" customHeight="1">
      <c r="A1407" s="159" t="s">
        <v>2755</v>
      </c>
      <c r="B1407" s="114" t="str">
        <f>VLOOKUP(A1407,'Data pick slip'!B:F,5,FALSE)</f>
        <v>KLJ-MC100-00</v>
      </c>
      <c r="F1407" s="157" t="s">
        <v>2862</v>
      </c>
      <c r="H1407" s="138">
        <v>287</v>
      </c>
      <c r="I1407" s="139" t="str">
        <f>VLOOKUP(H1407,Stock_list!A:R,18,FALSE)</f>
        <v>富斯迈</v>
      </c>
      <c r="J1407" s="139" t="str">
        <f>VLOOKUP(H1407,Stock_list!A:S,17,FALSE)</f>
        <v>C49SZX20190056RW</v>
      </c>
      <c r="K1407" s="51" t="str">
        <f>VLOOKUP(H1407,Stock_list!A:T,16,FALSE)</f>
        <v>JPY</v>
      </c>
      <c r="L1407" s="4">
        <v>43609</v>
      </c>
      <c r="M1407" s="140">
        <v>50</v>
      </c>
      <c r="P1407" s="4" t="str">
        <f>VLOOKUP(H1407,Stock_list!A:Y,25,FALSE)</f>
        <v>Yes</v>
      </c>
      <c r="Q1407" s="143"/>
      <c r="T1407" s="144"/>
      <c r="U1407" s="145" t="str">
        <f>VLOOKUP(H1407,Stock_list!A:N,14,FALSE)</f>
        <v>MAY 19</v>
      </c>
    </row>
    <row r="1408" spans="1:21" ht="16.5" customHeight="1">
      <c r="A1408" s="159" t="s">
        <v>2750</v>
      </c>
      <c r="B1408" s="114" t="str">
        <f>VLOOKUP(A1408,'Data pick slip'!B:F,5,FALSE)</f>
        <v>KHJ-MC600-00</v>
      </c>
      <c r="F1408" s="157" t="s">
        <v>2773</v>
      </c>
      <c r="I1408" s="139" t="s">
        <v>2854</v>
      </c>
      <c r="J1408" s="139" t="s">
        <v>3089</v>
      </c>
      <c r="K1408" s="51" t="s">
        <v>3003</v>
      </c>
      <c r="L1408" s="4">
        <v>43585</v>
      </c>
      <c r="M1408" s="140">
        <v>1</v>
      </c>
      <c r="P1408" s="4" t="s">
        <v>291</v>
      </c>
      <c r="Q1408" s="143"/>
      <c r="S1408" s="123" t="s">
        <v>3004</v>
      </c>
      <c r="T1408" s="205" t="s">
        <v>3090</v>
      </c>
      <c r="U1408" s="145" t="e">
        <f>VLOOKUP(H1408,Stock_list!A:N,14,FALSE)</f>
        <v>#N/A</v>
      </c>
    </row>
    <row r="1409" spans="1:21" ht="16.5" customHeight="1">
      <c r="A1409" s="159" t="s">
        <v>2744</v>
      </c>
      <c r="B1409" s="114" t="str">
        <f>VLOOKUP(A1409,'Data pick slip'!B:F,5,FALSE)</f>
        <v>KHJ-MC100-00</v>
      </c>
      <c r="F1409" s="157" t="s">
        <v>2862</v>
      </c>
      <c r="H1409" s="138">
        <v>297</v>
      </c>
      <c r="I1409" s="139" t="str">
        <f>VLOOKUP(H1409,Stock_list!A:R,18,FALSE)</f>
        <v>微力创/end user 昶达</v>
      </c>
      <c r="J1409" s="139" t="str">
        <f>VLOOKUP(H1409,Stock_list!A:S,17,FALSE)</f>
        <v>C49SZX20190061JL</v>
      </c>
      <c r="K1409" s="51" t="str">
        <f>VLOOKUP(H1409,Stock_list!A:T,16,FALSE)</f>
        <v>JPY</v>
      </c>
      <c r="L1409" s="4">
        <v>43651</v>
      </c>
      <c r="M1409" s="132">
        <f>58+8</f>
        <v>66</v>
      </c>
      <c r="P1409" s="4" t="str">
        <f>VLOOKUP(H1409,Stock_list!A:Y,25,FALSE)</f>
        <v>Yes</v>
      </c>
      <c r="Q1409" s="143"/>
      <c r="T1409" s="144"/>
      <c r="U1409" s="145" t="str">
        <f>VLOOKUP(H1409,Stock_list!A:N,14,FALSE)</f>
        <v>JUL 19</v>
      </c>
    </row>
    <row r="1410" spans="1:21" ht="16.5" customHeight="1">
      <c r="A1410" s="159" t="s">
        <v>2747</v>
      </c>
      <c r="B1410" s="114" t="str">
        <f>VLOOKUP(A1410,'Data pick slip'!B:F,5,FALSE)</f>
        <v>KHJ-MC200-00</v>
      </c>
      <c r="F1410" s="157" t="s">
        <v>2862</v>
      </c>
      <c r="H1410" s="138">
        <v>297</v>
      </c>
      <c r="I1410" s="139" t="str">
        <f>VLOOKUP(H1410,Stock_list!A:R,18,FALSE)</f>
        <v>微力创/end user 昶达</v>
      </c>
      <c r="J1410" s="139" t="str">
        <f>VLOOKUP(H1410,Stock_list!A:S,17,FALSE)</f>
        <v>C49SZX20190061JL</v>
      </c>
      <c r="K1410" s="51" t="str">
        <f>VLOOKUP(H1410,Stock_list!A:T,16,FALSE)</f>
        <v>JPY</v>
      </c>
      <c r="L1410" s="4">
        <v>43651</v>
      </c>
      <c r="M1410" s="132">
        <v>10</v>
      </c>
      <c r="P1410" s="4" t="str">
        <f>VLOOKUP(H1410,Stock_list!A:Y,25,FALSE)</f>
        <v>Yes</v>
      </c>
      <c r="Q1410" s="143"/>
      <c r="T1410" s="144"/>
      <c r="U1410" s="145" t="str">
        <f>VLOOKUP(H1410,Stock_list!A:N,14,FALSE)</f>
        <v>JUL 19</v>
      </c>
    </row>
    <row r="1411" spans="1:21" ht="16.5" customHeight="1">
      <c r="A1411" s="159" t="s">
        <v>2748</v>
      </c>
      <c r="B1411" s="114" t="str">
        <f>VLOOKUP(A1411,'Data pick slip'!B:F,5,FALSE)</f>
        <v>KHJ-MC400-00</v>
      </c>
      <c r="F1411" s="157" t="s">
        <v>2862</v>
      </c>
      <c r="H1411" s="138">
        <v>297</v>
      </c>
      <c r="I1411" s="139" t="str">
        <f>VLOOKUP(H1411,Stock_list!A:R,18,FALSE)</f>
        <v>微力创/end user 昶达</v>
      </c>
      <c r="J1411" s="139" t="str">
        <f>VLOOKUP(H1411,Stock_list!A:S,17,FALSE)</f>
        <v>C49SZX20190061JL</v>
      </c>
      <c r="K1411" s="51" t="str">
        <f>VLOOKUP(H1411,Stock_list!A:T,16,FALSE)</f>
        <v>JPY</v>
      </c>
      <c r="L1411" s="4">
        <v>43651</v>
      </c>
      <c r="M1411" s="132">
        <v>4</v>
      </c>
      <c r="P1411" s="4" t="str">
        <f>VLOOKUP(H1411,Stock_list!A:Y,25,FALSE)</f>
        <v>Yes</v>
      </c>
      <c r="Q1411" s="143"/>
      <c r="T1411" s="144"/>
      <c r="U1411" s="145" t="str">
        <f>VLOOKUP(H1411,Stock_list!A:N,14,FALSE)</f>
        <v>JUL 19</v>
      </c>
    </row>
    <row r="1412" spans="1:21" ht="16.5" customHeight="1">
      <c r="A1412" s="159" t="s">
        <v>2744</v>
      </c>
      <c r="B1412" s="114" t="str">
        <f>VLOOKUP(A1412,'Data pick slip'!B:F,5,FALSE)</f>
        <v>KHJ-MC100-00</v>
      </c>
      <c r="F1412" s="157" t="s">
        <v>2773</v>
      </c>
      <c r="I1412" s="139" t="s">
        <v>2854</v>
      </c>
      <c r="J1412" s="141" t="s">
        <v>3091</v>
      </c>
      <c r="K1412" s="51" t="s">
        <v>3003</v>
      </c>
      <c r="L1412" s="4">
        <v>43590</v>
      </c>
      <c r="M1412" s="140">
        <v>2</v>
      </c>
      <c r="P1412" s="4" t="s">
        <v>291</v>
      </c>
      <c r="Q1412" s="143"/>
      <c r="S1412" s="123" t="s">
        <v>3004</v>
      </c>
      <c r="T1412" s="205" t="s">
        <v>3090</v>
      </c>
      <c r="U1412" s="145" t="e">
        <f>VLOOKUP(H1412,Stock_list!A:N,14,FALSE)</f>
        <v>#N/A</v>
      </c>
    </row>
    <row r="1413" spans="1:21" ht="16.5" customHeight="1">
      <c r="A1413" s="159" t="s">
        <v>2744</v>
      </c>
      <c r="B1413" s="114" t="str">
        <f>VLOOKUP(A1413,'Data pick slip'!B:F,5,FALSE)</f>
        <v>KHJ-MC100-00</v>
      </c>
      <c r="F1413" s="157" t="s">
        <v>2773</v>
      </c>
      <c r="I1413" s="139" t="s">
        <v>2854</v>
      </c>
      <c r="J1413" s="139" t="s">
        <v>3092</v>
      </c>
      <c r="K1413" s="51" t="s">
        <v>3003</v>
      </c>
      <c r="L1413" s="4">
        <v>43583</v>
      </c>
      <c r="M1413" s="140">
        <v>10</v>
      </c>
      <c r="P1413" s="4" t="s">
        <v>291</v>
      </c>
      <c r="Q1413" s="143"/>
      <c r="S1413" s="123" t="s">
        <v>3004</v>
      </c>
      <c r="T1413" s="205" t="s">
        <v>3093</v>
      </c>
      <c r="U1413" s="145" t="e">
        <f>VLOOKUP(H1413,Stock_list!A:N,14,FALSE)</f>
        <v>#N/A</v>
      </c>
    </row>
    <row r="1414" spans="1:21" ht="16.5" customHeight="1">
      <c r="A1414" s="159" t="s">
        <v>2755</v>
      </c>
      <c r="B1414" s="114" t="str">
        <f>VLOOKUP(A1414,'Data pick slip'!B:F,5,FALSE)</f>
        <v>KLJ-MC100-00</v>
      </c>
      <c r="F1414" s="157" t="s">
        <v>2773</v>
      </c>
      <c r="I1414" s="139" t="s">
        <v>3094</v>
      </c>
      <c r="J1414" s="139" t="s">
        <v>3095</v>
      </c>
      <c r="K1414" s="51" t="s">
        <v>1246</v>
      </c>
      <c r="L1414" s="4">
        <v>43594</v>
      </c>
      <c r="M1414" s="140">
        <v>1</v>
      </c>
      <c r="P1414" s="4" t="s">
        <v>291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2756</v>
      </c>
      <c r="B1415" s="114" t="str">
        <f>VLOOKUP(A1415,'Data pick slip'!B:F,5,FALSE)</f>
        <v>KLJ-MC200-00</v>
      </c>
      <c r="F1415" s="157" t="s">
        <v>2862</v>
      </c>
      <c r="H1415" s="138">
        <v>302</v>
      </c>
      <c r="I1415" s="139" t="str">
        <f>VLOOKUP(H1415,Stock_list!A:R,18,FALSE)</f>
        <v>丰硕</v>
      </c>
      <c r="J1415" s="139" t="str">
        <f>VLOOKUP(H1415,Stock_list!A:S,17,FALSE)</f>
        <v>C49SZX20190050SX</v>
      </c>
      <c r="K1415" s="51" t="str">
        <f>VLOOKUP(H1415,Stock_list!A:T,16,FALSE)</f>
        <v>JPY</v>
      </c>
      <c r="L1415" s="4">
        <v>43640</v>
      </c>
      <c r="M1415" s="132">
        <v>15</v>
      </c>
      <c r="P1415" s="4" t="str">
        <f>VLOOKUP(H1415,Stock_list!A:Y,25,FALSE)</f>
        <v>Yes</v>
      </c>
      <c r="T1415" s="144"/>
      <c r="U1415" s="145" t="str">
        <f>VLOOKUP(H1415,Stock_list!A:N,14,FALSE)</f>
        <v>JUN 19</v>
      </c>
    </row>
    <row r="1416" spans="1:21" ht="16.5" customHeight="1">
      <c r="A1416" s="159" t="s">
        <v>2757</v>
      </c>
      <c r="B1416" s="114" t="str">
        <f>VLOOKUP(A1416,'Data pick slip'!B:F,5,FALSE)</f>
        <v>KLJ-MC400-00</v>
      </c>
      <c r="F1416" s="157" t="s">
        <v>2862</v>
      </c>
      <c r="H1416" s="138">
        <v>302</v>
      </c>
      <c r="I1416" s="139" t="str">
        <f>VLOOKUP(H1416,Stock_list!A:R,18,FALSE)</f>
        <v>丰硕</v>
      </c>
      <c r="J1416" s="139" t="str">
        <f>VLOOKUP(H1416,Stock_list!A:S,17,FALSE)</f>
        <v>C49SZX20190050SX</v>
      </c>
      <c r="K1416" s="51" t="str">
        <f>VLOOKUP(H1416,Stock_list!A:T,16,FALSE)</f>
        <v>JPY</v>
      </c>
      <c r="L1416" s="4">
        <v>43640</v>
      </c>
      <c r="M1416" s="132">
        <v>1</v>
      </c>
      <c r="P1416" s="4" t="str">
        <f>VLOOKUP(H1416,Stock_list!A:Y,25,FALSE)</f>
        <v>Yes</v>
      </c>
      <c r="Q1416" s="143"/>
      <c r="T1416" s="144"/>
      <c r="U1416" s="145" t="str">
        <f>VLOOKUP(H1416,Stock_list!A:N,14,FALSE)</f>
        <v>JUN 19</v>
      </c>
    </row>
    <row r="1417" spans="1:21" ht="16.5" customHeight="1">
      <c r="A1417" s="159" t="s">
        <v>2744</v>
      </c>
      <c r="B1417" s="114" t="str">
        <f>VLOOKUP(A1417,'Data pick slip'!B:F,5,FALSE)</f>
        <v>KHJ-MC100-00</v>
      </c>
      <c r="F1417" s="157" t="s">
        <v>2862</v>
      </c>
      <c r="H1417" s="138">
        <v>303</v>
      </c>
      <c r="I1417" s="139" t="str">
        <f>VLOOKUP(H1417,Stock_list!A:R,18,FALSE)</f>
        <v>梵想</v>
      </c>
      <c r="J1417" s="139" t="str">
        <f>VLOOKUP(H1417,Stock_list!A:S,17,FALSE)</f>
        <v>C49SZX20190068ZX</v>
      </c>
      <c r="K1417" s="51" t="str">
        <f>VLOOKUP(H1417,Stock_list!A:T,16,FALSE)</f>
        <v>JPY</v>
      </c>
      <c r="L1417" s="4">
        <v>43663</v>
      </c>
      <c r="M1417" s="132">
        <v>100</v>
      </c>
      <c r="P1417" s="4" t="str">
        <f>VLOOKUP(H1417,Stock_list!A:Y,25,FALSE)</f>
        <v>Yes</v>
      </c>
      <c r="Q1417" s="143"/>
      <c r="T1417" s="144"/>
      <c r="U1417" s="145" t="str">
        <f>VLOOKUP(H1417,Stock_list!A:N,14,FALSE)</f>
        <v>JUL 19</v>
      </c>
    </row>
    <row r="1418" spans="1:21" ht="16.5" customHeight="1">
      <c r="A1418" s="159" t="s">
        <v>2744</v>
      </c>
      <c r="B1418" s="114" t="str">
        <f>VLOOKUP(A1418,'Data pick slip'!B:F,5,FALSE)</f>
        <v>KHJ-MC100-00</v>
      </c>
      <c r="F1418" s="157" t="s">
        <v>2862</v>
      </c>
      <c r="H1418" s="138">
        <v>305</v>
      </c>
      <c r="I1418" s="139" t="str">
        <f>VLOOKUP(H1418,Stock_list!A:R,18,FALSE)</f>
        <v>同基</v>
      </c>
      <c r="J1418" s="139" t="str">
        <f>VLOOKUP(H1418,Stock_list!A:S,17,FALSE)</f>
        <v>C49SZX20190069KW</v>
      </c>
      <c r="K1418" s="51" t="str">
        <f>VLOOKUP(H1418,Stock_list!A:T,16,FALSE)</f>
        <v>JPY</v>
      </c>
      <c r="L1418" s="4">
        <v>43664</v>
      </c>
      <c r="M1418" s="132">
        <v>396</v>
      </c>
      <c r="P1418" s="4" t="str">
        <f>VLOOKUP(H1418,Stock_list!A:Y,25,FALSE)</f>
        <v>Yes</v>
      </c>
      <c r="Q1418" s="143"/>
      <c r="T1418" s="144"/>
      <c r="U1418" s="145" t="str">
        <f>VLOOKUP(H1418,Stock_list!A:N,14,FALSE)</f>
        <v>JUL 19</v>
      </c>
    </row>
    <row r="1419" spans="1:21" ht="16.5" customHeight="1">
      <c r="A1419" s="159" t="s">
        <v>2747</v>
      </c>
      <c r="B1419" s="114" t="str">
        <f>VLOOKUP(A1419,'Data pick slip'!B:F,5,FALSE)</f>
        <v>KHJ-MC200-00</v>
      </c>
      <c r="F1419" s="157" t="s">
        <v>2862</v>
      </c>
      <c r="H1419" s="138">
        <v>305</v>
      </c>
      <c r="I1419" s="139" t="str">
        <f>VLOOKUP(H1419,Stock_list!A:R,18,FALSE)</f>
        <v>同基</v>
      </c>
      <c r="J1419" s="139" t="str">
        <f>VLOOKUP(H1419,Stock_list!A:S,17,FALSE)</f>
        <v>C49SZX20190069KW</v>
      </c>
      <c r="K1419" s="51" t="str">
        <f>VLOOKUP(H1419,Stock_list!A:T,16,FALSE)</f>
        <v>JPY</v>
      </c>
      <c r="L1419" s="4">
        <v>43664</v>
      </c>
      <c r="M1419" s="132">
        <v>60</v>
      </c>
      <c r="P1419" s="4" t="str">
        <f>VLOOKUP(H1419,Stock_list!A:Y,25,FALSE)</f>
        <v>Yes</v>
      </c>
      <c r="Q1419" s="143"/>
      <c r="T1419" s="144"/>
      <c r="U1419" s="145" t="str">
        <f>VLOOKUP(H1419,Stock_list!A:N,14,FALSE)</f>
        <v>JUL 19</v>
      </c>
    </row>
    <row r="1420" spans="1:21" ht="16.5" customHeight="1">
      <c r="A1420" s="159" t="s">
        <v>2748</v>
      </c>
      <c r="B1420" s="114" t="str">
        <f>VLOOKUP(A1420,'Data pick slip'!B:F,5,FALSE)</f>
        <v>KHJ-MC400-00</v>
      </c>
      <c r="F1420" s="157" t="s">
        <v>2862</v>
      </c>
      <c r="H1420" s="138">
        <v>305</v>
      </c>
      <c r="I1420" s="139" t="str">
        <f>VLOOKUP(H1420,Stock_list!A:R,18,FALSE)</f>
        <v>同基</v>
      </c>
      <c r="J1420" s="139" t="str">
        <f>VLOOKUP(H1420,Stock_list!A:S,17,FALSE)</f>
        <v>C49SZX20190069KW</v>
      </c>
      <c r="K1420" s="51" t="str">
        <f>VLOOKUP(H1420,Stock_list!A:T,16,FALSE)</f>
        <v>JPY</v>
      </c>
      <c r="L1420" s="4">
        <v>43664</v>
      </c>
      <c r="M1420" s="132">
        <v>20</v>
      </c>
      <c r="P1420" s="4" t="str">
        <f>VLOOKUP(H1420,Stock_list!A:Y,25,FALSE)</f>
        <v>Yes</v>
      </c>
      <c r="Q1420" s="143"/>
      <c r="T1420" s="144"/>
      <c r="U1420" s="145" t="str">
        <f>VLOOKUP(H1420,Stock_list!A:N,14,FALSE)</f>
        <v>JUL 19</v>
      </c>
    </row>
    <row r="1421" spans="1:21" ht="16.5" customHeight="1">
      <c r="A1421" s="159" t="s">
        <v>2749</v>
      </c>
      <c r="B1421" s="114" t="str">
        <f>VLOOKUP(A1421,'Data pick slip'!B:F,5,FALSE)</f>
        <v>KHJ-MC500-00</v>
      </c>
      <c r="F1421" s="157" t="s">
        <v>2862</v>
      </c>
      <c r="H1421" s="138">
        <v>305</v>
      </c>
      <c r="I1421" s="139" t="str">
        <f>VLOOKUP(H1421,Stock_list!A:R,18,FALSE)</f>
        <v>同基</v>
      </c>
      <c r="J1421" s="139" t="str">
        <f>VLOOKUP(H1421,Stock_list!A:S,17,FALSE)</f>
        <v>C49SZX20190069KW</v>
      </c>
      <c r="K1421" s="51" t="str">
        <f>VLOOKUP(H1421,Stock_list!A:T,16,FALSE)</f>
        <v>JPY</v>
      </c>
      <c r="L1421" s="4">
        <v>43664</v>
      </c>
      <c r="M1421" s="132">
        <v>11</v>
      </c>
      <c r="P1421" s="4" t="str">
        <f>VLOOKUP(H1421,Stock_list!A:Y,25,FALSE)</f>
        <v>Yes</v>
      </c>
      <c r="Q1421" s="143"/>
      <c r="T1421" s="144"/>
      <c r="U1421" s="145" t="str">
        <f>VLOOKUP(H1421,Stock_list!A:N,14,FALSE)</f>
        <v>JUL 19</v>
      </c>
    </row>
    <row r="1422" spans="1:21" ht="16.5" customHeight="1">
      <c r="A1422" s="159" t="s">
        <v>2749</v>
      </c>
      <c r="B1422" s="114" t="str">
        <f>VLOOKUP(A1422,'Data pick slip'!B:F,5,FALSE)</f>
        <v>KHJ-MC500-00</v>
      </c>
      <c r="F1422" s="157" t="s">
        <v>2773</v>
      </c>
      <c r="H1422" s="138">
        <v>305</v>
      </c>
      <c r="I1422" s="139" t="str">
        <f>VLOOKUP(H1422,Stock_list!A:R,18,FALSE)</f>
        <v>同基</v>
      </c>
      <c r="J1422" s="139" t="str">
        <f>VLOOKUP(H1422,Stock_list!A:S,17,FALSE)</f>
        <v>C49SZX20190069KW</v>
      </c>
      <c r="K1422" s="51" t="str">
        <f>VLOOKUP(H1422,Stock_list!A:T,16,FALSE)</f>
        <v>JPY</v>
      </c>
      <c r="L1422" s="4">
        <v>43664</v>
      </c>
      <c r="M1422" s="132">
        <v>2</v>
      </c>
      <c r="P1422" s="4" t="str">
        <f>VLOOKUP(H1422,Stock_list!A:Y,25,FALSE)</f>
        <v>Yes</v>
      </c>
      <c r="Q1422" s="143"/>
      <c r="S1422" s="123" t="s">
        <v>3004</v>
      </c>
      <c r="T1422" s="205" t="s">
        <v>3074</v>
      </c>
      <c r="U1422" s="145" t="str">
        <f>VLOOKUP(H1422,Stock_list!A:N,14,FALSE)</f>
        <v>JUL 19</v>
      </c>
    </row>
    <row r="1423" spans="1:21" ht="16.5" customHeight="1">
      <c r="A1423" s="159" t="s">
        <v>2749</v>
      </c>
      <c r="B1423" s="114" t="str">
        <f>VLOOKUP(A1423,'Data pick slip'!B:F,5,FALSE)</f>
        <v>KHJ-MC500-00</v>
      </c>
      <c r="F1423" s="157" t="s">
        <v>2773</v>
      </c>
      <c r="H1423" s="138">
        <v>305</v>
      </c>
      <c r="I1423" s="139" t="str">
        <f>VLOOKUP(H1423,Stock_list!A:R,18,FALSE)</f>
        <v>同基</v>
      </c>
      <c r="J1423" s="139" t="str">
        <f>VLOOKUP(H1423,Stock_list!A:S,17,FALSE)</f>
        <v>C49SZX20190069KW</v>
      </c>
      <c r="K1423" s="51" t="str">
        <f>VLOOKUP(H1423,Stock_list!A:T,16,FALSE)</f>
        <v>JPY</v>
      </c>
      <c r="L1423" s="4">
        <v>43602</v>
      </c>
      <c r="M1423" s="140">
        <v>2</v>
      </c>
      <c r="P1423" s="4" t="str">
        <f>VLOOKUP(H1423,Stock_list!A:Y,25,FALSE)</f>
        <v>Yes</v>
      </c>
      <c r="Q1423" s="143"/>
      <c r="S1423" s="123" t="s">
        <v>3004</v>
      </c>
      <c r="T1423" s="205" t="s">
        <v>3074</v>
      </c>
      <c r="U1423" s="145" t="str">
        <f>VLOOKUP(H1423,Stock_list!A:N,14,FALSE)</f>
        <v>JUL 19</v>
      </c>
    </row>
    <row r="1424" spans="1:21" ht="16.5" customHeight="1">
      <c r="A1424" s="159" t="s">
        <v>2750</v>
      </c>
      <c r="B1424" s="114" t="str">
        <f>VLOOKUP(A1424,'Data pick slip'!B:F,5,FALSE)</f>
        <v>KHJ-MC600-00</v>
      </c>
      <c r="F1424" s="157" t="s">
        <v>2862</v>
      </c>
      <c r="H1424" s="138">
        <v>305</v>
      </c>
      <c r="I1424" s="139" t="str">
        <f>VLOOKUP(H1424,Stock_list!A:R,18,FALSE)</f>
        <v>同基</v>
      </c>
      <c r="J1424" s="139" t="str">
        <f>VLOOKUP(H1424,Stock_list!A:S,17,FALSE)</f>
        <v>C49SZX20190069KW</v>
      </c>
      <c r="K1424" s="51" t="str">
        <f>VLOOKUP(H1424,Stock_list!A:T,16,FALSE)</f>
        <v>JPY</v>
      </c>
      <c r="L1424" s="4">
        <v>43664</v>
      </c>
      <c r="M1424" s="140">
        <v>2</v>
      </c>
      <c r="P1424" s="4" t="str">
        <f>VLOOKUP(H1424,Stock_list!A:Y,25,FALSE)</f>
        <v>Yes</v>
      </c>
      <c r="Q1424" s="143"/>
      <c r="T1424" s="144"/>
      <c r="U1424" s="145" t="str">
        <f>VLOOKUP(H1424,Stock_list!A:N,14,FALSE)</f>
        <v>JUL 19</v>
      </c>
    </row>
    <row r="1425" spans="1:21" ht="16.5" customHeight="1">
      <c r="A1425" s="159" t="s">
        <v>2757</v>
      </c>
      <c r="B1425" s="114" t="str">
        <f>VLOOKUP(A1425,'Data pick slip'!B:F,5,FALSE)</f>
        <v>KLJ-MC400-00</v>
      </c>
      <c r="F1425" s="157" t="s">
        <v>2773</v>
      </c>
      <c r="H1425" s="138">
        <v>460</v>
      </c>
      <c r="I1425" s="139" t="str">
        <f>VLOOKUP(H1425,Stock_list!A:R,18,FALSE)</f>
        <v>魔乐视/end user:拓普赛特</v>
      </c>
      <c r="J1425" s="139" t="str">
        <f>VLOOKUP(H1425,Stock_list!A:S,17,FALSE)</f>
        <v>C49SZX20190028MZR1</v>
      </c>
      <c r="K1425" s="51" t="str">
        <f>VLOOKUP(H1425,Stock_list!A:T,16,FALSE)</f>
        <v>JPY</v>
      </c>
      <c r="L1425" s="4"/>
      <c r="O1425" s="132">
        <f>7-7</f>
        <v>0</v>
      </c>
      <c r="P1425" s="4" t="str">
        <f>VLOOKUP(H1425,Stock_list!A:Y,25,FALSE)</f>
        <v>Yes</v>
      </c>
      <c r="Q1425" s="143"/>
      <c r="T1425" s="205"/>
      <c r="U1425" s="145" t="str">
        <f>VLOOKUP(H1425,Stock_list!A:N,14,FALSE)</f>
        <v>DEC 19</v>
      </c>
    </row>
    <row r="1426" spans="1:21" ht="16.5" customHeight="1">
      <c r="A1426" s="159" t="s">
        <v>2747</v>
      </c>
      <c r="B1426" s="114" t="str">
        <f>VLOOKUP(A1426,'Data pick slip'!B:F,5,FALSE)</f>
        <v>KHJ-MC200-00</v>
      </c>
      <c r="F1426" s="157" t="s">
        <v>2773</v>
      </c>
      <c r="I1426" s="139" t="s">
        <v>3094</v>
      </c>
      <c r="J1426" s="139" t="s">
        <v>3096</v>
      </c>
      <c r="K1426" s="51" t="s">
        <v>1246</v>
      </c>
      <c r="L1426" s="4">
        <v>43607</v>
      </c>
      <c r="M1426" s="132">
        <v>5</v>
      </c>
      <c r="P1426" s="4" t="s">
        <v>291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2748</v>
      </c>
      <c r="B1427" s="114" t="str">
        <f>VLOOKUP(A1427,'Data pick slip'!B:F,5,FALSE)</f>
        <v>KHJ-MC400-00</v>
      </c>
      <c r="F1427" s="157" t="s">
        <v>2773</v>
      </c>
      <c r="I1427" s="139" t="s">
        <v>3094</v>
      </c>
      <c r="J1427" s="139" t="s">
        <v>3096</v>
      </c>
      <c r="K1427" s="51" t="s">
        <v>1246</v>
      </c>
      <c r="L1427" s="4">
        <v>43607</v>
      </c>
      <c r="M1427" s="132">
        <v>1</v>
      </c>
      <c r="P1427" s="4" t="s">
        <v>291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2749</v>
      </c>
      <c r="B1428" s="114" t="str">
        <f>VLOOKUP(A1428,'Data pick slip'!B:F,5,FALSE)</f>
        <v>KHJ-MC500-00</v>
      </c>
      <c r="F1428" s="157" t="s">
        <v>2773</v>
      </c>
      <c r="I1428" s="139" t="s">
        <v>3094</v>
      </c>
      <c r="J1428" s="139" t="s">
        <v>3096</v>
      </c>
      <c r="K1428" s="51" t="s">
        <v>1246</v>
      </c>
      <c r="L1428" s="4">
        <v>43607</v>
      </c>
      <c r="M1428" s="132">
        <v>1</v>
      </c>
      <c r="P1428" s="4" t="s">
        <v>291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2744</v>
      </c>
      <c r="B1429" s="114" t="str">
        <f>VLOOKUP(A1429,'Data pick slip'!B:F,5,FALSE)</f>
        <v>KHJ-MC100-00</v>
      </c>
      <c r="F1429" s="157" t="s">
        <v>2773</v>
      </c>
      <c r="I1429" s="139" t="s">
        <v>3094</v>
      </c>
      <c r="J1429" s="139" t="s">
        <v>3097</v>
      </c>
      <c r="K1429" s="51" t="s">
        <v>1246</v>
      </c>
      <c r="L1429" s="4">
        <v>43598</v>
      </c>
      <c r="M1429" s="140">
        <v>5</v>
      </c>
      <c r="P1429" s="4" t="s">
        <v>291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2744</v>
      </c>
      <c r="B1430" s="114" t="str">
        <f>VLOOKUP(A1430,'Data pick slip'!B:F,5,FALSE)</f>
        <v>KHJ-MC100-00</v>
      </c>
      <c r="F1430" s="157" t="s">
        <v>2773</v>
      </c>
      <c r="H1430" s="138">
        <v>310</v>
      </c>
      <c r="I1430" s="139" t="str">
        <f>VLOOKUP(H1430,Stock_list!A:R,18,FALSE)</f>
        <v>恒康佳业</v>
      </c>
      <c r="J1430" s="139" t="str">
        <f>VLOOKUP(H1430,Stock_list!A:S,17,FALSE)</f>
        <v>C49SZX20190072ZX</v>
      </c>
      <c r="K1430" s="51" t="str">
        <f>VLOOKUP(H1430,Stock_list!A:T,16,FALSE)</f>
        <v>RMB</v>
      </c>
      <c r="L1430" s="4">
        <v>43665</v>
      </c>
      <c r="M1430" s="132">
        <v>20</v>
      </c>
      <c r="P1430" s="4" t="str">
        <f>VLOOKUP(H1430,Stock_list!A:Y,25,FALSE)</f>
        <v>Yes</v>
      </c>
      <c r="Q1430" s="143"/>
      <c r="T1430" s="144"/>
      <c r="U1430" s="145" t="str">
        <f>VLOOKUP(H1430,Stock_list!A:N,14,FALSE)</f>
        <v>JUL 19</v>
      </c>
    </row>
    <row r="1431" spans="1:21" ht="16.5" customHeight="1">
      <c r="A1431" s="159" t="s">
        <v>2747</v>
      </c>
      <c r="B1431" s="114" t="str">
        <f>VLOOKUP(A1431,'Data pick slip'!B:F,5,FALSE)</f>
        <v>KHJ-MC200-00</v>
      </c>
      <c r="F1431" s="157" t="s">
        <v>2773</v>
      </c>
      <c r="H1431" s="138">
        <v>310</v>
      </c>
      <c r="I1431" s="139" t="str">
        <f>VLOOKUP(H1431,Stock_list!A:R,18,FALSE)</f>
        <v>恒康佳业</v>
      </c>
      <c r="J1431" s="139" t="str">
        <f>VLOOKUP(H1431,Stock_list!A:S,17,FALSE)</f>
        <v>C49SZX20190072ZX</v>
      </c>
      <c r="K1431" s="51" t="str">
        <f>VLOOKUP(H1431,Stock_list!A:T,16,FALSE)</f>
        <v>RMB</v>
      </c>
      <c r="L1431" s="4">
        <v>43665</v>
      </c>
      <c r="M1431" s="132">
        <v>2</v>
      </c>
      <c r="P1431" s="4" t="str">
        <f>VLOOKUP(H1431,Stock_list!A:Y,25,FALSE)</f>
        <v>Yes</v>
      </c>
      <c r="Q1431" s="143"/>
      <c r="T1431" s="144"/>
      <c r="U1431" s="145" t="str">
        <f>VLOOKUP(H1431,Stock_list!A:N,14,FALSE)</f>
        <v>JUL 19</v>
      </c>
    </row>
    <row r="1432" spans="1:21" ht="16.5" customHeight="1">
      <c r="A1432" s="159" t="s">
        <v>2748</v>
      </c>
      <c r="B1432" s="114" t="str">
        <f>VLOOKUP(A1432,'Data pick slip'!B:F,5,FALSE)</f>
        <v>KHJ-MC400-00</v>
      </c>
      <c r="F1432" s="157" t="s">
        <v>2773</v>
      </c>
      <c r="H1432" s="138">
        <v>310</v>
      </c>
      <c r="I1432" s="139" t="str">
        <f>VLOOKUP(H1432,Stock_list!A:R,18,FALSE)</f>
        <v>恒康佳业</v>
      </c>
      <c r="J1432" s="139" t="str">
        <f>VLOOKUP(H1432,Stock_list!A:S,17,FALSE)</f>
        <v>C49SZX20190072ZX</v>
      </c>
      <c r="K1432" s="51" t="str">
        <f>VLOOKUP(H1432,Stock_list!A:T,16,FALSE)</f>
        <v>RMB</v>
      </c>
      <c r="L1432" s="4">
        <v>43665</v>
      </c>
      <c r="M1432" s="132">
        <v>2</v>
      </c>
      <c r="P1432" s="4" t="str">
        <f>VLOOKUP(H1432,Stock_list!A:Y,25,FALSE)</f>
        <v>Yes</v>
      </c>
      <c r="Q1432" s="143"/>
      <c r="T1432" s="144"/>
      <c r="U1432" s="145" t="str">
        <f>VLOOKUP(H1432,Stock_list!A:N,14,FALSE)</f>
        <v>JUL 19</v>
      </c>
    </row>
    <row r="1433" spans="1:21" ht="16.5" customHeight="1">
      <c r="A1433" s="159" t="s">
        <v>2744</v>
      </c>
      <c r="B1433" s="114" t="str">
        <f>VLOOKUP(A1433,'Data pick slip'!B:F,5,FALSE)</f>
        <v>KHJ-MC100-00</v>
      </c>
      <c r="F1433" s="157" t="s">
        <v>2773</v>
      </c>
      <c r="I1433" s="139" t="s">
        <v>3094</v>
      </c>
      <c r="J1433" s="139" t="s">
        <v>3098</v>
      </c>
      <c r="K1433" s="51" t="s">
        <v>1246</v>
      </c>
      <c r="L1433" s="4">
        <v>43599</v>
      </c>
      <c r="M1433" s="140">
        <v>15</v>
      </c>
      <c r="P1433" s="4" t="s">
        <v>291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2744</v>
      </c>
      <c r="B1434" s="114" t="str">
        <f>VLOOKUP(A1434,'Data pick slip'!B:F,5,FALSE)</f>
        <v>KHJ-MC100-00</v>
      </c>
      <c r="F1434" s="157" t="s">
        <v>2862</v>
      </c>
      <c r="H1434" s="138">
        <v>311</v>
      </c>
      <c r="I1434" s="139" t="str">
        <f>VLOOKUP(H1434,Stock_list!A:R,18,FALSE)</f>
        <v>东陆</v>
      </c>
      <c r="J1434" s="139" t="str">
        <f>VLOOKUP(H1434,Stock_list!A:S,17,FALSE)</f>
        <v>C49SZX20190071SX</v>
      </c>
      <c r="K1434" s="51" t="str">
        <f>VLOOKUP(H1434,Stock_list!A:T,16,FALSE)</f>
        <v>JPY</v>
      </c>
      <c r="L1434" s="4">
        <v>43642</v>
      </c>
      <c r="M1434" s="132">
        <v>32</v>
      </c>
      <c r="P1434" s="4" t="str">
        <f>VLOOKUP(H1434,Stock_list!A:Y,25,FALSE)</f>
        <v>Yes</v>
      </c>
      <c r="Q1434" s="143"/>
      <c r="T1434" s="144"/>
      <c r="U1434" s="145" t="str">
        <f>VLOOKUP(H1434,Stock_list!A:N,14,FALSE)</f>
        <v>JUN 19</v>
      </c>
    </row>
    <row r="1435" spans="1:21" ht="16.5" customHeight="1">
      <c r="A1435" s="159" t="s">
        <v>2747</v>
      </c>
      <c r="B1435" s="114" t="str">
        <f>VLOOKUP(A1435,'Data pick slip'!B:F,5,FALSE)</f>
        <v>KHJ-MC200-00</v>
      </c>
      <c r="F1435" s="157" t="s">
        <v>2862</v>
      </c>
      <c r="H1435" s="138">
        <v>311</v>
      </c>
      <c r="I1435" s="139" t="str">
        <f>VLOOKUP(H1435,Stock_list!A:R,18,FALSE)</f>
        <v>东陆</v>
      </c>
      <c r="J1435" s="139" t="str">
        <f>VLOOKUP(H1435,Stock_list!A:S,17,FALSE)</f>
        <v>C49SZX20190071SX</v>
      </c>
      <c r="K1435" s="51" t="str">
        <f>VLOOKUP(H1435,Stock_list!A:T,16,FALSE)</f>
        <v>JPY</v>
      </c>
      <c r="L1435" s="4">
        <v>43642</v>
      </c>
      <c r="M1435" s="132">
        <v>2</v>
      </c>
      <c r="P1435" s="4" t="str">
        <f>VLOOKUP(H1435,Stock_list!A:Y,25,FALSE)</f>
        <v>Yes</v>
      </c>
      <c r="Q1435" s="143"/>
      <c r="S1435" s="146"/>
      <c r="T1435" s="146"/>
      <c r="U1435" s="145" t="str">
        <f>VLOOKUP(H1435,Stock_list!A:N,14,FALSE)</f>
        <v>JUN 19</v>
      </c>
    </row>
    <row r="1436" spans="1:21" ht="16.5" customHeight="1">
      <c r="A1436" s="159" t="s">
        <v>2748</v>
      </c>
      <c r="B1436" s="114" t="str">
        <f>VLOOKUP(A1436,'Data pick slip'!B:F,5,FALSE)</f>
        <v>KHJ-MC400-00</v>
      </c>
      <c r="F1436" s="157" t="s">
        <v>2773</v>
      </c>
      <c r="H1436" s="138">
        <v>311</v>
      </c>
      <c r="I1436" s="139" t="str">
        <f>VLOOKUP(H1436,Stock_list!A:R,18,FALSE)</f>
        <v>东陆</v>
      </c>
      <c r="J1436" s="139" t="str">
        <f>VLOOKUP(H1436,Stock_list!A:S,17,FALSE)</f>
        <v>C49SZX20190071SX</v>
      </c>
      <c r="K1436" s="51" t="str">
        <f>VLOOKUP(H1436,Stock_list!A:T,16,FALSE)</f>
        <v>JPY</v>
      </c>
      <c r="L1436" s="4">
        <v>43642</v>
      </c>
      <c r="M1436" s="132">
        <v>1</v>
      </c>
      <c r="P1436" s="4" t="str">
        <f>VLOOKUP(H1436,Stock_list!A:Y,25,FALSE)</f>
        <v>Yes</v>
      </c>
      <c r="Q1436" s="143"/>
      <c r="S1436" s="123" t="s">
        <v>3004</v>
      </c>
      <c r="T1436" s="205" t="s">
        <v>3085</v>
      </c>
      <c r="U1436" s="145" t="str">
        <f>VLOOKUP(H1436,Stock_list!A:N,14,FALSE)</f>
        <v>JUN 19</v>
      </c>
    </row>
    <row r="1437" spans="1:21" ht="16.5" customHeight="1">
      <c r="A1437" s="159" t="s">
        <v>2744</v>
      </c>
      <c r="B1437" s="114" t="str">
        <f>VLOOKUP(A1437,'Data pick slip'!B:F,5,FALSE)</f>
        <v>KHJ-MC100-00</v>
      </c>
      <c r="F1437" s="157" t="s">
        <v>2773</v>
      </c>
      <c r="H1437" s="138">
        <v>312</v>
      </c>
      <c r="I1437" s="139" t="str">
        <f>VLOOKUP(H1437,Stock_list!A:R,18,FALSE)</f>
        <v>嘉兴</v>
      </c>
      <c r="J1437" s="139" t="str">
        <f>VLOOKUP(H1437,Stock_list!A:S,17,FALSE)</f>
        <v>C49SZX20190076SS</v>
      </c>
      <c r="K1437" s="51" t="str">
        <f>VLOOKUP(H1437,Stock_list!A:T,16,FALSE)</f>
        <v>RMB</v>
      </c>
      <c r="L1437" s="4">
        <v>43753</v>
      </c>
      <c r="M1437" s="132">
        <v>60</v>
      </c>
      <c r="P1437" s="4" t="str">
        <f>VLOOKUP(H1437,Stock_list!A:Y,25,FALSE)</f>
        <v>Yes</v>
      </c>
      <c r="Q1437" s="143"/>
      <c r="T1437" s="144"/>
      <c r="U1437" s="145" t="str">
        <f>VLOOKUP(H1437,Stock_list!A:N,14,FALSE)</f>
        <v>OCT 19</v>
      </c>
    </row>
    <row r="1438" spans="1:21" ht="16.5" customHeight="1">
      <c r="A1438" s="159" t="s">
        <v>2747</v>
      </c>
      <c r="B1438" s="114" t="str">
        <f>VLOOKUP(A1438,'Data pick slip'!B:F,5,FALSE)</f>
        <v>KHJ-MC200-00</v>
      </c>
      <c r="F1438" s="157" t="s">
        <v>2773</v>
      </c>
      <c r="H1438" s="138">
        <v>312</v>
      </c>
      <c r="I1438" s="139" t="str">
        <f>VLOOKUP(H1438,Stock_list!A:R,18,FALSE)</f>
        <v>嘉兴</v>
      </c>
      <c r="J1438" s="139" t="str">
        <f>VLOOKUP(H1438,Stock_list!A:S,17,FALSE)</f>
        <v>C49SZX20190076SS</v>
      </c>
      <c r="K1438" s="51" t="str">
        <f>VLOOKUP(H1438,Stock_list!A:T,16,FALSE)</f>
        <v>RMB</v>
      </c>
      <c r="L1438" s="4">
        <v>43753</v>
      </c>
      <c r="M1438" s="132">
        <v>6</v>
      </c>
      <c r="P1438" s="4" t="str">
        <f>VLOOKUP(H1438,Stock_list!A:Y,25,FALSE)</f>
        <v>Yes</v>
      </c>
      <c r="Q1438" s="143"/>
      <c r="T1438" s="144"/>
      <c r="U1438" s="145" t="str">
        <f>VLOOKUP(H1438,Stock_list!A:N,14,FALSE)</f>
        <v>OCT 19</v>
      </c>
    </row>
    <row r="1439" spans="1:21" ht="16.5" customHeight="1">
      <c r="A1439" s="159" t="s">
        <v>2748</v>
      </c>
      <c r="B1439" s="114" t="str">
        <f>VLOOKUP(A1439,'Data pick slip'!B:F,5,FALSE)</f>
        <v>KHJ-MC400-00</v>
      </c>
      <c r="F1439" s="157" t="s">
        <v>2773</v>
      </c>
      <c r="H1439" s="138">
        <v>312</v>
      </c>
      <c r="I1439" s="139" t="str">
        <f>VLOOKUP(H1439,Stock_list!A:R,18,FALSE)</f>
        <v>嘉兴</v>
      </c>
      <c r="J1439" s="139" t="str">
        <f>VLOOKUP(H1439,Stock_list!A:S,17,FALSE)</f>
        <v>C49SZX20190076SS</v>
      </c>
      <c r="K1439" s="51" t="str">
        <f>VLOOKUP(H1439,Stock_list!A:T,16,FALSE)</f>
        <v>RMB</v>
      </c>
      <c r="L1439" s="4">
        <v>43753</v>
      </c>
      <c r="M1439" s="132">
        <v>1</v>
      </c>
      <c r="P1439" s="4" t="str">
        <f>VLOOKUP(H1439,Stock_list!A:Y,25,FALSE)</f>
        <v>Yes</v>
      </c>
      <c r="Q1439" s="143"/>
      <c r="T1439" s="144"/>
      <c r="U1439" s="145" t="str">
        <f>VLOOKUP(H1439,Stock_list!A:N,14,FALSE)</f>
        <v>OCT 19</v>
      </c>
    </row>
    <row r="1440" spans="1:21" ht="16.5" customHeight="1">
      <c r="A1440" s="159" t="s">
        <v>2744</v>
      </c>
      <c r="B1440" s="114" t="str">
        <f>VLOOKUP(A1440,'Data pick slip'!B:F,5,FALSE)</f>
        <v>KHJ-MC100-00</v>
      </c>
      <c r="F1440" s="157" t="s">
        <v>2773</v>
      </c>
      <c r="H1440" s="138">
        <v>314</v>
      </c>
      <c r="I1440" s="139" t="str">
        <f>VLOOKUP(H1440,Stock_list!A:R,18,FALSE)</f>
        <v>派诺</v>
      </c>
      <c r="J1440" s="139" t="str">
        <f>VLOOKUP(H1440,Stock_list!A:S,17,FALSE)</f>
        <v>C49SZX20190066MZ</v>
      </c>
      <c r="K1440" s="51" t="str">
        <f>VLOOKUP(H1440,Stock_list!A:T,16,FALSE)</f>
        <v>RMB</v>
      </c>
      <c r="L1440" s="4">
        <v>43631</v>
      </c>
      <c r="M1440" s="132">
        <v>50</v>
      </c>
      <c r="P1440" s="4" t="str">
        <f>VLOOKUP(H1440,Stock_list!A:Y,25,FALSE)</f>
        <v>Yes</v>
      </c>
      <c r="Q1440" s="143"/>
      <c r="T1440" s="144"/>
      <c r="U1440" s="145" t="str">
        <f>VLOOKUP(H1440,Stock_list!A:N,14,FALSE)</f>
        <v>JUN 19</v>
      </c>
    </row>
    <row r="1441" spans="1:21" ht="16.5" customHeight="1">
      <c r="A1441" s="159" t="s">
        <v>2747</v>
      </c>
      <c r="B1441" s="114" t="str">
        <f>VLOOKUP(A1441,'Data pick slip'!B:F,5,FALSE)</f>
        <v>KHJ-MC200-00</v>
      </c>
      <c r="F1441" s="157" t="s">
        <v>2773</v>
      </c>
      <c r="H1441" s="138">
        <v>314</v>
      </c>
      <c r="I1441" s="139" t="str">
        <f>VLOOKUP(H1441,Stock_list!A:R,18,FALSE)</f>
        <v>派诺</v>
      </c>
      <c r="J1441" s="139" t="str">
        <f>VLOOKUP(H1441,Stock_list!A:S,17,FALSE)</f>
        <v>C49SZX20190066MZ</v>
      </c>
      <c r="K1441" s="51" t="str">
        <f>VLOOKUP(H1441,Stock_list!A:T,16,FALSE)</f>
        <v>RMB</v>
      </c>
      <c r="L1441" s="4">
        <v>43631</v>
      </c>
      <c r="M1441" s="132">
        <v>10</v>
      </c>
      <c r="P1441" s="4" t="str">
        <f>VLOOKUP(H1441,Stock_list!A:Y,25,FALSE)</f>
        <v>Yes</v>
      </c>
      <c r="Q1441" s="143"/>
      <c r="T1441" s="144"/>
      <c r="U1441" s="145" t="str">
        <f>VLOOKUP(H1441,Stock_list!A:N,14,FALSE)</f>
        <v>JUN 19</v>
      </c>
    </row>
    <row r="1442" spans="1:21" ht="16.5" customHeight="1">
      <c r="A1442" s="159" t="s">
        <v>2748</v>
      </c>
      <c r="B1442" s="114" t="str">
        <f>VLOOKUP(A1442,'Data pick slip'!B:F,5,FALSE)</f>
        <v>KHJ-MC400-00</v>
      </c>
      <c r="F1442" s="157" t="s">
        <v>2773</v>
      </c>
      <c r="H1442" s="138">
        <v>314</v>
      </c>
      <c r="I1442" s="139" t="str">
        <f>VLOOKUP(H1442,Stock_list!A:R,18,FALSE)</f>
        <v>派诺</v>
      </c>
      <c r="J1442" s="139" t="str">
        <f>VLOOKUP(H1442,Stock_list!A:S,17,FALSE)</f>
        <v>C49SZX20190066MZ</v>
      </c>
      <c r="K1442" s="51" t="str">
        <f>VLOOKUP(H1442,Stock_list!A:T,16,FALSE)</f>
        <v>RMB</v>
      </c>
      <c r="L1442" s="4">
        <v>43631</v>
      </c>
      <c r="M1442" s="132">
        <v>3</v>
      </c>
      <c r="P1442" s="4" t="str">
        <f>VLOOKUP(H1442,Stock_list!A:Y,25,FALSE)</f>
        <v>Yes</v>
      </c>
      <c r="Q1442" s="143"/>
      <c r="T1442" s="144"/>
      <c r="U1442" s="145" t="str">
        <f>VLOOKUP(H1442,Stock_list!A:N,14,FALSE)</f>
        <v>JUN 19</v>
      </c>
    </row>
    <row r="1443" spans="1:21" ht="16.5" customHeight="1">
      <c r="A1443" s="159" t="s">
        <v>2744</v>
      </c>
      <c r="B1443" s="114" t="str">
        <f>VLOOKUP(A1443,'Data pick slip'!B:F,5,FALSE)</f>
        <v>KHJ-MC100-00</v>
      </c>
      <c r="F1443" s="157" t="s">
        <v>2862</v>
      </c>
      <c r="I1443" s="139" t="s">
        <v>3016</v>
      </c>
      <c r="J1443" s="139" t="s">
        <v>3099</v>
      </c>
      <c r="K1443" s="51" t="s">
        <v>1246</v>
      </c>
      <c r="L1443" s="4">
        <v>43605</v>
      </c>
      <c r="M1443" s="140">
        <v>13</v>
      </c>
      <c r="P1443" s="4" t="s">
        <v>291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2747</v>
      </c>
      <c r="B1444" s="114" t="str">
        <f>VLOOKUP(A1444,'Data pick slip'!B:F,5,FALSE)</f>
        <v>KHJ-MC200-00</v>
      </c>
      <c r="F1444" s="157" t="s">
        <v>2862</v>
      </c>
      <c r="I1444" s="139" t="s">
        <v>3016</v>
      </c>
      <c r="J1444" s="139" t="s">
        <v>3099</v>
      </c>
      <c r="K1444" s="51" t="s">
        <v>1246</v>
      </c>
      <c r="L1444" s="4">
        <v>43605</v>
      </c>
      <c r="M1444" s="140">
        <v>31</v>
      </c>
      <c r="P1444" s="4" t="s">
        <v>291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2748</v>
      </c>
      <c r="B1445" s="114" t="str">
        <f>VLOOKUP(A1445,'Data pick slip'!B:F,5,FALSE)</f>
        <v>KHJ-MC400-00</v>
      </c>
      <c r="F1445" s="157" t="s">
        <v>2862</v>
      </c>
      <c r="I1445" s="139" t="s">
        <v>3016</v>
      </c>
      <c r="J1445" s="139" t="s">
        <v>3099</v>
      </c>
      <c r="K1445" s="51" t="s">
        <v>1246</v>
      </c>
      <c r="L1445" s="4">
        <v>43605</v>
      </c>
      <c r="M1445" s="140">
        <v>25</v>
      </c>
      <c r="P1445" s="4" t="s">
        <v>291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2744</v>
      </c>
      <c r="B1446" s="114" t="str">
        <f>VLOOKUP(A1446,'Data pick slip'!B:F,5,FALSE)</f>
        <v>KHJ-MC100-00</v>
      </c>
      <c r="F1446" s="157" t="s">
        <v>2773</v>
      </c>
      <c r="H1446" s="138">
        <v>305</v>
      </c>
      <c r="I1446" s="139" t="str">
        <f>VLOOKUP(H1446,Stock_list!A:R,18,FALSE)</f>
        <v>同基</v>
      </c>
      <c r="J1446" s="139" t="str">
        <f>VLOOKUP(H1446,Stock_list!A:S,17,FALSE)</f>
        <v>C49SZX20190069KW</v>
      </c>
      <c r="K1446" s="51" t="str">
        <f>VLOOKUP(H1446,Stock_list!A:T,16,FALSE)</f>
        <v>JPY</v>
      </c>
      <c r="L1446" s="4">
        <v>43602</v>
      </c>
      <c r="O1446" s="132">
        <f>90-90</f>
        <v>0</v>
      </c>
      <c r="P1446" s="4" t="str">
        <f>VLOOKUP(H1446,Stock_list!A:Y,25,FALSE)</f>
        <v>Yes</v>
      </c>
      <c r="Q1446" s="143"/>
      <c r="T1446" s="144"/>
      <c r="U1446" s="145" t="str">
        <f>VLOOKUP(H1446,Stock_list!A:N,14,FALSE)</f>
        <v>JUL 19</v>
      </c>
    </row>
    <row r="1447" spans="1:21" ht="16.5" customHeight="1">
      <c r="A1447" s="159" t="s">
        <v>2747</v>
      </c>
      <c r="B1447" s="114" t="str">
        <f>VLOOKUP(A1447,'Data pick slip'!B:F,5,FALSE)</f>
        <v>KHJ-MC200-00</v>
      </c>
      <c r="F1447" s="157" t="s">
        <v>2773</v>
      </c>
      <c r="H1447" s="138">
        <v>305</v>
      </c>
      <c r="I1447" s="139" t="str">
        <f>VLOOKUP(H1447,Stock_list!A:R,18,FALSE)</f>
        <v>同基</v>
      </c>
      <c r="J1447" s="139" t="str">
        <f>VLOOKUP(H1447,Stock_list!A:S,17,FALSE)</f>
        <v>C49SZX20190069KW</v>
      </c>
      <c r="K1447" s="51" t="str">
        <f>VLOOKUP(H1447,Stock_list!A:T,16,FALSE)</f>
        <v>JPY</v>
      </c>
      <c r="L1447" s="4">
        <v>43602</v>
      </c>
      <c r="O1447" s="132">
        <f>15-15</f>
        <v>0</v>
      </c>
      <c r="P1447" s="4" t="str">
        <f>VLOOKUP(H1447,Stock_list!A:Y,25,FALSE)</f>
        <v>Yes</v>
      </c>
      <c r="Q1447" s="143"/>
      <c r="T1447" s="144"/>
      <c r="U1447" s="145" t="str">
        <f>VLOOKUP(H1447,Stock_list!A:N,14,FALSE)</f>
        <v>JUL 19</v>
      </c>
    </row>
    <row r="1448" spans="1:21" ht="16.5" customHeight="1">
      <c r="A1448" s="159" t="s">
        <v>2748</v>
      </c>
      <c r="B1448" s="114" t="str">
        <f>VLOOKUP(A1448,'Data pick slip'!B:F,5,FALSE)</f>
        <v>KHJ-MC400-00</v>
      </c>
      <c r="F1448" s="157" t="s">
        <v>2773</v>
      </c>
      <c r="H1448" s="138">
        <v>305</v>
      </c>
      <c r="I1448" s="139" t="str">
        <f>VLOOKUP(H1448,Stock_list!A:R,18,FALSE)</f>
        <v>同基</v>
      </c>
      <c r="J1448" s="139" t="str">
        <f>VLOOKUP(H1448,Stock_list!A:S,17,FALSE)</f>
        <v>C49SZX20190069KW</v>
      </c>
      <c r="K1448" s="51" t="str">
        <f>VLOOKUP(H1448,Stock_list!A:T,16,FALSE)</f>
        <v>JPY</v>
      </c>
      <c r="L1448" s="4">
        <v>43609</v>
      </c>
      <c r="O1448" s="132">
        <f>4-4</f>
        <v>0</v>
      </c>
      <c r="P1448" s="4" t="str">
        <f>VLOOKUP(H1448,Stock_list!A:Y,25,FALSE)</f>
        <v>Yes</v>
      </c>
      <c r="Q1448" s="143"/>
      <c r="T1448" s="144"/>
      <c r="U1448" s="145" t="str">
        <f>VLOOKUP(H1448,Stock_list!A:N,14,FALSE)</f>
        <v>JUL 19</v>
      </c>
    </row>
    <row r="1449" spans="1:21" ht="16.5" customHeight="1">
      <c r="A1449" s="159" t="s">
        <v>2747</v>
      </c>
      <c r="B1449" s="114" t="str">
        <f>VLOOKUP(A1449,'Data pick slip'!B:F,5,FALSE)</f>
        <v>KHJ-MC200-00</v>
      </c>
      <c r="F1449" s="157" t="s">
        <v>2773</v>
      </c>
      <c r="I1449" s="139" t="s">
        <v>3100</v>
      </c>
      <c r="J1449" s="139" t="s">
        <v>3101</v>
      </c>
      <c r="K1449" s="51" t="s">
        <v>1246</v>
      </c>
      <c r="L1449" s="4">
        <v>43606</v>
      </c>
      <c r="M1449" s="140">
        <v>2</v>
      </c>
      <c r="P1449" s="4" t="s">
        <v>291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2747</v>
      </c>
      <c r="B1450" s="114" t="str">
        <f>VLOOKUP(A1450,'Data pick slip'!B:F,5,FALSE)</f>
        <v>KHJ-MC200-00</v>
      </c>
      <c r="F1450" s="157" t="s">
        <v>2773</v>
      </c>
      <c r="I1450" s="139" t="s">
        <v>3100</v>
      </c>
      <c r="J1450" s="139" t="s">
        <v>3102</v>
      </c>
      <c r="K1450" s="51" t="s">
        <v>1246</v>
      </c>
      <c r="L1450" s="4">
        <v>43606</v>
      </c>
      <c r="M1450" s="140">
        <v>4</v>
      </c>
      <c r="P1450" s="4" t="s">
        <v>291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2748</v>
      </c>
      <c r="B1451" s="114" t="str">
        <f>VLOOKUP(A1451,'Data pick slip'!B:F,5,FALSE)</f>
        <v>KHJ-MC400-00</v>
      </c>
      <c r="F1451" s="157" t="s">
        <v>2773</v>
      </c>
      <c r="I1451" s="139" t="s">
        <v>3100</v>
      </c>
      <c r="J1451" s="139" t="s">
        <v>3102</v>
      </c>
      <c r="K1451" s="51" t="s">
        <v>1246</v>
      </c>
      <c r="L1451" s="4">
        <v>43606</v>
      </c>
      <c r="M1451" s="140">
        <v>5</v>
      </c>
      <c r="P1451" s="4" t="s">
        <v>291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2750</v>
      </c>
      <c r="B1452" s="114" t="str">
        <f>VLOOKUP(A1452,'Data pick slip'!B:F,5,FALSE)</f>
        <v>KHJ-MC600-00</v>
      </c>
      <c r="F1452" s="157" t="s">
        <v>2773</v>
      </c>
      <c r="I1452" s="139" t="s">
        <v>3100</v>
      </c>
      <c r="J1452" s="139" t="s">
        <v>3103</v>
      </c>
      <c r="K1452" s="51" t="s">
        <v>1246</v>
      </c>
      <c r="L1452" s="4">
        <v>43607</v>
      </c>
      <c r="M1452" s="140">
        <v>1</v>
      </c>
      <c r="P1452" s="4" t="s">
        <v>291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2747</v>
      </c>
      <c r="B1453" s="114" t="str">
        <f>VLOOKUP(A1453,'Data pick slip'!B:F,5,FALSE)</f>
        <v>KHJ-MC200-00</v>
      </c>
      <c r="F1453" s="157" t="s">
        <v>2773</v>
      </c>
      <c r="I1453" s="139" t="s">
        <v>3094</v>
      </c>
      <c r="J1453" s="139" t="s">
        <v>3104</v>
      </c>
      <c r="K1453" s="51" t="s">
        <v>1246</v>
      </c>
      <c r="L1453" s="4">
        <v>43607</v>
      </c>
      <c r="M1453" s="140">
        <v>1</v>
      </c>
      <c r="P1453" s="4" t="s">
        <v>291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2744</v>
      </c>
      <c r="B1454" s="114" t="str">
        <f>VLOOKUP(A1454,'Data pick slip'!B:F,5,FALSE)</f>
        <v>KHJ-MC100-00</v>
      </c>
      <c r="F1454" s="157" t="s">
        <v>2773</v>
      </c>
      <c r="I1454" s="139" t="s">
        <v>3094</v>
      </c>
      <c r="J1454" s="139" t="s">
        <v>3105</v>
      </c>
      <c r="K1454" s="51" t="s">
        <v>1246</v>
      </c>
      <c r="L1454" s="4">
        <v>43609</v>
      </c>
      <c r="M1454" s="140">
        <v>10</v>
      </c>
      <c r="P1454" s="4" t="s">
        <v>291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2748</v>
      </c>
      <c r="B1455" s="114" t="str">
        <f>VLOOKUP(A1455,'Data pick slip'!B:F,5,FALSE)</f>
        <v>KHJ-MC400-00</v>
      </c>
      <c r="F1455" s="157" t="s">
        <v>2773</v>
      </c>
      <c r="I1455" s="139" t="s">
        <v>3106</v>
      </c>
      <c r="J1455" s="139" t="s">
        <v>3107</v>
      </c>
      <c r="K1455" s="51" t="s">
        <v>1246</v>
      </c>
      <c r="L1455" s="4">
        <v>43609</v>
      </c>
      <c r="M1455" s="140">
        <v>2</v>
      </c>
      <c r="P1455" s="4" t="s">
        <v>291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2750</v>
      </c>
      <c r="B1456" s="114" t="str">
        <f>VLOOKUP(A1456,'Data pick slip'!B:F,5,FALSE)</f>
        <v>KHJ-MC600-00</v>
      </c>
      <c r="F1456" s="157" t="s">
        <v>2773</v>
      </c>
      <c r="I1456" s="139" t="s">
        <v>3106</v>
      </c>
      <c r="J1456" s="139" t="s">
        <v>3107</v>
      </c>
      <c r="K1456" s="51" t="s">
        <v>1246</v>
      </c>
      <c r="L1456" s="4">
        <v>43609</v>
      </c>
      <c r="M1456" s="140">
        <v>1</v>
      </c>
      <c r="P1456" s="4" t="s">
        <v>291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2744</v>
      </c>
      <c r="B1457" s="114" t="str">
        <f>VLOOKUP(A1457,'Data pick slip'!B:F,5,FALSE)</f>
        <v>KHJ-MC100-00</v>
      </c>
      <c r="F1457" s="157" t="s">
        <v>2773</v>
      </c>
      <c r="H1457" s="138">
        <v>320</v>
      </c>
      <c r="I1457" s="139" t="str">
        <f>VLOOKUP(H1457,Stock_list!A:R,18,FALSE)</f>
        <v>An Lin东莞安林</v>
      </c>
      <c r="J1457" s="139" t="str">
        <f>VLOOKUP(H1457,Stock_list!A:S,17,FALSE)</f>
        <v>C49SZX20190077SX</v>
      </c>
      <c r="K1457" s="51" t="str">
        <f>VLOOKUP(H1457,Stock_list!A:T,16,FALSE)</f>
        <v>RMB</v>
      </c>
      <c r="L1457" s="4">
        <v>43622</v>
      </c>
      <c r="M1457" s="132">
        <v>83</v>
      </c>
      <c r="P1457" s="4" t="str">
        <f>VLOOKUP(H1457,Stock_list!A:Y,25,FALSE)</f>
        <v>Yes</v>
      </c>
      <c r="Q1457" s="143"/>
      <c r="T1457" s="144"/>
      <c r="U1457" s="145" t="str">
        <f>VLOOKUP(H1457,Stock_list!A:N,14,FALSE)</f>
        <v>JUN 19</v>
      </c>
    </row>
    <row r="1458" spans="1:21" ht="16.5" customHeight="1">
      <c r="A1458" s="159" t="s">
        <v>2747</v>
      </c>
      <c r="B1458" s="114" t="str">
        <f>VLOOKUP(A1458,'Data pick slip'!B:F,5,FALSE)</f>
        <v>KHJ-MC200-00</v>
      </c>
      <c r="F1458" s="157" t="s">
        <v>2773</v>
      </c>
      <c r="H1458" s="138">
        <v>320</v>
      </c>
      <c r="I1458" s="139" t="str">
        <f>VLOOKUP(H1458,Stock_list!A:R,18,FALSE)</f>
        <v>An Lin东莞安林</v>
      </c>
      <c r="J1458" s="139" t="str">
        <f>VLOOKUP(H1458,Stock_list!A:S,17,FALSE)</f>
        <v>C49SZX20190077SX</v>
      </c>
      <c r="K1458" s="51" t="str">
        <f>VLOOKUP(H1458,Stock_list!A:T,16,FALSE)</f>
        <v>RMB</v>
      </c>
      <c r="L1458" s="4">
        <v>43622</v>
      </c>
      <c r="M1458" s="132">
        <v>20</v>
      </c>
      <c r="P1458" s="4" t="str">
        <f>VLOOKUP(H1458,Stock_list!A:Y,25,FALSE)</f>
        <v>Yes</v>
      </c>
      <c r="Q1458" s="143"/>
      <c r="T1458" s="144"/>
      <c r="U1458" s="145" t="str">
        <f>VLOOKUP(H1458,Stock_list!A:N,14,FALSE)</f>
        <v>JUN 19</v>
      </c>
    </row>
    <row r="1459" spans="1:21" ht="16.5" customHeight="1">
      <c r="A1459" s="159" t="s">
        <v>2744</v>
      </c>
      <c r="B1459" s="114" t="str">
        <f>VLOOKUP(A1459,'Data pick slip'!B:F,5,FALSE)</f>
        <v>KHJ-MC100-00</v>
      </c>
      <c r="F1459" s="157" t="s">
        <v>2862</v>
      </c>
      <c r="H1459" s="138">
        <v>322</v>
      </c>
      <c r="I1459" s="139" t="str">
        <f>VLOOKUP(H1459,Stock_list!A:R,18,FALSE)</f>
        <v>旭日</v>
      </c>
      <c r="J1459" s="139" t="str">
        <f>VLOOKUP(H1459,Stock_list!A:S,17,FALSE)</f>
        <v>C49SZX20190065JY</v>
      </c>
      <c r="K1459" s="51" t="str">
        <f>VLOOKUP(H1459,Stock_list!A:T,16,FALSE)</f>
        <v>RMB</v>
      </c>
      <c r="L1459" s="4">
        <v>43650</v>
      </c>
      <c r="M1459" s="132">
        <v>30</v>
      </c>
      <c r="P1459" s="4" t="str">
        <f>VLOOKUP(H1459,Stock_list!A:Y,25,FALSE)</f>
        <v>Yes</v>
      </c>
      <c r="Q1459" s="143"/>
      <c r="T1459" s="144"/>
      <c r="U1459" s="145" t="str">
        <f>VLOOKUP(H1459,Stock_list!A:N,14,FALSE)</f>
        <v>JUL 19</v>
      </c>
    </row>
    <row r="1460" spans="1:21" ht="16.5" customHeight="1">
      <c r="A1460" s="159" t="s">
        <v>2747</v>
      </c>
      <c r="B1460" s="114" t="str">
        <f>VLOOKUP(A1460,'Data pick slip'!B:F,5,FALSE)</f>
        <v>KHJ-MC200-00</v>
      </c>
      <c r="F1460" s="157" t="s">
        <v>2773</v>
      </c>
      <c r="H1460" s="138">
        <v>322</v>
      </c>
      <c r="I1460" s="139" t="str">
        <f>VLOOKUP(H1460,Stock_list!A:R,18,FALSE)</f>
        <v>旭日</v>
      </c>
      <c r="J1460" s="139" t="str">
        <f>VLOOKUP(H1460,Stock_list!A:S,17,FALSE)</f>
        <v>C49SZX20190065JY</v>
      </c>
      <c r="K1460" s="51" t="str">
        <f>VLOOKUP(H1460,Stock_list!A:T,16,FALSE)</f>
        <v>RMB</v>
      </c>
      <c r="L1460" s="4">
        <v>43650</v>
      </c>
      <c r="M1460" s="132">
        <v>5</v>
      </c>
      <c r="P1460" s="4" t="str">
        <f>VLOOKUP(H1460,Stock_list!A:Y,25,FALSE)</f>
        <v>Yes</v>
      </c>
      <c r="Q1460" s="143"/>
      <c r="T1460" s="144"/>
      <c r="U1460" s="145" t="str">
        <f>VLOOKUP(H1460,Stock_list!A:N,14,FALSE)</f>
        <v>JUL 19</v>
      </c>
    </row>
    <row r="1461" spans="1:21" ht="16.5" customHeight="1">
      <c r="A1461" s="159" t="s">
        <v>2744</v>
      </c>
      <c r="B1461" s="114" t="str">
        <f>VLOOKUP(A1461,'Data pick slip'!B:F,5,FALSE)</f>
        <v>KHJ-MC100-00</v>
      </c>
      <c r="F1461" s="157" t="s">
        <v>2773</v>
      </c>
      <c r="H1461" s="138">
        <v>323</v>
      </c>
      <c r="I1461" s="139" t="str">
        <f>VLOOKUP(H1461,Stock_list!A:R,18,FALSE)</f>
        <v>力通威</v>
      </c>
      <c r="J1461" s="139" t="str">
        <f>VLOOKUP(H1461,Stock_list!A:S,17,FALSE)</f>
        <v>C49SZX20190073JL</v>
      </c>
      <c r="K1461" s="51" t="str">
        <f>VLOOKUP(H1461,Stock_list!A:T,16,FALSE)</f>
        <v>RMB</v>
      </c>
      <c r="L1461" s="4">
        <v>43629</v>
      </c>
      <c r="M1461" s="132">
        <v>60</v>
      </c>
      <c r="P1461" s="4" t="str">
        <f>VLOOKUP(H1461,Stock_list!A:Y,25,FALSE)</f>
        <v>Yes</v>
      </c>
      <c r="Q1461" s="143"/>
      <c r="T1461" s="144"/>
      <c r="U1461" s="145" t="str">
        <f>VLOOKUP(H1461,Stock_list!A:N,14,FALSE)</f>
        <v>JUN 19</v>
      </c>
    </row>
    <row r="1462" spans="1:21" ht="16.5" customHeight="1">
      <c r="A1462" s="159" t="s">
        <v>2747</v>
      </c>
      <c r="B1462" s="114" t="str">
        <f>VLOOKUP(A1462,'Data pick slip'!B:F,5,FALSE)</f>
        <v>KHJ-MC200-00</v>
      </c>
      <c r="F1462" s="157" t="s">
        <v>2773</v>
      </c>
      <c r="H1462" s="138">
        <v>323</v>
      </c>
      <c r="I1462" s="139" t="str">
        <f>VLOOKUP(H1462,Stock_list!A:R,18,FALSE)</f>
        <v>力通威</v>
      </c>
      <c r="J1462" s="139" t="str">
        <f>VLOOKUP(H1462,Stock_list!A:S,17,FALSE)</f>
        <v>C49SZX20190073JL</v>
      </c>
      <c r="K1462" s="51" t="str">
        <f>VLOOKUP(H1462,Stock_list!A:T,16,FALSE)</f>
        <v>RMB</v>
      </c>
      <c r="L1462" s="4">
        <v>43629</v>
      </c>
      <c r="M1462" s="132">
        <v>20</v>
      </c>
      <c r="P1462" s="4" t="str">
        <f>VLOOKUP(H1462,Stock_list!A:Y,25,FALSE)</f>
        <v>Yes</v>
      </c>
      <c r="Q1462" s="143"/>
      <c r="T1462" s="144"/>
      <c r="U1462" s="145" t="str">
        <f>VLOOKUP(H1462,Stock_list!A:N,14,FALSE)</f>
        <v>JUN 19</v>
      </c>
    </row>
    <row r="1463" spans="1:21" ht="16.5" customHeight="1">
      <c r="A1463" s="159" t="s">
        <v>2748</v>
      </c>
      <c r="B1463" s="114" t="str">
        <f>VLOOKUP(A1463,'Data pick slip'!B:F,5,FALSE)</f>
        <v>KHJ-MC400-00</v>
      </c>
      <c r="F1463" s="157" t="s">
        <v>2773</v>
      </c>
      <c r="H1463" s="138">
        <v>323</v>
      </c>
      <c r="I1463" s="139" t="str">
        <f>VLOOKUP(H1463,Stock_list!A:R,18,FALSE)</f>
        <v>力通威</v>
      </c>
      <c r="J1463" s="139" t="str">
        <f>VLOOKUP(H1463,Stock_list!A:S,17,FALSE)</f>
        <v>C49SZX20190073JL</v>
      </c>
      <c r="K1463" s="51" t="str">
        <f>VLOOKUP(H1463,Stock_list!A:T,16,FALSE)</f>
        <v>RMB</v>
      </c>
      <c r="L1463" s="4">
        <v>43629</v>
      </c>
      <c r="M1463" s="132">
        <v>4</v>
      </c>
      <c r="P1463" s="4" t="str">
        <f>VLOOKUP(H1463,Stock_list!A:Y,25,FALSE)</f>
        <v>Yes</v>
      </c>
      <c r="Q1463" s="143"/>
      <c r="T1463" s="144"/>
      <c r="U1463" s="145" t="str">
        <f>VLOOKUP(H1463,Stock_list!A:N,14,FALSE)</f>
        <v>JUN 19</v>
      </c>
    </row>
    <row r="1464" spans="1:21" ht="16.5" customHeight="1">
      <c r="A1464" s="159" t="s">
        <v>2744</v>
      </c>
      <c r="B1464" s="114" t="str">
        <f>VLOOKUP(A1464,'Data pick slip'!B:F,5,FALSE)</f>
        <v>KHJ-MC100-00</v>
      </c>
      <c r="F1464" s="157" t="s">
        <v>2862</v>
      </c>
      <c r="H1464" s="138">
        <v>327</v>
      </c>
      <c r="I1464" s="139" t="str">
        <f>VLOOKUP(H1464,Stock_list!A:R,18,FALSE)</f>
        <v>宽宏/End user:亿联</v>
      </c>
      <c r="J1464" s="139" t="str">
        <f>VLOOKUP(H1464,Stock_list!A:S,17,FALSE)</f>
        <v>C49SZX20190075ZX</v>
      </c>
      <c r="K1464" s="51" t="str">
        <f>VLOOKUP(H1464,Stock_list!A:T,16,FALSE)</f>
        <v>JPY</v>
      </c>
      <c r="L1464" s="4">
        <v>43627</v>
      </c>
      <c r="M1464" s="132">
        <v>105</v>
      </c>
      <c r="P1464" s="4" t="str">
        <f>VLOOKUP(H1464,Stock_list!A:Y,25,FALSE)</f>
        <v>Yes</v>
      </c>
      <c r="Q1464" s="143"/>
      <c r="T1464" s="144"/>
      <c r="U1464" s="145" t="str">
        <f>VLOOKUP(H1464,Stock_list!A:N,14,FALSE)</f>
        <v>JUN 19</v>
      </c>
    </row>
    <row r="1465" spans="1:21" ht="16.5" customHeight="1">
      <c r="A1465" s="159" t="s">
        <v>2747</v>
      </c>
      <c r="B1465" s="114" t="str">
        <f>VLOOKUP(A1465,'Data pick slip'!B:F,5,FALSE)</f>
        <v>KHJ-MC200-00</v>
      </c>
      <c r="F1465" s="157" t="s">
        <v>2862</v>
      </c>
      <c r="H1465" s="138">
        <v>327</v>
      </c>
      <c r="I1465" s="139" t="str">
        <f>VLOOKUP(H1465,Stock_list!A:R,18,FALSE)</f>
        <v>宽宏/End user:亿联</v>
      </c>
      <c r="J1465" s="139" t="str">
        <f>VLOOKUP(H1465,Stock_list!A:S,17,FALSE)</f>
        <v>C49SZX20190075ZX</v>
      </c>
      <c r="K1465" s="51" t="str">
        <f>VLOOKUP(H1465,Stock_list!A:T,16,FALSE)</f>
        <v>JPY</v>
      </c>
      <c r="L1465" s="4">
        <v>43627</v>
      </c>
      <c r="M1465" s="132">
        <v>10</v>
      </c>
      <c r="P1465" s="4" t="str">
        <f>VLOOKUP(H1465,Stock_list!A:Y,25,FALSE)</f>
        <v>Yes</v>
      </c>
      <c r="Q1465" s="143"/>
      <c r="T1465" s="144"/>
      <c r="U1465" s="145" t="str">
        <f>VLOOKUP(H1465,Stock_list!A:N,14,FALSE)</f>
        <v>JUN 19</v>
      </c>
    </row>
    <row r="1466" spans="1:21" ht="16.5" customHeight="1">
      <c r="A1466" s="159" t="s">
        <v>2748</v>
      </c>
      <c r="B1466" s="114" t="str">
        <f>VLOOKUP(A1466,'Data pick slip'!B:F,5,FALSE)</f>
        <v>KHJ-MC400-00</v>
      </c>
      <c r="F1466" s="157" t="s">
        <v>2773</v>
      </c>
      <c r="H1466" s="138">
        <v>327</v>
      </c>
      <c r="I1466" s="139" t="str">
        <f>VLOOKUP(H1466,Stock_list!A:R,18,FALSE)</f>
        <v>宽宏/End user:亿联</v>
      </c>
      <c r="J1466" s="139" t="str">
        <f>VLOOKUP(H1466,Stock_list!A:S,17,FALSE)</f>
        <v>C49SZX20190075ZX</v>
      </c>
      <c r="K1466" s="51" t="str">
        <f>VLOOKUP(H1466,Stock_list!A:T,16,FALSE)</f>
        <v>JPY</v>
      </c>
      <c r="L1466" s="4">
        <v>43627</v>
      </c>
      <c r="M1466" s="132">
        <v>2</v>
      </c>
      <c r="P1466" s="4" t="str">
        <f>VLOOKUP(H1466,Stock_list!A:Y,25,FALSE)</f>
        <v>Yes</v>
      </c>
      <c r="Q1466" s="143"/>
      <c r="S1466" s="123" t="s">
        <v>3004</v>
      </c>
      <c r="T1466" s="205" t="s">
        <v>3108</v>
      </c>
      <c r="U1466" s="145" t="str">
        <f>VLOOKUP(H1466,Stock_list!A:N,14,FALSE)</f>
        <v>JUN 19</v>
      </c>
    </row>
    <row r="1467" spans="1:21" ht="16.5" customHeight="1">
      <c r="A1467" s="159" t="s">
        <v>2749</v>
      </c>
      <c r="B1467" s="114" t="str">
        <f>VLOOKUP(A1467,'Data pick slip'!B:F,5,FALSE)</f>
        <v>KHJ-MC500-00</v>
      </c>
      <c r="F1467" s="157" t="s">
        <v>2773</v>
      </c>
      <c r="H1467" s="138">
        <v>327</v>
      </c>
      <c r="I1467" s="139" t="str">
        <f>VLOOKUP(H1467,Stock_list!A:R,18,FALSE)</f>
        <v>宽宏/End user:亿联</v>
      </c>
      <c r="J1467" s="139" t="str">
        <f>VLOOKUP(H1467,Stock_list!A:S,17,FALSE)</f>
        <v>C49SZX20190075ZX</v>
      </c>
      <c r="K1467" s="51" t="str">
        <f>VLOOKUP(H1467,Stock_list!A:T,16,FALSE)</f>
        <v>JPY</v>
      </c>
      <c r="L1467" s="4">
        <v>43627</v>
      </c>
      <c r="M1467" s="132">
        <v>1</v>
      </c>
      <c r="P1467" s="4" t="str">
        <f>VLOOKUP(H1467,Stock_list!A:Y,25,FALSE)</f>
        <v>Yes</v>
      </c>
      <c r="Q1467" s="143"/>
      <c r="S1467" s="123" t="s">
        <v>3004</v>
      </c>
      <c r="T1467" s="205" t="s">
        <v>3108</v>
      </c>
      <c r="U1467" s="145" t="str">
        <f>VLOOKUP(H1467,Stock_list!A:N,14,FALSE)</f>
        <v>JUN 19</v>
      </c>
    </row>
    <row r="1468" spans="1:21" ht="16.5" customHeight="1">
      <c r="A1468" s="159" t="s">
        <v>2755</v>
      </c>
      <c r="B1468" s="114" t="str">
        <f>VLOOKUP(A1468,'Data pick slip'!B:F,5,FALSE)</f>
        <v>KLJ-MC100-00</v>
      </c>
      <c r="F1468" s="157" t="s">
        <v>2862</v>
      </c>
      <c r="H1468" s="138">
        <v>333</v>
      </c>
      <c r="I1468" s="139" t="str">
        <f>VLOOKUP(H1468,Stock_list!A:R,18,FALSE)</f>
        <v>长沙健科</v>
      </c>
      <c r="J1468" s="139" t="str">
        <f>VLOOKUP(H1468,Stock_list!A:S,17,FALSE)</f>
        <v>C49SZX20190080ZX</v>
      </c>
      <c r="K1468" s="51" t="str">
        <f>VLOOKUP(H1468,Stock_list!A:T,16,FALSE)</f>
        <v>JPY</v>
      </c>
      <c r="L1468" s="4">
        <v>43688</v>
      </c>
      <c r="M1468" s="132">
        <v>134</v>
      </c>
      <c r="P1468" s="4" t="str">
        <f>VLOOKUP(H1468,Stock_list!A:Y,25,FALSE)</f>
        <v>Yes</v>
      </c>
      <c r="Q1468" s="143"/>
      <c r="T1468" s="144"/>
      <c r="U1468" s="145" t="str">
        <f>VLOOKUP(H1468,Stock_list!A:N,14,FALSE)</f>
        <v>AUG 19</v>
      </c>
    </row>
    <row r="1469" spans="1:21" ht="16.5" customHeight="1">
      <c r="A1469" s="159" t="s">
        <v>2756</v>
      </c>
      <c r="B1469" s="114" t="str">
        <f>VLOOKUP(A1469,'Data pick slip'!B:F,5,FALSE)</f>
        <v>KLJ-MC200-00</v>
      </c>
      <c r="F1469" s="157" t="s">
        <v>2862</v>
      </c>
      <c r="H1469" s="138">
        <v>333</v>
      </c>
      <c r="I1469" s="139" t="str">
        <f>VLOOKUP(H1469,Stock_list!A:R,18,FALSE)</f>
        <v>长沙健科</v>
      </c>
      <c r="J1469" s="139" t="str">
        <f>VLOOKUP(H1469,Stock_list!A:S,17,FALSE)</f>
        <v>C49SZX20190080ZX</v>
      </c>
      <c r="K1469" s="51" t="str">
        <f>VLOOKUP(H1469,Stock_list!A:T,16,FALSE)</f>
        <v>JPY</v>
      </c>
      <c r="L1469" s="4">
        <v>43688</v>
      </c>
      <c r="M1469" s="132">
        <v>28</v>
      </c>
      <c r="P1469" s="4" t="str">
        <f>VLOOKUP(H1469,Stock_list!A:Y,25,FALSE)</f>
        <v>Yes</v>
      </c>
      <c r="T1469" s="144"/>
      <c r="U1469" s="145" t="str">
        <f>VLOOKUP(H1469,Stock_list!A:N,14,FALSE)</f>
        <v>AUG 19</v>
      </c>
    </row>
    <row r="1470" spans="1:21" ht="16.5" customHeight="1">
      <c r="A1470" s="159" t="s">
        <v>2757</v>
      </c>
      <c r="B1470" s="114" t="str">
        <f>VLOOKUP(A1470,'Data pick slip'!B:F,5,FALSE)</f>
        <v>KLJ-MC400-00</v>
      </c>
      <c r="F1470" s="157" t="s">
        <v>2862</v>
      </c>
      <c r="H1470" s="138">
        <v>333</v>
      </c>
      <c r="I1470" s="139" t="str">
        <f>VLOOKUP(H1470,Stock_list!A:R,18,FALSE)</f>
        <v>长沙健科</v>
      </c>
      <c r="J1470" s="139" t="str">
        <f>VLOOKUP(H1470,Stock_list!A:S,17,FALSE)</f>
        <v>C49SZX20190080ZX</v>
      </c>
      <c r="K1470" s="51" t="str">
        <f>VLOOKUP(H1470,Stock_list!A:T,16,FALSE)</f>
        <v>JPY</v>
      </c>
      <c r="L1470" s="4">
        <v>43688</v>
      </c>
      <c r="M1470" s="132">
        <v>16</v>
      </c>
      <c r="P1470" s="4" t="str">
        <f>VLOOKUP(H1470,Stock_list!A:Y,25,FALSE)</f>
        <v>Yes</v>
      </c>
      <c r="Q1470" s="143"/>
      <c r="T1470" s="144"/>
      <c r="U1470" s="145" t="str">
        <f>VLOOKUP(H1470,Stock_list!A:N,14,FALSE)</f>
        <v>AUG 19</v>
      </c>
    </row>
    <row r="1471" spans="1:21" ht="16.5" customHeight="1">
      <c r="A1471" s="159" t="s">
        <v>2758</v>
      </c>
      <c r="B1471" s="114" t="str">
        <f>VLOOKUP(A1471,'Data pick slip'!B:F,5,FALSE)</f>
        <v>KLJ-MC500-00</v>
      </c>
      <c r="F1471" s="157" t="s">
        <v>2773</v>
      </c>
      <c r="H1471" s="138">
        <v>333</v>
      </c>
      <c r="I1471" s="139" t="str">
        <f>VLOOKUP(H1471,Stock_list!A:R,18,FALSE)</f>
        <v>长沙健科</v>
      </c>
      <c r="J1471" s="139" t="str">
        <f>VLOOKUP(H1471,Stock_list!A:S,17,FALSE)</f>
        <v>C49SZX20190080ZX</v>
      </c>
      <c r="K1471" s="51" t="str">
        <f>VLOOKUP(H1471,Stock_list!A:T,16,FALSE)</f>
        <v>JPY</v>
      </c>
      <c r="L1471" s="4">
        <v>43688</v>
      </c>
      <c r="M1471" s="132">
        <v>2</v>
      </c>
      <c r="P1471" s="4" t="str">
        <f>VLOOKUP(H1471,Stock_list!A:Y,25,FALSE)</f>
        <v>Yes</v>
      </c>
      <c r="Q1471" s="143"/>
      <c r="S1471" s="123" t="s">
        <v>3004</v>
      </c>
      <c r="T1471" s="205" t="s">
        <v>3072</v>
      </c>
      <c r="U1471" s="145" t="str">
        <f>VLOOKUP(H1471,Stock_list!A:N,14,FALSE)</f>
        <v>AUG 19</v>
      </c>
    </row>
    <row r="1472" spans="1:21" ht="16.5" customHeight="1">
      <c r="A1472" s="159" t="s">
        <v>2759</v>
      </c>
      <c r="B1472" s="114" t="str">
        <f>VLOOKUP(A1472,'Data pick slip'!B:F,5,FALSE)</f>
        <v>KLJ-MC600-00</v>
      </c>
      <c r="F1472" s="157" t="s">
        <v>2773</v>
      </c>
      <c r="H1472" s="138">
        <v>333</v>
      </c>
      <c r="I1472" s="139" t="str">
        <f>VLOOKUP(H1472,Stock_list!A:R,18,FALSE)</f>
        <v>长沙健科</v>
      </c>
      <c r="J1472" s="139" t="str">
        <f>VLOOKUP(H1472,Stock_list!A:S,17,FALSE)</f>
        <v>C49SZX20190080ZX</v>
      </c>
      <c r="K1472" s="51" t="str">
        <f>VLOOKUP(H1472,Stock_list!A:T,16,FALSE)</f>
        <v>JPY</v>
      </c>
      <c r="L1472" s="4">
        <v>43688</v>
      </c>
      <c r="M1472" s="132">
        <v>2</v>
      </c>
      <c r="P1472" s="4" t="str">
        <f>VLOOKUP(H1472,Stock_list!A:Y,25,FALSE)</f>
        <v>Yes</v>
      </c>
      <c r="Q1472" s="143"/>
      <c r="S1472" s="123" t="s">
        <v>3004</v>
      </c>
      <c r="T1472" s="205" t="s">
        <v>3072</v>
      </c>
      <c r="U1472" s="145" t="str">
        <f>VLOOKUP(H1472,Stock_list!A:N,14,FALSE)</f>
        <v>AUG 19</v>
      </c>
    </row>
    <row r="1473" spans="1:21" ht="16.5" customHeight="1">
      <c r="A1473" s="159" t="s">
        <v>2748</v>
      </c>
      <c r="B1473" s="114" t="str">
        <f>VLOOKUP(A1473,'Data pick slip'!B:F,5,FALSE)</f>
        <v>KHJ-MC400-00</v>
      </c>
      <c r="F1473" s="157" t="s">
        <v>2773</v>
      </c>
      <c r="I1473" s="139" t="s">
        <v>3094</v>
      </c>
      <c r="J1473" s="139" t="s">
        <v>3109</v>
      </c>
      <c r="K1473" s="51" t="s">
        <v>1246</v>
      </c>
      <c r="L1473" s="4">
        <v>43616</v>
      </c>
      <c r="M1473" s="140">
        <v>2</v>
      </c>
      <c r="P1473" s="4" t="s">
        <v>291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2749</v>
      </c>
      <c r="B1474" s="114" t="str">
        <f>VLOOKUP(A1474,'Data pick slip'!B:F,5,FALSE)</f>
        <v>KHJ-MC500-00</v>
      </c>
      <c r="F1474" s="157" t="s">
        <v>2773</v>
      </c>
      <c r="I1474" s="139" t="s">
        <v>3094</v>
      </c>
      <c r="J1474" s="139" t="s">
        <v>3110</v>
      </c>
      <c r="K1474" s="51" t="s">
        <v>1246</v>
      </c>
      <c r="L1474" s="4">
        <v>43614</v>
      </c>
      <c r="M1474" s="140">
        <v>1</v>
      </c>
      <c r="P1474" s="4" t="s">
        <v>291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2750</v>
      </c>
      <c r="B1475" s="114" t="str">
        <f>VLOOKUP(A1475,'Data pick slip'!B:F,5,FALSE)</f>
        <v>KHJ-MC600-00</v>
      </c>
      <c r="F1475" s="157" t="s">
        <v>2773</v>
      </c>
      <c r="I1475" s="139" t="s">
        <v>3094</v>
      </c>
      <c r="J1475" s="139" t="s">
        <v>3110</v>
      </c>
      <c r="K1475" s="51" t="s">
        <v>1246</v>
      </c>
      <c r="L1475" s="4">
        <v>43614</v>
      </c>
      <c r="M1475" s="140">
        <v>1</v>
      </c>
      <c r="P1475" s="4" t="s">
        <v>291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2744</v>
      </c>
      <c r="B1476" s="114" t="str">
        <f>VLOOKUP(A1476,'Data pick slip'!B:F,5,FALSE)</f>
        <v>KHJ-MC100-00</v>
      </c>
      <c r="F1476" s="157" t="s">
        <v>2773</v>
      </c>
      <c r="I1476" s="139" t="s">
        <v>3100</v>
      </c>
      <c r="J1476" s="139" t="s">
        <v>3111</v>
      </c>
      <c r="K1476" s="51" t="s">
        <v>1246</v>
      </c>
      <c r="L1476" s="4">
        <v>43616</v>
      </c>
      <c r="M1476" s="140">
        <v>45</v>
      </c>
      <c r="P1476" s="4" t="s">
        <v>291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2747</v>
      </c>
      <c r="B1477" s="114" t="str">
        <f>VLOOKUP(A1477,'Data pick slip'!B:F,5,FALSE)</f>
        <v>KHJ-MC200-00</v>
      </c>
      <c r="F1477" s="157" t="s">
        <v>2773</v>
      </c>
      <c r="I1477" s="139" t="s">
        <v>3100</v>
      </c>
      <c r="J1477" s="139" t="s">
        <v>3111</v>
      </c>
      <c r="K1477" s="51" t="s">
        <v>1246</v>
      </c>
      <c r="L1477" s="4">
        <v>43616</v>
      </c>
      <c r="M1477" s="140">
        <v>25</v>
      </c>
      <c r="P1477" s="4" t="s">
        <v>291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2748</v>
      </c>
      <c r="B1478" s="114" t="str">
        <f>VLOOKUP(A1478,'Data pick slip'!B:F,5,FALSE)</f>
        <v>KHJ-MC400-00</v>
      </c>
      <c r="F1478" s="157" t="s">
        <v>2773</v>
      </c>
      <c r="I1478" s="139" t="s">
        <v>3100</v>
      </c>
      <c r="J1478" s="139" t="s">
        <v>3111</v>
      </c>
      <c r="K1478" s="51" t="s">
        <v>1246</v>
      </c>
      <c r="L1478" s="4">
        <v>43616</v>
      </c>
      <c r="M1478" s="140">
        <v>5</v>
      </c>
      <c r="P1478" s="4" t="s">
        <v>291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2749</v>
      </c>
      <c r="B1479" s="114" t="str">
        <f>VLOOKUP(A1479,'Data pick slip'!B:F,5,FALSE)</f>
        <v>KHJ-MC500-00</v>
      </c>
      <c r="F1479" s="157" t="s">
        <v>2773</v>
      </c>
      <c r="I1479" s="139" t="s">
        <v>3100</v>
      </c>
      <c r="J1479" s="139" t="s">
        <v>3111</v>
      </c>
      <c r="K1479" s="51" t="s">
        <v>1246</v>
      </c>
      <c r="L1479" s="4">
        <v>43616</v>
      </c>
      <c r="M1479" s="140">
        <v>4</v>
      </c>
      <c r="P1479" s="4" t="s">
        <v>291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2750</v>
      </c>
      <c r="B1480" s="114" t="str">
        <f>VLOOKUP(A1480,'Data pick slip'!B:F,5,FALSE)</f>
        <v>KHJ-MC600-00</v>
      </c>
      <c r="F1480" s="157" t="s">
        <v>2773</v>
      </c>
      <c r="I1480" s="139" t="s">
        <v>3100</v>
      </c>
      <c r="J1480" s="139" t="s">
        <v>3111</v>
      </c>
      <c r="K1480" s="51" t="s">
        <v>1246</v>
      </c>
      <c r="L1480" s="4">
        <v>43616</v>
      </c>
      <c r="M1480" s="140">
        <v>4</v>
      </c>
      <c r="P1480" s="4" t="s">
        <v>291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2751</v>
      </c>
      <c r="B1481" s="114" t="str">
        <f>VLOOKUP(A1481,'Data pick slip'!B:F,5,FALSE)</f>
        <v>KHJ-MC700-00</v>
      </c>
      <c r="F1481" s="157" t="s">
        <v>2773</v>
      </c>
      <c r="I1481" s="139" t="s">
        <v>3100</v>
      </c>
      <c r="J1481" s="139" t="s">
        <v>3111</v>
      </c>
      <c r="K1481" s="51" t="s">
        <v>1246</v>
      </c>
      <c r="L1481" s="4">
        <v>43616</v>
      </c>
      <c r="M1481" s="140">
        <v>1</v>
      </c>
      <c r="P1481" s="4" t="s">
        <v>291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2752</v>
      </c>
      <c r="B1482" s="114" t="str">
        <f>VLOOKUP(A1482,'Data pick slip'!B:F,5,FALSE)</f>
        <v>KHJ-MC800-00</v>
      </c>
      <c r="F1482" s="157" t="s">
        <v>2773</v>
      </c>
      <c r="I1482" s="139" t="s">
        <v>3100</v>
      </c>
      <c r="J1482" s="139" t="s">
        <v>3111</v>
      </c>
      <c r="K1482" s="51" t="s">
        <v>1246</v>
      </c>
      <c r="L1482" s="4">
        <v>43616</v>
      </c>
      <c r="M1482" s="140">
        <v>1</v>
      </c>
      <c r="P1482" s="4" t="s">
        <v>291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2744</v>
      </c>
      <c r="B1483" s="114" t="str">
        <f>VLOOKUP(A1483,'Data pick slip'!B:F,5,FALSE)</f>
        <v>KHJ-MC100-00</v>
      </c>
      <c r="F1483" s="157" t="s">
        <v>2862</v>
      </c>
      <c r="I1483" s="139" t="s">
        <v>3016</v>
      </c>
      <c r="J1483" s="139" t="s">
        <v>3112</v>
      </c>
      <c r="K1483" s="51" t="s">
        <v>1246</v>
      </c>
      <c r="L1483" s="4">
        <v>43615</v>
      </c>
      <c r="M1483" s="140">
        <v>80</v>
      </c>
      <c r="P1483" s="4" t="s">
        <v>291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2747</v>
      </c>
      <c r="B1484" s="114" t="str">
        <f>VLOOKUP(A1484,'Data pick slip'!B:F,5,FALSE)</f>
        <v>KHJ-MC200-00</v>
      </c>
      <c r="F1484" s="157" t="s">
        <v>2862</v>
      </c>
      <c r="I1484" s="139" t="s">
        <v>3016</v>
      </c>
      <c r="J1484" s="139" t="s">
        <v>3112</v>
      </c>
      <c r="K1484" s="51" t="s">
        <v>1246</v>
      </c>
      <c r="L1484" s="4">
        <v>43615</v>
      </c>
      <c r="M1484" s="140">
        <v>10</v>
      </c>
      <c r="P1484" s="4" t="s">
        <v>291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2749</v>
      </c>
      <c r="B1485" s="114" t="str">
        <f>VLOOKUP(A1485,'Data pick slip'!B:F,5,FALSE)</f>
        <v>KHJ-MC500-00</v>
      </c>
      <c r="F1485" s="157" t="s">
        <v>2862</v>
      </c>
      <c r="I1485" s="139" t="s">
        <v>3016</v>
      </c>
      <c r="J1485" s="139" t="s">
        <v>3112</v>
      </c>
      <c r="K1485" s="51" t="s">
        <v>1246</v>
      </c>
      <c r="L1485" s="4">
        <v>43615</v>
      </c>
      <c r="M1485" s="140">
        <v>10</v>
      </c>
      <c r="P1485" s="4" t="s">
        <v>291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2757</v>
      </c>
      <c r="B1486" s="114" t="str">
        <f>VLOOKUP(A1486,'Data pick slip'!B:F,5,FALSE)</f>
        <v>KLJ-MC400-00</v>
      </c>
      <c r="F1486" s="157" t="s">
        <v>2862</v>
      </c>
      <c r="I1486" s="139" t="s">
        <v>3016</v>
      </c>
      <c r="J1486" s="139" t="s">
        <v>3112</v>
      </c>
      <c r="K1486" s="51" t="s">
        <v>1246</v>
      </c>
      <c r="L1486" s="4">
        <v>43615</v>
      </c>
      <c r="M1486" s="140">
        <v>10</v>
      </c>
      <c r="P1486" s="4" t="s">
        <v>291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2744</v>
      </c>
      <c r="B1487" s="114" t="str">
        <f>VLOOKUP(A1487,'Data pick slip'!B:F,5,FALSE)</f>
        <v>KHJ-MC100-00</v>
      </c>
      <c r="F1487" s="157" t="s">
        <v>2773</v>
      </c>
      <c r="I1487" s="139" t="s">
        <v>3100</v>
      </c>
      <c r="J1487" s="139" t="s">
        <v>3113</v>
      </c>
      <c r="K1487" s="51" t="s">
        <v>1246</v>
      </c>
      <c r="L1487" s="4">
        <v>43620</v>
      </c>
      <c r="M1487" s="140">
        <v>40</v>
      </c>
      <c r="P1487" s="4" t="s">
        <v>291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2747</v>
      </c>
      <c r="B1488" s="114" t="str">
        <f>VLOOKUP(A1488,'Data pick slip'!B:F,5,FALSE)</f>
        <v>KHJ-MC200-00</v>
      </c>
      <c r="F1488" s="157" t="s">
        <v>2773</v>
      </c>
      <c r="I1488" s="139" t="s">
        <v>3100</v>
      </c>
      <c r="J1488" s="139" t="s">
        <v>3113</v>
      </c>
      <c r="K1488" s="51" t="s">
        <v>1246</v>
      </c>
      <c r="L1488" s="4">
        <v>43620</v>
      </c>
      <c r="M1488" s="140">
        <v>10</v>
      </c>
      <c r="P1488" s="4" t="s">
        <v>291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2744</v>
      </c>
      <c r="B1489" s="114" t="str">
        <f>VLOOKUP(A1489,'Data pick slip'!B:F,5,FALSE)</f>
        <v>KHJ-MC100-00</v>
      </c>
      <c r="F1489" s="157" t="s">
        <v>2862</v>
      </c>
      <c r="I1489" s="139" t="s">
        <v>3016</v>
      </c>
      <c r="J1489" s="139" t="s">
        <v>3114</v>
      </c>
      <c r="K1489" s="51" t="s">
        <v>1246</v>
      </c>
      <c r="L1489" s="4">
        <v>43621</v>
      </c>
      <c r="M1489" s="140">
        <v>250</v>
      </c>
      <c r="P1489" s="4" t="s">
        <v>291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2747</v>
      </c>
      <c r="B1490" s="114" t="str">
        <f>VLOOKUP(A1490,'Data pick slip'!B:F,5,FALSE)</f>
        <v>KHJ-MC200-00</v>
      </c>
      <c r="F1490" s="157" t="s">
        <v>2862</v>
      </c>
      <c r="I1490" s="139" t="s">
        <v>3016</v>
      </c>
      <c r="J1490" s="139" t="s">
        <v>3114</v>
      </c>
      <c r="K1490" s="51" t="s">
        <v>1246</v>
      </c>
      <c r="L1490" s="4">
        <v>43621</v>
      </c>
      <c r="M1490" s="140">
        <v>60</v>
      </c>
      <c r="P1490" s="4" t="s">
        <v>291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2748</v>
      </c>
      <c r="B1491" s="114" t="str">
        <f>VLOOKUP(A1491,'Data pick slip'!B:F,5,FALSE)</f>
        <v>KHJ-MC400-00</v>
      </c>
      <c r="F1491" s="157" t="s">
        <v>2862</v>
      </c>
      <c r="I1491" s="139" t="s">
        <v>3016</v>
      </c>
      <c r="J1491" s="139" t="s">
        <v>3114</v>
      </c>
      <c r="K1491" s="51" t="s">
        <v>1246</v>
      </c>
      <c r="L1491" s="4">
        <v>43621</v>
      </c>
      <c r="M1491" s="140">
        <v>37</v>
      </c>
      <c r="P1491" s="4" t="s">
        <v>291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2814</v>
      </c>
      <c r="B1492" s="114" t="str">
        <f>VLOOKUP(A1492,'Data pick slip'!B:F,5,FALSE)</f>
        <v>KHJ-MC600-00</v>
      </c>
      <c r="F1492" s="157" t="s">
        <v>2862</v>
      </c>
      <c r="I1492" s="139" t="s">
        <v>3016</v>
      </c>
      <c r="J1492" s="139" t="s">
        <v>3114</v>
      </c>
      <c r="K1492" s="51" t="s">
        <v>1246</v>
      </c>
      <c r="L1492" s="4">
        <v>43621</v>
      </c>
      <c r="M1492" s="140">
        <v>15</v>
      </c>
      <c r="P1492" s="4" t="s">
        <v>291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2751</v>
      </c>
      <c r="B1493" s="114" t="str">
        <f>VLOOKUP(A1493,'Data pick slip'!B:F,5,FALSE)</f>
        <v>KHJ-MC700-00</v>
      </c>
      <c r="F1493" s="157" t="s">
        <v>2862</v>
      </c>
      <c r="I1493" s="139" t="s">
        <v>3016</v>
      </c>
      <c r="J1493" s="139" t="s">
        <v>3114</v>
      </c>
      <c r="K1493" s="51" t="s">
        <v>1246</v>
      </c>
      <c r="L1493" s="4">
        <v>43621</v>
      </c>
      <c r="M1493" s="140">
        <v>1</v>
      </c>
      <c r="P1493" s="4" t="s">
        <v>291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2744</v>
      </c>
      <c r="B1494" s="114" t="str">
        <f>VLOOKUP(A1494,'Data pick slip'!B:F,5,FALSE)</f>
        <v>KHJ-MC100-00</v>
      </c>
      <c r="F1494" s="157" t="s">
        <v>2773</v>
      </c>
      <c r="H1494" s="138">
        <v>338</v>
      </c>
      <c r="I1494" s="139" t="str">
        <f>VLOOKUP(H1494,Stock_list!A:R,18,FALSE)</f>
        <v>世达威</v>
      </c>
      <c r="J1494" s="139" t="str">
        <f>VLOOKUP(H1494,Stock_list!A:S,17,FALSE)</f>
        <v>C49SZX20190089ZX</v>
      </c>
      <c r="K1494" s="51" t="str">
        <f>VLOOKUP(H1494,Stock_list!A:T,16,FALSE)</f>
        <v>RMB</v>
      </c>
      <c r="L1494" s="4">
        <v>43633</v>
      </c>
      <c r="M1494" s="132">
        <v>10</v>
      </c>
      <c r="P1494" s="4" t="str">
        <f>VLOOKUP(H1494,Stock_list!A:Y,25,FALSE)</f>
        <v>Yes</v>
      </c>
      <c r="Q1494" s="143"/>
      <c r="T1494" s="144"/>
      <c r="U1494" s="145" t="str">
        <f>VLOOKUP(H1494,Stock_list!A:N,14,FALSE)</f>
        <v>JUN 19</v>
      </c>
    </row>
    <row r="1495" spans="1:21" ht="16.5" customHeight="1">
      <c r="A1495" s="159" t="s">
        <v>2747</v>
      </c>
      <c r="B1495" s="114" t="str">
        <f>VLOOKUP(A1495,'Data pick slip'!B:F,5,FALSE)</f>
        <v>KHJ-MC200-00</v>
      </c>
      <c r="F1495" s="157" t="s">
        <v>2773</v>
      </c>
      <c r="H1495" s="138">
        <v>338</v>
      </c>
      <c r="I1495" s="139" t="str">
        <f>VLOOKUP(H1495,Stock_list!A:R,18,FALSE)</f>
        <v>世达威</v>
      </c>
      <c r="J1495" s="139" t="str">
        <f>VLOOKUP(H1495,Stock_list!A:S,17,FALSE)</f>
        <v>C49SZX20190089ZX</v>
      </c>
      <c r="K1495" s="51" t="str">
        <f>VLOOKUP(H1495,Stock_list!A:T,16,FALSE)</f>
        <v>RMB</v>
      </c>
      <c r="L1495" s="4">
        <v>43633</v>
      </c>
      <c r="M1495" s="132">
        <v>10</v>
      </c>
      <c r="P1495" s="4" t="str">
        <f>VLOOKUP(H1495,Stock_list!A:Y,25,FALSE)</f>
        <v>Yes</v>
      </c>
      <c r="Q1495" s="143"/>
      <c r="T1495" s="144"/>
      <c r="U1495" s="145" t="str">
        <f>VLOOKUP(H1495,Stock_list!A:N,14,FALSE)</f>
        <v>JUN 19</v>
      </c>
    </row>
    <row r="1496" spans="1:21" ht="16.5" customHeight="1">
      <c r="A1496" s="159" t="s">
        <v>2757</v>
      </c>
      <c r="B1496" s="114" t="str">
        <f>VLOOKUP(A1496,'Data pick slip'!B:F,5,FALSE)</f>
        <v>KLJ-MC400-00</v>
      </c>
      <c r="F1496" s="157" t="s">
        <v>2773</v>
      </c>
      <c r="I1496" s="139" t="s">
        <v>2854</v>
      </c>
      <c r="J1496" s="139" t="s">
        <v>3115</v>
      </c>
      <c r="K1496" s="51" t="s">
        <v>3003</v>
      </c>
      <c r="L1496" s="4">
        <v>43615</v>
      </c>
      <c r="M1496" s="140">
        <v>7</v>
      </c>
      <c r="P1496" s="4" t="s">
        <v>291</v>
      </c>
      <c r="Q1496" s="143"/>
      <c r="S1496" s="123" t="s">
        <v>3004</v>
      </c>
      <c r="T1496" s="205" t="s">
        <v>3074</v>
      </c>
      <c r="U1496" s="145" t="e">
        <f>VLOOKUP(H1496,Stock_list!A:N,14,FALSE)</f>
        <v>#N/A</v>
      </c>
    </row>
    <row r="1497" spans="1:21" ht="16.5" customHeight="1">
      <c r="A1497" s="159" t="s">
        <v>2748</v>
      </c>
      <c r="B1497" s="114" t="str">
        <f>VLOOKUP(A1497,'Data pick slip'!B:F,5,FALSE)</f>
        <v>KHJ-MC400-00</v>
      </c>
      <c r="F1497" s="157" t="s">
        <v>2773</v>
      </c>
      <c r="I1497" s="139" t="s">
        <v>2854</v>
      </c>
      <c r="J1497" s="139" t="s">
        <v>3115</v>
      </c>
      <c r="K1497" s="51" t="s">
        <v>3003</v>
      </c>
      <c r="L1497" s="4">
        <v>43615</v>
      </c>
      <c r="M1497" s="140">
        <v>1</v>
      </c>
      <c r="P1497" s="4" t="s">
        <v>291</v>
      </c>
      <c r="Q1497" s="143"/>
      <c r="S1497" s="123" t="s">
        <v>3004</v>
      </c>
      <c r="T1497" s="205" t="s">
        <v>3074</v>
      </c>
      <c r="U1497" s="145" t="e">
        <f>VLOOKUP(H1497,Stock_list!A:N,14,FALSE)</f>
        <v>#N/A</v>
      </c>
    </row>
    <row r="1498" spans="1:21" ht="16.5" customHeight="1">
      <c r="A1498" s="159" t="s">
        <v>2758</v>
      </c>
      <c r="B1498" s="114" t="str">
        <f>VLOOKUP(A1498,'Data pick slip'!B:F,5,FALSE)</f>
        <v>KLJ-MC500-00</v>
      </c>
      <c r="F1498" s="157" t="s">
        <v>2773</v>
      </c>
      <c r="I1498" s="139" t="s">
        <v>2854</v>
      </c>
      <c r="J1498" s="139" t="s">
        <v>3115</v>
      </c>
      <c r="K1498" s="51" t="s">
        <v>3003</v>
      </c>
      <c r="L1498" s="4">
        <v>43615</v>
      </c>
      <c r="M1498" s="140">
        <v>2</v>
      </c>
      <c r="P1498" s="4" t="s">
        <v>291</v>
      </c>
      <c r="Q1498" s="143"/>
      <c r="S1498" s="123" t="s">
        <v>3004</v>
      </c>
      <c r="T1498" s="205" t="s">
        <v>3074</v>
      </c>
      <c r="U1498" s="145" t="e">
        <f>VLOOKUP(H1498,Stock_list!A:N,14,FALSE)</f>
        <v>#N/A</v>
      </c>
    </row>
    <row r="1499" spans="1:21" ht="16.5" customHeight="1">
      <c r="A1499" s="159" t="s">
        <v>2744</v>
      </c>
      <c r="B1499" s="114" t="str">
        <f>VLOOKUP(A1499,'Data pick slip'!B:F,5,FALSE)</f>
        <v>KHJ-MC100-00</v>
      </c>
      <c r="F1499" s="157" t="s">
        <v>2773</v>
      </c>
      <c r="H1499" s="138">
        <v>344</v>
      </c>
      <c r="I1499" s="139" t="str">
        <f>VLOOKUP(H1499,Stock_list!A:R,18,FALSE)</f>
        <v>达人高科</v>
      </c>
      <c r="J1499" s="139" t="str">
        <f>VLOOKUP(H1499,Stock_list!A:S,17,FALSE)</f>
        <v>C49SZX20190091JL</v>
      </c>
      <c r="K1499" s="51" t="str">
        <f>VLOOKUP(H1499,Stock_list!A:T,16,FALSE)</f>
        <v>RMB</v>
      </c>
      <c r="L1499" s="4">
        <v>43629</v>
      </c>
      <c r="M1499" s="132">
        <v>28</v>
      </c>
      <c r="P1499" s="4" t="str">
        <f>VLOOKUP(H1499,Stock_list!A:Y,25,FALSE)</f>
        <v>Yes</v>
      </c>
      <c r="Q1499" s="143"/>
      <c r="T1499" s="144"/>
      <c r="U1499" s="145" t="str">
        <f>VLOOKUP(H1499,Stock_list!A:N,14,FALSE)</f>
        <v>JUN 19</v>
      </c>
    </row>
    <row r="1500" spans="1:21" ht="16.5" customHeight="1">
      <c r="A1500" s="159" t="s">
        <v>2747</v>
      </c>
      <c r="B1500" s="114" t="str">
        <f>VLOOKUP(A1500,'Data pick slip'!B:F,5,FALSE)</f>
        <v>KHJ-MC200-00</v>
      </c>
      <c r="F1500" s="157" t="s">
        <v>2773</v>
      </c>
      <c r="H1500" s="138">
        <v>344</v>
      </c>
      <c r="I1500" s="139" t="str">
        <f>VLOOKUP(H1500,Stock_list!A:R,18,FALSE)</f>
        <v>达人高科</v>
      </c>
      <c r="J1500" s="139" t="str">
        <f>VLOOKUP(H1500,Stock_list!A:S,17,FALSE)</f>
        <v>C49SZX20190091JL</v>
      </c>
      <c r="K1500" s="51" t="str">
        <f>VLOOKUP(H1500,Stock_list!A:T,16,FALSE)</f>
        <v>RMB</v>
      </c>
      <c r="L1500" s="4">
        <v>43629</v>
      </c>
      <c r="M1500" s="132">
        <v>12</v>
      </c>
      <c r="P1500" s="4" t="str">
        <f>VLOOKUP(H1500,Stock_list!A:Y,25,FALSE)</f>
        <v>Yes</v>
      </c>
      <c r="Q1500" s="143"/>
      <c r="T1500" s="144"/>
      <c r="U1500" s="145" t="str">
        <f>VLOOKUP(H1500,Stock_list!A:N,14,FALSE)</f>
        <v>JUN 19</v>
      </c>
    </row>
    <row r="1501" spans="1:21" ht="16.5" customHeight="1">
      <c r="A1501" s="159" t="s">
        <v>2747</v>
      </c>
      <c r="B1501" s="114" t="str">
        <f>VLOOKUP(A1501,'Data pick slip'!B:F,5,FALSE)</f>
        <v>KHJ-MC200-00</v>
      </c>
      <c r="F1501" s="157" t="s">
        <v>2773</v>
      </c>
      <c r="H1501" s="138">
        <v>343</v>
      </c>
      <c r="I1501" s="139" t="str">
        <f>VLOOKUP(H1501,Stock_list!A:R,18,FALSE)</f>
        <v>锐诚</v>
      </c>
      <c r="J1501" s="139" t="str">
        <f>VLOOKUP(H1501,Stock_list!A:S,17,FALSE)</f>
        <v>C49SZX20190090SX</v>
      </c>
      <c r="K1501" s="51" t="str">
        <f>VLOOKUP(H1501,Stock_list!A:T,16,FALSE)</f>
        <v>RMB</v>
      </c>
      <c r="L1501" s="4">
        <v>43643</v>
      </c>
      <c r="M1501" s="132">
        <v>10</v>
      </c>
      <c r="P1501" s="4" t="str">
        <f>VLOOKUP(H1501,Stock_list!A:Y,25,FALSE)</f>
        <v>Yes</v>
      </c>
      <c r="Q1501" s="143"/>
      <c r="T1501" s="144"/>
      <c r="U1501" s="145" t="str">
        <f>VLOOKUP(H1501,Stock_list!A:N,14,FALSE)</f>
        <v>JUN 19</v>
      </c>
    </row>
    <row r="1502" spans="1:21" ht="16.5" customHeight="1">
      <c r="A1502" s="159" t="s">
        <v>2748</v>
      </c>
      <c r="B1502" s="114" t="str">
        <f>VLOOKUP(A1502,'Data pick slip'!B:F,5,FALSE)</f>
        <v>KHJ-MC400-00</v>
      </c>
      <c r="F1502" s="157" t="s">
        <v>2773</v>
      </c>
      <c r="H1502" s="138">
        <v>343</v>
      </c>
      <c r="I1502" s="139" t="str">
        <f>VLOOKUP(H1502,Stock_list!A:R,18,FALSE)</f>
        <v>锐诚</v>
      </c>
      <c r="J1502" s="139" t="str">
        <f>VLOOKUP(H1502,Stock_list!A:S,17,FALSE)</f>
        <v>C49SZX20190090SX</v>
      </c>
      <c r="K1502" s="51" t="str">
        <f>VLOOKUP(H1502,Stock_list!A:T,16,FALSE)</f>
        <v>RMB</v>
      </c>
      <c r="L1502" s="4">
        <v>43643</v>
      </c>
      <c r="M1502" s="132">
        <v>1</v>
      </c>
      <c r="P1502" s="4" t="str">
        <f>VLOOKUP(H1502,Stock_list!A:Y,25,FALSE)</f>
        <v>Yes</v>
      </c>
      <c r="Q1502" s="143"/>
      <c r="T1502" s="144"/>
      <c r="U1502" s="145" t="str">
        <f>VLOOKUP(H1502,Stock_list!A:N,14,FALSE)</f>
        <v>JUN 19</v>
      </c>
    </row>
    <row r="1503" spans="1:21" ht="16.5" customHeight="1">
      <c r="A1503" s="159" t="s">
        <v>2750</v>
      </c>
      <c r="B1503" s="114" t="str">
        <f>VLOOKUP(A1503,'Data pick slip'!B:F,5,FALSE)</f>
        <v>KHJ-MC600-00</v>
      </c>
      <c r="F1503" s="157" t="s">
        <v>2773</v>
      </c>
      <c r="I1503" s="139" t="s">
        <v>3116</v>
      </c>
      <c r="J1503" s="139" t="s">
        <v>3117</v>
      </c>
      <c r="K1503" s="51" t="s">
        <v>3003</v>
      </c>
      <c r="L1503" s="4">
        <v>43627</v>
      </c>
      <c r="M1503" s="140">
        <v>1</v>
      </c>
      <c r="P1503" s="4" t="s">
        <v>291</v>
      </c>
      <c r="Q1503" s="143"/>
      <c r="S1503" s="123" t="s">
        <v>3004</v>
      </c>
      <c r="T1503" s="144" t="s">
        <v>3118</v>
      </c>
      <c r="U1503" s="145" t="e">
        <f>VLOOKUP(H1503,Stock_list!A:N,14,FALSE)</f>
        <v>#N/A</v>
      </c>
    </row>
    <row r="1504" spans="1:21" ht="16.5" customHeight="1">
      <c r="A1504" s="159" t="s">
        <v>2744</v>
      </c>
      <c r="B1504" s="114" t="str">
        <f>VLOOKUP(A1504,'Data pick slip'!B:F,5,FALSE)</f>
        <v>KHJ-MC100-00</v>
      </c>
      <c r="F1504" s="157" t="s">
        <v>2862</v>
      </c>
      <c r="H1504" s="138">
        <v>346</v>
      </c>
      <c r="I1504" s="139" t="str">
        <f>VLOOKUP(H1504,Stock_list!A:R,18,FALSE)</f>
        <v>崧盛</v>
      </c>
      <c r="J1504" s="139" t="str">
        <f>VLOOKUP(H1504,Stock_list!A:S,17,FALSE)</f>
        <v>C49SZX20190094MZ</v>
      </c>
      <c r="K1504" s="51" t="str">
        <f>VLOOKUP(H1504,Stock_list!A:T,16,FALSE)</f>
        <v>JPY</v>
      </c>
      <c r="L1504" s="4">
        <v>43668</v>
      </c>
      <c r="M1504" s="132">
        <v>160</v>
      </c>
      <c r="P1504" s="4" t="str">
        <f>VLOOKUP(H1504,Stock_list!A:Y,25,FALSE)</f>
        <v>Yes</v>
      </c>
      <c r="Q1504" s="143"/>
      <c r="T1504" s="144"/>
      <c r="U1504" s="145" t="str">
        <f>VLOOKUP(H1504,Stock_list!A:N,14,FALSE)</f>
        <v>JUL 19</v>
      </c>
    </row>
    <row r="1505" spans="1:21" ht="16.5" customHeight="1">
      <c r="A1505" s="159" t="s">
        <v>2747</v>
      </c>
      <c r="B1505" s="114" t="str">
        <f>VLOOKUP(A1505,'Data pick slip'!B:F,5,FALSE)</f>
        <v>KHJ-MC200-00</v>
      </c>
      <c r="F1505" s="157" t="s">
        <v>2862</v>
      </c>
      <c r="H1505" s="138">
        <v>346</v>
      </c>
      <c r="I1505" s="139" t="str">
        <f>VLOOKUP(H1505,Stock_list!A:R,18,FALSE)</f>
        <v>崧盛</v>
      </c>
      <c r="J1505" s="139" t="str">
        <f>VLOOKUP(H1505,Stock_list!A:S,17,FALSE)</f>
        <v>C49SZX20190094MZ</v>
      </c>
      <c r="K1505" s="51" t="str">
        <f>VLOOKUP(H1505,Stock_list!A:T,16,FALSE)</f>
        <v>JPY</v>
      </c>
      <c r="L1505" s="4">
        <v>43668</v>
      </c>
      <c r="M1505" s="132">
        <v>35</v>
      </c>
      <c r="P1505" s="4" t="str">
        <f>VLOOKUP(H1505,Stock_list!A:Y,25,FALSE)</f>
        <v>Yes</v>
      </c>
      <c r="Q1505" s="143"/>
      <c r="T1505" s="144"/>
      <c r="U1505" s="145" t="str">
        <f>VLOOKUP(H1505,Stock_list!A:N,14,FALSE)</f>
        <v>JUL 19</v>
      </c>
    </row>
    <row r="1506" spans="1:21" ht="16.5" customHeight="1">
      <c r="A1506" s="159" t="s">
        <v>2755</v>
      </c>
      <c r="B1506" s="114" t="str">
        <f>VLOOKUP(A1506,'Data pick slip'!B:F,5,FALSE)</f>
        <v>KLJ-MC100-00</v>
      </c>
      <c r="F1506" s="157" t="s">
        <v>2773</v>
      </c>
      <c r="I1506" s="139" t="s">
        <v>3094</v>
      </c>
      <c r="J1506" s="139" t="s">
        <v>3119</v>
      </c>
      <c r="K1506" s="51" t="s">
        <v>1246</v>
      </c>
      <c r="L1506" s="4">
        <v>43621</v>
      </c>
      <c r="M1506" s="140">
        <v>10</v>
      </c>
      <c r="P1506" s="4" t="s">
        <v>291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2744</v>
      </c>
      <c r="B1507" s="114" t="str">
        <f>VLOOKUP(A1507,'Data pick slip'!B:F,5,FALSE)</f>
        <v>KHJ-MC100-00</v>
      </c>
      <c r="F1507" s="157" t="s">
        <v>2862</v>
      </c>
      <c r="H1507" s="138">
        <v>351</v>
      </c>
      <c r="I1507" s="139" t="str">
        <f>VLOOKUP(H1507,Stock_list!A:R,18,FALSE)</f>
        <v>尖端电子 end user海凌科达</v>
      </c>
      <c r="J1507" s="139" t="str">
        <f>VLOOKUP(H1507,Stock_list!A:S,17,FALSE)</f>
        <v>C49SZX20190150JY</v>
      </c>
      <c r="K1507" s="51" t="str">
        <f>VLOOKUP(H1507,Stock_list!A:T,16,FALSE)</f>
        <v>JPY</v>
      </c>
      <c r="L1507" s="4">
        <v>43767</v>
      </c>
      <c r="M1507" s="132">
        <v>55</v>
      </c>
      <c r="P1507" s="4" t="str">
        <f>VLOOKUP(H1507,Stock_list!A:Y,25,FALSE)</f>
        <v>Yes</v>
      </c>
      <c r="Q1507" s="143"/>
      <c r="T1507" s="144"/>
      <c r="U1507" s="145" t="str">
        <f>VLOOKUP(H1507,Stock_list!A:N,14,FALSE)</f>
        <v>OCT 19</v>
      </c>
    </row>
    <row r="1508" spans="1:21" ht="16.5" customHeight="1">
      <c r="A1508" s="159" t="s">
        <v>2747</v>
      </c>
      <c r="B1508" s="114" t="str">
        <f>VLOOKUP(A1508,'Data pick slip'!B:F,5,FALSE)</f>
        <v>KHJ-MC200-00</v>
      </c>
      <c r="F1508" s="157" t="s">
        <v>2862</v>
      </c>
      <c r="H1508" s="138">
        <v>351</v>
      </c>
      <c r="I1508" s="139" t="str">
        <f>VLOOKUP(H1508,Stock_list!A:R,18,FALSE)</f>
        <v>尖端电子 end user海凌科达</v>
      </c>
      <c r="J1508" s="139" t="str">
        <f>VLOOKUP(H1508,Stock_list!A:S,17,FALSE)</f>
        <v>C49SZX20190150JY</v>
      </c>
      <c r="K1508" s="51" t="str">
        <f>VLOOKUP(H1508,Stock_list!A:T,16,FALSE)</f>
        <v>JPY</v>
      </c>
      <c r="L1508" s="4">
        <v>43767</v>
      </c>
      <c r="M1508" s="132">
        <v>10</v>
      </c>
      <c r="P1508" s="4" t="str">
        <f>VLOOKUP(H1508,Stock_list!A:Y,25,FALSE)</f>
        <v>Yes</v>
      </c>
      <c r="Q1508" s="143"/>
      <c r="T1508" s="144"/>
      <c r="U1508" s="145" t="str">
        <f>VLOOKUP(H1508,Stock_list!A:N,14,FALSE)</f>
        <v>OCT 19</v>
      </c>
    </row>
    <row r="1509" spans="1:21" ht="16.5" customHeight="1">
      <c r="A1509" s="159" t="s">
        <v>2748</v>
      </c>
      <c r="B1509" s="114" t="str">
        <f>VLOOKUP(A1509,'Data pick slip'!B:F,5,FALSE)</f>
        <v>KHJ-MC400-00</v>
      </c>
      <c r="F1509" s="157" t="s">
        <v>2773</v>
      </c>
      <c r="H1509" s="138">
        <v>351</v>
      </c>
      <c r="I1509" s="139" t="str">
        <f>VLOOKUP(H1509,Stock_list!A:R,18,FALSE)</f>
        <v>尖端电子 end user海凌科达</v>
      </c>
      <c r="J1509" s="139" t="str">
        <f>VLOOKUP(H1509,Stock_list!A:S,17,FALSE)</f>
        <v>C49SZX20190150JY</v>
      </c>
      <c r="K1509" s="51" t="str">
        <f>VLOOKUP(H1509,Stock_list!A:T,16,FALSE)</f>
        <v>JPY</v>
      </c>
      <c r="L1509" s="4">
        <v>43767</v>
      </c>
      <c r="M1509" s="132">
        <v>2</v>
      </c>
      <c r="P1509" s="4" t="str">
        <f>VLOOKUP(H1509,Stock_list!A:Y,25,FALSE)</f>
        <v>Yes</v>
      </c>
      <c r="Q1509" s="143"/>
      <c r="S1509" s="123" t="s">
        <v>3004</v>
      </c>
      <c r="T1509" s="205" t="s">
        <v>3120</v>
      </c>
      <c r="U1509" s="145" t="str">
        <f>VLOOKUP(H1509,Stock_list!A:N,14,FALSE)</f>
        <v>OCT 19</v>
      </c>
    </row>
    <row r="1510" spans="1:21" ht="16.5" customHeight="1">
      <c r="A1510" s="159" t="s">
        <v>2749</v>
      </c>
      <c r="B1510" s="114" t="str">
        <f>VLOOKUP(A1510,'Data pick slip'!B:F,5,FALSE)</f>
        <v>KHJ-MC500-00</v>
      </c>
      <c r="F1510" s="157" t="s">
        <v>2862</v>
      </c>
      <c r="H1510" s="138">
        <v>351</v>
      </c>
      <c r="I1510" s="139" t="str">
        <f>VLOOKUP(H1510,Stock_list!A:R,18,FALSE)</f>
        <v>尖端电子 end user海凌科达</v>
      </c>
      <c r="J1510" s="139" t="str">
        <f>VLOOKUP(H1510,Stock_list!A:S,17,FALSE)</f>
        <v>C49SZX20190150JY</v>
      </c>
      <c r="K1510" s="51" t="str">
        <f>VLOOKUP(H1510,Stock_list!A:T,16,FALSE)</f>
        <v>JPY</v>
      </c>
      <c r="L1510" s="4">
        <v>43767</v>
      </c>
      <c r="M1510" s="132">
        <v>1</v>
      </c>
      <c r="P1510" s="4" t="str">
        <f>VLOOKUP(H1510,Stock_list!A:Y,25,FALSE)</f>
        <v>Yes</v>
      </c>
      <c r="Q1510" s="143"/>
      <c r="T1510" s="144"/>
      <c r="U1510" s="145" t="str">
        <f>VLOOKUP(H1510,Stock_list!A:N,14,FALSE)</f>
        <v>OCT 19</v>
      </c>
    </row>
    <row r="1511" spans="1:21" ht="16.5" customHeight="1">
      <c r="A1511" s="159" t="s">
        <v>2755</v>
      </c>
      <c r="B1511" s="114" t="str">
        <f>VLOOKUP(A1511,'Data pick slip'!B:F,5,FALSE)</f>
        <v>KLJ-MC100-00</v>
      </c>
      <c r="F1511" s="157" t="s">
        <v>2773</v>
      </c>
      <c r="H1511" s="138">
        <v>354</v>
      </c>
      <c r="I1511" s="139" t="str">
        <f>VLOOKUP(H1511,Stock_list!A:R,18,FALSE)</f>
        <v>恒泰创新</v>
      </c>
      <c r="J1511" s="139" t="str">
        <f>VLOOKUP(H1511,Stock_list!A:S,17,FALSE)</f>
        <v>C49SZX20190095ZX</v>
      </c>
      <c r="K1511" s="51" t="str">
        <f>VLOOKUP(H1511,Stock_list!A:T,16,FALSE)</f>
        <v>RMB</v>
      </c>
      <c r="L1511" s="4">
        <v>43642</v>
      </c>
      <c r="M1511" s="132">
        <v>50</v>
      </c>
      <c r="P1511" s="4" t="str">
        <f>VLOOKUP(H1511,Stock_list!A:Y,25,FALSE)</f>
        <v>Yes</v>
      </c>
      <c r="Q1511" s="143"/>
      <c r="T1511" s="144"/>
      <c r="U1511" s="145" t="str">
        <f>VLOOKUP(H1511,Stock_list!A:N,14,FALSE)</f>
        <v>JUN 19</v>
      </c>
    </row>
    <row r="1512" spans="1:21" ht="16.5" customHeight="1">
      <c r="A1512" s="159" t="s">
        <v>2756</v>
      </c>
      <c r="B1512" s="114" t="str">
        <f>VLOOKUP(A1512,'Data pick slip'!B:F,5,FALSE)</f>
        <v>KLJ-MC200-00</v>
      </c>
      <c r="F1512" s="157" t="s">
        <v>2773</v>
      </c>
      <c r="H1512" s="138">
        <v>354</v>
      </c>
      <c r="I1512" s="139" t="str">
        <f>VLOOKUP(H1512,Stock_list!A:R,18,FALSE)</f>
        <v>恒泰创新</v>
      </c>
      <c r="J1512" s="139" t="str">
        <f>VLOOKUP(H1512,Stock_list!A:S,17,FALSE)</f>
        <v>C49SZX20190095ZX</v>
      </c>
      <c r="K1512" s="51" t="str">
        <f>VLOOKUP(H1512,Stock_list!A:T,16,FALSE)</f>
        <v>RMB</v>
      </c>
      <c r="L1512" s="4">
        <v>43642</v>
      </c>
      <c r="M1512" s="132">
        <v>8</v>
      </c>
      <c r="P1512" s="4" t="str">
        <f>VLOOKUP(H1512,Stock_list!A:Y,25,FALSE)</f>
        <v>Yes</v>
      </c>
      <c r="T1512" s="144"/>
      <c r="U1512" s="145" t="str">
        <f>VLOOKUP(H1512,Stock_list!A:N,14,FALSE)</f>
        <v>JUN 19</v>
      </c>
    </row>
    <row r="1513" spans="1:21" ht="16.5" customHeight="1">
      <c r="A1513" s="159" t="s">
        <v>2757</v>
      </c>
      <c r="B1513" s="114" t="str">
        <f>VLOOKUP(A1513,'Data pick slip'!B:F,5,FALSE)</f>
        <v>KLJ-MC400-00</v>
      </c>
      <c r="F1513" s="157" t="s">
        <v>2773</v>
      </c>
      <c r="H1513" s="138">
        <v>354</v>
      </c>
      <c r="I1513" s="139" t="str">
        <f>VLOOKUP(H1513,Stock_list!A:R,18,FALSE)</f>
        <v>恒泰创新</v>
      </c>
      <c r="J1513" s="139" t="str">
        <f>VLOOKUP(H1513,Stock_list!A:S,17,FALSE)</f>
        <v>C49SZX20190095ZX</v>
      </c>
      <c r="K1513" s="51" t="str">
        <f>VLOOKUP(H1513,Stock_list!A:T,16,FALSE)</f>
        <v>RMB</v>
      </c>
      <c r="L1513" s="4">
        <v>43642</v>
      </c>
      <c r="M1513" s="132">
        <v>2</v>
      </c>
      <c r="P1513" s="4" t="str">
        <f>VLOOKUP(H1513,Stock_list!A:Y,25,FALSE)</f>
        <v>Yes</v>
      </c>
      <c r="Q1513" s="143"/>
      <c r="T1513" s="144"/>
      <c r="U1513" s="145" t="str">
        <f>VLOOKUP(H1513,Stock_list!A:N,14,FALSE)</f>
        <v>JUN 19</v>
      </c>
    </row>
    <row r="1514" spans="1:21" ht="16.5" customHeight="1">
      <c r="A1514" s="159" t="s">
        <v>2744</v>
      </c>
      <c r="B1514" s="114" t="str">
        <f>VLOOKUP(A1514,'Data pick slip'!B:F,5,FALSE)</f>
        <v>KHJ-MC100-00</v>
      </c>
      <c r="F1514" s="157" t="s">
        <v>2773</v>
      </c>
      <c r="H1514" s="138">
        <v>355</v>
      </c>
      <c r="I1514" s="139" t="str">
        <f>VLOOKUP(H1514,Stock_list!A:R,18,FALSE)</f>
        <v>柏星</v>
      </c>
      <c r="J1514" s="139" t="str">
        <f>VLOOKUP(H1514,Stock_list!A:S,17,FALSE)</f>
        <v>C49SZX20190099SX</v>
      </c>
      <c r="K1514" s="51" t="str">
        <f>VLOOKUP(H1514,Stock_list!A:T,16,FALSE)</f>
        <v>RMB</v>
      </c>
      <c r="L1514" s="4">
        <v>43640</v>
      </c>
      <c r="M1514" s="140">
        <v>20</v>
      </c>
      <c r="P1514" s="4" t="str">
        <f>VLOOKUP(H1514,Stock_list!A:Y,25,FALSE)</f>
        <v>Yes</v>
      </c>
      <c r="Q1514" s="143"/>
      <c r="T1514" s="144"/>
      <c r="U1514" s="145" t="str">
        <f>VLOOKUP(H1514,Stock_list!A:N,14,FALSE)</f>
        <v>JUN 19</v>
      </c>
    </row>
    <row r="1515" spans="1:21" ht="16.5" customHeight="1">
      <c r="A1515" s="159" t="s">
        <v>2744</v>
      </c>
      <c r="B1515" s="114" t="str">
        <f>VLOOKUP(A1515,'Data pick slip'!B:F,5,FALSE)</f>
        <v>KHJ-MC100-00</v>
      </c>
      <c r="F1515" s="157" t="s">
        <v>2773</v>
      </c>
      <c r="H1515" s="138">
        <v>356</v>
      </c>
      <c r="I1515" s="139" t="str">
        <f>VLOOKUP(H1515,Stock_list!A:R,18,FALSE)</f>
        <v>永顺创</v>
      </c>
      <c r="J1515" s="139" t="str">
        <f>VLOOKUP(H1515,Stock_list!A:S,17,FALSE)</f>
        <v>C49SZX20190100SX</v>
      </c>
      <c r="K1515" s="51" t="str">
        <f>VLOOKUP(H1515,Stock_list!A:T,16,FALSE)</f>
        <v>RMB</v>
      </c>
      <c r="L1515" s="4">
        <v>43647</v>
      </c>
      <c r="M1515" s="140">
        <v>5</v>
      </c>
      <c r="P1515" s="4" t="str">
        <f>VLOOKUP(H1515,Stock_list!A:Y,25,FALSE)</f>
        <v>Yes</v>
      </c>
      <c r="Q1515" s="143"/>
      <c r="T1515" s="144"/>
      <c r="U1515" s="145" t="str">
        <f>VLOOKUP(H1515,Stock_list!A:N,14,FALSE)</f>
        <v>JUL 19</v>
      </c>
    </row>
    <row r="1516" spans="1:21" ht="16.5" customHeight="1">
      <c r="A1516" s="159" t="s">
        <v>2744</v>
      </c>
      <c r="B1516" s="114" t="str">
        <f>VLOOKUP(A1516,'Data pick slip'!B:F,5,FALSE)</f>
        <v>KHJ-MC100-00</v>
      </c>
      <c r="F1516" s="157" t="s">
        <v>2862</v>
      </c>
      <c r="I1516" s="139" t="s">
        <v>3016</v>
      </c>
      <c r="J1516" s="139" t="s">
        <v>3121</v>
      </c>
      <c r="K1516" s="51" t="s">
        <v>1246</v>
      </c>
      <c r="L1516" s="4">
        <v>43634</v>
      </c>
      <c r="M1516" s="140">
        <v>40</v>
      </c>
      <c r="P1516" s="4" t="s">
        <v>291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2747</v>
      </c>
      <c r="B1517" s="114" t="str">
        <f>VLOOKUP(A1517,'Data pick slip'!B:F,5,FALSE)</f>
        <v>KHJ-MC200-00</v>
      </c>
      <c r="F1517" s="157" t="s">
        <v>2862</v>
      </c>
      <c r="I1517" s="139" t="s">
        <v>3016</v>
      </c>
      <c r="J1517" s="139" t="s">
        <v>3121</v>
      </c>
      <c r="K1517" s="51" t="s">
        <v>1246</v>
      </c>
      <c r="L1517" s="4">
        <v>43634</v>
      </c>
      <c r="M1517" s="140">
        <v>10</v>
      </c>
      <c r="P1517" s="4" t="s">
        <v>291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2744</v>
      </c>
      <c r="B1518" s="114" t="str">
        <f>VLOOKUP(A1518,'Data pick slip'!B:F,5,FALSE)</f>
        <v>KHJ-MC100-00</v>
      </c>
      <c r="F1518" s="157" t="s">
        <v>2862</v>
      </c>
      <c r="I1518" s="139" t="s">
        <v>3016</v>
      </c>
      <c r="J1518" s="139" t="s">
        <v>3122</v>
      </c>
      <c r="K1518" s="51" t="s">
        <v>1246</v>
      </c>
      <c r="L1518" s="4">
        <v>43627</v>
      </c>
      <c r="M1518" s="140">
        <v>100</v>
      </c>
      <c r="P1518" s="4" t="s">
        <v>291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2747</v>
      </c>
      <c r="B1519" s="114" t="str">
        <f>VLOOKUP(A1519,'Data pick slip'!B:F,5,FALSE)</f>
        <v>KHJ-MC200-00</v>
      </c>
      <c r="F1519" s="157" t="s">
        <v>2862</v>
      </c>
      <c r="I1519" s="139" t="s">
        <v>3016</v>
      </c>
      <c r="J1519" s="139" t="s">
        <v>3122</v>
      </c>
      <c r="K1519" s="51" t="s">
        <v>1246</v>
      </c>
      <c r="L1519" s="4">
        <v>43627</v>
      </c>
      <c r="M1519" s="140">
        <v>30</v>
      </c>
      <c r="P1519" s="4" t="s">
        <v>291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2749</v>
      </c>
      <c r="B1520" s="114" t="str">
        <f>VLOOKUP(A1520,'Data pick slip'!B:F,5,FALSE)</f>
        <v>KHJ-MC500-00</v>
      </c>
      <c r="F1520" s="157" t="s">
        <v>2862</v>
      </c>
      <c r="I1520" s="139" t="s">
        <v>3016</v>
      </c>
      <c r="J1520" s="139" t="s">
        <v>3122</v>
      </c>
      <c r="K1520" s="51" t="s">
        <v>1246</v>
      </c>
      <c r="L1520" s="4">
        <v>43627</v>
      </c>
      <c r="M1520" s="140">
        <v>5</v>
      </c>
      <c r="P1520" s="4" t="s">
        <v>291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2755</v>
      </c>
      <c r="B1521" s="114" t="str">
        <f>VLOOKUP(A1521,'Data pick slip'!B:F,5,FALSE)</f>
        <v>KLJ-MC100-00</v>
      </c>
      <c r="F1521" s="157" t="s">
        <v>2862</v>
      </c>
      <c r="I1521" s="139" t="s">
        <v>3016</v>
      </c>
      <c r="J1521" s="139" t="s">
        <v>3122</v>
      </c>
      <c r="K1521" s="51" t="s">
        <v>1246</v>
      </c>
      <c r="L1521" s="4">
        <v>43627</v>
      </c>
      <c r="M1521" s="140">
        <v>50</v>
      </c>
      <c r="P1521" s="4" t="s">
        <v>291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2744</v>
      </c>
      <c r="B1522" s="114" t="str">
        <f>VLOOKUP(A1522,'Data pick slip'!B:F,5,FALSE)</f>
        <v>KHJ-MC100-00</v>
      </c>
      <c r="F1522" s="157" t="s">
        <v>2773</v>
      </c>
      <c r="H1522" s="138">
        <v>359</v>
      </c>
      <c r="I1522" s="139" t="str">
        <f>VLOOKUP(H1522,Stock_list!A:R,18,FALSE)</f>
        <v>凯瑞丰</v>
      </c>
      <c r="J1522" s="139" t="str">
        <f>VLOOKUP(H1522,Stock_list!A:S,17,FALSE)</f>
        <v>C49SZX20190102SX</v>
      </c>
      <c r="K1522" s="51" t="str">
        <f>VLOOKUP(H1522,Stock_list!A:T,16,FALSE)</f>
        <v>RMB</v>
      </c>
      <c r="L1522" s="4">
        <v>43657</v>
      </c>
      <c r="M1522" s="140">
        <v>75</v>
      </c>
      <c r="P1522" s="4" t="str">
        <f>VLOOKUP(H1522,Stock_list!A:Y,25,FALSE)</f>
        <v>Yes</v>
      </c>
      <c r="Q1522" s="143"/>
      <c r="T1522" s="144"/>
      <c r="U1522" s="145" t="str">
        <f>VLOOKUP(H1522,Stock_list!A:N,14,FALSE)</f>
        <v>JUL 19</v>
      </c>
    </row>
    <row r="1523" spans="1:21" ht="16.5" customHeight="1">
      <c r="A1523" s="159" t="s">
        <v>2747</v>
      </c>
      <c r="B1523" s="114" t="str">
        <f>VLOOKUP(A1523,'Data pick slip'!B:F,5,FALSE)</f>
        <v>KHJ-MC200-00</v>
      </c>
      <c r="F1523" s="157" t="s">
        <v>2773</v>
      </c>
      <c r="H1523" s="209">
        <v>359</v>
      </c>
      <c r="I1523" s="139" t="str">
        <f>VLOOKUP(H1523,Stock_list!A:R,18,FALSE)</f>
        <v>凯瑞丰</v>
      </c>
      <c r="J1523" s="139" t="str">
        <f>VLOOKUP(H1523,Stock_list!A:S,17,FALSE)</f>
        <v>C49SZX20190102SX</v>
      </c>
      <c r="K1523" s="51" t="str">
        <f>VLOOKUP(H1523,Stock_list!A:T,16,FALSE)</f>
        <v>RMB</v>
      </c>
      <c r="L1523" s="4">
        <v>43663</v>
      </c>
      <c r="M1523" s="140">
        <v>14</v>
      </c>
      <c r="P1523" s="4" t="str">
        <f>VLOOKUP(H1523,Stock_list!A:Y,25,FALSE)</f>
        <v>Yes</v>
      </c>
      <c r="Q1523" s="143"/>
      <c r="T1523" s="144"/>
      <c r="U1523" s="145" t="str">
        <f>VLOOKUP(H1523,Stock_list!A:N,14,FALSE)</f>
        <v>JUL 19</v>
      </c>
    </row>
    <row r="1524" spans="1:21" ht="16.5" customHeight="1">
      <c r="A1524" s="159" t="s">
        <v>2748</v>
      </c>
      <c r="B1524" s="114" t="str">
        <f>VLOOKUP(A1524,'Data pick slip'!B:F,5,FALSE)</f>
        <v>KHJ-MC400-00</v>
      </c>
      <c r="F1524" s="157" t="s">
        <v>2773</v>
      </c>
      <c r="H1524" s="138">
        <v>359</v>
      </c>
      <c r="I1524" s="139" t="str">
        <f>VLOOKUP(H1524,Stock_list!A:R,18,FALSE)</f>
        <v>凯瑞丰</v>
      </c>
      <c r="J1524" s="139" t="str">
        <f>VLOOKUP(H1524,Stock_list!A:S,17,FALSE)</f>
        <v>C49SZX20190102SX</v>
      </c>
      <c r="K1524" s="51" t="str">
        <f>VLOOKUP(H1524,Stock_list!A:T,16,FALSE)</f>
        <v>RMB</v>
      </c>
      <c r="L1524" s="4">
        <v>43651</v>
      </c>
      <c r="M1524" s="140">
        <v>2</v>
      </c>
      <c r="P1524" s="4" t="str">
        <f>VLOOKUP(H1524,Stock_list!A:Y,25,FALSE)</f>
        <v>Yes</v>
      </c>
      <c r="Q1524" s="143"/>
      <c r="T1524" s="144"/>
      <c r="U1524" s="145" t="str">
        <f>VLOOKUP(H1524,Stock_list!A:N,14,FALSE)</f>
        <v>JUL 19</v>
      </c>
    </row>
    <row r="1525" spans="1:21" ht="16.5" customHeight="1">
      <c r="A1525" s="159" t="s">
        <v>2749</v>
      </c>
      <c r="B1525" s="114" t="str">
        <f>VLOOKUP(A1525,'Data pick slip'!B:F,5,FALSE)</f>
        <v>KHJ-MC500-00</v>
      </c>
      <c r="F1525" s="157" t="s">
        <v>2773</v>
      </c>
      <c r="H1525" s="138">
        <v>359</v>
      </c>
      <c r="I1525" s="139" t="str">
        <f>VLOOKUP(H1525,Stock_list!A:R,18,FALSE)</f>
        <v>凯瑞丰</v>
      </c>
      <c r="J1525" s="139" t="str">
        <f>VLOOKUP(H1525,Stock_list!A:S,17,FALSE)</f>
        <v>C49SZX20190102SX</v>
      </c>
      <c r="K1525" s="51" t="str">
        <f>VLOOKUP(H1525,Stock_list!A:T,16,FALSE)</f>
        <v>RMB</v>
      </c>
      <c r="L1525" s="4">
        <v>43663</v>
      </c>
      <c r="M1525" s="132">
        <v>1</v>
      </c>
      <c r="P1525" s="4" t="str">
        <f>VLOOKUP(H1525,Stock_list!A:Y,25,FALSE)</f>
        <v>Yes</v>
      </c>
      <c r="Q1525" s="143"/>
      <c r="T1525" s="144"/>
      <c r="U1525" s="145" t="str">
        <f>VLOOKUP(H1525,Stock_list!A:N,14,FALSE)</f>
        <v>JUL 19</v>
      </c>
    </row>
    <row r="1526" spans="1:21" ht="16.5" customHeight="1">
      <c r="A1526" s="159" t="s">
        <v>2750</v>
      </c>
      <c r="B1526" s="114" t="str">
        <f>VLOOKUP(A1526,'Data pick slip'!B:F,5,FALSE)</f>
        <v>KHJ-MC600-00</v>
      </c>
      <c r="F1526" s="157" t="s">
        <v>2773</v>
      </c>
      <c r="H1526" s="138">
        <v>359</v>
      </c>
      <c r="I1526" s="139" t="str">
        <f>VLOOKUP(H1526,Stock_list!A:R,18,FALSE)</f>
        <v>凯瑞丰</v>
      </c>
      <c r="J1526" s="139" t="str">
        <f>VLOOKUP(H1526,Stock_list!A:S,17,FALSE)</f>
        <v>C49SZX20190102SX</v>
      </c>
      <c r="K1526" s="51" t="str">
        <f>VLOOKUP(H1526,Stock_list!A:T,16,FALSE)</f>
        <v>RMB</v>
      </c>
      <c r="L1526" s="4">
        <v>43663</v>
      </c>
      <c r="M1526" s="132">
        <v>1</v>
      </c>
      <c r="P1526" s="4" t="str">
        <f>VLOOKUP(H1526,Stock_list!A:Y,25,FALSE)</f>
        <v>Yes</v>
      </c>
      <c r="Q1526" s="143"/>
      <c r="T1526" s="144"/>
      <c r="U1526" s="145" t="str">
        <f>VLOOKUP(H1526,Stock_list!A:N,14,FALSE)</f>
        <v>JUL 19</v>
      </c>
    </row>
    <row r="1527" spans="1:21" ht="16.5" customHeight="1">
      <c r="A1527" s="159" t="s">
        <v>2755</v>
      </c>
      <c r="B1527" s="114" t="str">
        <f>VLOOKUP(A1527,'Data pick slip'!B:F,5,FALSE)</f>
        <v>KLJ-MC100-00</v>
      </c>
      <c r="F1527" s="157" t="s">
        <v>2862</v>
      </c>
      <c r="I1527" s="139" t="s">
        <v>3016</v>
      </c>
      <c r="J1527" s="139" t="s">
        <v>3123</v>
      </c>
      <c r="K1527" s="51" t="s">
        <v>3124</v>
      </c>
      <c r="L1527" s="4">
        <v>43642</v>
      </c>
      <c r="M1527" s="140">
        <v>51</v>
      </c>
      <c r="P1527" s="4" t="s">
        <v>291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2756</v>
      </c>
      <c r="B1528" s="114" t="str">
        <f>VLOOKUP(A1528,'Data pick slip'!B:F,5,FALSE)</f>
        <v>KLJ-MC200-00</v>
      </c>
      <c r="F1528" s="157" t="s">
        <v>2862</v>
      </c>
      <c r="I1528" s="139" t="s">
        <v>3016</v>
      </c>
      <c r="J1528" s="139" t="s">
        <v>3123</v>
      </c>
      <c r="K1528" s="51" t="s">
        <v>3124</v>
      </c>
      <c r="L1528" s="4">
        <v>43642</v>
      </c>
      <c r="M1528" s="140">
        <v>29</v>
      </c>
      <c r="P1528" s="4" t="s">
        <v>291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2757</v>
      </c>
      <c r="B1529" s="114" t="str">
        <f>VLOOKUP(A1529,'Data pick slip'!B:F,5,FALSE)</f>
        <v>KLJ-MC400-00</v>
      </c>
      <c r="F1529" s="157" t="s">
        <v>2862</v>
      </c>
      <c r="I1529" s="139" t="s">
        <v>3016</v>
      </c>
      <c r="J1529" s="139" t="s">
        <v>3123</v>
      </c>
      <c r="K1529" s="51" t="s">
        <v>3124</v>
      </c>
      <c r="L1529" s="4">
        <v>43642</v>
      </c>
      <c r="M1529" s="140">
        <v>9</v>
      </c>
      <c r="P1529" s="4" t="s">
        <v>291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2747</v>
      </c>
      <c r="B1530" s="114" t="str">
        <f>VLOOKUP(A1530,'Data pick slip'!B:F,5,FALSE)</f>
        <v>KHJ-MC200-00</v>
      </c>
      <c r="F1530" s="157" t="s">
        <v>2862</v>
      </c>
      <c r="I1530" s="139" t="s">
        <v>3016</v>
      </c>
      <c r="J1530" s="139" t="s">
        <v>3123</v>
      </c>
      <c r="K1530" s="51" t="s">
        <v>3124</v>
      </c>
      <c r="L1530" s="4">
        <v>43642</v>
      </c>
      <c r="M1530" s="140">
        <v>10</v>
      </c>
      <c r="P1530" s="4" t="s">
        <v>291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2755</v>
      </c>
      <c r="B1531" s="114" t="str">
        <f>VLOOKUP(A1531,'Data pick slip'!B:F,5,FALSE)</f>
        <v>KLJ-MC100-00</v>
      </c>
      <c r="F1531" s="157" t="s">
        <v>2862</v>
      </c>
      <c r="H1531" s="138">
        <v>361</v>
      </c>
      <c r="I1531" s="139" t="str">
        <f>VLOOKUP(H1531,Stock_list!A:R,18,FALSE)</f>
        <v>创荣发</v>
      </c>
      <c r="J1531" s="139" t="str">
        <f>VLOOKUP(H1531,Stock_list!A:S,17,FALSE)</f>
        <v>C49SZX20190015JY</v>
      </c>
      <c r="K1531" s="51" t="str">
        <f>VLOOKUP(H1531,Stock_list!A:T,16,FALSE)</f>
        <v>JPY</v>
      </c>
      <c r="L1531" s="4">
        <v>43735</v>
      </c>
      <c r="M1531" s="132">
        <v>220</v>
      </c>
      <c r="P1531" s="4" t="str">
        <f>VLOOKUP(H1531,Stock_list!A:Y,25,FALSE)</f>
        <v>Yes</v>
      </c>
      <c r="Q1531" s="143"/>
      <c r="T1531" s="144"/>
      <c r="U1531" s="145" t="str">
        <f>VLOOKUP(H1531,Stock_list!A:N,14,FALSE)</f>
        <v>SEP 19</v>
      </c>
    </row>
    <row r="1532" spans="1:21" ht="16.5" customHeight="1">
      <c r="A1532" s="159" t="s">
        <v>2756</v>
      </c>
      <c r="B1532" s="114" t="str">
        <f>VLOOKUP(A1532,'Data pick slip'!B:F,5,FALSE)</f>
        <v>KLJ-MC200-00</v>
      </c>
      <c r="F1532" s="157" t="s">
        <v>2862</v>
      </c>
      <c r="H1532" s="138">
        <v>361</v>
      </c>
      <c r="I1532" s="139" t="str">
        <f>VLOOKUP(H1532,Stock_list!A:R,18,FALSE)</f>
        <v>创荣发</v>
      </c>
      <c r="J1532" s="139" t="str">
        <f>VLOOKUP(H1532,Stock_list!A:S,17,FALSE)</f>
        <v>C49SZX20190015JY</v>
      </c>
      <c r="K1532" s="51" t="str">
        <f>VLOOKUP(H1532,Stock_list!A:T,16,FALSE)</f>
        <v>JPY</v>
      </c>
      <c r="L1532" s="4">
        <v>43735</v>
      </c>
      <c r="M1532" s="132">
        <v>55</v>
      </c>
      <c r="P1532" s="4" t="str">
        <f>VLOOKUP(H1532,Stock_list!A:Y,25,FALSE)</f>
        <v>Yes</v>
      </c>
      <c r="T1532" s="144"/>
      <c r="U1532" s="145" t="str">
        <f>VLOOKUP(H1532,Stock_list!A:N,14,FALSE)</f>
        <v>SEP 19</v>
      </c>
    </row>
    <row r="1533" spans="1:21" ht="16.5" customHeight="1">
      <c r="A1533" s="159" t="s">
        <v>2757</v>
      </c>
      <c r="B1533" s="114" t="str">
        <f>VLOOKUP(A1533,'Data pick slip'!B:F,5,FALSE)</f>
        <v>KLJ-MC400-00</v>
      </c>
      <c r="F1533" s="157" t="s">
        <v>2862</v>
      </c>
      <c r="H1533" s="138">
        <v>361</v>
      </c>
      <c r="I1533" s="139" t="str">
        <f>VLOOKUP(H1533,Stock_list!A:R,18,FALSE)</f>
        <v>创荣发</v>
      </c>
      <c r="J1533" s="139" t="str">
        <f>VLOOKUP(H1533,Stock_list!A:S,17,FALSE)</f>
        <v>C49SZX20190015JY</v>
      </c>
      <c r="K1533" s="51" t="str">
        <f>VLOOKUP(H1533,Stock_list!A:T,16,FALSE)</f>
        <v>JPY</v>
      </c>
      <c r="L1533" s="4">
        <v>43735</v>
      </c>
      <c r="M1533" s="132">
        <v>5</v>
      </c>
      <c r="P1533" s="4" t="str">
        <f>VLOOKUP(H1533,Stock_list!A:Y,25,FALSE)</f>
        <v>Yes</v>
      </c>
      <c r="Q1533" s="143"/>
      <c r="T1533" s="144"/>
      <c r="U1533" s="145" t="str">
        <f>VLOOKUP(H1533,Stock_list!A:N,14,FALSE)</f>
        <v>SEP 19</v>
      </c>
    </row>
    <row r="1534" spans="1:21" ht="16.5" customHeight="1">
      <c r="A1534" s="159" t="s">
        <v>2758</v>
      </c>
      <c r="B1534" s="114" t="str">
        <f>VLOOKUP(A1534,'Data pick slip'!B:F,5,FALSE)</f>
        <v>KLJ-MC500-00</v>
      </c>
      <c r="F1534" s="157" t="s">
        <v>2862</v>
      </c>
      <c r="H1534" s="138">
        <v>361</v>
      </c>
      <c r="I1534" s="139" t="str">
        <f>VLOOKUP(H1534,Stock_list!A:R,18,FALSE)</f>
        <v>创荣发</v>
      </c>
      <c r="J1534" s="139" t="str">
        <f>VLOOKUP(H1534,Stock_list!A:S,17,FALSE)</f>
        <v>C49SZX20190015JY</v>
      </c>
      <c r="K1534" s="51" t="str">
        <f>VLOOKUP(H1534,Stock_list!A:T,16,FALSE)</f>
        <v>JPY</v>
      </c>
      <c r="L1534" s="4">
        <v>43735</v>
      </c>
      <c r="M1534" s="132">
        <v>4</v>
      </c>
      <c r="P1534" s="4" t="str">
        <f>VLOOKUP(H1534,Stock_list!A:Y,25,FALSE)</f>
        <v>Yes</v>
      </c>
      <c r="Q1534" s="143"/>
      <c r="T1534" s="144"/>
      <c r="U1534" s="145" t="str">
        <f>VLOOKUP(H1534,Stock_list!A:N,14,FALSE)</f>
        <v>SEP 19</v>
      </c>
    </row>
    <row r="1535" spans="1:21" ht="16.5" customHeight="1">
      <c r="A1535" s="159" t="s">
        <v>2759</v>
      </c>
      <c r="B1535" s="114" t="str">
        <f>VLOOKUP(A1535,'Data pick slip'!B:F,5,FALSE)</f>
        <v>KLJ-MC600-00</v>
      </c>
      <c r="F1535" s="157" t="s">
        <v>2773</v>
      </c>
      <c r="H1535" s="138">
        <v>361</v>
      </c>
      <c r="I1535" s="139" t="str">
        <f>VLOOKUP(H1535,Stock_list!A:R,18,FALSE)</f>
        <v>创荣发</v>
      </c>
      <c r="J1535" s="139" t="str">
        <f>VLOOKUP(H1535,Stock_list!A:S,17,FALSE)</f>
        <v>C49SZX20190015JY</v>
      </c>
      <c r="K1535" s="51" t="str">
        <f>VLOOKUP(H1535,Stock_list!A:T,16,FALSE)</f>
        <v>JPY</v>
      </c>
      <c r="L1535" s="4">
        <v>43735</v>
      </c>
      <c r="M1535" s="132">
        <v>1</v>
      </c>
      <c r="P1535" s="4" t="str">
        <f>VLOOKUP(H1535,Stock_list!A:Y,25,FALSE)</f>
        <v>Yes</v>
      </c>
      <c r="Q1535" s="143"/>
      <c r="S1535" s="123" t="s">
        <v>3004</v>
      </c>
      <c r="T1535" s="205" t="s">
        <v>3063</v>
      </c>
      <c r="U1535" s="145" t="str">
        <f>VLOOKUP(H1535,Stock_list!A:N,14,FALSE)</f>
        <v>SEP 19</v>
      </c>
    </row>
    <row r="1536" spans="1:21" ht="16.5" customHeight="1">
      <c r="A1536" s="155" t="s">
        <v>2768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2862</v>
      </c>
      <c r="H1536" s="138">
        <v>5</v>
      </c>
      <c r="I1536" s="139" t="s">
        <v>2854</v>
      </c>
      <c r="J1536" s="139" t="s">
        <v>3021</v>
      </c>
      <c r="K1536" s="51" t="s">
        <v>3003</v>
      </c>
      <c r="L1536" s="4">
        <v>43915</v>
      </c>
      <c r="M1536" s="140">
        <v>27</v>
      </c>
      <c r="P1536" s="4" t="s">
        <v>291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2759</v>
      </c>
      <c r="B1537" s="114" t="str">
        <f>VLOOKUP(A1537,'Data pick slip'!B:F,5,FALSE)</f>
        <v>KLJ-MC600-00</v>
      </c>
      <c r="F1537" s="157" t="s">
        <v>2773</v>
      </c>
      <c r="H1537" s="138">
        <v>361</v>
      </c>
      <c r="I1537" s="139" t="str">
        <f>VLOOKUP(H1537,Stock_list!A:R,18,FALSE)</f>
        <v>创荣发</v>
      </c>
      <c r="J1537" s="139" t="str">
        <f>VLOOKUP(H1537,Stock_list!A:S,17,FALSE)</f>
        <v>C49SZX20190015JY</v>
      </c>
      <c r="K1537" s="51" t="str">
        <f>VLOOKUP(H1537,Stock_list!A:T,16,FALSE)</f>
        <v>JPY</v>
      </c>
      <c r="L1537" s="4">
        <v>43864</v>
      </c>
      <c r="M1537" s="132">
        <v>1</v>
      </c>
      <c r="P1537" s="4" t="str">
        <f>VLOOKUP(H1537,Stock_list!A:Y,25,FALSE)</f>
        <v>Yes</v>
      </c>
      <c r="Q1537" s="143"/>
      <c r="S1537" s="123" t="s">
        <v>3004</v>
      </c>
      <c r="T1537" s="144" t="s">
        <v>3125</v>
      </c>
      <c r="U1537" s="145" t="str">
        <f>VLOOKUP(H1537,Stock_list!A:N,14,FALSE)</f>
        <v>SEP 19</v>
      </c>
    </row>
    <row r="1538" spans="1:21" ht="16.5" customHeight="1">
      <c r="A1538" s="159" t="s">
        <v>2744</v>
      </c>
      <c r="B1538" s="114" t="str">
        <f>VLOOKUP(A1538,'Data pick slip'!B:F,5,FALSE)</f>
        <v>KHJ-MC100-00</v>
      </c>
      <c r="F1538" s="157" t="s">
        <v>2862</v>
      </c>
      <c r="H1538" s="138">
        <v>365</v>
      </c>
      <c r="I1538" s="139" t="str">
        <f>VLOOKUP(H1538,Stock_list!A:R,18,FALSE)</f>
        <v>帝泰克</v>
      </c>
      <c r="J1538" s="139" t="str">
        <f>VLOOKUP(H1538,Stock_list!A:S,17,FALSE)</f>
        <v>C49SZX201901008ZX</v>
      </c>
      <c r="K1538" s="51" t="str">
        <f>VLOOKUP(H1538,Stock_list!A:T,16,FALSE)</f>
        <v>RMB</v>
      </c>
      <c r="L1538" s="4">
        <v>43650</v>
      </c>
      <c r="M1538" s="132">
        <v>100</v>
      </c>
      <c r="P1538" s="4" t="str">
        <f>VLOOKUP(H1538,Stock_list!A:Y,25,FALSE)</f>
        <v>Yes</v>
      </c>
      <c r="Q1538" s="143"/>
      <c r="T1538" s="144"/>
      <c r="U1538" s="145" t="str">
        <f>VLOOKUP(H1538,Stock_list!A:N,14,FALSE)</f>
        <v>JUL 19</v>
      </c>
    </row>
    <row r="1539" spans="1:21" ht="16.5" customHeight="1">
      <c r="A1539" s="159" t="s">
        <v>2747</v>
      </c>
      <c r="B1539" s="114" t="str">
        <f>VLOOKUP(A1539,'Data pick slip'!B:F,5,FALSE)</f>
        <v>KHJ-MC200-00</v>
      </c>
      <c r="F1539" s="157" t="s">
        <v>2862</v>
      </c>
      <c r="H1539" s="138">
        <v>365</v>
      </c>
      <c r="I1539" s="139" t="str">
        <f>VLOOKUP(H1539,Stock_list!A:R,18,FALSE)</f>
        <v>帝泰克</v>
      </c>
      <c r="J1539" s="139" t="str">
        <f>VLOOKUP(H1539,Stock_list!A:S,17,FALSE)</f>
        <v>C49SZX201901008ZX</v>
      </c>
      <c r="K1539" s="51" t="str">
        <f>VLOOKUP(H1539,Stock_list!A:T,16,FALSE)</f>
        <v>RMB</v>
      </c>
      <c r="L1539" s="4">
        <v>43650</v>
      </c>
      <c r="M1539" s="132">
        <v>30</v>
      </c>
      <c r="P1539" s="4" t="str">
        <f>VLOOKUP(H1539,Stock_list!A:Y,25,FALSE)</f>
        <v>Yes</v>
      </c>
      <c r="Q1539" s="143"/>
      <c r="T1539" s="144"/>
      <c r="U1539" s="145" t="str">
        <f>VLOOKUP(H1539,Stock_list!A:N,14,FALSE)</f>
        <v>JUL 19</v>
      </c>
    </row>
    <row r="1540" spans="1:21" ht="16.5" customHeight="1">
      <c r="A1540" s="159" t="s">
        <v>2748</v>
      </c>
      <c r="B1540" s="114" t="str">
        <f>VLOOKUP(A1540,'Data pick slip'!B:F,5,FALSE)</f>
        <v>KHJ-MC400-00</v>
      </c>
      <c r="F1540" s="157" t="s">
        <v>2862</v>
      </c>
      <c r="H1540" s="138">
        <v>365</v>
      </c>
      <c r="I1540" s="139" t="str">
        <f>VLOOKUP(H1540,Stock_list!A:R,18,FALSE)</f>
        <v>帝泰克</v>
      </c>
      <c r="J1540" s="139" t="str">
        <f>VLOOKUP(H1540,Stock_list!A:S,17,FALSE)</f>
        <v>C49SZX201901008ZX</v>
      </c>
      <c r="K1540" s="51" t="str">
        <f>VLOOKUP(H1540,Stock_list!A:T,16,FALSE)</f>
        <v>RMB</v>
      </c>
      <c r="L1540" s="4">
        <v>43650</v>
      </c>
      <c r="M1540" s="132">
        <v>5</v>
      </c>
      <c r="P1540" s="4" t="str">
        <f>VLOOKUP(H1540,Stock_list!A:Y,25,FALSE)</f>
        <v>Yes</v>
      </c>
      <c r="Q1540" s="143"/>
      <c r="T1540" s="144"/>
      <c r="U1540" s="145" t="str">
        <f>VLOOKUP(H1540,Stock_list!A:N,14,FALSE)</f>
        <v>JUL 19</v>
      </c>
    </row>
    <row r="1541" spans="1:21" ht="16.5" customHeight="1">
      <c r="A1541" s="159" t="s">
        <v>2744</v>
      </c>
      <c r="B1541" s="114" t="str">
        <f>VLOOKUP(A1541,'Data pick slip'!B:F,5,FALSE)</f>
        <v>KHJ-MC100-00</v>
      </c>
      <c r="F1541" s="157" t="s">
        <v>2862</v>
      </c>
      <c r="H1541" s="138">
        <v>371</v>
      </c>
      <c r="I1541" s="139" t="str">
        <f>VLOOKUP(H1541,Stock_list!A:R,18,FALSE)</f>
        <v>杉川/end user:放德劲</v>
      </c>
      <c r="J1541" s="139" t="str">
        <f>VLOOKUP(H1541,Stock_list!A:S,17,FALSE)</f>
        <v>C49SZX20190093JL</v>
      </c>
      <c r="K1541" s="51" t="str">
        <f>VLOOKUP(H1541,Stock_list!A:T,16,FALSE)</f>
        <v>JPY</v>
      </c>
      <c r="L1541" s="4">
        <v>43668</v>
      </c>
      <c r="M1541" s="132">
        <v>90</v>
      </c>
      <c r="P1541" s="4" t="str">
        <f>VLOOKUP(H1541,Stock_list!A:Y,25,FALSE)</f>
        <v>Yes</v>
      </c>
      <c r="Q1541" s="143"/>
      <c r="T1541" s="144"/>
      <c r="U1541" s="145" t="str">
        <f>VLOOKUP(H1541,Stock_list!A:N,14,FALSE)</f>
        <v>JUL 19</v>
      </c>
    </row>
    <row r="1542" spans="1:21" ht="16.5" customHeight="1">
      <c r="A1542" s="159" t="s">
        <v>2747</v>
      </c>
      <c r="B1542" s="114" t="str">
        <f>VLOOKUP(A1542,'Data pick slip'!B:F,5,FALSE)</f>
        <v>KHJ-MC200-00</v>
      </c>
      <c r="F1542" s="157" t="s">
        <v>2862</v>
      </c>
      <c r="H1542" s="138">
        <v>371</v>
      </c>
      <c r="I1542" s="139" t="str">
        <f>VLOOKUP(H1542,Stock_list!A:R,18,FALSE)</f>
        <v>杉川/end user:放德劲</v>
      </c>
      <c r="J1542" s="139" t="str">
        <f>VLOOKUP(H1542,Stock_list!A:S,17,FALSE)</f>
        <v>C49SZX20190093JL</v>
      </c>
      <c r="K1542" s="51" t="str">
        <f>VLOOKUP(H1542,Stock_list!A:T,16,FALSE)</f>
        <v>JPY</v>
      </c>
      <c r="L1542" s="4">
        <v>43668</v>
      </c>
      <c r="M1542" s="132">
        <v>25</v>
      </c>
      <c r="P1542" s="4" t="str">
        <f>VLOOKUP(H1542,Stock_list!A:Y,25,FALSE)</f>
        <v>Yes</v>
      </c>
      <c r="Q1542" s="143"/>
      <c r="T1542" s="144"/>
      <c r="U1542" s="145" t="str">
        <f>VLOOKUP(H1542,Stock_list!A:N,14,FALSE)</f>
        <v>JUL 19</v>
      </c>
    </row>
    <row r="1543" spans="1:21" ht="16.5" customHeight="1">
      <c r="A1543" s="159" t="s">
        <v>2747</v>
      </c>
      <c r="B1543" s="114" t="str">
        <f>VLOOKUP(A1543,'Data pick slip'!B:F,5,FALSE)</f>
        <v>KHJ-MC200-00</v>
      </c>
      <c r="F1543" s="157" t="s">
        <v>2773</v>
      </c>
      <c r="H1543" s="138">
        <v>371</v>
      </c>
      <c r="I1543" s="139" t="str">
        <f>VLOOKUP(H1543,Stock_list!A:R,18,FALSE)</f>
        <v>杉川/end user:放德劲</v>
      </c>
      <c r="J1543" s="139" t="str">
        <f>VLOOKUP(H1543,Stock_list!A:S,17,FALSE)</f>
        <v>C49SZX20190093JL</v>
      </c>
      <c r="K1543" s="51" t="str">
        <f>VLOOKUP(H1543,Stock_list!A:T,16,FALSE)</f>
        <v>JPY</v>
      </c>
      <c r="L1543" s="4">
        <v>43668</v>
      </c>
      <c r="M1543" s="132">
        <v>10</v>
      </c>
      <c r="P1543" s="4" t="str">
        <f>VLOOKUP(H1543,Stock_list!A:Y,25,FALSE)</f>
        <v>Yes</v>
      </c>
      <c r="Q1543" s="143"/>
      <c r="S1543" s="123" t="s">
        <v>3004</v>
      </c>
      <c r="T1543" s="205" t="s">
        <v>3079</v>
      </c>
      <c r="U1543" s="145" t="str">
        <f>VLOOKUP(H1543,Stock_list!A:N,14,FALSE)</f>
        <v>JUL 19</v>
      </c>
    </row>
    <row r="1544" spans="1:21" ht="16.5" customHeight="1">
      <c r="A1544" s="159" t="s">
        <v>2748</v>
      </c>
      <c r="B1544" s="114" t="str">
        <f>VLOOKUP(A1544,'Data pick slip'!B:F,5,FALSE)</f>
        <v>KHJ-MC400-00</v>
      </c>
      <c r="F1544" s="157" t="s">
        <v>2862</v>
      </c>
      <c r="H1544" s="138">
        <v>371</v>
      </c>
      <c r="I1544" s="139" t="str">
        <f>VLOOKUP(H1544,Stock_list!A:R,18,FALSE)</f>
        <v>杉川/end user:放德劲</v>
      </c>
      <c r="J1544" s="139" t="str">
        <f>VLOOKUP(H1544,Stock_list!A:S,17,FALSE)</f>
        <v>C49SZX20190093JL</v>
      </c>
      <c r="K1544" s="51" t="str">
        <f>VLOOKUP(H1544,Stock_list!A:T,16,FALSE)</f>
        <v>JPY</v>
      </c>
      <c r="L1544" s="4">
        <v>43668</v>
      </c>
      <c r="M1544" s="132">
        <v>15</v>
      </c>
      <c r="P1544" s="4" t="str">
        <f>VLOOKUP(H1544,Stock_list!A:Y,25,FALSE)</f>
        <v>Yes</v>
      </c>
      <c r="Q1544" s="143"/>
      <c r="T1544" s="144"/>
      <c r="U1544" s="145" t="str">
        <f>VLOOKUP(H1544,Stock_list!A:N,14,FALSE)</f>
        <v>JUL 19</v>
      </c>
    </row>
    <row r="1545" spans="1:21" ht="16.5" customHeight="1">
      <c r="A1545" s="159" t="s">
        <v>2749</v>
      </c>
      <c r="B1545" s="114" t="str">
        <f>VLOOKUP(A1545,'Data pick slip'!B:F,5,FALSE)</f>
        <v>KHJ-MC500-00</v>
      </c>
      <c r="F1545" s="157" t="s">
        <v>2773</v>
      </c>
      <c r="H1545" s="138">
        <v>371</v>
      </c>
      <c r="I1545" s="139" t="str">
        <f>VLOOKUP(H1545,Stock_list!A:R,18,FALSE)</f>
        <v>杉川/end user:放德劲</v>
      </c>
      <c r="J1545" s="139" t="str">
        <f>VLOOKUP(H1545,Stock_list!A:S,17,FALSE)</f>
        <v>C49SZX20190093JL</v>
      </c>
      <c r="K1545" s="51" t="str">
        <f>VLOOKUP(H1545,Stock_list!A:T,16,FALSE)</f>
        <v>JPY</v>
      </c>
      <c r="L1545" s="4">
        <v>43668</v>
      </c>
      <c r="M1545" s="132">
        <v>1</v>
      </c>
      <c r="P1545" s="4" t="str">
        <f>VLOOKUP(H1545,Stock_list!A:Y,25,FALSE)</f>
        <v>Yes</v>
      </c>
      <c r="Q1545" s="143"/>
      <c r="S1545" s="123" t="s">
        <v>3004</v>
      </c>
      <c r="T1545" s="205" t="s">
        <v>3079</v>
      </c>
      <c r="U1545" s="145" t="str">
        <f>VLOOKUP(H1545,Stock_list!A:N,14,FALSE)</f>
        <v>JUL 19</v>
      </c>
    </row>
    <row r="1546" spans="1:21" ht="16.5" customHeight="1">
      <c r="A1546" s="159" t="s">
        <v>2750</v>
      </c>
      <c r="B1546" s="114" t="str">
        <f>VLOOKUP(A1546,'Data pick slip'!B:F,5,FALSE)</f>
        <v>KHJ-MC600-00</v>
      </c>
      <c r="F1546" s="157" t="s">
        <v>2773</v>
      </c>
      <c r="H1546" s="138">
        <v>371</v>
      </c>
      <c r="I1546" s="139" t="str">
        <f>VLOOKUP(H1546,Stock_list!A:R,18,FALSE)</f>
        <v>杉川/end user:放德劲</v>
      </c>
      <c r="J1546" s="139" t="str">
        <f>VLOOKUP(H1546,Stock_list!A:S,17,FALSE)</f>
        <v>C49SZX20190093JL</v>
      </c>
      <c r="K1546" s="51" t="str">
        <f>VLOOKUP(H1546,Stock_list!A:T,16,FALSE)</f>
        <v>JPY</v>
      </c>
      <c r="L1546" s="4">
        <v>43668</v>
      </c>
      <c r="M1546" s="132">
        <v>1</v>
      </c>
      <c r="P1546" s="4" t="str">
        <f>VLOOKUP(H1546,Stock_list!A:Y,25,FALSE)</f>
        <v>Yes</v>
      </c>
      <c r="Q1546" s="143"/>
      <c r="S1546" s="123" t="s">
        <v>3004</v>
      </c>
      <c r="T1546" s="205" t="s">
        <v>3079</v>
      </c>
      <c r="U1546" s="145" t="str">
        <f>VLOOKUP(H1546,Stock_list!A:N,14,FALSE)</f>
        <v>JUL 19</v>
      </c>
    </row>
    <row r="1547" spans="1:21" ht="16.5" customHeight="1">
      <c r="A1547" s="159" t="s">
        <v>2744</v>
      </c>
      <c r="B1547" s="114" t="str">
        <f>VLOOKUP(A1547,'Data pick slip'!B:F,5,FALSE)</f>
        <v>KHJ-MC100-00</v>
      </c>
      <c r="F1547" s="157" t="s">
        <v>2862</v>
      </c>
      <c r="H1547" s="138">
        <v>376</v>
      </c>
      <c r="I1547" s="139" t="str">
        <f>VLOOKUP(H1547,Stock_list!A:R,18,FALSE)</f>
        <v>汇杰伟业</v>
      </c>
      <c r="J1547" s="139" t="str">
        <f>VLOOKUP(H1547,Stock_list!A:S,17,FALSE)</f>
        <v>C49SZX20190109MZ</v>
      </c>
      <c r="K1547" s="51" t="str">
        <f>VLOOKUP(H1547,Stock_list!A:T,16,FALSE)</f>
        <v>JPY</v>
      </c>
      <c r="L1547" s="4">
        <v>43669</v>
      </c>
      <c r="M1547" s="140">
        <v>40</v>
      </c>
      <c r="P1547" s="4" t="str">
        <f>VLOOKUP(H1547,Stock_list!A:Y,25,FALSE)</f>
        <v>Yes</v>
      </c>
      <c r="Q1547" s="143"/>
      <c r="S1547" s="123" t="s">
        <v>3004</v>
      </c>
      <c r="T1547" s="144"/>
      <c r="U1547" s="145" t="str">
        <f>VLOOKUP(H1547,Stock_list!A:N,14,FALSE)</f>
        <v>JUL 19</v>
      </c>
    </row>
    <row r="1548" spans="1:21" ht="16.5" customHeight="1">
      <c r="A1548" s="159" t="s">
        <v>2744</v>
      </c>
      <c r="B1548" s="114" t="str">
        <f>VLOOKUP(A1548,'Data pick slip'!B:F,5,FALSE)</f>
        <v>KHJ-MC100-00</v>
      </c>
      <c r="F1548" s="157" t="s">
        <v>2773</v>
      </c>
      <c r="I1548" s="139" t="s">
        <v>2854</v>
      </c>
      <c r="J1548" s="139" t="s">
        <v>3126</v>
      </c>
      <c r="K1548" s="51" t="s">
        <v>3003</v>
      </c>
      <c r="L1548" s="4">
        <v>43649</v>
      </c>
      <c r="M1548" s="140">
        <v>3</v>
      </c>
      <c r="P1548" s="4" t="s">
        <v>291</v>
      </c>
      <c r="Q1548" s="143"/>
      <c r="S1548" s="123" t="s">
        <v>3004</v>
      </c>
      <c r="T1548" s="144" t="s">
        <v>3127</v>
      </c>
      <c r="U1548" s="145" t="e">
        <f>VLOOKUP(H1548,Stock_list!A:N,14,FALSE)</f>
        <v>#N/A</v>
      </c>
    </row>
    <row r="1549" spans="1:21" ht="16.5" customHeight="1">
      <c r="A1549" s="159" t="s">
        <v>2744</v>
      </c>
      <c r="B1549" s="114" t="str">
        <f>VLOOKUP(A1549,'Data pick slip'!B:F,5,FALSE)</f>
        <v>KHJ-MC100-00</v>
      </c>
      <c r="F1549" s="157" t="s">
        <v>2773</v>
      </c>
      <c r="I1549" s="139" t="s">
        <v>3100</v>
      </c>
      <c r="J1549" s="139" t="s">
        <v>3128</v>
      </c>
      <c r="K1549" s="51" t="s">
        <v>1246</v>
      </c>
      <c r="L1549" s="4">
        <v>43656</v>
      </c>
      <c r="M1549" s="140">
        <v>10</v>
      </c>
      <c r="P1549" s="4" t="s">
        <v>291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2747</v>
      </c>
      <c r="B1550" s="114" t="str">
        <f>VLOOKUP(A1550,'Data pick slip'!B:F,5,FALSE)</f>
        <v>KHJ-MC200-00</v>
      </c>
      <c r="F1550" s="157" t="s">
        <v>2773</v>
      </c>
      <c r="I1550" s="139" t="s">
        <v>2854</v>
      </c>
      <c r="J1550" s="139" t="s">
        <v>3129</v>
      </c>
      <c r="K1550" s="51" t="s">
        <v>3003</v>
      </c>
      <c r="L1550" s="4">
        <v>43655</v>
      </c>
      <c r="M1550" s="140">
        <v>5</v>
      </c>
      <c r="P1550" s="4" t="s">
        <v>291</v>
      </c>
      <c r="Q1550" s="143"/>
      <c r="S1550" s="123" t="s">
        <v>3004</v>
      </c>
      <c r="T1550" s="144" t="s">
        <v>3130</v>
      </c>
      <c r="U1550" s="145" t="e">
        <f>VLOOKUP(H1550,Stock_list!A:N,14,FALSE)</f>
        <v>#N/A</v>
      </c>
    </row>
    <row r="1551" spans="1:21" ht="16.5" customHeight="1">
      <c r="A1551" s="159" t="s">
        <v>2744</v>
      </c>
      <c r="B1551" s="114" t="str">
        <f>VLOOKUP(A1551,'Data pick slip'!B:F,5,FALSE)</f>
        <v>KHJ-MC100-00</v>
      </c>
      <c r="F1551" s="157" t="s">
        <v>2773</v>
      </c>
      <c r="H1551" s="138">
        <v>375</v>
      </c>
      <c r="I1551" s="139" t="str">
        <f>VLOOKUP(H1551,Stock_list!A:R,18,FALSE)</f>
        <v>方案集</v>
      </c>
      <c r="J1551" s="139" t="str">
        <f>VLOOKUP(H1551,Stock_list!A:S,17,FALSE)</f>
        <v>C49SZX20190107DZ</v>
      </c>
      <c r="K1551" s="51" t="str">
        <f>VLOOKUP(H1551,Stock_list!A:T,16,FALSE)</f>
        <v>RMB</v>
      </c>
      <c r="L1551" s="4">
        <v>43661</v>
      </c>
      <c r="M1551" s="132">
        <v>44</v>
      </c>
      <c r="P1551" s="4" t="str">
        <f>VLOOKUP(H1551,Stock_list!A:Y,25,FALSE)</f>
        <v>Yes</v>
      </c>
      <c r="Q1551" s="143"/>
      <c r="T1551" s="144"/>
      <c r="U1551" s="145" t="str">
        <f>VLOOKUP(H1551,Stock_list!A:N,14,FALSE)</f>
        <v>JUL 19</v>
      </c>
    </row>
    <row r="1552" spans="1:21" ht="16.5" customHeight="1">
      <c r="A1552" s="159" t="s">
        <v>2747</v>
      </c>
      <c r="B1552" s="114" t="str">
        <f>VLOOKUP(A1552,'Data pick slip'!B:F,5,FALSE)</f>
        <v>KHJ-MC200-00</v>
      </c>
      <c r="F1552" s="157" t="s">
        <v>2773</v>
      </c>
      <c r="H1552" s="138">
        <v>375</v>
      </c>
      <c r="I1552" s="139" t="str">
        <f>VLOOKUP(H1552,Stock_list!A:R,18,FALSE)</f>
        <v>方案集</v>
      </c>
      <c r="J1552" s="139" t="str">
        <f>VLOOKUP(H1552,Stock_list!A:S,17,FALSE)</f>
        <v>C49SZX20190107DZ</v>
      </c>
      <c r="K1552" s="51" t="str">
        <f>VLOOKUP(H1552,Stock_list!A:T,16,FALSE)</f>
        <v>RMB</v>
      </c>
      <c r="L1552" s="4">
        <v>43661</v>
      </c>
      <c r="M1552" s="132">
        <v>10</v>
      </c>
      <c r="P1552" s="4" t="str">
        <f>VLOOKUP(H1552,Stock_list!A:Y,25,FALSE)</f>
        <v>Yes</v>
      </c>
      <c r="Q1552" s="143"/>
      <c r="T1552" s="144"/>
      <c r="U1552" s="145" t="str">
        <f>VLOOKUP(H1552,Stock_list!A:N,14,FALSE)</f>
        <v>JUL 19</v>
      </c>
    </row>
    <row r="1553" spans="1:21" ht="16.5" customHeight="1">
      <c r="A1553" s="159" t="s">
        <v>2748</v>
      </c>
      <c r="B1553" s="114" t="str">
        <f>VLOOKUP(A1553,'Data pick slip'!B:F,5,FALSE)</f>
        <v>KHJ-MC400-00</v>
      </c>
      <c r="F1553" s="157" t="s">
        <v>2773</v>
      </c>
      <c r="H1553" s="138">
        <v>375</v>
      </c>
      <c r="I1553" s="139" t="str">
        <f>VLOOKUP(H1553,Stock_list!A:R,18,FALSE)</f>
        <v>方案集</v>
      </c>
      <c r="J1553" s="139" t="str">
        <f>VLOOKUP(H1553,Stock_list!A:S,17,FALSE)</f>
        <v>C49SZX20190107DZ</v>
      </c>
      <c r="K1553" s="51" t="str">
        <f>VLOOKUP(H1553,Stock_list!A:T,16,FALSE)</f>
        <v>RMB</v>
      </c>
      <c r="L1553" s="4">
        <v>43661</v>
      </c>
      <c r="M1553" s="132">
        <v>2</v>
      </c>
      <c r="P1553" s="4" t="str">
        <f>VLOOKUP(H1553,Stock_list!A:Y,25,FALSE)</f>
        <v>Yes</v>
      </c>
      <c r="Q1553" s="143"/>
      <c r="T1553" s="144"/>
      <c r="U1553" s="145" t="str">
        <f>VLOOKUP(H1553,Stock_list!A:N,14,FALSE)</f>
        <v>JUL 19</v>
      </c>
    </row>
    <row r="1554" spans="1:21" ht="16.5" customHeight="1">
      <c r="A1554" s="159" t="s">
        <v>2749</v>
      </c>
      <c r="B1554" s="114" t="str">
        <f>VLOOKUP(A1554,'Data pick slip'!B:F,5,FALSE)</f>
        <v>KHJ-MC500-00</v>
      </c>
      <c r="F1554" s="157" t="s">
        <v>2773</v>
      </c>
      <c r="H1554" s="138">
        <v>375</v>
      </c>
      <c r="I1554" s="139" t="str">
        <f>VLOOKUP(H1554,Stock_list!A:R,18,FALSE)</f>
        <v>方案集</v>
      </c>
      <c r="J1554" s="139" t="str">
        <f>VLOOKUP(H1554,Stock_list!A:S,17,FALSE)</f>
        <v>C49SZX20190107DZ</v>
      </c>
      <c r="K1554" s="51" t="str">
        <f>VLOOKUP(H1554,Stock_list!A:T,16,FALSE)</f>
        <v>RMB</v>
      </c>
      <c r="L1554" s="4">
        <v>43661</v>
      </c>
      <c r="M1554" s="132">
        <v>2</v>
      </c>
      <c r="P1554" s="4" t="str">
        <f>VLOOKUP(H1554,Stock_list!A:Y,25,FALSE)</f>
        <v>Yes</v>
      </c>
      <c r="Q1554" s="143"/>
      <c r="T1554" s="144"/>
      <c r="U1554" s="145" t="str">
        <f>VLOOKUP(H1554,Stock_list!A:N,14,FALSE)</f>
        <v>JUL 19</v>
      </c>
    </row>
    <row r="1555" spans="1:21" ht="16.5" customHeight="1">
      <c r="A1555" s="159" t="s">
        <v>2747</v>
      </c>
      <c r="B1555" s="114" t="str">
        <f>VLOOKUP(A1555,'Data pick slip'!B:F,5,FALSE)</f>
        <v>KHJ-MC200-00</v>
      </c>
      <c r="F1555" s="157" t="s">
        <v>2862</v>
      </c>
      <c r="I1555" s="139" t="s">
        <v>3016</v>
      </c>
      <c r="J1555" s="139" t="s">
        <v>3131</v>
      </c>
      <c r="K1555" s="51" t="s">
        <v>1246</v>
      </c>
      <c r="L1555" s="4">
        <v>43662</v>
      </c>
      <c r="M1555" s="140">
        <v>30</v>
      </c>
      <c r="P1555" s="4" t="s">
        <v>291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2747</v>
      </c>
      <c r="B1556" s="114" t="str">
        <f>VLOOKUP(A1556,'Data pick slip'!B:F,5,FALSE)</f>
        <v>KHJ-MC200-00</v>
      </c>
      <c r="F1556" s="157" t="s">
        <v>2773</v>
      </c>
      <c r="I1556" s="139" t="s">
        <v>2854</v>
      </c>
      <c r="J1556" s="139" t="s">
        <v>3132</v>
      </c>
      <c r="K1556" s="51" t="s">
        <v>3003</v>
      </c>
      <c r="L1556" s="4">
        <v>43658</v>
      </c>
      <c r="M1556" s="140">
        <v>2</v>
      </c>
      <c r="P1556" s="4" t="s">
        <v>291</v>
      </c>
      <c r="Q1556" s="143"/>
      <c r="S1556" s="123" t="s">
        <v>3004</v>
      </c>
      <c r="T1556" s="144" t="s">
        <v>3133</v>
      </c>
      <c r="U1556" s="145" t="e">
        <f>VLOOKUP(H1556,Stock_list!A:N,14,FALSE)</f>
        <v>#N/A</v>
      </c>
    </row>
    <row r="1557" spans="1:21" ht="16.5" customHeight="1">
      <c r="A1557" s="159" t="s">
        <v>2747</v>
      </c>
      <c r="B1557" s="114" t="str">
        <f>VLOOKUP(A1557,'Data pick slip'!B:F,5,FALSE)</f>
        <v>KHJ-MC200-00</v>
      </c>
      <c r="F1557" s="157" t="s">
        <v>2773</v>
      </c>
      <c r="I1557" s="139" t="s">
        <v>3094</v>
      </c>
      <c r="J1557" s="139" t="s">
        <v>3134</v>
      </c>
      <c r="K1557" s="51" t="s">
        <v>1246</v>
      </c>
      <c r="L1557" s="4">
        <v>43663</v>
      </c>
      <c r="M1557" s="140">
        <v>15</v>
      </c>
      <c r="P1557" s="4" t="s">
        <v>291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2747</v>
      </c>
      <c r="B1558" s="114" t="str">
        <f>VLOOKUP(A1558,'Data pick slip'!B:F,5,FALSE)</f>
        <v>KHJ-MC200-00</v>
      </c>
      <c r="F1558" s="157" t="s">
        <v>2773</v>
      </c>
      <c r="I1558" s="139" t="s">
        <v>3116</v>
      </c>
      <c r="J1558" s="139" t="s">
        <v>3135</v>
      </c>
      <c r="K1558" s="51" t="s">
        <v>1246</v>
      </c>
      <c r="L1558" s="4">
        <v>43664</v>
      </c>
      <c r="M1558" s="140">
        <v>10</v>
      </c>
      <c r="P1558" s="4" t="s">
        <v>291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2749</v>
      </c>
      <c r="B1559" s="114" t="str">
        <f>VLOOKUP(A1559,'Data pick slip'!B:F,5,FALSE)</f>
        <v>KHJ-MC500-00</v>
      </c>
      <c r="F1559" s="157" t="s">
        <v>2773</v>
      </c>
      <c r="I1559" s="139" t="s">
        <v>3136</v>
      </c>
      <c r="J1559" s="139" t="s">
        <v>3137</v>
      </c>
      <c r="K1559" s="51" t="s">
        <v>3003</v>
      </c>
      <c r="L1559" s="4">
        <v>43663</v>
      </c>
      <c r="M1559" s="140">
        <v>2</v>
      </c>
      <c r="P1559" s="4" t="s">
        <v>291</v>
      </c>
      <c r="Q1559" s="143"/>
      <c r="S1559" s="123" t="s">
        <v>3004</v>
      </c>
      <c r="T1559" s="205" t="s">
        <v>3138</v>
      </c>
      <c r="U1559" s="145" t="e">
        <f>VLOOKUP(H1559,Stock_list!A:N,14,FALSE)</f>
        <v>#N/A</v>
      </c>
    </row>
    <row r="1560" spans="1:21" ht="16.5" customHeight="1">
      <c r="A1560" s="159" t="s">
        <v>2750</v>
      </c>
      <c r="B1560" s="114" t="str">
        <f>VLOOKUP(A1560,'Data pick slip'!B:F,5,FALSE)</f>
        <v>KHJ-MC600-00</v>
      </c>
      <c r="F1560" s="157" t="s">
        <v>2773</v>
      </c>
      <c r="I1560" s="139" t="s">
        <v>3136</v>
      </c>
      <c r="J1560" s="139" t="s">
        <v>3137</v>
      </c>
      <c r="K1560" s="51" t="s">
        <v>3003</v>
      </c>
      <c r="L1560" s="4">
        <v>43663</v>
      </c>
      <c r="M1560" s="140">
        <v>1</v>
      </c>
      <c r="P1560" s="4" t="s">
        <v>291</v>
      </c>
      <c r="Q1560" s="143"/>
      <c r="S1560" s="123" t="s">
        <v>3004</v>
      </c>
      <c r="T1560" s="205" t="s">
        <v>3138</v>
      </c>
      <c r="U1560" s="145" t="e">
        <f>VLOOKUP(H1560,Stock_list!A:N,14,FALSE)</f>
        <v>#N/A</v>
      </c>
    </row>
    <row r="1561" spans="1:21" ht="16.5" customHeight="1">
      <c r="A1561" s="159" t="s">
        <v>2747</v>
      </c>
      <c r="B1561" s="114" t="str">
        <f>VLOOKUP(A1561,'Data pick slip'!B:F,5,FALSE)</f>
        <v>KHJ-MC200-00</v>
      </c>
      <c r="F1561" s="157" t="s">
        <v>2862</v>
      </c>
      <c r="I1561" s="139" t="s">
        <v>3016</v>
      </c>
      <c r="J1561" s="139" t="s">
        <v>3139</v>
      </c>
      <c r="K1561" s="51" t="s">
        <v>1246</v>
      </c>
      <c r="L1561" s="4">
        <v>43662</v>
      </c>
      <c r="M1561" s="140">
        <v>10</v>
      </c>
      <c r="P1561" s="4" t="s">
        <v>291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2748</v>
      </c>
      <c r="B1562" s="114" t="str">
        <f>VLOOKUP(A1562,'Data pick slip'!B:F,5,FALSE)</f>
        <v>KHJ-MC400-00</v>
      </c>
      <c r="F1562" s="157" t="s">
        <v>2773</v>
      </c>
      <c r="I1562" s="139" t="s">
        <v>3140</v>
      </c>
      <c r="J1562" s="139" t="s">
        <v>3141</v>
      </c>
      <c r="K1562" s="51" t="s">
        <v>1246</v>
      </c>
      <c r="L1562" s="4">
        <v>43661</v>
      </c>
      <c r="M1562" s="140">
        <v>1</v>
      </c>
      <c r="P1562" s="4" t="s">
        <v>291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2747</v>
      </c>
      <c r="B1563" s="114" t="str">
        <f>VLOOKUP(A1563,'Data pick slip'!B:F,5,FALSE)</f>
        <v>KHJ-MC200-00</v>
      </c>
      <c r="F1563" s="157" t="s">
        <v>2773</v>
      </c>
      <c r="I1563" s="139" t="s">
        <v>3094</v>
      </c>
      <c r="J1563" s="139" t="s">
        <v>3142</v>
      </c>
      <c r="K1563" s="51" t="s">
        <v>1246</v>
      </c>
      <c r="L1563" s="4">
        <v>43662</v>
      </c>
      <c r="M1563" s="140">
        <v>3</v>
      </c>
      <c r="P1563" s="4" t="s">
        <v>291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2748</v>
      </c>
      <c r="B1564" s="114" t="str">
        <f>VLOOKUP(A1564,'Data pick slip'!B:F,5,FALSE)</f>
        <v>KHJ-MC400-00</v>
      </c>
      <c r="F1564" s="157" t="s">
        <v>2773</v>
      </c>
      <c r="I1564" s="139" t="s">
        <v>3094</v>
      </c>
      <c r="J1564" s="139" t="s">
        <v>3142</v>
      </c>
      <c r="K1564" s="51" t="s">
        <v>1246</v>
      </c>
      <c r="L1564" s="4">
        <v>43662</v>
      </c>
      <c r="M1564" s="140">
        <v>2</v>
      </c>
      <c r="P1564" s="4" t="s">
        <v>291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2749</v>
      </c>
      <c r="B1565" s="114" t="str">
        <f>VLOOKUP(A1565,'Data pick slip'!B:F,5,FALSE)</f>
        <v>KHJ-MC500-00</v>
      </c>
      <c r="F1565" s="157" t="s">
        <v>2773</v>
      </c>
      <c r="I1565" s="139" t="s">
        <v>3094</v>
      </c>
      <c r="J1565" s="139" t="s">
        <v>3142</v>
      </c>
      <c r="K1565" s="51" t="s">
        <v>1246</v>
      </c>
      <c r="L1565" s="4">
        <v>43662</v>
      </c>
      <c r="M1565" s="140">
        <v>3</v>
      </c>
      <c r="P1565" s="4" t="s">
        <v>291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2744</v>
      </c>
      <c r="B1566" s="114" t="str">
        <f>VLOOKUP(A1566,'Data pick slip'!B:F,5,FALSE)</f>
        <v>KHJ-MC100-00</v>
      </c>
      <c r="F1566" s="157" t="s">
        <v>2773</v>
      </c>
      <c r="I1566" s="139" t="s">
        <v>3094</v>
      </c>
      <c r="J1566" s="139" t="s">
        <v>3143</v>
      </c>
      <c r="K1566" s="51" t="s">
        <v>1246</v>
      </c>
      <c r="L1566" s="4">
        <v>43662</v>
      </c>
      <c r="M1566" s="140">
        <v>15</v>
      </c>
      <c r="P1566" s="4" t="s">
        <v>291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2744</v>
      </c>
      <c r="B1567" s="114" t="str">
        <f>VLOOKUP(A1567,'Data pick slip'!B:F,5,FALSE)</f>
        <v>KHJ-MC100-00</v>
      </c>
      <c r="F1567" s="157" t="s">
        <v>2862</v>
      </c>
      <c r="I1567" s="139" t="s">
        <v>3016</v>
      </c>
      <c r="J1567" s="139" t="s">
        <v>3144</v>
      </c>
      <c r="K1567" s="51" t="s">
        <v>1246</v>
      </c>
      <c r="L1567" s="4">
        <v>43665</v>
      </c>
      <c r="M1567" s="140">
        <v>50</v>
      </c>
      <c r="P1567" s="4" t="s">
        <v>291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3055</v>
      </c>
      <c r="B1568" s="114"/>
      <c r="F1568" s="157" t="s">
        <v>2773</v>
      </c>
      <c r="H1568" s="138">
        <v>291</v>
      </c>
      <c r="I1568" s="139" t="str">
        <f>VLOOKUP(H1568,Stock_list!A:R,18,FALSE)</f>
        <v>宝捷</v>
      </c>
      <c r="J1568" s="139" t="str">
        <f>VLOOKUP(H1568,Stock_list!A:S,17,FALSE)</f>
        <v>C49SZX20190060DZ</v>
      </c>
      <c r="K1568" s="51" t="str">
        <f>VLOOKUP(H1568,Stock_list!A:T,16,FALSE)</f>
        <v>JPY</v>
      </c>
      <c r="L1568" s="4">
        <v>43689</v>
      </c>
      <c r="M1568" s="140">
        <v>1</v>
      </c>
      <c r="P1568" s="4" t="s">
        <v>291</v>
      </c>
      <c r="Q1568" s="143"/>
      <c r="S1568" s="123" t="s">
        <v>3004</v>
      </c>
      <c r="T1568" s="205" t="s">
        <v>3072</v>
      </c>
      <c r="U1568" s="145" t="str">
        <f>VLOOKUP(H1568,Stock_list!A:N,14,FALSE)</f>
        <v>AUG 19</v>
      </c>
    </row>
    <row r="1569" spans="1:21" ht="16.5" customHeight="1">
      <c r="A1569" s="159" t="s">
        <v>2750</v>
      </c>
      <c r="B1569" s="114" t="str">
        <f>VLOOKUP(A1569,'Data pick slip'!B:F,5,FALSE)</f>
        <v>KHJ-MC600-00</v>
      </c>
      <c r="F1569" s="157" t="s">
        <v>2773</v>
      </c>
      <c r="I1569" s="139" t="s">
        <v>3094</v>
      </c>
      <c r="J1569" s="139" t="s">
        <v>3145</v>
      </c>
      <c r="K1569" s="51" t="s">
        <v>1246</v>
      </c>
      <c r="L1569" s="4">
        <v>43675</v>
      </c>
      <c r="M1569" s="140">
        <v>1</v>
      </c>
      <c r="P1569" s="4" t="s">
        <v>291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2748</v>
      </c>
      <c r="B1570" s="114" t="str">
        <f>VLOOKUP(A1570,'Data pick slip'!B:F,5,FALSE)</f>
        <v>KHJ-MC400-00</v>
      </c>
      <c r="F1570" s="157" t="s">
        <v>2773</v>
      </c>
      <c r="I1570" s="139" t="s">
        <v>2854</v>
      </c>
      <c r="J1570" s="139" t="s">
        <v>3146</v>
      </c>
      <c r="K1570" s="51" t="s">
        <v>3003</v>
      </c>
      <c r="L1570" s="4">
        <v>43672</v>
      </c>
      <c r="M1570" s="140">
        <v>2</v>
      </c>
      <c r="P1570" s="4" t="s">
        <v>291</v>
      </c>
      <c r="Q1570" s="143"/>
      <c r="S1570" s="123" t="s">
        <v>3004</v>
      </c>
      <c r="T1570" s="144" t="s">
        <v>3147</v>
      </c>
      <c r="U1570" s="145" t="e">
        <f>VLOOKUP(H1570,Stock_list!A:N,14,FALSE)</f>
        <v>#N/A</v>
      </c>
    </row>
    <row r="1571" spans="1:21" ht="16.5" customHeight="1">
      <c r="A1571" s="159" t="s">
        <v>2751</v>
      </c>
      <c r="B1571" s="114" t="str">
        <f>VLOOKUP(A1571,'Data pick slip'!B:F,5,FALSE)</f>
        <v>KHJ-MC700-00</v>
      </c>
      <c r="F1571" s="157" t="s">
        <v>2773</v>
      </c>
      <c r="I1571" s="139" t="s">
        <v>3116</v>
      </c>
      <c r="J1571" s="139" t="s">
        <v>3148</v>
      </c>
      <c r="K1571" s="51" t="s">
        <v>1246</v>
      </c>
      <c r="L1571" s="4">
        <v>43679</v>
      </c>
      <c r="M1571" s="140">
        <v>1</v>
      </c>
      <c r="P1571" s="4" t="s">
        <v>291</v>
      </c>
      <c r="Q1571" s="143"/>
      <c r="T1571" s="144" t="s">
        <v>3087</v>
      </c>
      <c r="U1571" s="145" t="e">
        <f>VLOOKUP(H1571,Stock_list!A:N,14,FALSE)</f>
        <v>#N/A</v>
      </c>
    </row>
    <row r="1572" spans="1:21" ht="16.5" customHeight="1">
      <c r="A1572" s="159" t="s">
        <v>2747</v>
      </c>
      <c r="B1572" s="114" t="str">
        <f>VLOOKUP(A1572,'Data pick slip'!B:F,5,FALSE)</f>
        <v>KHJ-MC200-00</v>
      </c>
      <c r="F1572" s="157" t="s">
        <v>2862</v>
      </c>
      <c r="I1572" s="139" t="s">
        <v>3016</v>
      </c>
      <c r="J1572" s="139" t="s">
        <v>3149</v>
      </c>
      <c r="K1572" s="51" t="s">
        <v>1246</v>
      </c>
      <c r="L1572" s="4">
        <v>43684</v>
      </c>
      <c r="M1572" s="140">
        <v>27</v>
      </c>
      <c r="P1572" s="4" t="s">
        <v>291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2749</v>
      </c>
      <c r="B1573" s="114" t="str">
        <f>VLOOKUP(A1573,'Data pick slip'!B:F,5,FALSE)</f>
        <v>KHJ-MC500-00</v>
      </c>
      <c r="F1573" s="157" t="s">
        <v>2862</v>
      </c>
      <c r="I1573" s="139" t="s">
        <v>3016</v>
      </c>
      <c r="J1573" s="139" t="s">
        <v>3149</v>
      </c>
      <c r="K1573" s="51" t="s">
        <v>1246</v>
      </c>
      <c r="L1573" s="4">
        <v>43684</v>
      </c>
      <c r="M1573" s="140">
        <v>9</v>
      </c>
      <c r="P1573" s="4" t="s">
        <v>291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2750</v>
      </c>
      <c r="B1574" s="114" t="str">
        <f>VLOOKUP(A1574,'Data pick slip'!B:F,5,FALSE)</f>
        <v>KHJ-MC600-00</v>
      </c>
      <c r="F1574" s="157" t="s">
        <v>2862</v>
      </c>
      <c r="I1574" s="139" t="s">
        <v>3016</v>
      </c>
      <c r="J1574" s="139" t="s">
        <v>3149</v>
      </c>
      <c r="K1574" s="51" t="s">
        <v>1246</v>
      </c>
      <c r="L1574" s="4">
        <v>43684</v>
      </c>
      <c r="M1574" s="140">
        <v>13</v>
      </c>
      <c r="P1574" s="4" t="s">
        <v>291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2755</v>
      </c>
      <c r="B1575" s="114" t="str">
        <f>VLOOKUP(A1575,'Data pick slip'!B:F,5,FALSE)</f>
        <v>KLJ-MC100-00</v>
      </c>
      <c r="F1575" s="157" t="s">
        <v>2773</v>
      </c>
      <c r="H1575" s="138">
        <v>560</v>
      </c>
      <c r="I1575" s="139" t="str">
        <f>VLOOKUP(H1575,Stock_list!A:R,18,FALSE)</f>
        <v>裕达盛</v>
      </c>
      <c r="J1575" s="139" t="str">
        <f>VLOOKUP(H1575,Stock_list!A:S,17,FALSE)</f>
        <v>C49SZX20190033SX</v>
      </c>
      <c r="K1575" s="51" t="str">
        <f>VLOOKUP(H1575,Stock_list!A:T,16,FALSE)</f>
        <v>RMB</v>
      </c>
      <c r="L1575" s="4">
        <v>43843</v>
      </c>
      <c r="M1575" s="132">
        <v>3</v>
      </c>
      <c r="P1575" s="4" t="str">
        <f>VLOOKUP(H1575,Stock_list!A:Y,25,FALSE)</f>
        <v>Yes</v>
      </c>
      <c r="Q1575" s="143"/>
      <c r="T1575" s="144"/>
      <c r="U1575" s="145" t="str">
        <f>VLOOKUP(H1575,Stock_list!A:N,14,FALSE)</f>
        <v>JAN 20</v>
      </c>
    </row>
    <row r="1576" spans="1:21" ht="16.5" customHeight="1">
      <c r="A1576" s="159" t="s">
        <v>2756</v>
      </c>
      <c r="B1576" s="114" t="str">
        <f>VLOOKUP(A1576,'Data pick slip'!B:F,5,FALSE)</f>
        <v>KLJ-MC200-00</v>
      </c>
      <c r="F1576" s="157" t="s">
        <v>2773</v>
      </c>
      <c r="H1576" s="138">
        <v>560</v>
      </c>
      <c r="I1576" s="139" t="str">
        <f>VLOOKUP(H1576,Stock_list!A:R,18,FALSE)</f>
        <v>裕达盛</v>
      </c>
      <c r="J1576" s="139" t="str">
        <f>VLOOKUP(H1576,Stock_list!A:S,17,FALSE)</f>
        <v>C49SZX20190033SX</v>
      </c>
      <c r="K1576" s="51" t="str">
        <f>VLOOKUP(H1576,Stock_list!A:T,16,FALSE)</f>
        <v>RMB</v>
      </c>
      <c r="L1576" s="4">
        <v>43843</v>
      </c>
      <c r="M1576" s="132">
        <v>14</v>
      </c>
      <c r="P1576" s="4" t="str">
        <f>VLOOKUP(H1576,Stock_list!A:Y,25,FALSE)</f>
        <v>Yes</v>
      </c>
      <c r="T1576" s="144"/>
      <c r="U1576" s="145" t="str">
        <f>VLOOKUP(H1576,Stock_list!A:N,14,FALSE)</f>
        <v>JAN 20</v>
      </c>
    </row>
    <row r="1577" spans="1:21" ht="16.5" customHeight="1">
      <c r="A1577" s="159" t="s">
        <v>2744</v>
      </c>
      <c r="B1577" s="114" t="str">
        <f>VLOOKUP(A1577,'Data pick slip'!B:F,5,FALSE)</f>
        <v>KHJ-MC100-00</v>
      </c>
      <c r="F1577" s="157" t="s">
        <v>2773</v>
      </c>
      <c r="H1577" s="138">
        <v>381</v>
      </c>
      <c r="I1577" s="139" t="str">
        <f>VLOOKUP(H1577,Stock_list!A:R,18,FALSE)</f>
        <v>城宇</v>
      </c>
      <c r="J1577" s="139" t="str">
        <f>VLOOKUP(H1577,Stock_list!A:S,17,FALSE)</f>
        <v>C49SZX20190114MX</v>
      </c>
      <c r="K1577" s="51" t="str">
        <f>VLOOKUP(H1577,Stock_list!A:T,16,FALSE)</f>
        <v>RMB</v>
      </c>
      <c r="L1577" s="4">
        <v>43690</v>
      </c>
      <c r="M1577" s="132">
        <v>20</v>
      </c>
      <c r="P1577" s="4" t="str">
        <f>VLOOKUP(H1577,Stock_list!A:Y,25,FALSE)</f>
        <v>Yes</v>
      </c>
      <c r="Q1577" s="143"/>
      <c r="T1577" s="144"/>
      <c r="U1577" s="145" t="str">
        <f>VLOOKUP(H1577,Stock_list!A:N,14,FALSE)</f>
        <v>AUG 19</v>
      </c>
    </row>
    <row r="1578" spans="1:21" ht="16.5" customHeight="1">
      <c r="A1578" s="159" t="s">
        <v>2748</v>
      </c>
      <c r="B1578" s="114" t="str">
        <f>VLOOKUP(A1578,'Data pick slip'!B:F,5,FALSE)</f>
        <v>KHJ-MC400-00</v>
      </c>
      <c r="F1578" s="157" t="s">
        <v>2773</v>
      </c>
      <c r="H1578" s="138">
        <v>381</v>
      </c>
      <c r="I1578" s="139" t="str">
        <f>VLOOKUP(H1578,Stock_list!A:R,18,FALSE)</f>
        <v>城宇</v>
      </c>
      <c r="J1578" s="139" t="str">
        <f>VLOOKUP(H1578,Stock_list!A:S,17,FALSE)</f>
        <v>C49SZX20190114MX</v>
      </c>
      <c r="K1578" s="51" t="str">
        <f>VLOOKUP(H1578,Stock_list!A:T,16,FALSE)</f>
        <v>RMB</v>
      </c>
      <c r="L1578" s="4">
        <v>43690</v>
      </c>
      <c r="M1578" s="132">
        <v>2</v>
      </c>
      <c r="P1578" s="4" t="str">
        <f>VLOOKUP(H1578,Stock_list!A:Y,25,FALSE)</f>
        <v>Yes</v>
      </c>
      <c r="Q1578" s="143"/>
      <c r="T1578" s="144"/>
      <c r="U1578" s="145" t="str">
        <f>VLOOKUP(H1578,Stock_list!A:N,14,FALSE)</f>
        <v>AUG 19</v>
      </c>
    </row>
    <row r="1579" spans="1:21" ht="16.5" customHeight="1">
      <c r="A1579" s="159" t="s">
        <v>2747</v>
      </c>
      <c r="B1579" s="114" t="str">
        <f>VLOOKUP(A1579,'Data pick slip'!B:F,5,FALSE)</f>
        <v>KHJ-MC200-00</v>
      </c>
      <c r="F1579" s="157" t="s">
        <v>2773</v>
      </c>
      <c r="H1579" s="138">
        <v>381</v>
      </c>
      <c r="I1579" s="139" t="str">
        <f>VLOOKUP(H1579,Stock_list!A:R,18,FALSE)</f>
        <v>城宇</v>
      </c>
      <c r="J1579" s="139" t="str">
        <f>VLOOKUP(H1579,Stock_list!A:S,17,FALSE)</f>
        <v>C49SZX20190114MX</v>
      </c>
      <c r="K1579" s="51" t="str">
        <f>VLOOKUP(H1579,Stock_list!A:T,16,FALSE)</f>
        <v>RMB</v>
      </c>
      <c r="L1579" s="4">
        <v>43690</v>
      </c>
      <c r="M1579" s="132">
        <v>4</v>
      </c>
      <c r="P1579" s="4" t="str">
        <f>VLOOKUP(H1579,Stock_list!A:Y,25,FALSE)</f>
        <v>Yes</v>
      </c>
      <c r="Q1579" s="143"/>
      <c r="T1579" s="144"/>
      <c r="U1579" s="145" t="str">
        <f>VLOOKUP(H1579,Stock_list!A:N,14,FALSE)</f>
        <v>AUG 19</v>
      </c>
    </row>
    <row r="1580" spans="1:21" ht="16.5" customHeight="1">
      <c r="A1580" s="159" t="s">
        <v>2744</v>
      </c>
      <c r="B1580" s="114" t="str">
        <f>VLOOKUP(A1580,'Data pick slip'!B:F,5,FALSE)</f>
        <v>KHJ-MC100-00</v>
      </c>
      <c r="F1580" s="157" t="s">
        <v>2862</v>
      </c>
      <c r="I1580" s="139" t="s">
        <v>3016</v>
      </c>
      <c r="J1580" s="139" t="s">
        <v>3150</v>
      </c>
      <c r="K1580" s="51" t="s">
        <v>1246</v>
      </c>
      <c r="L1580" s="4">
        <v>43689</v>
      </c>
      <c r="M1580" s="140">
        <v>50</v>
      </c>
      <c r="P1580" s="4" t="s">
        <v>291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2747</v>
      </c>
      <c r="B1581" s="114" t="str">
        <f>VLOOKUP(A1581,'Data pick slip'!B:F,5,FALSE)</f>
        <v>KHJ-MC200-00</v>
      </c>
      <c r="F1581" s="157" t="s">
        <v>2862</v>
      </c>
      <c r="I1581" s="139" t="s">
        <v>3016</v>
      </c>
      <c r="J1581" s="139" t="s">
        <v>3150</v>
      </c>
      <c r="K1581" s="51" t="s">
        <v>1246</v>
      </c>
      <c r="L1581" s="4">
        <v>43689</v>
      </c>
      <c r="M1581" s="140">
        <v>20</v>
      </c>
      <c r="P1581" s="4" t="s">
        <v>291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2748</v>
      </c>
      <c r="B1582" s="114" t="str">
        <f>VLOOKUP(A1582,'Data pick slip'!B:F,5,FALSE)</f>
        <v>KHJ-MC400-00</v>
      </c>
      <c r="F1582" s="157" t="s">
        <v>2862</v>
      </c>
      <c r="I1582" s="139" t="s">
        <v>3016</v>
      </c>
      <c r="J1582" s="139" t="s">
        <v>3150</v>
      </c>
      <c r="K1582" s="51" t="s">
        <v>1246</v>
      </c>
      <c r="L1582" s="4">
        <v>43689</v>
      </c>
      <c r="M1582" s="140">
        <v>5</v>
      </c>
      <c r="P1582" s="4" t="s">
        <v>291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2749</v>
      </c>
      <c r="B1583" s="114" t="str">
        <f>VLOOKUP(A1583,'Data pick slip'!B:F,5,FALSE)</f>
        <v>KHJ-MC500-00</v>
      </c>
      <c r="F1583" s="157" t="s">
        <v>2862</v>
      </c>
      <c r="I1583" s="139" t="s">
        <v>3016</v>
      </c>
      <c r="J1583" s="139" t="s">
        <v>3150</v>
      </c>
      <c r="K1583" s="51" t="s">
        <v>1246</v>
      </c>
      <c r="L1583" s="4">
        <v>43689</v>
      </c>
      <c r="M1583" s="140">
        <v>10</v>
      </c>
      <c r="P1583" s="4" t="s">
        <v>291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2751</v>
      </c>
      <c r="B1584" s="114" t="str">
        <f>VLOOKUP(A1584,'Data pick slip'!B:F,5,FALSE)</f>
        <v>KHJ-MC700-00</v>
      </c>
      <c r="F1584" s="157" t="s">
        <v>2862</v>
      </c>
      <c r="I1584" s="139" t="s">
        <v>3016</v>
      </c>
      <c r="J1584" s="139" t="s">
        <v>3150</v>
      </c>
      <c r="K1584" s="51" t="s">
        <v>1246</v>
      </c>
      <c r="L1584" s="4">
        <v>43689</v>
      </c>
      <c r="M1584" s="140">
        <v>3</v>
      </c>
      <c r="P1584" s="4" t="s">
        <v>291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2756</v>
      </c>
      <c r="B1585" s="114" t="str">
        <f>VLOOKUP(A1585,'Data pick slip'!B:F,5,FALSE)</f>
        <v>KLJ-MC200-00</v>
      </c>
      <c r="F1585" s="157" t="s">
        <v>2773</v>
      </c>
      <c r="H1585" s="138">
        <v>382</v>
      </c>
      <c r="I1585" s="139" t="str">
        <f>VLOOKUP(H1585,Stock_list!A:R,18,FALSE)</f>
        <v>锘铧</v>
      </c>
      <c r="J1585" s="139" t="str">
        <f>VLOOKUP(H1585,Stock_list!A:S,17,FALSE)</f>
        <v>C49SZX20190110ZX</v>
      </c>
      <c r="K1585" s="51" t="str">
        <f>VLOOKUP(H1585,Stock_list!A:T,16,FALSE)</f>
        <v>RMB</v>
      </c>
      <c r="L1585" s="4">
        <v>43707</v>
      </c>
      <c r="M1585" s="132">
        <v>47</v>
      </c>
      <c r="P1585" s="4" t="str">
        <f>VLOOKUP(H1585,Stock_list!A:Y,25,FALSE)</f>
        <v>Yes</v>
      </c>
      <c r="T1585" s="144"/>
      <c r="U1585" s="145" t="str">
        <f>VLOOKUP(H1585,Stock_list!A:N,14,FALSE)</f>
        <v>AUG 19</v>
      </c>
    </row>
    <row r="1586" spans="1:21" ht="16.5" customHeight="1">
      <c r="A1586" s="159" t="s">
        <v>2748</v>
      </c>
      <c r="B1586" s="114" t="str">
        <f>VLOOKUP(A1586,'Data pick slip'!B:F,5,FALSE)</f>
        <v>KHJ-MC400-00</v>
      </c>
      <c r="F1586" s="157" t="s">
        <v>2773</v>
      </c>
      <c r="H1586" s="138">
        <v>382</v>
      </c>
      <c r="I1586" s="139" t="str">
        <f>VLOOKUP(H1586,Stock_list!A:R,18,FALSE)</f>
        <v>锘铧</v>
      </c>
      <c r="J1586" s="139" t="str">
        <f>VLOOKUP(H1586,Stock_list!A:S,17,FALSE)</f>
        <v>C49SZX20190110ZX</v>
      </c>
      <c r="K1586" s="51" t="str">
        <f>VLOOKUP(H1586,Stock_list!A:T,16,FALSE)</f>
        <v>RMB</v>
      </c>
      <c r="L1586" s="4">
        <v>43707</v>
      </c>
      <c r="M1586" s="132">
        <v>9</v>
      </c>
      <c r="P1586" s="4" t="str">
        <f>VLOOKUP(H1586,Stock_list!A:Y,25,FALSE)</f>
        <v>Yes</v>
      </c>
      <c r="Q1586" s="143"/>
      <c r="T1586" s="144"/>
      <c r="U1586" s="145" t="str">
        <f>VLOOKUP(H1586,Stock_list!A:N,14,FALSE)</f>
        <v>AUG 19</v>
      </c>
    </row>
    <row r="1587" spans="1:21" ht="16.5" customHeight="1">
      <c r="A1587" s="159" t="s">
        <v>2749</v>
      </c>
      <c r="B1587" s="114" t="str">
        <f>VLOOKUP(A1587,'Data pick slip'!B:F,5,FALSE)</f>
        <v>KHJ-MC500-00</v>
      </c>
      <c r="F1587" s="157" t="s">
        <v>2773</v>
      </c>
      <c r="H1587" s="138">
        <v>382</v>
      </c>
      <c r="I1587" s="139" t="str">
        <f>VLOOKUP(H1587,Stock_list!A:R,18,FALSE)</f>
        <v>锘铧</v>
      </c>
      <c r="J1587" s="139" t="str">
        <f>VLOOKUP(H1587,Stock_list!A:S,17,FALSE)</f>
        <v>C49SZX20190110ZX</v>
      </c>
      <c r="K1587" s="51" t="str">
        <f>VLOOKUP(H1587,Stock_list!A:T,16,FALSE)</f>
        <v>RMB</v>
      </c>
      <c r="L1587" s="4">
        <v>43707</v>
      </c>
      <c r="M1587" s="132">
        <v>3</v>
      </c>
      <c r="P1587" s="4" t="str">
        <f>VLOOKUP(H1587,Stock_list!A:Y,25,FALSE)</f>
        <v>Yes</v>
      </c>
      <c r="Q1587" s="143"/>
      <c r="T1587" s="144"/>
      <c r="U1587" s="145" t="str">
        <f>VLOOKUP(H1587,Stock_list!A:N,14,FALSE)</f>
        <v>AUG 19</v>
      </c>
    </row>
    <row r="1588" spans="1:21" ht="16.5" customHeight="1">
      <c r="A1588" s="159" t="s">
        <v>2750</v>
      </c>
      <c r="B1588" s="114" t="str">
        <f>VLOOKUP(A1588,'Data pick slip'!B:F,5,FALSE)</f>
        <v>KHJ-MC600-00</v>
      </c>
      <c r="F1588" s="157" t="s">
        <v>2773</v>
      </c>
      <c r="H1588" s="138">
        <v>382</v>
      </c>
      <c r="I1588" s="139" t="str">
        <f>VLOOKUP(H1588,Stock_list!A:R,18,FALSE)</f>
        <v>锘铧</v>
      </c>
      <c r="J1588" s="139" t="str">
        <f>VLOOKUP(H1588,Stock_list!A:S,17,FALSE)</f>
        <v>C49SZX20190110ZX</v>
      </c>
      <c r="K1588" s="51" t="str">
        <f>VLOOKUP(H1588,Stock_list!A:T,16,FALSE)</f>
        <v>RMB</v>
      </c>
      <c r="L1588" s="4">
        <v>43707</v>
      </c>
      <c r="M1588" s="132">
        <v>2</v>
      </c>
      <c r="P1588" s="4" t="str">
        <f>VLOOKUP(H1588,Stock_list!A:Y,25,FALSE)</f>
        <v>Yes</v>
      </c>
      <c r="Q1588" s="143"/>
      <c r="T1588" s="144"/>
      <c r="U1588" s="145" t="str">
        <f>VLOOKUP(H1588,Stock_list!A:N,14,FALSE)</f>
        <v>AUG 19</v>
      </c>
    </row>
    <row r="1589" spans="1:21" ht="16.5" customHeight="1">
      <c r="A1589" s="159" t="s">
        <v>2744</v>
      </c>
      <c r="B1589" s="114" t="str">
        <f>VLOOKUP(A1589,'Data pick slip'!B:F,5,FALSE)</f>
        <v>KHJ-MC100-00</v>
      </c>
      <c r="F1589" s="157" t="s">
        <v>2773</v>
      </c>
      <c r="H1589" s="138">
        <v>391</v>
      </c>
      <c r="I1589" s="139" t="str">
        <f>VLOOKUP(H1589,Stock_list!A:R,18,FALSE)</f>
        <v>首航</v>
      </c>
      <c r="J1589" s="139" t="str">
        <f>VLOOKUP(H1589,Stock_list!A:S,17,FALSE)</f>
        <v>C49SZX20190113LC</v>
      </c>
      <c r="K1589" s="51" t="str">
        <f>VLOOKUP(H1589,Stock_list!A:T,16,FALSE)</f>
        <v>RMB</v>
      </c>
      <c r="L1589" s="4">
        <v>43759</v>
      </c>
      <c r="M1589" s="132">
        <v>165</v>
      </c>
      <c r="P1589" s="4" t="str">
        <f>VLOOKUP(H1589,Stock_list!A:Y,25,FALSE)</f>
        <v>Yes</v>
      </c>
      <c r="Q1589" s="143"/>
      <c r="T1589" s="144"/>
      <c r="U1589" s="145" t="str">
        <f>VLOOKUP(H1589,Stock_list!A:N,14,FALSE)</f>
        <v>OCT 19</v>
      </c>
    </row>
    <row r="1590" spans="1:21" ht="16.5" customHeight="1">
      <c r="A1590" s="159" t="s">
        <v>2747</v>
      </c>
      <c r="B1590" s="114" t="str">
        <f>VLOOKUP(A1590,'Data pick slip'!B:F,5,FALSE)</f>
        <v>KHJ-MC200-00</v>
      </c>
      <c r="F1590" s="157" t="s">
        <v>2773</v>
      </c>
      <c r="H1590" s="138">
        <v>391</v>
      </c>
      <c r="I1590" s="139" t="str">
        <f>VLOOKUP(H1590,Stock_list!A:R,18,FALSE)</f>
        <v>首航</v>
      </c>
      <c r="J1590" s="139" t="str">
        <f>VLOOKUP(H1590,Stock_list!A:S,17,FALSE)</f>
        <v>C49SZX20190113LC</v>
      </c>
      <c r="K1590" s="51" t="str">
        <f>VLOOKUP(H1590,Stock_list!A:T,16,FALSE)</f>
        <v>RMB</v>
      </c>
      <c r="L1590" s="4">
        <v>43759</v>
      </c>
      <c r="M1590" s="132">
        <v>35</v>
      </c>
      <c r="P1590" s="4" t="str">
        <f>VLOOKUP(H1590,Stock_list!A:Y,25,FALSE)</f>
        <v>Yes</v>
      </c>
      <c r="Q1590" s="143"/>
      <c r="T1590" s="144"/>
      <c r="U1590" s="145" t="str">
        <f>VLOOKUP(H1590,Stock_list!A:N,14,FALSE)</f>
        <v>OCT 19</v>
      </c>
    </row>
    <row r="1591" spans="1:21" ht="16.5" customHeight="1">
      <c r="A1591" s="159" t="s">
        <v>2748</v>
      </c>
      <c r="B1591" s="114" t="str">
        <f>VLOOKUP(A1591,'Data pick slip'!B:F,5,FALSE)</f>
        <v>KHJ-MC400-00</v>
      </c>
      <c r="F1591" s="157" t="s">
        <v>2773</v>
      </c>
      <c r="H1591" s="138">
        <v>391</v>
      </c>
      <c r="I1591" s="139" t="str">
        <f>VLOOKUP(H1591,Stock_list!A:R,18,FALSE)</f>
        <v>首航</v>
      </c>
      <c r="J1591" s="139" t="str">
        <f>VLOOKUP(H1591,Stock_list!A:S,17,FALSE)</f>
        <v>C49SZX20190113LC</v>
      </c>
      <c r="K1591" s="51" t="str">
        <f>VLOOKUP(H1591,Stock_list!A:T,16,FALSE)</f>
        <v>RMB</v>
      </c>
      <c r="L1591" s="4">
        <v>43759</v>
      </c>
      <c r="M1591" s="132">
        <v>20</v>
      </c>
      <c r="P1591" s="4" t="str">
        <f>VLOOKUP(H1591,Stock_list!A:Y,25,FALSE)</f>
        <v>Yes</v>
      </c>
      <c r="Q1591" s="143"/>
      <c r="T1591" s="144"/>
      <c r="U1591" s="145" t="str">
        <f>VLOOKUP(H1591,Stock_list!A:N,14,FALSE)</f>
        <v>OCT 19</v>
      </c>
    </row>
    <row r="1592" spans="1:21" ht="16.5" customHeight="1">
      <c r="A1592" s="159" t="s">
        <v>2749</v>
      </c>
      <c r="B1592" s="114" t="str">
        <f>VLOOKUP(A1592,'Data pick slip'!B:F,5,FALSE)</f>
        <v>KHJ-MC500-00</v>
      </c>
      <c r="F1592" s="157" t="s">
        <v>2773</v>
      </c>
      <c r="H1592" s="138">
        <v>391</v>
      </c>
      <c r="I1592" s="139" t="str">
        <f>VLOOKUP(H1592,Stock_list!A:R,18,FALSE)</f>
        <v>首航</v>
      </c>
      <c r="J1592" s="139" t="str">
        <f>VLOOKUP(H1592,Stock_list!A:S,17,FALSE)</f>
        <v>C49SZX20190113LC</v>
      </c>
      <c r="K1592" s="51" t="str">
        <f>VLOOKUP(H1592,Stock_list!A:T,16,FALSE)</f>
        <v>RMB</v>
      </c>
      <c r="L1592" s="4">
        <v>43759</v>
      </c>
      <c r="M1592" s="132">
        <v>10</v>
      </c>
      <c r="P1592" s="4" t="str">
        <f>VLOOKUP(H1592,Stock_list!A:Y,25,FALSE)</f>
        <v>Yes</v>
      </c>
      <c r="Q1592" s="143"/>
      <c r="T1592" s="144"/>
      <c r="U1592" s="145" t="str">
        <f>VLOOKUP(H1592,Stock_list!A:N,14,FALSE)</f>
        <v>OCT 19</v>
      </c>
    </row>
    <row r="1593" spans="1:21" ht="16.5" customHeight="1">
      <c r="A1593" s="159" t="s">
        <v>2747</v>
      </c>
      <c r="B1593" s="114" t="str">
        <f>VLOOKUP(A1593,'Data pick slip'!B:F,5,FALSE)</f>
        <v>KHJ-MC200-00</v>
      </c>
      <c r="F1593" s="157" t="s">
        <v>2773</v>
      </c>
      <c r="I1593" s="139" t="s">
        <v>2854</v>
      </c>
      <c r="J1593" s="139" t="s">
        <v>3151</v>
      </c>
      <c r="K1593" s="51" t="s">
        <v>3003</v>
      </c>
      <c r="L1593" s="4">
        <v>43699</v>
      </c>
      <c r="M1593" s="140">
        <v>20</v>
      </c>
      <c r="P1593" s="4" t="s">
        <v>291</v>
      </c>
      <c r="Q1593" s="143"/>
      <c r="S1593" s="123" t="s">
        <v>3004</v>
      </c>
      <c r="T1593" s="205" t="s">
        <v>3064</v>
      </c>
      <c r="U1593" s="145" t="e">
        <f>VLOOKUP(H1593,Stock_list!A:N,14,FALSE)</f>
        <v>#N/A</v>
      </c>
    </row>
    <row r="1594" spans="1:21" ht="16.5" customHeight="1">
      <c r="A1594" s="159" t="s">
        <v>2747</v>
      </c>
      <c r="B1594" s="114" t="str">
        <f>VLOOKUP(A1594,'Data pick slip'!B:F,5,FALSE)</f>
        <v>KHJ-MC200-00</v>
      </c>
      <c r="F1594" s="157" t="s">
        <v>2773</v>
      </c>
      <c r="I1594" s="139" t="s">
        <v>3094</v>
      </c>
      <c r="J1594" s="139" t="s">
        <v>3152</v>
      </c>
      <c r="K1594" s="51" t="s">
        <v>1246</v>
      </c>
      <c r="L1594" s="4">
        <v>43713</v>
      </c>
      <c r="M1594" s="140">
        <v>36</v>
      </c>
      <c r="P1594" s="4" t="s">
        <v>291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2748</v>
      </c>
      <c r="B1595" s="114" t="str">
        <f>VLOOKUP(A1595,'Data pick slip'!B:F,5,FALSE)</f>
        <v>KHJ-MC400-00</v>
      </c>
      <c r="F1595" s="157" t="s">
        <v>2773</v>
      </c>
      <c r="I1595" s="139" t="s">
        <v>2854</v>
      </c>
      <c r="J1595" s="139" t="s">
        <v>3153</v>
      </c>
      <c r="K1595" s="51" t="s">
        <v>3003</v>
      </c>
      <c r="L1595" s="4">
        <v>43680</v>
      </c>
      <c r="M1595" s="140">
        <v>1</v>
      </c>
      <c r="P1595" s="4" t="s">
        <v>291</v>
      </c>
      <c r="Q1595" s="143"/>
      <c r="S1595" s="123" t="s">
        <v>3004</v>
      </c>
      <c r="T1595" s="144" t="s">
        <v>3154</v>
      </c>
      <c r="U1595" s="145" t="e">
        <f>VLOOKUP(H1595,Stock_list!A:N,14,FALSE)</f>
        <v>#N/A</v>
      </c>
    </row>
    <row r="1596" spans="1:21" ht="16.5" customHeight="1">
      <c r="A1596" s="159" t="s">
        <v>2758</v>
      </c>
      <c r="B1596" s="114" t="str">
        <f>VLOOKUP(A1596,'Data pick slip'!B:F,5,FALSE)</f>
        <v>KLJ-MC500-00</v>
      </c>
      <c r="F1596" s="157" t="s">
        <v>2773</v>
      </c>
      <c r="I1596" s="139" t="s">
        <v>3094</v>
      </c>
      <c r="J1596" s="139" t="s">
        <v>3155</v>
      </c>
      <c r="K1596" s="51" t="s">
        <v>1246</v>
      </c>
      <c r="L1596" s="4">
        <v>43686</v>
      </c>
      <c r="M1596" s="140">
        <v>1</v>
      </c>
      <c r="P1596" s="4" t="s">
        <v>291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2744</v>
      </c>
      <c r="B1597" s="114" t="str">
        <f>VLOOKUP(A1597,'Data pick slip'!B:F,5,FALSE)</f>
        <v>KHJ-MC100-00</v>
      </c>
      <c r="F1597" s="157" t="s">
        <v>2773</v>
      </c>
      <c r="I1597" s="139" t="s">
        <v>3140</v>
      </c>
      <c r="J1597" s="139" t="s">
        <v>3156</v>
      </c>
      <c r="K1597" s="51" t="s">
        <v>1246</v>
      </c>
      <c r="L1597" s="4">
        <v>43686</v>
      </c>
      <c r="M1597" s="140">
        <v>100</v>
      </c>
      <c r="P1597" s="4" t="s">
        <v>291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2744</v>
      </c>
      <c r="B1598" s="114" t="str">
        <f>VLOOKUP(A1598,'Data pick slip'!B:F,5,FALSE)</f>
        <v>KHJ-MC100-00</v>
      </c>
      <c r="F1598" s="157" t="s">
        <v>2773</v>
      </c>
      <c r="H1598" s="138">
        <v>395</v>
      </c>
      <c r="I1598" s="139" t="str">
        <f>VLOOKUP(H1598,Stock_list!A:R,18,FALSE)</f>
        <v>太美亚</v>
      </c>
      <c r="J1598" s="139" t="str">
        <f>VLOOKUP(H1598,Stock_list!A:S,17,FALSE)</f>
        <v>C49SZX20190119SX</v>
      </c>
      <c r="K1598" s="51" t="str">
        <f>VLOOKUP(H1598,Stock_list!A:T,16,FALSE)</f>
        <v>RMB</v>
      </c>
      <c r="L1598" s="4">
        <v>43714</v>
      </c>
      <c r="M1598" s="132">
        <v>270</v>
      </c>
      <c r="N1598" s="149"/>
      <c r="P1598" s="4" t="str">
        <f>VLOOKUP(H1598,Stock_list!A:Y,25,FALSE)</f>
        <v>Yes</v>
      </c>
      <c r="Q1598" s="143"/>
      <c r="T1598" s="144"/>
      <c r="U1598" s="145" t="str">
        <f>VLOOKUP(H1598,Stock_list!A:N,14,FALSE)</f>
        <v>SEP 19</v>
      </c>
    </row>
    <row r="1599" spans="1:21" ht="16.5" customHeight="1">
      <c r="A1599" s="159" t="s">
        <v>2747</v>
      </c>
      <c r="B1599" s="114" t="str">
        <f>VLOOKUP(A1599,'Data pick slip'!B:F,5,FALSE)</f>
        <v>KHJ-MC200-00</v>
      </c>
      <c r="F1599" s="157" t="s">
        <v>2773</v>
      </c>
      <c r="H1599" s="138">
        <v>395</v>
      </c>
      <c r="I1599" s="139" t="str">
        <f>VLOOKUP(H1599,Stock_list!A:R,18,FALSE)</f>
        <v>太美亚</v>
      </c>
      <c r="J1599" s="139" t="str">
        <f>VLOOKUP(H1599,Stock_list!A:S,17,FALSE)</f>
        <v>C49SZX20190119SX</v>
      </c>
      <c r="K1599" s="51" t="str">
        <f>VLOOKUP(H1599,Stock_list!A:T,16,FALSE)</f>
        <v>RMB</v>
      </c>
      <c r="L1599" s="4">
        <v>43714</v>
      </c>
      <c r="M1599" s="132">
        <v>40</v>
      </c>
      <c r="N1599" s="149"/>
      <c r="P1599" s="4" t="str">
        <f>VLOOKUP(H1599,Stock_list!A:Y,25,FALSE)</f>
        <v>Yes</v>
      </c>
      <c r="Q1599" s="143"/>
      <c r="T1599" s="144"/>
      <c r="U1599" s="145" t="str">
        <f>VLOOKUP(H1599,Stock_list!A:N,14,FALSE)</f>
        <v>SEP 19</v>
      </c>
    </row>
    <row r="1600" spans="1:21" ht="16.5" customHeight="1">
      <c r="A1600" s="159" t="s">
        <v>2748</v>
      </c>
      <c r="B1600" s="114" t="str">
        <f>VLOOKUP(A1600,'Data pick slip'!B:F,5,FALSE)</f>
        <v>KHJ-MC400-00</v>
      </c>
      <c r="F1600" s="157" t="s">
        <v>2773</v>
      </c>
      <c r="H1600" s="138">
        <v>395</v>
      </c>
      <c r="I1600" s="139" t="str">
        <f>VLOOKUP(H1600,Stock_list!A:R,18,FALSE)</f>
        <v>太美亚</v>
      </c>
      <c r="J1600" s="139" t="str">
        <f>VLOOKUP(H1600,Stock_list!A:S,17,FALSE)</f>
        <v>C49SZX20190119SX</v>
      </c>
      <c r="K1600" s="51" t="str">
        <f>VLOOKUP(H1600,Stock_list!A:T,16,FALSE)</f>
        <v>RMB</v>
      </c>
      <c r="L1600" s="4">
        <v>43714</v>
      </c>
      <c r="M1600" s="132">
        <v>13</v>
      </c>
      <c r="N1600" s="149"/>
      <c r="P1600" s="4" t="str">
        <f>VLOOKUP(H1600,Stock_list!A:Y,25,FALSE)</f>
        <v>Yes</v>
      </c>
      <c r="Q1600" s="143"/>
      <c r="T1600" s="144"/>
      <c r="U1600" s="145" t="str">
        <f>VLOOKUP(H1600,Stock_list!A:N,14,FALSE)</f>
        <v>SEP 19</v>
      </c>
    </row>
    <row r="1601" spans="1:21" ht="16.5" customHeight="1">
      <c r="A1601" s="159" t="s">
        <v>2749</v>
      </c>
      <c r="B1601" s="114" t="str">
        <f>VLOOKUP(A1601,'Data pick slip'!B:F,5,FALSE)</f>
        <v>KHJ-MC500-00</v>
      </c>
      <c r="F1601" s="157" t="s">
        <v>2773</v>
      </c>
      <c r="H1601" s="138">
        <v>395</v>
      </c>
      <c r="I1601" s="139" t="str">
        <f>VLOOKUP(H1601,Stock_list!A:R,18,FALSE)</f>
        <v>太美亚</v>
      </c>
      <c r="J1601" s="139" t="str">
        <f>VLOOKUP(H1601,Stock_list!A:S,17,FALSE)</f>
        <v>C49SZX20190119SX</v>
      </c>
      <c r="K1601" s="51" t="str">
        <f>VLOOKUP(H1601,Stock_list!A:T,16,FALSE)</f>
        <v>RMB</v>
      </c>
      <c r="L1601" s="4">
        <v>43714</v>
      </c>
      <c r="M1601" s="132">
        <v>4</v>
      </c>
      <c r="N1601" s="149"/>
      <c r="P1601" s="4" t="str">
        <f>VLOOKUP(H1601,Stock_list!A:Y,25,FALSE)</f>
        <v>Yes</v>
      </c>
      <c r="Q1601" s="143"/>
      <c r="T1601" s="144"/>
      <c r="U1601" s="145" t="str">
        <f>VLOOKUP(H1601,Stock_list!A:N,14,FALSE)</f>
        <v>SEP 19</v>
      </c>
    </row>
    <row r="1602" spans="1:21" ht="16.5" customHeight="1">
      <c r="A1602" s="159" t="s">
        <v>2747</v>
      </c>
      <c r="B1602" s="114" t="str">
        <f>VLOOKUP(A1602,'Data pick slip'!B:F,5,FALSE)</f>
        <v>KHJ-MC200-00</v>
      </c>
      <c r="F1602" s="157" t="s">
        <v>2773</v>
      </c>
      <c r="I1602" s="139" t="s">
        <v>3140</v>
      </c>
      <c r="J1602" s="139" t="s">
        <v>3157</v>
      </c>
      <c r="K1602" s="51" t="s">
        <v>1246</v>
      </c>
      <c r="L1602" s="4">
        <v>43698</v>
      </c>
      <c r="M1602" s="140">
        <v>1</v>
      </c>
      <c r="P1602" s="4" t="s">
        <v>291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2744</v>
      </c>
      <c r="B1603" s="114" t="str">
        <f>VLOOKUP(A1603,'Data pick slip'!B:F,5,FALSE)</f>
        <v>KHJ-MC100-00</v>
      </c>
      <c r="F1603" s="157" t="s">
        <v>2773</v>
      </c>
      <c r="H1603" s="138">
        <v>407</v>
      </c>
      <c r="I1603" s="139" t="str">
        <f>VLOOKUP(H1603,Stock_list!A:R,18,FALSE)</f>
        <v>玮芯电子</v>
      </c>
      <c r="J1603" s="139" t="str">
        <f>VLOOKUP(H1603,Stock_list!A:S,17,FALSE)</f>
        <v>C49SZX20190117SX</v>
      </c>
      <c r="K1603" s="51" t="str">
        <f>VLOOKUP(H1603,Stock_list!A:T,16,FALSE)</f>
        <v>RMB</v>
      </c>
      <c r="L1603" s="4">
        <v>43707</v>
      </c>
      <c r="M1603" s="132">
        <v>5</v>
      </c>
      <c r="P1603" s="4" t="str">
        <f>VLOOKUP(H1603,Stock_list!A:Y,25,FALSE)</f>
        <v>Yes</v>
      </c>
      <c r="Q1603" s="143"/>
      <c r="T1603" s="144"/>
      <c r="U1603" s="145" t="str">
        <f>VLOOKUP(H1603,Stock_list!A:N,14,FALSE)</f>
        <v>AUG 19</v>
      </c>
    </row>
    <row r="1604" spans="1:21" ht="16.5" customHeight="1">
      <c r="A1604" s="159" t="s">
        <v>2747</v>
      </c>
      <c r="B1604" s="114" t="str">
        <f>VLOOKUP(A1604,'Data pick slip'!B:F,5,FALSE)</f>
        <v>KHJ-MC200-00</v>
      </c>
      <c r="F1604" s="157" t="s">
        <v>2773</v>
      </c>
      <c r="H1604" s="138">
        <v>407</v>
      </c>
      <c r="I1604" s="139" t="str">
        <f>VLOOKUP(H1604,Stock_list!A:R,18,FALSE)</f>
        <v>玮芯电子</v>
      </c>
      <c r="J1604" s="139" t="str">
        <f>VLOOKUP(H1604,Stock_list!A:S,17,FALSE)</f>
        <v>C49SZX20190117SX</v>
      </c>
      <c r="K1604" s="51" t="str">
        <f>VLOOKUP(H1604,Stock_list!A:T,16,FALSE)</f>
        <v>RMB</v>
      </c>
      <c r="L1604" s="4">
        <v>43707</v>
      </c>
      <c r="M1604" s="132">
        <v>5</v>
      </c>
      <c r="P1604" s="4" t="str">
        <f>VLOOKUP(H1604,Stock_list!A:Y,25,FALSE)</f>
        <v>Yes</v>
      </c>
      <c r="Q1604" s="143"/>
      <c r="T1604" s="144"/>
      <c r="U1604" s="145" t="str">
        <f>VLOOKUP(H1604,Stock_list!A:N,14,FALSE)</f>
        <v>AUG 19</v>
      </c>
    </row>
    <row r="1605" spans="1:21" ht="16.5" customHeight="1">
      <c r="A1605" s="159" t="s">
        <v>2744</v>
      </c>
      <c r="B1605" s="114" t="str">
        <f>VLOOKUP(A1605,'Data pick slip'!B:F,5,FALSE)</f>
        <v>KHJ-MC100-00</v>
      </c>
      <c r="F1605" s="157" t="s">
        <v>2773</v>
      </c>
      <c r="H1605" s="138">
        <v>408</v>
      </c>
      <c r="I1605" s="139" t="str">
        <f>VLOOKUP(H1605,Stock_list!A:R,18,FALSE)</f>
        <v>海松微</v>
      </c>
      <c r="J1605" s="139" t="str">
        <f>VLOOKUP(H1605,Stock_list!A:S,17,FALSE)</f>
        <v>C49SZX20190127JY</v>
      </c>
      <c r="K1605" s="51" t="str">
        <f>VLOOKUP(H1605,Stock_list!A:T,16,FALSE)</f>
        <v>RMB</v>
      </c>
      <c r="L1605" s="4">
        <v>43714</v>
      </c>
      <c r="M1605" s="132">
        <v>35</v>
      </c>
      <c r="P1605" s="4" t="str">
        <f>VLOOKUP(H1605,Stock_list!A:Y,25,FALSE)</f>
        <v>Yes</v>
      </c>
      <c r="Q1605" s="143"/>
      <c r="T1605" s="144"/>
      <c r="U1605" s="145" t="str">
        <f>VLOOKUP(H1605,Stock_list!A:N,14,FALSE)</f>
        <v>SEP 19</v>
      </c>
    </row>
    <row r="1606" spans="1:21" ht="16.5" customHeight="1">
      <c r="A1606" s="159" t="s">
        <v>2747</v>
      </c>
      <c r="B1606" s="114" t="str">
        <f>VLOOKUP(A1606,'Data pick slip'!B:F,5,FALSE)</f>
        <v>KHJ-MC200-00</v>
      </c>
      <c r="F1606" s="157" t="s">
        <v>2773</v>
      </c>
      <c r="H1606" s="138">
        <v>408</v>
      </c>
      <c r="I1606" s="139" t="str">
        <f>VLOOKUP(H1606,Stock_list!A:R,18,FALSE)</f>
        <v>海松微</v>
      </c>
      <c r="J1606" s="139" t="str">
        <f>VLOOKUP(H1606,Stock_list!A:S,17,FALSE)</f>
        <v>C49SZX20190127JY</v>
      </c>
      <c r="K1606" s="51" t="str">
        <f>VLOOKUP(H1606,Stock_list!A:T,16,FALSE)</f>
        <v>RMB</v>
      </c>
      <c r="L1606" s="4">
        <v>43714</v>
      </c>
      <c r="M1606" s="132">
        <v>5</v>
      </c>
      <c r="P1606" s="4" t="str">
        <f>VLOOKUP(H1606,Stock_list!A:Y,25,FALSE)</f>
        <v>Yes</v>
      </c>
      <c r="Q1606" s="143"/>
      <c r="T1606" s="144"/>
      <c r="U1606" s="145" t="str">
        <f>VLOOKUP(H1606,Stock_list!A:N,14,FALSE)</f>
        <v>SEP 19</v>
      </c>
    </row>
    <row r="1607" spans="1:21" ht="16.5" customHeight="1">
      <c r="A1607" s="159" t="s">
        <v>2748</v>
      </c>
      <c r="B1607" s="114" t="str">
        <f>VLOOKUP(A1607,'Data pick slip'!B:F,5,FALSE)</f>
        <v>KHJ-MC400-00</v>
      </c>
      <c r="F1607" s="157" t="s">
        <v>2773</v>
      </c>
      <c r="H1607" s="138">
        <v>408</v>
      </c>
      <c r="I1607" s="139" t="str">
        <f>VLOOKUP(H1607,Stock_list!A:R,18,FALSE)</f>
        <v>海松微</v>
      </c>
      <c r="J1607" s="139" t="str">
        <f>VLOOKUP(H1607,Stock_list!A:S,17,FALSE)</f>
        <v>C49SZX20190127JY</v>
      </c>
      <c r="K1607" s="51" t="str">
        <f>VLOOKUP(H1607,Stock_list!A:T,16,FALSE)</f>
        <v>RMB</v>
      </c>
      <c r="L1607" s="4">
        <v>43714</v>
      </c>
      <c r="M1607" s="132">
        <v>2</v>
      </c>
      <c r="P1607" s="4" t="str">
        <f>VLOOKUP(H1607,Stock_list!A:Y,25,FALSE)</f>
        <v>Yes</v>
      </c>
      <c r="Q1607" s="143"/>
      <c r="T1607" s="144"/>
      <c r="U1607" s="145" t="str">
        <f>VLOOKUP(H1607,Stock_list!A:N,14,FALSE)</f>
        <v>SEP 19</v>
      </c>
    </row>
    <row r="1608" spans="1:21" ht="16.5" customHeight="1">
      <c r="A1608" s="159" t="s">
        <v>2755</v>
      </c>
      <c r="B1608" s="114" t="str">
        <f>VLOOKUP(A1608,'Data pick slip'!B:F,5,FALSE)</f>
        <v>KLJ-MC100-00</v>
      </c>
      <c r="F1608" s="157" t="s">
        <v>2773</v>
      </c>
      <c r="H1608" s="138">
        <v>409</v>
      </c>
      <c r="I1608" s="139" t="str">
        <f>VLOOKUP(H1608,Stock_list!A:R,18,FALSE)</f>
        <v>妙琪</v>
      </c>
      <c r="J1608" s="139" t="str">
        <f>VLOOKUP(H1608,Stock_list!A:S,17,FALSE)</f>
        <v>C49SZX20190120DY</v>
      </c>
      <c r="K1608" s="51" t="str">
        <f>VLOOKUP(H1608,Stock_list!A:T,16,FALSE)</f>
        <v>RMB</v>
      </c>
      <c r="L1608" s="4">
        <v>43759</v>
      </c>
      <c r="M1608" s="132">
        <v>60</v>
      </c>
      <c r="P1608" s="4" t="str">
        <f>VLOOKUP(H1608,Stock_list!A:Y,25,FALSE)</f>
        <v>Yes</v>
      </c>
      <c r="Q1608" s="143"/>
      <c r="T1608" s="144"/>
      <c r="U1608" s="145" t="str">
        <f>VLOOKUP(H1608,Stock_list!A:N,14,FALSE)</f>
        <v>OCT 19</v>
      </c>
    </row>
    <row r="1609" spans="1:21" ht="16.5" customHeight="1">
      <c r="A1609" s="159" t="s">
        <v>2747</v>
      </c>
      <c r="B1609" s="114" t="str">
        <f>VLOOKUP(A1609,'Data pick slip'!B:F,5,FALSE)</f>
        <v>KHJ-MC200-00</v>
      </c>
      <c r="F1609" s="157" t="s">
        <v>2773</v>
      </c>
      <c r="H1609" s="138">
        <v>409</v>
      </c>
      <c r="I1609" s="139" t="str">
        <f>VLOOKUP(H1609,Stock_list!A:R,18,FALSE)</f>
        <v>妙琪</v>
      </c>
      <c r="J1609" s="139" t="str">
        <f>VLOOKUP(H1609,Stock_list!A:S,17,FALSE)</f>
        <v>C49SZX20190120DY</v>
      </c>
      <c r="K1609" s="51" t="str">
        <f>VLOOKUP(H1609,Stock_list!A:T,16,FALSE)</f>
        <v>RMB</v>
      </c>
      <c r="L1609" s="4">
        <v>43759</v>
      </c>
      <c r="M1609" s="132">
        <v>5</v>
      </c>
      <c r="P1609" s="4" t="str">
        <f>VLOOKUP(H1609,Stock_list!A:Y,25,FALSE)</f>
        <v>Yes</v>
      </c>
      <c r="Q1609" s="143"/>
      <c r="T1609" s="144"/>
      <c r="U1609" s="145" t="str">
        <f>VLOOKUP(H1609,Stock_list!A:N,14,FALSE)</f>
        <v>OCT 19</v>
      </c>
    </row>
    <row r="1610" spans="1:21" ht="16.5" customHeight="1">
      <c r="A1610" s="159" t="s">
        <v>2744</v>
      </c>
      <c r="B1610" s="114" t="str">
        <f>VLOOKUP(A1610,'Data pick slip'!B:F,5,FALSE)</f>
        <v>KHJ-MC100-00</v>
      </c>
      <c r="F1610" s="157" t="s">
        <v>2773</v>
      </c>
      <c r="H1610" s="138">
        <v>403</v>
      </c>
      <c r="I1610" s="139" t="str">
        <f>VLOOKUP(H1610,Stock_list!A:R,18,FALSE)</f>
        <v>天星创展</v>
      </c>
      <c r="J1610" s="139" t="str">
        <f>VLOOKUP(H1610,Stock_list!A:S,17,FALSE)</f>
        <v>C49SZX20190126MZ</v>
      </c>
      <c r="K1610" s="51" t="str">
        <f>VLOOKUP(H1610,Stock_list!A:T,16,FALSE)</f>
        <v>RMB</v>
      </c>
      <c r="L1610" s="4">
        <v>43700</v>
      </c>
      <c r="M1610" s="140">
        <v>6</v>
      </c>
      <c r="P1610" s="4" t="str">
        <f>VLOOKUP(H1610,Stock_list!A:Y,25,FALSE)</f>
        <v>Yes</v>
      </c>
      <c r="Q1610" s="143"/>
      <c r="T1610" s="144"/>
      <c r="U1610" s="145" t="str">
        <f>VLOOKUP(H1610,Stock_list!A:N,14,FALSE)</f>
        <v>AUG 19</v>
      </c>
    </row>
    <row r="1611" spans="1:21" ht="16.5" customHeight="1">
      <c r="A1611" s="159" t="s">
        <v>2748</v>
      </c>
      <c r="B1611" s="114" t="str">
        <f>VLOOKUP(A1611,'Data pick slip'!B:F,5,FALSE)</f>
        <v>KHJ-MC400-00</v>
      </c>
      <c r="F1611" s="157" t="s">
        <v>2773</v>
      </c>
      <c r="H1611" s="138">
        <v>403</v>
      </c>
      <c r="I1611" s="139" t="str">
        <f>VLOOKUP(H1611,Stock_list!A:R,18,FALSE)</f>
        <v>天星创展</v>
      </c>
      <c r="J1611" s="139" t="str">
        <f>VLOOKUP(H1611,Stock_list!A:S,17,FALSE)</f>
        <v>C49SZX20190126MZ</v>
      </c>
      <c r="K1611" s="51" t="str">
        <f>VLOOKUP(H1611,Stock_list!A:T,16,FALSE)</f>
        <v>RMB</v>
      </c>
      <c r="L1611" s="4">
        <v>43700</v>
      </c>
      <c r="M1611" s="140">
        <v>4</v>
      </c>
      <c r="P1611" s="4" t="str">
        <f>VLOOKUP(H1611,Stock_list!A:Y,25,FALSE)</f>
        <v>Yes</v>
      </c>
      <c r="Q1611" s="143"/>
      <c r="T1611" s="144"/>
      <c r="U1611" s="145" t="str">
        <f>VLOOKUP(H1611,Stock_list!A:N,14,FALSE)</f>
        <v>AUG 19</v>
      </c>
    </row>
    <row r="1612" spans="1:21" ht="16.5" customHeight="1">
      <c r="A1612" s="159" t="s">
        <v>2755</v>
      </c>
      <c r="B1612" s="114" t="str">
        <f>VLOOKUP(A1612,'Data pick slip'!B:F,5,FALSE)</f>
        <v>KLJ-MC100-00</v>
      </c>
      <c r="F1612" s="157" t="s">
        <v>2862</v>
      </c>
      <c r="I1612" s="139" t="s">
        <v>3016</v>
      </c>
      <c r="J1612" s="139" t="s">
        <v>3158</v>
      </c>
      <c r="K1612" s="51" t="s">
        <v>1246</v>
      </c>
      <c r="L1612" s="4">
        <v>43698</v>
      </c>
      <c r="M1612" s="140">
        <v>200</v>
      </c>
      <c r="P1612" s="4" t="s">
        <v>291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2756</v>
      </c>
      <c r="B1613" s="114" t="str">
        <f>VLOOKUP(A1613,'Data pick slip'!B:F,5,FALSE)</f>
        <v>KLJ-MC200-00</v>
      </c>
      <c r="F1613" s="157" t="s">
        <v>2862</v>
      </c>
      <c r="I1613" s="139" t="s">
        <v>3016</v>
      </c>
      <c r="J1613" s="139" t="s">
        <v>3158</v>
      </c>
      <c r="K1613" s="51" t="s">
        <v>1246</v>
      </c>
      <c r="L1613" s="4">
        <v>43698</v>
      </c>
      <c r="M1613" s="140">
        <v>60</v>
      </c>
      <c r="P1613" s="4" t="s">
        <v>291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2757</v>
      </c>
      <c r="B1614" s="114" t="str">
        <f>VLOOKUP(A1614,'Data pick slip'!B:F,5,FALSE)</f>
        <v>KLJ-MC400-00</v>
      </c>
      <c r="F1614" s="157" t="s">
        <v>2862</v>
      </c>
      <c r="I1614" s="139" t="s">
        <v>3016</v>
      </c>
      <c r="J1614" s="139" t="s">
        <v>3158</v>
      </c>
      <c r="K1614" s="51" t="s">
        <v>1246</v>
      </c>
      <c r="L1614" s="4">
        <v>43698</v>
      </c>
      <c r="M1614" s="140">
        <v>10</v>
      </c>
      <c r="P1614" s="4" t="s">
        <v>291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2748</v>
      </c>
      <c r="B1615" s="114" t="str">
        <f>VLOOKUP(A1615,'Data pick slip'!B:F,5,FALSE)</f>
        <v>KHJ-MC400-00</v>
      </c>
      <c r="F1615" s="157" t="s">
        <v>2862</v>
      </c>
      <c r="I1615" s="139" t="s">
        <v>3016</v>
      </c>
      <c r="J1615" s="139" t="s">
        <v>3158</v>
      </c>
      <c r="K1615" s="51" t="s">
        <v>1246</v>
      </c>
      <c r="L1615" s="4">
        <v>43698</v>
      </c>
      <c r="M1615" s="140">
        <v>14</v>
      </c>
      <c r="P1615" s="4" t="s">
        <v>291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2749</v>
      </c>
      <c r="B1616" s="114" t="str">
        <f>VLOOKUP(A1616,'Data pick slip'!B:F,5,FALSE)</f>
        <v>KHJ-MC500-00</v>
      </c>
      <c r="F1616" s="157" t="s">
        <v>2862</v>
      </c>
      <c r="I1616" s="139" t="s">
        <v>3016</v>
      </c>
      <c r="J1616" s="139" t="s">
        <v>3158</v>
      </c>
      <c r="K1616" s="51" t="s">
        <v>1246</v>
      </c>
      <c r="L1616" s="4">
        <v>43698</v>
      </c>
      <c r="M1616" s="140">
        <v>17</v>
      </c>
      <c r="P1616" s="4" t="s">
        <v>291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2744</v>
      </c>
      <c r="B1617" s="114" t="str">
        <f>VLOOKUP(A1617,'Data pick slip'!B:F,5,FALSE)</f>
        <v>KHJ-MC100-00</v>
      </c>
      <c r="F1617" s="157" t="s">
        <v>2862</v>
      </c>
      <c r="I1617" s="139" t="s">
        <v>3016</v>
      </c>
      <c r="J1617" s="139" t="s">
        <v>3159</v>
      </c>
      <c r="K1617" s="51" t="s">
        <v>1246</v>
      </c>
      <c r="L1617" s="4">
        <v>43699</v>
      </c>
      <c r="M1617" s="140">
        <v>441</v>
      </c>
      <c r="P1617" s="4" t="s">
        <v>291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2747</v>
      </c>
      <c r="B1618" s="114" t="str">
        <f>VLOOKUP(A1618,'Data pick slip'!B:F,5,FALSE)</f>
        <v>KHJ-MC200-00</v>
      </c>
      <c r="F1618" s="157" t="s">
        <v>2773</v>
      </c>
      <c r="I1618" s="139" t="s">
        <v>3140</v>
      </c>
      <c r="J1618" s="139" t="s">
        <v>3160</v>
      </c>
      <c r="K1618" s="51" t="s">
        <v>1246</v>
      </c>
      <c r="L1618" s="4">
        <v>43705</v>
      </c>
      <c r="M1618" s="140">
        <v>15</v>
      </c>
      <c r="P1618" s="4" t="s">
        <v>291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2744</v>
      </c>
      <c r="B1619" s="114" t="str">
        <f>VLOOKUP(A1619,'Data pick slip'!B:F,5,FALSE)</f>
        <v>KHJ-MC100-00</v>
      </c>
      <c r="F1619" s="157" t="s">
        <v>2773</v>
      </c>
      <c r="I1619" s="139" t="s">
        <v>3094</v>
      </c>
      <c r="J1619" s="139" t="s">
        <v>3161</v>
      </c>
      <c r="K1619" s="51" t="s">
        <v>1246</v>
      </c>
      <c r="L1619" s="4">
        <v>43705</v>
      </c>
      <c r="M1619" s="140">
        <v>20</v>
      </c>
      <c r="P1619" s="4" t="s">
        <v>291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2744</v>
      </c>
      <c r="B1620" s="114" t="str">
        <f>VLOOKUP(A1620,'Data pick slip'!B:F,5,FALSE)</f>
        <v>KHJ-MC100-00</v>
      </c>
      <c r="F1620" s="157" t="s">
        <v>2773</v>
      </c>
      <c r="H1620" s="138">
        <v>411</v>
      </c>
      <c r="I1620" s="139" t="str">
        <f>VLOOKUP(H1620,Stock_list!A:R,18,FALSE)</f>
        <v>博星</v>
      </c>
      <c r="J1620" s="139" t="str">
        <f>VLOOKUP(H1620,Stock_list!A:S,17,FALSE)</f>
        <v>C49SZX20190129DZ</v>
      </c>
      <c r="K1620" s="51" t="str">
        <f>VLOOKUP(H1620,Stock_list!A:T,16,FALSE)</f>
        <v>RMB</v>
      </c>
      <c r="L1620" s="4">
        <v>43737</v>
      </c>
      <c r="M1620" s="132">
        <v>140</v>
      </c>
      <c r="P1620" s="4" t="str">
        <f>VLOOKUP(H1620,Stock_list!A:Y,25,FALSE)</f>
        <v>Yes</v>
      </c>
      <c r="Q1620" s="143"/>
      <c r="T1620" s="144"/>
      <c r="U1620" s="145" t="str">
        <f>VLOOKUP(H1620,Stock_list!A:N,14,FALSE)</f>
        <v>NOV 19</v>
      </c>
    </row>
    <row r="1621" spans="1:21" ht="16.5" customHeight="1">
      <c r="A1621" s="159" t="s">
        <v>2747</v>
      </c>
      <c r="B1621" s="114" t="str">
        <f>VLOOKUP(A1621,'Data pick slip'!B:F,5,FALSE)</f>
        <v>KHJ-MC200-00</v>
      </c>
      <c r="F1621" s="157" t="s">
        <v>2773</v>
      </c>
      <c r="H1621" s="138">
        <v>411</v>
      </c>
      <c r="I1621" s="139" t="str">
        <f>VLOOKUP(H1621,Stock_list!A:R,18,FALSE)</f>
        <v>博星</v>
      </c>
      <c r="J1621" s="139" t="str">
        <f>VLOOKUP(H1621,Stock_list!A:S,17,FALSE)</f>
        <v>C49SZX20190129DZ</v>
      </c>
      <c r="K1621" s="51" t="str">
        <f>VLOOKUP(H1621,Stock_list!A:T,16,FALSE)</f>
        <v>RMB</v>
      </c>
      <c r="L1621" s="4">
        <v>43737</v>
      </c>
      <c r="M1621" s="132">
        <v>12</v>
      </c>
      <c r="P1621" s="4" t="str">
        <f>VLOOKUP(H1621,Stock_list!A:Y,25,FALSE)</f>
        <v>Yes</v>
      </c>
      <c r="Q1621" s="143"/>
      <c r="T1621" s="144"/>
      <c r="U1621" s="145" t="str">
        <f>VLOOKUP(H1621,Stock_list!A:N,14,FALSE)</f>
        <v>NOV 19</v>
      </c>
    </row>
    <row r="1622" spans="1:21" ht="16.5" customHeight="1">
      <c r="A1622" s="159" t="s">
        <v>2749</v>
      </c>
      <c r="B1622" s="114" t="str">
        <f>VLOOKUP(A1622,'Data pick slip'!B:F,5,FALSE)</f>
        <v>KHJ-MC500-00</v>
      </c>
      <c r="F1622" s="157" t="s">
        <v>2773</v>
      </c>
      <c r="H1622" s="138">
        <v>411</v>
      </c>
      <c r="I1622" s="139" t="str">
        <f>VLOOKUP(H1622,Stock_list!A:R,18,FALSE)</f>
        <v>博星</v>
      </c>
      <c r="J1622" s="139" t="str">
        <f>VLOOKUP(H1622,Stock_list!A:S,17,FALSE)</f>
        <v>C49SZX20190129DZ</v>
      </c>
      <c r="K1622" s="51" t="str">
        <f>VLOOKUP(H1622,Stock_list!A:T,16,FALSE)</f>
        <v>RMB</v>
      </c>
      <c r="L1622" s="4">
        <v>43737</v>
      </c>
      <c r="M1622" s="132">
        <v>2</v>
      </c>
      <c r="P1622" s="4" t="str">
        <f>VLOOKUP(H1622,Stock_list!A:Y,25,FALSE)</f>
        <v>Yes</v>
      </c>
      <c r="Q1622" s="143"/>
      <c r="T1622" s="144"/>
      <c r="U1622" s="145" t="str">
        <f>VLOOKUP(H1622,Stock_list!A:N,14,FALSE)</f>
        <v>NOV 19</v>
      </c>
    </row>
    <row r="1623" spans="1:21" ht="16.5" customHeight="1">
      <c r="A1623" s="159" t="s">
        <v>2744</v>
      </c>
      <c r="B1623" s="114" t="str">
        <f>VLOOKUP(A1623,'Data pick slip'!B:F,5,FALSE)</f>
        <v>KHJ-MC100-00</v>
      </c>
      <c r="F1623" s="157" t="s">
        <v>2773</v>
      </c>
      <c r="H1623" s="138">
        <v>411</v>
      </c>
      <c r="I1623" s="139" t="str">
        <f>VLOOKUP(H1623,Stock_list!A:R,18,FALSE)</f>
        <v>博星</v>
      </c>
      <c r="J1623" s="139" t="str">
        <f>VLOOKUP(H1623,Stock_list!A:S,17,FALSE)</f>
        <v>C49SZX20190129DZ</v>
      </c>
      <c r="K1623" s="51" t="str">
        <f>VLOOKUP(H1623,Stock_list!A:T,16,FALSE)</f>
        <v>RMB</v>
      </c>
      <c r="L1623" s="4">
        <v>43777</v>
      </c>
      <c r="M1623" s="132">
        <v>140</v>
      </c>
      <c r="P1623" s="4" t="str">
        <f>VLOOKUP(H1623,Stock_list!A:Y,25,FALSE)</f>
        <v>Yes</v>
      </c>
      <c r="Q1623" s="143"/>
      <c r="T1623" s="144"/>
      <c r="U1623" s="145" t="str">
        <f>VLOOKUP(H1623,Stock_list!A:N,14,FALSE)</f>
        <v>NOV 19</v>
      </c>
    </row>
    <row r="1624" spans="1:21" ht="16.5" customHeight="1">
      <c r="A1624" s="159" t="s">
        <v>2747</v>
      </c>
      <c r="B1624" s="114" t="str">
        <f>VLOOKUP(A1624,'Data pick slip'!B:F,5,FALSE)</f>
        <v>KHJ-MC200-00</v>
      </c>
      <c r="F1624" s="157" t="s">
        <v>2773</v>
      </c>
      <c r="H1624" s="138">
        <v>411</v>
      </c>
      <c r="I1624" s="139" t="str">
        <f>VLOOKUP(H1624,Stock_list!A:R,18,FALSE)</f>
        <v>博星</v>
      </c>
      <c r="J1624" s="139" t="str">
        <f>VLOOKUP(H1624,Stock_list!A:S,17,FALSE)</f>
        <v>C49SZX20190129DZ</v>
      </c>
      <c r="K1624" s="51" t="str">
        <f>VLOOKUP(H1624,Stock_list!A:T,16,FALSE)</f>
        <v>RMB</v>
      </c>
      <c r="L1624" s="4">
        <v>43777</v>
      </c>
      <c r="M1624" s="132">
        <v>12</v>
      </c>
      <c r="P1624" s="4" t="str">
        <f>VLOOKUP(H1624,Stock_list!A:Y,25,FALSE)</f>
        <v>Yes</v>
      </c>
      <c r="Q1624" s="143"/>
      <c r="T1624" s="144"/>
      <c r="U1624" s="145" t="str">
        <f>VLOOKUP(H1624,Stock_list!A:N,14,FALSE)</f>
        <v>NOV 19</v>
      </c>
    </row>
    <row r="1625" spans="1:21" ht="16.5" customHeight="1">
      <c r="A1625" s="159" t="s">
        <v>2749</v>
      </c>
      <c r="B1625" s="114" t="str">
        <f>VLOOKUP(A1625,'Data pick slip'!B:F,5,FALSE)</f>
        <v>KHJ-MC500-00</v>
      </c>
      <c r="F1625" s="157" t="s">
        <v>2773</v>
      </c>
      <c r="H1625" s="138">
        <v>411</v>
      </c>
      <c r="I1625" s="139" t="str">
        <f>VLOOKUP(H1625,Stock_list!A:R,18,FALSE)</f>
        <v>博星</v>
      </c>
      <c r="J1625" s="139" t="str">
        <f>VLOOKUP(H1625,Stock_list!A:S,17,FALSE)</f>
        <v>C49SZX20190129DZ</v>
      </c>
      <c r="K1625" s="51" t="str">
        <f>VLOOKUP(H1625,Stock_list!A:T,16,FALSE)</f>
        <v>RMB</v>
      </c>
      <c r="L1625" s="4">
        <v>43777</v>
      </c>
      <c r="M1625" s="132">
        <v>2</v>
      </c>
      <c r="P1625" s="4" t="str">
        <f>VLOOKUP(H1625,Stock_list!A:Y,25,FALSE)</f>
        <v>Yes</v>
      </c>
      <c r="Q1625" s="143"/>
      <c r="T1625" s="144"/>
      <c r="U1625" s="145" t="str">
        <f>VLOOKUP(H1625,Stock_list!A:N,14,FALSE)</f>
        <v>NOV 19</v>
      </c>
    </row>
    <row r="1626" spans="1:21" ht="16.5" customHeight="1">
      <c r="A1626" s="159" t="s">
        <v>2744</v>
      </c>
      <c r="B1626" s="114" t="str">
        <f>VLOOKUP(A1626,'Data pick slip'!B:F,5,FALSE)</f>
        <v>KHJ-MC100-00</v>
      </c>
      <c r="F1626" s="157" t="s">
        <v>2862</v>
      </c>
      <c r="I1626" s="139" t="s">
        <v>3016</v>
      </c>
      <c r="J1626" s="139" t="s">
        <v>3162</v>
      </c>
      <c r="K1626" s="51" t="s">
        <v>3124</v>
      </c>
      <c r="L1626" s="4">
        <v>43713</v>
      </c>
      <c r="M1626" s="140">
        <v>160</v>
      </c>
      <c r="P1626" s="4" t="s">
        <v>291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2747</v>
      </c>
      <c r="B1627" s="114" t="str">
        <f>VLOOKUP(A1627,'Data pick slip'!B:F,5,FALSE)</f>
        <v>KHJ-MC200-00</v>
      </c>
      <c r="F1627" s="157" t="s">
        <v>2862</v>
      </c>
      <c r="I1627" s="139" t="s">
        <v>3016</v>
      </c>
      <c r="J1627" s="139" t="s">
        <v>3162</v>
      </c>
      <c r="K1627" s="51" t="s">
        <v>3124</v>
      </c>
      <c r="L1627" s="4">
        <v>43713</v>
      </c>
      <c r="M1627" s="140">
        <v>80</v>
      </c>
      <c r="P1627" s="4" t="s">
        <v>291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2748</v>
      </c>
      <c r="B1628" s="114" t="str">
        <f>VLOOKUP(A1628,'Data pick slip'!B:F,5,FALSE)</f>
        <v>KHJ-MC400-00</v>
      </c>
      <c r="F1628" s="157" t="s">
        <v>2862</v>
      </c>
      <c r="I1628" s="139" t="s">
        <v>3016</v>
      </c>
      <c r="J1628" s="139" t="s">
        <v>3162</v>
      </c>
      <c r="K1628" s="51" t="s">
        <v>3124</v>
      </c>
      <c r="L1628" s="4">
        <v>43713</v>
      </c>
      <c r="M1628" s="140">
        <v>20</v>
      </c>
      <c r="P1628" s="4" t="s">
        <v>291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2744</v>
      </c>
      <c r="B1629" s="114" t="str">
        <f>VLOOKUP(A1629,'Data pick slip'!B:F,5,FALSE)</f>
        <v>KHJ-MC100-00</v>
      </c>
      <c r="F1629" s="157" t="s">
        <v>2862</v>
      </c>
      <c r="I1629" s="139" t="s">
        <v>3016</v>
      </c>
      <c r="J1629" s="139" t="s">
        <v>3162</v>
      </c>
      <c r="K1629" s="51" t="s">
        <v>3124</v>
      </c>
      <c r="L1629" s="4">
        <v>43713</v>
      </c>
      <c r="M1629" s="140">
        <v>50</v>
      </c>
      <c r="P1629" s="4" t="s">
        <v>291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2744</v>
      </c>
      <c r="B1630" s="114" t="str">
        <f>VLOOKUP(A1630,'Data pick slip'!B:F,5,FALSE)</f>
        <v>KHJ-MC100-00</v>
      </c>
      <c r="F1630" s="157" t="s">
        <v>2773</v>
      </c>
      <c r="H1630" s="138">
        <v>423</v>
      </c>
      <c r="I1630" s="139" t="str">
        <f>VLOOKUP(H1630,Stock_list!A:R,18,FALSE)</f>
        <v>迅丰</v>
      </c>
      <c r="J1630" s="139" t="str">
        <f>VLOOKUP(H1630,Stock_list!A:S,17,FALSE)</f>
        <v>C49SZX20190135SX</v>
      </c>
      <c r="K1630" s="51" t="str">
        <f>VLOOKUP(H1630,Stock_list!A:T,16,FALSE)</f>
        <v>RMB</v>
      </c>
      <c r="L1630" s="4">
        <v>43731</v>
      </c>
      <c r="M1630" s="132">
        <v>80</v>
      </c>
      <c r="P1630" s="4" t="str">
        <f>VLOOKUP(H1630,Stock_list!A:Y,25,FALSE)</f>
        <v>Yes</v>
      </c>
      <c r="Q1630" s="143"/>
      <c r="T1630" s="144"/>
      <c r="U1630" s="145" t="str">
        <f>VLOOKUP(H1630,Stock_list!A:N,14,FALSE)</f>
        <v>SEP 19</v>
      </c>
    </row>
    <row r="1631" spans="1:21" ht="16.5" customHeight="1">
      <c r="A1631" s="159" t="s">
        <v>2747</v>
      </c>
      <c r="B1631" s="114" t="str">
        <f>VLOOKUP(A1631,'Data pick slip'!B:F,5,FALSE)</f>
        <v>KHJ-MC200-00</v>
      </c>
      <c r="F1631" s="157" t="s">
        <v>2773</v>
      </c>
      <c r="H1631" s="138">
        <v>423</v>
      </c>
      <c r="I1631" s="139" t="str">
        <f>VLOOKUP(H1631,Stock_list!A:R,18,FALSE)</f>
        <v>迅丰</v>
      </c>
      <c r="J1631" s="139" t="str">
        <f>VLOOKUP(H1631,Stock_list!A:S,17,FALSE)</f>
        <v>C49SZX20190135SX</v>
      </c>
      <c r="K1631" s="51" t="str">
        <f>VLOOKUP(H1631,Stock_list!A:T,16,FALSE)</f>
        <v>RMB</v>
      </c>
      <c r="L1631" s="4">
        <v>43731</v>
      </c>
      <c r="M1631" s="132">
        <v>8</v>
      </c>
      <c r="P1631" s="4" t="str">
        <f>VLOOKUP(H1631,Stock_list!A:Y,25,FALSE)</f>
        <v>Yes</v>
      </c>
      <c r="Q1631" s="143"/>
      <c r="T1631" s="144"/>
      <c r="U1631" s="145" t="str">
        <f>VLOOKUP(H1631,Stock_list!A:N,14,FALSE)</f>
        <v>SEP 19</v>
      </c>
    </row>
    <row r="1632" spans="1:21" ht="16.5" customHeight="1">
      <c r="A1632" s="159" t="s">
        <v>2748</v>
      </c>
      <c r="B1632" s="114" t="str">
        <f>VLOOKUP(A1632,'Data pick slip'!B:F,5,FALSE)</f>
        <v>KHJ-MC400-00</v>
      </c>
      <c r="F1632" s="157" t="s">
        <v>2773</v>
      </c>
      <c r="H1632" s="138">
        <v>423</v>
      </c>
      <c r="I1632" s="139" t="str">
        <f>VLOOKUP(H1632,Stock_list!A:R,18,FALSE)</f>
        <v>迅丰</v>
      </c>
      <c r="J1632" s="139" t="str">
        <f>VLOOKUP(H1632,Stock_list!A:S,17,FALSE)</f>
        <v>C49SZX20190135SX</v>
      </c>
      <c r="K1632" s="51" t="str">
        <f>VLOOKUP(H1632,Stock_list!A:T,16,FALSE)</f>
        <v>RMB</v>
      </c>
      <c r="L1632" s="4">
        <v>43731</v>
      </c>
      <c r="M1632" s="132">
        <v>1</v>
      </c>
      <c r="P1632" s="4" t="str">
        <f>VLOOKUP(H1632,Stock_list!A:Y,25,FALSE)</f>
        <v>Yes</v>
      </c>
      <c r="Q1632" s="143"/>
      <c r="T1632" s="144"/>
      <c r="U1632" s="145" t="str">
        <f>VLOOKUP(H1632,Stock_list!A:N,14,FALSE)</f>
        <v>SEP 19</v>
      </c>
    </row>
    <row r="1633" spans="1:21" ht="16.5" customHeight="1">
      <c r="A1633" s="159" t="s">
        <v>2744</v>
      </c>
      <c r="B1633" s="114" t="str">
        <f>VLOOKUP(A1633,'Data pick slip'!B:F,5,FALSE)</f>
        <v>KHJ-MC100-00</v>
      </c>
      <c r="F1633" s="157" t="s">
        <v>2773</v>
      </c>
      <c r="H1633" s="138">
        <v>425</v>
      </c>
      <c r="I1633" s="139" t="str">
        <f>VLOOKUP(H1633,Stock_list!A:R,18,FALSE)</f>
        <v>君泽</v>
      </c>
      <c r="J1633" s="139" t="str">
        <f>VLOOKUP(H1633,Stock_list!A:S,17,FALSE)</f>
        <v>C49SZX20190123SX</v>
      </c>
      <c r="K1633" s="51" t="str">
        <f>VLOOKUP(H1633,Stock_list!A:T,16,FALSE)</f>
        <v>RMB</v>
      </c>
      <c r="L1633" s="4">
        <v>43733</v>
      </c>
      <c r="M1633" s="132">
        <v>140</v>
      </c>
      <c r="P1633" s="4" t="str">
        <f>VLOOKUP(H1633,Stock_list!A:Y,25,FALSE)</f>
        <v>Yes</v>
      </c>
      <c r="Q1633" s="143"/>
      <c r="T1633" s="144"/>
      <c r="U1633" s="145" t="str">
        <f>VLOOKUP(H1633,Stock_list!A:N,14,FALSE)</f>
        <v>SEP 19</v>
      </c>
    </row>
    <row r="1634" spans="1:21" ht="16.5" customHeight="1">
      <c r="A1634" s="159" t="s">
        <v>2747</v>
      </c>
      <c r="B1634" s="114" t="str">
        <f>VLOOKUP(A1634,'Data pick slip'!B:F,5,FALSE)</f>
        <v>KHJ-MC200-00</v>
      </c>
      <c r="F1634" s="157" t="s">
        <v>2773</v>
      </c>
      <c r="H1634" s="138">
        <v>425</v>
      </c>
      <c r="I1634" s="139" t="str">
        <f>VLOOKUP(H1634,Stock_list!A:R,18,FALSE)</f>
        <v>君泽</v>
      </c>
      <c r="J1634" s="139" t="str">
        <f>VLOOKUP(H1634,Stock_list!A:S,17,FALSE)</f>
        <v>C49SZX20190123SX</v>
      </c>
      <c r="K1634" s="51" t="str">
        <f>VLOOKUP(H1634,Stock_list!A:T,16,FALSE)</f>
        <v>RMB</v>
      </c>
      <c r="L1634" s="4">
        <v>43733</v>
      </c>
      <c r="M1634" s="132">
        <v>40</v>
      </c>
      <c r="P1634" s="4" t="str">
        <f>VLOOKUP(H1634,Stock_list!A:Y,25,FALSE)</f>
        <v>Yes</v>
      </c>
      <c r="Q1634" s="143"/>
      <c r="T1634" s="144"/>
      <c r="U1634" s="145" t="str">
        <f>VLOOKUP(H1634,Stock_list!A:N,14,FALSE)</f>
        <v>SEP 19</v>
      </c>
    </row>
    <row r="1635" spans="1:21" ht="16.5" customHeight="1">
      <c r="A1635" s="159" t="s">
        <v>2748</v>
      </c>
      <c r="B1635" s="114" t="str">
        <f>VLOOKUP(A1635,'Data pick slip'!B:F,5,FALSE)</f>
        <v>KHJ-MC400-00</v>
      </c>
      <c r="F1635" s="157" t="s">
        <v>2773</v>
      </c>
      <c r="H1635" s="138">
        <v>425</v>
      </c>
      <c r="I1635" s="139" t="str">
        <f>VLOOKUP(H1635,Stock_list!A:R,18,FALSE)</f>
        <v>君泽</v>
      </c>
      <c r="J1635" s="139" t="str">
        <f>VLOOKUP(H1635,Stock_list!A:S,17,FALSE)</f>
        <v>C49SZX20190123SX</v>
      </c>
      <c r="K1635" s="51" t="str">
        <f>VLOOKUP(H1635,Stock_list!A:T,16,FALSE)</f>
        <v>RMB</v>
      </c>
      <c r="L1635" s="4">
        <v>43733</v>
      </c>
      <c r="M1635" s="132">
        <v>7</v>
      </c>
      <c r="P1635" s="4" t="str">
        <f>VLOOKUP(H1635,Stock_list!A:Y,25,FALSE)</f>
        <v>Yes</v>
      </c>
      <c r="Q1635" s="143"/>
      <c r="T1635" s="144"/>
      <c r="U1635" s="145" t="str">
        <f>VLOOKUP(H1635,Stock_list!A:N,14,FALSE)</f>
        <v>SEP 19</v>
      </c>
    </row>
    <row r="1636" spans="1:21" ht="16.5" customHeight="1">
      <c r="A1636" s="159" t="s">
        <v>2744</v>
      </c>
      <c r="B1636" s="114" t="str">
        <f>VLOOKUP(A1636,'Data pick slip'!B:F,5,FALSE)</f>
        <v>KHJ-MC100-00</v>
      </c>
      <c r="F1636" s="157" t="s">
        <v>2773</v>
      </c>
      <c r="I1636" s="139" t="s">
        <v>3100</v>
      </c>
      <c r="J1636" s="139" t="s">
        <v>3163</v>
      </c>
      <c r="K1636" s="51" t="s">
        <v>1246</v>
      </c>
      <c r="L1636" s="4">
        <v>43718</v>
      </c>
      <c r="M1636" s="140">
        <v>30</v>
      </c>
      <c r="P1636" s="4" t="s">
        <v>291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2748</v>
      </c>
      <c r="B1637" s="114" t="str">
        <f>VLOOKUP(A1637,'Data pick slip'!B:F,5,FALSE)</f>
        <v>KHJ-MC400-00</v>
      </c>
      <c r="F1637" s="157" t="s">
        <v>2773</v>
      </c>
      <c r="I1637" s="139" t="s">
        <v>2854</v>
      </c>
      <c r="J1637" s="139" t="s">
        <v>3164</v>
      </c>
      <c r="K1637" s="51" t="s">
        <v>3003</v>
      </c>
      <c r="L1637" s="4">
        <v>43719</v>
      </c>
      <c r="M1637" s="140">
        <v>2</v>
      </c>
      <c r="P1637" s="4" t="s">
        <v>291</v>
      </c>
      <c r="Q1637" s="143"/>
      <c r="S1637" s="123" t="s">
        <v>3004</v>
      </c>
      <c r="T1637" s="144" t="s">
        <v>3165</v>
      </c>
      <c r="U1637" s="145" t="e">
        <f>VLOOKUP(H1637,Stock_list!A:N,14,FALSE)</f>
        <v>#N/A</v>
      </c>
    </row>
    <row r="1638" spans="1:21" ht="16.5" customHeight="1">
      <c r="A1638" s="159" t="s">
        <v>2749</v>
      </c>
      <c r="B1638" s="114" t="str">
        <f>VLOOKUP(A1638,'Data pick slip'!B:F,5,FALSE)</f>
        <v>KHJ-MC500-00</v>
      </c>
      <c r="F1638" s="157" t="s">
        <v>2773</v>
      </c>
      <c r="I1638" s="139" t="s">
        <v>2854</v>
      </c>
      <c r="J1638" s="139" t="s">
        <v>3164</v>
      </c>
      <c r="K1638" s="51" t="s">
        <v>3003</v>
      </c>
      <c r="L1638" s="4">
        <v>43719</v>
      </c>
      <c r="M1638" s="140">
        <v>2</v>
      </c>
      <c r="P1638" s="4" t="s">
        <v>291</v>
      </c>
      <c r="Q1638" s="143"/>
      <c r="S1638" s="123" t="s">
        <v>3004</v>
      </c>
      <c r="T1638" s="144" t="s">
        <v>3165</v>
      </c>
      <c r="U1638" s="145" t="e">
        <f>VLOOKUP(H1638,Stock_list!A:N,14,FALSE)</f>
        <v>#N/A</v>
      </c>
    </row>
    <row r="1639" spans="1:21" ht="16.5" customHeight="1">
      <c r="A1639" s="159" t="s">
        <v>2755</v>
      </c>
      <c r="B1639" s="114" t="str">
        <f>VLOOKUP(A1639,'Data pick slip'!B:F,5,FALSE)</f>
        <v>KLJ-MC100-00</v>
      </c>
      <c r="F1639" s="157" t="s">
        <v>2862</v>
      </c>
      <c r="H1639" s="138">
        <v>427</v>
      </c>
      <c r="I1639" s="139" t="str">
        <f>VLOOKUP(H1639,Stock_list!A:R,18,FALSE)</f>
        <v>富斯迈/end user:蓝普视讯</v>
      </c>
      <c r="J1639" s="139" t="str">
        <f>VLOOKUP(H1639,Stock_list!A:S,17,FALSE)</f>
        <v>C49SZX20190128DZ</v>
      </c>
      <c r="K1639" s="51" t="str">
        <f>VLOOKUP(H1639,Stock_list!A:T,16,FALSE)</f>
        <v>RMB</v>
      </c>
      <c r="L1639" s="4">
        <v>43749</v>
      </c>
      <c r="M1639" s="140">
        <v>20</v>
      </c>
      <c r="P1639" s="4" t="str">
        <f>VLOOKUP(H1639,Stock_list!A:Y,25,FALSE)</f>
        <v>Yes</v>
      </c>
      <c r="Q1639" s="143"/>
      <c r="T1639" s="144"/>
      <c r="U1639" s="145" t="str">
        <f>VLOOKUP(H1639,Stock_list!A:N,14,FALSE)</f>
        <v>OCT 19</v>
      </c>
    </row>
    <row r="1640" spans="1:21" ht="16.5" customHeight="1">
      <c r="A1640" s="159" t="s">
        <v>2747</v>
      </c>
      <c r="B1640" s="114" t="str">
        <f>VLOOKUP(A1640,'Data pick slip'!B:F,5,FALSE)</f>
        <v>KHJ-MC200-00</v>
      </c>
      <c r="F1640" s="157" t="s">
        <v>2773</v>
      </c>
      <c r="I1640" s="139" t="s">
        <v>3100</v>
      </c>
      <c r="J1640" s="139" t="s">
        <v>3166</v>
      </c>
      <c r="K1640" s="51" t="s">
        <v>1246</v>
      </c>
      <c r="L1640" s="4">
        <v>43720</v>
      </c>
      <c r="M1640" s="140">
        <v>1</v>
      </c>
      <c r="P1640" s="4" t="s">
        <v>291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2748</v>
      </c>
      <c r="B1641" s="114" t="str">
        <f>VLOOKUP(A1641,'Data pick slip'!B:F,5,FALSE)</f>
        <v>KHJ-MC400-00</v>
      </c>
      <c r="F1641" s="157" t="s">
        <v>2773</v>
      </c>
      <c r="I1641" s="139" t="s">
        <v>3100</v>
      </c>
      <c r="J1641" s="139" t="s">
        <v>3167</v>
      </c>
      <c r="K1641" s="51" t="s">
        <v>1246</v>
      </c>
      <c r="L1641" s="4">
        <v>43720</v>
      </c>
      <c r="M1641" s="140">
        <v>1</v>
      </c>
      <c r="P1641" s="4" t="s">
        <v>291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2744</v>
      </c>
      <c r="B1642" s="114" t="str">
        <f>VLOOKUP(A1642,'Data pick slip'!B:F,5,FALSE)</f>
        <v>KHJ-MC100-00</v>
      </c>
      <c r="F1642" s="157" t="s">
        <v>2773</v>
      </c>
      <c r="I1642" s="139" t="s">
        <v>3100</v>
      </c>
      <c r="J1642" s="139" t="s">
        <v>3168</v>
      </c>
      <c r="K1642" s="51" t="s">
        <v>1246</v>
      </c>
      <c r="L1642" s="4">
        <v>43724</v>
      </c>
      <c r="M1642" s="140">
        <v>10</v>
      </c>
      <c r="P1642" s="4" t="s">
        <v>291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2744</v>
      </c>
      <c r="B1643" s="114" t="str">
        <f>VLOOKUP(A1643,'Data pick slip'!B:F,5,FALSE)</f>
        <v>KHJ-MC100-00</v>
      </c>
      <c r="F1643" s="157" t="s">
        <v>2773</v>
      </c>
      <c r="I1643" s="139" t="s">
        <v>3100</v>
      </c>
      <c r="J1643" s="139" t="s">
        <v>3169</v>
      </c>
      <c r="K1643" s="51" t="s">
        <v>1246</v>
      </c>
      <c r="L1643" s="4">
        <v>43712</v>
      </c>
      <c r="M1643" s="140">
        <v>5</v>
      </c>
      <c r="P1643" s="4" t="s">
        <v>291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2748</v>
      </c>
      <c r="B1644" s="114" t="str">
        <f>VLOOKUP(A1644,'Data pick slip'!B:F,5,FALSE)</f>
        <v>KHJ-MC400-00</v>
      </c>
      <c r="F1644" s="157" t="s">
        <v>2773</v>
      </c>
      <c r="I1644" s="139" t="s">
        <v>3100</v>
      </c>
      <c r="J1644" s="139" t="s">
        <v>3169</v>
      </c>
      <c r="K1644" s="51" t="s">
        <v>1246</v>
      </c>
      <c r="L1644" s="4">
        <v>43712</v>
      </c>
      <c r="M1644" s="140">
        <v>1</v>
      </c>
      <c r="P1644" s="4" t="s">
        <v>291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2750</v>
      </c>
      <c r="B1645" s="114" t="str">
        <f>VLOOKUP(A1645,'Data pick slip'!B:F,5,FALSE)</f>
        <v>KHJ-MC600-00</v>
      </c>
      <c r="F1645" s="157" t="s">
        <v>2773</v>
      </c>
      <c r="I1645" s="139" t="s">
        <v>3094</v>
      </c>
      <c r="J1645" s="139" t="s">
        <v>3170</v>
      </c>
      <c r="K1645" s="51" t="s">
        <v>1246</v>
      </c>
      <c r="L1645" s="4">
        <v>43725</v>
      </c>
      <c r="M1645" s="140">
        <v>1</v>
      </c>
      <c r="P1645" s="4" t="s">
        <v>291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2744</v>
      </c>
      <c r="B1646" s="114" t="str">
        <f>VLOOKUP(A1646,'Data pick slip'!B:F,5,FALSE)</f>
        <v>KHJ-MC100-00</v>
      </c>
      <c r="F1646" s="157" t="s">
        <v>2773</v>
      </c>
      <c r="H1646" s="138">
        <v>429</v>
      </c>
      <c r="I1646" s="139" t="str">
        <f>VLOOKUP(H1646,Stock_list!A:R,18,FALSE)</f>
        <v>杉川/end user:放德劲</v>
      </c>
      <c r="J1646" s="139" t="str">
        <f>VLOOKUP(H1646,Stock_list!A:S,17,FALSE)</f>
        <v>C49SZX201900131JL</v>
      </c>
      <c r="K1646" s="51" t="str">
        <f>VLOOKUP(H1646,Stock_list!A:T,16,FALSE)</f>
        <v>RMB</v>
      </c>
      <c r="L1646" s="4">
        <v>43735</v>
      </c>
      <c r="M1646" s="132">
        <v>90</v>
      </c>
      <c r="P1646" s="4" t="str">
        <f>VLOOKUP(H1646,Stock_list!A:Y,25,FALSE)</f>
        <v>Yes</v>
      </c>
      <c r="Q1646" s="143"/>
      <c r="T1646" s="144"/>
      <c r="U1646" s="145" t="str">
        <f>VLOOKUP(H1646,Stock_list!A:N,14,FALSE)</f>
        <v>SEP 19</v>
      </c>
    </row>
    <row r="1647" spans="1:21" ht="16.5" customHeight="1">
      <c r="A1647" s="159" t="s">
        <v>2756</v>
      </c>
      <c r="B1647" s="114" t="str">
        <f>VLOOKUP(A1647,'Data pick slip'!B:F,5,FALSE)</f>
        <v>KLJ-MC200-00</v>
      </c>
      <c r="F1647" s="157" t="s">
        <v>2773</v>
      </c>
      <c r="H1647" s="138">
        <v>429</v>
      </c>
      <c r="I1647" s="139" t="str">
        <f>VLOOKUP(H1647,Stock_list!A:R,18,FALSE)</f>
        <v>杉川/end user:放德劲</v>
      </c>
      <c r="J1647" s="139" t="str">
        <f>VLOOKUP(H1647,Stock_list!A:S,17,FALSE)</f>
        <v>C49SZX201900131JL</v>
      </c>
      <c r="K1647" s="51" t="str">
        <f>VLOOKUP(H1647,Stock_list!A:T,16,FALSE)</f>
        <v>RMB</v>
      </c>
      <c r="L1647" s="4">
        <v>43735</v>
      </c>
      <c r="M1647" s="132">
        <v>35</v>
      </c>
      <c r="P1647" s="4" t="str">
        <f>VLOOKUP(H1647,Stock_list!A:Y,25,FALSE)</f>
        <v>Yes</v>
      </c>
      <c r="T1647" s="144"/>
      <c r="U1647" s="145" t="str">
        <f>VLOOKUP(H1647,Stock_list!A:N,14,FALSE)</f>
        <v>SEP 19</v>
      </c>
    </row>
    <row r="1648" spans="1:21" ht="16.5" customHeight="1">
      <c r="A1648" s="159" t="s">
        <v>2757</v>
      </c>
      <c r="B1648" s="114" t="str">
        <f>VLOOKUP(A1648,'Data pick slip'!B:F,5,FALSE)</f>
        <v>KLJ-MC400-00</v>
      </c>
      <c r="F1648" s="157" t="s">
        <v>2773</v>
      </c>
      <c r="H1648" s="138">
        <v>429</v>
      </c>
      <c r="I1648" s="139" t="str">
        <f>VLOOKUP(H1648,Stock_list!A:R,18,FALSE)</f>
        <v>杉川/end user:放德劲</v>
      </c>
      <c r="J1648" s="139" t="str">
        <f>VLOOKUP(H1648,Stock_list!A:S,17,FALSE)</f>
        <v>C49SZX201900131JL</v>
      </c>
      <c r="K1648" s="51" t="str">
        <f>VLOOKUP(H1648,Stock_list!A:T,16,FALSE)</f>
        <v>RMB</v>
      </c>
      <c r="L1648" s="4">
        <v>43735</v>
      </c>
      <c r="M1648" s="132">
        <v>15</v>
      </c>
      <c r="P1648" s="4" t="str">
        <f>VLOOKUP(H1648,Stock_list!A:Y,25,FALSE)</f>
        <v>Yes</v>
      </c>
      <c r="Q1648" s="143"/>
      <c r="T1648" s="144"/>
      <c r="U1648" s="145" t="str">
        <f>VLOOKUP(H1648,Stock_list!A:N,14,FALSE)</f>
        <v>SEP 19</v>
      </c>
    </row>
    <row r="1649" spans="1:21" ht="16.5" customHeight="1">
      <c r="A1649" s="159" t="s">
        <v>2758</v>
      </c>
      <c r="B1649" s="114" t="str">
        <f>VLOOKUP(A1649,'Data pick slip'!B:F,5,FALSE)</f>
        <v>KLJ-MC500-00</v>
      </c>
      <c r="F1649" s="157" t="s">
        <v>2773</v>
      </c>
      <c r="H1649" s="138">
        <v>429</v>
      </c>
      <c r="I1649" s="139" t="str">
        <f>VLOOKUP(H1649,Stock_list!A:R,18,FALSE)</f>
        <v>杉川/end user:放德劲</v>
      </c>
      <c r="J1649" s="139" t="str">
        <f>VLOOKUP(H1649,Stock_list!A:S,17,FALSE)</f>
        <v>C49SZX201900131JL</v>
      </c>
      <c r="K1649" s="51" t="str">
        <f>VLOOKUP(H1649,Stock_list!A:T,16,FALSE)</f>
        <v>RMB</v>
      </c>
      <c r="L1649" s="4">
        <v>43735</v>
      </c>
      <c r="M1649" s="132">
        <v>1</v>
      </c>
      <c r="P1649" s="4" t="str">
        <f>VLOOKUP(H1649,Stock_list!A:Y,25,FALSE)</f>
        <v>Yes</v>
      </c>
      <c r="Q1649" s="143"/>
      <c r="T1649" s="144"/>
      <c r="U1649" s="145" t="str">
        <f>VLOOKUP(H1649,Stock_list!A:N,14,FALSE)</f>
        <v>SEP 19</v>
      </c>
    </row>
    <row r="1650" spans="1:21" ht="16.5" customHeight="1">
      <c r="A1650" s="159" t="s">
        <v>2750</v>
      </c>
      <c r="B1650" s="114" t="str">
        <f>VLOOKUP(A1650,'Data pick slip'!B:F,5,FALSE)</f>
        <v>KHJ-MC600-00</v>
      </c>
      <c r="F1650" s="157" t="s">
        <v>2773</v>
      </c>
      <c r="H1650" s="138">
        <v>429</v>
      </c>
      <c r="I1650" s="139" t="str">
        <f>VLOOKUP(H1650,Stock_list!A:R,18,FALSE)</f>
        <v>杉川/end user:放德劲</v>
      </c>
      <c r="J1650" s="139" t="str">
        <f>VLOOKUP(H1650,Stock_list!A:S,17,FALSE)</f>
        <v>C49SZX201900131JL</v>
      </c>
      <c r="K1650" s="51" t="str">
        <f>VLOOKUP(H1650,Stock_list!A:T,16,FALSE)</f>
        <v>RMB</v>
      </c>
      <c r="L1650" s="4">
        <v>43735</v>
      </c>
      <c r="M1650" s="132">
        <v>1</v>
      </c>
      <c r="P1650" s="4" t="str">
        <f>VLOOKUP(H1650,Stock_list!A:Y,25,FALSE)</f>
        <v>Yes</v>
      </c>
      <c r="Q1650" s="143"/>
      <c r="T1650" s="144"/>
      <c r="U1650" s="145" t="str">
        <f>VLOOKUP(H1650,Stock_list!A:N,14,FALSE)</f>
        <v>SEP 19</v>
      </c>
    </row>
    <row r="1651" spans="1:21" ht="16.5" customHeight="1">
      <c r="A1651" s="159" t="s">
        <v>2744</v>
      </c>
      <c r="B1651" s="114" t="str">
        <f>VLOOKUP(A1651,'Data pick slip'!B:F,5,FALSE)</f>
        <v>KHJ-MC100-00</v>
      </c>
      <c r="F1651" s="157" t="s">
        <v>2862</v>
      </c>
      <c r="I1651" s="139" t="s">
        <v>3016</v>
      </c>
      <c r="J1651" s="139" t="s">
        <v>3171</v>
      </c>
      <c r="K1651" s="51" t="s">
        <v>1246</v>
      </c>
      <c r="L1651" s="4">
        <v>43728</v>
      </c>
      <c r="M1651" s="140">
        <v>300</v>
      </c>
      <c r="P1651" s="4" t="s">
        <v>291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2758</v>
      </c>
      <c r="B1652" s="114" t="str">
        <f>VLOOKUP(A1652,'Data pick slip'!B:F,5,FALSE)</f>
        <v>KLJ-MC500-00</v>
      </c>
      <c r="F1652" s="157" t="s">
        <v>2862</v>
      </c>
      <c r="I1652" s="139" t="s">
        <v>3016</v>
      </c>
      <c r="J1652" s="139" t="s">
        <v>3171</v>
      </c>
      <c r="K1652" s="51" t="s">
        <v>1246</v>
      </c>
      <c r="L1652" s="4">
        <v>43728</v>
      </c>
      <c r="M1652" s="140">
        <v>5</v>
      </c>
      <c r="P1652" s="4" t="s">
        <v>291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2748</v>
      </c>
      <c r="B1653" s="114" t="str">
        <f>VLOOKUP(A1653,'Data pick slip'!B:F,5,FALSE)</f>
        <v>KHJ-MC400-00</v>
      </c>
      <c r="F1653" s="157" t="s">
        <v>2862</v>
      </c>
      <c r="I1653" s="139" t="s">
        <v>3016</v>
      </c>
      <c r="J1653" s="139" t="s">
        <v>3171</v>
      </c>
      <c r="K1653" s="51" t="s">
        <v>1246</v>
      </c>
      <c r="L1653" s="4">
        <v>43728</v>
      </c>
      <c r="M1653" s="140">
        <v>20</v>
      </c>
      <c r="P1653" s="4" t="s">
        <v>291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2744</v>
      </c>
      <c r="B1654" s="114" t="str">
        <f>VLOOKUP(A1654,'Data pick slip'!B:F,5,FALSE)</f>
        <v>KHJ-MC100-00</v>
      </c>
      <c r="F1654" s="157" t="s">
        <v>2773</v>
      </c>
      <c r="H1654" s="138">
        <v>432</v>
      </c>
      <c r="I1654" s="139" t="str">
        <f>VLOOKUP(H1654,Stock_list!A:R,18,FALSE)</f>
        <v>海川伟业</v>
      </c>
      <c r="J1654" s="139" t="str">
        <f>VLOOKUP(H1654,Stock_list!A:S,17,FALSE)</f>
        <v>C49SZX20190133MX</v>
      </c>
      <c r="K1654" s="51" t="str">
        <f>VLOOKUP(H1654,Stock_list!A:T,16,FALSE)</f>
        <v>RMB</v>
      </c>
      <c r="L1654" s="4">
        <v>43753</v>
      </c>
      <c r="M1654" s="132">
        <v>25</v>
      </c>
      <c r="P1654" s="4" t="str">
        <f>VLOOKUP(H1654,Stock_list!A:Y,25,FALSE)</f>
        <v>Yes</v>
      </c>
      <c r="Q1654" s="143"/>
      <c r="T1654" s="144"/>
      <c r="U1654" s="145" t="str">
        <f>VLOOKUP(H1654,Stock_list!A:N,14,FALSE)</f>
        <v>OCT 19</v>
      </c>
    </row>
    <row r="1655" spans="1:21" ht="16.5" customHeight="1">
      <c r="A1655" s="159" t="s">
        <v>2747</v>
      </c>
      <c r="B1655" s="114" t="str">
        <f>VLOOKUP(A1655,'Data pick slip'!B:F,5,FALSE)</f>
        <v>KHJ-MC200-00</v>
      </c>
      <c r="F1655" s="157" t="s">
        <v>2773</v>
      </c>
      <c r="H1655" s="138">
        <v>432</v>
      </c>
      <c r="I1655" s="139" t="str">
        <f>VLOOKUP(H1655,Stock_list!A:R,18,FALSE)</f>
        <v>海川伟业</v>
      </c>
      <c r="J1655" s="139" t="str">
        <f>VLOOKUP(H1655,Stock_list!A:S,17,FALSE)</f>
        <v>C49SZX20190133MX</v>
      </c>
      <c r="K1655" s="51" t="str">
        <f>VLOOKUP(H1655,Stock_list!A:T,16,FALSE)</f>
        <v>RMB</v>
      </c>
      <c r="L1655" s="4">
        <v>43753</v>
      </c>
      <c r="M1655" s="132">
        <v>10</v>
      </c>
      <c r="P1655" s="4" t="str">
        <f>VLOOKUP(H1655,Stock_list!A:Y,25,FALSE)</f>
        <v>Yes</v>
      </c>
      <c r="Q1655" s="143"/>
      <c r="T1655" s="144"/>
      <c r="U1655" s="145" t="str">
        <f>VLOOKUP(H1655,Stock_list!A:N,14,FALSE)</f>
        <v>OCT 19</v>
      </c>
    </row>
    <row r="1656" spans="1:21" ht="16.5" customHeight="1">
      <c r="A1656" s="159" t="s">
        <v>2744</v>
      </c>
      <c r="B1656" s="114" t="str">
        <f>VLOOKUP(A1656,'Data pick slip'!B:F,5,FALSE)</f>
        <v>KHJ-MC100-00</v>
      </c>
      <c r="F1656" s="157" t="s">
        <v>2773</v>
      </c>
      <c r="H1656" s="138">
        <v>434</v>
      </c>
      <c r="I1656" s="139" t="str">
        <f>VLOOKUP(H1656,Stock_list!A:R,18,FALSE)</f>
        <v>中润互联</v>
      </c>
      <c r="J1656" s="139" t="str">
        <f>VLOOKUP(H1656,Stock_list!A:S,17,FALSE)</f>
        <v>C49SZX20190140SS</v>
      </c>
      <c r="K1656" s="51" t="str">
        <f>VLOOKUP(H1656,Stock_list!A:T,16,FALSE)</f>
        <v>RMB</v>
      </c>
      <c r="L1656" s="4">
        <v>43759</v>
      </c>
      <c r="M1656" s="132">
        <v>2</v>
      </c>
      <c r="P1656" s="4" t="str">
        <f>VLOOKUP(H1656,Stock_list!A:Y,25,FALSE)</f>
        <v>Yes</v>
      </c>
      <c r="Q1656" s="143"/>
      <c r="T1656" s="144"/>
      <c r="U1656" s="145" t="str">
        <f>VLOOKUP(H1656,Stock_list!A:N,14,FALSE)</f>
        <v>OCT 19</v>
      </c>
    </row>
    <row r="1657" spans="1:21" ht="16.5" customHeight="1">
      <c r="A1657" s="159" t="s">
        <v>2744</v>
      </c>
      <c r="B1657" s="114" t="str">
        <f>VLOOKUP(A1657,'Data pick slip'!B:F,5,FALSE)</f>
        <v>KHJ-MC100-00</v>
      </c>
      <c r="F1657" s="157" t="s">
        <v>2862</v>
      </c>
      <c r="I1657" s="139" t="s">
        <v>3016</v>
      </c>
      <c r="J1657" s="139" t="s">
        <v>3172</v>
      </c>
      <c r="K1657" s="51" t="s">
        <v>1246</v>
      </c>
      <c r="L1657" s="4">
        <v>43735</v>
      </c>
      <c r="M1657" s="140">
        <v>315</v>
      </c>
      <c r="P1657" s="4" t="s">
        <v>291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2748</v>
      </c>
      <c r="B1658" s="114" t="str">
        <f>VLOOKUP(A1658,'Data pick slip'!B:F,5,FALSE)</f>
        <v>KHJ-MC400-00</v>
      </c>
      <c r="F1658" s="157" t="s">
        <v>2862</v>
      </c>
      <c r="I1658" s="139" t="s">
        <v>3016</v>
      </c>
      <c r="J1658" s="139" t="s">
        <v>3172</v>
      </c>
      <c r="K1658" s="51" t="s">
        <v>1246</v>
      </c>
      <c r="L1658" s="4">
        <v>43735</v>
      </c>
      <c r="M1658" s="140">
        <v>20</v>
      </c>
      <c r="P1658" s="4" t="s">
        <v>291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2744</v>
      </c>
      <c r="B1659" s="114" t="str">
        <f>VLOOKUP(A1659,'Data pick slip'!B:F,5,FALSE)</f>
        <v>KHJ-MC100-00</v>
      </c>
      <c r="F1659" s="157" t="s">
        <v>2862</v>
      </c>
      <c r="I1659" s="139" t="s">
        <v>3016</v>
      </c>
      <c r="J1659" s="139" t="s">
        <v>3173</v>
      </c>
      <c r="K1659" s="51" t="s">
        <v>1246</v>
      </c>
      <c r="L1659" s="4">
        <v>43737</v>
      </c>
      <c r="M1659" s="140">
        <v>140</v>
      </c>
      <c r="P1659" s="4" t="s">
        <v>291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2749</v>
      </c>
      <c r="B1660" s="114" t="str">
        <f>VLOOKUP(A1660,'Data pick slip'!B:F,5,FALSE)</f>
        <v>KHJ-MC500-00</v>
      </c>
      <c r="F1660" s="157" t="s">
        <v>2862</v>
      </c>
      <c r="I1660" s="139" t="s">
        <v>3016</v>
      </c>
      <c r="J1660" s="139" t="s">
        <v>3173</v>
      </c>
      <c r="K1660" s="51" t="s">
        <v>1246</v>
      </c>
      <c r="L1660" s="4">
        <v>43737</v>
      </c>
      <c r="M1660" s="140">
        <v>2</v>
      </c>
      <c r="P1660" s="4" t="s">
        <v>291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2744</v>
      </c>
      <c r="B1661" s="114" t="str">
        <f>VLOOKUP(A1661,'Data pick slip'!B:F,5,FALSE)</f>
        <v>KHJ-MC100-00</v>
      </c>
      <c r="F1661" s="157" t="s">
        <v>2773</v>
      </c>
      <c r="H1661" s="138">
        <v>435</v>
      </c>
      <c r="I1661" s="139" t="str">
        <f>VLOOKUP(H1661,Stock_list!A:R,18,FALSE)</f>
        <v>海龙智通</v>
      </c>
      <c r="J1661" s="139" t="str">
        <f>VLOOKUP(H1661,Stock_list!A:S,17,FALSE)</f>
        <v>C49SZX20190142KW</v>
      </c>
      <c r="K1661" s="51" t="str">
        <f>VLOOKUP(H1661,Stock_list!A:T,16,FALSE)</f>
        <v>RMB</v>
      </c>
      <c r="L1661" s="4">
        <v>43776</v>
      </c>
      <c r="M1661" s="132">
        <v>60</v>
      </c>
      <c r="P1661" s="4" t="str">
        <f>VLOOKUP(H1661,Stock_list!A:Y,25,FALSE)</f>
        <v>Yes</v>
      </c>
      <c r="Q1661" s="143"/>
      <c r="T1661" s="144"/>
      <c r="U1661" s="145" t="str">
        <f>VLOOKUP(H1661,Stock_list!A:N,14,FALSE)</f>
        <v>NOV 19</v>
      </c>
    </row>
    <row r="1662" spans="1:21" ht="16.5" customHeight="1">
      <c r="A1662" s="159" t="s">
        <v>2747</v>
      </c>
      <c r="B1662" s="114" t="str">
        <f>VLOOKUP(A1662,'Data pick slip'!B:F,5,FALSE)</f>
        <v>KHJ-MC200-00</v>
      </c>
      <c r="F1662" s="157" t="s">
        <v>2773</v>
      </c>
      <c r="H1662" s="138">
        <v>435</v>
      </c>
      <c r="I1662" s="139" t="str">
        <f>VLOOKUP(H1662,Stock_list!A:R,18,FALSE)</f>
        <v>海龙智通</v>
      </c>
      <c r="J1662" s="139" t="str">
        <f>VLOOKUP(H1662,Stock_list!A:S,17,FALSE)</f>
        <v>C49SZX20190142KW</v>
      </c>
      <c r="K1662" s="51" t="str">
        <f>VLOOKUP(H1662,Stock_list!A:T,16,FALSE)</f>
        <v>RMB</v>
      </c>
      <c r="L1662" s="4">
        <v>43776</v>
      </c>
      <c r="M1662" s="132">
        <v>4</v>
      </c>
      <c r="P1662" s="4" t="str">
        <f>VLOOKUP(H1662,Stock_list!A:Y,25,FALSE)</f>
        <v>Yes</v>
      </c>
      <c r="Q1662" s="143"/>
      <c r="T1662" s="144"/>
      <c r="U1662" s="145" t="str">
        <f>VLOOKUP(H1662,Stock_list!A:N,14,FALSE)</f>
        <v>NOV 19</v>
      </c>
    </row>
    <row r="1663" spans="1:21" ht="16.5" customHeight="1">
      <c r="A1663" s="159" t="s">
        <v>2748</v>
      </c>
      <c r="B1663" s="114" t="str">
        <f>VLOOKUP(A1663,'Data pick slip'!B:F,5,FALSE)</f>
        <v>KHJ-MC400-00</v>
      </c>
      <c r="F1663" s="157" t="s">
        <v>2773</v>
      </c>
      <c r="H1663" s="138">
        <v>435</v>
      </c>
      <c r="I1663" s="139" t="str">
        <f>VLOOKUP(H1663,Stock_list!A:R,18,FALSE)</f>
        <v>海龙智通</v>
      </c>
      <c r="J1663" s="139" t="str">
        <f>VLOOKUP(H1663,Stock_list!A:S,17,FALSE)</f>
        <v>C49SZX20190142KW</v>
      </c>
      <c r="K1663" s="51" t="str">
        <f>VLOOKUP(H1663,Stock_list!A:T,16,FALSE)</f>
        <v>RMB</v>
      </c>
      <c r="L1663" s="4">
        <v>43776</v>
      </c>
      <c r="M1663" s="132">
        <v>2</v>
      </c>
      <c r="P1663" s="4" t="str">
        <f>VLOOKUP(H1663,Stock_list!A:Y,25,FALSE)</f>
        <v>Yes</v>
      </c>
      <c r="Q1663" s="143"/>
      <c r="T1663" s="144"/>
      <c r="U1663" s="145" t="str">
        <f>VLOOKUP(H1663,Stock_list!A:N,14,FALSE)</f>
        <v>NOV 19</v>
      </c>
    </row>
    <row r="1664" spans="1:21" ht="16.5" customHeight="1">
      <c r="A1664" s="159" t="s">
        <v>2744</v>
      </c>
      <c r="B1664" s="114" t="str">
        <f>VLOOKUP(A1664,'Data pick slip'!B:F,5,FALSE)</f>
        <v>KHJ-MC100-00</v>
      </c>
      <c r="F1664" s="157" t="s">
        <v>2773</v>
      </c>
      <c r="I1664" s="139" t="s">
        <v>3140</v>
      </c>
      <c r="J1664" s="139" t="s">
        <v>3174</v>
      </c>
      <c r="K1664" s="51" t="s">
        <v>1246</v>
      </c>
      <c r="L1664" s="4">
        <v>43746</v>
      </c>
      <c r="M1664" s="132">
        <v>5</v>
      </c>
      <c r="P1664" s="4" t="s">
        <v>291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2747</v>
      </c>
      <c r="B1665" s="114" t="str">
        <f>VLOOKUP(A1665,'Data pick slip'!B:F,5,FALSE)</f>
        <v>KHJ-MC200-00</v>
      </c>
      <c r="F1665" s="157" t="s">
        <v>2773</v>
      </c>
      <c r="I1665" s="139" t="s">
        <v>3140</v>
      </c>
      <c r="J1665" s="139" t="s">
        <v>3174</v>
      </c>
      <c r="K1665" s="51" t="s">
        <v>1246</v>
      </c>
      <c r="L1665" s="4">
        <v>43746</v>
      </c>
      <c r="M1665" s="132">
        <v>3</v>
      </c>
      <c r="P1665" s="4" t="s">
        <v>291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2744</v>
      </c>
      <c r="B1666" s="114" t="str">
        <f>VLOOKUP(A1666,'Data pick slip'!B:F,5,FALSE)</f>
        <v>KHJ-MC100-00</v>
      </c>
      <c r="F1666" s="157" t="s">
        <v>2773</v>
      </c>
      <c r="H1666" s="138">
        <v>385</v>
      </c>
      <c r="I1666" s="139" t="str">
        <f>VLOOKUP(H1666,Stock_list!A:R,18,FALSE)</f>
        <v>鼎鸿</v>
      </c>
      <c r="J1666" s="139" t="str">
        <f>VLOOKUP(H1666,Stock_list!A:S,17,FALSE)</f>
        <v>C49SZX20190118R1SS</v>
      </c>
      <c r="K1666" s="51" t="str">
        <f>VLOOKUP(H1666,Stock_list!A:T,16,FALSE)</f>
        <v>RMB</v>
      </c>
      <c r="L1666" s="4">
        <v>43735</v>
      </c>
      <c r="M1666" s="140">
        <v>20</v>
      </c>
      <c r="P1666" s="4" t="str">
        <f>VLOOKUP(H1666,Stock_list!A:Y,25,FALSE)</f>
        <v>Yes</v>
      </c>
      <c r="Q1666" s="143"/>
      <c r="T1666" s="144"/>
      <c r="U1666" s="145" t="str">
        <f>VLOOKUP(H1666,Stock_list!A:N,14,FALSE)</f>
        <v>AUG 19</v>
      </c>
    </row>
    <row r="1667" spans="1:21" ht="16.5" customHeight="1">
      <c r="A1667" s="159" t="s">
        <v>2744</v>
      </c>
      <c r="B1667" s="114" t="str">
        <f>VLOOKUP(A1667,'Data pick slip'!B:F,5,FALSE)</f>
        <v>KHJ-MC100-00</v>
      </c>
      <c r="F1667" s="157" t="s">
        <v>2773</v>
      </c>
      <c r="H1667" s="138">
        <v>385</v>
      </c>
      <c r="I1667" s="139" t="str">
        <f>VLOOKUP(H1667,Stock_list!A:R,18,FALSE)</f>
        <v>鼎鸿</v>
      </c>
      <c r="J1667" s="139" t="str">
        <f>VLOOKUP(H1667,Stock_list!A:S,17,FALSE)</f>
        <v>C49SZX20190118R1SS</v>
      </c>
      <c r="K1667" s="51" t="str">
        <f>VLOOKUP(H1667,Stock_list!A:T,16,FALSE)</f>
        <v>RMB</v>
      </c>
      <c r="L1667" s="4">
        <v>43781</v>
      </c>
      <c r="M1667" s="140">
        <v>10</v>
      </c>
      <c r="P1667" s="4" t="str">
        <f>VLOOKUP(H1667,Stock_list!A:Y,25,FALSE)</f>
        <v>Yes</v>
      </c>
      <c r="Q1667" s="143"/>
      <c r="T1667" s="144"/>
      <c r="U1667" s="145" t="str">
        <f>VLOOKUP(H1667,Stock_list!A:N,14,FALSE)</f>
        <v>AUG 19</v>
      </c>
    </row>
    <row r="1668" spans="1:21" ht="16.5" customHeight="1">
      <c r="A1668" s="159" t="s">
        <v>2749</v>
      </c>
      <c r="B1668" s="114" t="str">
        <f>VLOOKUP(A1668,'Data pick slip'!B:F,5,FALSE)</f>
        <v>KHJ-MC500-00</v>
      </c>
      <c r="F1668" s="157" t="s">
        <v>2773</v>
      </c>
      <c r="I1668" s="139" t="s">
        <v>3094</v>
      </c>
      <c r="J1668" s="139" t="s">
        <v>3175</v>
      </c>
      <c r="K1668" s="51" t="s">
        <v>1246</v>
      </c>
      <c r="L1668" s="4">
        <v>43735</v>
      </c>
      <c r="M1668" s="140">
        <v>1</v>
      </c>
      <c r="P1668" s="4" t="s">
        <v>291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2744</v>
      </c>
      <c r="B1669" s="114" t="str">
        <f>VLOOKUP(A1669,'Data pick slip'!B:F,5,FALSE)</f>
        <v>KHJ-MC100-00</v>
      </c>
      <c r="F1669" s="157" t="s">
        <v>2773</v>
      </c>
      <c r="H1669" s="138">
        <v>436</v>
      </c>
      <c r="I1669" s="139" t="str">
        <f>VLOOKUP(H1669,Stock_list!A:R,18,FALSE)</f>
        <v>太美亚</v>
      </c>
      <c r="J1669" s="139" t="str">
        <f>VLOOKUP(H1669,Stock_list!A:S,17,FALSE)</f>
        <v>C49SZX20190139SX</v>
      </c>
      <c r="K1669" s="51" t="str">
        <f>VLOOKUP(H1669,Stock_list!A:T,16,FALSE)</f>
        <v>RMB</v>
      </c>
      <c r="L1669" s="4">
        <v>43748</v>
      </c>
      <c r="M1669" s="132">
        <v>130</v>
      </c>
      <c r="P1669" s="4" t="str">
        <f>VLOOKUP(H1669,Stock_list!A:Y,25,FALSE)</f>
        <v>Yes</v>
      </c>
      <c r="Q1669" s="133"/>
      <c r="T1669" s="144"/>
      <c r="U1669" s="145" t="str">
        <f>VLOOKUP(H1669,Stock_list!A:N,14,FALSE)</f>
        <v>OCT 19</v>
      </c>
    </row>
    <row r="1670" spans="1:21" ht="16.5" customHeight="1">
      <c r="A1670" s="159" t="s">
        <v>2747</v>
      </c>
      <c r="B1670" s="114" t="str">
        <f>VLOOKUP(A1670,'Data pick slip'!B:F,5,FALSE)</f>
        <v>KHJ-MC200-00</v>
      </c>
      <c r="F1670" s="157" t="s">
        <v>2773</v>
      </c>
      <c r="H1670" s="138">
        <v>436</v>
      </c>
      <c r="I1670" s="139" t="str">
        <f>VLOOKUP(H1670,Stock_list!A:R,18,FALSE)</f>
        <v>太美亚</v>
      </c>
      <c r="J1670" s="139" t="str">
        <f>VLOOKUP(H1670,Stock_list!A:S,17,FALSE)</f>
        <v>C49SZX20190139SX</v>
      </c>
      <c r="K1670" s="51" t="str">
        <f>VLOOKUP(H1670,Stock_list!A:T,16,FALSE)</f>
        <v>RMB</v>
      </c>
      <c r="L1670" s="4">
        <v>43748</v>
      </c>
      <c r="M1670" s="132">
        <v>30</v>
      </c>
      <c r="P1670" s="4" t="str">
        <f>VLOOKUP(H1670,Stock_list!A:Y,25,FALSE)</f>
        <v>Yes</v>
      </c>
      <c r="Q1670" s="133"/>
      <c r="T1670" s="144"/>
      <c r="U1670" s="145" t="str">
        <f>VLOOKUP(H1670,Stock_list!A:N,14,FALSE)</f>
        <v>OCT 19</v>
      </c>
    </row>
    <row r="1671" spans="1:21" ht="16.5" customHeight="1">
      <c r="A1671" s="159" t="s">
        <v>2748</v>
      </c>
      <c r="B1671" s="114" t="str">
        <f>VLOOKUP(A1671,'Data pick slip'!B:F,5,FALSE)</f>
        <v>KHJ-MC400-00</v>
      </c>
      <c r="F1671" s="157" t="s">
        <v>2773</v>
      </c>
      <c r="H1671" s="138">
        <v>436</v>
      </c>
      <c r="I1671" s="139" t="str">
        <f>VLOOKUP(H1671,Stock_list!A:R,18,FALSE)</f>
        <v>太美亚</v>
      </c>
      <c r="J1671" s="139" t="str">
        <f>VLOOKUP(H1671,Stock_list!A:S,17,FALSE)</f>
        <v>C49SZX20190139SX</v>
      </c>
      <c r="K1671" s="51" t="str">
        <f>VLOOKUP(H1671,Stock_list!A:T,16,FALSE)</f>
        <v>RMB</v>
      </c>
      <c r="L1671" s="4">
        <v>43748</v>
      </c>
      <c r="M1671" s="132">
        <v>10</v>
      </c>
      <c r="P1671" s="4" t="str">
        <f>VLOOKUP(H1671,Stock_list!A:Y,25,FALSE)</f>
        <v>Yes</v>
      </c>
      <c r="Q1671" s="133"/>
      <c r="T1671" s="144"/>
      <c r="U1671" s="145" t="str">
        <f>VLOOKUP(H1671,Stock_list!A:N,14,FALSE)</f>
        <v>OCT 19</v>
      </c>
    </row>
    <row r="1672" spans="1:21" ht="16.5" customHeight="1">
      <c r="A1672" s="159" t="s">
        <v>2749</v>
      </c>
      <c r="B1672" s="114" t="str">
        <f>VLOOKUP(A1672,'Data pick slip'!B:F,5,FALSE)</f>
        <v>KHJ-MC500-00</v>
      </c>
      <c r="F1672" s="157" t="s">
        <v>2773</v>
      </c>
      <c r="H1672" s="138">
        <v>436</v>
      </c>
      <c r="I1672" s="139" t="str">
        <f>VLOOKUP(H1672,Stock_list!A:R,18,FALSE)</f>
        <v>太美亚</v>
      </c>
      <c r="J1672" s="139" t="str">
        <f>VLOOKUP(H1672,Stock_list!A:S,17,FALSE)</f>
        <v>C49SZX20190139SX</v>
      </c>
      <c r="K1672" s="51" t="str">
        <f>VLOOKUP(H1672,Stock_list!A:T,16,FALSE)</f>
        <v>RMB</v>
      </c>
      <c r="L1672" s="4">
        <v>43748</v>
      </c>
      <c r="M1672" s="132">
        <v>5</v>
      </c>
      <c r="P1672" s="4" t="str">
        <f>VLOOKUP(H1672,Stock_list!A:Y,25,FALSE)</f>
        <v>Yes</v>
      </c>
      <c r="Q1672" s="133"/>
      <c r="T1672" s="144"/>
      <c r="U1672" s="145" t="str">
        <f>VLOOKUP(H1672,Stock_list!A:N,14,FALSE)</f>
        <v>OCT 19</v>
      </c>
    </row>
    <row r="1673" spans="1:21" ht="16.5" customHeight="1">
      <c r="A1673" s="159" t="s">
        <v>2744</v>
      </c>
      <c r="B1673" s="114" t="str">
        <f>VLOOKUP(A1673,'Data pick slip'!B:F,5,FALSE)</f>
        <v>KHJ-MC100-00</v>
      </c>
      <c r="F1673" s="157" t="s">
        <v>2773</v>
      </c>
      <c r="I1673" s="139" t="s">
        <v>3094</v>
      </c>
      <c r="J1673" s="139" t="s">
        <v>3176</v>
      </c>
      <c r="K1673" s="51" t="s">
        <v>1246</v>
      </c>
      <c r="L1673" s="4">
        <v>43714</v>
      </c>
      <c r="M1673" s="140">
        <v>6</v>
      </c>
      <c r="P1673" s="4" t="s">
        <v>291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2744</v>
      </c>
      <c r="B1674" s="114" t="str">
        <f>VLOOKUP(A1674,'Data pick slip'!B:F,5,FALSE)</f>
        <v>KHJ-MC100-00</v>
      </c>
      <c r="F1674" s="157" t="s">
        <v>2773</v>
      </c>
      <c r="I1674" s="139" t="s">
        <v>3094</v>
      </c>
      <c r="J1674" s="139" t="s">
        <v>3177</v>
      </c>
      <c r="K1674" s="51" t="s">
        <v>1246</v>
      </c>
      <c r="L1674" s="4">
        <v>43738</v>
      </c>
      <c r="M1674" s="140">
        <v>7</v>
      </c>
      <c r="P1674" s="4" t="s">
        <v>291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2748</v>
      </c>
      <c r="B1675" s="114" t="str">
        <f>VLOOKUP(A1675,'Data pick slip'!B:F,5,FALSE)</f>
        <v>KHJ-MC400-00</v>
      </c>
      <c r="F1675" s="157" t="s">
        <v>2773</v>
      </c>
      <c r="I1675" s="139" t="s">
        <v>3094</v>
      </c>
      <c r="J1675" s="139" t="s">
        <v>3177</v>
      </c>
      <c r="K1675" s="51" t="s">
        <v>1246</v>
      </c>
      <c r="L1675" s="4">
        <v>43738</v>
      </c>
      <c r="M1675" s="140">
        <v>2</v>
      </c>
      <c r="P1675" s="4" t="s">
        <v>291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2748</v>
      </c>
      <c r="B1676" s="114" t="str">
        <f>VLOOKUP(A1676,'Data pick slip'!B:F,5,FALSE)</f>
        <v>KHJ-MC400-00</v>
      </c>
      <c r="F1676" s="157" t="s">
        <v>2773</v>
      </c>
      <c r="I1676" s="139" t="s">
        <v>3094</v>
      </c>
      <c r="J1676" s="139" t="s">
        <v>3178</v>
      </c>
      <c r="K1676" s="51" t="s">
        <v>1246</v>
      </c>
      <c r="L1676" s="4">
        <v>43747</v>
      </c>
      <c r="M1676" s="140">
        <v>2</v>
      </c>
      <c r="P1676" s="4" t="s">
        <v>291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2744</v>
      </c>
      <c r="B1677" s="114" t="str">
        <f>VLOOKUP(A1677,'Data pick slip'!B:F,5,FALSE)</f>
        <v>KHJ-MC100-00</v>
      </c>
      <c r="F1677" s="157" t="s">
        <v>2862</v>
      </c>
      <c r="H1677" s="138">
        <v>438</v>
      </c>
      <c r="I1677" s="139" t="str">
        <f>VLOOKUP(H1677,Stock_list!A:R,18,FALSE)</f>
        <v>Bittele 比泰利</v>
      </c>
      <c r="J1677" s="139" t="str">
        <f>VLOOKUP(H1677,Stock_list!A:S,17,FALSE)</f>
        <v>C49SZX20190138ZX</v>
      </c>
      <c r="K1677" s="51" t="str">
        <f>VLOOKUP(H1677,Stock_list!A:T,16,FALSE)</f>
        <v>USD</v>
      </c>
      <c r="L1677" s="4">
        <v>43790</v>
      </c>
      <c r="M1677" s="132">
        <v>150</v>
      </c>
      <c r="P1677" s="4" t="str">
        <f>VLOOKUP(H1677,Stock_list!A:Y,25,FALSE)</f>
        <v>Yes</v>
      </c>
      <c r="Q1677" s="143"/>
      <c r="T1677" s="144"/>
      <c r="U1677" s="145" t="str">
        <f>VLOOKUP(H1677,Stock_list!A:N,14,FALSE)</f>
        <v>NOV 19</v>
      </c>
    </row>
    <row r="1678" spans="1:21" ht="16.5" customHeight="1">
      <c r="A1678" s="159" t="s">
        <v>2747</v>
      </c>
      <c r="B1678" s="114" t="str">
        <f>VLOOKUP(A1678,'Data pick slip'!B:F,5,FALSE)</f>
        <v>KHJ-MC200-00</v>
      </c>
      <c r="F1678" s="157" t="s">
        <v>2862</v>
      </c>
      <c r="H1678" s="138">
        <v>438</v>
      </c>
      <c r="I1678" s="139" t="str">
        <f>VLOOKUP(H1678,Stock_list!A:R,18,FALSE)</f>
        <v>Bittele 比泰利</v>
      </c>
      <c r="J1678" s="139" t="str">
        <f>VLOOKUP(H1678,Stock_list!A:S,17,FALSE)</f>
        <v>C49SZX20190138ZX</v>
      </c>
      <c r="K1678" s="51" t="str">
        <f>VLOOKUP(H1678,Stock_list!A:T,16,FALSE)</f>
        <v>USD</v>
      </c>
      <c r="L1678" s="4">
        <v>43790</v>
      </c>
      <c r="M1678" s="132">
        <v>60</v>
      </c>
      <c r="P1678" s="4" t="str">
        <f>VLOOKUP(H1678,Stock_list!A:Y,25,FALSE)</f>
        <v>Yes</v>
      </c>
      <c r="Q1678" s="143"/>
      <c r="T1678" s="144"/>
      <c r="U1678" s="145" t="str">
        <f>VLOOKUP(H1678,Stock_list!A:N,14,FALSE)</f>
        <v>NOV 19</v>
      </c>
    </row>
    <row r="1679" spans="1:21" ht="16.5" customHeight="1">
      <c r="A1679" s="159" t="s">
        <v>2748</v>
      </c>
      <c r="B1679" s="114" t="str">
        <f>VLOOKUP(A1679,'Data pick slip'!B:F,5,FALSE)</f>
        <v>KHJ-MC400-00</v>
      </c>
      <c r="F1679" s="157" t="s">
        <v>2862</v>
      </c>
      <c r="H1679" s="138">
        <v>438</v>
      </c>
      <c r="I1679" s="139" t="str">
        <f>VLOOKUP(H1679,Stock_list!A:R,18,FALSE)</f>
        <v>Bittele 比泰利</v>
      </c>
      <c r="J1679" s="139" t="str">
        <f>VLOOKUP(H1679,Stock_list!A:S,17,FALSE)</f>
        <v>C49SZX20190138ZX</v>
      </c>
      <c r="K1679" s="51" t="str">
        <f>VLOOKUP(H1679,Stock_list!A:T,16,FALSE)</f>
        <v>USD</v>
      </c>
      <c r="L1679" s="4">
        <v>43790</v>
      </c>
      <c r="M1679" s="132">
        <v>12</v>
      </c>
      <c r="P1679" s="4" t="str">
        <f>VLOOKUP(H1679,Stock_list!A:Y,25,FALSE)</f>
        <v>Yes</v>
      </c>
      <c r="Q1679" s="143"/>
      <c r="T1679" s="144"/>
      <c r="U1679" s="145" t="str">
        <f>VLOOKUP(H1679,Stock_list!A:N,14,FALSE)</f>
        <v>NOV 19</v>
      </c>
    </row>
    <row r="1680" spans="1:21" ht="16.5" customHeight="1">
      <c r="A1680" s="159" t="s">
        <v>2749</v>
      </c>
      <c r="B1680" s="114" t="str">
        <f>VLOOKUP(A1680,'Data pick slip'!B:F,5,FALSE)</f>
        <v>KHJ-MC500-00</v>
      </c>
      <c r="F1680" s="157" t="s">
        <v>2862</v>
      </c>
      <c r="H1680" s="138">
        <v>438</v>
      </c>
      <c r="I1680" s="139" t="str">
        <f>VLOOKUP(H1680,Stock_list!A:R,18,FALSE)</f>
        <v>Bittele 比泰利</v>
      </c>
      <c r="J1680" s="139" t="str">
        <f>VLOOKUP(H1680,Stock_list!A:S,17,FALSE)</f>
        <v>C49SZX20190138ZX</v>
      </c>
      <c r="K1680" s="51" t="str">
        <f>VLOOKUP(H1680,Stock_list!A:T,16,FALSE)</f>
        <v>USD</v>
      </c>
      <c r="L1680" s="4">
        <v>43790</v>
      </c>
      <c r="M1680" s="132">
        <v>2</v>
      </c>
      <c r="P1680" s="4" t="str">
        <f>VLOOKUP(H1680,Stock_list!A:Y,25,FALSE)</f>
        <v>Yes</v>
      </c>
      <c r="Q1680" s="143"/>
      <c r="T1680" s="144"/>
      <c r="U1680" s="145" t="str">
        <f>VLOOKUP(H1680,Stock_list!A:N,14,FALSE)</f>
        <v>NOV 19</v>
      </c>
    </row>
    <row r="1681" spans="1:21" ht="16.5" customHeight="1">
      <c r="A1681" s="159" t="s">
        <v>2814</v>
      </c>
      <c r="B1681" s="114" t="str">
        <f>VLOOKUP(A1681,'Data pick slip'!B:F,5,FALSE)</f>
        <v>KHJ-MC600-00</v>
      </c>
      <c r="F1681" s="157" t="s">
        <v>2773</v>
      </c>
      <c r="H1681" s="138">
        <v>438</v>
      </c>
      <c r="I1681" s="139" t="str">
        <f>VLOOKUP(H1681,Stock_list!A:R,18,FALSE)</f>
        <v>Bittele 比泰利</v>
      </c>
      <c r="J1681" s="139" t="str">
        <f>VLOOKUP(H1681,Stock_list!A:S,17,FALSE)</f>
        <v>C49SZX20190138ZX</v>
      </c>
      <c r="K1681" s="51" t="str">
        <f>VLOOKUP(H1681,Stock_list!A:T,16,FALSE)</f>
        <v>USD</v>
      </c>
      <c r="L1681" s="4">
        <v>43790</v>
      </c>
      <c r="M1681" s="132">
        <v>1</v>
      </c>
      <c r="P1681" s="4" t="str">
        <f>VLOOKUP(H1681,Stock_list!A:Y,25,FALSE)</f>
        <v>Yes</v>
      </c>
      <c r="Q1681" s="143"/>
      <c r="S1681" s="123" t="s">
        <v>3004</v>
      </c>
      <c r="T1681" s="205" t="s">
        <v>3179</v>
      </c>
      <c r="U1681" s="145" t="str">
        <f>VLOOKUP(H1681,Stock_list!A:N,14,FALSE)</f>
        <v>NOV 19</v>
      </c>
    </row>
    <row r="1682" spans="1:21" ht="16.5" customHeight="1">
      <c r="A1682" s="159" t="s">
        <v>2751</v>
      </c>
      <c r="B1682" s="114" t="str">
        <f>VLOOKUP(A1682,'Data pick slip'!B:F,5,FALSE)</f>
        <v>KHJ-MC700-00</v>
      </c>
      <c r="F1682" s="157" t="s">
        <v>2862</v>
      </c>
      <c r="H1682" s="138">
        <v>438</v>
      </c>
      <c r="I1682" s="139" t="str">
        <f>VLOOKUP(H1682,Stock_list!A:R,18,FALSE)</f>
        <v>Bittele 比泰利</v>
      </c>
      <c r="J1682" s="139" t="str">
        <f>VLOOKUP(H1682,Stock_list!A:S,17,FALSE)</f>
        <v>C49SZX20190138ZX</v>
      </c>
      <c r="K1682" s="51" t="str">
        <f>VLOOKUP(H1682,Stock_list!A:T,16,FALSE)</f>
        <v>USD</v>
      </c>
      <c r="L1682" s="4">
        <v>43790</v>
      </c>
      <c r="M1682" s="132">
        <v>1</v>
      </c>
      <c r="P1682" s="4" t="str">
        <f>VLOOKUP(H1682,Stock_list!A:Y,25,FALSE)</f>
        <v>Yes</v>
      </c>
      <c r="Q1682" s="143"/>
      <c r="T1682" s="144"/>
      <c r="U1682" s="145" t="str">
        <f>VLOOKUP(H1682,Stock_list!A:N,14,FALSE)</f>
        <v>NOV 19</v>
      </c>
    </row>
    <row r="1683" spans="1:21" ht="16.5" customHeight="1">
      <c r="A1683" s="159" t="s">
        <v>2744</v>
      </c>
      <c r="B1683" s="114" t="str">
        <f>VLOOKUP(A1683,'Data pick slip'!B:F,5,FALSE)</f>
        <v>KHJ-MC100-00</v>
      </c>
      <c r="F1683" s="157" t="s">
        <v>2773</v>
      </c>
      <c r="H1683" s="138">
        <v>440</v>
      </c>
      <c r="I1683" s="139" t="str">
        <f>VLOOKUP(H1683,Stock_list!A:R,18,FALSE)</f>
        <v>GCL 耕创</v>
      </c>
      <c r="J1683" s="139" t="str">
        <f>VLOOKUP(H1683,Stock_list!A:S,17,FALSE)</f>
        <v>C49SZX20190145DZ</v>
      </c>
      <c r="K1683" s="51" t="str">
        <f>VLOOKUP(H1683,Stock_list!A:T,16,FALSE)</f>
        <v>RMB</v>
      </c>
      <c r="L1683" s="4">
        <v>43773</v>
      </c>
      <c r="M1683" s="132">
        <v>45</v>
      </c>
      <c r="P1683" s="4" t="str">
        <f>VLOOKUP(H1683,Stock_list!A:Y,25,FALSE)</f>
        <v>Yes</v>
      </c>
      <c r="Q1683" s="143"/>
      <c r="T1683" s="144"/>
      <c r="U1683" s="145" t="str">
        <f>VLOOKUP(H1683,Stock_list!A:N,14,FALSE)</f>
        <v>NOV 19</v>
      </c>
    </row>
    <row r="1684" spans="1:21" ht="16.5" customHeight="1">
      <c r="A1684" s="159" t="s">
        <v>2747</v>
      </c>
      <c r="B1684" s="114" t="str">
        <f>VLOOKUP(A1684,'Data pick slip'!B:F,5,FALSE)</f>
        <v>KHJ-MC200-00</v>
      </c>
      <c r="F1684" s="157" t="s">
        <v>2773</v>
      </c>
      <c r="I1684" s="139" t="s">
        <v>3094</v>
      </c>
      <c r="J1684" s="139" t="s">
        <v>3180</v>
      </c>
      <c r="K1684" s="51" t="s">
        <v>1246</v>
      </c>
      <c r="L1684" s="4">
        <v>43755</v>
      </c>
      <c r="M1684" s="132">
        <v>3</v>
      </c>
      <c r="P1684" s="4" t="s">
        <v>291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2744</v>
      </c>
      <c r="B1685" s="114" t="str">
        <f>VLOOKUP(A1685,'Data pick slip'!B:F,5,FALSE)</f>
        <v>KHJ-MC100-00</v>
      </c>
      <c r="F1685" s="157" t="s">
        <v>2862</v>
      </c>
      <c r="H1685" s="138">
        <v>454</v>
      </c>
      <c r="I1685" s="139" t="str">
        <f>VLOOKUP(H1685,Stock_list!A:R,18,FALSE)</f>
        <v>利速达</v>
      </c>
      <c r="J1685" s="139" t="str">
        <f>VLOOKUP(H1685,Stock_list!A:S,17,FALSE)</f>
        <v>C49SZX20190143SX</v>
      </c>
      <c r="K1685" s="51" t="str">
        <f>VLOOKUP(H1685,Stock_list!A:T,16,FALSE)</f>
        <v>JPY</v>
      </c>
      <c r="L1685" s="4">
        <v>43762</v>
      </c>
      <c r="M1685" s="132">
        <v>40</v>
      </c>
      <c r="P1685" s="4" t="str">
        <f>VLOOKUP(H1685,Stock_list!A:Y,25,FALSE)</f>
        <v>Yes</v>
      </c>
      <c r="Q1685" s="146"/>
      <c r="T1685" s="144"/>
      <c r="U1685" s="145" t="str">
        <f>VLOOKUP(H1685,Stock_list!A:N,14,FALSE)</f>
        <v>OCT 19</v>
      </c>
    </row>
    <row r="1686" spans="1:21" ht="16.5" customHeight="1">
      <c r="A1686" s="159" t="s">
        <v>2747</v>
      </c>
      <c r="B1686" s="114" t="str">
        <f>VLOOKUP(A1686,'Data pick slip'!B:F,5,FALSE)</f>
        <v>KHJ-MC200-00</v>
      </c>
      <c r="F1686" s="157" t="s">
        <v>2773</v>
      </c>
      <c r="H1686" s="138">
        <v>454</v>
      </c>
      <c r="I1686" s="139" t="str">
        <f>VLOOKUP(H1686,Stock_list!A:R,18,FALSE)</f>
        <v>利速达</v>
      </c>
      <c r="J1686" s="139" t="str">
        <f>VLOOKUP(H1686,Stock_list!A:S,17,FALSE)</f>
        <v>C49SZX20190143SX</v>
      </c>
      <c r="K1686" s="51" t="str">
        <f>VLOOKUP(H1686,Stock_list!A:T,16,FALSE)</f>
        <v>JPY</v>
      </c>
      <c r="L1686" s="4">
        <v>43762</v>
      </c>
      <c r="M1686" s="132">
        <v>2</v>
      </c>
      <c r="P1686" s="4" t="str">
        <f>VLOOKUP(H1686,Stock_list!A:Y,25,FALSE)</f>
        <v>Yes</v>
      </c>
      <c r="Q1686" s="146"/>
      <c r="S1686" s="123" t="s">
        <v>3004</v>
      </c>
      <c r="T1686" s="205" t="s">
        <v>3065</v>
      </c>
      <c r="U1686" s="145" t="str">
        <f>VLOOKUP(H1686,Stock_list!A:N,14,FALSE)</f>
        <v>OCT 19</v>
      </c>
    </row>
    <row r="1687" spans="1:21" ht="16.5" customHeight="1">
      <c r="A1687" s="159" t="s">
        <v>2744</v>
      </c>
      <c r="B1687" s="114" t="str">
        <f>VLOOKUP(A1687,'Data pick slip'!B:F,5,FALSE)</f>
        <v>KHJ-MC100-00</v>
      </c>
      <c r="F1687" s="157" t="s">
        <v>2773</v>
      </c>
      <c r="H1687" s="138">
        <v>456</v>
      </c>
      <c r="I1687" s="139" t="str">
        <f>VLOOKUP(H1687,Stock_list!A:R,18,FALSE)</f>
        <v>悦之彩</v>
      </c>
      <c r="J1687" s="139" t="str">
        <f>VLOOKUP(H1687,Stock_list!A:S,17,FALSE)</f>
        <v>C49SZX20190148SX</v>
      </c>
      <c r="K1687" s="51" t="str">
        <f>VLOOKUP(H1687,Stock_list!A:T,16,FALSE)</f>
        <v>RMB</v>
      </c>
      <c r="L1687" s="4">
        <v>43776</v>
      </c>
      <c r="M1687" s="132">
        <v>30</v>
      </c>
      <c r="P1687" s="4" t="str">
        <f>VLOOKUP(H1687,Stock_list!A:Y,25,FALSE)</f>
        <v>Yes</v>
      </c>
      <c r="Q1687" s="143"/>
      <c r="T1687" s="144"/>
      <c r="U1687" s="145" t="str">
        <f>VLOOKUP(H1687,Stock_list!A:N,14,FALSE)</f>
        <v>NOV 19</v>
      </c>
    </row>
    <row r="1688" spans="1:21" ht="16.5" customHeight="1">
      <c r="A1688" s="159" t="s">
        <v>2747</v>
      </c>
      <c r="B1688" s="114" t="str">
        <f>VLOOKUP(A1688,'Data pick slip'!B:F,5,FALSE)</f>
        <v>KHJ-MC200-00</v>
      </c>
      <c r="F1688" s="157" t="s">
        <v>2773</v>
      </c>
      <c r="H1688" s="138">
        <v>456</v>
      </c>
      <c r="I1688" s="139" t="str">
        <f>VLOOKUP(H1688,Stock_list!A:R,18,FALSE)</f>
        <v>悦之彩</v>
      </c>
      <c r="J1688" s="139" t="str">
        <f>VLOOKUP(H1688,Stock_list!A:S,17,FALSE)</f>
        <v>C49SZX20190148SX</v>
      </c>
      <c r="K1688" s="51" t="str">
        <f>VLOOKUP(H1688,Stock_list!A:T,16,FALSE)</f>
        <v>RMB</v>
      </c>
      <c r="L1688" s="4">
        <v>43776</v>
      </c>
      <c r="M1688" s="132">
        <v>8</v>
      </c>
      <c r="P1688" s="4" t="str">
        <f>VLOOKUP(H1688,Stock_list!A:Y,25,FALSE)</f>
        <v>Yes</v>
      </c>
      <c r="Q1688" s="143"/>
      <c r="T1688" s="144"/>
      <c r="U1688" s="145" t="str">
        <f>VLOOKUP(H1688,Stock_list!A:N,14,FALSE)</f>
        <v>NOV 19</v>
      </c>
    </row>
    <row r="1689" spans="1:21" ht="16.5" customHeight="1">
      <c r="A1689" s="159" t="s">
        <v>2748</v>
      </c>
      <c r="B1689" s="114" t="str">
        <f>VLOOKUP(A1689,'Data pick slip'!B:F,5,FALSE)</f>
        <v>KHJ-MC400-00</v>
      </c>
      <c r="F1689" s="157" t="s">
        <v>2773</v>
      </c>
      <c r="H1689" s="138">
        <v>456</v>
      </c>
      <c r="I1689" s="139" t="str">
        <f>VLOOKUP(H1689,Stock_list!A:R,18,FALSE)</f>
        <v>悦之彩</v>
      </c>
      <c r="J1689" s="139" t="str">
        <f>VLOOKUP(H1689,Stock_list!A:S,17,FALSE)</f>
        <v>C49SZX20190148SX</v>
      </c>
      <c r="K1689" s="51" t="str">
        <f>VLOOKUP(H1689,Stock_list!A:T,16,FALSE)</f>
        <v>RMB</v>
      </c>
      <c r="L1689" s="4">
        <v>43776</v>
      </c>
      <c r="M1689" s="132">
        <v>2</v>
      </c>
      <c r="P1689" s="4" t="str">
        <f>VLOOKUP(H1689,Stock_list!A:Y,25,FALSE)</f>
        <v>Yes</v>
      </c>
      <c r="Q1689" s="143"/>
      <c r="T1689" s="144"/>
      <c r="U1689" s="145" t="str">
        <f>VLOOKUP(H1689,Stock_list!A:N,14,FALSE)</f>
        <v>NOV 19</v>
      </c>
    </row>
    <row r="1690" spans="1:21" ht="16.5" customHeight="1">
      <c r="A1690" s="159" t="s">
        <v>2747</v>
      </c>
      <c r="B1690" s="114" t="str">
        <f>VLOOKUP(A1690,'Data pick slip'!B:F,5,FALSE)</f>
        <v>KHJ-MC200-00</v>
      </c>
      <c r="F1690" s="157" t="s">
        <v>2862</v>
      </c>
      <c r="I1690" s="139" t="s">
        <v>3016</v>
      </c>
      <c r="J1690" s="139" t="s">
        <v>3181</v>
      </c>
      <c r="K1690" s="51" t="s">
        <v>1246</v>
      </c>
      <c r="L1690" s="4">
        <v>43756</v>
      </c>
      <c r="M1690" s="140">
        <v>120</v>
      </c>
      <c r="P1690" s="4" t="s">
        <v>291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2747</v>
      </c>
      <c r="B1691" s="114" t="str">
        <f>VLOOKUP(A1691,'Data pick slip'!B:F,5,FALSE)</f>
        <v>KHJ-MC200-00</v>
      </c>
      <c r="F1691" s="157" t="s">
        <v>2773</v>
      </c>
      <c r="I1691" s="139" t="s">
        <v>3094</v>
      </c>
      <c r="J1691" s="139" t="s">
        <v>3182</v>
      </c>
      <c r="K1691" s="51" t="s">
        <v>1246</v>
      </c>
      <c r="L1691" s="4">
        <v>43759</v>
      </c>
      <c r="M1691" s="140">
        <v>7</v>
      </c>
      <c r="P1691" s="4" t="s">
        <v>291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2748</v>
      </c>
      <c r="B1692" s="114" t="str">
        <f>VLOOKUP(A1692,'Data pick slip'!B:F,5,FALSE)</f>
        <v>KHJ-MC400-00</v>
      </c>
      <c r="F1692" s="157" t="s">
        <v>2773</v>
      </c>
      <c r="I1692" s="139" t="s">
        <v>3094</v>
      </c>
      <c r="J1692" s="139" t="s">
        <v>3182</v>
      </c>
      <c r="K1692" s="51" t="s">
        <v>1246</v>
      </c>
      <c r="L1692" s="4">
        <v>43759</v>
      </c>
      <c r="M1692" s="140">
        <v>1</v>
      </c>
      <c r="P1692" s="4" t="s">
        <v>291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2744</v>
      </c>
      <c r="B1693" s="114" t="str">
        <f>VLOOKUP(A1693,'Data pick slip'!B:F,5,FALSE)</f>
        <v>KHJ-MC100-00</v>
      </c>
      <c r="F1693" s="157" t="s">
        <v>2773</v>
      </c>
      <c r="I1693" s="139" t="s">
        <v>3094</v>
      </c>
      <c r="J1693" s="139" t="s">
        <v>3183</v>
      </c>
      <c r="K1693" s="51" t="s">
        <v>1246</v>
      </c>
      <c r="L1693" s="4">
        <v>43761</v>
      </c>
      <c r="M1693" s="140">
        <v>20</v>
      </c>
      <c r="P1693" s="4" t="s">
        <v>291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2747</v>
      </c>
      <c r="B1694" s="114" t="str">
        <f>VLOOKUP(A1694,'Data pick slip'!B:F,5,FALSE)</f>
        <v>KHJ-MC200-00</v>
      </c>
      <c r="F1694" s="157" t="s">
        <v>2773</v>
      </c>
      <c r="I1694" s="139" t="s">
        <v>3094</v>
      </c>
      <c r="J1694" s="139" t="s">
        <v>3183</v>
      </c>
      <c r="K1694" s="51" t="s">
        <v>1246</v>
      </c>
      <c r="L1694" s="4">
        <v>43761</v>
      </c>
      <c r="M1694" s="140">
        <v>5</v>
      </c>
      <c r="P1694" s="4" t="s">
        <v>291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2744</v>
      </c>
      <c r="B1695" s="114" t="str">
        <f>VLOOKUP(A1695,'Data pick slip'!B:F,5,FALSE)</f>
        <v>KHJ-MC100-00</v>
      </c>
      <c r="F1695" s="157" t="s">
        <v>2773</v>
      </c>
      <c r="I1695" s="139" t="s">
        <v>3094</v>
      </c>
      <c r="J1695" s="139" t="s">
        <v>3184</v>
      </c>
      <c r="K1695" s="51" t="s">
        <v>1246</v>
      </c>
      <c r="L1695" s="4">
        <v>43769</v>
      </c>
      <c r="M1695" s="140">
        <v>30</v>
      </c>
      <c r="P1695" s="4" t="s">
        <v>291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2744</v>
      </c>
      <c r="B1696" s="114" t="str">
        <f>VLOOKUP(A1696,'Data pick slip'!B:F,5,FALSE)</f>
        <v>KHJ-MC100-00</v>
      </c>
      <c r="F1696" s="157" t="s">
        <v>2773</v>
      </c>
      <c r="H1696" s="138">
        <v>463</v>
      </c>
      <c r="I1696" s="139" t="str">
        <f>VLOOKUP(H1696,Stock_list!A:R,18,FALSE)</f>
        <v>捷舜诚</v>
      </c>
      <c r="J1696" s="139" t="str">
        <f>VLOOKUP(H1696,Stock_list!A:S,17,FALSE)</f>
        <v>C49SZX20190152JL</v>
      </c>
      <c r="K1696" s="51" t="str">
        <f>VLOOKUP(H1696,Stock_list!A:T,16,FALSE)</f>
        <v>RMB</v>
      </c>
      <c r="L1696" s="4">
        <v>43775</v>
      </c>
      <c r="M1696" s="132">
        <v>40</v>
      </c>
      <c r="P1696" s="4" t="str">
        <f>VLOOKUP(H1696,Stock_list!A:Y,25,FALSE)</f>
        <v>Yes</v>
      </c>
      <c r="Q1696" s="143"/>
      <c r="T1696" s="144"/>
      <c r="U1696" s="145" t="str">
        <f>VLOOKUP(H1696,Stock_list!A:N,14,FALSE)</f>
        <v>NOV 19</v>
      </c>
    </row>
    <row r="1697" spans="1:21" ht="16.5" customHeight="1">
      <c r="A1697" s="159" t="s">
        <v>2748</v>
      </c>
      <c r="B1697" s="114" t="str">
        <f>VLOOKUP(A1697,'Data pick slip'!B:F,5,FALSE)</f>
        <v>KHJ-MC400-00</v>
      </c>
      <c r="F1697" s="157" t="s">
        <v>2773</v>
      </c>
      <c r="I1697" s="139" t="s">
        <v>3116</v>
      </c>
      <c r="J1697" s="139" t="s">
        <v>3185</v>
      </c>
      <c r="K1697" s="51" t="s">
        <v>1246</v>
      </c>
      <c r="L1697" s="4">
        <v>43763</v>
      </c>
      <c r="M1697" s="140">
        <v>2</v>
      </c>
      <c r="P1697" s="4" t="s">
        <v>291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2749</v>
      </c>
      <c r="B1698" s="114" t="str">
        <f>VLOOKUP(A1698,'Data pick slip'!B:F,5,FALSE)</f>
        <v>KHJ-MC500-00</v>
      </c>
      <c r="F1698" s="157" t="s">
        <v>2773</v>
      </c>
      <c r="I1698" s="139" t="s">
        <v>3116</v>
      </c>
      <c r="J1698" s="139" t="s">
        <v>3185</v>
      </c>
      <c r="K1698" s="51" t="s">
        <v>1246</v>
      </c>
      <c r="L1698" s="4">
        <v>43763</v>
      </c>
      <c r="M1698" s="140">
        <v>1</v>
      </c>
      <c r="P1698" s="4" t="s">
        <v>291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2750</v>
      </c>
      <c r="B1699" s="114" t="str">
        <f>VLOOKUP(A1699,'Data pick slip'!B:F,5,FALSE)</f>
        <v>KHJ-MC600-00</v>
      </c>
      <c r="F1699" s="157" t="s">
        <v>2773</v>
      </c>
      <c r="I1699" s="139" t="s">
        <v>3116</v>
      </c>
      <c r="J1699" s="139" t="s">
        <v>3186</v>
      </c>
      <c r="K1699" s="51" t="s">
        <v>1246</v>
      </c>
      <c r="L1699" s="4">
        <v>43763</v>
      </c>
      <c r="M1699" s="140">
        <v>1</v>
      </c>
      <c r="P1699" s="4" t="s">
        <v>291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2750</v>
      </c>
      <c r="B1700" s="114" t="str">
        <f>VLOOKUP(A1700,'Data pick slip'!B:F,5,FALSE)</f>
        <v>KHJ-MC600-00</v>
      </c>
      <c r="F1700" s="157" t="s">
        <v>2773</v>
      </c>
      <c r="I1700" s="139" t="s">
        <v>3100</v>
      </c>
      <c r="J1700" s="139" t="s">
        <v>3187</v>
      </c>
      <c r="K1700" s="51" t="s">
        <v>1246</v>
      </c>
      <c r="L1700" s="4">
        <v>43763</v>
      </c>
      <c r="M1700" s="140">
        <v>1</v>
      </c>
      <c r="P1700" s="4" t="s">
        <v>291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2750</v>
      </c>
      <c r="B1701" s="114" t="str">
        <f>VLOOKUP(A1701,'Data pick slip'!B:F,5,FALSE)</f>
        <v>KHJ-MC600-00</v>
      </c>
      <c r="F1701" s="157" t="s">
        <v>2773</v>
      </c>
      <c r="I1701" s="139" t="s">
        <v>3094</v>
      </c>
      <c r="J1701" s="139" t="s">
        <v>3188</v>
      </c>
      <c r="K1701" s="51" t="s">
        <v>1246</v>
      </c>
      <c r="L1701" s="4">
        <v>43766</v>
      </c>
      <c r="M1701" s="140">
        <v>2</v>
      </c>
      <c r="P1701" s="4" t="s">
        <v>291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2747</v>
      </c>
      <c r="B1702" s="114" t="str">
        <f>VLOOKUP(A1702,'Data pick slip'!B:F,5,FALSE)</f>
        <v>KHJ-MC200-00</v>
      </c>
      <c r="F1702" s="157" t="s">
        <v>2862</v>
      </c>
      <c r="I1702" s="139" t="s">
        <v>3016</v>
      </c>
      <c r="J1702" s="139" t="s">
        <v>3189</v>
      </c>
      <c r="K1702" s="51" t="s">
        <v>1246</v>
      </c>
      <c r="L1702" s="4">
        <v>43768</v>
      </c>
      <c r="M1702" s="140">
        <v>40</v>
      </c>
      <c r="P1702" s="4" t="s">
        <v>291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2744</v>
      </c>
      <c r="B1703" s="114" t="str">
        <f>VLOOKUP(A1703,'Data pick slip'!B:F,5,FALSE)</f>
        <v>KHJ-MC100-00</v>
      </c>
      <c r="F1703" s="157" t="s">
        <v>2862</v>
      </c>
      <c r="H1703" s="138">
        <v>464</v>
      </c>
      <c r="I1703" s="139" t="str">
        <f>VLOOKUP(H1703,Stock_list!A:R,18,FALSE)</f>
        <v>海松微</v>
      </c>
      <c r="J1703" s="139" t="str">
        <f>VLOOKUP(H1703,Stock_list!A:S,17,FALSE)</f>
        <v>C49SZX20190155JY</v>
      </c>
      <c r="K1703" s="51" t="str">
        <f>VLOOKUP(H1703,Stock_list!A:T,16,FALSE)</f>
        <v>JPY</v>
      </c>
      <c r="L1703" s="4">
        <v>43784</v>
      </c>
      <c r="M1703" s="132">
        <v>60</v>
      </c>
      <c r="P1703" s="4" t="str">
        <f>VLOOKUP(H1703,Stock_list!A:Y,25,FALSE)</f>
        <v>Yes</v>
      </c>
      <c r="Q1703" s="143"/>
      <c r="T1703" s="144"/>
      <c r="U1703" s="145" t="str">
        <f>VLOOKUP(H1703,Stock_list!A:N,14,FALSE)</f>
        <v>NOV 19</v>
      </c>
    </row>
    <row r="1704" spans="1:21" ht="16.5" customHeight="1">
      <c r="A1704" s="159" t="s">
        <v>2747</v>
      </c>
      <c r="B1704" s="114" t="str">
        <f>VLOOKUP(A1704,'Data pick slip'!B:F,5,FALSE)</f>
        <v>KHJ-MC200-00</v>
      </c>
      <c r="F1704" s="157" t="s">
        <v>2862</v>
      </c>
      <c r="H1704" s="138">
        <v>464</v>
      </c>
      <c r="I1704" s="139" t="str">
        <f>VLOOKUP(H1704,Stock_list!A:R,18,FALSE)</f>
        <v>海松微</v>
      </c>
      <c r="J1704" s="139" t="str">
        <f>VLOOKUP(H1704,Stock_list!A:S,17,FALSE)</f>
        <v>C49SZX20190155JY</v>
      </c>
      <c r="K1704" s="51" t="str">
        <f>VLOOKUP(H1704,Stock_list!A:T,16,FALSE)</f>
        <v>JPY</v>
      </c>
      <c r="L1704" s="4">
        <v>43784</v>
      </c>
      <c r="M1704" s="132">
        <v>10</v>
      </c>
      <c r="P1704" s="4" t="str">
        <f>VLOOKUP(H1704,Stock_list!A:Y,25,FALSE)</f>
        <v>Yes</v>
      </c>
      <c r="Q1704" s="143"/>
      <c r="T1704" s="144"/>
      <c r="U1704" s="145" t="str">
        <f>VLOOKUP(H1704,Stock_list!A:N,14,FALSE)</f>
        <v>NOV 19</v>
      </c>
    </row>
    <row r="1705" spans="1:21" ht="16.5" customHeight="1">
      <c r="A1705" s="159" t="s">
        <v>2748</v>
      </c>
      <c r="B1705" s="114" t="str">
        <f>VLOOKUP(A1705,'Data pick slip'!B:F,5,FALSE)</f>
        <v>KHJ-MC400-00</v>
      </c>
      <c r="F1705" s="157" t="s">
        <v>2862</v>
      </c>
      <c r="H1705" s="138">
        <v>464</v>
      </c>
      <c r="I1705" s="139" t="str">
        <f>VLOOKUP(H1705,Stock_list!A:R,18,FALSE)</f>
        <v>海松微</v>
      </c>
      <c r="J1705" s="139" t="str">
        <f>VLOOKUP(H1705,Stock_list!A:S,17,FALSE)</f>
        <v>C49SZX20190155JY</v>
      </c>
      <c r="K1705" s="51" t="str">
        <f>VLOOKUP(H1705,Stock_list!A:T,16,FALSE)</f>
        <v>JPY</v>
      </c>
      <c r="L1705" s="4">
        <v>43784</v>
      </c>
      <c r="M1705" s="132">
        <v>2</v>
      </c>
      <c r="P1705" s="4" t="str">
        <f>VLOOKUP(H1705,Stock_list!A:Y,25,FALSE)</f>
        <v>Yes</v>
      </c>
      <c r="Q1705" s="143"/>
      <c r="T1705" s="144"/>
      <c r="U1705" s="145" t="str">
        <f>VLOOKUP(H1705,Stock_list!A:N,14,FALSE)</f>
        <v>NOV 19</v>
      </c>
    </row>
    <row r="1706" spans="1:21" ht="16.5" customHeight="1">
      <c r="A1706" s="159" t="s">
        <v>2744</v>
      </c>
      <c r="B1706" s="114" t="str">
        <f>VLOOKUP(A1706,'Data pick slip'!B:F,5,FALSE)</f>
        <v>KHJ-MC100-00</v>
      </c>
      <c r="F1706" s="157" t="s">
        <v>2862</v>
      </c>
      <c r="I1706" s="139" t="s">
        <v>3016</v>
      </c>
      <c r="J1706" s="139" t="s">
        <v>3190</v>
      </c>
      <c r="K1706" s="51" t="s">
        <v>1246</v>
      </c>
      <c r="L1706" s="4">
        <v>43775</v>
      </c>
      <c r="M1706" s="140">
        <v>100</v>
      </c>
      <c r="P1706" s="4" t="s">
        <v>291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2747</v>
      </c>
      <c r="B1707" s="114" t="str">
        <f>VLOOKUP(A1707,'Data pick slip'!B:F,5,FALSE)</f>
        <v>KHJ-MC200-00</v>
      </c>
      <c r="F1707" s="157" t="s">
        <v>2862</v>
      </c>
      <c r="I1707" s="139" t="s">
        <v>3016</v>
      </c>
      <c r="J1707" s="139" t="s">
        <v>3190</v>
      </c>
      <c r="K1707" s="51" t="s">
        <v>1246</v>
      </c>
      <c r="L1707" s="4">
        <v>43775</v>
      </c>
      <c r="M1707" s="140">
        <v>20</v>
      </c>
      <c r="P1707" s="4" t="s">
        <v>291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2747</v>
      </c>
      <c r="B1708" s="114" t="str">
        <f>VLOOKUP(A1708,'Data pick slip'!B:F,5,FALSE)</f>
        <v>KHJ-MC200-00</v>
      </c>
      <c r="F1708" s="157" t="s">
        <v>2773</v>
      </c>
      <c r="I1708" s="139" t="s">
        <v>3094</v>
      </c>
      <c r="J1708" s="139" t="s">
        <v>3191</v>
      </c>
      <c r="K1708" s="51" t="s">
        <v>1246</v>
      </c>
      <c r="L1708" s="4">
        <v>43774</v>
      </c>
      <c r="M1708" s="140">
        <v>10</v>
      </c>
      <c r="P1708" s="4" t="s">
        <v>291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2744</v>
      </c>
      <c r="B1709" s="114" t="str">
        <f>VLOOKUP(A1709,'Data pick slip'!B:F,5,FALSE)</f>
        <v>KHJ-MC100-00</v>
      </c>
      <c r="F1709" s="157" t="s">
        <v>2862</v>
      </c>
      <c r="H1709" s="138">
        <v>468</v>
      </c>
      <c r="I1709" s="139" t="str">
        <f>VLOOKUP(H1709,Stock_list!A:R,18,FALSE)</f>
        <v>思迈科技</v>
      </c>
      <c r="J1709" s="139" t="str">
        <f>VLOOKUP(H1709,Stock_list!A:S,17,FALSE)</f>
        <v>C49SZX20190159SS</v>
      </c>
      <c r="K1709" s="51" t="str">
        <f>VLOOKUP(H1709,Stock_list!A:T,16,FALSE)</f>
        <v>JPY</v>
      </c>
      <c r="L1709" s="4">
        <v>43794</v>
      </c>
      <c r="M1709" s="132">
        <v>15</v>
      </c>
      <c r="P1709" s="4" t="str">
        <f>VLOOKUP(H1709,Stock_list!A:Y,25,FALSE)</f>
        <v>Yes</v>
      </c>
      <c r="Q1709" s="143"/>
      <c r="T1709" s="144"/>
      <c r="U1709" s="145" t="str">
        <f>VLOOKUP(H1709,Stock_list!A:N,14,FALSE)</f>
        <v>NOV 19</v>
      </c>
    </row>
    <row r="1710" spans="1:21" ht="16.5" customHeight="1">
      <c r="A1710" s="159" t="s">
        <v>2747</v>
      </c>
      <c r="B1710" s="114" t="str">
        <f>VLOOKUP(A1710,'Data pick slip'!B:F,5,FALSE)</f>
        <v>KHJ-MC200-00</v>
      </c>
      <c r="F1710" s="157" t="s">
        <v>2862</v>
      </c>
      <c r="H1710" s="138">
        <v>469</v>
      </c>
      <c r="I1710" s="139" t="str">
        <f>VLOOKUP(H1710,Stock_list!A:R,18,FALSE)</f>
        <v>玮芯电子</v>
      </c>
      <c r="J1710" s="139" t="str">
        <f>VLOOKUP(H1710,Stock_list!A:S,17,FALSE)</f>
        <v>C49SZX20190161SX</v>
      </c>
      <c r="K1710" s="51" t="str">
        <f>VLOOKUP(H1710,Stock_list!A:T,16,FALSE)</f>
        <v>JPY</v>
      </c>
      <c r="L1710" s="4">
        <v>43784</v>
      </c>
      <c r="M1710" s="132">
        <v>5</v>
      </c>
      <c r="P1710" s="4" t="str">
        <f>VLOOKUP(H1710,Stock_list!A:Y,25,FALSE)</f>
        <v>Yes</v>
      </c>
      <c r="Q1710" s="143"/>
      <c r="T1710" s="144"/>
      <c r="U1710" s="145" t="str">
        <f>VLOOKUP(H1710,Stock_list!A:N,14,FALSE)</f>
        <v>NOV 19</v>
      </c>
    </row>
    <row r="1711" spans="1:21" ht="16.5" customHeight="1">
      <c r="A1711" s="159" t="s">
        <v>2748</v>
      </c>
      <c r="B1711" s="114" t="str">
        <f>VLOOKUP(A1711,'Data pick slip'!B:F,5,FALSE)</f>
        <v>KHJ-MC400-00</v>
      </c>
      <c r="F1711" s="157" t="s">
        <v>2862</v>
      </c>
      <c r="H1711" s="138">
        <v>469</v>
      </c>
      <c r="I1711" s="139" t="str">
        <f>VLOOKUP(H1711,Stock_list!A:R,18,FALSE)</f>
        <v>玮芯电子</v>
      </c>
      <c r="J1711" s="139" t="str">
        <f>VLOOKUP(H1711,Stock_list!A:S,17,FALSE)</f>
        <v>C49SZX20190161SX</v>
      </c>
      <c r="K1711" s="51" t="str">
        <f>VLOOKUP(H1711,Stock_list!A:T,16,FALSE)</f>
        <v>JPY</v>
      </c>
      <c r="L1711" s="4">
        <v>43784</v>
      </c>
      <c r="M1711" s="132">
        <v>2</v>
      </c>
      <c r="P1711" s="4" t="str">
        <f>VLOOKUP(H1711,Stock_list!A:Y,25,FALSE)</f>
        <v>Yes</v>
      </c>
      <c r="Q1711" s="143"/>
      <c r="T1711" s="144"/>
      <c r="U1711" s="145" t="str">
        <f>VLOOKUP(H1711,Stock_list!A:N,14,FALSE)</f>
        <v>NOV 19</v>
      </c>
    </row>
    <row r="1712" spans="1:21" ht="16.5" customHeight="1">
      <c r="A1712" s="159" t="s">
        <v>2744</v>
      </c>
      <c r="B1712" s="114" t="str">
        <f>VLOOKUP(A1712,'Data pick slip'!B:F,5,FALSE)</f>
        <v>KHJ-MC100-00</v>
      </c>
      <c r="F1712" s="157" t="s">
        <v>2773</v>
      </c>
      <c r="H1712" s="138">
        <v>470</v>
      </c>
      <c r="I1712" s="139" t="str">
        <f>VLOOKUP(H1712,Stock_list!A:R,18,FALSE)</f>
        <v>豪恩</v>
      </c>
      <c r="J1712" s="139" t="str">
        <f>VLOOKUP(H1712,Stock_list!A:S,17,FALSE)</f>
        <v>C49SZX20190116CX</v>
      </c>
      <c r="K1712" s="51" t="str">
        <f>VLOOKUP(H1712,Stock_list!A:T,16,FALSE)</f>
        <v>RMB</v>
      </c>
      <c r="L1712" s="4">
        <v>43938</v>
      </c>
      <c r="M1712" s="132">
        <v>91</v>
      </c>
      <c r="P1712" s="4" t="str">
        <f>VLOOKUP(H1712,Stock_list!A:Y,25,FALSE)</f>
        <v>Yes</v>
      </c>
      <c r="Q1712" s="143"/>
      <c r="T1712" s="144"/>
      <c r="U1712" s="145" t="str">
        <f>VLOOKUP(H1712,Stock_list!A:N,14,FALSE)</f>
        <v>APR 20</v>
      </c>
    </row>
    <row r="1713" spans="1:21" ht="16.5" customHeight="1">
      <c r="A1713" s="159" t="s">
        <v>2747</v>
      </c>
      <c r="B1713" s="114" t="str">
        <f>VLOOKUP(A1713,'Data pick slip'!B:F,5,FALSE)</f>
        <v>KHJ-MC200-00</v>
      </c>
      <c r="F1713" s="157" t="s">
        <v>2773</v>
      </c>
      <c r="H1713" s="138">
        <v>470</v>
      </c>
      <c r="I1713" s="139" t="str">
        <f>VLOOKUP(H1713,Stock_list!A:R,18,FALSE)</f>
        <v>豪恩</v>
      </c>
      <c r="J1713" s="139" t="str">
        <f>VLOOKUP(H1713,Stock_list!A:S,17,FALSE)</f>
        <v>C49SZX20190116CX</v>
      </c>
      <c r="K1713" s="51" t="str">
        <f>VLOOKUP(H1713,Stock_list!A:T,16,FALSE)</f>
        <v>RMB</v>
      </c>
      <c r="L1713" s="4">
        <v>43938</v>
      </c>
      <c r="M1713" s="132">
        <v>18</v>
      </c>
      <c r="P1713" s="4" t="str">
        <f>VLOOKUP(H1713,Stock_list!A:Y,25,FALSE)</f>
        <v>Yes</v>
      </c>
      <c r="Q1713" s="143"/>
      <c r="T1713" s="144"/>
      <c r="U1713" s="145" t="str">
        <f>VLOOKUP(H1713,Stock_list!A:N,14,FALSE)</f>
        <v>APR 20</v>
      </c>
    </row>
    <row r="1714" spans="1:21" ht="16.5" customHeight="1">
      <c r="A1714" s="159" t="s">
        <v>2748</v>
      </c>
      <c r="B1714" s="114" t="str">
        <f>VLOOKUP(A1714,'Data pick slip'!B:F,5,FALSE)</f>
        <v>KHJ-MC400-00</v>
      </c>
      <c r="F1714" s="157" t="s">
        <v>2773</v>
      </c>
      <c r="H1714" s="138">
        <v>470</v>
      </c>
      <c r="I1714" s="139" t="str">
        <f>VLOOKUP(H1714,Stock_list!A:R,18,FALSE)</f>
        <v>豪恩</v>
      </c>
      <c r="J1714" s="139" t="str">
        <f>VLOOKUP(H1714,Stock_list!A:S,17,FALSE)</f>
        <v>C49SZX20190116CX</v>
      </c>
      <c r="K1714" s="51" t="str">
        <f>VLOOKUP(H1714,Stock_list!A:T,16,FALSE)</f>
        <v>RMB</v>
      </c>
      <c r="L1714" s="4">
        <v>43938</v>
      </c>
      <c r="M1714" s="132">
        <v>14</v>
      </c>
      <c r="P1714" s="4" t="str">
        <f>VLOOKUP(H1714,Stock_list!A:Y,25,FALSE)</f>
        <v>Yes</v>
      </c>
      <c r="Q1714" s="143"/>
      <c r="T1714" s="144"/>
      <c r="U1714" s="145" t="str">
        <f>VLOOKUP(H1714,Stock_list!A:N,14,FALSE)</f>
        <v>APR 20</v>
      </c>
    </row>
    <row r="1715" spans="1:21" ht="16.5" customHeight="1">
      <c r="A1715" s="159" t="s">
        <v>2749</v>
      </c>
      <c r="B1715" s="114" t="str">
        <f>VLOOKUP(A1715,'Data pick slip'!B:F,5,FALSE)</f>
        <v>KHJ-MC500-00</v>
      </c>
      <c r="F1715" s="157" t="s">
        <v>2773</v>
      </c>
      <c r="H1715" s="138">
        <v>470</v>
      </c>
      <c r="I1715" s="139" t="str">
        <f>VLOOKUP(H1715,Stock_list!A:R,18,FALSE)</f>
        <v>豪恩</v>
      </c>
      <c r="J1715" s="139" t="str">
        <f>VLOOKUP(H1715,Stock_list!A:S,17,FALSE)</f>
        <v>C49SZX20190116CX</v>
      </c>
      <c r="K1715" s="51" t="str">
        <f>VLOOKUP(H1715,Stock_list!A:T,16,FALSE)</f>
        <v>RMB</v>
      </c>
      <c r="L1715" s="4">
        <v>43938</v>
      </c>
      <c r="M1715" s="132">
        <v>2</v>
      </c>
      <c r="P1715" s="4" t="str">
        <f>VLOOKUP(H1715,Stock_list!A:Y,25,FALSE)</f>
        <v>Yes</v>
      </c>
      <c r="Q1715" s="143"/>
      <c r="T1715" s="144"/>
      <c r="U1715" s="145" t="str">
        <f>VLOOKUP(H1715,Stock_list!A:N,14,FALSE)</f>
        <v>APR 20</v>
      </c>
    </row>
    <row r="1716" spans="1:21" ht="16.5" customHeight="1">
      <c r="A1716" s="159" t="s">
        <v>2750</v>
      </c>
      <c r="B1716" s="114" t="str">
        <f>VLOOKUP(A1716,'Data pick slip'!B:F,5,FALSE)</f>
        <v>KHJ-MC600-00</v>
      </c>
      <c r="F1716" s="157" t="s">
        <v>2773</v>
      </c>
      <c r="H1716" s="138">
        <v>470</v>
      </c>
      <c r="I1716" s="139" t="str">
        <f>VLOOKUP(H1716,Stock_list!A:R,18,FALSE)</f>
        <v>豪恩</v>
      </c>
      <c r="J1716" s="139" t="str">
        <f>VLOOKUP(H1716,Stock_list!A:S,17,FALSE)</f>
        <v>C49SZX20190116CX</v>
      </c>
      <c r="K1716" s="51" t="str">
        <f>VLOOKUP(H1716,Stock_list!A:T,16,FALSE)</f>
        <v>RMB</v>
      </c>
      <c r="L1716" s="4">
        <v>43938</v>
      </c>
      <c r="M1716" s="132">
        <v>2</v>
      </c>
      <c r="P1716" s="4" t="str">
        <f>VLOOKUP(H1716,Stock_list!A:Y,25,FALSE)</f>
        <v>Yes</v>
      </c>
      <c r="Q1716" s="143"/>
      <c r="T1716" s="144"/>
      <c r="U1716" s="145" t="str">
        <f>VLOOKUP(H1716,Stock_list!A:N,14,FALSE)</f>
        <v>APR 20</v>
      </c>
    </row>
    <row r="1717" spans="1:21" ht="16.5" customHeight="1">
      <c r="A1717" s="159" t="s">
        <v>2744</v>
      </c>
      <c r="B1717" s="114" t="str">
        <f>VLOOKUP(A1717,'Data pick slip'!B:F,5,FALSE)</f>
        <v>KHJ-MC100-00</v>
      </c>
      <c r="F1717" s="157" t="s">
        <v>2862</v>
      </c>
      <c r="H1717" s="138">
        <v>474</v>
      </c>
      <c r="I1717" s="139" t="str">
        <f>VLOOKUP(H1717,Stock_list!A:R,18,FALSE)</f>
        <v>锘铧</v>
      </c>
      <c r="J1717" s="139" t="str">
        <f>VLOOKUP(H1717,Stock_list!A:S,17,FALSE)</f>
        <v>C49SZX20190156-1ZX</v>
      </c>
      <c r="K1717" s="51" t="str">
        <f>VLOOKUP(H1717,Stock_list!A:T,16,FALSE)</f>
        <v>JPY</v>
      </c>
      <c r="L1717" s="4">
        <v>43823</v>
      </c>
      <c r="M1717" s="132">
        <v>100</v>
      </c>
      <c r="P1717" s="4" t="str">
        <f>VLOOKUP(H1717,Stock_list!A:Y,25,FALSE)</f>
        <v>Yes</v>
      </c>
      <c r="Q1717" s="143"/>
      <c r="T1717" s="144"/>
      <c r="U1717" s="145" t="str">
        <f>VLOOKUP(H1717,Stock_list!A:N,14,FALSE)</f>
        <v>DEC 19</v>
      </c>
    </row>
    <row r="1718" spans="1:21" ht="16.5" customHeight="1">
      <c r="A1718" s="159" t="s">
        <v>2747</v>
      </c>
      <c r="B1718" s="114" t="str">
        <f>VLOOKUP(A1718,'Data pick slip'!B:F,5,FALSE)</f>
        <v>KHJ-MC200-00</v>
      </c>
      <c r="F1718" s="157" t="s">
        <v>2862</v>
      </c>
      <c r="H1718" s="138">
        <v>474</v>
      </c>
      <c r="I1718" s="139" t="str">
        <f>VLOOKUP(H1718,Stock_list!A:R,18,FALSE)</f>
        <v>锘铧</v>
      </c>
      <c r="J1718" s="139" t="str">
        <f>VLOOKUP(H1718,Stock_list!A:S,17,FALSE)</f>
        <v>C49SZX20190156-1ZX</v>
      </c>
      <c r="K1718" s="51" t="str">
        <f>VLOOKUP(H1718,Stock_list!A:T,16,FALSE)</f>
        <v>JPY</v>
      </c>
      <c r="L1718" s="4">
        <v>43823</v>
      </c>
      <c r="M1718" s="132">
        <v>15</v>
      </c>
      <c r="P1718" s="4" t="str">
        <f>VLOOKUP(H1718,Stock_list!A:Y,25,FALSE)</f>
        <v>Yes</v>
      </c>
      <c r="Q1718" s="143"/>
      <c r="T1718" s="144"/>
      <c r="U1718" s="145" t="str">
        <f>VLOOKUP(H1718,Stock_list!A:N,14,FALSE)</f>
        <v>DEC 19</v>
      </c>
    </row>
    <row r="1719" spans="1:21" ht="16.5" customHeight="1">
      <c r="A1719" s="159" t="s">
        <v>2748</v>
      </c>
      <c r="B1719" s="114" t="str">
        <f>VLOOKUP(A1719,'Data pick slip'!B:F,5,FALSE)</f>
        <v>KHJ-MC400-00</v>
      </c>
      <c r="F1719" s="157" t="s">
        <v>2862</v>
      </c>
      <c r="H1719" s="138">
        <v>474</v>
      </c>
      <c r="I1719" s="139" t="str">
        <f>VLOOKUP(H1719,Stock_list!A:R,18,FALSE)</f>
        <v>锘铧</v>
      </c>
      <c r="J1719" s="139" t="str">
        <f>VLOOKUP(H1719,Stock_list!A:S,17,FALSE)</f>
        <v>C49SZX20190156-1ZX</v>
      </c>
      <c r="K1719" s="51" t="str">
        <f>VLOOKUP(H1719,Stock_list!A:T,16,FALSE)</f>
        <v>JPY</v>
      </c>
      <c r="L1719" s="4">
        <v>43823</v>
      </c>
      <c r="M1719" s="132">
        <v>5</v>
      </c>
      <c r="P1719" s="4" t="str">
        <f>VLOOKUP(H1719,Stock_list!A:Y,25,FALSE)</f>
        <v>Yes</v>
      </c>
      <c r="Q1719" s="143"/>
      <c r="T1719" s="144"/>
      <c r="U1719" s="145" t="str">
        <f>VLOOKUP(H1719,Stock_list!A:N,14,FALSE)</f>
        <v>DEC 19</v>
      </c>
    </row>
    <row r="1720" spans="1:21" ht="16.5" customHeight="1">
      <c r="A1720" s="159" t="s">
        <v>2749</v>
      </c>
      <c r="B1720" s="114" t="str">
        <f>VLOOKUP(A1720,'Data pick slip'!B:F,5,FALSE)</f>
        <v>KHJ-MC500-00</v>
      </c>
      <c r="F1720" s="157" t="s">
        <v>2862</v>
      </c>
      <c r="H1720" s="138">
        <v>474</v>
      </c>
      <c r="I1720" s="139" t="str">
        <f>VLOOKUP(H1720,Stock_list!A:R,18,FALSE)</f>
        <v>锘铧</v>
      </c>
      <c r="J1720" s="139" t="str">
        <f>VLOOKUP(H1720,Stock_list!A:S,17,FALSE)</f>
        <v>C49SZX20190156-1ZX</v>
      </c>
      <c r="K1720" s="51" t="str">
        <f>VLOOKUP(H1720,Stock_list!A:T,16,FALSE)</f>
        <v>JPY</v>
      </c>
      <c r="L1720" s="4">
        <v>43823</v>
      </c>
      <c r="M1720" s="132">
        <v>1</v>
      </c>
      <c r="P1720" s="4" t="str">
        <f>VLOOKUP(H1720,Stock_list!A:Y,25,FALSE)</f>
        <v>Yes</v>
      </c>
      <c r="Q1720" s="143"/>
      <c r="T1720" s="144"/>
      <c r="U1720" s="145" t="str">
        <f>VLOOKUP(H1720,Stock_list!A:N,14,FALSE)</f>
        <v>DEC 19</v>
      </c>
    </row>
    <row r="1721" spans="1:21" ht="16.5" customHeight="1">
      <c r="A1721" s="159" t="s">
        <v>2744</v>
      </c>
      <c r="B1721" s="114" t="str">
        <f>VLOOKUP(A1721,'Data pick slip'!B:F,5,FALSE)</f>
        <v>KHJ-MC100-00</v>
      </c>
      <c r="F1721" s="157" t="s">
        <v>2862</v>
      </c>
      <c r="H1721" s="138">
        <v>475</v>
      </c>
      <c r="I1721" s="139" t="str">
        <f>VLOOKUP(H1721,Stock_list!A:R,18,FALSE)</f>
        <v>锘铧</v>
      </c>
      <c r="J1721" s="139" t="str">
        <f>VLOOKUP(H1721,Stock_list!A:S,17,FALSE)</f>
        <v>C49SZX20190156-2ZX</v>
      </c>
      <c r="K1721" s="51" t="str">
        <f>VLOOKUP(H1721,Stock_list!A:T,16,FALSE)</f>
        <v>JPY</v>
      </c>
      <c r="L1721" s="4">
        <v>43886</v>
      </c>
      <c r="M1721" s="140">
        <f>140+60</f>
        <v>200</v>
      </c>
      <c r="P1721" s="4" t="str">
        <f>VLOOKUP(H1721,Stock_list!A:Y,25,FALSE)</f>
        <v>Yes</v>
      </c>
      <c r="Q1721" s="143"/>
      <c r="T1721" s="144"/>
      <c r="U1721" s="145" t="str">
        <f>VLOOKUP(H1721,Stock_list!A:N,14,FALSE)</f>
        <v>FEB 20</v>
      </c>
    </row>
    <row r="1722" spans="1:21" ht="16.5" customHeight="1">
      <c r="A1722" s="159" t="s">
        <v>2747</v>
      </c>
      <c r="B1722" s="114" t="str">
        <f>VLOOKUP(A1722,'Data pick slip'!B:F,5,FALSE)</f>
        <v>KHJ-MC200-00</v>
      </c>
      <c r="F1722" s="157" t="s">
        <v>2862</v>
      </c>
      <c r="H1722" s="138">
        <v>475</v>
      </c>
      <c r="I1722" s="139" t="str">
        <f>VLOOKUP(H1722,Stock_list!A:R,18,FALSE)</f>
        <v>锘铧</v>
      </c>
      <c r="J1722" s="139" t="str">
        <f>VLOOKUP(H1722,Stock_list!A:S,17,FALSE)</f>
        <v>C49SZX20190156-2ZX</v>
      </c>
      <c r="K1722" s="51" t="str">
        <f>VLOOKUP(H1722,Stock_list!A:T,16,FALSE)</f>
        <v>JPY</v>
      </c>
      <c r="L1722" s="4">
        <v>43886</v>
      </c>
      <c r="M1722" s="140">
        <v>13</v>
      </c>
      <c r="P1722" s="4" t="str">
        <f>VLOOKUP(H1722,Stock_list!A:Y,25,FALSE)</f>
        <v>Yes</v>
      </c>
      <c r="Q1722" s="143"/>
      <c r="T1722" s="144"/>
      <c r="U1722" s="145" t="str">
        <f>VLOOKUP(H1722,Stock_list!A:N,14,FALSE)</f>
        <v>FEB 20</v>
      </c>
    </row>
    <row r="1723" spans="1:21" ht="16.5" customHeight="1">
      <c r="A1723" s="159" t="s">
        <v>2748</v>
      </c>
      <c r="B1723" s="114" t="str">
        <f>VLOOKUP(A1723,'Data pick slip'!B:F,5,FALSE)</f>
        <v>KHJ-MC400-00</v>
      </c>
      <c r="F1723" s="157" t="s">
        <v>2862</v>
      </c>
      <c r="H1723" s="138">
        <v>475</v>
      </c>
      <c r="I1723" s="139" t="str">
        <f>VLOOKUP(H1723,Stock_list!A:R,18,FALSE)</f>
        <v>锘铧</v>
      </c>
      <c r="J1723" s="139" t="str">
        <f>VLOOKUP(H1723,Stock_list!A:S,17,FALSE)</f>
        <v>C49SZX20190156-2ZX</v>
      </c>
      <c r="K1723" s="51" t="str">
        <f>VLOOKUP(H1723,Stock_list!A:T,16,FALSE)</f>
        <v>JPY</v>
      </c>
      <c r="L1723" s="4">
        <v>43886</v>
      </c>
      <c r="M1723" s="140">
        <v>4</v>
      </c>
      <c r="P1723" s="4" t="str">
        <f>VLOOKUP(H1723,Stock_list!A:Y,25,FALSE)</f>
        <v>Yes</v>
      </c>
      <c r="Q1723" s="143"/>
      <c r="T1723" s="144"/>
      <c r="U1723" s="145" t="str">
        <f>VLOOKUP(H1723,Stock_list!A:N,14,FALSE)</f>
        <v>FEB 20</v>
      </c>
    </row>
    <row r="1724" spans="1:21" ht="16.5" customHeight="1">
      <c r="A1724" s="159" t="s">
        <v>2744</v>
      </c>
      <c r="B1724" s="114" t="str">
        <f>VLOOKUP(A1724,'Data pick slip'!B:F,5,FALSE)</f>
        <v>KHJ-MC100-00</v>
      </c>
      <c r="F1724" s="157" t="s">
        <v>2862</v>
      </c>
      <c r="I1724" s="139" t="s">
        <v>3016</v>
      </c>
      <c r="J1724" s="139" t="s">
        <v>3192</v>
      </c>
      <c r="K1724" s="51" t="s">
        <v>1246</v>
      </c>
      <c r="L1724" s="4">
        <v>43777</v>
      </c>
      <c r="M1724" s="140">
        <v>100</v>
      </c>
      <c r="P1724" s="4" t="s">
        <v>291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2747</v>
      </c>
      <c r="B1725" s="114" t="str">
        <f>VLOOKUP(A1725,'Data pick slip'!B:F,5,FALSE)</f>
        <v>KHJ-MC200-00</v>
      </c>
      <c r="F1725" s="157" t="s">
        <v>2862</v>
      </c>
      <c r="I1725" s="139" t="s">
        <v>3016</v>
      </c>
      <c r="J1725" s="139" t="s">
        <v>3192</v>
      </c>
      <c r="K1725" s="51" t="s">
        <v>1246</v>
      </c>
      <c r="L1725" s="4">
        <v>43777</v>
      </c>
      <c r="M1725" s="140">
        <v>40</v>
      </c>
      <c r="P1725" s="4" t="s">
        <v>291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2748</v>
      </c>
      <c r="B1726" s="114" t="str">
        <f>VLOOKUP(A1726,'Data pick slip'!B:F,5,FALSE)</f>
        <v>KHJ-MC400-00</v>
      </c>
      <c r="F1726" s="157" t="s">
        <v>2773</v>
      </c>
      <c r="I1726" s="139" t="s">
        <v>2854</v>
      </c>
      <c r="J1726" s="139" t="s">
        <v>3193</v>
      </c>
      <c r="K1726" s="51" t="s">
        <v>3003</v>
      </c>
      <c r="L1726" s="4">
        <v>43780</v>
      </c>
      <c r="M1726" s="140">
        <v>1</v>
      </c>
      <c r="P1726" s="4" t="s">
        <v>291</v>
      </c>
      <c r="Q1726" s="143"/>
      <c r="S1726" s="123" t="s">
        <v>3004</v>
      </c>
      <c r="T1726" s="144" t="s">
        <v>3194</v>
      </c>
      <c r="U1726" s="145" t="e">
        <f>VLOOKUP(H1726,Stock_list!A:N,14,FALSE)</f>
        <v>#N/A</v>
      </c>
    </row>
    <row r="1727" spans="1:21" ht="16.5" customHeight="1">
      <c r="A1727" s="159" t="s">
        <v>2744</v>
      </c>
      <c r="B1727" s="114" t="str">
        <f>VLOOKUP(A1727,'Data pick slip'!B:F,5,FALSE)</f>
        <v>KHJ-MC100-00</v>
      </c>
      <c r="F1727" s="157" t="s">
        <v>2773</v>
      </c>
      <c r="I1727" s="139" t="s">
        <v>3100</v>
      </c>
      <c r="J1727" s="139" t="s">
        <v>3195</v>
      </c>
      <c r="K1727" s="51" t="s">
        <v>1246</v>
      </c>
      <c r="L1727" s="4">
        <v>43777</v>
      </c>
      <c r="M1727" s="140">
        <v>3</v>
      </c>
      <c r="P1727" s="4" t="s">
        <v>291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2747</v>
      </c>
      <c r="B1728" s="114" t="str">
        <f>VLOOKUP(A1728,'Data pick slip'!B:F,5,FALSE)</f>
        <v>KHJ-MC200-00</v>
      </c>
      <c r="F1728" s="157" t="s">
        <v>2773</v>
      </c>
      <c r="I1728" s="139" t="s">
        <v>3100</v>
      </c>
      <c r="J1728" s="139" t="s">
        <v>3195</v>
      </c>
      <c r="K1728" s="51" t="s">
        <v>1246</v>
      </c>
      <c r="L1728" s="4">
        <v>43777</v>
      </c>
      <c r="M1728" s="140">
        <v>2</v>
      </c>
      <c r="P1728" s="4" t="s">
        <v>291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2747</v>
      </c>
      <c r="B1729" s="114" t="str">
        <f>VLOOKUP(A1729,'Data pick slip'!B:F,5,FALSE)</f>
        <v>KHJ-MC200-00</v>
      </c>
      <c r="F1729" s="157" t="s">
        <v>2773</v>
      </c>
      <c r="I1729" s="139" t="s">
        <v>3100</v>
      </c>
      <c r="J1729" s="139" t="s">
        <v>3196</v>
      </c>
      <c r="K1729" s="51" t="s">
        <v>1246</v>
      </c>
      <c r="L1729" s="4">
        <v>43780</v>
      </c>
      <c r="M1729" s="140">
        <v>5</v>
      </c>
      <c r="P1729" s="4" t="s">
        <v>291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2744</v>
      </c>
      <c r="B1730" s="114" t="str">
        <f>VLOOKUP(A1730,'Data pick slip'!B:F,5,FALSE)</f>
        <v>KHJ-MC100-00</v>
      </c>
      <c r="F1730" s="157" t="s">
        <v>2862</v>
      </c>
      <c r="H1730" s="138">
        <v>499</v>
      </c>
      <c r="I1730" s="139" t="str">
        <f>VLOOKUP(H1730,Stock_list!A:R,18,FALSE)</f>
        <v>灿明</v>
      </c>
      <c r="J1730" s="139" t="str">
        <f>VLOOKUP(H1730,Stock_list!A:S,17,FALSE)</f>
        <v>C49SZX20190163JY</v>
      </c>
      <c r="K1730" s="51" t="str">
        <f>VLOOKUP(H1730,Stock_list!A:T,16,FALSE)</f>
        <v>JPY</v>
      </c>
      <c r="L1730" s="4">
        <v>43822</v>
      </c>
      <c r="M1730" s="140">
        <v>140</v>
      </c>
      <c r="P1730" s="4" t="str">
        <f>VLOOKUP(H1730,Stock_list!A:Y,25,FALSE)</f>
        <v>Yes</v>
      </c>
      <c r="Q1730" s="143"/>
      <c r="T1730" s="144"/>
      <c r="U1730" s="145" t="str">
        <f>VLOOKUP(H1730,Stock_list!A:N,14,FALSE)</f>
        <v>DEC 19</v>
      </c>
    </row>
    <row r="1731" spans="1:21" ht="16.5" customHeight="1">
      <c r="A1731" s="159" t="s">
        <v>2747</v>
      </c>
      <c r="B1731" s="114" t="str">
        <f>VLOOKUP(A1731,'Data pick slip'!B:F,5,FALSE)</f>
        <v>KHJ-MC200-00</v>
      </c>
      <c r="F1731" s="157" t="s">
        <v>2862</v>
      </c>
      <c r="H1731" s="138">
        <v>499</v>
      </c>
      <c r="I1731" s="139" t="str">
        <f>VLOOKUP(H1731,Stock_list!A:R,18,FALSE)</f>
        <v>灿明</v>
      </c>
      <c r="J1731" s="139" t="str">
        <f>VLOOKUP(H1731,Stock_list!A:S,17,FALSE)</f>
        <v>C49SZX20190163JY</v>
      </c>
      <c r="K1731" s="51" t="str">
        <f>VLOOKUP(H1731,Stock_list!A:T,16,FALSE)</f>
        <v>JPY</v>
      </c>
      <c r="L1731" s="4">
        <v>43881</v>
      </c>
      <c r="M1731" s="140">
        <v>10</v>
      </c>
      <c r="P1731" s="4" t="str">
        <f>VLOOKUP(H1731,Stock_list!A:Y,25,FALSE)</f>
        <v>Yes</v>
      </c>
      <c r="Q1731" s="143"/>
      <c r="T1731" s="144"/>
      <c r="U1731" s="145" t="str">
        <f>VLOOKUP(H1731,Stock_list!A:N,14,FALSE)</f>
        <v>DEC 19</v>
      </c>
    </row>
    <row r="1732" spans="1:21" ht="16.5" customHeight="1">
      <c r="A1732" s="159" t="s">
        <v>2747</v>
      </c>
      <c r="B1732" s="114" t="str">
        <f>VLOOKUP(A1732,'Data pick slip'!B:F,5,FALSE)</f>
        <v>KHJ-MC200-00</v>
      </c>
      <c r="F1732" s="157" t="s">
        <v>2773</v>
      </c>
      <c r="I1732" s="139" t="s">
        <v>3094</v>
      </c>
      <c r="J1732" s="139" t="s">
        <v>3197</v>
      </c>
      <c r="K1732" s="51" t="s">
        <v>1246</v>
      </c>
      <c r="L1732" s="4">
        <v>43783</v>
      </c>
      <c r="M1732" s="140">
        <v>2</v>
      </c>
      <c r="P1732" s="4" t="s">
        <v>291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2744</v>
      </c>
      <c r="B1733" s="114" t="str">
        <f>VLOOKUP(A1733,'Data pick slip'!B:F,5,FALSE)</f>
        <v>KHJ-MC100-00</v>
      </c>
      <c r="F1733" s="157" t="s">
        <v>2862</v>
      </c>
      <c r="H1733" s="138">
        <v>528</v>
      </c>
      <c r="I1733" s="139" t="str">
        <f>VLOOKUP(H1733,Stock_list!A:R,18,FALSE)</f>
        <v>新明海</v>
      </c>
      <c r="J1733" s="139" t="str">
        <f>VLOOKUP(H1733,Stock_list!A:S,17,FALSE)</f>
        <v>C49SZX20190160R1ZX</v>
      </c>
      <c r="K1733" s="51" t="str">
        <f>VLOOKUP(H1733,Stock_list!A:T,16,FALSE)</f>
        <v>JPY</v>
      </c>
      <c r="L1733" s="4">
        <v>43902</v>
      </c>
      <c r="M1733" s="132">
        <v>37</v>
      </c>
      <c r="P1733" s="4" t="str">
        <f>VLOOKUP(H1733,Stock_list!A:Y,25,FALSE)</f>
        <v>Yes</v>
      </c>
      <c r="Q1733" s="143"/>
      <c r="T1733" s="144"/>
      <c r="U1733" s="145" t="str">
        <f>VLOOKUP(H1733,Stock_list!A:N,14,FALSE)</f>
        <v>MAR 20</v>
      </c>
    </row>
    <row r="1734" spans="1:21" ht="16.5" customHeight="1">
      <c r="A1734" s="159" t="s">
        <v>2747</v>
      </c>
      <c r="B1734" s="114" t="str">
        <f>VLOOKUP(A1734,'Data pick slip'!B:F,5,FALSE)</f>
        <v>KHJ-MC200-00</v>
      </c>
      <c r="F1734" s="157" t="s">
        <v>2862</v>
      </c>
      <c r="H1734" s="138">
        <v>528</v>
      </c>
      <c r="I1734" s="139" t="str">
        <f>VLOOKUP(H1734,Stock_list!A:R,18,FALSE)</f>
        <v>新明海</v>
      </c>
      <c r="J1734" s="139" t="str">
        <f>VLOOKUP(H1734,Stock_list!A:S,17,FALSE)</f>
        <v>C49SZX20190160R1ZX</v>
      </c>
      <c r="K1734" s="51" t="str">
        <f>VLOOKUP(H1734,Stock_list!A:T,16,FALSE)</f>
        <v>JPY</v>
      </c>
      <c r="L1734" s="4">
        <v>43902</v>
      </c>
      <c r="M1734" s="132">
        <v>14</v>
      </c>
      <c r="P1734" s="4" t="str">
        <f>VLOOKUP(H1734,Stock_list!A:Y,25,FALSE)</f>
        <v>Yes</v>
      </c>
      <c r="Q1734" s="143"/>
      <c r="T1734" s="144"/>
      <c r="U1734" s="145" t="str">
        <f>VLOOKUP(H1734,Stock_list!A:N,14,FALSE)</f>
        <v>MAR 20</v>
      </c>
    </row>
    <row r="1735" spans="1:21" ht="16.5" customHeight="1">
      <c r="A1735" s="159" t="s">
        <v>2748</v>
      </c>
      <c r="B1735" s="114" t="str">
        <f>VLOOKUP(A1735,'Data pick slip'!B:F,5,FALSE)</f>
        <v>KHJ-MC400-00</v>
      </c>
      <c r="F1735" s="157" t="s">
        <v>2862</v>
      </c>
      <c r="H1735" s="138">
        <v>528</v>
      </c>
      <c r="I1735" s="139" t="str">
        <f>VLOOKUP(H1735,Stock_list!A:R,18,FALSE)</f>
        <v>新明海</v>
      </c>
      <c r="J1735" s="139" t="str">
        <f>VLOOKUP(H1735,Stock_list!A:S,17,FALSE)</f>
        <v>C49SZX20190160R1ZX</v>
      </c>
      <c r="K1735" s="51" t="str">
        <f>VLOOKUP(H1735,Stock_list!A:T,16,FALSE)</f>
        <v>JPY</v>
      </c>
      <c r="L1735" s="4">
        <v>43902</v>
      </c>
      <c r="M1735" s="132">
        <v>8</v>
      </c>
      <c r="P1735" s="4" t="str">
        <f>VLOOKUP(H1735,Stock_list!A:Y,25,FALSE)</f>
        <v>Yes</v>
      </c>
      <c r="Q1735" s="143"/>
      <c r="T1735" s="144"/>
      <c r="U1735" s="145" t="str">
        <f>VLOOKUP(H1735,Stock_list!A:N,14,FALSE)</f>
        <v>MAR 20</v>
      </c>
    </row>
    <row r="1736" spans="1:21" ht="16.5" customHeight="1">
      <c r="A1736" s="159" t="s">
        <v>2749</v>
      </c>
      <c r="B1736" s="114" t="str">
        <f>VLOOKUP(A1736,'Data pick slip'!B:F,5,FALSE)</f>
        <v>KHJ-MC500-00</v>
      </c>
      <c r="F1736" s="157" t="s">
        <v>2862</v>
      </c>
      <c r="H1736" s="138">
        <v>528</v>
      </c>
      <c r="I1736" s="139" t="str">
        <f>VLOOKUP(H1736,Stock_list!A:R,18,FALSE)</f>
        <v>新明海</v>
      </c>
      <c r="J1736" s="139" t="str">
        <f>VLOOKUP(H1736,Stock_list!A:S,17,FALSE)</f>
        <v>C49SZX20190160R1ZX</v>
      </c>
      <c r="K1736" s="51" t="str">
        <f>VLOOKUP(H1736,Stock_list!A:T,16,FALSE)</f>
        <v>JPY</v>
      </c>
      <c r="L1736" s="4">
        <v>43902</v>
      </c>
      <c r="M1736" s="132">
        <v>1</v>
      </c>
      <c r="P1736" s="4" t="str">
        <f>VLOOKUP(H1736,Stock_list!A:Y,25,FALSE)</f>
        <v>Yes</v>
      </c>
      <c r="Q1736" s="143"/>
      <c r="T1736" s="144"/>
      <c r="U1736" s="145" t="str">
        <f>VLOOKUP(H1736,Stock_list!A:N,14,FALSE)</f>
        <v>MAR 20</v>
      </c>
    </row>
    <row r="1737" spans="1:21" ht="16.5" customHeight="1">
      <c r="A1737" s="159" t="s">
        <v>2750</v>
      </c>
      <c r="B1737" s="114" t="str">
        <f>VLOOKUP(A1737,'Data pick slip'!B:F,5,FALSE)</f>
        <v>KHJ-MC600-00</v>
      </c>
      <c r="F1737" s="157" t="s">
        <v>2862</v>
      </c>
      <c r="H1737" s="138">
        <v>528</v>
      </c>
      <c r="I1737" s="139" t="str">
        <f>VLOOKUP(H1737,Stock_list!A:R,18,FALSE)</f>
        <v>新明海</v>
      </c>
      <c r="J1737" s="139" t="str">
        <f>VLOOKUP(H1737,Stock_list!A:S,17,FALSE)</f>
        <v>C49SZX20190160R1ZX</v>
      </c>
      <c r="K1737" s="51" t="str">
        <f>VLOOKUP(H1737,Stock_list!A:T,16,FALSE)</f>
        <v>JPY</v>
      </c>
      <c r="L1737" s="4">
        <v>43902</v>
      </c>
      <c r="M1737" s="132">
        <v>2</v>
      </c>
      <c r="P1737" s="4" t="str">
        <f>VLOOKUP(H1737,Stock_list!A:Y,25,FALSE)</f>
        <v>Yes</v>
      </c>
      <c r="Q1737" s="143"/>
      <c r="T1737" s="144"/>
      <c r="U1737" s="145" t="str">
        <f>VLOOKUP(H1737,Stock_list!A:N,14,FALSE)</f>
        <v>MAR 20</v>
      </c>
    </row>
    <row r="1738" spans="1:21" ht="16.5" customHeight="1">
      <c r="A1738" s="159" t="s">
        <v>2744</v>
      </c>
      <c r="B1738" s="114" t="str">
        <f>VLOOKUP(A1738,'Data pick slip'!B:F,5,FALSE)</f>
        <v>KHJ-MC100-00</v>
      </c>
      <c r="F1738" s="157" t="s">
        <v>2862</v>
      </c>
      <c r="H1738" s="138">
        <v>510</v>
      </c>
      <c r="I1738" s="139" t="str">
        <f>VLOOKUP(H1738,Stock_list!A:R,18,FALSE)</f>
        <v>乐上</v>
      </c>
      <c r="J1738" s="139" t="str">
        <f>VLOOKUP(H1738,Stock_list!A:S,17,FALSE)</f>
        <v>C49SZX20190617SS</v>
      </c>
      <c r="K1738" s="51" t="str">
        <f>VLOOKUP(H1738,Stock_list!A:T,16,FALSE)</f>
        <v>JPY</v>
      </c>
      <c r="L1738" s="4">
        <v>43795</v>
      </c>
      <c r="M1738" s="132">
        <v>19</v>
      </c>
      <c r="P1738" s="4" t="str">
        <f>VLOOKUP(H1738,Stock_list!A:Y,25,FALSE)</f>
        <v>Yes</v>
      </c>
      <c r="Q1738" s="143"/>
      <c r="T1738" s="144"/>
      <c r="U1738" s="145" t="str">
        <f>VLOOKUP(H1738,Stock_list!A:N,14,FALSE)</f>
        <v>NOV 19</v>
      </c>
    </row>
    <row r="1739" spans="1:21" ht="16.5" customHeight="1">
      <c r="A1739" s="159" t="s">
        <v>2747</v>
      </c>
      <c r="B1739" s="114" t="str">
        <f>VLOOKUP(A1739,'Data pick slip'!B:F,5,FALSE)</f>
        <v>KHJ-MC200-00</v>
      </c>
      <c r="F1739" s="157" t="s">
        <v>2862</v>
      </c>
      <c r="H1739" s="138">
        <v>510</v>
      </c>
      <c r="I1739" s="139" t="str">
        <f>VLOOKUP(H1739,Stock_list!A:R,18,FALSE)</f>
        <v>乐上</v>
      </c>
      <c r="J1739" s="139" t="str">
        <f>VLOOKUP(H1739,Stock_list!A:S,17,FALSE)</f>
        <v>C49SZX20190617SS</v>
      </c>
      <c r="K1739" s="51" t="str">
        <f>VLOOKUP(H1739,Stock_list!A:T,16,FALSE)</f>
        <v>JPY</v>
      </c>
      <c r="L1739" s="4">
        <v>43795</v>
      </c>
      <c r="M1739" s="132">
        <v>2</v>
      </c>
      <c r="P1739" s="4" t="str">
        <f>VLOOKUP(H1739,Stock_list!A:Y,25,FALSE)</f>
        <v>Yes</v>
      </c>
      <c r="Q1739" s="143"/>
      <c r="T1739" s="144"/>
      <c r="U1739" s="145" t="str">
        <f>VLOOKUP(H1739,Stock_list!A:N,14,FALSE)</f>
        <v>NOV 19</v>
      </c>
    </row>
    <row r="1740" spans="1:21" ht="16.5" customHeight="1">
      <c r="A1740" s="159" t="s">
        <v>2748</v>
      </c>
      <c r="B1740" s="114" t="str">
        <f>VLOOKUP(A1740,'Data pick slip'!B:F,5,FALSE)</f>
        <v>KHJ-MC400-00</v>
      </c>
      <c r="F1740" s="157" t="s">
        <v>2862</v>
      </c>
      <c r="H1740" s="138">
        <v>510</v>
      </c>
      <c r="I1740" s="139" t="str">
        <f>VLOOKUP(H1740,Stock_list!A:R,18,FALSE)</f>
        <v>乐上</v>
      </c>
      <c r="J1740" s="139" t="str">
        <f>VLOOKUP(H1740,Stock_list!A:S,17,FALSE)</f>
        <v>C49SZX20190617SS</v>
      </c>
      <c r="K1740" s="51" t="str">
        <f>VLOOKUP(H1740,Stock_list!A:T,16,FALSE)</f>
        <v>JPY</v>
      </c>
      <c r="L1740" s="4">
        <v>43795</v>
      </c>
      <c r="M1740" s="132">
        <v>2</v>
      </c>
      <c r="P1740" s="4" t="str">
        <f>VLOOKUP(H1740,Stock_list!A:Y,25,FALSE)</f>
        <v>Yes</v>
      </c>
      <c r="Q1740" s="143"/>
      <c r="T1740" s="144"/>
      <c r="U1740" s="145" t="str">
        <f>VLOOKUP(H1740,Stock_list!A:N,14,FALSE)</f>
        <v>NOV 19</v>
      </c>
    </row>
    <row r="1741" spans="1:21" ht="16.5" customHeight="1">
      <c r="A1741" s="159" t="s">
        <v>2744</v>
      </c>
      <c r="B1741" s="114" t="str">
        <f>VLOOKUP(A1741,'Data pick slip'!B:F,5,FALSE)</f>
        <v>KHJ-MC100-00</v>
      </c>
      <c r="F1741" s="157" t="s">
        <v>2773</v>
      </c>
      <c r="I1741" s="139" t="s">
        <v>3100</v>
      </c>
      <c r="J1741" s="139" t="s">
        <v>3198</v>
      </c>
      <c r="K1741" s="51" t="s">
        <v>1246</v>
      </c>
      <c r="L1741" s="4">
        <v>43784</v>
      </c>
      <c r="M1741" s="140">
        <v>50</v>
      </c>
      <c r="P1741" s="4" t="s">
        <v>291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2747</v>
      </c>
      <c r="B1742" s="114" t="str">
        <f>VLOOKUP(A1742,'Data pick slip'!B:F,5,FALSE)</f>
        <v>KHJ-MC200-00</v>
      </c>
      <c r="F1742" s="157" t="s">
        <v>2773</v>
      </c>
      <c r="I1742" s="139" t="s">
        <v>3100</v>
      </c>
      <c r="J1742" s="139" t="s">
        <v>3198</v>
      </c>
      <c r="K1742" s="51" t="s">
        <v>1246</v>
      </c>
      <c r="L1742" s="4">
        <v>43784</v>
      </c>
      <c r="M1742" s="140">
        <v>8</v>
      </c>
      <c r="P1742" s="4" t="s">
        <v>291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2748</v>
      </c>
      <c r="B1743" s="114" t="str">
        <f>VLOOKUP(A1743,'Data pick slip'!B:F,5,FALSE)</f>
        <v>KHJ-MC400-00</v>
      </c>
      <c r="F1743" s="157" t="s">
        <v>2773</v>
      </c>
      <c r="I1743" s="139" t="s">
        <v>3100</v>
      </c>
      <c r="J1743" s="139" t="s">
        <v>3198</v>
      </c>
      <c r="K1743" s="51" t="s">
        <v>1246</v>
      </c>
      <c r="L1743" s="4">
        <v>43784</v>
      </c>
      <c r="M1743" s="140">
        <v>3</v>
      </c>
      <c r="P1743" s="4" t="s">
        <v>291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2747</v>
      </c>
      <c r="B1744" s="114" t="str">
        <f>VLOOKUP(A1744,'Data pick slip'!B:F,5,FALSE)</f>
        <v>KHJ-MC200-00</v>
      </c>
      <c r="F1744" s="157" t="s">
        <v>2773</v>
      </c>
      <c r="I1744" s="139" t="s">
        <v>3100</v>
      </c>
      <c r="J1744" s="139" t="s">
        <v>3199</v>
      </c>
      <c r="K1744" s="51" t="s">
        <v>1246</v>
      </c>
      <c r="L1744" s="4">
        <v>43777</v>
      </c>
      <c r="M1744" s="140">
        <v>10</v>
      </c>
      <c r="P1744" s="4" t="s">
        <v>291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2748</v>
      </c>
      <c r="B1745" s="114" t="str">
        <f>VLOOKUP(A1745,'Data pick slip'!B:F,5,FALSE)</f>
        <v>KHJ-MC400-00</v>
      </c>
      <c r="F1745" s="157" t="s">
        <v>2773</v>
      </c>
      <c r="I1745" s="139" t="s">
        <v>3100</v>
      </c>
      <c r="J1745" s="139" t="s">
        <v>3199</v>
      </c>
      <c r="K1745" s="51" t="s">
        <v>1246</v>
      </c>
      <c r="L1745" s="4">
        <v>43777</v>
      </c>
      <c r="M1745" s="140">
        <v>4</v>
      </c>
      <c r="P1745" s="4" t="s">
        <v>291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2744</v>
      </c>
      <c r="B1746" s="114" t="str">
        <f>VLOOKUP(A1746,'Data pick slip'!B:F,5,FALSE)</f>
        <v>KHJ-MC100-00</v>
      </c>
      <c r="F1746" s="157" t="s">
        <v>2862</v>
      </c>
      <c r="I1746" s="139" t="s">
        <v>3016</v>
      </c>
      <c r="J1746" s="139" t="s">
        <v>3200</v>
      </c>
      <c r="K1746" s="51" t="s">
        <v>1246</v>
      </c>
      <c r="L1746" s="4">
        <v>43790</v>
      </c>
      <c r="M1746" s="140">
        <v>300</v>
      </c>
      <c r="P1746" s="4" t="s">
        <v>291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2747</v>
      </c>
      <c r="B1747" s="114" t="str">
        <f>VLOOKUP(A1747,'Data pick slip'!B:F,5,FALSE)</f>
        <v>KHJ-MC200-00</v>
      </c>
      <c r="F1747" s="157" t="s">
        <v>2862</v>
      </c>
      <c r="I1747" s="139" t="s">
        <v>3016</v>
      </c>
      <c r="J1747" s="139" t="s">
        <v>3200</v>
      </c>
      <c r="K1747" s="51" t="s">
        <v>1246</v>
      </c>
      <c r="L1747" s="4">
        <v>43790</v>
      </c>
      <c r="M1747" s="140">
        <v>20</v>
      </c>
      <c r="P1747" s="4" t="s">
        <v>291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2748</v>
      </c>
      <c r="B1748" s="114" t="str">
        <f>VLOOKUP(A1748,'Data pick slip'!B:F,5,FALSE)</f>
        <v>KHJ-MC400-00</v>
      </c>
      <c r="F1748" s="157" t="s">
        <v>2862</v>
      </c>
      <c r="I1748" s="139" t="s">
        <v>3016</v>
      </c>
      <c r="J1748" s="139" t="s">
        <v>3200</v>
      </c>
      <c r="K1748" s="51" t="s">
        <v>1246</v>
      </c>
      <c r="L1748" s="4">
        <v>43790</v>
      </c>
      <c r="M1748" s="140">
        <v>10</v>
      </c>
      <c r="P1748" s="4" t="s">
        <v>291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2749</v>
      </c>
      <c r="B1749" s="114" t="str">
        <f>VLOOKUP(A1749,'Data pick slip'!B:F,5,FALSE)</f>
        <v>KHJ-MC500-00</v>
      </c>
      <c r="F1749" s="157" t="s">
        <v>2862</v>
      </c>
      <c r="I1749" s="139" t="s">
        <v>3016</v>
      </c>
      <c r="J1749" s="139" t="s">
        <v>3200</v>
      </c>
      <c r="K1749" s="51" t="s">
        <v>1246</v>
      </c>
      <c r="L1749" s="4">
        <v>43790</v>
      </c>
      <c r="M1749" s="140">
        <v>8</v>
      </c>
      <c r="P1749" s="4" t="s">
        <v>291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2747</v>
      </c>
      <c r="B1750" s="114" t="str">
        <f>VLOOKUP(A1750,'Data pick slip'!B:F,5,FALSE)</f>
        <v>KHJ-MC200-00</v>
      </c>
      <c r="F1750" s="157" t="s">
        <v>2773</v>
      </c>
      <c r="I1750" s="139" t="s">
        <v>3201</v>
      </c>
      <c r="J1750" s="139" t="s">
        <v>3202</v>
      </c>
      <c r="K1750" s="51" t="s">
        <v>1246</v>
      </c>
      <c r="L1750" s="4">
        <v>43788</v>
      </c>
      <c r="M1750" s="140">
        <v>5</v>
      </c>
      <c r="P1750" s="4" t="s">
        <v>291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2748</v>
      </c>
      <c r="B1751" s="114" t="str">
        <f>VLOOKUP(A1751,'Data pick slip'!B:F,5,FALSE)</f>
        <v>KHJ-MC400-00</v>
      </c>
      <c r="F1751" s="157" t="s">
        <v>2773</v>
      </c>
      <c r="I1751" s="139" t="s">
        <v>3201</v>
      </c>
      <c r="J1751" s="139" t="s">
        <v>3202</v>
      </c>
      <c r="K1751" s="51" t="s">
        <v>1246</v>
      </c>
      <c r="L1751" s="4">
        <v>43788</v>
      </c>
      <c r="M1751" s="140">
        <v>3</v>
      </c>
      <c r="P1751" s="4" t="s">
        <v>291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2749</v>
      </c>
      <c r="B1752" s="114" t="str">
        <f>VLOOKUP(A1752,'Data pick slip'!B:F,5,FALSE)</f>
        <v>KHJ-MC500-00</v>
      </c>
      <c r="F1752" s="157" t="s">
        <v>2773</v>
      </c>
      <c r="I1752" s="139" t="s">
        <v>3201</v>
      </c>
      <c r="J1752" s="139" t="s">
        <v>3202</v>
      </c>
      <c r="K1752" s="51" t="s">
        <v>1246</v>
      </c>
      <c r="L1752" s="4">
        <v>43788</v>
      </c>
      <c r="M1752" s="140">
        <v>1</v>
      </c>
      <c r="P1752" s="4" t="s">
        <v>291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2744</v>
      </c>
      <c r="B1753" s="114" t="str">
        <f>VLOOKUP(A1753,'Data pick slip'!B:F,5,FALSE)</f>
        <v>KHJ-MC100-00</v>
      </c>
      <c r="F1753" s="157" t="s">
        <v>2862</v>
      </c>
      <c r="H1753" s="138">
        <v>512</v>
      </c>
      <c r="I1753" s="139" t="str">
        <f>VLOOKUP(H1753,Stock_list!A:R,18,FALSE)</f>
        <v>君博信</v>
      </c>
      <c r="J1753" s="139" t="str">
        <f>VLOOKUP(H1753,Stock_list!A:S,17,FALSE)</f>
        <v>C49SZX20190171CX</v>
      </c>
      <c r="K1753" s="51" t="str">
        <f>VLOOKUP(H1753,Stock_list!A:T,16,FALSE)</f>
        <v>JPY</v>
      </c>
      <c r="L1753" s="4">
        <v>43812</v>
      </c>
      <c r="M1753" s="132">
        <v>35</v>
      </c>
      <c r="P1753" s="4" t="str">
        <f>VLOOKUP(H1753,Stock_list!A:Y,25,FALSE)</f>
        <v>Yes</v>
      </c>
      <c r="Q1753" s="143"/>
      <c r="T1753" s="144"/>
      <c r="U1753" s="145" t="str">
        <f>VLOOKUP(H1753,Stock_list!A:N,14,FALSE)</f>
        <v>DEC 19</v>
      </c>
    </row>
    <row r="1754" spans="1:21" ht="16.5" customHeight="1">
      <c r="A1754" s="159" t="s">
        <v>2744</v>
      </c>
      <c r="B1754" s="114" t="str">
        <f>VLOOKUP(A1754,'Data pick slip'!B:F,5,FALSE)</f>
        <v>KHJ-MC100-00</v>
      </c>
      <c r="F1754" s="157" t="s">
        <v>2862</v>
      </c>
      <c r="H1754" s="138">
        <v>513</v>
      </c>
      <c r="I1754" s="139" t="str">
        <f>VLOOKUP(H1754,Stock_list!A:R,18,FALSE)</f>
        <v>宽宏</v>
      </c>
      <c r="J1754" s="139" t="str">
        <f>VLOOKUP(H1754,Stock_list!A:S,17,FALSE)</f>
        <v>C49SZX20190172ZX</v>
      </c>
      <c r="K1754" s="51" t="str">
        <f>VLOOKUP(H1754,Stock_list!A:T,16,FALSE)</f>
        <v>JPY</v>
      </c>
      <c r="L1754" s="4">
        <v>43838</v>
      </c>
      <c r="M1754" s="132">
        <v>115</v>
      </c>
      <c r="P1754" s="4" t="str">
        <f>VLOOKUP(H1754,Stock_list!A:Y,25,FALSE)</f>
        <v>Yes</v>
      </c>
      <c r="Q1754" s="143"/>
      <c r="T1754" s="144"/>
      <c r="U1754" s="145" t="str">
        <f>VLOOKUP(H1754,Stock_list!A:N,14,FALSE)</f>
        <v>JAN 20</v>
      </c>
    </row>
    <row r="1755" spans="1:21" ht="16.5" customHeight="1">
      <c r="A1755" s="159" t="s">
        <v>2747</v>
      </c>
      <c r="B1755" s="114" t="str">
        <f>VLOOKUP(A1755,'Data pick slip'!B:F,5,FALSE)</f>
        <v>KHJ-MC200-00</v>
      </c>
      <c r="F1755" s="157" t="s">
        <v>2862</v>
      </c>
      <c r="H1755" s="138">
        <v>513</v>
      </c>
      <c r="I1755" s="139" t="str">
        <f>VLOOKUP(H1755,Stock_list!A:R,18,FALSE)</f>
        <v>宽宏</v>
      </c>
      <c r="J1755" s="139" t="str">
        <f>VLOOKUP(H1755,Stock_list!A:S,17,FALSE)</f>
        <v>C49SZX20190172ZX</v>
      </c>
      <c r="K1755" s="51" t="str">
        <f>VLOOKUP(H1755,Stock_list!A:T,16,FALSE)</f>
        <v>JPY</v>
      </c>
      <c r="L1755" s="4">
        <v>43838</v>
      </c>
      <c r="M1755" s="132">
        <v>10</v>
      </c>
      <c r="P1755" s="4" t="str">
        <f>VLOOKUP(H1755,Stock_list!A:Y,25,FALSE)</f>
        <v>Yes</v>
      </c>
      <c r="Q1755" s="143"/>
      <c r="T1755" s="144"/>
      <c r="U1755" s="145" t="str">
        <f>VLOOKUP(H1755,Stock_list!A:N,14,FALSE)</f>
        <v>JAN 20</v>
      </c>
    </row>
    <row r="1756" spans="1:21" ht="16.5" customHeight="1">
      <c r="A1756" s="159" t="s">
        <v>2748</v>
      </c>
      <c r="B1756" s="114" t="str">
        <f>VLOOKUP(A1756,'Data pick slip'!B:F,5,FALSE)</f>
        <v>KHJ-MC400-00</v>
      </c>
      <c r="F1756" s="157" t="s">
        <v>2862</v>
      </c>
      <c r="H1756" s="138">
        <v>513</v>
      </c>
      <c r="I1756" s="139" t="str">
        <f>VLOOKUP(H1756,Stock_list!A:R,18,FALSE)</f>
        <v>宽宏</v>
      </c>
      <c r="J1756" s="139" t="str">
        <f>VLOOKUP(H1756,Stock_list!A:S,17,FALSE)</f>
        <v>C49SZX20190172ZX</v>
      </c>
      <c r="K1756" s="51" t="str">
        <f>VLOOKUP(H1756,Stock_list!A:T,16,FALSE)</f>
        <v>JPY</v>
      </c>
      <c r="L1756" s="4">
        <v>43838</v>
      </c>
      <c r="M1756" s="132">
        <v>2</v>
      </c>
      <c r="P1756" s="4" t="str">
        <f>VLOOKUP(H1756,Stock_list!A:Y,25,FALSE)</f>
        <v>Yes</v>
      </c>
      <c r="Q1756" s="143"/>
      <c r="T1756" s="144"/>
      <c r="U1756" s="145" t="str">
        <f>VLOOKUP(H1756,Stock_list!A:N,14,FALSE)</f>
        <v>JAN 20</v>
      </c>
    </row>
    <row r="1757" spans="1:21" ht="16.5" customHeight="1">
      <c r="A1757" s="159" t="s">
        <v>2749</v>
      </c>
      <c r="B1757" s="114" t="str">
        <f>VLOOKUP(A1757,'Data pick slip'!B:F,5,FALSE)</f>
        <v>KHJ-MC500-00</v>
      </c>
      <c r="F1757" s="157" t="s">
        <v>2862</v>
      </c>
      <c r="H1757" s="138">
        <v>513</v>
      </c>
      <c r="I1757" s="139" t="str">
        <f>VLOOKUP(H1757,Stock_list!A:R,18,FALSE)</f>
        <v>宽宏</v>
      </c>
      <c r="J1757" s="139" t="str">
        <f>VLOOKUP(H1757,Stock_list!A:S,17,FALSE)</f>
        <v>C49SZX20190172ZX</v>
      </c>
      <c r="K1757" s="51" t="str">
        <f>VLOOKUP(H1757,Stock_list!A:T,16,FALSE)</f>
        <v>JPY</v>
      </c>
      <c r="L1757" s="4">
        <v>43838</v>
      </c>
      <c r="M1757" s="132">
        <v>1</v>
      </c>
      <c r="P1757" s="4" t="str">
        <f>VLOOKUP(H1757,Stock_list!A:Y,25,FALSE)</f>
        <v>Yes</v>
      </c>
      <c r="Q1757" s="143"/>
      <c r="T1757" s="144"/>
      <c r="U1757" s="145" t="str">
        <f>VLOOKUP(H1757,Stock_list!A:N,14,FALSE)</f>
        <v>JAN 20</v>
      </c>
    </row>
    <row r="1758" spans="1:21" ht="16.5" customHeight="1">
      <c r="A1758" s="159" t="s">
        <v>2744</v>
      </c>
      <c r="B1758" s="114" t="str">
        <f>VLOOKUP(A1758,'Data pick slip'!B:F,5,FALSE)</f>
        <v>KHJ-MC100-00</v>
      </c>
      <c r="F1758" s="157" t="s">
        <v>2862</v>
      </c>
      <c r="H1758" s="138">
        <v>516</v>
      </c>
      <c r="I1758" s="139" t="str">
        <f>VLOOKUP(H1758,Stock_list!A:R,18,FALSE)</f>
        <v>创伟峰</v>
      </c>
      <c r="J1758" s="139" t="str">
        <f>VLOOKUP(H1758,Stock_list!A:S,17,FALSE)</f>
        <v>C49SZX20190169MZ</v>
      </c>
      <c r="K1758" s="51" t="str">
        <f>VLOOKUP(H1758,Stock_list!A:T,16,FALSE)</f>
        <v>JPY</v>
      </c>
      <c r="L1758" s="4">
        <v>43846</v>
      </c>
      <c r="M1758" s="132">
        <v>60</v>
      </c>
      <c r="P1758" s="4" t="str">
        <f>VLOOKUP(H1758,Stock_list!A:Y,25,FALSE)</f>
        <v>Yes</v>
      </c>
      <c r="Q1758" s="143"/>
      <c r="T1758" s="144"/>
      <c r="U1758" s="145" t="str">
        <f>VLOOKUP(H1758,Stock_list!A:N,14,FALSE)</f>
        <v>JAN 20</v>
      </c>
    </row>
    <row r="1759" spans="1:21" ht="16.5" customHeight="1">
      <c r="A1759" s="159" t="s">
        <v>2747</v>
      </c>
      <c r="B1759" s="114" t="str">
        <f>VLOOKUP(A1759,'Data pick slip'!B:F,5,FALSE)</f>
        <v>KHJ-MC200-00</v>
      </c>
      <c r="F1759" s="157" t="s">
        <v>2862</v>
      </c>
      <c r="H1759" s="138">
        <v>516</v>
      </c>
      <c r="I1759" s="139" t="str">
        <f>VLOOKUP(H1759,Stock_list!A:R,18,FALSE)</f>
        <v>创伟峰</v>
      </c>
      <c r="J1759" s="139" t="str">
        <f>VLOOKUP(H1759,Stock_list!A:S,17,FALSE)</f>
        <v>C49SZX20190169MZ</v>
      </c>
      <c r="K1759" s="51" t="str">
        <f>VLOOKUP(H1759,Stock_list!A:T,16,FALSE)</f>
        <v>JPY</v>
      </c>
      <c r="L1759" s="4">
        <v>43846</v>
      </c>
      <c r="M1759" s="132">
        <v>2</v>
      </c>
      <c r="P1759" s="4" t="str">
        <f>VLOOKUP(H1759,Stock_list!A:Y,25,FALSE)</f>
        <v>Yes</v>
      </c>
      <c r="Q1759" s="143"/>
      <c r="T1759" s="144"/>
      <c r="U1759" s="145" t="str">
        <f>VLOOKUP(H1759,Stock_list!A:N,14,FALSE)</f>
        <v>JAN 20</v>
      </c>
    </row>
    <row r="1760" spans="1:21" ht="16.5" customHeight="1">
      <c r="A1760" s="159" t="s">
        <v>2749</v>
      </c>
      <c r="B1760" s="114" t="str">
        <f>VLOOKUP(A1760,'Data pick slip'!B:F,5,FALSE)</f>
        <v>KHJ-MC500-00</v>
      </c>
      <c r="F1760" s="157" t="s">
        <v>2773</v>
      </c>
      <c r="I1760" s="139" t="s">
        <v>3094</v>
      </c>
      <c r="J1760" s="139" t="s">
        <v>3203</v>
      </c>
      <c r="K1760" s="51" t="s">
        <v>1246</v>
      </c>
      <c r="L1760" s="4">
        <v>43794</v>
      </c>
      <c r="M1760" s="140">
        <v>1</v>
      </c>
      <c r="P1760" s="4" t="s">
        <v>291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2750</v>
      </c>
      <c r="B1761" s="114" t="str">
        <f>VLOOKUP(A1761,'Data pick slip'!B:F,5,FALSE)</f>
        <v>KHJ-MC600-00</v>
      </c>
      <c r="F1761" s="157" t="s">
        <v>2773</v>
      </c>
      <c r="I1761" s="139" t="s">
        <v>3116</v>
      </c>
      <c r="J1761" s="139" t="s">
        <v>3204</v>
      </c>
      <c r="K1761" s="51" t="s">
        <v>1246</v>
      </c>
      <c r="L1761" s="4">
        <v>43790</v>
      </c>
      <c r="M1761" s="140">
        <v>1</v>
      </c>
      <c r="P1761" s="4" t="s">
        <v>291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2747</v>
      </c>
      <c r="B1762" s="114" t="str">
        <f>VLOOKUP(A1762,'Data pick slip'!B:F,5,FALSE)</f>
        <v>KHJ-MC200-00</v>
      </c>
      <c r="F1762" s="157" t="s">
        <v>2773</v>
      </c>
      <c r="I1762" s="139" t="s">
        <v>3140</v>
      </c>
      <c r="J1762" s="139" t="s">
        <v>3205</v>
      </c>
      <c r="K1762" s="51" t="s">
        <v>1246</v>
      </c>
      <c r="L1762" s="4">
        <v>43790</v>
      </c>
      <c r="M1762" s="140">
        <v>3</v>
      </c>
      <c r="P1762" s="4" t="s">
        <v>291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2747</v>
      </c>
      <c r="B1763" s="114" t="str">
        <f>VLOOKUP(A1763,'Data pick slip'!B:F,5,FALSE)</f>
        <v>KHJ-MC200-00</v>
      </c>
      <c r="F1763" s="157" t="s">
        <v>2773</v>
      </c>
      <c r="I1763" s="139" t="s">
        <v>3094</v>
      </c>
      <c r="J1763" s="139" t="s">
        <v>3206</v>
      </c>
      <c r="K1763" s="51" t="s">
        <v>1246</v>
      </c>
      <c r="L1763" s="4">
        <v>43795</v>
      </c>
      <c r="M1763" s="140">
        <v>3</v>
      </c>
      <c r="P1763" s="4" t="s">
        <v>291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2755</v>
      </c>
      <c r="B1764" s="114" t="str">
        <f>VLOOKUP(A1764,'Data pick slip'!B:F,5,FALSE)</f>
        <v>KLJ-MC100-00</v>
      </c>
      <c r="F1764" s="157" t="s">
        <v>2773</v>
      </c>
      <c r="H1764" s="138">
        <v>518</v>
      </c>
      <c r="I1764" s="139" t="str">
        <f>VLOOKUP(H1764,Stock_list!A:R,18,FALSE)</f>
        <v>安林</v>
      </c>
      <c r="J1764" s="139" t="str">
        <f>VLOOKUP(H1764,Stock_list!A:S,17,FALSE)</f>
        <v>C49SZX20190175SX</v>
      </c>
      <c r="K1764" s="51" t="str">
        <f>VLOOKUP(H1764,Stock_list!A:T,16,FALSE)</f>
        <v>RMB</v>
      </c>
      <c r="L1764" s="4">
        <v>43817</v>
      </c>
      <c r="M1764" s="132">
        <v>80</v>
      </c>
      <c r="P1764" s="4" t="str">
        <f>VLOOKUP(H1764,Stock_list!A:Y,25,FALSE)</f>
        <v>Yes</v>
      </c>
      <c r="Q1764" s="143"/>
      <c r="T1764" s="144"/>
      <c r="U1764" s="145" t="str">
        <f>VLOOKUP(H1764,Stock_list!A:N,14,FALSE)</f>
        <v>DEC 19</v>
      </c>
    </row>
    <row r="1765" spans="1:21" ht="16.5" customHeight="1">
      <c r="A1765" s="159" t="s">
        <v>2744</v>
      </c>
      <c r="B1765" s="114" t="str">
        <f>VLOOKUP(A1765,'Data pick slip'!B:F,5,FALSE)</f>
        <v>KHJ-MC100-00</v>
      </c>
      <c r="F1765" s="157" t="s">
        <v>2862</v>
      </c>
      <c r="H1765" s="138">
        <v>521</v>
      </c>
      <c r="I1765" s="139" t="str">
        <f>VLOOKUP(H1765,Stock_list!A:R,18,FALSE)</f>
        <v>宏威创</v>
      </c>
      <c r="J1765" s="139" t="str">
        <f>VLOOKUP(H1765,Stock_list!A:S,17,FALSE)</f>
        <v>C49SZX20190167SS</v>
      </c>
      <c r="K1765" s="51" t="str">
        <f>VLOOKUP(H1765,Stock_list!A:T,16,FALSE)</f>
        <v>JPY</v>
      </c>
      <c r="L1765" s="4">
        <v>43843</v>
      </c>
      <c r="M1765" s="132">
        <v>64</v>
      </c>
      <c r="P1765" s="4" t="str">
        <f>VLOOKUP(H1765,Stock_list!A:Y,25,FALSE)</f>
        <v>Yes</v>
      </c>
      <c r="Q1765" s="143"/>
      <c r="T1765" s="144"/>
      <c r="U1765" s="145" t="str">
        <f>VLOOKUP(H1765,Stock_list!A:N,14,FALSE)</f>
        <v>JAN 20</v>
      </c>
    </row>
    <row r="1766" spans="1:21" ht="16.5" customHeight="1">
      <c r="A1766" s="159" t="s">
        <v>2747</v>
      </c>
      <c r="B1766" s="114" t="str">
        <f>VLOOKUP(A1766,'Data pick slip'!B:F,5,FALSE)</f>
        <v>KHJ-MC200-00</v>
      </c>
      <c r="F1766" s="157" t="s">
        <v>2862</v>
      </c>
      <c r="H1766" s="138">
        <v>521</v>
      </c>
      <c r="I1766" s="139" t="str">
        <f>VLOOKUP(H1766,Stock_list!A:R,18,FALSE)</f>
        <v>宏威创</v>
      </c>
      <c r="J1766" s="139" t="str">
        <f>VLOOKUP(H1766,Stock_list!A:S,17,FALSE)</f>
        <v>C49SZX20190167SS</v>
      </c>
      <c r="K1766" s="51" t="str">
        <f>VLOOKUP(H1766,Stock_list!A:T,16,FALSE)</f>
        <v>JPY</v>
      </c>
      <c r="L1766" s="4">
        <v>43843</v>
      </c>
      <c r="M1766" s="132">
        <v>7</v>
      </c>
      <c r="P1766" s="4" t="str">
        <f>VLOOKUP(H1766,Stock_list!A:Y,25,FALSE)</f>
        <v>Yes</v>
      </c>
      <c r="Q1766" s="143"/>
      <c r="T1766" s="144"/>
      <c r="U1766" s="145" t="str">
        <f>VLOOKUP(H1766,Stock_list!A:N,14,FALSE)</f>
        <v>JAN 20</v>
      </c>
    </row>
    <row r="1767" spans="1:21" ht="16.5" customHeight="1">
      <c r="A1767" s="159" t="s">
        <v>2748</v>
      </c>
      <c r="B1767" s="114" t="str">
        <f>VLOOKUP(A1767,'Data pick slip'!B:F,5,FALSE)</f>
        <v>KHJ-MC400-00</v>
      </c>
      <c r="F1767" s="157" t="s">
        <v>2862</v>
      </c>
      <c r="H1767" s="138">
        <v>521</v>
      </c>
      <c r="I1767" s="139" t="str">
        <f>VLOOKUP(H1767,Stock_list!A:R,18,FALSE)</f>
        <v>宏威创</v>
      </c>
      <c r="J1767" s="139" t="str">
        <f>VLOOKUP(H1767,Stock_list!A:S,17,FALSE)</f>
        <v>C49SZX20190167SS</v>
      </c>
      <c r="K1767" s="51" t="str">
        <f>VLOOKUP(H1767,Stock_list!A:T,16,FALSE)</f>
        <v>JPY</v>
      </c>
      <c r="L1767" s="4">
        <v>43843</v>
      </c>
      <c r="M1767" s="132">
        <v>2</v>
      </c>
      <c r="P1767" s="4" t="str">
        <f>VLOOKUP(H1767,Stock_list!A:Y,25,FALSE)</f>
        <v>Yes</v>
      </c>
      <c r="Q1767" s="143"/>
      <c r="T1767" s="144"/>
      <c r="U1767" s="145" t="str">
        <f>VLOOKUP(H1767,Stock_list!A:N,14,FALSE)</f>
        <v>JAN 20</v>
      </c>
    </row>
    <row r="1768" spans="1:21" ht="16.5" customHeight="1">
      <c r="A1768" s="159" t="s">
        <v>2748</v>
      </c>
      <c r="B1768" s="114" t="str">
        <f>VLOOKUP(A1768,'Data pick slip'!B:F,5,FALSE)</f>
        <v>KHJ-MC400-00</v>
      </c>
      <c r="F1768" s="157" t="s">
        <v>2773</v>
      </c>
      <c r="I1768" s="139" t="s">
        <v>3140</v>
      </c>
      <c r="J1768" s="139" t="s">
        <v>3207</v>
      </c>
      <c r="K1768" s="51" t="s">
        <v>3124</v>
      </c>
      <c r="L1768" s="4">
        <v>43798</v>
      </c>
      <c r="M1768" s="140">
        <v>1</v>
      </c>
      <c r="P1768" s="4" t="s">
        <v>291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2751</v>
      </c>
      <c r="B1769" s="114" t="str">
        <f>VLOOKUP(A1769,'Data pick slip'!B:F,5,FALSE)</f>
        <v>KHJ-MC700-00</v>
      </c>
      <c r="F1769" s="157" t="s">
        <v>2773</v>
      </c>
      <c r="I1769" s="139" t="s">
        <v>3094</v>
      </c>
      <c r="J1769" s="139" t="s">
        <v>3208</v>
      </c>
      <c r="K1769" s="51" t="s">
        <v>1246</v>
      </c>
      <c r="L1769" s="4">
        <v>43794</v>
      </c>
      <c r="M1769" s="140">
        <v>1</v>
      </c>
      <c r="P1769" s="4" t="s">
        <v>291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2744</v>
      </c>
      <c r="B1770" s="114" t="str">
        <f>VLOOKUP(A1770,'Data pick slip'!B:F,5,FALSE)</f>
        <v>KHJ-MC100-00</v>
      </c>
      <c r="F1770" s="157" t="s">
        <v>2773</v>
      </c>
      <c r="I1770" s="139" t="s">
        <v>3094</v>
      </c>
      <c r="J1770" s="139" t="s">
        <v>3209</v>
      </c>
      <c r="K1770" s="51" t="s">
        <v>1246</v>
      </c>
      <c r="L1770" s="4">
        <v>43789</v>
      </c>
      <c r="M1770" s="140">
        <v>30</v>
      </c>
      <c r="P1770" s="4" t="s">
        <v>291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2747</v>
      </c>
      <c r="B1771" s="114" t="str">
        <f>VLOOKUP(A1771,'Data pick slip'!B:F,5,FALSE)</f>
        <v>KHJ-MC200-00</v>
      </c>
      <c r="F1771" s="157" t="s">
        <v>2773</v>
      </c>
      <c r="I1771" s="139" t="s">
        <v>3094</v>
      </c>
      <c r="J1771" s="139" t="s">
        <v>3209</v>
      </c>
      <c r="K1771" s="51" t="s">
        <v>1246</v>
      </c>
      <c r="L1771" s="4">
        <v>43789</v>
      </c>
      <c r="M1771" s="140">
        <v>5</v>
      </c>
      <c r="P1771" s="4" t="s">
        <v>291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2749</v>
      </c>
      <c r="B1772" s="114" t="str">
        <f>VLOOKUP(A1772,'Data pick slip'!B:F,5,FALSE)</f>
        <v>KHJ-MC500-00</v>
      </c>
      <c r="F1772" s="157" t="s">
        <v>2773</v>
      </c>
      <c r="I1772" s="139" t="s">
        <v>3094</v>
      </c>
      <c r="J1772" s="139" t="s">
        <v>3209</v>
      </c>
      <c r="K1772" s="51" t="s">
        <v>1246</v>
      </c>
      <c r="L1772" s="4">
        <v>43789</v>
      </c>
      <c r="M1772" s="140">
        <v>2</v>
      </c>
      <c r="P1772" s="4" t="s">
        <v>291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2744</v>
      </c>
      <c r="B1773" s="114" t="str">
        <f>VLOOKUP(A1773,'Data pick slip'!B:F,5,FALSE)</f>
        <v>KHJ-MC100-00</v>
      </c>
      <c r="F1773" s="157" t="s">
        <v>2773</v>
      </c>
      <c r="I1773" s="139" t="s">
        <v>3094</v>
      </c>
      <c r="J1773" s="139" t="s">
        <v>3183</v>
      </c>
      <c r="K1773" s="51" t="s">
        <v>1246</v>
      </c>
      <c r="L1773" s="4">
        <v>43804</v>
      </c>
      <c r="M1773" s="140">
        <v>30</v>
      </c>
      <c r="P1773" s="4" t="s">
        <v>291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2747</v>
      </c>
      <c r="B1774" s="114" t="str">
        <f>VLOOKUP(A1774,'Data pick slip'!B:F,5,FALSE)</f>
        <v>KHJ-MC200-00</v>
      </c>
      <c r="F1774" s="157" t="s">
        <v>2773</v>
      </c>
      <c r="I1774" s="139" t="s">
        <v>3094</v>
      </c>
      <c r="J1774" s="139" t="s">
        <v>3183</v>
      </c>
      <c r="K1774" s="51" t="s">
        <v>1246</v>
      </c>
      <c r="L1774" s="4">
        <v>43804</v>
      </c>
      <c r="M1774" s="140">
        <v>5</v>
      </c>
      <c r="P1774" s="4" t="s">
        <v>291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2744</v>
      </c>
      <c r="B1775" s="114" t="str">
        <f>VLOOKUP(A1775,'Data pick slip'!B:F,5,FALSE)</f>
        <v>KHJ-MC100-00</v>
      </c>
      <c r="F1775" s="157" t="s">
        <v>2773</v>
      </c>
      <c r="H1775" s="138">
        <v>525</v>
      </c>
      <c r="I1775" s="139" t="str">
        <f>VLOOKUP(H1775,Stock_list!A:R,18,FALSE)</f>
        <v>杰森泰</v>
      </c>
      <c r="J1775" s="139" t="str">
        <f>VLOOKUP(H1775,Stock_list!A:S,17,FALSE)</f>
        <v>C49SZX20190181DY</v>
      </c>
      <c r="K1775" s="51" t="str">
        <f>VLOOKUP(H1775,Stock_list!A:T,16,FALSE)</f>
        <v>RMB</v>
      </c>
      <c r="L1775" s="4">
        <v>43830</v>
      </c>
      <c r="M1775" s="132">
        <v>95</v>
      </c>
      <c r="P1775" s="4" t="str">
        <f>VLOOKUP(H1775,Stock_list!A:Y,25,FALSE)</f>
        <v>Yes</v>
      </c>
      <c r="Q1775" s="143"/>
      <c r="T1775" s="144"/>
      <c r="U1775" s="145" t="str">
        <f>VLOOKUP(H1775,Stock_list!A:N,14,FALSE)</f>
        <v>DEC 19</v>
      </c>
    </row>
    <row r="1776" spans="1:21" ht="16.5" customHeight="1">
      <c r="A1776" s="159" t="s">
        <v>2747</v>
      </c>
      <c r="B1776" s="114" t="str">
        <f>VLOOKUP(A1776,'Data pick slip'!B:F,5,FALSE)</f>
        <v>KHJ-MC200-00</v>
      </c>
      <c r="F1776" s="157" t="s">
        <v>2773</v>
      </c>
      <c r="H1776" s="138">
        <v>525</v>
      </c>
      <c r="I1776" s="139" t="str">
        <f>VLOOKUP(H1776,Stock_list!A:R,18,FALSE)</f>
        <v>杰森泰</v>
      </c>
      <c r="J1776" s="139" t="str">
        <f>VLOOKUP(H1776,Stock_list!A:S,17,FALSE)</f>
        <v>C49SZX20190181DY</v>
      </c>
      <c r="K1776" s="51" t="str">
        <f>VLOOKUP(H1776,Stock_list!A:T,16,FALSE)</f>
        <v>RMB</v>
      </c>
      <c r="L1776" s="4">
        <v>43830</v>
      </c>
      <c r="M1776" s="132">
        <v>5</v>
      </c>
      <c r="P1776" s="4" t="str">
        <f>VLOOKUP(H1776,Stock_list!A:Y,25,FALSE)</f>
        <v>Yes</v>
      </c>
      <c r="Q1776" s="143"/>
      <c r="T1776" s="144"/>
      <c r="U1776" s="145" t="str">
        <f>VLOOKUP(H1776,Stock_list!A:N,14,FALSE)</f>
        <v>DEC 19</v>
      </c>
    </row>
    <row r="1777" spans="1:21" ht="16.5" customHeight="1">
      <c r="A1777" s="159" t="s">
        <v>2744</v>
      </c>
      <c r="B1777" s="114" t="str">
        <f>VLOOKUP(A1777,'Data pick slip'!B:F,5,FALSE)</f>
        <v>KHJ-MC100-00</v>
      </c>
      <c r="F1777" s="157" t="s">
        <v>2773</v>
      </c>
      <c r="I1777" s="139" t="s">
        <v>3094</v>
      </c>
      <c r="J1777" s="139" t="s">
        <v>3210</v>
      </c>
      <c r="K1777" s="51" t="s">
        <v>1246</v>
      </c>
      <c r="L1777" s="4">
        <v>43810</v>
      </c>
      <c r="M1777" s="132">
        <v>60</v>
      </c>
      <c r="P1777" s="4" t="s">
        <v>291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2747</v>
      </c>
      <c r="B1778" s="114" t="str">
        <f>VLOOKUP(A1778,'Data pick slip'!B:F,5,FALSE)</f>
        <v>KHJ-MC200-00</v>
      </c>
      <c r="F1778" s="157" t="s">
        <v>2773</v>
      </c>
      <c r="I1778" s="139" t="s">
        <v>3094</v>
      </c>
      <c r="J1778" s="139" t="s">
        <v>3210</v>
      </c>
      <c r="K1778" s="51" t="s">
        <v>1246</v>
      </c>
      <c r="L1778" s="4">
        <v>43810</v>
      </c>
      <c r="M1778" s="132">
        <v>12</v>
      </c>
      <c r="P1778" s="4" t="s">
        <v>291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2747</v>
      </c>
      <c r="B1779" s="114" t="str">
        <f>VLOOKUP(A1779,'Data pick slip'!B:F,5,FALSE)</f>
        <v>KHJ-MC200-00</v>
      </c>
      <c r="F1779" s="157" t="s">
        <v>2773</v>
      </c>
      <c r="I1779" s="139" t="s">
        <v>3211</v>
      </c>
      <c r="J1779" s="139" t="s">
        <v>3211</v>
      </c>
      <c r="K1779" s="51" t="s">
        <v>3124</v>
      </c>
      <c r="L1779" s="4">
        <v>43811</v>
      </c>
      <c r="M1779" s="132">
        <v>70</v>
      </c>
      <c r="P1779" s="4" t="s">
        <v>291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2747</v>
      </c>
      <c r="B1780" s="114" t="str">
        <f>VLOOKUP(A1780,'Data pick slip'!B:F,5,FALSE)</f>
        <v>KHJ-MC200-00</v>
      </c>
      <c r="F1780" s="157" t="s">
        <v>2862</v>
      </c>
      <c r="I1780" s="139" t="s">
        <v>3016</v>
      </c>
      <c r="J1780" s="139" t="s">
        <v>3212</v>
      </c>
      <c r="K1780" s="51" t="s">
        <v>1246</v>
      </c>
      <c r="L1780" s="4">
        <v>43811</v>
      </c>
      <c r="M1780" s="132">
        <v>8</v>
      </c>
      <c r="P1780" s="4" t="s">
        <v>291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2756</v>
      </c>
      <c r="B1781" s="114" t="str">
        <f>VLOOKUP(A1781,'Data pick slip'!B:F,5,FALSE)</f>
        <v>KLJ-MC200-00</v>
      </c>
      <c r="F1781" s="157" t="s">
        <v>2862</v>
      </c>
      <c r="I1781" s="139" t="s">
        <v>3016</v>
      </c>
      <c r="J1781" s="139" t="s">
        <v>3212</v>
      </c>
      <c r="K1781" s="51" t="s">
        <v>1246</v>
      </c>
      <c r="L1781" s="4">
        <v>43811</v>
      </c>
      <c r="M1781" s="132">
        <v>20</v>
      </c>
      <c r="P1781" s="4" t="s">
        <v>291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2749</v>
      </c>
      <c r="B1782" s="114" t="str">
        <f>VLOOKUP(A1782,'Data pick slip'!B:F,5,FALSE)</f>
        <v>KHJ-MC500-00</v>
      </c>
      <c r="F1782" s="157" t="s">
        <v>2773</v>
      </c>
      <c r="I1782" s="139" t="s">
        <v>3094</v>
      </c>
      <c r="J1782" s="139" t="s">
        <v>3188</v>
      </c>
      <c r="K1782" s="51" t="s">
        <v>1246</v>
      </c>
      <c r="L1782" s="4">
        <v>43810</v>
      </c>
      <c r="M1782" s="132">
        <v>2</v>
      </c>
      <c r="P1782" s="4" t="s">
        <v>291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2744</v>
      </c>
      <c r="B1783" s="114" t="str">
        <f>VLOOKUP(A1783,'Data pick slip'!B:F,5,FALSE)</f>
        <v>KHJ-MC100-00</v>
      </c>
      <c r="F1783" s="157" t="s">
        <v>2862</v>
      </c>
      <c r="H1783" s="138">
        <v>527</v>
      </c>
      <c r="I1783" s="139" t="str">
        <f>VLOOKUP(H1783,Stock_list!A:R,18,FALSE)</f>
        <v>正创</v>
      </c>
      <c r="J1783" s="139" t="str">
        <f>VLOOKUP(H1783,Stock_list!A:S,17,FALSE)</f>
        <v>C49SZX20190180SS</v>
      </c>
      <c r="K1783" s="51" t="str">
        <f>VLOOKUP(H1783,Stock_list!A:T,16,FALSE)</f>
        <v>JPY</v>
      </c>
      <c r="L1783" s="4">
        <v>43813</v>
      </c>
      <c r="M1783" s="132">
        <v>5</v>
      </c>
      <c r="P1783" s="4" t="str">
        <f>VLOOKUP(H1783,Stock_list!A:Y,25,FALSE)</f>
        <v>Yes</v>
      </c>
      <c r="Q1783" s="143"/>
      <c r="T1783" s="144"/>
      <c r="U1783" s="145" t="str">
        <f>VLOOKUP(H1783,Stock_list!A:N,14,FALSE)</f>
        <v>DEC 19</v>
      </c>
    </row>
    <row r="1784" spans="1:21" ht="16.5" customHeight="1">
      <c r="A1784" s="159" t="s">
        <v>2747</v>
      </c>
      <c r="B1784" s="114" t="str">
        <f>VLOOKUP(A1784,'Data pick slip'!B:F,5,FALSE)</f>
        <v>KHJ-MC200-00</v>
      </c>
      <c r="F1784" s="157" t="s">
        <v>2773</v>
      </c>
      <c r="H1784" s="138">
        <v>527</v>
      </c>
      <c r="I1784" s="139" t="str">
        <f>VLOOKUP(H1784,Stock_list!A:R,18,FALSE)</f>
        <v>正创</v>
      </c>
      <c r="J1784" s="139" t="str">
        <f>VLOOKUP(H1784,Stock_list!A:S,17,FALSE)</f>
        <v>C49SZX20190180SS</v>
      </c>
      <c r="K1784" s="51" t="str">
        <f>VLOOKUP(H1784,Stock_list!A:T,16,FALSE)</f>
        <v>JPY</v>
      </c>
      <c r="L1784" s="4">
        <v>43813</v>
      </c>
      <c r="M1784" s="132">
        <v>2</v>
      </c>
      <c r="P1784" s="4" t="str">
        <f>VLOOKUP(H1784,Stock_list!A:Y,25,FALSE)</f>
        <v>Yes</v>
      </c>
      <c r="Q1784" s="143"/>
      <c r="S1784" s="123" t="s">
        <v>3004</v>
      </c>
      <c r="T1784" s="205" t="s">
        <v>3213</v>
      </c>
      <c r="U1784" s="145" t="str">
        <f>VLOOKUP(H1784,Stock_list!A:N,14,FALSE)</f>
        <v>DEC 19</v>
      </c>
    </row>
    <row r="1785" spans="1:21" ht="16.5" customHeight="1">
      <c r="A1785" s="159" t="s">
        <v>2755</v>
      </c>
      <c r="B1785" s="114" t="str">
        <f>VLOOKUP(A1785,'Data pick slip'!B:F,5,FALSE)</f>
        <v>KLJ-MC100-00</v>
      </c>
      <c r="F1785" s="157" t="s">
        <v>2773</v>
      </c>
      <c r="H1785" s="138">
        <v>532</v>
      </c>
      <c r="I1785" s="139" t="str">
        <f>VLOOKUP(H1785,Stock_list!A:R,18,FALSE)</f>
        <v>锐诚</v>
      </c>
      <c r="J1785" s="139" t="str">
        <f>VLOOKUP(H1785,Stock_list!A:S,17,FALSE)</f>
        <v>C49SZX20190149SX</v>
      </c>
      <c r="K1785" s="51" t="str">
        <f>VLOOKUP(H1785,Stock_list!A:T,16,FALSE)</f>
        <v>RMB</v>
      </c>
      <c r="L1785" s="4">
        <v>43818</v>
      </c>
      <c r="M1785" s="132">
        <v>25</v>
      </c>
      <c r="P1785" s="4" t="str">
        <f>VLOOKUP(H1785,Stock_list!A:Y,25,FALSE)</f>
        <v>Yes</v>
      </c>
      <c r="Q1785" s="143"/>
      <c r="T1785" s="144"/>
      <c r="U1785" s="145" t="str">
        <f>VLOOKUP(H1785,Stock_list!A:N,14,FALSE)</f>
        <v>DEC 19</v>
      </c>
    </row>
    <row r="1786" spans="1:21" ht="16.5" customHeight="1">
      <c r="A1786" s="159" t="s">
        <v>2744</v>
      </c>
      <c r="B1786" s="114" t="str">
        <f>VLOOKUP(A1786,'Data pick slip'!B:F,5,FALSE)</f>
        <v>KHJ-MC100-00</v>
      </c>
      <c r="F1786" s="157" t="s">
        <v>2862</v>
      </c>
      <c r="H1786" s="138">
        <v>533</v>
      </c>
      <c r="I1786" s="139" t="str">
        <f>VLOOKUP(H1786,Stock_list!A:R,18,FALSE)</f>
        <v>博睿通</v>
      </c>
      <c r="J1786" s="139" t="str">
        <f>VLOOKUP(H1786,Stock_list!A:S,17,FALSE)</f>
        <v>C49SZX20190141SS</v>
      </c>
      <c r="K1786" s="51" t="str">
        <f>VLOOKUP(H1786,Stock_list!A:T,16,FALSE)</f>
        <v>JPY</v>
      </c>
      <c r="L1786" s="4">
        <v>43894</v>
      </c>
      <c r="M1786" s="132">
        <v>155</v>
      </c>
      <c r="P1786" s="4" t="str">
        <f>VLOOKUP(H1786,Stock_list!A:Y,25,FALSE)</f>
        <v>Yes</v>
      </c>
      <c r="Q1786" s="143"/>
      <c r="T1786" s="144"/>
      <c r="U1786" s="145" t="str">
        <f>VLOOKUP(H1786,Stock_list!A:N,14,FALSE)</f>
        <v>FEB 20</v>
      </c>
    </row>
    <row r="1787" spans="1:21" ht="16.5" customHeight="1">
      <c r="A1787" s="159" t="s">
        <v>2747</v>
      </c>
      <c r="B1787" s="114" t="str">
        <f>VLOOKUP(A1787,'Data pick slip'!B:F,5,FALSE)</f>
        <v>KHJ-MC200-00</v>
      </c>
      <c r="F1787" s="157" t="s">
        <v>2862</v>
      </c>
      <c r="H1787" s="138">
        <v>533</v>
      </c>
      <c r="I1787" s="139" t="str">
        <f>VLOOKUP(H1787,Stock_list!A:R,18,FALSE)</f>
        <v>博睿通</v>
      </c>
      <c r="J1787" s="139" t="str">
        <f>VLOOKUP(H1787,Stock_list!A:S,17,FALSE)</f>
        <v>C49SZX20190141SS</v>
      </c>
      <c r="K1787" s="51" t="str">
        <f>VLOOKUP(H1787,Stock_list!A:T,16,FALSE)</f>
        <v>JPY</v>
      </c>
      <c r="L1787" s="4">
        <v>43894</v>
      </c>
      <c r="M1787" s="132">
        <v>60</v>
      </c>
      <c r="P1787" s="4" t="str">
        <f>VLOOKUP(H1787,Stock_list!A:Y,25,FALSE)</f>
        <v>Yes</v>
      </c>
      <c r="Q1787" s="143"/>
      <c r="T1787" s="144"/>
      <c r="U1787" s="145" t="str">
        <f>VLOOKUP(H1787,Stock_list!A:N,14,FALSE)</f>
        <v>FEB 20</v>
      </c>
    </row>
    <row r="1788" spans="1:21" ht="16.5" customHeight="1">
      <c r="A1788" s="159" t="s">
        <v>2748</v>
      </c>
      <c r="B1788" s="114" t="str">
        <f>VLOOKUP(A1788,'Data pick slip'!B:F,5,FALSE)</f>
        <v>KHJ-MC400-00</v>
      </c>
      <c r="F1788" s="157" t="s">
        <v>2862</v>
      </c>
      <c r="H1788" s="138">
        <v>533</v>
      </c>
      <c r="I1788" s="139" t="str">
        <f>VLOOKUP(H1788,Stock_list!A:R,18,FALSE)</f>
        <v>博睿通</v>
      </c>
      <c r="J1788" s="139" t="str">
        <f>VLOOKUP(H1788,Stock_list!A:S,17,FALSE)</f>
        <v>C49SZX20190141SS</v>
      </c>
      <c r="K1788" s="51" t="str">
        <f>VLOOKUP(H1788,Stock_list!A:T,16,FALSE)</f>
        <v>JPY</v>
      </c>
      <c r="L1788" s="4">
        <v>43894</v>
      </c>
      <c r="M1788" s="132">
        <v>12</v>
      </c>
      <c r="P1788" s="4" t="str">
        <f>VLOOKUP(H1788,Stock_list!A:Y,25,FALSE)</f>
        <v>Yes</v>
      </c>
      <c r="Q1788" s="143"/>
      <c r="T1788" s="144"/>
      <c r="U1788" s="145" t="str">
        <f>VLOOKUP(H1788,Stock_list!A:N,14,FALSE)</f>
        <v>FEB 20</v>
      </c>
    </row>
    <row r="1789" spans="1:21" ht="16.5" customHeight="1">
      <c r="A1789" s="159" t="s">
        <v>2748</v>
      </c>
      <c r="B1789" s="114" t="str">
        <f>VLOOKUP(A1789,'Data pick slip'!B:F,5,FALSE)</f>
        <v>KHJ-MC400-00</v>
      </c>
      <c r="F1789" s="157" t="s">
        <v>2773</v>
      </c>
      <c r="I1789" s="139" t="s">
        <v>3094</v>
      </c>
      <c r="J1789" s="139" t="s">
        <v>3214</v>
      </c>
      <c r="K1789" s="51" t="s">
        <v>1246</v>
      </c>
      <c r="L1789" s="4">
        <v>43811</v>
      </c>
      <c r="M1789" s="132">
        <v>3</v>
      </c>
      <c r="P1789" s="4" t="s">
        <v>291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2747</v>
      </c>
      <c r="B1790" s="114" t="str">
        <f>VLOOKUP(A1790,'Data pick slip'!B:F,5,FALSE)</f>
        <v>KHJ-MC200-00</v>
      </c>
      <c r="F1790" s="157" t="s">
        <v>2773</v>
      </c>
      <c r="I1790" s="139" t="s">
        <v>3094</v>
      </c>
      <c r="J1790" s="139" t="s">
        <v>3215</v>
      </c>
      <c r="K1790" s="51" t="s">
        <v>1246</v>
      </c>
      <c r="L1790" s="4">
        <v>43811</v>
      </c>
      <c r="M1790" s="132">
        <v>4</v>
      </c>
      <c r="P1790" s="4" t="s">
        <v>291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2744</v>
      </c>
      <c r="B1791" s="114" t="str">
        <f>VLOOKUP(A1791,'Data pick slip'!B:F,5,FALSE)</f>
        <v>KHJ-MC100-00</v>
      </c>
      <c r="F1791" s="157" t="s">
        <v>2862</v>
      </c>
      <c r="H1791" s="138">
        <v>529</v>
      </c>
      <c r="I1791" s="139" t="str">
        <f>VLOOKUP(H1791,Stock_list!A:R,18,FALSE)</f>
        <v>嘉裕</v>
      </c>
      <c r="J1791" s="139" t="str">
        <f>VLOOKUP(H1791,Stock_list!A:S,17,FALSE)</f>
        <v>C49SZX20190173DZ</v>
      </c>
      <c r="K1791" s="51" t="str">
        <f>VLOOKUP(H1791,Stock_list!A:T,16,FALSE)</f>
        <v>JPY</v>
      </c>
      <c r="L1791" s="4">
        <v>43941</v>
      </c>
      <c r="M1791" s="132">
        <v>60</v>
      </c>
      <c r="P1791" s="4" t="str">
        <f>VLOOKUP(H1791,Stock_list!A:Y,25,FALSE)</f>
        <v>Yes</v>
      </c>
      <c r="Q1791" s="143"/>
      <c r="T1791" s="144"/>
      <c r="U1791" s="145" t="str">
        <f>VLOOKUP(H1791,Stock_list!A:N,14,FALSE)</f>
        <v>APR 20</v>
      </c>
    </row>
    <row r="1792" spans="1:21" ht="16.5" customHeight="1">
      <c r="A1792" s="159" t="s">
        <v>2747</v>
      </c>
      <c r="B1792" s="114" t="str">
        <f>VLOOKUP(A1792,'Data pick slip'!B:F,5,FALSE)</f>
        <v>KHJ-MC200-00</v>
      </c>
      <c r="F1792" s="157" t="s">
        <v>2862</v>
      </c>
      <c r="H1792" s="138">
        <v>529</v>
      </c>
      <c r="I1792" s="139" t="str">
        <f>VLOOKUP(H1792,Stock_list!A:R,18,FALSE)</f>
        <v>嘉裕</v>
      </c>
      <c r="J1792" s="139" t="str">
        <f>VLOOKUP(H1792,Stock_list!A:S,17,FALSE)</f>
        <v>C49SZX20190173DZ</v>
      </c>
      <c r="K1792" s="51" t="str">
        <f>VLOOKUP(H1792,Stock_list!A:T,16,FALSE)</f>
        <v>JPY</v>
      </c>
      <c r="L1792" s="4">
        <v>43941</v>
      </c>
      <c r="M1792" s="132">
        <v>10</v>
      </c>
      <c r="P1792" s="4" t="str">
        <f>VLOOKUP(H1792,Stock_list!A:Y,25,FALSE)</f>
        <v>Yes</v>
      </c>
      <c r="Q1792" s="143"/>
      <c r="T1792" s="144"/>
      <c r="U1792" s="145" t="str">
        <f>VLOOKUP(H1792,Stock_list!A:N,14,FALSE)</f>
        <v>APR 20</v>
      </c>
    </row>
    <row r="1793" spans="1:21" ht="16.5" customHeight="1">
      <c r="A1793" s="159" t="s">
        <v>2748</v>
      </c>
      <c r="B1793" s="114" t="str">
        <f>VLOOKUP(A1793,'Data pick slip'!B:F,5,FALSE)</f>
        <v>KHJ-MC400-00</v>
      </c>
      <c r="F1793" s="157" t="s">
        <v>2862</v>
      </c>
      <c r="H1793" s="138">
        <v>529</v>
      </c>
      <c r="I1793" s="139" t="str">
        <f>VLOOKUP(H1793,Stock_list!A:R,18,FALSE)</f>
        <v>嘉裕</v>
      </c>
      <c r="J1793" s="139" t="str">
        <f>VLOOKUP(H1793,Stock_list!A:S,17,FALSE)</f>
        <v>C49SZX20190173DZ</v>
      </c>
      <c r="K1793" s="51" t="str">
        <f>VLOOKUP(H1793,Stock_list!A:T,16,FALSE)</f>
        <v>JPY</v>
      </c>
      <c r="L1793" s="4">
        <v>43941</v>
      </c>
      <c r="M1793" s="132">
        <v>10</v>
      </c>
      <c r="P1793" s="4" t="str">
        <f>VLOOKUP(H1793,Stock_list!A:Y,25,FALSE)</f>
        <v>Yes</v>
      </c>
      <c r="Q1793" s="143"/>
      <c r="T1793" s="144"/>
      <c r="U1793" s="145" t="str">
        <f>VLOOKUP(H1793,Stock_list!A:N,14,FALSE)</f>
        <v>APR 20</v>
      </c>
    </row>
    <row r="1794" spans="1:21" ht="16.5" customHeight="1">
      <c r="A1794" s="159" t="s">
        <v>2749</v>
      </c>
      <c r="B1794" s="114" t="str">
        <f>VLOOKUP(A1794,'Data pick slip'!B:F,5,FALSE)</f>
        <v>KHJ-MC500-00</v>
      </c>
      <c r="F1794" s="157" t="s">
        <v>2862</v>
      </c>
      <c r="H1794" s="138">
        <v>529</v>
      </c>
      <c r="I1794" s="139" t="str">
        <f>VLOOKUP(H1794,Stock_list!A:R,18,FALSE)</f>
        <v>嘉裕</v>
      </c>
      <c r="J1794" s="139" t="str">
        <f>VLOOKUP(H1794,Stock_list!A:S,17,FALSE)</f>
        <v>C49SZX20190173DZ</v>
      </c>
      <c r="K1794" s="51" t="str">
        <f>VLOOKUP(H1794,Stock_list!A:T,16,FALSE)</f>
        <v>JPY</v>
      </c>
      <c r="L1794" s="4">
        <v>43941</v>
      </c>
      <c r="M1794" s="132">
        <v>2</v>
      </c>
      <c r="P1794" s="4" t="str">
        <f>VLOOKUP(H1794,Stock_list!A:Y,25,FALSE)</f>
        <v>Yes</v>
      </c>
      <c r="Q1794" s="143"/>
      <c r="T1794" s="144"/>
      <c r="U1794" s="145" t="str">
        <f>VLOOKUP(H1794,Stock_list!A:N,14,FALSE)</f>
        <v>APR 20</v>
      </c>
    </row>
    <row r="1795" spans="1:21" ht="16.5" customHeight="1">
      <c r="A1795" s="159" t="s">
        <v>2750</v>
      </c>
      <c r="B1795" s="114" t="str">
        <f>VLOOKUP(A1795,'Data pick slip'!B:F,5,FALSE)</f>
        <v>KHJ-MC600-00</v>
      </c>
      <c r="F1795" s="157" t="s">
        <v>2862</v>
      </c>
      <c r="H1795" s="138">
        <v>529</v>
      </c>
      <c r="I1795" s="139" t="str">
        <f>VLOOKUP(H1795,Stock_list!A:R,18,FALSE)</f>
        <v>嘉裕</v>
      </c>
      <c r="J1795" s="139" t="str">
        <f>VLOOKUP(H1795,Stock_list!A:S,17,FALSE)</f>
        <v>C49SZX20190173DZ</v>
      </c>
      <c r="K1795" s="51" t="str">
        <f>VLOOKUP(H1795,Stock_list!A:T,16,FALSE)</f>
        <v>JPY</v>
      </c>
      <c r="L1795" s="4">
        <v>43941</v>
      </c>
      <c r="M1795" s="132">
        <v>2</v>
      </c>
      <c r="P1795" s="4" t="str">
        <f>VLOOKUP(H1795,Stock_list!A:Y,25,FALSE)</f>
        <v>Yes</v>
      </c>
      <c r="Q1795" s="143"/>
      <c r="T1795" s="144"/>
      <c r="U1795" s="145" t="str">
        <f>VLOOKUP(H1795,Stock_list!A:N,14,FALSE)</f>
        <v>APR 20</v>
      </c>
    </row>
    <row r="1796" spans="1:21" ht="16.5" customHeight="1">
      <c r="A1796" s="159" t="s">
        <v>2744</v>
      </c>
      <c r="B1796" s="114" t="str">
        <f>VLOOKUP(A1796,'Data pick slip'!B:F,5,FALSE)</f>
        <v>KHJ-MC100-00</v>
      </c>
      <c r="F1796" s="157" t="s">
        <v>2862</v>
      </c>
      <c r="H1796" s="138">
        <v>545</v>
      </c>
      <c r="I1796" s="139" t="str">
        <f>VLOOKUP(H1796,Stock_list!A:R,18,FALSE)</f>
        <v>志恒兴盛</v>
      </c>
      <c r="J1796" s="139" t="str">
        <f>VLOOKUP(H1796,Stock_list!A:S,17,FALSE)</f>
        <v>C49SZX20190182JL</v>
      </c>
      <c r="K1796" s="51" t="str">
        <f>VLOOKUP(H1796,Stock_list!A:T,16,FALSE)</f>
        <v>JPY</v>
      </c>
      <c r="L1796" s="4">
        <v>43845</v>
      </c>
      <c r="M1796" s="132">
        <v>100</v>
      </c>
      <c r="P1796" s="4" t="str">
        <f>VLOOKUP(H1796,Stock_list!A:Y,25,FALSE)</f>
        <v>Yes</v>
      </c>
      <c r="Q1796" s="143"/>
      <c r="T1796" s="144"/>
      <c r="U1796" s="145" t="str">
        <f>VLOOKUP(H1796,Stock_list!A:N,14,FALSE)</f>
        <v>JAN 20</v>
      </c>
    </row>
    <row r="1797" spans="1:21" ht="16.5" customHeight="1">
      <c r="A1797" s="159" t="s">
        <v>2747</v>
      </c>
      <c r="B1797" s="114" t="str">
        <f>VLOOKUP(A1797,'Data pick slip'!B:F,5,FALSE)</f>
        <v>KHJ-MC200-00</v>
      </c>
      <c r="F1797" s="157" t="s">
        <v>2862</v>
      </c>
      <c r="H1797" s="138">
        <v>545</v>
      </c>
      <c r="I1797" s="139" t="str">
        <f>VLOOKUP(H1797,Stock_list!A:R,18,FALSE)</f>
        <v>志恒兴盛</v>
      </c>
      <c r="J1797" s="139" t="str">
        <f>VLOOKUP(H1797,Stock_list!A:S,17,FALSE)</f>
        <v>C49SZX20190182JL</v>
      </c>
      <c r="K1797" s="51" t="str">
        <f>VLOOKUP(H1797,Stock_list!A:T,16,FALSE)</f>
        <v>JPY</v>
      </c>
      <c r="L1797" s="4">
        <v>43845</v>
      </c>
      <c r="M1797" s="132">
        <v>30</v>
      </c>
      <c r="P1797" s="4" t="str">
        <f>VLOOKUP(H1797,Stock_list!A:Y,25,FALSE)</f>
        <v>Yes</v>
      </c>
      <c r="Q1797" s="143"/>
      <c r="T1797" s="144"/>
      <c r="U1797" s="145" t="str">
        <f>VLOOKUP(H1797,Stock_list!A:N,14,FALSE)</f>
        <v>JAN 20</v>
      </c>
    </row>
    <row r="1798" spans="1:21" ht="16.5" customHeight="1">
      <c r="A1798" s="159" t="s">
        <v>2748</v>
      </c>
      <c r="B1798" s="114" t="str">
        <f>VLOOKUP(A1798,'Data pick slip'!B:F,5,FALSE)</f>
        <v>KHJ-MC400-00</v>
      </c>
      <c r="F1798" s="157" t="s">
        <v>2862</v>
      </c>
      <c r="H1798" s="138">
        <v>545</v>
      </c>
      <c r="I1798" s="139" t="str">
        <f>VLOOKUP(H1798,Stock_list!A:R,18,FALSE)</f>
        <v>志恒兴盛</v>
      </c>
      <c r="J1798" s="139" t="str">
        <f>VLOOKUP(H1798,Stock_list!A:S,17,FALSE)</f>
        <v>C49SZX20190182JL</v>
      </c>
      <c r="K1798" s="51" t="str">
        <f>VLOOKUP(H1798,Stock_list!A:T,16,FALSE)</f>
        <v>JPY</v>
      </c>
      <c r="L1798" s="4">
        <v>43845</v>
      </c>
      <c r="M1798" s="132">
        <v>4</v>
      </c>
      <c r="P1798" s="4" t="str">
        <f>VLOOKUP(H1798,Stock_list!A:Y,25,FALSE)</f>
        <v>Yes</v>
      </c>
      <c r="Q1798" s="143"/>
      <c r="T1798" s="144"/>
      <c r="U1798" s="145" t="str">
        <f>VLOOKUP(H1798,Stock_list!A:N,14,FALSE)</f>
        <v>JAN 20</v>
      </c>
    </row>
    <row r="1799" spans="1:21" ht="16.5" customHeight="1">
      <c r="A1799" s="159" t="s">
        <v>2744</v>
      </c>
      <c r="B1799" s="114" t="str">
        <f>VLOOKUP(A1799,'Data pick slip'!B:F,5,FALSE)</f>
        <v>KHJ-MC100-00</v>
      </c>
      <c r="F1799" s="157" t="s">
        <v>2773</v>
      </c>
      <c r="I1799" s="139" t="s">
        <v>3094</v>
      </c>
      <c r="J1799" s="139" t="s">
        <v>3216</v>
      </c>
      <c r="K1799" s="51" t="s">
        <v>1246</v>
      </c>
      <c r="L1799" s="4">
        <v>43815</v>
      </c>
      <c r="M1799" s="132">
        <v>14</v>
      </c>
      <c r="P1799" s="4" t="s">
        <v>291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2755</v>
      </c>
      <c r="B1800" s="114" t="str">
        <f>VLOOKUP(A1800,'Data pick slip'!B:F,5,FALSE)</f>
        <v>KLJ-MC100-00</v>
      </c>
      <c r="F1800" s="157" t="s">
        <v>2773</v>
      </c>
      <c r="H1800" s="138">
        <v>549</v>
      </c>
      <c r="I1800" s="139" t="str">
        <f>VLOOKUP(H1800,Stock_list!A:R,18,FALSE)</f>
        <v>耕创</v>
      </c>
      <c r="J1800" s="139" t="str">
        <f>VLOOKUP(H1800,Stock_list!A:S,17,FALSE)</f>
        <v>C49SZX20190185DZ</v>
      </c>
      <c r="K1800" s="51" t="str">
        <f>VLOOKUP(H1800,Stock_list!A:T,16,FALSE)</f>
        <v>RMB</v>
      </c>
      <c r="L1800" s="4">
        <v>43920</v>
      </c>
      <c r="M1800" s="132">
        <v>20</v>
      </c>
      <c r="P1800" s="4" t="str">
        <f>VLOOKUP(H1800,Stock_list!A:Y,25,FALSE)</f>
        <v>Yes</v>
      </c>
      <c r="Q1800" s="143"/>
      <c r="T1800" s="144"/>
      <c r="U1800" s="145" t="str">
        <f>VLOOKUP(H1800,Stock_list!A:N,14,FALSE)</f>
        <v>MAR 20</v>
      </c>
    </row>
    <row r="1801" spans="1:21" ht="16.5" customHeight="1">
      <c r="A1801" s="159" t="s">
        <v>2748</v>
      </c>
      <c r="B1801" s="114" t="str">
        <f>VLOOKUP(A1801,'Data pick slip'!B:F,5,FALSE)</f>
        <v>KHJ-MC400-00</v>
      </c>
      <c r="F1801" s="157" t="s">
        <v>2773</v>
      </c>
      <c r="I1801" s="139" t="s">
        <v>3094</v>
      </c>
      <c r="J1801" s="139" t="s">
        <v>3217</v>
      </c>
      <c r="K1801" s="51" t="s">
        <v>1246</v>
      </c>
      <c r="L1801" s="4">
        <v>43819</v>
      </c>
      <c r="M1801" s="132">
        <v>6</v>
      </c>
      <c r="P1801" s="4" t="s">
        <v>291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2749</v>
      </c>
      <c r="B1802" s="114" t="str">
        <f>VLOOKUP(A1802,'Data pick slip'!B:F,5,FALSE)</f>
        <v>KHJ-MC500-00</v>
      </c>
      <c r="F1802" s="157" t="s">
        <v>2773</v>
      </c>
      <c r="I1802" s="139" t="s">
        <v>3094</v>
      </c>
      <c r="J1802" s="139" t="s">
        <v>3217</v>
      </c>
      <c r="K1802" s="51" t="s">
        <v>1246</v>
      </c>
      <c r="L1802" s="4">
        <v>43819</v>
      </c>
      <c r="M1802" s="132">
        <v>2</v>
      </c>
      <c r="P1802" s="4" t="s">
        <v>291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2750</v>
      </c>
      <c r="B1803" s="114" t="str">
        <f>VLOOKUP(A1803,'Data pick slip'!B:F,5,FALSE)</f>
        <v>KHJ-MC600-00</v>
      </c>
      <c r="F1803" s="157" t="s">
        <v>2773</v>
      </c>
      <c r="I1803" s="139" t="s">
        <v>3094</v>
      </c>
      <c r="J1803" s="139" t="s">
        <v>3217</v>
      </c>
      <c r="K1803" s="51" t="s">
        <v>1246</v>
      </c>
      <c r="L1803" s="4">
        <v>43819</v>
      </c>
      <c r="M1803" s="132">
        <v>2</v>
      </c>
      <c r="P1803" s="4" t="s">
        <v>291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2744</v>
      </c>
      <c r="B1804" s="114" t="str">
        <f>VLOOKUP(A1804,'Data pick slip'!B:F,5,FALSE)</f>
        <v>KHJ-MC100-00</v>
      </c>
      <c r="F1804" s="157" t="s">
        <v>2773</v>
      </c>
      <c r="I1804" s="139" t="s">
        <v>3094</v>
      </c>
      <c r="J1804" s="139" t="s">
        <v>3218</v>
      </c>
      <c r="K1804" s="51" t="s">
        <v>1246</v>
      </c>
      <c r="L1804" s="4">
        <v>43819</v>
      </c>
      <c r="M1804" s="132">
        <v>20</v>
      </c>
      <c r="P1804" s="4" t="s">
        <v>291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2747</v>
      </c>
      <c r="B1805" s="114" t="str">
        <f>VLOOKUP(A1805,'Data pick slip'!B:F,5,FALSE)</f>
        <v>KHJ-MC200-00</v>
      </c>
      <c r="F1805" s="157" t="s">
        <v>2773</v>
      </c>
      <c r="I1805" s="139" t="s">
        <v>3094</v>
      </c>
      <c r="J1805" s="139" t="s">
        <v>3218</v>
      </c>
      <c r="K1805" s="51" t="s">
        <v>1246</v>
      </c>
      <c r="L1805" s="4">
        <v>43819</v>
      </c>
      <c r="M1805" s="132">
        <v>10</v>
      </c>
      <c r="P1805" s="4" t="s">
        <v>291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2748</v>
      </c>
      <c r="B1806" s="114" t="str">
        <f>VLOOKUP(A1806,'Data pick slip'!B:F,5,FALSE)</f>
        <v>KHJ-MC400-00</v>
      </c>
      <c r="F1806" s="157" t="s">
        <v>2773</v>
      </c>
      <c r="I1806" s="139" t="s">
        <v>3094</v>
      </c>
      <c r="J1806" s="139" t="s">
        <v>3218</v>
      </c>
      <c r="K1806" s="51" t="s">
        <v>1246</v>
      </c>
      <c r="L1806" s="4">
        <v>44185</v>
      </c>
      <c r="M1806" s="132">
        <v>5</v>
      </c>
      <c r="P1806" s="4" t="s">
        <v>291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2749</v>
      </c>
      <c r="B1807" s="114" t="str">
        <f>VLOOKUP(A1807,'Data pick slip'!B:F,5,FALSE)</f>
        <v>KHJ-MC500-00</v>
      </c>
      <c r="F1807" s="157" t="s">
        <v>2773</v>
      </c>
      <c r="I1807" s="139" t="s">
        <v>3094</v>
      </c>
      <c r="J1807" s="139" t="s">
        <v>3218</v>
      </c>
      <c r="K1807" s="51" t="s">
        <v>1246</v>
      </c>
      <c r="L1807" s="4">
        <v>44185</v>
      </c>
      <c r="M1807" s="132">
        <v>5</v>
      </c>
      <c r="P1807" s="4" t="s">
        <v>291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2749</v>
      </c>
      <c r="B1808" s="114" t="str">
        <f>VLOOKUP(A1808,'Data pick slip'!B:F,5,FALSE)</f>
        <v>KHJ-MC500-00</v>
      </c>
      <c r="F1808" s="157" t="s">
        <v>2773</v>
      </c>
      <c r="I1808" s="139" t="s">
        <v>3094</v>
      </c>
      <c r="J1808" s="139" t="s">
        <v>3219</v>
      </c>
      <c r="K1808" s="51" t="s">
        <v>1246</v>
      </c>
      <c r="L1808" s="4">
        <v>43819</v>
      </c>
      <c r="M1808" s="132">
        <v>1</v>
      </c>
      <c r="P1808" s="4" t="s">
        <v>291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2750</v>
      </c>
      <c r="B1809" s="114" t="str">
        <f>VLOOKUP(A1809,'Data pick slip'!B:F,5,FALSE)</f>
        <v>KHJ-MC600-00</v>
      </c>
      <c r="F1809" s="157" t="s">
        <v>2773</v>
      </c>
      <c r="I1809" s="139" t="s">
        <v>3094</v>
      </c>
      <c r="J1809" s="139" t="s">
        <v>3219</v>
      </c>
      <c r="K1809" s="51" t="s">
        <v>1246</v>
      </c>
      <c r="L1809" s="4">
        <v>43819</v>
      </c>
      <c r="M1809" s="132">
        <v>1</v>
      </c>
      <c r="P1809" s="4" t="s">
        <v>291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2744</v>
      </c>
      <c r="B1810" s="114" t="str">
        <f>VLOOKUP(A1810,'Data pick slip'!B:F,5,FALSE)</f>
        <v>KHJ-MC100-00</v>
      </c>
      <c r="F1810" s="157" t="s">
        <v>2773</v>
      </c>
      <c r="H1810" s="138">
        <v>552</v>
      </c>
      <c r="I1810" s="139" t="str">
        <f>VLOOKUP(H1810,Stock_list!A:R,18,FALSE)</f>
        <v>杰森泰</v>
      </c>
      <c r="J1810" s="139" t="str">
        <f>VLOOKUP(H1810,Stock_list!A:S,17,FALSE)</f>
        <v>C49SZX20190189DY</v>
      </c>
      <c r="K1810" s="51" t="str">
        <f>VLOOKUP(H1810,Stock_list!A:T,16,FALSE)</f>
        <v>RMB</v>
      </c>
      <c r="L1810" s="4">
        <v>43830</v>
      </c>
      <c r="M1810" s="132">
        <v>5</v>
      </c>
      <c r="P1810" s="4" t="str">
        <f>VLOOKUP(H1810,Stock_list!A:Y,25,FALSE)</f>
        <v>Yes</v>
      </c>
      <c r="Q1810" s="143"/>
      <c r="T1810" s="144"/>
      <c r="U1810" s="145" t="str">
        <f>VLOOKUP(H1810,Stock_list!A:N,14,FALSE)</f>
        <v>DEC 19</v>
      </c>
    </row>
    <row r="1811" spans="1:21" ht="16.5" customHeight="1">
      <c r="A1811" s="159" t="s">
        <v>2747</v>
      </c>
      <c r="B1811" s="114" t="str">
        <f>VLOOKUP(A1811,'Data pick slip'!B:F,5,FALSE)</f>
        <v>KHJ-MC200-00</v>
      </c>
      <c r="F1811" s="157" t="s">
        <v>2773</v>
      </c>
      <c r="H1811" s="138">
        <v>552</v>
      </c>
      <c r="I1811" s="139" t="str">
        <f>VLOOKUP(H1811,Stock_list!A:R,18,FALSE)</f>
        <v>杰森泰</v>
      </c>
      <c r="J1811" s="139" t="str">
        <f>VLOOKUP(H1811,Stock_list!A:S,17,FALSE)</f>
        <v>C49SZX20190189DY</v>
      </c>
      <c r="K1811" s="51" t="str">
        <f>VLOOKUP(H1811,Stock_list!A:T,16,FALSE)</f>
        <v>RMB</v>
      </c>
      <c r="L1811" s="4">
        <v>43830</v>
      </c>
      <c r="M1811" s="132">
        <v>7</v>
      </c>
      <c r="P1811" s="4" t="str">
        <f>VLOOKUP(H1811,Stock_list!A:Y,25,FALSE)</f>
        <v>Yes</v>
      </c>
      <c r="Q1811" s="143"/>
      <c r="T1811" s="144"/>
      <c r="U1811" s="145" t="str">
        <f>VLOOKUP(H1811,Stock_list!A:N,14,FALSE)</f>
        <v>DEC 19</v>
      </c>
    </row>
    <row r="1812" spans="1:21" ht="16.5" customHeight="1">
      <c r="A1812" s="159" t="s">
        <v>2748</v>
      </c>
      <c r="B1812" s="114" t="str">
        <f>VLOOKUP(A1812,'Data pick slip'!B:F,5,FALSE)</f>
        <v>KHJ-MC400-00</v>
      </c>
      <c r="F1812" s="157" t="s">
        <v>2773</v>
      </c>
      <c r="H1812" s="138">
        <v>552</v>
      </c>
      <c r="I1812" s="139" t="str">
        <f>VLOOKUP(H1812,Stock_list!A:R,18,FALSE)</f>
        <v>杰森泰</v>
      </c>
      <c r="J1812" s="139" t="str">
        <f>VLOOKUP(H1812,Stock_list!A:S,17,FALSE)</f>
        <v>C49SZX20190189DY</v>
      </c>
      <c r="K1812" s="51" t="str">
        <f>VLOOKUP(H1812,Stock_list!A:T,16,FALSE)</f>
        <v>RMB</v>
      </c>
      <c r="L1812" s="4">
        <v>43830</v>
      </c>
      <c r="M1812" s="132">
        <v>2</v>
      </c>
      <c r="P1812" s="4" t="str">
        <f>VLOOKUP(H1812,Stock_list!A:Y,25,FALSE)</f>
        <v>Yes</v>
      </c>
      <c r="Q1812" s="143"/>
      <c r="T1812" s="144"/>
      <c r="U1812" s="145" t="str">
        <f>VLOOKUP(H1812,Stock_list!A:N,14,FALSE)</f>
        <v>DEC 19</v>
      </c>
    </row>
    <row r="1813" spans="1:21" ht="16.5" customHeight="1">
      <c r="A1813" s="159" t="s">
        <v>2744</v>
      </c>
      <c r="B1813" s="114" t="str">
        <f>VLOOKUP(A1813,'Data pick slip'!B:F,5,FALSE)</f>
        <v>KHJ-MC100-00</v>
      </c>
      <c r="F1813" s="157" t="s">
        <v>2862</v>
      </c>
      <c r="H1813" s="138">
        <v>553</v>
      </c>
      <c r="I1813" s="139" t="str">
        <f>VLOOKUP(H1813,Stock_list!A:R,18,FALSE)</f>
        <v>宏润通</v>
      </c>
      <c r="J1813" s="139" t="str">
        <f>VLOOKUP(H1813,Stock_list!A:S,17,FALSE)</f>
        <v>C49SZX20190187JY</v>
      </c>
      <c r="K1813" s="51" t="str">
        <f>VLOOKUP(H1813,Stock_list!A:T,16,FALSE)</f>
        <v>JPY</v>
      </c>
      <c r="L1813" s="4">
        <v>44133</v>
      </c>
      <c r="M1813" s="132">
        <v>145</v>
      </c>
      <c r="P1813" s="4" t="str">
        <f>VLOOKUP(H1813,Stock_list!A:Y,25,FALSE)</f>
        <v>Yes</v>
      </c>
      <c r="Q1813" s="133"/>
      <c r="T1813" s="144"/>
      <c r="U1813" s="145" t="str">
        <f>VLOOKUP(H1813,Stock_list!A:N,14,FALSE)</f>
        <v>OCT 20</v>
      </c>
    </row>
    <row r="1814" spans="1:21" ht="16.5" customHeight="1">
      <c r="A1814" s="159" t="s">
        <v>2747</v>
      </c>
      <c r="B1814" s="114" t="str">
        <f>VLOOKUP(A1814,'Data pick slip'!B:F,5,FALSE)</f>
        <v>KHJ-MC200-00</v>
      </c>
      <c r="F1814" s="157" t="s">
        <v>2862</v>
      </c>
      <c r="H1814" s="138">
        <v>553</v>
      </c>
      <c r="I1814" s="139" t="str">
        <f>VLOOKUP(H1814,Stock_list!A:R,18,FALSE)</f>
        <v>宏润通</v>
      </c>
      <c r="J1814" s="139" t="str">
        <f>VLOOKUP(H1814,Stock_list!A:S,17,FALSE)</f>
        <v>C49SZX20190187JY</v>
      </c>
      <c r="K1814" s="51" t="str">
        <f>VLOOKUP(H1814,Stock_list!A:T,16,FALSE)</f>
        <v>JPY</v>
      </c>
      <c r="L1814" s="4">
        <v>44133</v>
      </c>
      <c r="M1814" s="132">
        <v>18</v>
      </c>
      <c r="P1814" s="4" t="str">
        <f>VLOOKUP(H1814,Stock_list!A:Y,25,FALSE)</f>
        <v>Yes</v>
      </c>
      <c r="Q1814" s="133"/>
      <c r="T1814" s="144"/>
      <c r="U1814" s="145" t="str">
        <f>VLOOKUP(H1814,Stock_list!A:N,14,FALSE)</f>
        <v>OCT 20</v>
      </c>
    </row>
    <row r="1815" spans="1:21" ht="16.5" customHeight="1">
      <c r="A1815" s="159" t="s">
        <v>2748</v>
      </c>
      <c r="B1815" s="114" t="str">
        <f>VLOOKUP(A1815,'Data pick slip'!B:F,5,FALSE)</f>
        <v>KHJ-MC400-00</v>
      </c>
      <c r="F1815" s="157" t="s">
        <v>2862</v>
      </c>
      <c r="H1815" s="138">
        <v>553</v>
      </c>
      <c r="I1815" s="139" t="str">
        <f>VLOOKUP(H1815,Stock_list!A:R,18,FALSE)</f>
        <v>宏润通</v>
      </c>
      <c r="J1815" s="139" t="str">
        <f>VLOOKUP(H1815,Stock_list!A:S,17,FALSE)</f>
        <v>C49SZX20190187JY</v>
      </c>
      <c r="K1815" s="51" t="str">
        <f>VLOOKUP(H1815,Stock_list!A:T,16,FALSE)</f>
        <v>JPY</v>
      </c>
      <c r="L1815" s="4">
        <v>44133</v>
      </c>
      <c r="M1815" s="132">
        <v>3</v>
      </c>
      <c r="P1815" s="4" t="str">
        <f>VLOOKUP(H1815,Stock_list!A:Y,25,FALSE)</f>
        <v>Yes</v>
      </c>
      <c r="Q1815" s="133"/>
      <c r="T1815" s="144"/>
      <c r="U1815" s="145" t="str">
        <f>VLOOKUP(H1815,Stock_list!A:N,14,FALSE)</f>
        <v>OCT 20</v>
      </c>
    </row>
    <row r="1816" spans="1:21" ht="16.5" customHeight="1">
      <c r="A1816" s="159" t="s">
        <v>2749</v>
      </c>
      <c r="B1816" s="114" t="str">
        <f>VLOOKUP(A1816,'Data pick slip'!B:F,5,FALSE)</f>
        <v>KHJ-MC500-00</v>
      </c>
      <c r="F1816" s="157" t="s">
        <v>2862</v>
      </c>
      <c r="H1816" s="138">
        <v>553</v>
      </c>
      <c r="I1816" s="139" t="str">
        <f>VLOOKUP(H1816,Stock_list!A:R,18,FALSE)</f>
        <v>宏润通</v>
      </c>
      <c r="J1816" s="139" t="str">
        <f>VLOOKUP(H1816,Stock_list!A:S,17,FALSE)</f>
        <v>C49SZX20190187JY</v>
      </c>
      <c r="K1816" s="51" t="str">
        <f>VLOOKUP(H1816,Stock_list!A:T,16,FALSE)</f>
        <v>JPY</v>
      </c>
      <c r="L1816" s="4">
        <v>44133</v>
      </c>
      <c r="M1816" s="132">
        <v>1</v>
      </c>
      <c r="P1816" s="4" t="str">
        <f>VLOOKUP(H1816,Stock_list!A:Y,25,FALSE)</f>
        <v>Yes</v>
      </c>
      <c r="Q1816" s="133"/>
      <c r="T1816" s="144"/>
      <c r="U1816" s="145" t="str">
        <f>VLOOKUP(H1816,Stock_list!A:N,14,FALSE)</f>
        <v>OCT 20</v>
      </c>
    </row>
    <row r="1817" spans="1:21" ht="16.5" customHeight="1">
      <c r="A1817" s="159" t="s">
        <v>2750</v>
      </c>
      <c r="B1817" s="114" t="str">
        <f>VLOOKUP(A1817,'Data pick slip'!B:F,5,FALSE)</f>
        <v>KHJ-MC600-00</v>
      </c>
      <c r="F1817" s="157" t="s">
        <v>2862</v>
      </c>
      <c r="H1817" s="138">
        <v>553</v>
      </c>
      <c r="I1817" s="139" t="str">
        <f>VLOOKUP(H1817,Stock_list!A:R,18,FALSE)</f>
        <v>宏润通</v>
      </c>
      <c r="J1817" s="139" t="str">
        <f>VLOOKUP(H1817,Stock_list!A:S,17,FALSE)</f>
        <v>C49SZX20190187JY</v>
      </c>
      <c r="K1817" s="51" t="str">
        <f>VLOOKUP(H1817,Stock_list!A:T,16,FALSE)</f>
        <v>JPY</v>
      </c>
      <c r="L1817" s="4">
        <v>44133</v>
      </c>
      <c r="M1817" s="132">
        <v>1</v>
      </c>
      <c r="P1817" s="4" t="str">
        <f>VLOOKUP(H1817,Stock_list!A:Y,25,FALSE)</f>
        <v>Yes</v>
      </c>
      <c r="Q1817" s="133"/>
      <c r="T1817" s="144"/>
      <c r="U1817" s="145" t="str">
        <f>VLOOKUP(H1817,Stock_list!A:N,14,FALSE)</f>
        <v>OCT 20</v>
      </c>
    </row>
    <row r="1818" spans="1:21" ht="16.5" customHeight="1">
      <c r="A1818" s="159" t="s">
        <v>2744</v>
      </c>
      <c r="B1818" s="114" t="str">
        <f>VLOOKUP(A1818,'Data pick slip'!B:F,5,FALSE)</f>
        <v>KHJ-MC100-00</v>
      </c>
      <c r="F1818" s="157" t="s">
        <v>2773</v>
      </c>
      <c r="H1818" s="138">
        <v>553</v>
      </c>
      <c r="I1818" s="139" t="str">
        <f>VLOOKUP(H1818,Stock_list!A:R,18,FALSE)</f>
        <v>宏润通</v>
      </c>
      <c r="J1818" s="139" t="str">
        <f>VLOOKUP(H1818,Stock_list!A:S,17,FALSE)</f>
        <v>C49SZX20190187JY</v>
      </c>
      <c r="K1818" s="51" t="str">
        <f>VLOOKUP(H1818,Stock_list!A:T,16,FALSE)</f>
        <v>JPY</v>
      </c>
      <c r="L1818" s="4">
        <v>44092</v>
      </c>
      <c r="M1818" s="51"/>
      <c r="O1818" s="132">
        <f>10-10</f>
        <v>0</v>
      </c>
      <c r="P1818" s="4" t="str">
        <f>VLOOKUP(H1818,Stock_list!A:Y,25,FALSE)</f>
        <v>Yes</v>
      </c>
      <c r="Q1818" s="133"/>
      <c r="T1818" s="144"/>
      <c r="U1818" s="145" t="str">
        <f>VLOOKUP(H1818,Stock_list!A:N,14,FALSE)</f>
        <v>OCT 20</v>
      </c>
    </row>
    <row r="1819" spans="1:21" ht="16.5" customHeight="1">
      <c r="A1819" s="159" t="s">
        <v>2747</v>
      </c>
      <c r="B1819" s="114" t="str">
        <f>VLOOKUP(A1819,'Data pick slip'!B:F,5,FALSE)</f>
        <v>KHJ-MC200-00</v>
      </c>
      <c r="F1819" s="157" t="s">
        <v>2773</v>
      </c>
      <c r="H1819" s="138">
        <v>553</v>
      </c>
      <c r="I1819" s="139" t="str">
        <f>VLOOKUP(H1819,Stock_list!A:R,18,FALSE)</f>
        <v>宏润通</v>
      </c>
      <c r="J1819" s="139" t="str">
        <f>VLOOKUP(H1819,Stock_list!A:S,17,FALSE)</f>
        <v>C49SZX20190187JY</v>
      </c>
      <c r="K1819" s="51" t="str">
        <f>VLOOKUP(H1819,Stock_list!A:T,16,FALSE)</f>
        <v>JPY</v>
      </c>
      <c r="L1819" s="4">
        <v>44092</v>
      </c>
      <c r="O1819" s="132">
        <f>2-2</f>
        <v>0</v>
      </c>
      <c r="P1819" s="4" t="str">
        <f>VLOOKUP(H1819,Stock_list!A:Y,25,FALSE)</f>
        <v>Yes</v>
      </c>
      <c r="Q1819" s="133"/>
      <c r="T1819" s="144"/>
      <c r="U1819" s="145" t="str">
        <f>VLOOKUP(H1819,Stock_list!A:N,14,FALSE)</f>
        <v>OCT 20</v>
      </c>
    </row>
    <row r="1820" spans="1:21" ht="16.5" customHeight="1">
      <c r="A1820" s="159" t="s">
        <v>2748</v>
      </c>
      <c r="B1820" s="114" t="str">
        <f>VLOOKUP(A1820,'Data pick slip'!B:F,5,FALSE)</f>
        <v>KHJ-MC400-00</v>
      </c>
      <c r="F1820" s="157" t="s">
        <v>2773</v>
      </c>
      <c r="H1820" s="138">
        <v>553</v>
      </c>
      <c r="I1820" s="139" t="str">
        <f>VLOOKUP(H1820,Stock_list!A:R,18,FALSE)</f>
        <v>宏润通</v>
      </c>
      <c r="J1820" s="139" t="str">
        <f>VLOOKUP(H1820,Stock_list!A:S,17,FALSE)</f>
        <v>C49SZX20190187JY</v>
      </c>
      <c r="K1820" s="51" t="str">
        <f>VLOOKUP(H1820,Stock_list!A:T,16,FALSE)</f>
        <v>JPY</v>
      </c>
      <c r="L1820" s="4">
        <v>44092</v>
      </c>
      <c r="O1820" s="132">
        <f>2-2</f>
        <v>0</v>
      </c>
      <c r="P1820" s="4" t="str">
        <f>VLOOKUP(H1820,Stock_list!A:Y,25,FALSE)</f>
        <v>Yes</v>
      </c>
      <c r="Q1820" s="133"/>
      <c r="T1820" s="144"/>
      <c r="U1820" s="145" t="str">
        <f>VLOOKUP(H1820,Stock_list!A:N,14,FALSE)</f>
        <v>OCT 20</v>
      </c>
    </row>
    <row r="1821" spans="1:21" ht="16.5" customHeight="1">
      <c r="A1821" s="159" t="s">
        <v>2750</v>
      </c>
      <c r="B1821" s="114" t="str">
        <f>VLOOKUP(A1821,'Data pick slip'!B:F,5,FALSE)</f>
        <v>KHJ-MC600-00</v>
      </c>
      <c r="F1821" s="157" t="s">
        <v>2773</v>
      </c>
      <c r="H1821" s="138">
        <v>553</v>
      </c>
      <c r="I1821" s="139" t="str">
        <f>VLOOKUP(H1821,Stock_list!A:R,18,FALSE)</f>
        <v>宏润通</v>
      </c>
      <c r="J1821" s="139" t="str">
        <f>VLOOKUP(H1821,Stock_list!A:S,17,FALSE)</f>
        <v>C49SZX20190187JY</v>
      </c>
      <c r="K1821" s="51" t="str">
        <f>VLOOKUP(H1821,Stock_list!A:T,16,FALSE)</f>
        <v>JPY</v>
      </c>
      <c r="L1821" s="4">
        <v>44092</v>
      </c>
      <c r="O1821" s="132">
        <f>1-1</f>
        <v>0</v>
      </c>
      <c r="P1821" s="4" t="str">
        <f>VLOOKUP(H1821,Stock_list!A:Y,25,FALSE)</f>
        <v>Yes</v>
      </c>
      <c r="Q1821" s="133"/>
      <c r="T1821" s="144"/>
      <c r="U1821" s="145" t="str">
        <f>VLOOKUP(H1821,Stock_list!A:N,14,FALSE)</f>
        <v>OCT 20</v>
      </c>
    </row>
    <row r="1822" spans="1:21" ht="16.5" customHeight="1">
      <c r="A1822" s="159" t="s">
        <v>2744</v>
      </c>
      <c r="B1822" s="114" t="str">
        <f>VLOOKUP(A1822,'Data pick slip'!B:F,5,FALSE)</f>
        <v>KHJ-MC100-00</v>
      </c>
      <c r="F1822" s="157" t="s">
        <v>2773</v>
      </c>
      <c r="H1822" s="138">
        <v>553</v>
      </c>
      <c r="I1822" s="139" t="str">
        <f>VLOOKUP(H1822,Stock_list!A:R,18,FALSE)</f>
        <v>宏润通</v>
      </c>
      <c r="J1822" s="139" t="str">
        <f>VLOOKUP(H1822,Stock_list!A:S,17,FALSE)</f>
        <v>C49SZX20190187JY</v>
      </c>
      <c r="K1822" s="51" t="str">
        <f>VLOOKUP(H1822,Stock_list!A:T,16,FALSE)</f>
        <v>JPY</v>
      </c>
      <c r="L1822" s="4">
        <v>44101</v>
      </c>
      <c r="O1822" s="132">
        <f>10-10</f>
        <v>0</v>
      </c>
      <c r="P1822" s="4" t="str">
        <f>VLOOKUP(H1822,Stock_list!A:Y,25,FALSE)</f>
        <v>Yes</v>
      </c>
      <c r="Q1822" s="133"/>
      <c r="T1822" s="144"/>
      <c r="U1822" s="145" t="str">
        <f>VLOOKUP(H1822,Stock_list!A:N,14,FALSE)</f>
        <v>OCT 20</v>
      </c>
    </row>
    <row r="1823" spans="1:21" ht="16.5" customHeight="1">
      <c r="A1823" s="159" t="s">
        <v>2749</v>
      </c>
      <c r="B1823" s="114" t="str">
        <f>VLOOKUP(A1823,'Data pick slip'!B:F,5,FALSE)</f>
        <v>KHJ-MC500-00</v>
      </c>
      <c r="F1823" s="157" t="s">
        <v>2773</v>
      </c>
      <c r="H1823" s="138">
        <v>553</v>
      </c>
      <c r="I1823" s="139" t="str">
        <f>VLOOKUP(H1823,Stock_list!A:R,18,FALSE)</f>
        <v>宏润通</v>
      </c>
      <c r="J1823" s="139" t="str">
        <f>VLOOKUP(H1823,Stock_list!A:S,17,FALSE)</f>
        <v>C49SZX20190187JY</v>
      </c>
      <c r="K1823" s="51" t="str">
        <f>VLOOKUP(H1823,Stock_list!A:T,16,FALSE)</f>
        <v>JPY</v>
      </c>
      <c r="L1823" s="4">
        <v>44101</v>
      </c>
      <c r="O1823" s="132">
        <f>1-1</f>
        <v>0</v>
      </c>
      <c r="P1823" s="4" t="str">
        <f>VLOOKUP(H1823,Stock_list!A:Y,25,FALSE)</f>
        <v>Yes</v>
      </c>
      <c r="Q1823" s="133"/>
      <c r="T1823" s="144"/>
      <c r="U1823" s="145" t="str">
        <f>VLOOKUP(H1823,Stock_list!A:N,14,FALSE)</f>
        <v>OCT 20</v>
      </c>
    </row>
    <row r="1824" spans="1:21" ht="16.5" customHeight="1">
      <c r="A1824" s="159" t="s">
        <v>2755</v>
      </c>
      <c r="B1824" s="114" t="str">
        <f>VLOOKUP(A1824,'Data pick slip'!B:F,5,FALSE)</f>
        <v>KLJ-MC100-00</v>
      </c>
      <c r="F1824" s="157" t="s">
        <v>2773</v>
      </c>
      <c r="H1824" s="138">
        <v>558</v>
      </c>
      <c r="I1824" s="139" t="str">
        <f>VLOOKUP(H1824,Stock_list!A:R,18,FALSE)</f>
        <v>龙大光电</v>
      </c>
      <c r="J1824" s="139" t="str">
        <f>VLOOKUP(H1824,Stock_list!A:S,17,FALSE)</f>
        <v>C49SZX20190186SS</v>
      </c>
      <c r="K1824" s="51" t="str">
        <f>VLOOKUP(H1824,Stock_list!A:T,16,FALSE)</f>
        <v>RMB</v>
      </c>
      <c r="L1824" s="4">
        <v>43908</v>
      </c>
      <c r="M1824" s="140">
        <v>40</v>
      </c>
      <c r="P1824" s="4" t="str">
        <f>VLOOKUP(H1824,Stock_list!A:Y,25,FALSE)</f>
        <v>Yes</v>
      </c>
      <c r="Q1824" s="143"/>
      <c r="T1824" s="144"/>
      <c r="U1824" s="145" t="str">
        <f>VLOOKUP(H1824,Stock_list!A:N,14,FALSE)</f>
        <v>MAR 20</v>
      </c>
    </row>
    <row r="1825" spans="1:21" ht="16.5" customHeight="1">
      <c r="A1825" s="159" t="s">
        <v>2754</v>
      </c>
      <c r="B1825" s="114" t="str">
        <f>VLOOKUP(A1825,'Data pick slip'!B:F,5,FALSE)</f>
        <v>KLJ-MCN00-20</v>
      </c>
      <c r="F1825" s="157" t="s">
        <v>2862</v>
      </c>
      <c r="H1825" s="138">
        <v>562</v>
      </c>
      <c r="I1825" s="139" t="str">
        <f>VLOOKUP(H1825,Stock_list!A:R,18,FALSE)</f>
        <v>鸿南电子</v>
      </c>
      <c r="J1825" s="139" t="str">
        <f>VLOOKUP(H1825,Stock_list!A:S,17,FALSE)</f>
        <v>C49SZX20190192MZ</v>
      </c>
      <c r="K1825" s="51" t="str">
        <f>VLOOKUP(H1825,Stock_list!A:T,16,FALSE)</f>
        <v>JPY</v>
      </c>
      <c r="L1825" s="4">
        <v>43946</v>
      </c>
      <c r="M1825" s="132">
        <v>5</v>
      </c>
      <c r="P1825" s="4" t="str">
        <f>VLOOKUP(H1825,Stock_list!A:Y,25,FALSE)</f>
        <v>Yes</v>
      </c>
      <c r="Q1825" s="143"/>
      <c r="T1825" s="144"/>
      <c r="U1825" s="145" t="str">
        <f>VLOOKUP(H1825,Stock_list!A:N,14,FALSE)</f>
        <v>JAN 20</v>
      </c>
    </row>
    <row r="1826" spans="1:21" ht="16.5" customHeight="1">
      <c r="A1826" s="159" t="s">
        <v>2755</v>
      </c>
      <c r="B1826" s="114" t="str">
        <f>VLOOKUP(A1826,'Data pick slip'!B:F,5,FALSE)</f>
        <v>KLJ-MC100-00</v>
      </c>
      <c r="F1826" s="157" t="s">
        <v>2862</v>
      </c>
      <c r="H1826" s="138">
        <v>562</v>
      </c>
      <c r="I1826" s="139" t="str">
        <f>VLOOKUP(H1826,Stock_list!A:R,18,FALSE)</f>
        <v>鸿南电子</v>
      </c>
      <c r="J1826" s="139" t="str">
        <f>VLOOKUP(H1826,Stock_list!A:S,17,FALSE)</f>
        <v>C49SZX20190192MZ</v>
      </c>
      <c r="K1826" s="51" t="str">
        <f>VLOOKUP(H1826,Stock_list!A:T,16,FALSE)</f>
        <v>JPY</v>
      </c>
      <c r="L1826" s="4">
        <v>43844</v>
      </c>
      <c r="M1826" s="132">
        <v>50</v>
      </c>
      <c r="P1826" s="4" t="str">
        <f>VLOOKUP(H1826,Stock_list!A:Y,25,FALSE)</f>
        <v>Yes</v>
      </c>
      <c r="Q1826" s="143"/>
      <c r="T1826" s="144"/>
      <c r="U1826" s="145" t="str">
        <f>VLOOKUP(H1826,Stock_list!A:N,14,FALSE)</f>
        <v>JAN 20</v>
      </c>
    </row>
    <row r="1827" spans="1:21" ht="16.5" customHeight="1">
      <c r="A1827" s="159" t="s">
        <v>2756</v>
      </c>
      <c r="B1827" s="114" t="str">
        <f>VLOOKUP(A1827,'Data pick slip'!B:F,5,FALSE)</f>
        <v>KLJ-MC200-00</v>
      </c>
      <c r="F1827" s="157" t="s">
        <v>2862</v>
      </c>
      <c r="H1827" s="138">
        <v>562</v>
      </c>
      <c r="I1827" s="139" t="str">
        <f>VLOOKUP(H1827,Stock_list!A:R,18,FALSE)</f>
        <v>鸿南电子</v>
      </c>
      <c r="J1827" s="139" t="str">
        <f>VLOOKUP(H1827,Stock_list!A:S,17,FALSE)</f>
        <v>C49SZX20190192MZ</v>
      </c>
      <c r="K1827" s="51" t="str">
        <f>VLOOKUP(H1827,Stock_list!A:T,16,FALSE)</f>
        <v>JPY</v>
      </c>
      <c r="L1827" s="4">
        <v>43844</v>
      </c>
      <c r="M1827" s="132">
        <v>10</v>
      </c>
      <c r="P1827" s="4" t="str">
        <f>VLOOKUP(H1827,Stock_list!A:Y,25,FALSE)</f>
        <v>Yes</v>
      </c>
      <c r="T1827" s="144"/>
      <c r="U1827" s="145" t="str">
        <f>VLOOKUP(H1827,Stock_list!A:N,14,FALSE)</f>
        <v>JAN 20</v>
      </c>
    </row>
    <row r="1828" spans="1:21" ht="16.5" customHeight="1">
      <c r="A1828" s="159" t="s">
        <v>2744</v>
      </c>
      <c r="B1828" s="114" t="str">
        <f>VLOOKUP(A1828,'Data pick slip'!B:F,5,FALSE)</f>
        <v>KHJ-MC100-00</v>
      </c>
      <c r="F1828" s="157" t="s">
        <v>2773</v>
      </c>
      <c r="I1828" s="139" t="s">
        <v>3094</v>
      </c>
      <c r="J1828" s="139" t="s">
        <v>3220</v>
      </c>
      <c r="K1828" s="51" t="s">
        <v>1246</v>
      </c>
      <c r="L1828" s="4">
        <v>43824</v>
      </c>
      <c r="M1828" s="140">
        <v>4</v>
      </c>
      <c r="P1828" s="4" t="s">
        <v>291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2744</v>
      </c>
      <c r="B1829" s="114" t="str">
        <f>VLOOKUP(A1829,'Data pick slip'!B:F,5,FALSE)</f>
        <v>KHJ-MC100-00</v>
      </c>
      <c r="F1829" s="157" t="s">
        <v>2862</v>
      </c>
      <c r="I1829" s="139" t="s">
        <v>3016</v>
      </c>
      <c r="J1829" s="139" t="s">
        <v>3221</v>
      </c>
      <c r="K1829" s="51" t="s">
        <v>1246</v>
      </c>
      <c r="L1829" s="4">
        <v>43830</v>
      </c>
      <c r="M1829" s="140">
        <v>50</v>
      </c>
      <c r="P1829" s="4" t="s">
        <v>291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2747</v>
      </c>
      <c r="B1830" s="114" t="str">
        <f>VLOOKUP(A1830,'Data pick slip'!B:F,5,FALSE)</f>
        <v>KHJ-MC200-00</v>
      </c>
      <c r="F1830" s="157" t="s">
        <v>2862</v>
      </c>
      <c r="I1830" s="139" t="s">
        <v>3016</v>
      </c>
      <c r="J1830" s="139" t="s">
        <v>3221</v>
      </c>
      <c r="K1830" s="51" t="s">
        <v>1246</v>
      </c>
      <c r="L1830" s="4">
        <v>43830</v>
      </c>
      <c r="M1830" s="140">
        <v>80</v>
      </c>
      <c r="P1830" s="4" t="s">
        <v>291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2748</v>
      </c>
      <c r="B1831" s="114" t="str">
        <f>VLOOKUP(A1831,'Data pick slip'!B:F,5,FALSE)</f>
        <v>KHJ-MC400-00</v>
      </c>
      <c r="F1831" s="157" t="s">
        <v>2862</v>
      </c>
      <c r="I1831" s="139" t="s">
        <v>3016</v>
      </c>
      <c r="J1831" s="139" t="s">
        <v>3221</v>
      </c>
      <c r="K1831" s="51" t="s">
        <v>1246</v>
      </c>
      <c r="L1831" s="4">
        <v>43830</v>
      </c>
      <c r="M1831" s="140">
        <v>14</v>
      </c>
      <c r="P1831" s="4" t="s">
        <v>291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2759</v>
      </c>
      <c r="B1832" s="114" t="str">
        <f>VLOOKUP(A1832,'Data pick slip'!B:F,5,FALSE)</f>
        <v>KLJ-MC600-00</v>
      </c>
      <c r="F1832" s="157" t="s">
        <v>2862</v>
      </c>
      <c r="I1832" s="139" t="s">
        <v>3016</v>
      </c>
      <c r="J1832" s="139" t="s">
        <v>3221</v>
      </c>
      <c r="K1832" s="51" t="s">
        <v>1246</v>
      </c>
      <c r="L1832" s="4">
        <v>43830</v>
      </c>
      <c r="M1832" s="140">
        <v>3</v>
      </c>
      <c r="P1832" s="4" t="s">
        <v>291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2749</v>
      </c>
      <c r="B1833" s="114" t="str">
        <f>VLOOKUP(A1833,'Data pick slip'!B:F,5,FALSE)</f>
        <v>KHJ-MC500-00</v>
      </c>
      <c r="F1833" s="157" t="s">
        <v>2862</v>
      </c>
      <c r="I1833" s="139" t="s">
        <v>3016</v>
      </c>
      <c r="J1833" s="139" t="s">
        <v>3222</v>
      </c>
      <c r="K1833" s="51" t="s">
        <v>1246</v>
      </c>
      <c r="L1833" s="4">
        <v>43830</v>
      </c>
      <c r="M1833" s="140">
        <v>5</v>
      </c>
      <c r="P1833" s="4" t="s">
        <v>291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2744</v>
      </c>
      <c r="B1834" s="114" t="str">
        <f>VLOOKUP(A1834,'Data pick slip'!B:F,5,FALSE)</f>
        <v>KHJ-MC100-00</v>
      </c>
      <c r="F1834" s="157" t="s">
        <v>2862</v>
      </c>
      <c r="I1834" s="139" t="s">
        <v>3016</v>
      </c>
      <c r="J1834" s="139" t="s">
        <v>3221</v>
      </c>
      <c r="K1834" s="51" t="s">
        <v>1246</v>
      </c>
      <c r="L1834" s="4">
        <v>43829</v>
      </c>
      <c r="M1834" s="140">
        <v>150</v>
      </c>
      <c r="P1834" s="4" t="s">
        <v>291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2744</v>
      </c>
      <c r="B1835" s="114" t="str">
        <f>VLOOKUP(A1835,'Data pick slip'!B:F,5,FALSE)</f>
        <v>KHJ-MC100-00</v>
      </c>
      <c r="F1835" s="157" t="s">
        <v>2862</v>
      </c>
      <c r="H1835" s="138">
        <v>564</v>
      </c>
      <c r="I1835" s="139" t="str">
        <f>VLOOKUP(H1835,Stock_list!A:R,18,FALSE)</f>
        <v>柏星</v>
      </c>
      <c r="J1835" s="139" t="str">
        <f>VLOOKUP(H1835,Stock_list!A:S,17,FALSE)</f>
        <v>C49SZX20200001SX</v>
      </c>
      <c r="K1835" s="51" t="str">
        <f>VLOOKUP(H1835,Stock_list!A:T,16,FALSE)</f>
        <v>JPY</v>
      </c>
      <c r="L1835" s="4">
        <v>43839</v>
      </c>
      <c r="M1835" s="132">
        <v>100</v>
      </c>
      <c r="P1835" s="4" t="str">
        <f>VLOOKUP(H1835,Stock_list!A:Y,25,FALSE)</f>
        <v>Yes</v>
      </c>
      <c r="Q1835" s="143"/>
      <c r="T1835" s="144"/>
      <c r="U1835" s="145" t="str">
        <f>VLOOKUP(H1835,Stock_list!A:N,14,FALSE)</f>
        <v>JAN 20</v>
      </c>
    </row>
    <row r="1836" spans="1:21" ht="16.5" customHeight="1">
      <c r="A1836" s="159" t="s">
        <v>2747</v>
      </c>
      <c r="B1836" s="114" t="str">
        <f>VLOOKUP(A1836,'Data pick slip'!B:F,5,FALSE)</f>
        <v>KHJ-MC200-00</v>
      </c>
      <c r="F1836" s="157" t="s">
        <v>2862</v>
      </c>
      <c r="H1836" s="138">
        <v>564</v>
      </c>
      <c r="I1836" s="139" t="str">
        <f>VLOOKUP(H1836,Stock_list!A:R,18,FALSE)</f>
        <v>柏星</v>
      </c>
      <c r="J1836" s="139" t="str">
        <f>VLOOKUP(H1836,Stock_list!A:S,17,FALSE)</f>
        <v>C49SZX20200001SX</v>
      </c>
      <c r="K1836" s="51" t="str">
        <f>VLOOKUP(H1836,Stock_list!A:T,16,FALSE)</f>
        <v>JPY</v>
      </c>
      <c r="L1836" s="4">
        <v>43839</v>
      </c>
      <c r="M1836" s="132">
        <v>20</v>
      </c>
      <c r="P1836" s="4" t="str">
        <f>VLOOKUP(H1836,Stock_list!A:Y,25,FALSE)</f>
        <v>Yes</v>
      </c>
      <c r="Q1836" s="143"/>
      <c r="T1836" s="144"/>
      <c r="U1836" s="145" t="str">
        <f>VLOOKUP(H1836,Stock_list!A:N,14,FALSE)</f>
        <v>JAN 20</v>
      </c>
    </row>
    <row r="1837" spans="1:21" ht="16.5" customHeight="1">
      <c r="A1837" s="159" t="s">
        <v>2748</v>
      </c>
      <c r="B1837" s="114" t="str">
        <f>VLOOKUP(A1837,'Data pick slip'!B:F,5,FALSE)</f>
        <v>KHJ-MC400-00</v>
      </c>
      <c r="F1837" s="157" t="s">
        <v>2862</v>
      </c>
      <c r="H1837" s="138">
        <v>564</v>
      </c>
      <c r="I1837" s="139" t="str">
        <f>VLOOKUP(H1837,Stock_list!A:R,18,FALSE)</f>
        <v>柏星</v>
      </c>
      <c r="J1837" s="139" t="str">
        <f>VLOOKUP(H1837,Stock_list!A:S,17,FALSE)</f>
        <v>C49SZX20200001SX</v>
      </c>
      <c r="K1837" s="51" t="str">
        <f>VLOOKUP(H1837,Stock_list!A:T,16,FALSE)</f>
        <v>JPY</v>
      </c>
      <c r="L1837" s="4">
        <v>43839</v>
      </c>
      <c r="M1837" s="132">
        <v>3</v>
      </c>
      <c r="P1837" s="4" t="str">
        <f>VLOOKUP(H1837,Stock_list!A:Y,25,FALSE)</f>
        <v>Yes</v>
      </c>
      <c r="Q1837" s="143"/>
      <c r="T1837" s="144"/>
      <c r="U1837" s="145" t="str">
        <f>VLOOKUP(H1837,Stock_list!A:N,14,FALSE)</f>
        <v>JAN 20</v>
      </c>
    </row>
    <row r="1838" spans="1:21" ht="16.5" customHeight="1">
      <c r="A1838" s="159" t="s">
        <v>2744</v>
      </c>
      <c r="B1838" s="114" t="str">
        <f>VLOOKUP(A1838,'Data pick slip'!B:F,5,FALSE)</f>
        <v>KHJ-MC100-00</v>
      </c>
      <c r="F1838" s="157" t="s">
        <v>2862</v>
      </c>
      <c r="H1838" s="138">
        <v>566</v>
      </c>
      <c r="I1838" s="139" t="str">
        <f>VLOOKUP(H1838,Stock_list!A:R,18,FALSE)</f>
        <v>熙洲电子</v>
      </c>
      <c r="J1838" s="139" t="str">
        <f>VLOOKUP(H1838,Stock_list!A:S,17,FALSE)</f>
        <v>C49SZX20200002MZ</v>
      </c>
      <c r="K1838" s="51" t="str">
        <f>VLOOKUP(H1838,Stock_list!A:T,16,FALSE)</f>
        <v>JPY</v>
      </c>
      <c r="L1838" s="4">
        <v>43902</v>
      </c>
      <c r="M1838" s="132">
        <v>20</v>
      </c>
      <c r="P1838" s="4" t="str">
        <f>VLOOKUP(H1838,Stock_list!A:Y,25,FALSE)</f>
        <v>Yes</v>
      </c>
      <c r="Q1838" s="143"/>
      <c r="T1838" s="144"/>
      <c r="U1838" s="145" t="str">
        <f>VLOOKUP(H1838,Stock_list!A:N,14,FALSE)</f>
        <v>MAR 20</v>
      </c>
    </row>
    <row r="1839" spans="1:21" ht="16.5" customHeight="1">
      <c r="A1839" s="159" t="s">
        <v>2744</v>
      </c>
      <c r="B1839" s="114" t="str">
        <f>VLOOKUP(A1839,'Data pick slip'!B:F,5,FALSE)</f>
        <v>KHJ-MC100-00</v>
      </c>
      <c r="F1839" s="157" t="s">
        <v>2862</v>
      </c>
      <c r="H1839" s="138">
        <v>568</v>
      </c>
      <c r="I1839" s="139" t="str">
        <f>VLOOKUP(H1839,Stock_list!A:R,18,FALSE)</f>
        <v>靓颖电子</v>
      </c>
      <c r="J1839" s="139" t="str">
        <f>VLOOKUP(H1839,Stock_list!A:S,17,FALSE)</f>
        <v>C49SZX20200003CX</v>
      </c>
      <c r="K1839" s="51" t="str">
        <f>VLOOKUP(H1839,Stock_list!A:T,16,FALSE)</f>
        <v>JPY</v>
      </c>
      <c r="L1839" s="4">
        <v>43900</v>
      </c>
      <c r="M1839" s="132">
        <v>45</v>
      </c>
      <c r="P1839" s="4" t="str">
        <f>VLOOKUP(H1839,Stock_list!A:Y,25,FALSE)</f>
        <v>Yes</v>
      </c>
      <c r="Q1839" s="143"/>
      <c r="T1839" s="144"/>
      <c r="U1839" s="145" t="str">
        <f>VLOOKUP(H1839,Stock_list!A:N,14,FALSE)</f>
        <v>MAR 20</v>
      </c>
    </row>
    <row r="1840" spans="1:21" ht="16.5" customHeight="1">
      <c r="A1840" s="159" t="s">
        <v>2747</v>
      </c>
      <c r="B1840" s="114" t="str">
        <f>VLOOKUP(A1840,'Data pick slip'!B:F,5,FALSE)</f>
        <v>KHJ-MC200-00</v>
      </c>
      <c r="F1840" s="157" t="s">
        <v>2862</v>
      </c>
      <c r="H1840" s="138">
        <v>568</v>
      </c>
      <c r="I1840" s="139" t="str">
        <f>VLOOKUP(H1840,Stock_list!A:R,18,FALSE)</f>
        <v>靓颖电子</v>
      </c>
      <c r="J1840" s="139" t="str">
        <f>VLOOKUP(H1840,Stock_list!A:S,17,FALSE)</f>
        <v>C49SZX20200003CX</v>
      </c>
      <c r="K1840" s="51" t="str">
        <f>VLOOKUP(H1840,Stock_list!A:T,16,FALSE)</f>
        <v>JPY</v>
      </c>
      <c r="L1840" s="4">
        <v>43900</v>
      </c>
      <c r="M1840" s="132">
        <v>8</v>
      </c>
      <c r="P1840" s="4" t="str">
        <f>VLOOKUP(H1840,Stock_list!A:Y,25,FALSE)</f>
        <v>Yes</v>
      </c>
      <c r="Q1840" s="143"/>
      <c r="T1840" s="144"/>
      <c r="U1840" s="145" t="str">
        <f>VLOOKUP(H1840,Stock_list!A:N,14,FALSE)</f>
        <v>MAR 20</v>
      </c>
    </row>
    <row r="1841" spans="1:21" ht="16.5" customHeight="1">
      <c r="A1841" s="159" t="s">
        <v>2748</v>
      </c>
      <c r="B1841" s="114" t="str">
        <f>VLOOKUP(A1841,'Data pick slip'!B:F,5,FALSE)</f>
        <v>KHJ-MC400-00</v>
      </c>
      <c r="F1841" s="157" t="s">
        <v>2862</v>
      </c>
      <c r="H1841" s="138">
        <v>568</v>
      </c>
      <c r="I1841" s="139" t="str">
        <f>VLOOKUP(H1841,Stock_list!A:R,18,FALSE)</f>
        <v>靓颖电子</v>
      </c>
      <c r="J1841" s="139" t="str">
        <f>VLOOKUP(H1841,Stock_list!A:S,17,FALSE)</f>
        <v>C49SZX20200003CX</v>
      </c>
      <c r="K1841" s="51" t="str">
        <f>VLOOKUP(H1841,Stock_list!A:T,16,FALSE)</f>
        <v>JPY</v>
      </c>
      <c r="L1841" s="4">
        <v>43900</v>
      </c>
      <c r="M1841" s="132">
        <v>5</v>
      </c>
      <c r="P1841" s="4" t="str">
        <f>VLOOKUP(H1841,Stock_list!A:Y,25,FALSE)</f>
        <v>Yes</v>
      </c>
      <c r="Q1841" s="143"/>
      <c r="T1841" s="144"/>
      <c r="U1841" s="145" t="str">
        <f>VLOOKUP(H1841,Stock_list!A:N,14,FALSE)</f>
        <v>MAR 20</v>
      </c>
    </row>
    <row r="1842" spans="1:21" ht="16.5" customHeight="1">
      <c r="A1842" s="159" t="s">
        <v>2755</v>
      </c>
      <c r="B1842" s="114" t="str">
        <f>VLOOKUP(A1842,'Data pick slip'!B:F,5,FALSE)</f>
        <v>KLJ-MC100-00</v>
      </c>
      <c r="F1842" s="157" t="s">
        <v>2773</v>
      </c>
      <c r="H1842" s="138">
        <v>563</v>
      </c>
      <c r="I1842" s="139" t="str">
        <f>VLOOKUP(H1842,Stock_list!A:R,18,FALSE)</f>
        <v>明昌</v>
      </c>
      <c r="J1842" s="139" t="str">
        <f>VLOOKUP(H1842,Stock_list!A:S,17,FALSE)</f>
        <v>C49SZX20190193SS</v>
      </c>
      <c r="K1842" s="51" t="str">
        <f>VLOOKUP(H1842,Stock_list!A:T,16,FALSE)</f>
        <v>RMB</v>
      </c>
      <c r="L1842" s="4">
        <v>44015</v>
      </c>
      <c r="M1842" s="132">
        <v>22</v>
      </c>
      <c r="P1842" s="4" t="str">
        <f>VLOOKUP(H1842,Stock_list!A:Y,25,FALSE)</f>
        <v>Yes</v>
      </c>
      <c r="Q1842" s="143"/>
      <c r="T1842" s="144"/>
      <c r="U1842" s="145" t="str">
        <f>VLOOKUP(H1842,Stock_list!A:N,14,FALSE)</f>
        <v>JUL 20</v>
      </c>
    </row>
    <row r="1843" spans="1:21" ht="16.5" customHeight="1">
      <c r="A1843" s="159" t="s">
        <v>2744</v>
      </c>
      <c r="B1843" s="114" t="str">
        <f>VLOOKUP(A1843,'Data pick slip'!B:F,5,FALSE)</f>
        <v>KHJ-MC100-00</v>
      </c>
      <c r="F1843" s="157" t="s">
        <v>2862</v>
      </c>
      <c r="H1843" s="138">
        <v>574</v>
      </c>
      <c r="I1843" s="139" t="str">
        <f>VLOOKUP(H1843,Stock_list!A:R,18,FALSE)</f>
        <v>康腾</v>
      </c>
      <c r="J1843" s="139" t="str">
        <f>VLOOKUP(H1843,Stock_list!A:S,17,FALSE)</f>
        <v>C49SZX20200012SS</v>
      </c>
      <c r="K1843" s="51" t="str">
        <f>VLOOKUP(H1843,Stock_list!A:T,16,FALSE)</f>
        <v>JPY</v>
      </c>
      <c r="L1843" s="4">
        <v>43966</v>
      </c>
      <c r="M1843" s="132">
        <v>15</v>
      </c>
      <c r="P1843" s="4" t="str">
        <f>VLOOKUP(H1843,Stock_list!A:Y,25,FALSE)</f>
        <v>Yes</v>
      </c>
      <c r="Q1843" s="143"/>
      <c r="T1843" s="144"/>
      <c r="U1843" s="145" t="str">
        <f>VLOOKUP(H1843,Stock_list!A:N,14,FALSE)</f>
        <v>MAY 20</v>
      </c>
    </row>
    <row r="1844" spans="1:21" ht="16.5" customHeight="1">
      <c r="A1844" s="159" t="s">
        <v>2757</v>
      </c>
      <c r="B1844" s="114" t="str">
        <f>VLOOKUP(A1844,'Data pick slip'!B:F,5,FALSE)</f>
        <v>KLJ-MC400-00</v>
      </c>
      <c r="F1844" s="157" t="s">
        <v>2862</v>
      </c>
      <c r="H1844" s="138">
        <v>574</v>
      </c>
      <c r="I1844" s="139" t="str">
        <f>VLOOKUP(H1844,Stock_list!A:R,18,FALSE)</f>
        <v>康腾</v>
      </c>
      <c r="J1844" s="139" t="str">
        <f>VLOOKUP(H1844,Stock_list!A:S,17,FALSE)</f>
        <v>C49SZX20200012SS</v>
      </c>
      <c r="K1844" s="51" t="str">
        <f>VLOOKUP(H1844,Stock_list!A:T,16,FALSE)</f>
        <v>JPY</v>
      </c>
      <c r="L1844" s="4">
        <v>43966</v>
      </c>
      <c r="M1844" s="132">
        <v>3</v>
      </c>
      <c r="P1844" s="4" t="str">
        <f>VLOOKUP(H1844,Stock_list!A:Y,25,FALSE)</f>
        <v>Yes</v>
      </c>
      <c r="Q1844" s="143"/>
      <c r="T1844" s="144"/>
      <c r="U1844" s="145" t="str">
        <f>VLOOKUP(H1844,Stock_list!A:N,14,FALSE)</f>
        <v>MAY 20</v>
      </c>
    </row>
    <row r="1845" spans="1:21" ht="16.5" customHeight="1">
      <c r="A1845" s="159" t="s">
        <v>2749</v>
      </c>
      <c r="B1845" s="114" t="str">
        <f>VLOOKUP(A1845,'Data pick slip'!B:F,5,FALSE)</f>
        <v>KHJ-MC500-00</v>
      </c>
      <c r="F1845" s="157" t="s">
        <v>2862</v>
      </c>
      <c r="H1845" s="138">
        <v>574</v>
      </c>
      <c r="I1845" s="139" t="str">
        <f>VLOOKUP(H1845,Stock_list!A:R,18,FALSE)</f>
        <v>康腾</v>
      </c>
      <c r="J1845" s="139" t="str">
        <f>VLOOKUP(H1845,Stock_list!A:S,17,FALSE)</f>
        <v>C49SZX20200012SS</v>
      </c>
      <c r="K1845" s="51" t="str">
        <f>VLOOKUP(H1845,Stock_list!A:T,16,FALSE)</f>
        <v>JPY</v>
      </c>
      <c r="L1845" s="4">
        <v>43966</v>
      </c>
      <c r="M1845" s="132">
        <v>1</v>
      </c>
      <c r="P1845" s="4" t="str">
        <f>VLOOKUP(H1845,Stock_list!A:Y,25,FALSE)</f>
        <v>Yes</v>
      </c>
      <c r="Q1845" s="143"/>
      <c r="T1845" s="144"/>
      <c r="U1845" s="145" t="str">
        <f>VLOOKUP(H1845,Stock_list!A:N,14,FALSE)</f>
        <v>MAY 20</v>
      </c>
    </row>
    <row r="1846" spans="1:21" ht="16.5" customHeight="1">
      <c r="A1846" s="159" t="s">
        <v>2744</v>
      </c>
      <c r="B1846" s="114" t="str">
        <f>VLOOKUP(A1846,'Data pick slip'!B:F,5,FALSE)</f>
        <v>KHJ-MC100-00</v>
      </c>
      <c r="F1846" s="157" t="s">
        <v>2862</v>
      </c>
      <c r="H1846" s="138">
        <v>577</v>
      </c>
      <c r="I1846" s="139" t="str">
        <f>VLOOKUP(H1846,Stock_list!A:R,18,FALSE)</f>
        <v>新平泰/end user:弛瑞</v>
      </c>
      <c r="J1846" s="139" t="str">
        <f>VLOOKUP(H1846,Stock_list!A:S,17,FALSE)</f>
        <v>C49SZX20200013SS</v>
      </c>
      <c r="K1846" s="51" t="str">
        <f>VLOOKUP(H1846,Stock_list!A:T,16,FALSE)</f>
        <v>JPY</v>
      </c>
      <c r="L1846" s="4">
        <v>43962</v>
      </c>
      <c r="M1846" s="132">
        <v>47</v>
      </c>
      <c r="P1846" s="4" t="str">
        <f>VLOOKUP(H1846,Stock_list!A:Y,25,FALSE)</f>
        <v>Yes</v>
      </c>
      <c r="Q1846" s="143"/>
      <c r="T1846" s="144"/>
      <c r="U1846" s="145" t="str">
        <f>VLOOKUP(H1846,Stock_list!A:N,14,FALSE)</f>
        <v>MAY 20</v>
      </c>
    </row>
    <row r="1847" spans="1:21" ht="16.5" customHeight="1">
      <c r="A1847" s="159" t="s">
        <v>2756</v>
      </c>
      <c r="B1847" s="114" t="str">
        <f>VLOOKUP(A1847,'Data pick slip'!B:F,5,FALSE)</f>
        <v>KLJ-MC200-00</v>
      </c>
      <c r="F1847" s="157" t="s">
        <v>2862</v>
      </c>
      <c r="H1847" s="138">
        <v>577</v>
      </c>
      <c r="I1847" s="139" t="str">
        <f>VLOOKUP(H1847,Stock_list!A:R,18,FALSE)</f>
        <v>新平泰/end user:弛瑞</v>
      </c>
      <c r="J1847" s="139" t="str">
        <f>VLOOKUP(H1847,Stock_list!A:S,17,FALSE)</f>
        <v>C49SZX20200013SS</v>
      </c>
      <c r="K1847" s="51" t="str">
        <f>VLOOKUP(H1847,Stock_list!A:T,16,FALSE)</f>
        <v>JPY</v>
      </c>
      <c r="L1847" s="4">
        <v>43962</v>
      </c>
      <c r="M1847" s="132">
        <v>10</v>
      </c>
      <c r="P1847" s="4" t="str">
        <f>VLOOKUP(H1847,Stock_list!A:Y,25,FALSE)</f>
        <v>Yes</v>
      </c>
      <c r="T1847" s="144"/>
      <c r="U1847" s="145" t="str">
        <f>VLOOKUP(H1847,Stock_list!A:N,14,FALSE)</f>
        <v>MAY 20</v>
      </c>
    </row>
    <row r="1848" spans="1:21" ht="16.5" customHeight="1">
      <c r="A1848" s="159" t="s">
        <v>2757</v>
      </c>
      <c r="B1848" s="114" t="str">
        <f>VLOOKUP(A1848,'Data pick slip'!B:F,5,FALSE)</f>
        <v>KLJ-MC400-00</v>
      </c>
      <c r="F1848" s="157" t="s">
        <v>2862</v>
      </c>
      <c r="H1848" s="138">
        <v>577</v>
      </c>
      <c r="I1848" s="139" t="str">
        <f>VLOOKUP(H1848,Stock_list!A:R,18,FALSE)</f>
        <v>新平泰/end user:弛瑞</v>
      </c>
      <c r="J1848" s="139" t="str">
        <f>VLOOKUP(H1848,Stock_list!A:S,17,FALSE)</f>
        <v>C49SZX20200013SS</v>
      </c>
      <c r="K1848" s="51" t="str">
        <f>VLOOKUP(H1848,Stock_list!A:T,16,FALSE)</f>
        <v>JPY</v>
      </c>
      <c r="L1848" s="4">
        <v>43962</v>
      </c>
      <c r="M1848" s="132">
        <v>1</v>
      </c>
      <c r="P1848" s="4" t="str">
        <f>VLOOKUP(H1848,Stock_list!A:Y,25,FALSE)</f>
        <v>Yes</v>
      </c>
      <c r="Q1848" s="143"/>
      <c r="T1848" s="144"/>
      <c r="U1848" s="145" t="str">
        <f>VLOOKUP(H1848,Stock_list!A:N,14,FALSE)</f>
        <v>MAY 20</v>
      </c>
    </row>
    <row r="1849" spans="1:21" ht="16.5" customHeight="1">
      <c r="A1849" s="159" t="s">
        <v>2755</v>
      </c>
      <c r="B1849" s="114" t="str">
        <f>VLOOKUP(A1849,'Data pick slip'!B:F,5,FALSE)</f>
        <v>KLJ-MC100-00</v>
      </c>
      <c r="F1849" s="157" t="s">
        <v>2773</v>
      </c>
      <c r="I1849" s="139" t="s">
        <v>3116</v>
      </c>
      <c r="J1849" s="139" t="s">
        <v>3223</v>
      </c>
      <c r="K1849" s="51" t="s">
        <v>1246</v>
      </c>
      <c r="L1849" s="4">
        <v>44005</v>
      </c>
      <c r="M1849" s="140">
        <v>1</v>
      </c>
      <c r="P1849" s="4" t="s">
        <v>291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2744</v>
      </c>
      <c r="B1850" s="114" t="str">
        <f>VLOOKUP(A1850,'Data pick slip'!B:F,5,FALSE)</f>
        <v>KHJ-MC100-00</v>
      </c>
      <c r="F1850" s="157" t="s">
        <v>2773</v>
      </c>
      <c r="H1850" s="138">
        <v>575</v>
      </c>
      <c r="I1850" s="139" t="str">
        <f>VLOOKUP(H1850,Stock_list!A:R,18,FALSE)</f>
        <v>赛维显示</v>
      </c>
      <c r="J1850" s="139" t="str">
        <f>VLOOKUP(H1850,Stock_list!A:S,17,FALSE)</f>
        <v>C49SZX20200010DZ</v>
      </c>
      <c r="K1850" s="51" t="str">
        <f>VLOOKUP(H1850,Stock_list!A:T,16,FALSE)</f>
        <v>RMB</v>
      </c>
      <c r="L1850" s="4">
        <v>43915</v>
      </c>
      <c r="M1850" s="132">
        <v>44</v>
      </c>
      <c r="P1850" s="4" t="str">
        <f>VLOOKUP(H1850,Stock_list!A:Y,25,FALSE)</f>
        <v>Yes</v>
      </c>
      <c r="Q1850" s="143"/>
      <c r="T1850" s="144"/>
      <c r="U1850" s="145" t="str">
        <f>VLOOKUP(H1850,Stock_list!A:N,14,FALSE)</f>
        <v>MAR 20</v>
      </c>
    </row>
    <row r="1851" spans="1:21" ht="16.5" customHeight="1">
      <c r="A1851" s="159" t="s">
        <v>2747</v>
      </c>
      <c r="B1851" s="114" t="str">
        <f>VLOOKUP(A1851,'Data pick slip'!B:F,5,FALSE)</f>
        <v>KHJ-MC200-00</v>
      </c>
      <c r="F1851" s="157" t="s">
        <v>2773</v>
      </c>
      <c r="I1851" s="139" t="s">
        <v>3094</v>
      </c>
      <c r="J1851" s="139" t="s">
        <v>3224</v>
      </c>
      <c r="K1851" s="51" t="s">
        <v>1246</v>
      </c>
      <c r="L1851" s="4">
        <v>43844</v>
      </c>
      <c r="M1851" s="140">
        <v>8</v>
      </c>
      <c r="P1851" s="4" t="s">
        <v>291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2748</v>
      </c>
      <c r="B1852" s="114" t="str">
        <f>VLOOKUP(A1852,'Data pick slip'!B:F,5,FALSE)</f>
        <v>KHJ-MC400-00</v>
      </c>
      <c r="F1852" s="157" t="s">
        <v>2773</v>
      </c>
      <c r="I1852" s="139" t="s">
        <v>3094</v>
      </c>
      <c r="J1852" s="139" t="s">
        <v>3224</v>
      </c>
      <c r="K1852" s="51" t="s">
        <v>1246</v>
      </c>
      <c r="L1852" s="4">
        <v>43844</v>
      </c>
      <c r="M1852" s="140">
        <v>2</v>
      </c>
      <c r="P1852" s="4" t="s">
        <v>291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2744</v>
      </c>
      <c r="B1853" s="114" t="str">
        <f>VLOOKUP(A1853,'Data pick slip'!B:F,5,FALSE)</f>
        <v>KHJ-MC100-00</v>
      </c>
      <c r="F1853" s="157" t="s">
        <v>2862</v>
      </c>
      <c r="H1853" s="138">
        <v>581</v>
      </c>
      <c r="I1853" s="139" t="str">
        <f>VLOOKUP(H1853,Stock_list!A:R,18,FALSE)</f>
        <v>赛美达</v>
      </c>
      <c r="J1853" s="139" t="str">
        <f>VLOOKUP(H1853,Stock_list!A:S,17,FALSE)</f>
        <v>C49SZX20200016SX</v>
      </c>
      <c r="K1853" s="51" t="str">
        <f>VLOOKUP(H1853,Stock_list!A:T,16,FALSE)</f>
        <v>JPY</v>
      </c>
      <c r="L1853" s="4">
        <v>43903</v>
      </c>
      <c r="M1853" s="132">
        <v>32</v>
      </c>
      <c r="P1853" s="4" t="str">
        <f>VLOOKUP(H1853,Stock_list!A:Y,25,FALSE)</f>
        <v>Yes</v>
      </c>
      <c r="Q1853" s="143"/>
      <c r="T1853" s="144"/>
      <c r="U1853" s="145" t="str">
        <f>VLOOKUP(H1853,Stock_list!A:N,14,FALSE)</f>
        <v>MAR 20</v>
      </c>
    </row>
    <row r="1854" spans="1:21" ht="16.5" customHeight="1">
      <c r="A1854" s="159" t="s">
        <v>2747</v>
      </c>
      <c r="B1854" s="114" t="str">
        <f>VLOOKUP(A1854,'Data pick slip'!B:F,5,FALSE)</f>
        <v>KHJ-MC200-00</v>
      </c>
      <c r="F1854" s="157" t="s">
        <v>2862</v>
      </c>
      <c r="H1854" s="138">
        <v>581</v>
      </c>
      <c r="I1854" s="139" t="str">
        <f>VLOOKUP(H1854,Stock_list!A:R,18,FALSE)</f>
        <v>赛美达</v>
      </c>
      <c r="J1854" s="139" t="str">
        <f>VLOOKUP(H1854,Stock_list!A:S,17,FALSE)</f>
        <v>C49SZX20200016SX</v>
      </c>
      <c r="K1854" s="51" t="str">
        <f>VLOOKUP(H1854,Stock_list!A:T,16,FALSE)</f>
        <v>JPY</v>
      </c>
      <c r="L1854" s="4">
        <v>43903</v>
      </c>
      <c r="M1854" s="132">
        <v>10</v>
      </c>
      <c r="P1854" s="4" t="str">
        <f>VLOOKUP(H1854,Stock_list!A:Y,25,FALSE)</f>
        <v>Yes</v>
      </c>
      <c r="Q1854" s="143"/>
      <c r="T1854" s="144"/>
      <c r="U1854" s="145" t="str">
        <f>VLOOKUP(H1854,Stock_list!A:N,14,FALSE)</f>
        <v>MAR 20</v>
      </c>
    </row>
    <row r="1855" spans="1:21" ht="16.5" customHeight="1">
      <c r="A1855" s="159" t="s">
        <v>2744</v>
      </c>
      <c r="B1855" s="114" t="str">
        <f>VLOOKUP(A1855,'Data pick slip'!B:F,5,FALSE)</f>
        <v>KHJ-MC100-00</v>
      </c>
      <c r="F1855" s="157" t="s">
        <v>2862</v>
      </c>
      <c r="H1855" s="138">
        <v>583</v>
      </c>
      <c r="I1855" s="139" t="str">
        <f>VLOOKUP(H1855,Stock_list!A:R,18,FALSE)</f>
        <v>乐凡电子</v>
      </c>
      <c r="J1855" s="139" t="str">
        <f>VLOOKUP(H1855,Stock_list!A:S,17,FALSE)</f>
        <v>C49SZX20200017CX</v>
      </c>
      <c r="K1855" s="51" t="str">
        <f>VLOOKUP(H1855,Stock_list!A:T,16,FALSE)</f>
        <v>JPY</v>
      </c>
      <c r="L1855" s="4">
        <v>43945</v>
      </c>
      <c r="M1855" s="132">
        <v>65</v>
      </c>
      <c r="P1855" s="4" t="str">
        <f>VLOOKUP(H1855,Stock_list!A:Y,25,FALSE)</f>
        <v>Yes</v>
      </c>
      <c r="Q1855" s="143"/>
      <c r="T1855" s="144"/>
      <c r="U1855" s="145" t="str">
        <f>VLOOKUP(H1855,Stock_list!A:N,14,FALSE)</f>
        <v>APR 20</v>
      </c>
    </row>
    <row r="1856" spans="1:21" ht="16.5" customHeight="1">
      <c r="A1856" s="159" t="s">
        <v>2756</v>
      </c>
      <c r="B1856" s="114" t="str">
        <f>VLOOKUP(A1856,'Data pick slip'!B:F,5,FALSE)</f>
        <v>KLJ-MC200-00</v>
      </c>
      <c r="F1856" s="157" t="s">
        <v>2862</v>
      </c>
      <c r="H1856" s="138">
        <v>583</v>
      </c>
      <c r="I1856" s="139" t="str">
        <f>VLOOKUP(H1856,Stock_list!A:R,18,FALSE)</f>
        <v>乐凡电子</v>
      </c>
      <c r="J1856" s="139" t="str">
        <f>VLOOKUP(H1856,Stock_list!A:S,17,FALSE)</f>
        <v>C49SZX20200017CX</v>
      </c>
      <c r="K1856" s="51" t="str">
        <f>VLOOKUP(H1856,Stock_list!A:T,16,FALSE)</f>
        <v>JPY</v>
      </c>
      <c r="L1856" s="4">
        <v>43945</v>
      </c>
      <c r="M1856" s="132">
        <v>15</v>
      </c>
      <c r="P1856" s="4" t="str">
        <f>VLOOKUP(H1856,Stock_list!A:Y,25,FALSE)</f>
        <v>Yes</v>
      </c>
      <c r="T1856" s="144"/>
      <c r="U1856" s="145" t="str">
        <f>VLOOKUP(H1856,Stock_list!A:N,14,FALSE)</f>
        <v>APR 20</v>
      </c>
    </row>
    <row r="1857" spans="1:21" ht="16.5" customHeight="1">
      <c r="A1857" s="159" t="s">
        <v>2757</v>
      </c>
      <c r="B1857" s="114" t="str">
        <f>VLOOKUP(A1857,'Data pick slip'!B:F,5,FALSE)</f>
        <v>KLJ-MC400-00</v>
      </c>
      <c r="F1857" s="157" t="s">
        <v>2862</v>
      </c>
      <c r="H1857" s="138">
        <v>583</v>
      </c>
      <c r="I1857" s="139" t="str">
        <f>VLOOKUP(H1857,Stock_list!A:R,18,FALSE)</f>
        <v>乐凡电子</v>
      </c>
      <c r="J1857" s="139" t="str">
        <f>VLOOKUP(H1857,Stock_list!A:S,17,FALSE)</f>
        <v>C49SZX20200017CX</v>
      </c>
      <c r="K1857" s="51" t="str">
        <f>VLOOKUP(H1857,Stock_list!A:T,16,FALSE)</f>
        <v>JPY</v>
      </c>
      <c r="L1857" s="4">
        <v>43945</v>
      </c>
      <c r="M1857" s="132">
        <v>8</v>
      </c>
      <c r="P1857" s="4" t="str">
        <f>VLOOKUP(H1857,Stock_list!A:Y,25,FALSE)</f>
        <v>Yes</v>
      </c>
      <c r="Q1857" s="143"/>
      <c r="T1857" s="144"/>
      <c r="U1857" s="145" t="str">
        <f>VLOOKUP(H1857,Stock_list!A:N,14,FALSE)</f>
        <v>APR 20</v>
      </c>
    </row>
    <row r="1858" spans="1:21" ht="16.5" customHeight="1">
      <c r="A1858" s="159" t="s">
        <v>2748</v>
      </c>
      <c r="B1858" s="114" t="str">
        <f>VLOOKUP(A1858,'Data pick slip'!B:F,5,FALSE)</f>
        <v>KHJ-MC400-00</v>
      </c>
      <c r="F1858" s="157" t="s">
        <v>2773</v>
      </c>
      <c r="I1858" s="139" t="s">
        <v>3094</v>
      </c>
      <c r="J1858" s="139" t="s">
        <v>3225</v>
      </c>
      <c r="K1858" s="51" t="s">
        <v>1246</v>
      </c>
      <c r="L1858" s="4">
        <v>43846</v>
      </c>
      <c r="M1858" s="140">
        <v>3</v>
      </c>
      <c r="P1858" s="4" t="s">
        <v>291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2747</v>
      </c>
      <c r="B1859" s="114" t="str">
        <f>VLOOKUP(A1859,'Data pick slip'!B:F,5,FALSE)</f>
        <v>KHJ-MC200-00</v>
      </c>
      <c r="F1859" s="157" t="s">
        <v>2773</v>
      </c>
      <c r="I1859" s="139" t="s">
        <v>3100</v>
      </c>
      <c r="J1859" s="139" t="s">
        <v>3226</v>
      </c>
      <c r="K1859" s="51" t="s">
        <v>1246</v>
      </c>
      <c r="L1859" s="4">
        <v>43879</v>
      </c>
      <c r="M1859" s="140">
        <v>5</v>
      </c>
      <c r="P1859" s="4" t="s">
        <v>291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2748</v>
      </c>
      <c r="B1860" s="114" t="str">
        <f>VLOOKUP(A1860,'Data pick slip'!B:F,5,FALSE)</f>
        <v>KHJ-MC400-00</v>
      </c>
      <c r="F1860" s="157" t="s">
        <v>2773</v>
      </c>
      <c r="I1860" s="139" t="s">
        <v>3100</v>
      </c>
      <c r="J1860" s="139" t="s">
        <v>3226</v>
      </c>
      <c r="K1860" s="51" t="s">
        <v>1246</v>
      </c>
      <c r="L1860" s="4">
        <v>43879</v>
      </c>
      <c r="M1860" s="140">
        <v>1</v>
      </c>
      <c r="P1860" s="4" t="s">
        <v>291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2749</v>
      </c>
      <c r="B1861" s="114" t="str">
        <f>VLOOKUP(A1861,'Data pick slip'!B:F,5,FALSE)</f>
        <v>KHJ-MC500-00</v>
      </c>
      <c r="F1861" s="157" t="s">
        <v>2773</v>
      </c>
      <c r="I1861" s="139" t="s">
        <v>3100</v>
      </c>
      <c r="J1861" s="139" t="s">
        <v>3226</v>
      </c>
      <c r="K1861" s="51" t="s">
        <v>1246</v>
      </c>
      <c r="L1861" s="4">
        <v>43879</v>
      </c>
      <c r="M1861" s="140">
        <v>1</v>
      </c>
      <c r="P1861" s="4" t="s">
        <v>291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2744</v>
      </c>
      <c r="B1862" s="114" t="str">
        <f>VLOOKUP(A1862,'Data pick slip'!B:F,5,FALSE)</f>
        <v>KHJ-MC100-00</v>
      </c>
      <c r="F1862" s="157" t="s">
        <v>2862</v>
      </c>
      <c r="I1862" s="139" t="s">
        <v>3016</v>
      </c>
      <c r="J1862" s="139" t="s">
        <v>3227</v>
      </c>
      <c r="K1862" s="51" t="s">
        <v>1246</v>
      </c>
      <c r="L1862" s="4">
        <v>43846</v>
      </c>
      <c r="M1862" s="140">
        <v>50</v>
      </c>
      <c r="P1862" s="4" t="s">
        <v>291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2747</v>
      </c>
      <c r="B1863" s="114" t="str">
        <f>VLOOKUP(A1863,'Data pick slip'!B:F,5,FALSE)</f>
        <v>KHJ-MC200-00</v>
      </c>
      <c r="F1863" s="157" t="s">
        <v>2862</v>
      </c>
      <c r="I1863" s="139" t="s">
        <v>3016</v>
      </c>
      <c r="J1863" s="139" t="s">
        <v>3227</v>
      </c>
      <c r="K1863" s="51" t="s">
        <v>1246</v>
      </c>
      <c r="L1863" s="4">
        <v>43846</v>
      </c>
      <c r="M1863" s="140">
        <v>20</v>
      </c>
      <c r="P1863" s="4" t="s">
        <v>291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2748</v>
      </c>
      <c r="B1864" s="114" t="str">
        <f>VLOOKUP(A1864,'Data pick slip'!B:F,5,FALSE)</f>
        <v>KHJ-MC400-00</v>
      </c>
      <c r="F1864" s="157" t="s">
        <v>2862</v>
      </c>
      <c r="I1864" s="139" t="s">
        <v>3016</v>
      </c>
      <c r="J1864" s="139" t="s">
        <v>3227</v>
      </c>
      <c r="K1864" s="51" t="s">
        <v>1246</v>
      </c>
      <c r="L1864" s="4">
        <v>43846</v>
      </c>
      <c r="M1864" s="140">
        <v>10</v>
      </c>
      <c r="P1864" s="4" t="s">
        <v>291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2744</v>
      </c>
      <c r="B1865" s="114" t="str">
        <f>VLOOKUP(A1865,'Data pick slip'!B:F,5,FALSE)</f>
        <v>KHJ-MC100-00</v>
      </c>
      <c r="F1865" s="157" t="s">
        <v>2862</v>
      </c>
      <c r="H1865" s="138">
        <v>585</v>
      </c>
      <c r="I1865" s="139" t="str">
        <f>VLOOKUP(H1865,Stock_list!A:R,18,FALSE)</f>
        <v>福瑞康</v>
      </c>
      <c r="J1865" s="139" t="str">
        <f>VLOOKUP(H1865,Stock_list!A:S,17,FALSE)</f>
        <v>C49SZX20200018SX</v>
      </c>
      <c r="K1865" s="51" t="str">
        <f>VLOOKUP(H1865,Stock_list!A:T,16,FALSE)</f>
        <v>JPY</v>
      </c>
      <c r="L1865" s="4">
        <v>43893</v>
      </c>
      <c r="M1865" s="132">
        <v>70</v>
      </c>
      <c r="P1865" s="4" t="str">
        <f>VLOOKUP(H1865,Stock_list!A:Y,25,FALSE)</f>
        <v>Yes</v>
      </c>
      <c r="Q1865" s="143"/>
      <c r="T1865" s="144"/>
      <c r="U1865" s="145" t="str">
        <f>VLOOKUP(H1865,Stock_list!A:N,14,FALSE)</f>
        <v>FEB 20</v>
      </c>
    </row>
    <row r="1866" spans="1:21" ht="16.5" customHeight="1">
      <c r="A1866" s="159" t="s">
        <v>2747</v>
      </c>
      <c r="B1866" s="114" t="str">
        <f>VLOOKUP(A1866,'Data pick slip'!B:F,5,FALSE)</f>
        <v>KHJ-MC200-00</v>
      </c>
      <c r="F1866" s="157" t="s">
        <v>2862</v>
      </c>
      <c r="H1866" s="138">
        <v>585</v>
      </c>
      <c r="I1866" s="139" t="str">
        <f>VLOOKUP(H1866,Stock_list!A:R,18,FALSE)</f>
        <v>福瑞康</v>
      </c>
      <c r="J1866" s="139" t="str">
        <f>VLOOKUP(H1866,Stock_list!A:S,17,FALSE)</f>
        <v>C49SZX20200018SX</v>
      </c>
      <c r="K1866" s="51" t="str">
        <f>VLOOKUP(H1866,Stock_list!A:T,16,FALSE)</f>
        <v>JPY</v>
      </c>
      <c r="L1866" s="4">
        <v>43893</v>
      </c>
      <c r="M1866" s="132">
        <v>15</v>
      </c>
      <c r="P1866" s="4" t="str">
        <f>VLOOKUP(H1866,Stock_list!A:Y,25,FALSE)</f>
        <v>Yes</v>
      </c>
      <c r="Q1866" s="143"/>
      <c r="T1866" s="144"/>
      <c r="U1866" s="145" t="str">
        <f>VLOOKUP(H1866,Stock_list!A:N,14,FALSE)</f>
        <v>FEB 20</v>
      </c>
    </row>
    <row r="1867" spans="1:21" ht="16.5" customHeight="1">
      <c r="A1867" s="159" t="s">
        <v>2747</v>
      </c>
      <c r="B1867" s="114" t="str">
        <f>VLOOKUP(A1867,'Data pick slip'!B:F,5,FALSE)</f>
        <v>KHJ-MC200-00</v>
      </c>
      <c r="F1867" s="157" t="s">
        <v>2773</v>
      </c>
      <c r="I1867" s="139" t="s">
        <v>3094</v>
      </c>
      <c r="J1867" s="139" t="s">
        <v>3228</v>
      </c>
      <c r="K1867" s="51" t="s">
        <v>1246</v>
      </c>
      <c r="L1867" s="4">
        <v>43886</v>
      </c>
      <c r="M1867" s="140">
        <v>7</v>
      </c>
      <c r="P1867" s="4" t="s">
        <v>291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2747</v>
      </c>
      <c r="B1868" s="114" t="str">
        <f>VLOOKUP(A1868,'Data pick slip'!B:F,5,FALSE)</f>
        <v>KHJ-MC200-00</v>
      </c>
      <c r="F1868" s="157" t="s">
        <v>2773</v>
      </c>
      <c r="I1868" s="139" t="s">
        <v>3094</v>
      </c>
      <c r="J1868" s="139" t="s">
        <v>3229</v>
      </c>
      <c r="K1868" s="51" t="s">
        <v>1246</v>
      </c>
      <c r="L1868" s="4">
        <v>43886</v>
      </c>
      <c r="M1868" s="140">
        <v>1</v>
      </c>
      <c r="P1868" s="4" t="s">
        <v>291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2755</v>
      </c>
      <c r="B1869" s="114" t="str">
        <f>VLOOKUP(A1869,'Data pick slip'!B:F,5,FALSE)</f>
        <v>KLJ-MC100-00</v>
      </c>
      <c r="F1869" s="157" t="s">
        <v>2862</v>
      </c>
      <c r="H1869" s="138">
        <v>586</v>
      </c>
      <c r="I1869" s="139" t="str">
        <f>VLOOKUP(H1869,Stock_list!A:R,18,FALSE)</f>
        <v>格瑞智达/END USER 智宏创</v>
      </c>
      <c r="J1869" s="139" t="str">
        <f>VLOOKUP(H1869,Stock_list!A:S,17,FALSE)</f>
        <v>C49SZX20200021SS</v>
      </c>
      <c r="K1869" s="51" t="str">
        <f>VLOOKUP(H1869,Stock_list!A:T,16,FALSE)</f>
        <v>JPY</v>
      </c>
      <c r="L1869" s="4">
        <v>43893</v>
      </c>
      <c r="M1869" s="140">
        <v>6</v>
      </c>
      <c r="P1869" s="4" t="str">
        <f>VLOOKUP(H1869,Stock_list!A:Y,25,FALSE)</f>
        <v>Yes</v>
      </c>
      <c r="Q1869" s="143"/>
      <c r="T1869" s="144"/>
      <c r="U1869" s="145" t="str">
        <f>VLOOKUP(H1869,Stock_list!A:N,14,FALSE)</f>
        <v>MAR 20</v>
      </c>
    </row>
    <row r="1870" spans="1:21" ht="16.5" customHeight="1">
      <c r="A1870" s="159" t="s">
        <v>2747</v>
      </c>
      <c r="B1870" s="114" t="str">
        <f>VLOOKUP(A1870,'Data pick slip'!B:F,5,FALSE)</f>
        <v>KHJ-MC200-00</v>
      </c>
      <c r="F1870" s="157" t="s">
        <v>2773</v>
      </c>
      <c r="I1870" s="139" t="s">
        <v>3116</v>
      </c>
      <c r="J1870" s="139" t="s">
        <v>3230</v>
      </c>
      <c r="K1870" s="51" t="s">
        <v>1246</v>
      </c>
      <c r="L1870" s="4">
        <v>43893</v>
      </c>
      <c r="M1870" s="140">
        <v>10</v>
      </c>
      <c r="P1870" s="4" t="s">
        <v>291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2749</v>
      </c>
      <c r="B1871" s="114" t="str">
        <f>VLOOKUP(A1871,'Data pick slip'!B:F,5,FALSE)</f>
        <v>KHJ-MC500-00</v>
      </c>
      <c r="F1871" s="157" t="s">
        <v>2773</v>
      </c>
      <c r="I1871" s="139" t="s">
        <v>3116</v>
      </c>
      <c r="J1871" s="139" t="s">
        <v>3231</v>
      </c>
      <c r="K1871" s="51" t="s">
        <v>1246</v>
      </c>
      <c r="L1871" s="4">
        <v>43893</v>
      </c>
      <c r="M1871" s="140">
        <v>1</v>
      </c>
      <c r="P1871" s="4" t="s">
        <v>291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2744</v>
      </c>
      <c r="B1872" s="114" t="str">
        <f>VLOOKUP(A1872,'Data pick slip'!B:F,5,FALSE)</f>
        <v>KHJ-MC100-00</v>
      </c>
      <c r="F1872" s="157" t="s">
        <v>2773</v>
      </c>
      <c r="I1872" s="139" t="s">
        <v>3094</v>
      </c>
      <c r="J1872" s="139" t="s">
        <v>3232</v>
      </c>
      <c r="K1872" s="51" t="s">
        <v>1246</v>
      </c>
      <c r="L1872" s="4">
        <v>43895</v>
      </c>
      <c r="M1872" s="140">
        <v>3</v>
      </c>
      <c r="P1872" s="4" t="s">
        <v>291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2744</v>
      </c>
      <c r="B1873" s="114" t="str">
        <f>VLOOKUP(A1873,'Data pick slip'!B:F,5,FALSE)</f>
        <v>KHJ-MC100-00</v>
      </c>
      <c r="F1873" s="157" t="s">
        <v>2862</v>
      </c>
      <c r="H1873" s="138">
        <v>587</v>
      </c>
      <c r="I1873" s="139" t="str">
        <f>VLOOKUP(H1873,Stock_list!A:R,18,FALSE)</f>
        <v>正创</v>
      </c>
      <c r="J1873" s="139" t="str">
        <f>VLOOKUP(H1873,Stock_list!A:S,17,FALSE)</f>
        <v>C49SZX20200020SS</v>
      </c>
      <c r="K1873" s="51" t="str">
        <f>VLOOKUP(H1873,Stock_list!A:T,16,FALSE)</f>
        <v>JPY</v>
      </c>
      <c r="L1873" s="4">
        <v>43896</v>
      </c>
      <c r="M1873" s="140">
        <v>5</v>
      </c>
      <c r="P1873" s="4" t="str">
        <f>VLOOKUP(H1873,Stock_list!A:Y,25,FALSE)</f>
        <v>Yes</v>
      </c>
      <c r="Q1873" s="143"/>
      <c r="T1873" s="144"/>
      <c r="U1873" s="145" t="str">
        <f>VLOOKUP(H1873,Stock_list!A:N,14,FALSE)</f>
        <v>MAR 20</v>
      </c>
    </row>
    <row r="1874" spans="1:21" ht="16.5" customHeight="1">
      <c r="A1874" s="159" t="s">
        <v>2747</v>
      </c>
      <c r="B1874" s="114" t="str">
        <f>VLOOKUP(A1874,'Data pick slip'!B:F,5,FALSE)</f>
        <v>KHJ-MC200-00</v>
      </c>
      <c r="F1874" s="157" t="s">
        <v>2862</v>
      </c>
      <c r="H1874" s="138">
        <v>587</v>
      </c>
      <c r="I1874" s="139" t="str">
        <f>VLOOKUP(H1874,Stock_list!A:R,18,FALSE)</f>
        <v>正创</v>
      </c>
      <c r="J1874" s="139" t="str">
        <f>VLOOKUP(H1874,Stock_list!A:S,17,FALSE)</f>
        <v>C49SZX20200020SS</v>
      </c>
      <c r="K1874" s="51" t="str">
        <f>VLOOKUP(H1874,Stock_list!A:T,16,FALSE)</f>
        <v>JPY</v>
      </c>
      <c r="L1874" s="4">
        <v>43896</v>
      </c>
      <c r="M1874" s="140">
        <v>3</v>
      </c>
      <c r="P1874" s="4" t="str">
        <f>VLOOKUP(H1874,Stock_list!A:Y,25,FALSE)</f>
        <v>Yes</v>
      </c>
      <c r="Q1874" s="143"/>
      <c r="T1874" s="144"/>
      <c r="U1874" s="145" t="str">
        <f>VLOOKUP(H1874,Stock_list!A:N,14,FALSE)</f>
        <v>MAR 20</v>
      </c>
    </row>
    <row r="1875" spans="1:21" ht="16.5" customHeight="1">
      <c r="A1875" s="159" t="s">
        <v>2747</v>
      </c>
      <c r="B1875" s="114" t="str">
        <f>VLOOKUP(A1875,'Data pick slip'!B:F,5,FALSE)</f>
        <v>KHJ-MC200-00</v>
      </c>
      <c r="F1875" s="157" t="s">
        <v>2773</v>
      </c>
      <c r="I1875" s="139" t="s">
        <v>3094</v>
      </c>
      <c r="J1875" s="139" t="s">
        <v>3233</v>
      </c>
      <c r="K1875" s="51" t="s">
        <v>1246</v>
      </c>
      <c r="L1875" s="4">
        <v>43899</v>
      </c>
      <c r="M1875" s="140">
        <v>6</v>
      </c>
      <c r="P1875" s="4" t="s">
        <v>291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2744</v>
      </c>
      <c r="B1876" s="114" t="str">
        <f>VLOOKUP(A1876,'Data pick slip'!B:F,5,FALSE)</f>
        <v>KHJ-MC100-00</v>
      </c>
      <c r="F1876" s="157" t="s">
        <v>2773</v>
      </c>
      <c r="I1876" s="139" t="s">
        <v>3094</v>
      </c>
      <c r="J1876" s="139" t="s">
        <v>3234</v>
      </c>
      <c r="K1876" s="51" t="s">
        <v>1246</v>
      </c>
      <c r="L1876" s="4">
        <v>43900</v>
      </c>
      <c r="M1876" s="140">
        <v>80</v>
      </c>
      <c r="P1876" s="4" t="s">
        <v>291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2744</v>
      </c>
      <c r="B1877" s="114" t="str">
        <f>VLOOKUP(A1877,'Data pick slip'!B:F,5,FALSE)</f>
        <v>KHJ-MC100-00</v>
      </c>
      <c r="F1877" s="157" t="s">
        <v>2862</v>
      </c>
      <c r="H1877" s="138">
        <v>589</v>
      </c>
      <c r="I1877" s="139" t="str">
        <f>VLOOKUP(H1877,Stock_list!A:R,18,FALSE)</f>
        <v>奕东</v>
      </c>
      <c r="J1877" s="139" t="str">
        <f>VLOOKUP(H1877,Stock_list!A:S,17,FALSE)</f>
        <v>C49SZX20200023SX</v>
      </c>
      <c r="K1877" s="51" t="str">
        <f>VLOOKUP(H1877,Stock_list!A:T,16,FALSE)</f>
        <v>JPY</v>
      </c>
      <c r="L1877" s="4">
        <v>43923</v>
      </c>
      <c r="M1877" s="132">
        <v>40</v>
      </c>
      <c r="P1877" s="4" t="str">
        <f>VLOOKUP(H1877,Stock_list!A:Y,25,FALSE)</f>
        <v>Yes</v>
      </c>
      <c r="Q1877" s="143"/>
      <c r="T1877" s="144"/>
      <c r="U1877" s="145" t="str">
        <f>VLOOKUP(H1877,Stock_list!A:N,14,FALSE)</f>
        <v>APR 20</v>
      </c>
    </row>
    <row r="1878" spans="1:21" ht="16.5" customHeight="1">
      <c r="A1878" s="159" t="s">
        <v>2747</v>
      </c>
      <c r="B1878" s="114" t="str">
        <f>VLOOKUP(A1878,'Data pick slip'!B:F,5,FALSE)</f>
        <v>KHJ-MC200-00</v>
      </c>
      <c r="F1878" s="157" t="s">
        <v>2862</v>
      </c>
      <c r="H1878" s="138">
        <v>589</v>
      </c>
      <c r="I1878" s="139" t="str">
        <f>VLOOKUP(H1878,Stock_list!A:R,18,FALSE)</f>
        <v>奕东</v>
      </c>
      <c r="J1878" s="139" t="str">
        <f>VLOOKUP(H1878,Stock_list!A:S,17,FALSE)</f>
        <v>C49SZX20200023SX</v>
      </c>
      <c r="K1878" s="51" t="str">
        <f>VLOOKUP(H1878,Stock_list!A:T,16,FALSE)</f>
        <v>JPY</v>
      </c>
      <c r="L1878" s="4">
        <v>43923</v>
      </c>
      <c r="M1878" s="132">
        <v>1</v>
      </c>
      <c r="P1878" s="4" t="str">
        <f>VLOOKUP(H1878,Stock_list!A:Y,25,FALSE)</f>
        <v>Yes</v>
      </c>
      <c r="Q1878" s="143"/>
      <c r="T1878" s="144"/>
      <c r="U1878" s="145" t="str">
        <f>VLOOKUP(H1878,Stock_list!A:N,14,FALSE)</f>
        <v>APR 20</v>
      </c>
    </row>
    <row r="1879" spans="1:21" ht="16.5" customHeight="1">
      <c r="A1879" s="159" t="s">
        <v>2744</v>
      </c>
      <c r="B1879" s="114" t="str">
        <f>VLOOKUP(A1879,'Data pick slip'!B:F,5,FALSE)</f>
        <v>KHJ-MC100-00</v>
      </c>
      <c r="F1879" s="157" t="s">
        <v>2773</v>
      </c>
      <c r="H1879" s="138">
        <v>593</v>
      </c>
      <c r="I1879" s="139" t="str">
        <f>VLOOKUP(H1879,Stock_list!A:R,18,FALSE)</f>
        <v>华汛</v>
      </c>
      <c r="J1879" s="139" t="str">
        <f>VLOOKUP(H1879,Stock_list!A:S,17,FALSE)</f>
        <v>C49SZX20200019SX</v>
      </c>
      <c r="K1879" s="51" t="str">
        <f>VLOOKUP(H1879,Stock_list!A:T,16,FALSE)</f>
        <v>RMB</v>
      </c>
      <c r="L1879" s="4">
        <v>43909</v>
      </c>
      <c r="M1879" s="140">
        <v>30</v>
      </c>
      <c r="P1879" s="4" t="str">
        <f>VLOOKUP(H1879,Stock_list!A:Y,25,FALSE)</f>
        <v>Yes</v>
      </c>
      <c r="Q1879" s="143"/>
      <c r="T1879" s="144"/>
      <c r="U1879" s="145" t="str">
        <f>VLOOKUP(H1879,Stock_list!A:N,14,FALSE)</f>
        <v>MAR 20</v>
      </c>
    </row>
    <row r="1880" spans="1:21" ht="16.5" customHeight="1">
      <c r="A1880" s="159" t="s">
        <v>2747</v>
      </c>
      <c r="B1880" s="114" t="str">
        <f>VLOOKUP(A1880,'Data pick slip'!B:F,5,FALSE)</f>
        <v>KHJ-MC200-00</v>
      </c>
      <c r="F1880" s="157" t="s">
        <v>2773</v>
      </c>
      <c r="H1880" s="138">
        <v>593</v>
      </c>
      <c r="I1880" s="139" t="str">
        <f>VLOOKUP(H1880,Stock_list!A:R,18,FALSE)</f>
        <v>华汛</v>
      </c>
      <c r="J1880" s="139" t="str">
        <f>VLOOKUP(H1880,Stock_list!A:S,17,FALSE)</f>
        <v>C49SZX20200019SX</v>
      </c>
      <c r="K1880" s="51" t="str">
        <f>VLOOKUP(H1880,Stock_list!A:T,16,FALSE)</f>
        <v>RMB</v>
      </c>
      <c r="L1880" s="4">
        <v>43909</v>
      </c>
      <c r="M1880" s="132">
        <v>5</v>
      </c>
      <c r="P1880" s="4" t="str">
        <f>VLOOKUP(H1880,Stock_list!A:Y,25,FALSE)</f>
        <v>Yes</v>
      </c>
      <c r="Q1880" s="143"/>
      <c r="T1880" s="144"/>
      <c r="U1880" s="145" t="str">
        <f>VLOOKUP(H1880,Stock_list!A:N,14,FALSE)</f>
        <v>MAR 20</v>
      </c>
    </row>
    <row r="1881" spans="1:21" ht="16.5" customHeight="1">
      <c r="A1881" s="159" t="s">
        <v>2744</v>
      </c>
      <c r="B1881" s="114" t="str">
        <f>VLOOKUP(A1881,'Data pick slip'!B:F,5,FALSE)</f>
        <v>KHJ-MC100-00</v>
      </c>
      <c r="F1881" s="157" t="s">
        <v>2862</v>
      </c>
      <c r="H1881" s="138">
        <v>594</v>
      </c>
      <c r="I1881" s="139" t="str">
        <f>VLOOKUP(H1881,Stock_list!A:R,18,FALSE)</f>
        <v>络鑫</v>
      </c>
      <c r="J1881" s="139" t="str">
        <f>VLOOKUP(H1881,Stock_list!A:S,17,FALSE)</f>
        <v>C49SZX20200027JY</v>
      </c>
      <c r="K1881" s="51" t="str">
        <f>VLOOKUP(H1881,Stock_list!A:T,16,FALSE)</f>
        <v>RMB</v>
      </c>
      <c r="L1881" s="4">
        <v>43928</v>
      </c>
      <c r="M1881" s="132">
        <v>130</v>
      </c>
      <c r="P1881" s="4" t="str">
        <f>VLOOKUP(H1881,Stock_list!A:Y,25,FALSE)</f>
        <v>Yes</v>
      </c>
      <c r="Q1881" s="143"/>
      <c r="T1881" s="144"/>
      <c r="U1881" s="145" t="str">
        <f>VLOOKUP(H1881,Stock_list!A:N,14,FALSE)</f>
        <v>APR 20</v>
      </c>
    </row>
    <row r="1882" spans="1:21" ht="16.5" customHeight="1">
      <c r="A1882" s="159" t="s">
        <v>2747</v>
      </c>
      <c r="B1882" s="114" t="str">
        <f>VLOOKUP(A1882,'Data pick slip'!B:F,5,FALSE)</f>
        <v>KHJ-MC200-00</v>
      </c>
      <c r="F1882" s="157" t="s">
        <v>2862</v>
      </c>
      <c r="H1882" s="138">
        <v>594</v>
      </c>
      <c r="I1882" s="139" t="str">
        <f>VLOOKUP(H1882,Stock_list!A:R,18,FALSE)</f>
        <v>络鑫</v>
      </c>
      <c r="J1882" s="139" t="str">
        <f>VLOOKUP(H1882,Stock_list!A:S,17,FALSE)</f>
        <v>C49SZX20200027JY</v>
      </c>
      <c r="K1882" s="51" t="str">
        <f>VLOOKUP(H1882,Stock_list!A:T,16,FALSE)</f>
        <v>RMB</v>
      </c>
      <c r="L1882" s="4">
        <v>43928</v>
      </c>
      <c r="M1882" s="132">
        <v>10</v>
      </c>
      <c r="P1882" s="4" t="str">
        <f>VLOOKUP(H1882,Stock_list!A:Y,25,FALSE)</f>
        <v>Yes</v>
      </c>
      <c r="Q1882" s="143"/>
      <c r="T1882" s="144"/>
      <c r="U1882" s="145" t="str">
        <f>VLOOKUP(H1882,Stock_list!A:N,14,FALSE)</f>
        <v>APR 20</v>
      </c>
    </row>
    <row r="1883" spans="1:21" ht="16.5" customHeight="1">
      <c r="A1883" s="159" t="s">
        <v>2748</v>
      </c>
      <c r="B1883" s="114" t="str">
        <f>VLOOKUP(A1883,'Data pick slip'!B:F,5,FALSE)</f>
        <v>KHJ-MC400-00</v>
      </c>
      <c r="F1883" s="157" t="s">
        <v>2862</v>
      </c>
      <c r="H1883" s="138">
        <v>594</v>
      </c>
      <c r="I1883" s="139" t="str">
        <f>VLOOKUP(H1883,Stock_list!A:R,18,FALSE)</f>
        <v>络鑫</v>
      </c>
      <c r="J1883" s="139" t="str">
        <f>VLOOKUP(H1883,Stock_list!A:S,17,FALSE)</f>
        <v>C49SZX20200027JY</v>
      </c>
      <c r="K1883" s="51" t="str">
        <f>VLOOKUP(H1883,Stock_list!A:T,16,FALSE)</f>
        <v>RMB</v>
      </c>
      <c r="L1883" s="4">
        <v>43928</v>
      </c>
      <c r="M1883" s="132">
        <v>2</v>
      </c>
      <c r="P1883" s="4" t="str">
        <f>VLOOKUP(H1883,Stock_list!A:Y,25,FALSE)</f>
        <v>Yes</v>
      </c>
      <c r="Q1883" s="143"/>
      <c r="T1883" s="144"/>
      <c r="U1883" s="145" t="str">
        <f>VLOOKUP(H1883,Stock_list!A:N,14,FALSE)</f>
        <v>APR 20</v>
      </c>
    </row>
    <row r="1884" spans="1:21" ht="16.5" customHeight="1">
      <c r="A1884" s="159" t="s">
        <v>2749</v>
      </c>
      <c r="B1884" s="114" t="str">
        <f>VLOOKUP(A1884,'Data pick slip'!B:F,5,FALSE)</f>
        <v>KHJ-MC500-00</v>
      </c>
      <c r="F1884" s="157" t="s">
        <v>2862</v>
      </c>
      <c r="H1884" s="138">
        <v>594</v>
      </c>
      <c r="I1884" s="139" t="str">
        <f>VLOOKUP(H1884,Stock_list!A:R,18,FALSE)</f>
        <v>络鑫</v>
      </c>
      <c r="J1884" s="139" t="str">
        <f>VLOOKUP(H1884,Stock_list!A:S,17,FALSE)</f>
        <v>C49SZX20200027JY</v>
      </c>
      <c r="K1884" s="51" t="str">
        <f>VLOOKUP(H1884,Stock_list!A:T,16,FALSE)</f>
        <v>RMB</v>
      </c>
      <c r="L1884" s="4">
        <v>43928</v>
      </c>
      <c r="M1884" s="132">
        <v>1</v>
      </c>
      <c r="P1884" s="4" t="str">
        <f>VLOOKUP(H1884,Stock_list!A:Y,25,FALSE)</f>
        <v>Yes</v>
      </c>
      <c r="Q1884" s="143"/>
      <c r="T1884" s="144"/>
      <c r="U1884" s="145" t="str">
        <f>VLOOKUP(H1884,Stock_list!A:N,14,FALSE)</f>
        <v>APR 20</v>
      </c>
    </row>
    <row r="1885" spans="1:21" ht="16.5" customHeight="1">
      <c r="A1885" s="159" t="s">
        <v>2744</v>
      </c>
      <c r="B1885" s="114" t="str">
        <f>VLOOKUP(A1885,'Data pick slip'!B:F,5,FALSE)</f>
        <v>KHJ-MC100-00</v>
      </c>
      <c r="F1885" s="157" t="s">
        <v>2773</v>
      </c>
      <c r="I1885" s="139" t="s">
        <v>3235</v>
      </c>
      <c r="J1885" s="139" t="s">
        <v>3236</v>
      </c>
      <c r="K1885" s="51" t="s">
        <v>1246</v>
      </c>
      <c r="L1885" s="4">
        <v>43909</v>
      </c>
      <c r="M1885" s="140">
        <v>60</v>
      </c>
      <c r="P1885" s="4" t="s">
        <v>291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2744</v>
      </c>
      <c r="B1886" s="114" t="str">
        <f>VLOOKUP(A1886,'Data pick slip'!B:F,5,FALSE)</f>
        <v>KHJ-MC100-00</v>
      </c>
      <c r="F1886" s="157" t="s">
        <v>2773</v>
      </c>
      <c r="I1886" s="139" t="s">
        <v>3136</v>
      </c>
      <c r="J1886" s="139" t="s">
        <v>3237</v>
      </c>
      <c r="K1886" s="51" t="s">
        <v>1246</v>
      </c>
      <c r="L1886" s="4">
        <v>43920</v>
      </c>
      <c r="M1886" s="132">
        <v>40</v>
      </c>
      <c r="P1886" s="4" t="s">
        <v>291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2747</v>
      </c>
      <c r="B1887" s="114" t="str">
        <f>VLOOKUP(A1887,'Data pick slip'!B:F,5,FALSE)</f>
        <v>KHJ-MC200-00</v>
      </c>
      <c r="F1887" s="157" t="s">
        <v>2773</v>
      </c>
      <c r="I1887" s="139" t="s">
        <v>3136</v>
      </c>
      <c r="J1887" s="139" t="s">
        <v>3237</v>
      </c>
      <c r="K1887" s="51" t="s">
        <v>1246</v>
      </c>
      <c r="L1887" s="4">
        <v>43920</v>
      </c>
      <c r="M1887" s="132">
        <v>5</v>
      </c>
      <c r="P1887" s="4" t="s">
        <v>291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2744</v>
      </c>
      <c r="B1888" s="114" t="str">
        <f>VLOOKUP(A1888,'Data pick slip'!B:F,5,FALSE)</f>
        <v>KHJ-MC100-00</v>
      </c>
      <c r="F1888" s="157" t="s">
        <v>2862</v>
      </c>
      <c r="I1888" s="139" t="s">
        <v>3016</v>
      </c>
      <c r="J1888" s="139" t="s">
        <v>3238</v>
      </c>
      <c r="K1888" s="51" t="s">
        <v>1246</v>
      </c>
      <c r="L1888" s="4">
        <v>43910</v>
      </c>
      <c r="M1888" s="140">
        <v>120</v>
      </c>
      <c r="P1888" s="4" t="s">
        <v>291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2747</v>
      </c>
      <c r="B1889" s="114" t="str">
        <f>VLOOKUP(A1889,'Data pick slip'!B:F,5,FALSE)</f>
        <v>KHJ-MC200-00</v>
      </c>
      <c r="F1889" s="157" t="s">
        <v>2862</v>
      </c>
      <c r="I1889" s="139" t="s">
        <v>3016</v>
      </c>
      <c r="J1889" s="139" t="s">
        <v>3238</v>
      </c>
      <c r="K1889" s="51" t="s">
        <v>1246</v>
      </c>
      <c r="L1889" s="4">
        <v>43910</v>
      </c>
      <c r="M1889" s="140">
        <v>20</v>
      </c>
      <c r="P1889" s="4" t="s">
        <v>291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2748</v>
      </c>
      <c r="B1890" s="114" t="str">
        <f>VLOOKUP(A1890,'Data pick slip'!B:F,5,FALSE)</f>
        <v>KHJ-MC400-00</v>
      </c>
      <c r="F1890" s="157" t="s">
        <v>2862</v>
      </c>
      <c r="I1890" s="139" t="s">
        <v>3016</v>
      </c>
      <c r="J1890" s="139" t="s">
        <v>3238</v>
      </c>
      <c r="K1890" s="51" t="s">
        <v>1246</v>
      </c>
      <c r="L1890" s="4">
        <v>43910</v>
      </c>
      <c r="M1890" s="140">
        <v>5</v>
      </c>
      <c r="P1890" s="4" t="s">
        <v>291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2749</v>
      </c>
      <c r="B1891" s="114" t="str">
        <f>VLOOKUP(A1891,'Data pick slip'!B:F,5,FALSE)</f>
        <v>KHJ-MC500-00</v>
      </c>
      <c r="F1891" s="157" t="s">
        <v>2862</v>
      </c>
      <c r="I1891" s="139" t="s">
        <v>3016</v>
      </c>
      <c r="J1891" s="139" t="s">
        <v>3238</v>
      </c>
      <c r="K1891" s="51" t="s">
        <v>1246</v>
      </c>
      <c r="L1891" s="4">
        <v>43910</v>
      </c>
      <c r="M1891" s="140">
        <v>4</v>
      </c>
      <c r="P1891" s="4" t="s">
        <v>291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2749</v>
      </c>
      <c r="B1892" s="114" t="str">
        <f>VLOOKUP(A1892,'Data pick slip'!B:F,5,FALSE)</f>
        <v>KHJ-MC500-00</v>
      </c>
      <c r="F1892" s="157" t="s">
        <v>2773</v>
      </c>
      <c r="I1892" s="139" t="s">
        <v>3094</v>
      </c>
      <c r="J1892" s="139" t="s">
        <v>3239</v>
      </c>
      <c r="K1892" s="51" t="s">
        <v>1246</v>
      </c>
      <c r="L1892" s="4">
        <v>43906</v>
      </c>
      <c r="O1892" s="132">
        <f>1-1</f>
        <v>0</v>
      </c>
      <c r="P1892" s="4" t="s">
        <v>291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2747</v>
      </c>
      <c r="B1893" s="114" t="str">
        <f>VLOOKUP(A1893,'Data pick slip'!B:F,5,FALSE)</f>
        <v>KHJ-MC200-00</v>
      </c>
      <c r="F1893" s="157" t="s">
        <v>2773</v>
      </c>
      <c r="I1893" s="139" t="s">
        <v>3106</v>
      </c>
      <c r="J1893" s="139" t="s">
        <v>3240</v>
      </c>
      <c r="K1893" s="51" t="s">
        <v>1246</v>
      </c>
      <c r="L1893" s="4">
        <v>43910</v>
      </c>
      <c r="M1893" s="140">
        <v>5</v>
      </c>
      <c r="P1893" s="4" t="s">
        <v>291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2747</v>
      </c>
      <c r="B1894" s="114" t="str">
        <f>VLOOKUP(A1894,'Data pick slip'!B:F,5,FALSE)</f>
        <v>KHJ-MC200-00</v>
      </c>
      <c r="F1894" s="157" t="s">
        <v>2773</v>
      </c>
      <c r="I1894" s="139" t="s">
        <v>3106</v>
      </c>
      <c r="J1894" s="139" t="s">
        <v>3241</v>
      </c>
      <c r="K1894" s="51" t="s">
        <v>1246</v>
      </c>
      <c r="L1894" s="4">
        <v>43907</v>
      </c>
      <c r="M1894" s="140">
        <v>5</v>
      </c>
      <c r="P1894" s="4" t="s">
        <v>291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2744</v>
      </c>
      <c r="B1895" s="114" t="str">
        <f>VLOOKUP(A1895,'Data pick slip'!B:F,5,FALSE)</f>
        <v>KHJ-MC100-00</v>
      </c>
      <c r="F1895" s="157" t="s">
        <v>2862</v>
      </c>
      <c r="H1895" s="138">
        <v>600</v>
      </c>
      <c r="I1895" s="139" t="str">
        <f>VLOOKUP(H1895,Stock_list!A:R,18,FALSE)</f>
        <v>顺弘</v>
      </c>
      <c r="J1895" s="139" t="str">
        <f>VLOOKUP(H1895,Stock_list!A:S,17,FALSE)</f>
        <v>C49SZX20200030SX</v>
      </c>
      <c r="K1895" s="51" t="str">
        <f>VLOOKUP(H1895,Stock_list!A:T,16,FALSE)</f>
        <v>JPY</v>
      </c>
      <c r="L1895" s="4">
        <v>43924</v>
      </c>
      <c r="M1895" s="132">
        <v>80</v>
      </c>
      <c r="P1895" s="4" t="str">
        <f>VLOOKUP(H1895,Stock_list!A:Y,25,FALSE)</f>
        <v>Yes</v>
      </c>
      <c r="Q1895" s="143"/>
      <c r="T1895" s="144"/>
      <c r="U1895" s="145" t="str">
        <f>VLOOKUP(H1895,Stock_list!A:N,14,FALSE)</f>
        <v>APR 20</v>
      </c>
    </row>
    <row r="1896" spans="1:21" ht="16.5" customHeight="1">
      <c r="A1896" s="159" t="s">
        <v>2747</v>
      </c>
      <c r="B1896" s="114" t="str">
        <f>VLOOKUP(A1896,'Data pick slip'!B:F,5,FALSE)</f>
        <v>KHJ-MC200-00</v>
      </c>
      <c r="F1896" s="157" t="s">
        <v>2862</v>
      </c>
      <c r="H1896" s="138">
        <v>600</v>
      </c>
      <c r="I1896" s="139" t="str">
        <f>VLOOKUP(H1896,Stock_list!A:R,18,FALSE)</f>
        <v>顺弘</v>
      </c>
      <c r="J1896" s="139" t="str">
        <f>VLOOKUP(H1896,Stock_list!A:S,17,FALSE)</f>
        <v>C49SZX20200030SX</v>
      </c>
      <c r="K1896" s="51" t="str">
        <f>VLOOKUP(H1896,Stock_list!A:T,16,FALSE)</f>
        <v>JPY</v>
      </c>
      <c r="L1896" s="4">
        <v>43924</v>
      </c>
      <c r="M1896" s="132">
        <v>10</v>
      </c>
      <c r="P1896" s="4" t="str">
        <f>VLOOKUP(H1896,Stock_list!A:Y,25,FALSE)</f>
        <v>Yes</v>
      </c>
      <c r="Q1896" s="143"/>
      <c r="T1896" s="144"/>
      <c r="U1896" s="145" t="str">
        <f>VLOOKUP(H1896,Stock_list!A:N,14,FALSE)</f>
        <v>APR 20</v>
      </c>
    </row>
    <row r="1897" spans="1:21" ht="16.5" customHeight="1">
      <c r="A1897" s="159" t="s">
        <v>2748</v>
      </c>
      <c r="B1897" s="114" t="str">
        <f>VLOOKUP(A1897,'Data pick slip'!B:F,5,FALSE)</f>
        <v>KHJ-MC400-00</v>
      </c>
      <c r="F1897" s="157" t="s">
        <v>2862</v>
      </c>
      <c r="H1897" s="138">
        <v>600</v>
      </c>
      <c r="I1897" s="139" t="str">
        <f>VLOOKUP(H1897,Stock_list!A:R,18,FALSE)</f>
        <v>顺弘</v>
      </c>
      <c r="J1897" s="139" t="str">
        <f>VLOOKUP(H1897,Stock_list!A:S,17,FALSE)</f>
        <v>C49SZX20200030SX</v>
      </c>
      <c r="K1897" s="51" t="str">
        <f>VLOOKUP(H1897,Stock_list!A:T,16,FALSE)</f>
        <v>JPY</v>
      </c>
      <c r="L1897" s="4">
        <v>43924</v>
      </c>
      <c r="M1897" s="132">
        <v>6</v>
      </c>
      <c r="P1897" s="4" t="str">
        <f>VLOOKUP(H1897,Stock_list!A:Y,25,FALSE)</f>
        <v>Yes</v>
      </c>
      <c r="Q1897" s="143"/>
      <c r="T1897" s="144"/>
      <c r="U1897" s="145" t="str">
        <f>VLOOKUP(H1897,Stock_list!A:N,14,FALSE)</f>
        <v>APR 20</v>
      </c>
    </row>
    <row r="1898" spans="1:21" ht="16.5" customHeight="1">
      <c r="A1898" s="159" t="s">
        <v>2755</v>
      </c>
      <c r="B1898" s="114" t="str">
        <f>VLOOKUP(A1898,'Data pick slip'!B:F,5,FALSE)</f>
        <v>KLJ-MC100-00</v>
      </c>
      <c r="F1898" s="157" t="s">
        <v>2862</v>
      </c>
      <c r="H1898" s="138">
        <v>601</v>
      </c>
      <c r="I1898" s="139" t="str">
        <f>VLOOKUP(H1898,Stock_list!A:R,18,FALSE)</f>
        <v>安林</v>
      </c>
      <c r="J1898" s="139" t="str">
        <f>VLOOKUP(H1898,Stock_list!A:S,17,FALSE)</f>
        <v>C49SZX20200026SX</v>
      </c>
      <c r="K1898" s="51" t="str">
        <f>VLOOKUP(H1898,Stock_list!A:T,16,FALSE)</f>
        <v>JPY</v>
      </c>
      <c r="L1898" s="4">
        <v>43977</v>
      </c>
      <c r="M1898" s="132">
        <v>90</v>
      </c>
      <c r="P1898" s="4" t="str">
        <f>VLOOKUP(H1898,Stock_list!A:Y,25,FALSE)</f>
        <v>Yes</v>
      </c>
      <c r="Q1898" s="143"/>
      <c r="T1898" s="144"/>
      <c r="U1898" s="145" t="str">
        <f>VLOOKUP(H1898,Stock_list!A:N,14,FALSE)</f>
        <v>MAY 20</v>
      </c>
    </row>
    <row r="1899" spans="1:21" ht="16.5" customHeight="1">
      <c r="A1899" s="159" t="s">
        <v>2756</v>
      </c>
      <c r="B1899" s="114" t="str">
        <f>VLOOKUP(A1899,'Data pick slip'!B:F,5,FALSE)</f>
        <v>KLJ-MC200-00</v>
      </c>
      <c r="F1899" s="157" t="s">
        <v>2862</v>
      </c>
      <c r="H1899" s="138">
        <v>601</v>
      </c>
      <c r="I1899" s="139" t="str">
        <f>VLOOKUP(H1899,Stock_list!A:R,18,FALSE)</f>
        <v>安林</v>
      </c>
      <c r="J1899" s="139" t="str">
        <f>VLOOKUP(H1899,Stock_list!A:S,17,FALSE)</f>
        <v>C49SZX20200026SX</v>
      </c>
      <c r="K1899" s="51" t="str">
        <f>VLOOKUP(H1899,Stock_list!A:T,16,FALSE)</f>
        <v>JPY</v>
      </c>
      <c r="L1899" s="4">
        <v>43977</v>
      </c>
      <c r="M1899" s="132">
        <v>10</v>
      </c>
      <c r="P1899" s="4" t="str">
        <f>VLOOKUP(H1899,Stock_list!A:Y,25,FALSE)</f>
        <v>Yes</v>
      </c>
      <c r="T1899" s="144"/>
      <c r="U1899" s="145" t="str">
        <f>VLOOKUP(H1899,Stock_list!A:N,14,FALSE)</f>
        <v>MAY 20</v>
      </c>
    </row>
    <row r="1900" spans="1:21" ht="16.5" customHeight="1">
      <c r="A1900" s="159" t="s">
        <v>2750</v>
      </c>
      <c r="B1900" s="114" t="str">
        <f>VLOOKUP(A1900,'Data pick slip'!B:F,5,FALSE)</f>
        <v>KHJ-MC600-00</v>
      </c>
      <c r="F1900" s="157" t="s">
        <v>2773</v>
      </c>
      <c r="I1900" s="139" t="s">
        <v>3100</v>
      </c>
      <c r="J1900" s="139" t="s">
        <v>3242</v>
      </c>
      <c r="K1900" s="51" t="s">
        <v>1246</v>
      </c>
      <c r="L1900" s="4">
        <v>43915</v>
      </c>
      <c r="M1900" s="140">
        <v>1</v>
      </c>
      <c r="P1900" s="4" t="s">
        <v>291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2749</v>
      </c>
      <c r="B1901" s="114" t="str">
        <f>VLOOKUP(A1901,'Data pick slip'!B:F,5,FALSE)</f>
        <v>KHJ-MC500-00</v>
      </c>
      <c r="F1901" s="157" t="s">
        <v>2773</v>
      </c>
      <c r="I1901" s="139" t="s">
        <v>3094</v>
      </c>
      <c r="J1901" s="139" t="s">
        <v>3243</v>
      </c>
      <c r="K1901" s="51" t="s">
        <v>1246</v>
      </c>
      <c r="L1901" s="14">
        <v>43934</v>
      </c>
      <c r="M1901" s="140">
        <v>2</v>
      </c>
      <c r="P1901" s="4" t="s">
        <v>291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2750</v>
      </c>
      <c r="B1902" s="114" t="str">
        <f>VLOOKUP(A1902,'Data pick slip'!B:F,5,FALSE)</f>
        <v>KHJ-MC600-00</v>
      </c>
      <c r="F1902" s="157" t="s">
        <v>2773</v>
      </c>
      <c r="I1902" s="139" t="s">
        <v>3094</v>
      </c>
      <c r="J1902" s="139" t="s">
        <v>3244</v>
      </c>
      <c r="K1902" s="51" t="s">
        <v>1246</v>
      </c>
      <c r="L1902" s="4">
        <v>43914</v>
      </c>
      <c r="M1902" s="140">
        <v>1</v>
      </c>
      <c r="P1902" s="4" t="s">
        <v>291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2750</v>
      </c>
      <c r="B1903" s="114" t="str">
        <f>VLOOKUP(A1903,'Data pick slip'!B:F,5,FALSE)</f>
        <v>KHJ-MC600-00</v>
      </c>
      <c r="F1903" s="157" t="s">
        <v>2773</v>
      </c>
      <c r="I1903" s="139" t="s">
        <v>3094</v>
      </c>
      <c r="J1903" s="139" t="s">
        <v>3245</v>
      </c>
      <c r="K1903" s="51" t="s">
        <v>1246</v>
      </c>
      <c r="L1903" s="4">
        <v>43915</v>
      </c>
      <c r="M1903" s="140">
        <v>2</v>
      </c>
      <c r="P1903" s="4" t="s">
        <v>291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2748</v>
      </c>
      <c r="B1904" s="114" t="str">
        <f>VLOOKUP(A1904,'Data pick slip'!B:F,5,FALSE)</f>
        <v>KHJ-MC400-00</v>
      </c>
      <c r="F1904" s="157" t="s">
        <v>2773</v>
      </c>
      <c r="I1904" s="139" t="s">
        <v>3094</v>
      </c>
      <c r="J1904" s="139" t="s">
        <v>3246</v>
      </c>
      <c r="K1904" s="51" t="s">
        <v>1246</v>
      </c>
      <c r="L1904" s="4">
        <v>43915</v>
      </c>
      <c r="M1904" s="140">
        <v>2</v>
      </c>
      <c r="P1904" s="4" t="s">
        <v>291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2755</v>
      </c>
      <c r="B1905" s="114" t="str">
        <f>VLOOKUP(A1905,'Data pick slip'!B:F,5,FALSE)</f>
        <v>KLJ-MC100-00</v>
      </c>
      <c r="F1905" s="157" t="s">
        <v>2862</v>
      </c>
      <c r="I1905" s="139" t="s">
        <v>3016</v>
      </c>
      <c r="J1905" s="139" t="s">
        <v>3247</v>
      </c>
      <c r="K1905" s="51" t="s">
        <v>1246</v>
      </c>
      <c r="L1905" s="4">
        <v>43903</v>
      </c>
      <c r="M1905" s="140">
        <v>100</v>
      </c>
      <c r="P1905" s="4" t="s">
        <v>291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2756</v>
      </c>
      <c r="B1906" s="114" t="str">
        <f>VLOOKUP(A1906,'Data pick slip'!B:F,5,FALSE)</f>
        <v>KLJ-MC200-00</v>
      </c>
      <c r="F1906" s="157" t="s">
        <v>2862</v>
      </c>
      <c r="I1906" s="139" t="s">
        <v>3016</v>
      </c>
      <c r="J1906" s="139" t="s">
        <v>3247</v>
      </c>
      <c r="K1906" s="51" t="s">
        <v>1246</v>
      </c>
      <c r="L1906" s="4">
        <v>43903</v>
      </c>
      <c r="M1906" s="140">
        <v>20</v>
      </c>
      <c r="P1906" s="4" t="s">
        <v>291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2755</v>
      </c>
      <c r="B1907" s="114" t="str">
        <f>VLOOKUP(A1907,'Data pick slip'!B:F,5,FALSE)</f>
        <v>KLJ-MC100-00</v>
      </c>
      <c r="F1907" s="157" t="s">
        <v>2862</v>
      </c>
      <c r="I1907" s="139" t="s">
        <v>3016</v>
      </c>
      <c r="J1907" s="139" t="s">
        <v>3248</v>
      </c>
      <c r="K1907" s="51" t="s">
        <v>1246</v>
      </c>
      <c r="L1907" s="4">
        <v>43903</v>
      </c>
      <c r="M1907" s="140">
        <v>100</v>
      </c>
      <c r="P1907" s="4" t="s">
        <v>291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2756</v>
      </c>
      <c r="B1908" s="114" t="str">
        <f>VLOOKUP(A1908,'Data pick slip'!B:F,5,FALSE)</f>
        <v>KLJ-MC200-00</v>
      </c>
      <c r="F1908" s="157" t="s">
        <v>2862</v>
      </c>
      <c r="I1908" s="139" t="s">
        <v>3016</v>
      </c>
      <c r="J1908" s="139" t="s">
        <v>3248</v>
      </c>
      <c r="K1908" s="51" t="s">
        <v>1246</v>
      </c>
      <c r="L1908" s="4">
        <v>43903</v>
      </c>
      <c r="M1908" s="140">
        <v>20</v>
      </c>
      <c r="P1908" s="4" t="s">
        <v>291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2744</v>
      </c>
      <c r="B1909" s="114" t="str">
        <f>VLOOKUP(A1909,'Data pick slip'!B:F,5,FALSE)</f>
        <v>KHJ-MC100-00</v>
      </c>
      <c r="F1909" s="157" t="s">
        <v>2773</v>
      </c>
      <c r="H1909" s="138">
        <v>602</v>
      </c>
      <c r="I1909" s="139" t="str">
        <f>VLOOKUP(H1909,Stock_list!A:R,18,FALSE)</f>
        <v>金海智控</v>
      </c>
      <c r="J1909" s="139" t="str">
        <f>VLOOKUP(H1909,Stock_list!A:S,17,FALSE)</f>
        <v>C49SZX20200031DZ</v>
      </c>
      <c r="K1909" s="51" t="str">
        <f>VLOOKUP(H1909,Stock_list!A:T,16,FALSE)</f>
        <v>RMB</v>
      </c>
      <c r="L1909" s="4">
        <v>43987</v>
      </c>
      <c r="M1909" s="132">
        <v>20</v>
      </c>
      <c r="P1909" s="4" t="str">
        <f>VLOOKUP(H1909,Stock_list!A:Y,25,FALSE)</f>
        <v>Yes</v>
      </c>
      <c r="Q1909" s="143"/>
      <c r="T1909" s="144"/>
      <c r="U1909" s="145" t="str">
        <f>VLOOKUP(H1909,Stock_list!A:N,14,FALSE)</f>
        <v>JUN 20</v>
      </c>
    </row>
    <row r="1910" spans="1:21" ht="16.5" customHeight="1">
      <c r="A1910" s="159" t="s">
        <v>2756</v>
      </c>
      <c r="B1910" s="114" t="str">
        <f>VLOOKUP(A1910,'Data pick slip'!B:F,5,FALSE)</f>
        <v>KLJ-MC200-00</v>
      </c>
      <c r="F1910" s="157" t="s">
        <v>2773</v>
      </c>
      <c r="H1910" s="138">
        <v>602</v>
      </c>
      <c r="I1910" s="139" t="str">
        <f>VLOOKUP(H1910,Stock_list!A:R,18,FALSE)</f>
        <v>金海智控</v>
      </c>
      <c r="J1910" s="139" t="str">
        <f>VLOOKUP(H1910,Stock_list!A:S,17,FALSE)</f>
        <v>C49SZX20200031DZ</v>
      </c>
      <c r="K1910" s="51" t="str">
        <f>VLOOKUP(H1910,Stock_list!A:T,16,FALSE)</f>
        <v>RMB</v>
      </c>
      <c r="L1910" s="4">
        <v>43987</v>
      </c>
      <c r="M1910" s="132">
        <v>3</v>
      </c>
      <c r="P1910" s="4" t="str">
        <f>VLOOKUP(H1910,Stock_list!A:Y,25,FALSE)</f>
        <v>Yes</v>
      </c>
      <c r="T1910" s="144"/>
      <c r="U1910" s="145" t="str">
        <f>VLOOKUP(H1910,Stock_list!A:N,14,FALSE)</f>
        <v>JUN 20</v>
      </c>
    </row>
    <row r="1911" spans="1:21" ht="16.5" customHeight="1">
      <c r="A1911" s="159" t="s">
        <v>2744</v>
      </c>
      <c r="B1911" s="114" t="str">
        <f>VLOOKUP(A1911,'Data pick slip'!B:F,5,FALSE)</f>
        <v>KHJ-MC100-00</v>
      </c>
      <c r="F1911" s="157" t="s">
        <v>2862</v>
      </c>
      <c r="H1911" s="138">
        <v>604</v>
      </c>
      <c r="I1911" s="139" t="str">
        <f>VLOOKUP(H1911,Stock_list!A:R,18,FALSE)</f>
        <v>钧溢电子</v>
      </c>
      <c r="J1911" s="139" t="str">
        <f>VLOOKUP(H1911,Stock_list!A:S,17,FALSE)</f>
        <v>C49SZX20200036CX</v>
      </c>
      <c r="K1911" s="51" t="str">
        <f>VLOOKUP(H1911,Stock_list!A:T,16,FALSE)</f>
        <v>JPY</v>
      </c>
      <c r="L1911" s="4">
        <v>43976</v>
      </c>
      <c r="M1911" s="132">
        <v>40</v>
      </c>
      <c r="P1911" s="4" t="str">
        <f>VLOOKUP(H1911,Stock_list!A:Y,25,FALSE)</f>
        <v>Yes</v>
      </c>
      <c r="Q1911" s="143"/>
      <c r="T1911" s="144"/>
      <c r="U1911" s="145" t="str">
        <f>VLOOKUP(H1911,Stock_list!A:N,14,FALSE)</f>
        <v>MAY 20</v>
      </c>
    </row>
    <row r="1912" spans="1:21" ht="16.5" customHeight="1">
      <c r="A1912" s="159" t="s">
        <v>2756</v>
      </c>
      <c r="B1912" s="114" t="str">
        <f>VLOOKUP(A1912,'Data pick slip'!B:F,5,FALSE)</f>
        <v>KLJ-MC200-00</v>
      </c>
      <c r="F1912" s="157" t="s">
        <v>2862</v>
      </c>
      <c r="H1912" s="138">
        <v>604</v>
      </c>
      <c r="I1912" s="139" t="str">
        <f>VLOOKUP(H1912,Stock_list!A:R,18,FALSE)</f>
        <v>钧溢电子</v>
      </c>
      <c r="J1912" s="139" t="str">
        <f>VLOOKUP(H1912,Stock_list!A:S,17,FALSE)</f>
        <v>C49SZX20200036CX</v>
      </c>
      <c r="K1912" s="51" t="str">
        <f>VLOOKUP(H1912,Stock_list!A:T,16,FALSE)</f>
        <v>JPY</v>
      </c>
      <c r="L1912" s="4">
        <v>43976</v>
      </c>
      <c r="M1912" s="132">
        <v>5</v>
      </c>
      <c r="P1912" s="4" t="str">
        <f>VLOOKUP(H1912,Stock_list!A:Y,25,FALSE)</f>
        <v>Yes</v>
      </c>
      <c r="T1912" s="144"/>
      <c r="U1912" s="145" t="str">
        <f>VLOOKUP(H1912,Stock_list!A:N,14,FALSE)</f>
        <v>MAY 20</v>
      </c>
    </row>
    <row r="1913" spans="1:21" ht="16.5" customHeight="1">
      <c r="A1913" s="159" t="s">
        <v>2757</v>
      </c>
      <c r="B1913" s="114" t="str">
        <f>VLOOKUP(A1913,'Data pick slip'!B:F,5,FALSE)</f>
        <v>KLJ-MC400-00</v>
      </c>
      <c r="F1913" s="157" t="s">
        <v>2862</v>
      </c>
      <c r="H1913" s="138">
        <v>604</v>
      </c>
      <c r="I1913" s="139" t="str">
        <f>VLOOKUP(H1913,Stock_list!A:R,18,FALSE)</f>
        <v>钧溢电子</v>
      </c>
      <c r="J1913" s="139" t="str">
        <f>VLOOKUP(H1913,Stock_list!A:S,17,FALSE)</f>
        <v>C49SZX20200036CX</v>
      </c>
      <c r="K1913" s="51" t="str">
        <f>VLOOKUP(H1913,Stock_list!A:T,16,FALSE)</f>
        <v>JPY</v>
      </c>
      <c r="L1913" s="4">
        <v>43976</v>
      </c>
      <c r="M1913" s="132">
        <v>1</v>
      </c>
      <c r="P1913" s="4" t="str">
        <f>VLOOKUP(H1913,Stock_list!A:Y,25,FALSE)</f>
        <v>Yes</v>
      </c>
      <c r="Q1913" s="143"/>
      <c r="T1913" s="144"/>
      <c r="U1913" s="145" t="str">
        <f>VLOOKUP(H1913,Stock_list!A:N,14,FALSE)</f>
        <v>MAY 20</v>
      </c>
    </row>
    <row r="1914" spans="1:21" ht="16.5" customHeight="1">
      <c r="A1914" s="159" t="s">
        <v>2749</v>
      </c>
      <c r="B1914" s="114" t="str">
        <f>VLOOKUP(A1914,'Data pick slip'!B:F,5,FALSE)</f>
        <v>KHJ-MC500-00</v>
      </c>
      <c r="F1914" s="157" t="s">
        <v>2862</v>
      </c>
      <c r="H1914" s="138">
        <v>604</v>
      </c>
      <c r="I1914" s="139" t="str">
        <f>VLOOKUP(H1914,Stock_list!A:R,18,FALSE)</f>
        <v>钧溢电子</v>
      </c>
      <c r="J1914" s="139" t="str">
        <f>VLOOKUP(H1914,Stock_list!A:S,17,FALSE)</f>
        <v>C49SZX20200036CX</v>
      </c>
      <c r="K1914" s="51" t="str">
        <f>VLOOKUP(H1914,Stock_list!A:T,16,FALSE)</f>
        <v>JPY</v>
      </c>
      <c r="L1914" s="4">
        <v>43976</v>
      </c>
      <c r="M1914" s="132">
        <v>1</v>
      </c>
      <c r="P1914" s="4" t="str">
        <f>VLOOKUP(H1914,Stock_list!A:Y,25,FALSE)</f>
        <v>Yes</v>
      </c>
      <c r="Q1914" s="143"/>
      <c r="T1914" s="144"/>
      <c r="U1914" s="145" t="str">
        <f>VLOOKUP(H1914,Stock_list!A:N,14,FALSE)</f>
        <v>MAY 20</v>
      </c>
    </row>
    <row r="1915" spans="1:21" ht="16.5" customHeight="1">
      <c r="A1915" s="159" t="s">
        <v>2744</v>
      </c>
      <c r="B1915" s="114" t="str">
        <f>VLOOKUP(A1915,'Data pick slip'!B:F,5,FALSE)</f>
        <v>KHJ-MC100-00</v>
      </c>
      <c r="F1915" s="157" t="s">
        <v>2862</v>
      </c>
      <c r="H1915" s="138">
        <v>605</v>
      </c>
      <c r="I1915" s="139" t="str">
        <f>VLOOKUP(H1915,Stock_list!A:R,18,FALSE)</f>
        <v>钧溢电子</v>
      </c>
      <c r="J1915" s="139" t="str">
        <f>VLOOKUP(H1915,Stock_list!A:S,17,FALSE)</f>
        <v>C49SZX20200036CX</v>
      </c>
      <c r="K1915" s="51" t="str">
        <f>VLOOKUP(H1915,Stock_list!A:T,16,FALSE)</f>
        <v>JPY</v>
      </c>
      <c r="L1915" s="4">
        <v>44013</v>
      </c>
      <c r="M1915" s="132">
        <v>12</v>
      </c>
      <c r="P1915" s="4" t="str">
        <f>VLOOKUP(H1915,Stock_list!A:Y,25,FALSE)</f>
        <v>Yes</v>
      </c>
      <c r="Q1915" s="143"/>
      <c r="T1915" s="144"/>
      <c r="U1915" s="145" t="str">
        <f>VLOOKUP(H1915,Stock_list!A:N,14,FALSE)</f>
        <v>JUL 20</v>
      </c>
    </row>
    <row r="1916" spans="1:21" ht="16.5" customHeight="1">
      <c r="A1916" s="159" t="s">
        <v>2755</v>
      </c>
      <c r="B1916" s="114" t="str">
        <f>VLOOKUP(A1916,'Data pick slip'!B:F,5,FALSE)</f>
        <v>KLJ-MC100-00</v>
      </c>
      <c r="F1916" s="157" t="s">
        <v>2773</v>
      </c>
      <c r="I1916" s="139" t="s">
        <v>3094</v>
      </c>
      <c r="J1916" s="139" t="s">
        <v>3249</v>
      </c>
      <c r="K1916" s="51" t="s">
        <v>1246</v>
      </c>
      <c r="L1916" s="4">
        <v>43937</v>
      </c>
      <c r="M1916" s="140">
        <v>30</v>
      </c>
      <c r="P1916" s="4" t="s">
        <v>291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2744</v>
      </c>
      <c r="B1917" s="114" t="str">
        <f>VLOOKUP(A1917,'Data pick slip'!B:F,5,FALSE)</f>
        <v>KHJ-MC100-00</v>
      </c>
      <c r="F1917" s="157" t="s">
        <v>2773</v>
      </c>
      <c r="I1917" s="139" t="s">
        <v>3094</v>
      </c>
      <c r="J1917" s="139" t="s">
        <v>3250</v>
      </c>
      <c r="K1917" s="51" t="s">
        <v>1246</v>
      </c>
      <c r="L1917" s="4">
        <v>43928</v>
      </c>
      <c r="M1917" s="132">
        <v>5</v>
      </c>
      <c r="P1917" s="4" t="s">
        <v>291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2747</v>
      </c>
      <c r="B1918" s="114" t="str">
        <f>VLOOKUP(A1918,'Data pick slip'!B:F,5,FALSE)</f>
        <v>KHJ-MC200-00</v>
      </c>
      <c r="F1918" s="157" t="s">
        <v>2773</v>
      </c>
      <c r="I1918" s="139" t="s">
        <v>3094</v>
      </c>
      <c r="J1918" s="139" t="s">
        <v>3251</v>
      </c>
      <c r="K1918" s="51" t="s">
        <v>1246</v>
      </c>
      <c r="L1918" s="4">
        <v>43928</v>
      </c>
      <c r="M1918" s="132">
        <v>4</v>
      </c>
      <c r="P1918" s="4" t="s">
        <v>291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2748</v>
      </c>
      <c r="B1919" s="114" t="str">
        <f>VLOOKUP(A1919,'Data pick slip'!B:F,5,FALSE)</f>
        <v>KHJ-MC400-00</v>
      </c>
      <c r="F1919" s="157" t="s">
        <v>2773</v>
      </c>
      <c r="I1919" s="139" t="s">
        <v>3094</v>
      </c>
      <c r="J1919" s="139" t="s">
        <v>3251</v>
      </c>
      <c r="K1919" s="51" t="s">
        <v>1246</v>
      </c>
      <c r="L1919" s="4">
        <v>43928</v>
      </c>
      <c r="M1919" s="132">
        <v>2</v>
      </c>
      <c r="P1919" s="4" t="s">
        <v>291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2744</v>
      </c>
      <c r="B1920" s="114" t="str">
        <f>VLOOKUP(A1920,'Data pick slip'!B:F,5,FALSE)</f>
        <v>KHJ-MC100-00</v>
      </c>
      <c r="F1920" s="157" t="s">
        <v>2862</v>
      </c>
      <c r="H1920" s="138">
        <v>606</v>
      </c>
      <c r="I1920" s="139" t="str">
        <f>VLOOKUP(H1920,Stock_list!A:R,18,FALSE)</f>
        <v>乐上</v>
      </c>
      <c r="J1920" s="139" t="s">
        <v>3252</v>
      </c>
      <c r="K1920" s="51" t="s">
        <v>3003</v>
      </c>
      <c r="L1920" s="4">
        <v>43973</v>
      </c>
      <c r="M1920" s="132">
        <v>45</v>
      </c>
      <c r="P1920" s="4" t="str">
        <f>VLOOKUP(H1920,Stock_list!A:Y,25,FALSE)</f>
        <v>Yes</v>
      </c>
      <c r="Q1920" s="143"/>
      <c r="T1920" s="144"/>
      <c r="U1920" s="145" t="str">
        <f>VLOOKUP(H1920,Stock_list!A:N,14,FALSE)</f>
        <v>MAY 20</v>
      </c>
    </row>
    <row r="1921" spans="1:21" ht="16.5" customHeight="1">
      <c r="A1921" s="159" t="s">
        <v>2756</v>
      </c>
      <c r="B1921" s="114" t="str">
        <f>VLOOKUP(A1921,'Data pick slip'!B:F,5,FALSE)</f>
        <v>KLJ-MC200-00</v>
      </c>
      <c r="F1921" s="157" t="s">
        <v>2862</v>
      </c>
      <c r="H1921" s="138">
        <v>606</v>
      </c>
      <c r="I1921" s="139" t="str">
        <f>VLOOKUP(H1921,Stock_list!A:R,18,FALSE)</f>
        <v>乐上</v>
      </c>
      <c r="J1921" s="139" t="str">
        <f>VLOOKUP(H1921,Stock_list!A:S,17,FALSE)</f>
        <v>C49SZX20200007SS</v>
      </c>
      <c r="K1921" s="51" t="str">
        <f>VLOOKUP(H1921,Stock_list!A:T,16,FALSE)</f>
        <v>JPY</v>
      </c>
      <c r="L1921" s="4">
        <v>43973</v>
      </c>
      <c r="M1921" s="132">
        <v>22</v>
      </c>
      <c r="P1921" s="4" t="str">
        <f>VLOOKUP(H1921,Stock_list!A:Y,25,FALSE)</f>
        <v>Yes</v>
      </c>
      <c r="T1921" s="144"/>
      <c r="U1921" s="145" t="str">
        <f>VLOOKUP(H1921,Stock_list!A:N,14,FALSE)</f>
        <v>MAY 20</v>
      </c>
    </row>
    <row r="1922" spans="1:21" ht="16.5" customHeight="1">
      <c r="A1922" s="159" t="s">
        <v>2757</v>
      </c>
      <c r="B1922" s="114" t="str">
        <f>VLOOKUP(A1922,'Data pick slip'!B:F,5,FALSE)</f>
        <v>KLJ-MC400-00</v>
      </c>
      <c r="F1922" s="157" t="s">
        <v>2862</v>
      </c>
      <c r="H1922" s="138">
        <v>606</v>
      </c>
      <c r="I1922" s="139" t="str">
        <f>VLOOKUP(H1922,Stock_list!A:R,18,FALSE)</f>
        <v>乐上</v>
      </c>
      <c r="J1922" s="139" t="str">
        <f>VLOOKUP(H1922,Stock_list!A:S,17,FALSE)</f>
        <v>C49SZX20200007SS</v>
      </c>
      <c r="K1922" s="51" t="str">
        <f>VLOOKUP(H1922,Stock_list!A:T,16,FALSE)</f>
        <v>JPY</v>
      </c>
      <c r="L1922" s="4">
        <v>43973</v>
      </c>
      <c r="M1922" s="132">
        <v>14</v>
      </c>
      <c r="P1922" s="4" t="str">
        <f>VLOOKUP(H1922,Stock_list!A:Y,25,FALSE)</f>
        <v>Yes</v>
      </c>
      <c r="Q1922" s="143"/>
      <c r="T1922" s="144"/>
      <c r="U1922" s="145" t="str">
        <f>VLOOKUP(H1922,Stock_list!A:N,14,FALSE)</f>
        <v>MAY 20</v>
      </c>
    </row>
    <row r="1923" spans="1:21" ht="16.5" customHeight="1">
      <c r="A1923" s="159" t="s">
        <v>2749</v>
      </c>
      <c r="B1923" s="114" t="str">
        <f>VLOOKUP(A1923,'Data pick slip'!B:F,5,FALSE)</f>
        <v>KHJ-MC500-00</v>
      </c>
      <c r="F1923" s="157" t="s">
        <v>2862</v>
      </c>
      <c r="H1923" s="138">
        <v>606</v>
      </c>
      <c r="I1923" s="139" t="str">
        <f>VLOOKUP(H1923,Stock_list!A:R,18,FALSE)</f>
        <v>乐上</v>
      </c>
      <c r="J1923" s="139" t="str">
        <f>VLOOKUP(H1923,Stock_list!A:S,17,FALSE)</f>
        <v>C49SZX20200007SS</v>
      </c>
      <c r="K1923" s="51" t="str">
        <f>VLOOKUP(H1923,Stock_list!A:T,16,FALSE)</f>
        <v>JPY</v>
      </c>
      <c r="L1923" s="4">
        <v>43973</v>
      </c>
      <c r="M1923" s="132">
        <v>2</v>
      </c>
      <c r="P1923" s="4" t="str">
        <f>VLOOKUP(H1923,Stock_list!A:Y,25,FALSE)</f>
        <v>Yes</v>
      </c>
      <c r="Q1923" s="143"/>
      <c r="T1923" s="144"/>
      <c r="U1923" s="145" t="str">
        <f>VLOOKUP(H1923,Stock_list!A:N,14,FALSE)</f>
        <v>MAY 20</v>
      </c>
    </row>
    <row r="1924" spans="1:21" ht="16.5" customHeight="1">
      <c r="A1924" s="159" t="s">
        <v>2747</v>
      </c>
      <c r="B1924" s="114" t="str">
        <f>VLOOKUP(A1924,'Data pick slip'!B:F,5,FALSE)</f>
        <v>KHJ-MC200-00</v>
      </c>
      <c r="F1924" s="157" t="s">
        <v>2773</v>
      </c>
      <c r="I1924" s="139" t="s">
        <v>3100</v>
      </c>
      <c r="J1924" s="139" t="s">
        <v>3253</v>
      </c>
      <c r="K1924" s="51" t="s">
        <v>1246</v>
      </c>
      <c r="L1924" s="4">
        <v>43920</v>
      </c>
      <c r="M1924" s="140">
        <v>10</v>
      </c>
      <c r="P1924" s="4" t="s">
        <v>291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2747</v>
      </c>
      <c r="B1925" s="114" t="str">
        <f>VLOOKUP(A1925,'Data pick slip'!B:F,5,FALSE)</f>
        <v>KHJ-MC200-00</v>
      </c>
      <c r="F1925" s="157" t="s">
        <v>2773</v>
      </c>
      <c r="H1925" s="138">
        <v>597</v>
      </c>
      <c r="I1925" s="139" t="str">
        <f>VLOOKUP(H1925,Stock_list!A:R,18,FALSE)</f>
        <v>珠海太川</v>
      </c>
      <c r="J1925" s="139" t="str">
        <f>VLOOKUP(H1925,Stock_list!A:S,17,FALSE)</f>
        <v>C49SZX20200028JYR1</v>
      </c>
      <c r="K1925" s="51" t="str">
        <f>VLOOKUP(H1925,Stock_list!A:T,16,FALSE)</f>
        <v>RMB</v>
      </c>
      <c r="L1925" s="4">
        <v>43949</v>
      </c>
      <c r="M1925" s="132">
        <v>15</v>
      </c>
      <c r="P1925" s="4" t="str">
        <f>VLOOKUP(H1925,Stock_list!A:Y,25,FALSE)</f>
        <v>Yes</v>
      </c>
      <c r="Q1925" s="143"/>
      <c r="T1925" s="144"/>
      <c r="U1925" s="145" t="str">
        <f>VLOOKUP(H1925,Stock_list!A:N,14,FALSE)</f>
        <v>MAY 20</v>
      </c>
    </row>
    <row r="1926" spans="1:21" ht="16.5" customHeight="1">
      <c r="A1926" s="159" t="s">
        <v>2748</v>
      </c>
      <c r="B1926" s="114" t="str">
        <f>VLOOKUP(A1926,'Data pick slip'!B:F,5,FALSE)</f>
        <v>KHJ-MC400-00</v>
      </c>
      <c r="F1926" s="157" t="s">
        <v>2773</v>
      </c>
      <c r="H1926" s="138">
        <v>597</v>
      </c>
      <c r="I1926" s="139" t="str">
        <f>VLOOKUP(H1926,Stock_list!A:R,18,FALSE)</f>
        <v>珠海太川</v>
      </c>
      <c r="J1926" s="139" t="str">
        <f>VLOOKUP(H1926,Stock_list!A:S,17,FALSE)</f>
        <v>C49SZX20200028JYR1</v>
      </c>
      <c r="K1926" s="51" t="str">
        <f>VLOOKUP(H1926,Stock_list!A:T,16,FALSE)</f>
        <v>RMB</v>
      </c>
      <c r="L1926" s="4">
        <v>43949</v>
      </c>
      <c r="M1926" s="132">
        <v>5</v>
      </c>
      <c r="P1926" s="4" t="str">
        <f>VLOOKUP(H1926,Stock_list!A:Y,25,FALSE)</f>
        <v>Yes</v>
      </c>
      <c r="Q1926" s="143"/>
      <c r="T1926" s="144"/>
      <c r="U1926" s="145" t="str">
        <f>VLOOKUP(H1926,Stock_list!A:N,14,FALSE)</f>
        <v>MAY 20</v>
      </c>
    </row>
    <row r="1927" spans="1:21" ht="16.5" customHeight="1">
      <c r="A1927" s="159" t="s">
        <v>2749</v>
      </c>
      <c r="B1927" s="114" t="str">
        <f>VLOOKUP(A1927,'Data pick slip'!B:F,5,FALSE)</f>
        <v>KHJ-MC500-00</v>
      </c>
      <c r="F1927" s="157" t="s">
        <v>2773</v>
      </c>
      <c r="H1927" s="138">
        <v>597</v>
      </c>
      <c r="I1927" s="139" t="str">
        <f>VLOOKUP(H1927,Stock_list!A:R,18,FALSE)</f>
        <v>珠海太川</v>
      </c>
      <c r="J1927" s="139" t="str">
        <f>VLOOKUP(H1927,Stock_list!A:S,17,FALSE)</f>
        <v>C49SZX20200028JYR1</v>
      </c>
      <c r="K1927" s="51" t="str">
        <f>VLOOKUP(H1927,Stock_list!A:T,16,FALSE)</f>
        <v>RMB</v>
      </c>
      <c r="L1927" s="4">
        <v>43949</v>
      </c>
      <c r="M1927" s="132">
        <v>4</v>
      </c>
      <c r="P1927" s="4" t="str">
        <f>VLOOKUP(H1927,Stock_list!A:Y,25,FALSE)</f>
        <v>Yes</v>
      </c>
      <c r="Q1927" s="143"/>
      <c r="T1927" s="144"/>
      <c r="U1927" s="145" t="str">
        <f>VLOOKUP(H1927,Stock_list!A:N,14,FALSE)</f>
        <v>MAY 20</v>
      </c>
    </row>
    <row r="1928" spans="1:21" ht="16.5" customHeight="1">
      <c r="A1928" s="159" t="s">
        <v>2750</v>
      </c>
      <c r="B1928" s="114" t="str">
        <f>VLOOKUP(A1928,'Data pick slip'!B:F,5,FALSE)</f>
        <v>KHJ-MC600-00</v>
      </c>
      <c r="F1928" s="157" t="s">
        <v>2773</v>
      </c>
      <c r="H1928" s="138">
        <v>597</v>
      </c>
      <c r="I1928" s="139" t="str">
        <f>VLOOKUP(H1928,Stock_list!A:R,18,FALSE)</f>
        <v>珠海太川</v>
      </c>
      <c r="J1928" s="139" t="str">
        <f>VLOOKUP(H1928,Stock_list!A:S,17,FALSE)</f>
        <v>C49SZX20200028JYR1</v>
      </c>
      <c r="K1928" s="51" t="str">
        <f>VLOOKUP(H1928,Stock_list!A:T,16,FALSE)</f>
        <v>RMB</v>
      </c>
      <c r="L1928" s="4">
        <v>43949</v>
      </c>
      <c r="M1928" s="132">
        <v>4</v>
      </c>
      <c r="P1928" s="4" t="str">
        <f>VLOOKUP(H1928,Stock_list!A:Y,25,FALSE)</f>
        <v>Yes</v>
      </c>
      <c r="Q1928" s="143"/>
      <c r="T1928" s="144"/>
      <c r="U1928" s="145" t="str">
        <f>VLOOKUP(H1928,Stock_list!A:N,14,FALSE)</f>
        <v>MAY 20</v>
      </c>
    </row>
    <row r="1929" spans="1:21" ht="16.5" customHeight="1">
      <c r="A1929" s="159" t="s">
        <v>2744</v>
      </c>
      <c r="B1929" s="114" t="str">
        <f>VLOOKUP(A1929,'Data pick slip'!B:F,5,FALSE)</f>
        <v>KHJ-MC100-00</v>
      </c>
      <c r="F1929" s="157" t="s">
        <v>2862</v>
      </c>
      <c r="H1929" s="138">
        <v>607</v>
      </c>
      <c r="I1929" s="139" t="str">
        <f>VLOOKUP(H1929,Stock_list!A:R,18,FALSE)</f>
        <v>崧盛</v>
      </c>
      <c r="J1929" s="139" t="str">
        <f>VLOOKUP(H1929,Stock_list!A:S,17,FALSE)</f>
        <v>C49SZX20200040MZ</v>
      </c>
      <c r="K1929" s="51" t="str">
        <f>VLOOKUP(H1929,Stock_list!A:T,16,FALSE)</f>
        <v>JPY</v>
      </c>
      <c r="L1929" s="4">
        <v>43923</v>
      </c>
      <c r="M1929" s="132">
        <v>80</v>
      </c>
      <c r="P1929" s="4" t="str">
        <f>VLOOKUP(H1929,Stock_list!A:Y,25,FALSE)</f>
        <v>Yes</v>
      </c>
      <c r="Q1929" s="143"/>
      <c r="T1929" s="144"/>
      <c r="U1929" s="145" t="str">
        <f>VLOOKUP(H1929,Stock_list!A:N,14,FALSE)</f>
        <v>APR 20</v>
      </c>
    </row>
    <row r="1930" spans="1:21" ht="16.5" customHeight="1">
      <c r="A1930" s="159" t="s">
        <v>2747</v>
      </c>
      <c r="B1930" s="114" t="str">
        <f>VLOOKUP(A1930,'Data pick slip'!B:F,5,FALSE)</f>
        <v>KHJ-MC200-00</v>
      </c>
      <c r="F1930" s="157" t="s">
        <v>2862</v>
      </c>
      <c r="H1930" s="138">
        <v>607</v>
      </c>
      <c r="I1930" s="139" t="str">
        <f>VLOOKUP(H1930,Stock_list!A:R,18,FALSE)</f>
        <v>崧盛</v>
      </c>
      <c r="J1930" s="139" t="str">
        <f>VLOOKUP(H1930,Stock_list!A:S,17,FALSE)</f>
        <v>C49SZX20200040MZ</v>
      </c>
      <c r="K1930" s="51" t="str">
        <f>VLOOKUP(H1930,Stock_list!A:T,16,FALSE)</f>
        <v>JPY</v>
      </c>
      <c r="L1930" s="4">
        <v>43923</v>
      </c>
      <c r="M1930" s="132">
        <v>15</v>
      </c>
      <c r="P1930" s="4" t="str">
        <f>VLOOKUP(H1930,Stock_list!A:Y,25,FALSE)</f>
        <v>Yes</v>
      </c>
      <c r="Q1930" s="143"/>
      <c r="T1930" s="144"/>
      <c r="U1930" s="145" t="str">
        <f>VLOOKUP(H1930,Stock_list!A:N,14,FALSE)</f>
        <v>APR 20</v>
      </c>
    </row>
    <row r="1931" spans="1:21" ht="16.5" customHeight="1">
      <c r="A1931" s="159" t="s">
        <v>2744</v>
      </c>
      <c r="B1931" s="114" t="str">
        <f>VLOOKUP(A1931,'Data pick slip'!B:F,5,FALSE)</f>
        <v>KHJ-MC100-00</v>
      </c>
      <c r="F1931" s="157" t="s">
        <v>2773</v>
      </c>
      <c r="H1931" s="138">
        <v>608</v>
      </c>
      <c r="I1931" s="139" t="str">
        <f>VLOOKUP(H1931,Stock_list!A:R,18,FALSE)</f>
        <v>柏星</v>
      </c>
      <c r="J1931" s="139" t="str">
        <f>VLOOKUP(H1931,Stock_list!A:S,17,FALSE)</f>
        <v>C49SZX20200039SX</v>
      </c>
      <c r="K1931" s="51" t="str">
        <f>VLOOKUP(H1931,Stock_list!A:T,16,FALSE)</f>
        <v>RMB</v>
      </c>
      <c r="L1931" s="4">
        <v>43934</v>
      </c>
      <c r="M1931" s="140">
        <v>25</v>
      </c>
      <c r="P1931" s="4" t="str">
        <f>VLOOKUP(H1931,Stock_list!A:Y,25,FALSE)</f>
        <v>Yes</v>
      </c>
      <c r="Q1931" s="143"/>
      <c r="T1931" s="144"/>
      <c r="U1931" s="145" t="str">
        <f>VLOOKUP(H1931,Stock_list!A:N,14,FALSE)</f>
        <v>APR 20</v>
      </c>
    </row>
    <row r="1932" spans="1:21" ht="16.5" customHeight="1">
      <c r="A1932" s="159" t="s">
        <v>2749</v>
      </c>
      <c r="B1932" s="114" t="str">
        <f>VLOOKUP(A1932,'Data pick slip'!B:F,5,FALSE)</f>
        <v>KHJ-MC500-00</v>
      </c>
      <c r="F1932" s="157" t="s">
        <v>2773</v>
      </c>
      <c r="I1932" s="139" t="s">
        <v>3106</v>
      </c>
      <c r="J1932" s="139" t="s">
        <v>3254</v>
      </c>
      <c r="K1932" s="51" t="s">
        <v>1246</v>
      </c>
      <c r="L1932" s="4">
        <v>43917</v>
      </c>
      <c r="M1932" s="140">
        <v>1</v>
      </c>
      <c r="P1932" s="4" t="s">
        <v>291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2748</v>
      </c>
      <c r="B1933" s="114" t="str">
        <f>VLOOKUP(A1933,'Data pick slip'!B:F,5,FALSE)</f>
        <v>KHJ-MC400-00</v>
      </c>
      <c r="F1933" s="157" t="s">
        <v>2773</v>
      </c>
      <c r="I1933" s="139" t="s">
        <v>3106</v>
      </c>
      <c r="J1933" s="139" t="s">
        <v>3254</v>
      </c>
      <c r="K1933" s="51" t="s">
        <v>1246</v>
      </c>
      <c r="L1933" s="4">
        <v>43917</v>
      </c>
      <c r="M1933" s="140">
        <v>1</v>
      </c>
      <c r="P1933" s="4" t="s">
        <v>291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2750</v>
      </c>
      <c r="B1934" s="114" t="str">
        <f>VLOOKUP(A1934,'Data pick slip'!B:F,5,FALSE)</f>
        <v>KHJ-MC600-00</v>
      </c>
      <c r="F1934" s="157" t="s">
        <v>2773</v>
      </c>
      <c r="I1934" s="139" t="s">
        <v>3106</v>
      </c>
      <c r="J1934" s="139" t="s">
        <v>3254</v>
      </c>
      <c r="K1934" s="51" t="s">
        <v>1246</v>
      </c>
      <c r="L1934" s="4">
        <v>43917</v>
      </c>
      <c r="M1934" s="140">
        <v>1</v>
      </c>
      <c r="P1934" s="4" t="s">
        <v>291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2747</v>
      </c>
      <c r="B1935" s="114" t="str">
        <f>VLOOKUP(A1935,'Data pick slip'!B:F,5,FALSE)</f>
        <v>KHJ-MC200-00</v>
      </c>
      <c r="F1935" s="157" t="s">
        <v>2773</v>
      </c>
      <c r="I1935" s="139" t="s">
        <v>3255</v>
      </c>
      <c r="J1935" s="139" t="s">
        <v>3256</v>
      </c>
      <c r="K1935" s="51" t="s">
        <v>1246</v>
      </c>
      <c r="L1935" s="4">
        <v>43920</v>
      </c>
      <c r="M1935" s="140">
        <v>3</v>
      </c>
      <c r="P1935" s="4" t="s">
        <v>291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2744</v>
      </c>
      <c r="B1936" s="114" t="str">
        <f>VLOOKUP(A1936,'Data pick slip'!B:F,5,FALSE)</f>
        <v>KHJ-MC100-00</v>
      </c>
      <c r="F1936" s="157" t="s">
        <v>2862</v>
      </c>
      <c r="H1936" s="138">
        <v>609</v>
      </c>
      <c r="I1936" s="139" t="str">
        <f>VLOOKUP(H1936,Stock_list!A:R,18,FALSE)</f>
        <v>创荣发</v>
      </c>
      <c r="J1936" s="139" t="str">
        <f>VLOOKUP(H1936,Stock_list!A:S,17,FALSE)</f>
        <v>C49SZX20200035JY</v>
      </c>
      <c r="K1936" s="51" t="str">
        <f>VLOOKUP(H1936,Stock_list!A:T,16,FALSE)</f>
        <v>JPY</v>
      </c>
      <c r="L1936" s="4">
        <v>43980</v>
      </c>
      <c r="M1936" s="132">
        <v>220</v>
      </c>
      <c r="P1936" s="4" t="str">
        <f>VLOOKUP(H1936,Stock_list!A:Y,25,FALSE)</f>
        <v>Yes</v>
      </c>
      <c r="Q1936" s="143"/>
      <c r="T1936" s="144"/>
      <c r="U1936" s="145" t="str">
        <f>VLOOKUP(H1936,Stock_list!A:N,14,FALSE)</f>
        <v>MAY 20</v>
      </c>
    </row>
    <row r="1937" spans="1:21" ht="16.5" customHeight="1">
      <c r="A1937" s="159" t="s">
        <v>2747</v>
      </c>
      <c r="B1937" s="114" t="str">
        <f>VLOOKUP(A1937,'Data pick slip'!B:F,5,FALSE)</f>
        <v>KHJ-MC200-00</v>
      </c>
      <c r="F1937" s="157" t="s">
        <v>2862</v>
      </c>
      <c r="H1937" s="138">
        <v>609</v>
      </c>
      <c r="I1937" s="139" t="str">
        <f>VLOOKUP(H1937,Stock_list!A:R,18,FALSE)</f>
        <v>创荣发</v>
      </c>
      <c r="J1937" s="139" t="str">
        <f>VLOOKUP(H1937,Stock_list!A:S,17,FALSE)</f>
        <v>C49SZX20200035JY</v>
      </c>
      <c r="K1937" s="51" t="str">
        <f>VLOOKUP(H1937,Stock_list!A:T,16,FALSE)</f>
        <v>JPY</v>
      </c>
      <c r="L1937" s="4">
        <v>43980</v>
      </c>
      <c r="M1937" s="132">
        <v>25</v>
      </c>
      <c r="P1937" s="4" t="str">
        <f>VLOOKUP(H1937,Stock_list!A:Y,25,FALSE)</f>
        <v>Yes</v>
      </c>
      <c r="Q1937" s="143"/>
      <c r="T1937" s="144"/>
      <c r="U1937" s="145" t="str">
        <f>VLOOKUP(H1937,Stock_list!A:N,14,FALSE)</f>
        <v>MAY 20</v>
      </c>
    </row>
    <row r="1938" spans="1:21" ht="16.5" customHeight="1">
      <c r="A1938" s="159" t="s">
        <v>2747</v>
      </c>
      <c r="B1938" s="114" t="str">
        <f>VLOOKUP(A1938,'Data pick slip'!B:F,5,FALSE)</f>
        <v>KHJ-MC200-00</v>
      </c>
      <c r="F1938" s="157" t="s">
        <v>2773</v>
      </c>
      <c r="H1938" s="138">
        <v>609</v>
      </c>
      <c r="I1938" s="139" t="str">
        <f>VLOOKUP(H1938,Stock_list!A:R,18,FALSE)</f>
        <v>创荣发</v>
      </c>
      <c r="J1938" s="139" t="str">
        <f>VLOOKUP(H1938,Stock_list!A:S,17,FALSE)</f>
        <v>C49SZX20200035JY</v>
      </c>
      <c r="K1938" s="51" t="str">
        <f>VLOOKUP(H1938,Stock_list!A:T,16,FALSE)</f>
        <v>JPY</v>
      </c>
      <c r="L1938" s="4">
        <v>43980</v>
      </c>
      <c r="M1938" s="132">
        <v>30</v>
      </c>
      <c r="P1938" s="4" t="str">
        <f>VLOOKUP(H1938,Stock_list!A:Y,25,FALSE)</f>
        <v>Yes</v>
      </c>
      <c r="Q1938" s="143"/>
      <c r="S1938" s="123" t="s">
        <v>3004</v>
      </c>
      <c r="T1938" s="144" t="s">
        <v>3257</v>
      </c>
      <c r="U1938" s="145" t="str">
        <f>VLOOKUP(H1938,Stock_list!A:N,14,FALSE)</f>
        <v>MAY 20</v>
      </c>
    </row>
    <row r="1939" spans="1:21" ht="16.5" customHeight="1">
      <c r="A1939" s="159" t="s">
        <v>2748</v>
      </c>
      <c r="B1939" s="114" t="str">
        <f>VLOOKUP(A1939,'Data pick slip'!B:F,5,FALSE)</f>
        <v>KHJ-MC400-00</v>
      </c>
      <c r="F1939" s="157" t="s">
        <v>2773</v>
      </c>
      <c r="H1939" s="138">
        <v>609</v>
      </c>
      <c r="I1939" s="139" t="str">
        <f>VLOOKUP(H1939,Stock_list!A:R,18,FALSE)</f>
        <v>创荣发</v>
      </c>
      <c r="J1939" s="139" t="str">
        <f>VLOOKUP(H1939,Stock_list!A:S,17,FALSE)</f>
        <v>C49SZX20200035JY</v>
      </c>
      <c r="K1939" s="51" t="str">
        <f>VLOOKUP(H1939,Stock_list!A:T,16,FALSE)</f>
        <v>JPY</v>
      </c>
      <c r="L1939" s="4">
        <v>43980</v>
      </c>
      <c r="M1939" s="132">
        <v>5</v>
      </c>
      <c r="P1939" s="4" t="str">
        <f>VLOOKUP(H1939,Stock_list!A:Y,25,FALSE)</f>
        <v>Yes</v>
      </c>
      <c r="Q1939" s="143"/>
      <c r="S1939" s="123" t="s">
        <v>3004</v>
      </c>
      <c r="T1939" s="144" t="s">
        <v>3257</v>
      </c>
      <c r="U1939" s="145" t="str">
        <f>VLOOKUP(H1939,Stock_list!A:N,14,FALSE)</f>
        <v>MAY 20</v>
      </c>
    </row>
    <row r="1940" spans="1:21" ht="16.5" customHeight="1">
      <c r="A1940" s="159" t="s">
        <v>2749</v>
      </c>
      <c r="B1940" s="114" t="str">
        <f>VLOOKUP(A1940,'Data pick slip'!B:F,5,FALSE)</f>
        <v>KHJ-MC500-00</v>
      </c>
      <c r="F1940" s="157" t="s">
        <v>2862</v>
      </c>
      <c r="H1940" s="138">
        <v>609</v>
      </c>
      <c r="I1940" s="139" t="str">
        <f>VLOOKUP(H1940,Stock_list!A:R,18,FALSE)</f>
        <v>创荣发</v>
      </c>
      <c r="J1940" s="139" t="str">
        <f>VLOOKUP(H1940,Stock_list!A:S,17,FALSE)</f>
        <v>C49SZX20200035JY</v>
      </c>
      <c r="K1940" s="51" t="str">
        <f>VLOOKUP(H1940,Stock_list!A:T,16,FALSE)</f>
        <v>JPY</v>
      </c>
      <c r="L1940" s="4">
        <v>43980</v>
      </c>
      <c r="M1940" s="132">
        <v>4</v>
      </c>
      <c r="P1940" s="4" t="str">
        <f>VLOOKUP(H1940,Stock_list!A:Y,25,FALSE)</f>
        <v>Yes</v>
      </c>
      <c r="Q1940" s="143"/>
      <c r="T1940" s="144"/>
      <c r="U1940" s="145" t="str">
        <f>VLOOKUP(H1940,Stock_list!A:N,14,FALSE)</f>
        <v>MAY 20</v>
      </c>
    </row>
    <row r="1941" spans="1:21" ht="16.5" customHeight="1">
      <c r="A1941" s="159" t="s">
        <v>2814</v>
      </c>
      <c r="B1941" s="114" t="str">
        <f>VLOOKUP(A1941,'Data pick slip'!B:F,5,FALSE)</f>
        <v>KHJ-MC600-00</v>
      </c>
      <c r="F1941" s="157" t="s">
        <v>2862</v>
      </c>
      <c r="H1941" s="138">
        <v>609</v>
      </c>
      <c r="I1941" s="139" t="str">
        <f>VLOOKUP(H1941,Stock_list!A:R,18,FALSE)</f>
        <v>创荣发</v>
      </c>
      <c r="J1941" s="139" t="str">
        <f>VLOOKUP(H1941,Stock_list!A:S,17,FALSE)</f>
        <v>C49SZX20200035JY</v>
      </c>
      <c r="K1941" s="51" t="str">
        <f>VLOOKUP(H1941,Stock_list!A:T,16,FALSE)</f>
        <v>JPY</v>
      </c>
      <c r="L1941" s="4">
        <v>43980</v>
      </c>
      <c r="M1941" s="132">
        <v>2</v>
      </c>
      <c r="P1941" s="4" t="str">
        <f>VLOOKUP(H1941,Stock_list!A:Y,25,FALSE)</f>
        <v>Yes</v>
      </c>
      <c r="Q1941" s="143"/>
      <c r="T1941" s="144"/>
      <c r="U1941" s="145" t="str">
        <f>VLOOKUP(H1941,Stock_list!A:N,14,FALSE)</f>
        <v>MAY 20</v>
      </c>
    </row>
    <row r="1942" spans="1:21" ht="16.5" customHeight="1">
      <c r="A1942" s="159" t="s">
        <v>2747</v>
      </c>
      <c r="B1942" s="114" t="str">
        <f>VLOOKUP(A1942,'Data pick slip'!B:F,5,FALSE)</f>
        <v>KHJ-MC200-00</v>
      </c>
      <c r="F1942" s="157" t="s">
        <v>2773</v>
      </c>
      <c r="I1942" s="139" t="s">
        <v>3140</v>
      </c>
      <c r="J1942" s="139" t="s">
        <v>3258</v>
      </c>
      <c r="K1942" s="51" t="s">
        <v>1246</v>
      </c>
      <c r="L1942" s="4">
        <v>43922</v>
      </c>
      <c r="M1942" s="140">
        <v>1</v>
      </c>
      <c r="P1942" s="4" t="s">
        <v>291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2750</v>
      </c>
      <c r="B1943" s="114" t="str">
        <f>VLOOKUP(A1943,'Data pick slip'!B:F,5,FALSE)</f>
        <v>KHJ-MC600-00</v>
      </c>
      <c r="F1943" s="157" t="s">
        <v>2773</v>
      </c>
      <c r="I1943" s="139" t="s">
        <v>3094</v>
      </c>
      <c r="J1943" s="139" t="s">
        <v>3259</v>
      </c>
      <c r="K1943" s="51" t="s">
        <v>1246</v>
      </c>
      <c r="L1943" s="4">
        <v>43922</v>
      </c>
      <c r="M1943" s="140">
        <v>1</v>
      </c>
      <c r="P1943" s="4" t="s">
        <v>291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2748</v>
      </c>
      <c r="B1944" s="114" t="str">
        <f>VLOOKUP(A1944,'Data pick slip'!B:F,5,FALSE)</f>
        <v>KHJ-MC400-00</v>
      </c>
      <c r="F1944" s="157" t="s">
        <v>2773</v>
      </c>
      <c r="I1944" s="139" t="s">
        <v>3100</v>
      </c>
      <c r="J1944" s="139" t="s">
        <v>3260</v>
      </c>
      <c r="K1944" s="51" t="s">
        <v>1246</v>
      </c>
      <c r="L1944" s="4">
        <v>43922</v>
      </c>
      <c r="M1944" s="140">
        <v>3</v>
      </c>
      <c r="P1944" s="4" t="s">
        <v>291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2747</v>
      </c>
      <c r="B1945" s="114" t="str">
        <f>VLOOKUP(A1945,'Data pick slip'!B:F,5,FALSE)</f>
        <v>KHJ-MC200-00</v>
      </c>
      <c r="F1945" s="157" t="s">
        <v>2773</v>
      </c>
      <c r="I1945" s="139" t="s">
        <v>3094</v>
      </c>
      <c r="J1945" s="139" t="s">
        <v>3261</v>
      </c>
      <c r="K1945" s="51" t="s">
        <v>1246</v>
      </c>
      <c r="L1945" s="4">
        <v>43923</v>
      </c>
      <c r="M1945" s="140">
        <v>5</v>
      </c>
      <c r="P1945" s="4" t="s">
        <v>291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2750</v>
      </c>
      <c r="B1946" s="114" t="str">
        <f>VLOOKUP(A1946,'Data pick slip'!B:F,5,FALSE)</f>
        <v>KHJ-MC600-00</v>
      </c>
      <c r="F1946" s="157" t="s">
        <v>2773</v>
      </c>
      <c r="I1946" s="139" t="s">
        <v>3094</v>
      </c>
      <c r="J1946" s="139" t="s">
        <v>3261</v>
      </c>
      <c r="K1946" s="51" t="s">
        <v>1246</v>
      </c>
      <c r="L1946" s="4">
        <v>43923</v>
      </c>
      <c r="M1946" s="140">
        <v>1</v>
      </c>
      <c r="P1946" s="4" t="s">
        <v>291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2744</v>
      </c>
      <c r="B1947" s="114" t="str">
        <f>VLOOKUP(A1947,'Data pick slip'!B:F,5,FALSE)</f>
        <v>KHJ-MC100-00</v>
      </c>
      <c r="F1947" s="157" t="s">
        <v>2773</v>
      </c>
      <c r="H1947" s="138">
        <v>613</v>
      </c>
      <c r="I1947" s="139" t="str">
        <f>VLOOKUP(H1947,Stock_list!A:R,18,FALSE)</f>
        <v>晟锦威</v>
      </c>
      <c r="J1947" s="139" t="str">
        <f>VLOOKUP(H1947,Stock_list!A:S,17,FALSE)</f>
        <v>C49SZX20200041JY</v>
      </c>
      <c r="K1947" s="51" t="str">
        <f>VLOOKUP(H1947,Stock_list!A:T,16,FALSE)</f>
        <v>RMB</v>
      </c>
      <c r="L1947" s="4">
        <v>43941</v>
      </c>
      <c r="M1947" s="132">
        <v>60</v>
      </c>
      <c r="P1947" s="4" t="str">
        <f>VLOOKUP(H1947,Stock_list!A:Y,25,FALSE)</f>
        <v>Yes</v>
      </c>
      <c r="Q1947" s="143"/>
      <c r="T1947" s="144"/>
      <c r="U1947" s="145" t="str">
        <f>VLOOKUP(H1947,Stock_list!A:N,14,FALSE)</f>
        <v>APR 20</v>
      </c>
    </row>
    <row r="1948" spans="1:21" ht="16.5" customHeight="1">
      <c r="A1948" s="159" t="s">
        <v>2747</v>
      </c>
      <c r="B1948" s="114" t="str">
        <f>VLOOKUP(A1948,'Data pick slip'!B:F,5,FALSE)</f>
        <v>KHJ-MC200-00</v>
      </c>
      <c r="F1948" s="157" t="s">
        <v>2773</v>
      </c>
      <c r="H1948" s="138">
        <v>613</v>
      </c>
      <c r="I1948" s="139" t="str">
        <f>VLOOKUP(H1948,Stock_list!A:R,18,FALSE)</f>
        <v>晟锦威</v>
      </c>
      <c r="J1948" s="139" t="str">
        <f>VLOOKUP(H1948,Stock_list!A:S,17,FALSE)</f>
        <v>C49SZX20200041JY</v>
      </c>
      <c r="K1948" s="51" t="str">
        <f>VLOOKUP(H1948,Stock_list!A:T,16,FALSE)</f>
        <v>RMB</v>
      </c>
      <c r="L1948" s="4">
        <v>43941</v>
      </c>
      <c r="M1948" s="132">
        <v>10</v>
      </c>
      <c r="P1948" s="4" t="str">
        <f>VLOOKUP(H1948,Stock_list!A:Y,25,FALSE)</f>
        <v>Yes</v>
      </c>
      <c r="Q1948" s="143"/>
      <c r="T1948" s="144"/>
      <c r="U1948" s="145" t="str">
        <f>VLOOKUP(H1948,Stock_list!A:N,14,FALSE)</f>
        <v>APR 20</v>
      </c>
    </row>
    <row r="1949" spans="1:21" ht="16.5" customHeight="1">
      <c r="A1949" s="159" t="s">
        <v>2748</v>
      </c>
      <c r="B1949" s="114" t="str">
        <f>VLOOKUP(A1949,'Data pick slip'!B:F,5,FALSE)</f>
        <v>KHJ-MC400-00</v>
      </c>
      <c r="F1949" s="157" t="s">
        <v>2773</v>
      </c>
      <c r="H1949" s="138">
        <v>613</v>
      </c>
      <c r="I1949" s="139" t="str">
        <f>VLOOKUP(H1949,Stock_list!A:R,18,FALSE)</f>
        <v>晟锦威</v>
      </c>
      <c r="J1949" s="139" t="str">
        <f>VLOOKUP(H1949,Stock_list!A:S,17,FALSE)</f>
        <v>C49SZX20200041JY</v>
      </c>
      <c r="K1949" s="51" t="str">
        <f>VLOOKUP(H1949,Stock_list!A:T,16,FALSE)</f>
        <v>RMB</v>
      </c>
      <c r="L1949" s="4">
        <v>43941</v>
      </c>
      <c r="M1949" s="132">
        <v>2</v>
      </c>
      <c r="P1949" s="4" t="str">
        <f>VLOOKUP(H1949,Stock_list!A:Y,25,FALSE)</f>
        <v>Yes</v>
      </c>
      <c r="Q1949" s="143"/>
      <c r="T1949" s="144"/>
      <c r="U1949" s="145" t="str">
        <f>VLOOKUP(H1949,Stock_list!A:N,14,FALSE)</f>
        <v>APR 20</v>
      </c>
    </row>
    <row r="1950" spans="1:21" ht="16.5" customHeight="1">
      <c r="A1950" s="159" t="s">
        <v>2744</v>
      </c>
      <c r="B1950" s="114" t="str">
        <f>VLOOKUP(A1950,'Data pick slip'!B:F,5,FALSE)</f>
        <v>KHJ-MC100-00</v>
      </c>
      <c r="F1950" s="157" t="s">
        <v>2862</v>
      </c>
      <c r="I1950" s="139" t="s">
        <v>3016</v>
      </c>
      <c r="J1950" s="139" t="s">
        <v>3262</v>
      </c>
      <c r="K1950" s="51" t="s">
        <v>1246</v>
      </c>
      <c r="L1950" s="4">
        <v>43930</v>
      </c>
      <c r="M1950" s="140">
        <v>65</v>
      </c>
      <c r="P1950" s="4" t="s">
        <v>291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2747</v>
      </c>
      <c r="B1951" s="114" t="str">
        <f>VLOOKUP(A1951,'Data pick slip'!B:F,5,FALSE)</f>
        <v>KHJ-MC200-00</v>
      </c>
      <c r="F1951" s="157" t="s">
        <v>2862</v>
      </c>
      <c r="I1951" s="139" t="s">
        <v>3016</v>
      </c>
      <c r="J1951" s="139" t="s">
        <v>3262</v>
      </c>
      <c r="K1951" s="51" t="s">
        <v>1246</v>
      </c>
      <c r="L1951" s="4">
        <v>43930</v>
      </c>
      <c r="M1951" s="140">
        <v>10</v>
      </c>
      <c r="P1951" s="4" t="s">
        <v>291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2748</v>
      </c>
      <c r="B1952" s="114" t="str">
        <f>VLOOKUP(A1952,'Data pick slip'!B:F,5,FALSE)</f>
        <v>KHJ-MC400-00</v>
      </c>
      <c r="F1952" s="157" t="s">
        <v>2862</v>
      </c>
      <c r="I1952" s="139" t="s">
        <v>3016</v>
      </c>
      <c r="J1952" s="139" t="s">
        <v>3262</v>
      </c>
      <c r="K1952" s="51" t="s">
        <v>1246</v>
      </c>
      <c r="L1952" s="4">
        <v>43930</v>
      </c>
      <c r="M1952" s="140">
        <v>6</v>
      </c>
      <c r="P1952" s="4" t="s">
        <v>291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2747</v>
      </c>
      <c r="B1953" s="114" t="str">
        <f>VLOOKUP(A1953,'Data pick slip'!B:F,5,FALSE)</f>
        <v>KHJ-MC200-00</v>
      </c>
      <c r="F1953" s="157" t="s">
        <v>2773</v>
      </c>
      <c r="I1953" s="139" t="s">
        <v>3106</v>
      </c>
      <c r="J1953" s="139" t="s">
        <v>3263</v>
      </c>
      <c r="K1953" s="51" t="s">
        <v>1246</v>
      </c>
      <c r="L1953" s="4">
        <v>43935</v>
      </c>
      <c r="M1953" s="140">
        <v>3</v>
      </c>
      <c r="P1953" s="4" t="s">
        <v>291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2747</v>
      </c>
      <c r="B1954" s="114" t="str">
        <f>VLOOKUP(A1954,'Data pick slip'!B:F,5,FALSE)</f>
        <v>KHJ-MC200-00</v>
      </c>
      <c r="F1954" s="157" t="s">
        <v>2773</v>
      </c>
      <c r="I1954" s="139" t="s">
        <v>3094</v>
      </c>
      <c r="J1954" s="139" t="s">
        <v>3264</v>
      </c>
      <c r="K1954" s="51" t="s">
        <v>1246</v>
      </c>
      <c r="L1954" s="4">
        <v>43935</v>
      </c>
      <c r="M1954" s="140">
        <v>5</v>
      </c>
      <c r="P1954" s="4" t="s">
        <v>291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2749</v>
      </c>
      <c r="B1955" s="114" t="str">
        <f>VLOOKUP(A1955,'Data pick slip'!B:F,5,FALSE)</f>
        <v>KHJ-MC500-00</v>
      </c>
      <c r="F1955" s="157" t="s">
        <v>2773</v>
      </c>
      <c r="I1955" s="139" t="s">
        <v>3094</v>
      </c>
      <c r="J1955" s="139" t="s">
        <v>3239</v>
      </c>
      <c r="K1955" s="51" t="s">
        <v>1246</v>
      </c>
      <c r="L1955" s="4">
        <v>43937</v>
      </c>
      <c r="O1955" s="132">
        <f>1-1</f>
        <v>0</v>
      </c>
      <c r="P1955" s="4" t="s">
        <v>291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2747</v>
      </c>
      <c r="B1956" s="114" t="str">
        <f>VLOOKUP(A1956,'Data pick slip'!B:F,5,FALSE)</f>
        <v>KHJ-MC200-00</v>
      </c>
      <c r="F1956" s="157" t="s">
        <v>2773</v>
      </c>
      <c r="I1956" s="139" t="s">
        <v>3100</v>
      </c>
      <c r="J1956" s="139" t="s">
        <v>3265</v>
      </c>
      <c r="K1956" s="51" t="s">
        <v>1246</v>
      </c>
      <c r="L1956" s="4">
        <v>43942</v>
      </c>
      <c r="M1956" s="132">
        <v>20</v>
      </c>
      <c r="P1956" s="4" t="s">
        <v>291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2748</v>
      </c>
      <c r="B1957" s="114" t="str">
        <f>VLOOKUP(A1957,'Data pick slip'!B:F,5,FALSE)</f>
        <v>KHJ-MC400-00</v>
      </c>
      <c r="F1957" s="157" t="s">
        <v>2773</v>
      </c>
      <c r="I1957" s="139" t="s">
        <v>3100</v>
      </c>
      <c r="J1957" s="139" t="s">
        <v>3266</v>
      </c>
      <c r="K1957" s="51" t="s">
        <v>1246</v>
      </c>
      <c r="L1957" s="4">
        <v>43942</v>
      </c>
      <c r="M1957" s="132">
        <v>4</v>
      </c>
      <c r="P1957" s="4" t="s">
        <v>291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2749</v>
      </c>
      <c r="B1958" s="114" t="str">
        <f>VLOOKUP(A1958,'Data pick slip'!B:F,5,FALSE)</f>
        <v>KHJ-MC500-00</v>
      </c>
      <c r="F1958" s="157" t="s">
        <v>2773</v>
      </c>
      <c r="I1958" s="139" t="s">
        <v>3100</v>
      </c>
      <c r="J1958" s="139" t="s">
        <v>3266</v>
      </c>
      <c r="K1958" s="51" t="s">
        <v>1246</v>
      </c>
      <c r="L1958" s="4">
        <v>43942</v>
      </c>
      <c r="M1958" s="132">
        <v>5</v>
      </c>
      <c r="P1958" s="4" t="s">
        <v>291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2750</v>
      </c>
      <c r="B1959" s="114" t="str">
        <f>VLOOKUP(A1959,'Data pick slip'!B:F,5,FALSE)</f>
        <v>KHJ-MC600-00</v>
      </c>
      <c r="F1959" s="157" t="s">
        <v>2773</v>
      </c>
      <c r="I1959" s="139" t="s">
        <v>3100</v>
      </c>
      <c r="J1959" s="139" t="s">
        <v>3266</v>
      </c>
      <c r="K1959" s="51" t="s">
        <v>1246</v>
      </c>
      <c r="L1959" s="4">
        <v>43942</v>
      </c>
      <c r="M1959" s="132">
        <v>4</v>
      </c>
      <c r="P1959" s="4" t="s">
        <v>291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2747</v>
      </c>
      <c r="B1960" s="114" t="str">
        <f>VLOOKUP(A1960,'Data pick slip'!B:F,5,FALSE)</f>
        <v>KHJ-MC200-00</v>
      </c>
      <c r="F1960" s="157" t="s">
        <v>2773</v>
      </c>
      <c r="I1960" s="139" t="s">
        <v>3094</v>
      </c>
      <c r="J1960" s="139" t="s">
        <v>3267</v>
      </c>
      <c r="K1960" s="51" t="s">
        <v>1246</v>
      </c>
      <c r="L1960" s="4">
        <v>43938</v>
      </c>
      <c r="M1960" s="140">
        <v>1</v>
      </c>
      <c r="P1960" s="4" t="s">
        <v>291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2744</v>
      </c>
      <c r="B1961" s="114" t="str">
        <f>VLOOKUP(A1961,'Data pick slip'!B:F,5,FALSE)</f>
        <v>KHJ-MC100-00</v>
      </c>
      <c r="F1961" s="157" t="s">
        <v>2773</v>
      </c>
      <c r="H1961" s="138">
        <v>619</v>
      </c>
      <c r="I1961" s="139" t="str">
        <f>VLOOKUP(H1961,Stock_list!A:R,18,FALSE)</f>
        <v>智序</v>
      </c>
      <c r="J1961" s="139" t="str">
        <f>VLOOKUP(H1961,Stock_list!A:S,17,FALSE)</f>
        <v>C49SZX20200049MX</v>
      </c>
      <c r="K1961" s="51" t="str">
        <f>VLOOKUP(H1961,Stock_list!A:T,16,FALSE)</f>
        <v>RMB</v>
      </c>
      <c r="L1961" s="4">
        <v>43971</v>
      </c>
      <c r="M1961" s="132">
        <v>40</v>
      </c>
      <c r="P1961" s="4" t="str">
        <f>VLOOKUP(H1961,Stock_list!A:Y,25,FALSE)</f>
        <v>Yes</v>
      </c>
      <c r="Q1961" s="143"/>
      <c r="T1961" s="144"/>
      <c r="U1961" s="145" t="str">
        <f>VLOOKUP(H1961,Stock_list!A:N,14,FALSE)</f>
        <v>MAY 20</v>
      </c>
    </row>
    <row r="1962" spans="1:21" ht="16.5" customHeight="1">
      <c r="A1962" s="159" t="s">
        <v>2756</v>
      </c>
      <c r="B1962" s="114" t="str">
        <f>VLOOKUP(A1962,'Data pick slip'!B:F,5,FALSE)</f>
        <v>KLJ-MC200-00</v>
      </c>
      <c r="F1962" s="157" t="s">
        <v>2773</v>
      </c>
      <c r="H1962" s="138">
        <v>619</v>
      </c>
      <c r="I1962" s="139" t="str">
        <f>VLOOKUP(H1962,Stock_list!A:R,18,FALSE)</f>
        <v>智序</v>
      </c>
      <c r="J1962" s="139" t="str">
        <f>VLOOKUP(H1962,Stock_list!A:S,17,FALSE)</f>
        <v>C49SZX20200049MX</v>
      </c>
      <c r="K1962" s="51" t="str">
        <f>VLOOKUP(H1962,Stock_list!A:T,16,FALSE)</f>
        <v>RMB</v>
      </c>
      <c r="L1962" s="4">
        <v>43971</v>
      </c>
      <c r="M1962" s="132">
        <v>4</v>
      </c>
      <c r="P1962" s="4" t="str">
        <f>VLOOKUP(H1962,Stock_list!A:Y,25,FALSE)</f>
        <v>Yes</v>
      </c>
      <c r="T1962" s="144"/>
      <c r="U1962" s="145" t="str">
        <f>VLOOKUP(H1962,Stock_list!A:N,14,FALSE)</f>
        <v>MAY 20</v>
      </c>
    </row>
    <row r="1963" spans="1:21" ht="16.5" customHeight="1">
      <c r="A1963" s="159" t="s">
        <v>2744</v>
      </c>
      <c r="B1963" s="114" t="str">
        <f>VLOOKUP(A1963,'Data pick slip'!B:F,5,FALSE)</f>
        <v>KHJ-MC100-00</v>
      </c>
      <c r="F1963" s="157" t="s">
        <v>2773</v>
      </c>
      <c r="H1963" s="138">
        <v>623</v>
      </c>
      <c r="I1963" s="139" t="str">
        <f>VLOOKUP(H1963,Stock_list!A:R,18,FALSE)</f>
        <v>铭翔</v>
      </c>
      <c r="J1963" s="139" t="str">
        <f>VLOOKUP(H1963,Stock_list!A:S,17,FALSE)</f>
        <v>C49SZX20200042JL</v>
      </c>
      <c r="K1963" s="51" t="str">
        <f>VLOOKUP(H1963,Stock_list!A:T,16,FALSE)</f>
        <v>RMB</v>
      </c>
      <c r="L1963" s="4">
        <v>43942</v>
      </c>
      <c r="M1963" s="132">
        <v>3</v>
      </c>
      <c r="P1963" s="4" t="str">
        <f>VLOOKUP(H1963,Stock_list!A:Y,25,FALSE)</f>
        <v>Yes</v>
      </c>
      <c r="Q1963" s="143"/>
      <c r="T1963" s="144"/>
      <c r="U1963" s="145" t="str">
        <f>VLOOKUP(H1963,Stock_list!A:N,14,FALSE)</f>
        <v>APR 20</v>
      </c>
    </row>
    <row r="1964" spans="1:21" ht="16.5" customHeight="1">
      <c r="A1964" s="159" t="s">
        <v>2744</v>
      </c>
      <c r="B1964" s="114" t="str">
        <f>VLOOKUP(A1964,'Data pick slip'!B:F,5,FALSE)</f>
        <v>KHJ-MC100-00</v>
      </c>
      <c r="F1964" s="157" t="s">
        <v>2773</v>
      </c>
      <c r="H1964" s="138">
        <v>624</v>
      </c>
      <c r="I1964" s="139" t="str">
        <f>VLOOKUP(H1964,Stock_list!A:R,18,FALSE)</f>
        <v>海星</v>
      </c>
      <c r="J1964" s="139" t="str">
        <f>VLOOKUP(H1964,Stock_list!A:S,17,FALSE)</f>
        <v>C49SZX20200048DZ</v>
      </c>
      <c r="K1964" s="51" t="str">
        <f>VLOOKUP(H1964,Stock_list!A:T,16,FALSE)</f>
        <v>RMB</v>
      </c>
      <c r="L1964" s="4">
        <v>43994</v>
      </c>
      <c r="M1964" s="132">
        <v>40</v>
      </c>
      <c r="P1964" s="4" t="str">
        <f>VLOOKUP(H1964,Stock_list!A:Y,25,FALSE)</f>
        <v>Yes</v>
      </c>
      <c r="Q1964" s="143"/>
      <c r="T1964" s="144"/>
      <c r="U1964" s="145" t="str">
        <f>VLOOKUP(H1964,Stock_list!A:N,14,FALSE)</f>
        <v>JUN 20</v>
      </c>
    </row>
    <row r="1965" spans="1:21" ht="16.5" customHeight="1">
      <c r="A1965" s="159" t="s">
        <v>2747</v>
      </c>
      <c r="B1965" s="114" t="str">
        <f>VLOOKUP(A1965,'Data pick slip'!B:F,5,FALSE)</f>
        <v>KHJ-MC200-00</v>
      </c>
      <c r="F1965" s="157" t="s">
        <v>2773</v>
      </c>
      <c r="H1965" s="138">
        <v>624</v>
      </c>
      <c r="I1965" s="139" t="str">
        <f>VLOOKUP(H1965,Stock_list!A:R,18,FALSE)</f>
        <v>海星</v>
      </c>
      <c r="J1965" s="139" t="str">
        <f>VLOOKUP(H1965,Stock_list!A:S,17,FALSE)</f>
        <v>C49SZX20200048DZ</v>
      </c>
      <c r="K1965" s="51" t="str">
        <f>VLOOKUP(H1965,Stock_list!A:T,16,FALSE)</f>
        <v>RMB</v>
      </c>
      <c r="L1965" s="4">
        <v>43994</v>
      </c>
      <c r="M1965" s="132">
        <v>24</v>
      </c>
      <c r="P1965" s="4" t="str">
        <f>VLOOKUP(H1965,Stock_list!A:Y,25,FALSE)</f>
        <v>Yes</v>
      </c>
      <c r="Q1965" s="143"/>
      <c r="T1965" s="144"/>
      <c r="U1965" s="145" t="str">
        <f>VLOOKUP(H1965,Stock_list!A:N,14,FALSE)</f>
        <v>JUN 20</v>
      </c>
    </row>
    <row r="1966" spans="1:21" ht="16.5" customHeight="1">
      <c r="A1966" s="159" t="s">
        <v>2748</v>
      </c>
      <c r="B1966" s="114" t="str">
        <f>VLOOKUP(A1966,'Data pick slip'!B:F,5,FALSE)</f>
        <v>KHJ-MC400-00</v>
      </c>
      <c r="F1966" s="157" t="s">
        <v>2773</v>
      </c>
      <c r="H1966" s="138">
        <v>624</v>
      </c>
      <c r="I1966" s="139" t="str">
        <f>VLOOKUP(H1966,Stock_list!A:R,18,FALSE)</f>
        <v>海星</v>
      </c>
      <c r="J1966" s="139" t="str">
        <f>VLOOKUP(H1966,Stock_list!A:S,17,FALSE)</f>
        <v>C49SZX20200048DZ</v>
      </c>
      <c r="K1966" s="51" t="str">
        <f>VLOOKUP(H1966,Stock_list!A:T,16,FALSE)</f>
        <v>RMB</v>
      </c>
      <c r="L1966" s="4">
        <v>43994</v>
      </c>
      <c r="M1966" s="132">
        <v>10</v>
      </c>
      <c r="P1966" s="4" t="str">
        <f>VLOOKUP(H1966,Stock_list!A:Y,25,FALSE)</f>
        <v>Yes</v>
      </c>
      <c r="Q1966" s="143"/>
      <c r="T1966" s="144"/>
      <c r="U1966" s="145" t="str">
        <f>VLOOKUP(H1966,Stock_list!A:N,14,FALSE)</f>
        <v>JUN 20</v>
      </c>
    </row>
    <row r="1967" spans="1:21" ht="16.5" customHeight="1">
      <c r="A1967" s="159" t="s">
        <v>2749</v>
      </c>
      <c r="B1967" s="114" t="str">
        <f>VLOOKUP(A1967,'Data pick slip'!B:F,5,FALSE)</f>
        <v>KHJ-MC500-00</v>
      </c>
      <c r="F1967" s="157" t="s">
        <v>2773</v>
      </c>
      <c r="H1967" s="138">
        <v>624</v>
      </c>
      <c r="I1967" s="139" t="str">
        <f>VLOOKUP(H1967,Stock_list!A:R,18,FALSE)</f>
        <v>海星</v>
      </c>
      <c r="J1967" s="139" t="str">
        <f>VLOOKUP(H1967,Stock_list!A:S,17,FALSE)</f>
        <v>C49SZX20200048DZ</v>
      </c>
      <c r="K1967" s="51" t="str">
        <f>VLOOKUP(H1967,Stock_list!A:T,16,FALSE)</f>
        <v>RMB</v>
      </c>
      <c r="L1967" s="4">
        <v>43994</v>
      </c>
      <c r="M1967" s="132">
        <v>2</v>
      </c>
      <c r="P1967" s="4" t="str">
        <f>VLOOKUP(H1967,Stock_list!A:Y,25,FALSE)</f>
        <v>Yes</v>
      </c>
      <c r="Q1967" s="143"/>
      <c r="T1967" s="144"/>
      <c r="U1967" s="145" t="str">
        <f>VLOOKUP(H1967,Stock_list!A:N,14,FALSE)</f>
        <v>JUN 20</v>
      </c>
    </row>
    <row r="1968" spans="1:21" ht="16.5" customHeight="1">
      <c r="A1968" s="159" t="s">
        <v>2750</v>
      </c>
      <c r="B1968" s="114" t="str">
        <f>VLOOKUP(A1968,'Data pick slip'!B:F,5,FALSE)</f>
        <v>KHJ-MC600-00</v>
      </c>
      <c r="F1968" s="157" t="s">
        <v>2773</v>
      </c>
      <c r="H1968" s="138">
        <v>624</v>
      </c>
      <c r="I1968" s="139" t="str">
        <f>VLOOKUP(H1968,Stock_list!A:R,18,FALSE)</f>
        <v>海星</v>
      </c>
      <c r="J1968" s="139" t="str">
        <f>VLOOKUP(H1968,Stock_list!A:S,17,FALSE)</f>
        <v>C49SZX20200048DZ</v>
      </c>
      <c r="K1968" s="51" t="str">
        <f>VLOOKUP(H1968,Stock_list!A:T,16,FALSE)</f>
        <v>RMB</v>
      </c>
      <c r="L1968" s="4">
        <v>43994</v>
      </c>
      <c r="M1968" s="132">
        <v>2</v>
      </c>
      <c r="P1968" s="4" t="str">
        <f>VLOOKUP(H1968,Stock_list!A:Y,25,FALSE)</f>
        <v>Yes</v>
      </c>
      <c r="Q1968" s="143"/>
      <c r="T1968" s="144"/>
      <c r="U1968" s="145" t="str">
        <f>VLOOKUP(H1968,Stock_list!A:N,14,FALSE)</f>
        <v>JUN 20</v>
      </c>
    </row>
    <row r="1969" spans="1:21" ht="16.5" customHeight="1">
      <c r="A1969" s="159" t="s">
        <v>2744</v>
      </c>
      <c r="B1969" s="114" t="str">
        <f>VLOOKUP(A1969,'Data pick slip'!B:F,5,FALSE)</f>
        <v>KHJ-MC100-00</v>
      </c>
      <c r="F1969" s="157" t="s">
        <v>2773</v>
      </c>
      <c r="H1969" s="138">
        <v>627</v>
      </c>
      <c r="I1969" s="139" t="str">
        <f>VLOOKUP(H1969,Stock_list!A:R,18,FALSE)</f>
        <v>中科阿尔法</v>
      </c>
      <c r="J1969" s="139" t="str">
        <f>VLOOKUP(H1969,Stock_list!A:S,17,FALSE)</f>
        <v>C49SZX20200051SX</v>
      </c>
      <c r="K1969" s="51" t="str">
        <f>VLOOKUP(H1969,Stock_list!A:T,16,FALSE)</f>
        <v>RMB</v>
      </c>
      <c r="L1969" s="4">
        <v>43962</v>
      </c>
      <c r="M1969" s="132">
        <v>45</v>
      </c>
      <c r="P1969" s="4" t="str">
        <f>VLOOKUP(H1969,Stock_list!A:Y,25,FALSE)</f>
        <v>Yes</v>
      </c>
      <c r="Q1969" s="143"/>
      <c r="T1969" s="144"/>
      <c r="U1969" s="145" t="str">
        <f>VLOOKUP(H1969,Stock_list!A:N,14,FALSE)</f>
        <v>MAY 20</v>
      </c>
    </row>
    <row r="1970" spans="1:21" ht="16.5" customHeight="1">
      <c r="A1970" s="159" t="s">
        <v>2756</v>
      </c>
      <c r="B1970" s="114" t="str">
        <f>VLOOKUP(A1970,'Data pick slip'!B:F,5,FALSE)</f>
        <v>KLJ-MC200-00</v>
      </c>
      <c r="F1970" s="157" t="s">
        <v>2773</v>
      </c>
      <c r="H1970" s="138">
        <v>627</v>
      </c>
      <c r="I1970" s="139" t="str">
        <f>VLOOKUP(H1970,Stock_list!A:R,18,FALSE)</f>
        <v>中科阿尔法</v>
      </c>
      <c r="J1970" s="139" t="str">
        <f>VLOOKUP(H1970,Stock_list!A:S,17,FALSE)</f>
        <v>C49SZX20200051SX</v>
      </c>
      <c r="K1970" s="51" t="str">
        <f>VLOOKUP(H1970,Stock_list!A:T,16,FALSE)</f>
        <v>RMB</v>
      </c>
      <c r="L1970" s="4">
        <v>43962</v>
      </c>
      <c r="M1970" s="132">
        <v>18</v>
      </c>
      <c r="P1970" s="4" t="str">
        <f>VLOOKUP(H1970,Stock_list!A:Y,25,FALSE)</f>
        <v>Yes</v>
      </c>
      <c r="T1970" s="144"/>
      <c r="U1970" s="145" t="str">
        <f>VLOOKUP(H1970,Stock_list!A:N,14,FALSE)</f>
        <v>MAY 20</v>
      </c>
    </row>
    <row r="1971" spans="1:21" ht="16.5" customHeight="1">
      <c r="A1971" s="159" t="s">
        <v>2757</v>
      </c>
      <c r="B1971" s="114" t="str">
        <f>VLOOKUP(A1971,'Data pick slip'!B:F,5,FALSE)</f>
        <v>KLJ-MC400-00</v>
      </c>
      <c r="F1971" s="157" t="s">
        <v>2773</v>
      </c>
      <c r="H1971" s="138">
        <v>627</v>
      </c>
      <c r="I1971" s="139" t="str">
        <f>VLOOKUP(H1971,Stock_list!A:R,18,FALSE)</f>
        <v>中科阿尔法</v>
      </c>
      <c r="J1971" s="139" t="str">
        <f>VLOOKUP(H1971,Stock_list!A:S,17,FALSE)</f>
        <v>C49SZX20200051SX</v>
      </c>
      <c r="K1971" s="51" t="str">
        <f>VLOOKUP(H1971,Stock_list!A:T,16,FALSE)</f>
        <v>RMB</v>
      </c>
      <c r="L1971" s="4">
        <v>43962</v>
      </c>
      <c r="M1971" s="132">
        <v>8</v>
      </c>
      <c r="P1971" s="4" t="str">
        <f>VLOOKUP(H1971,Stock_list!A:Y,25,FALSE)</f>
        <v>Yes</v>
      </c>
      <c r="Q1971" s="143"/>
      <c r="T1971" s="144"/>
      <c r="U1971" s="145" t="str">
        <f>VLOOKUP(H1971,Stock_list!A:N,14,FALSE)</f>
        <v>MAY 20</v>
      </c>
    </row>
    <row r="1972" spans="1:21" ht="16.5" customHeight="1">
      <c r="A1972" s="159" t="s">
        <v>2749</v>
      </c>
      <c r="B1972" s="114" t="str">
        <f>VLOOKUP(A1972,'Data pick slip'!B:F,5,FALSE)</f>
        <v>KHJ-MC500-00</v>
      </c>
      <c r="F1972" s="157" t="s">
        <v>2773</v>
      </c>
      <c r="H1972" s="138">
        <v>627</v>
      </c>
      <c r="I1972" s="139" t="str">
        <f>VLOOKUP(H1972,Stock_list!A:R,18,FALSE)</f>
        <v>中科阿尔法</v>
      </c>
      <c r="J1972" s="139" t="str">
        <f>VLOOKUP(H1972,Stock_list!A:S,17,FALSE)</f>
        <v>C49SZX20200051SX</v>
      </c>
      <c r="K1972" s="51" t="str">
        <f>VLOOKUP(H1972,Stock_list!A:T,16,FALSE)</f>
        <v>RMB</v>
      </c>
      <c r="L1972" s="4">
        <v>43962</v>
      </c>
      <c r="M1972" s="132">
        <v>3</v>
      </c>
      <c r="P1972" s="4" t="str">
        <f>VLOOKUP(H1972,Stock_list!A:Y,25,FALSE)</f>
        <v>Yes</v>
      </c>
      <c r="Q1972" s="143"/>
      <c r="T1972" s="144"/>
      <c r="U1972" s="145" t="str">
        <f>VLOOKUP(H1972,Stock_list!A:N,14,FALSE)</f>
        <v>MAY 20</v>
      </c>
    </row>
    <row r="1973" spans="1:21" ht="16.5" customHeight="1">
      <c r="A1973" s="159" t="s">
        <v>2750</v>
      </c>
      <c r="B1973" s="114" t="str">
        <f>VLOOKUP(A1973,'Data pick slip'!B:F,5,FALSE)</f>
        <v>KHJ-MC600-00</v>
      </c>
      <c r="F1973" s="157" t="s">
        <v>2773</v>
      </c>
      <c r="H1973" s="138">
        <v>627</v>
      </c>
      <c r="I1973" s="139" t="str">
        <f>VLOOKUP(H1973,Stock_list!A:R,18,FALSE)</f>
        <v>中科阿尔法</v>
      </c>
      <c r="J1973" s="139" t="str">
        <f>VLOOKUP(H1973,Stock_list!A:S,17,FALSE)</f>
        <v>C49SZX20200051SX</v>
      </c>
      <c r="K1973" s="51" t="str">
        <f>VLOOKUP(H1973,Stock_list!A:T,16,FALSE)</f>
        <v>RMB</v>
      </c>
      <c r="L1973" s="4">
        <v>43962</v>
      </c>
      <c r="M1973" s="132">
        <v>2</v>
      </c>
      <c r="P1973" s="4" t="str">
        <f>VLOOKUP(H1973,Stock_list!A:Y,25,FALSE)</f>
        <v>Yes</v>
      </c>
      <c r="Q1973" s="143"/>
      <c r="T1973" s="144"/>
      <c r="U1973" s="145" t="str">
        <f>VLOOKUP(H1973,Stock_list!A:N,14,FALSE)</f>
        <v>MAY 20</v>
      </c>
    </row>
    <row r="1974" spans="1:21" ht="16.5" customHeight="1">
      <c r="A1974" s="159" t="s">
        <v>2744</v>
      </c>
      <c r="B1974" s="114" t="str">
        <f>VLOOKUP(A1974,'Data pick slip'!B:F,5,FALSE)</f>
        <v>KHJ-MC100-00</v>
      </c>
      <c r="C1974" s="132"/>
      <c r="F1974" s="157" t="s">
        <v>2773</v>
      </c>
      <c r="H1974" s="138">
        <v>632</v>
      </c>
      <c r="I1974" s="139" t="str">
        <f>VLOOKUP(H1974,Stock_list!A:R,18,FALSE)</f>
        <v>永顺创</v>
      </c>
      <c r="J1974" s="139" t="str">
        <f>VLOOKUP(H1974,Stock_list!A:S,17,FALSE)</f>
        <v>C49SZX20200055SX</v>
      </c>
      <c r="K1974" s="51" t="str">
        <f>VLOOKUP(H1974,Stock_list!A:T,16,FALSE)</f>
        <v>RMB</v>
      </c>
      <c r="L1974" s="4">
        <v>43957</v>
      </c>
      <c r="M1974" s="140">
        <v>20</v>
      </c>
      <c r="P1974" s="4" t="str">
        <f>VLOOKUP(H1974,Stock_list!A:Y,25,FALSE)</f>
        <v>Yes</v>
      </c>
      <c r="Q1974" s="143"/>
      <c r="T1974" s="144"/>
      <c r="U1974" s="145" t="str">
        <f>VLOOKUP(H1974,Stock_list!A:N,14,FALSE)</f>
        <v>MAY 20</v>
      </c>
    </row>
    <row r="1975" spans="1:21" ht="16.5" customHeight="1">
      <c r="A1975" s="159" t="s">
        <v>2756</v>
      </c>
      <c r="B1975" s="114" t="str">
        <f>VLOOKUP(A1975,'Data pick slip'!B:F,5,FALSE)</f>
        <v>KLJ-MC200-00</v>
      </c>
      <c r="C1975" s="132"/>
      <c r="F1975" s="157" t="s">
        <v>2773</v>
      </c>
      <c r="H1975" s="138">
        <v>632</v>
      </c>
      <c r="I1975" s="139" t="str">
        <f>VLOOKUP(H1975,Stock_list!A:R,18,FALSE)</f>
        <v>永顺创</v>
      </c>
      <c r="J1975" s="139" t="str">
        <f>VLOOKUP(H1975,Stock_list!A:S,17,FALSE)</f>
        <v>C49SZX20200055SX</v>
      </c>
      <c r="K1975" s="51" t="str">
        <f>VLOOKUP(H1975,Stock_list!A:T,16,FALSE)</f>
        <v>RMB</v>
      </c>
      <c r="L1975" s="4">
        <v>43957</v>
      </c>
      <c r="M1975" s="140">
        <v>15</v>
      </c>
      <c r="P1975" s="4" t="str">
        <f>VLOOKUP(H1975,Stock_list!A:Y,25,FALSE)</f>
        <v>Yes</v>
      </c>
      <c r="T1975" s="144"/>
      <c r="U1975" s="145" t="str">
        <f>VLOOKUP(H1975,Stock_list!A:N,14,FALSE)</f>
        <v>MAY 20</v>
      </c>
    </row>
    <row r="1976" spans="1:21" ht="16.5" customHeight="1">
      <c r="A1976" s="159" t="s">
        <v>2757</v>
      </c>
      <c r="B1976" s="114" t="str">
        <f>VLOOKUP(A1976,'Data pick slip'!B:F,5,FALSE)</f>
        <v>KLJ-MC400-00</v>
      </c>
      <c r="C1976" s="132"/>
      <c r="F1976" s="157" t="s">
        <v>2773</v>
      </c>
      <c r="H1976" s="138">
        <v>632</v>
      </c>
      <c r="I1976" s="139" t="str">
        <f>VLOOKUP(H1976,Stock_list!A:R,18,FALSE)</f>
        <v>永顺创</v>
      </c>
      <c r="J1976" s="139" t="str">
        <f>VLOOKUP(H1976,Stock_list!A:S,17,FALSE)</f>
        <v>C49SZX20200055SX</v>
      </c>
      <c r="K1976" s="51" t="str">
        <f>VLOOKUP(H1976,Stock_list!A:T,16,FALSE)</f>
        <v>RMB</v>
      </c>
      <c r="L1976" s="4">
        <v>43957</v>
      </c>
      <c r="M1976" s="140">
        <v>2</v>
      </c>
      <c r="P1976" s="4" t="str">
        <f>VLOOKUP(H1976,Stock_list!A:Y,25,FALSE)</f>
        <v>Yes</v>
      </c>
      <c r="Q1976" s="143"/>
      <c r="T1976" s="144"/>
      <c r="U1976" s="145" t="str">
        <f>VLOOKUP(H1976,Stock_list!A:N,14,FALSE)</f>
        <v>MAY 20</v>
      </c>
    </row>
    <row r="1977" spans="1:21" ht="16.5" customHeight="1">
      <c r="A1977" s="159" t="s">
        <v>2749</v>
      </c>
      <c r="B1977" s="114" t="str">
        <f>VLOOKUP(A1977,'Data pick slip'!B:F,5,FALSE)</f>
        <v>KHJ-MC500-00</v>
      </c>
      <c r="C1977" s="132"/>
      <c r="F1977" s="157" t="s">
        <v>2773</v>
      </c>
      <c r="H1977" s="138">
        <v>632</v>
      </c>
      <c r="I1977" s="139" t="str">
        <f>VLOOKUP(H1977,Stock_list!A:R,18,FALSE)</f>
        <v>永顺创</v>
      </c>
      <c r="J1977" s="139" t="str">
        <f>VLOOKUP(H1977,Stock_list!A:S,17,FALSE)</f>
        <v>C49SZX20200055SX</v>
      </c>
      <c r="K1977" s="51" t="str">
        <f>VLOOKUP(H1977,Stock_list!A:T,16,FALSE)</f>
        <v>RMB</v>
      </c>
      <c r="L1977" s="4">
        <v>43957</v>
      </c>
      <c r="M1977" s="140">
        <v>1</v>
      </c>
      <c r="P1977" s="4" t="str">
        <f>VLOOKUP(H1977,Stock_list!A:Y,25,FALSE)</f>
        <v>Yes</v>
      </c>
      <c r="Q1977" s="143"/>
      <c r="T1977" s="144"/>
      <c r="U1977" s="145" t="str">
        <f>VLOOKUP(H1977,Stock_list!A:N,14,FALSE)</f>
        <v>MAY 20</v>
      </c>
    </row>
    <row r="1978" spans="1:21" ht="16.5" customHeight="1">
      <c r="A1978" s="159" t="s">
        <v>2759</v>
      </c>
      <c r="B1978" s="114" t="str">
        <f>VLOOKUP(A1978,'Data pick slip'!B:F,5,FALSE)</f>
        <v>KLJ-MC600-00</v>
      </c>
      <c r="C1978" s="132"/>
      <c r="F1978" s="157" t="s">
        <v>2773</v>
      </c>
      <c r="H1978" s="138">
        <v>632</v>
      </c>
      <c r="I1978" s="139" t="str">
        <f>VLOOKUP(H1978,Stock_list!A:R,18,FALSE)</f>
        <v>永顺创</v>
      </c>
      <c r="J1978" s="139" t="str">
        <f>VLOOKUP(H1978,Stock_list!A:S,17,FALSE)</f>
        <v>C49SZX20200055SX</v>
      </c>
      <c r="K1978" s="51" t="str">
        <f>VLOOKUP(H1978,Stock_list!A:T,16,FALSE)</f>
        <v>RMB</v>
      </c>
      <c r="L1978" s="4">
        <v>43957</v>
      </c>
      <c r="M1978" s="140">
        <v>1</v>
      </c>
      <c r="P1978" s="4" t="str">
        <f>VLOOKUP(H1978,Stock_list!A:Y,25,FALSE)</f>
        <v>Yes</v>
      </c>
      <c r="Q1978" s="143"/>
      <c r="T1978" s="144"/>
      <c r="U1978" s="145" t="str">
        <f>VLOOKUP(H1978,Stock_list!A:N,14,FALSE)</f>
        <v>MAY 20</v>
      </c>
    </row>
    <row r="1979" spans="1:21" ht="16.5" customHeight="1">
      <c r="A1979" s="159" t="s">
        <v>2744</v>
      </c>
      <c r="B1979" s="114" t="str">
        <f>VLOOKUP(A1979,'Data pick slip'!B:F,5,FALSE)</f>
        <v>KHJ-MC100-00</v>
      </c>
      <c r="F1979" s="157" t="s">
        <v>2862</v>
      </c>
      <c r="H1979" s="138">
        <v>633</v>
      </c>
      <c r="I1979" s="139" t="str">
        <f>VLOOKUP(H1979,Stock_list!A:R,18,FALSE)</f>
        <v>海松微</v>
      </c>
      <c r="J1979" s="139" t="str">
        <f>VLOOKUP(H1979,Stock_list!A:S,17,FALSE)</f>
        <v>C49SZX20200046JY</v>
      </c>
      <c r="K1979" s="51" t="str">
        <f>VLOOKUP(H1979,Stock_list!A:T,16,FALSE)</f>
        <v>JPY</v>
      </c>
      <c r="L1979" s="4">
        <v>43949</v>
      </c>
      <c r="M1979" s="132">
        <v>20</v>
      </c>
      <c r="P1979" s="4" t="str">
        <f>VLOOKUP(H1979,Stock_list!A:Y,25,FALSE)</f>
        <v>Yes</v>
      </c>
      <c r="Q1979" s="143"/>
      <c r="T1979" s="144"/>
      <c r="U1979" s="145" t="str">
        <f>VLOOKUP(H1979,Stock_list!A:N,14,FALSE)</f>
        <v>APR 20</v>
      </c>
    </row>
    <row r="1980" spans="1:21" ht="16.5" customHeight="1">
      <c r="A1980" s="159" t="s">
        <v>2748</v>
      </c>
      <c r="B1980" s="114" t="str">
        <f>VLOOKUP(A1980,'Data pick slip'!B:F,5,FALSE)</f>
        <v>KHJ-MC400-00</v>
      </c>
      <c r="F1980" s="157" t="s">
        <v>2862</v>
      </c>
      <c r="H1980" s="138">
        <v>633</v>
      </c>
      <c r="I1980" s="139" t="str">
        <f>VLOOKUP(H1980,Stock_list!A:R,18,FALSE)</f>
        <v>海松微</v>
      </c>
      <c r="J1980" s="139" t="str">
        <f>VLOOKUP(H1980,Stock_list!A:S,17,FALSE)</f>
        <v>C49SZX20200046JY</v>
      </c>
      <c r="K1980" s="51" t="str">
        <f>VLOOKUP(H1980,Stock_list!A:T,16,FALSE)</f>
        <v>JPY</v>
      </c>
      <c r="L1980" s="4">
        <v>43949</v>
      </c>
      <c r="M1980" s="132">
        <v>2</v>
      </c>
      <c r="P1980" s="4" t="str">
        <f>VLOOKUP(H1980,Stock_list!A:Y,25,FALSE)</f>
        <v>Yes</v>
      </c>
      <c r="Q1980" s="143"/>
      <c r="T1980" s="144"/>
      <c r="U1980" s="145" t="str">
        <f>VLOOKUP(H1980,Stock_list!A:N,14,FALSE)</f>
        <v>APR 20</v>
      </c>
    </row>
    <row r="1981" spans="1:21" ht="16.5" customHeight="1">
      <c r="A1981" s="159" t="s">
        <v>2749</v>
      </c>
      <c r="B1981" s="114" t="str">
        <f>VLOOKUP(A1981,'Data pick slip'!B:F,5,FALSE)</f>
        <v>KHJ-MC500-00</v>
      </c>
      <c r="F1981" s="157" t="s">
        <v>2862</v>
      </c>
      <c r="H1981" s="138">
        <v>633</v>
      </c>
      <c r="I1981" s="139" t="str">
        <f>VLOOKUP(H1981,Stock_list!A:R,18,FALSE)</f>
        <v>海松微</v>
      </c>
      <c r="J1981" s="139" t="str">
        <f>VLOOKUP(H1981,Stock_list!A:S,17,FALSE)</f>
        <v>C49SZX20200046JY</v>
      </c>
      <c r="K1981" s="51" t="str">
        <f>VLOOKUP(H1981,Stock_list!A:T,16,FALSE)</f>
        <v>JPY</v>
      </c>
      <c r="L1981" s="4">
        <v>43949</v>
      </c>
      <c r="M1981" s="132">
        <v>1</v>
      </c>
      <c r="P1981" s="4" t="str">
        <f>VLOOKUP(H1981,Stock_list!A:Y,25,FALSE)</f>
        <v>Yes</v>
      </c>
      <c r="Q1981" s="143"/>
      <c r="T1981" s="144"/>
      <c r="U1981" s="145" t="str">
        <f>VLOOKUP(H1981,Stock_list!A:N,14,FALSE)</f>
        <v>APR 20</v>
      </c>
    </row>
    <row r="1982" spans="1:21" ht="16.5" customHeight="1">
      <c r="A1982" s="159" t="s">
        <v>2744</v>
      </c>
      <c r="B1982" s="114" t="str">
        <f>VLOOKUP(A1982,'Data pick slip'!B:F,5,FALSE)</f>
        <v>KHJ-MC100-00</v>
      </c>
      <c r="F1982" s="157" t="s">
        <v>2773</v>
      </c>
      <c r="H1982" s="138">
        <v>634</v>
      </c>
      <c r="I1982" s="139" t="str">
        <f>VLOOKUP(H1982,Stock_list!A:R,18,FALSE)</f>
        <v>和盛光电</v>
      </c>
      <c r="J1982" s="139" t="str">
        <f>VLOOKUP(H1982,Stock_list!A:S,17,FALSE)</f>
        <v>C49SZX20200011DZ</v>
      </c>
      <c r="K1982" s="51" t="str">
        <f>VLOOKUP(H1982,Stock_list!A:T,16,FALSE)</f>
        <v>RMB</v>
      </c>
      <c r="L1982" s="4">
        <v>43965</v>
      </c>
      <c r="M1982" s="132">
        <v>10</v>
      </c>
      <c r="P1982" s="4" t="str">
        <f>VLOOKUP(H1982,Stock_list!A:Y,25,FALSE)</f>
        <v>Yes</v>
      </c>
      <c r="Q1982" s="143"/>
      <c r="T1982" s="144"/>
      <c r="U1982" s="145" t="str">
        <f>VLOOKUP(H1982,Stock_list!A:N,14,FALSE)</f>
        <v>MAY 20</v>
      </c>
    </row>
    <row r="1983" spans="1:21" ht="16.5" customHeight="1">
      <c r="A1983" s="159" t="s">
        <v>2756</v>
      </c>
      <c r="B1983" s="114" t="str">
        <f>VLOOKUP(A1983,'Data pick slip'!B:F,5,FALSE)</f>
        <v>KLJ-MC200-00</v>
      </c>
      <c r="F1983" s="157" t="s">
        <v>2773</v>
      </c>
      <c r="H1983" s="138">
        <v>634</v>
      </c>
      <c r="I1983" s="139" t="str">
        <f>VLOOKUP(H1983,Stock_list!A:R,18,FALSE)</f>
        <v>和盛光电</v>
      </c>
      <c r="J1983" s="139" t="str">
        <f>VLOOKUP(H1983,Stock_list!A:S,17,FALSE)</f>
        <v>C49SZX20200011DZ</v>
      </c>
      <c r="K1983" s="51" t="str">
        <f>VLOOKUP(H1983,Stock_list!A:T,16,FALSE)</f>
        <v>RMB</v>
      </c>
      <c r="L1983" s="4">
        <v>43965</v>
      </c>
      <c r="M1983" s="132">
        <v>2</v>
      </c>
      <c r="P1983" s="4" t="str">
        <f>VLOOKUP(H1983,Stock_list!A:Y,25,FALSE)</f>
        <v>Yes</v>
      </c>
      <c r="T1983" s="144"/>
      <c r="U1983" s="145" t="str">
        <f>VLOOKUP(H1983,Stock_list!A:N,14,FALSE)</f>
        <v>MAY 20</v>
      </c>
    </row>
    <row r="1984" spans="1:21" ht="16.5" customHeight="1">
      <c r="A1984" s="159" t="s">
        <v>2757</v>
      </c>
      <c r="B1984" s="114" t="str">
        <f>VLOOKUP(A1984,'Data pick slip'!B:F,5,FALSE)</f>
        <v>KLJ-MC400-00</v>
      </c>
      <c r="F1984" s="157" t="s">
        <v>2773</v>
      </c>
      <c r="H1984" s="138">
        <v>634</v>
      </c>
      <c r="I1984" s="139" t="str">
        <f>VLOOKUP(H1984,Stock_list!A:R,18,FALSE)</f>
        <v>和盛光电</v>
      </c>
      <c r="J1984" s="139" t="str">
        <f>VLOOKUP(H1984,Stock_list!A:S,17,FALSE)</f>
        <v>C49SZX20200011DZ</v>
      </c>
      <c r="K1984" s="51" t="str">
        <f>VLOOKUP(H1984,Stock_list!A:T,16,FALSE)</f>
        <v>RMB</v>
      </c>
      <c r="L1984" s="4">
        <v>43965</v>
      </c>
      <c r="M1984" s="132">
        <v>1</v>
      </c>
      <c r="P1984" s="4" t="str">
        <f>VLOOKUP(H1984,Stock_list!A:Y,25,FALSE)</f>
        <v>Yes</v>
      </c>
      <c r="Q1984" s="143"/>
      <c r="T1984" s="144"/>
      <c r="U1984" s="145" t="str">
        <f>VLOOKUP(H1984,Stock_list!A:N,14,FALSE)</f>
        <v>MAY 20</v>
      </c>
    </row>
    <row r="1985" spans="1:21" ht="16.5" customHeight="1">
      <c r="A1985" s="159" t="s">
        <v>2744</v>
      </c>
      <c r="B1985" s="114" t="str">
        <f>VLOOKUP(A1985,'Data pick slip'!B:F,5,FALSE)</f>
        <v>KHJ-MC100-00</v>
      </c>
      <c r="F1985" s="157" t="s">
        <v>2773</v>
      </c>
      <c r="H1985" s="138">
        <v>635</v>
      </c>
      <c r="I1985" s="139" t="str">
        <f>VLOOKUP(H1985,Stock_list!A:R,18,FALSE)</f>
        <v>融创新合</v>
      </c>
      <c r="J1985" s="139" t="str">
        <f>VLOOKUP(H1985,Stock_list!A:S,17,FALSE)</f>
        <v>C49SZX20200047MZ</v>
      </c>
      <c r="K1985" s="51" t="str">
        <f>VLOOKUP(H1985,Stock_list!A:T,16,FALSE)</f>
        <v>RMB</v>
      </c>
      <c r="L1985" s="4">
        <v>43965</v>
      </c>
      <c r="M1985" s="132">
        <v>80</v>
      </c>
      <c r="P1985" s="4" t="str">
        <f>VLOOKUP(H1985,Stock_list!A:Y,25,FALSE)</f>
        <v>Yes</v>
      </c>
      <c r="Q1985" s="143"/>
      <c r="T1985" s="144"/>
      <c r="U1985" s="145" t="str">
        <f>VLOOKUP(H1985,Stock_list!A:N,14,FALSE)</f>
        <v>MAY 20</v>
      </c>
    </row>
    <row r="1986" spans="1:21" ht="16.5" customHeight="1">
      <c r="A1986" s="159" t="s">
        <v>2756</v>
      </c>
      <c r="B1986" s="114" t="str">
        <f>VLOOKUP(A1986,'Data pick slip'!B:F,5,FALSE)</f>
        <v>KLJ-MC200-00</v>
      </c>
      <c r="F1986" s="157" t="s">
        <v>2773</v>
      </c>
      <c r="H1986" s="138">
        <v>635</v>
      </c>
      <c r="I1986" s="139" t="str">
        <f>VLOOKUP(H1986,Stock_list!A:R,18,FALSE)</f>
        <v>融创新合</v>
      </c>
      <c r="J1986" s="139" t="str">
        <f>VLOOKUP(H1986,Stock_list!A:S,17,FALSE)</f>
        <v>C49SZX20200047MZ</v>
      </c>
      <c r="K1986" s="51" t="str">
        <f>VLOOKUP(H1986,Stock_list!A:T,16,FALSE)</f>
        <v>RMB</v>
      </c>
      <c r="L1986" s="4">
        <v>43965</v>
      </c>
      <c r="M1986" s="132">
        <v>15</v>
      </c>
      <c r="P1986" s="4" t="str">
        <f>VLOOKUP(H1986,Stock_list!A:Y,25,FALSE)</f>
        <v>Yes</v>
      </c>
      <c r="T1986" s="144"/>
      <c r="U1986" s="145" t="str">
        <f>VLOOKUP(H1986,Stock_list!A:N,14,FALSE)</f>
        <v>MAY 20</v>
      </c>
    </row>
    <row r="1987" spans="1:21" ht="16.5" customHeight="1">
      <c r="A1987" s="159" t="s">
        <v>2757</v>
      </c>
      <c r="B1987" s="114" t="str">
        <f>VLOOKUP(A1987,'Data pick slip'!B:F,5,FALSE)</f>
        <v>KLJ-MC400-00</v>
      </c>
      <c r="F1987" s="157" t="s">
        <v>2773</v>
      </c>
      <c r="H1987" s="138">
        <v>635</v>
      </c>
      <c r="I1987" s="139" t="str">
        <f>VLOOKUP(H1987,Stock_list!A:R,18,FALSE)</f>
        <v>融创新合</v>
      </c>
      <c r="J1987" s="139" t="str">
        <f>VLOOKUP(H1987,Stock_list!A:S,17,FALSE)</f>
        <v>C49SZX20200047MZ</v>
      </c>
      <c r="K1987" s="51" t="str">
        <f>VLOOKUP(H1987,Stock_list!A:T,16,FALSE)</f>
        <v>RMB</v>
      </c>
      <c r="L1987" s="4">
        <v>43965</v>
      </c>
      <c r="M1987" s="132">
        <v>3</v>
      </c>
      <c r="P1987" s="4" t="str">
        <f>VLOOKUP(H1987,Stock_list!A:Y,25,FALSE)</f>
        <v>Yes</v>
      </c>
      <c r="Q1987" s="143"/>
      <c r="T1987" s="144"/>
      <c r="U1987" s="145" t="str">
        <f>VLOOKUP(H1987,Stock_list!A:N,14,FALSE)</f>
        <v>MAY 20</v>
      </c>
    </row>
    <row r="1988" spans="1:21" ht="16.5" customHeight="1">
      <c r="A1988" s="159" t="s">
        <v>2749</v>
      </c>
      <c r="B1988" s="114" t="str">
        <f>VLOOKUP(A1988,'Data pick slip'!B:F,5,FALSE)</f>
        <v>KHJ-MC500-00</v>
      </c>
      <c r="F1988" s="157" t="s">
        <v>2773</v>
      </c>
      <c r="H1988" s="138">
        <v>635</v>
      </c>
      <c r="I1988" s="139" t="str">
        <f>VLOOKUP(H1988,Stock_list!A:R,18,FALSE)</f>
        <v>融创新合</v>
      </c>
      <c r="J1988" s="139" t="str">
        <f>VLOOKUP(H1988,Stock_list!A:S,17,FALSE)</f>
        <v>C49SZX20200047MZ</v>
      </c>
      <c r="K1988" s="51" t="str">
        <f>VLOOKUP(H1988,Stock_list!A:T,16,FALSE)</f>
        <v>RMB</v>
      </c>
      <c r="L1988" s="4">
        <v>43965</v>
      </c>
      <c r="M1988" s="132">
        <v>1</v>
      </c>
      <c r="P1988" s="4" t="str">
        <f>VLOOKUP(H1988,Stock_list!A:Y,25,FALSE)</f>
        <v>Yes</v>
      </c>
      <c r="Q1988" s="143"/>
      <c r="T1988" s="144"/>
      <c r="U1988" s="145" t="str">
        <f>VLOOKUP(H1988,Stock_list!A:N,14,FALSE)</f>
        <v>MAY 20</v>
      </c>
    </row>
    <row r="1989" spans="1:21" ht="16.5" customHeight="1">
      <c r="A1989" s="159" t="s">
        <v>2744</v>
      </c>
      <c r="B1989" s="114" t="str">
        <f>VLOOKUP(A1989,'Data pick slip'!B:F,5,FALSE)</f>
        <v>KHJ-MC100-00</v>
      </c>
      <c r="F1989" s="157" t="s">
        <v>2862</v>
      </c>
      <c r="I1989" s="139" t="s">
        <v>3016</v>
      </c>
      <c r="J1989" s="139" t="s">
        <v>3268</v>
      </c>
      <c r="K1989" s="51" t="s">
        <v>1246</v>
      </c>
      <c r="L1989" s="4">
        <v>43941</v>
      </c>
      <c r="M1989" s="140">
        <v>80</v>
      </c>
      <c r="P1989" s="4" t="s">
        <v>291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2744</v>
      </c>
      <c r="B1990" s="114" t="str">
        <f>VLOOKUP(A1990,'Data pick slip'!B:F,5,FALSE)</f>
        <v>KHJ-MC100-00</v>
      </c>
      <c r="F1990" s="157" t="s">
        <v>2862</v>
      </c>
      <c r="I1990" s="139" t="s">
        <v>3016</v>
      </c>
      <c r="J1990" s="139" t="s">
        <v>3268</v>
      </c>
      <c r="K1990" s="51" t="s">
        <v>1246</v>
      </c>
      <c r="L1990" s="4">
        <v>43941</v>
      </c>
      <c r="M1990" s="140">
        <v>120</v>
      </c>
      <c r="P1990" s="4" t="s">
        <v>291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2747</v>
      </c>
      <c r="B1991" s="114" t="str">
        <f>VLOOKUP(A1991,'Data pick slip'!B:F,5,FALSE)</f>
        <v>KHJ-MC200-00</v>
      </c>
      <c r="F1991" s="157" t="s">
        <v>2862</v>
      </c>
      <c r="I1991" s="139" t="s">
        <v>3016</v>
      </c>
      <c r="J1991" s="139" t="s">
        <v>3268</v>
      </c>
      <c r="K1991" s="51" t="s">
        <v>1246</v>
      </c>
      <c r="L1991" s="4">
        <v>43941</v>
      </c>
      <c r="M1991" s="140">
        <v>25</v>
      </c>
      <c r="P1991" s="4" t="s">
        <v>291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2748</v>
      </c>
      <c r="B1992" s="114" t="str">
        <f>VLOOKUP(A1992,'Data pick slip'!B:F,5,FALSE)</f>
        <v>KHJ-MC400-00</v>
      </c>
      <c r="F1992" s="157" t="s">
        <v>2862</v>
      </c>
      <c r="I1992" s="139" t="s">
        <v>3016</v>
      </c>
      <c r="J1992" s="139" t="s">
        <v>3268</v>
      </c>
      <c r="K1992" s="51" t="s">
        <v>1246</v>
      </c>
      <c r="L1992" s="4">
        <v>43941</v>
      </c>
      <c r="M1992" s="140">
        <v>2</v>
      </c>
      <c r="P1992" s="4" t="s">
        <v>291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2749</v>
      </c>
      <c r="B1993" s="114" t="str">
        <f>VLOOKUP(A1993,'Data pick slip'!B:F,5,FALSE)</f>
        <v>KHJ-MC500-00</v>
      </c>
      <c r="F1993" s="157" t="s">
        <v>2862</v>
      </c>
      <c r="I1993" s="139" t="s">
        <v>3016</v>
      </c>
      <c r="J1993" s="139" t="s">
        <v>3268</v>
      </c>
      <c r="K1993" s="51" t="s">
        <v>1246</v>
      </c>
      <c r="L1993" s="4">
        <v>43941</v>
      </c>
      <c r="M1993" s="140">
        <v>15</v>
      </c>
      <c r="P1993" s="4" t="s">
        <v>291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2750</v>
      </c>
      <c r="B1994" s="114" t="str">
        <f>VLOOKUP(A1994,'Data pick slip'!B:F,5,FALSE)</f>
        <v>KHJ-MC600-00</v>
      </c>
      <c r="F1994" s="157" t="s">
        <v>2862</v>
      </c>
      <c r="I1994" s="139" t="s">
        <v>3016</v>
      </c>
      <c r="J1994" s="139" t="s">
        <v>3268</v>
      </c>
      <c r="K1994" s="51" t="s">
        <v>1246</v>
      </c>
      <c r="L1994" s="4">
        <v>43941</v>
      </c>
      <c r="M1994" s="140">
        <v>5</v>
      </c>
      <c r="P1994" s="4" t="s">
        <v>291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2744</v>
      </c>
      <c r="B1995" s="114" t="str">
        <f>VLOOKUP(A1995,'Data pick slip'!B:F,5,FALSE)</f>
        <v>KHJ-MC100-00</v>
      </c>
      <c r="F1995" s="157" t="s">
        <v>2862</v>
      </c>
      <c r="H1995" s="138">
        <v>637</v>
      </c>
      <c r="I1995" s="139" t="str">
        <f>VLOOKUP(H1995,Stock_list!A:R,18,FALSE)</f>
        <v>弛瑞</v>
      </c>
      <c r="J1995" s="139" t="str">
        <f>VLOOKUP(H1995,Stock_list!A:S,17,FALSE)</f>
        <v>C49SZX20200053SS</v>
      </c>
      <c r="K1995" s="51" t="str">
        <f>VLOOKUP(H1995,Stock_list!A:T,16,FALSE)</f>
        <v>JPY</v>
      </c>
      <c r="L1995" s="4">
        <v>43984</v>
      </c>
      <c r="M1995" s="132">
        <v>10</v>
      </c>
      <c r="P1995" s="4" t="s">
        <v>291</v>
      </c>
      <c r="Q1995" s="143"/>
      <c r="T1995" s="144"/>
      <c r="U1995" s="145" t="str">
        <f>VLOOKUP(H1995,Stock_list!A:N,14,FALSE)</f>
        <v>JUN 20</v>
      </c>
    </row>
    <row r="1996" spans="1:21" ht="16.5" customHeight="1">
      <c r="A1996" s="159" t="s">
        <v>2744</v>
      </c>
      <c r="B1996" s="114" t="str">
        <f>VLOOKUP(A1996,'Data pick slip'!B:F,5,FALSE)</f>
        <v>KHJ-MC100-00</v>
      </c>
      <c r="F1996" s="157" t="s">
        <v>2773</v>
      </c>
      <c r="I1996" s="139" t="s">
        <v>3100</v>
      </c>
      <c r="J1996" s="139" t="s">
        <v>3269</v>
      </c>
      <c r="K1996" s="51" t="s">
        <v>1246</v>
      </c>
      <c r="L1996" s="4">
        <v>43949</v>
      </c>
      <c r="M1996" s="140">
        <v>20</v>
      </c>
      <c r="P1996" s="4" t="s">
        <v>291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2749</v>
      </c>
      <c r="B1997" s="114" t="str">
        <f>VLOOKUP(A1997,'Data pick slip'!B:F,5,FALSE)</f>
        <v>KHJ-MC500-00</v>
      </c>
      <c r="F1997" s="157" t="s">
        <v>2773</v>
      </c>
      <c r="I1997" s="139" t="s">
        <v>3100</v>
      </c>
      <c r="J1997" s="139" t="s">
        <v>3270</v>
      </c>
      <c r="K1997" s="51" t="s">
        <v>1246</v>
      </c>
      <c r="L1997" s="4">
        <v>43949</v>
      </c>
      <c r="M1997" s="140">
        <v>1</v>
      </c>
      <c r="P1997" s="4" t="s">
        <v>291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2747</v>
      </c>
      <c r="B1998" s="114" t="str">
        <f>VLOOKUP(A1998,'Data pick slip'!B:F,5,FALSE)</f>
        <v>KHJ-MC200-00</v>
      </c>
      <c r="F1998" s="157" t="s">
        <v>2773</v>
      </c>
      <c r="I1998" s="139" t="s">
        <v>3100</v>
      </c>
      <c r="J1998" s="139" t="s">
        <v>3270</v>
      </c>
      <c r="K1998" s="51" t="s">
        <v>1246</v>
      </c>
      <c r="L1998" s="4">
        <v>43949</v>
      </c>
      <c r="M1998" s="140">
        <v>10</v>
      </c>
      <c r="P1998" s="4" t="s">
        <v>291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2744</v>
      </c>
      <c r="B1999" s="114" t="str">
        <f>VLOOKUP(A1999,'Data pick slip'!B:F,5,FALSE)</f>
        <v>KHJ-MC100-00</v>
      </c>
      <c r="F1999" s="157" t="s">
        <v>2862</v>
      </c>
      <c r="I1999" s="139" t="s">
        <v>3016</v>
      </c>
      <c r="J1999" s="139" t="s">
        <v>3271</v>
      </c>
      <c r="K1999" s="51" t="s">
        <v>1246</v>
      </c>
      <c r="L1999" s="4">
        <v>43949</v>
      </c>
      <c r="M1999" s="140">
        <v>100</v>
      </c>
      <c r="P1999" s="4" t="s">
        <v>291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2744</v>
      </c>
      <c r="B2000" s="114" t="str">
        <f>VLOOKUP(A2000,'Data pick slip'!B:F,5,FALSE)</f>
        <v>KHJ-MC100-00</v>
      </c>
      <c r="F2000" s="157" t="s">
        <v>2773</v>
      </c>
      <c r="I2000" s="139" t="s">
        <v>3100</v>
      </c>
      <c r="J2000" s="139" t="s">
        <v>3272</v>
      </c>
      <c r="K2000" s="51" t="s">
        <v>1246</v>
      </c>
      <c r="L2000" s="4">
        <v>43945</v>
      </c>
      <c r="M2000" s="140">
        <v>8</v>
      </c>
      <c r="P2000" s="4" t="s">
        <v>291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2747</v>
      </c>
      <c r="B2001" s="114" t="str">
        <f>VLOOKUP(A2001,'Data pick slip'!B:F,5,FALSE)</f>
        <v>KHJ-MC200-00</v>
      </c>
      <c r="F2001" s="157" t="s">
        <v>2773</v>
      </c>
      <c r="I2001" s="139" t="s">
        <v>3100</v>
      </c>
      <c r="J2001" s="139" t="s">
        <v>3272</v>
      </c>
      <c r="K2001" s="51" t="s">
        <v>1246</v>
      </c>
      <c r="L2001" s="4">
        <v>43945</v>
      </c>
      <c r="M2001" s="140">
        <v>5</v>
      </c>
      <c r="P2001" s="4" t="s">
        <v>291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2744</v>
      </c>
      <c r="B2002" s="114" t="str">
        <f>VLOOKUP(A2002,'Data pick slip'!B:F,5,FALSE)</f>
        <v>KHJ-MC100-00</v>
      </c>
      <c r="F2002" s="157" t="s">
        <v>2773</v>
      </c>
      <c r="H2002" s="138">
        <v>638</v>
      </c>
      <c r="I2002" s="139" t="str">
        <f>VLOOKUP(H2002,Stock_list!A:R,18,FALSE)</f>
        <v>星辰宇</v>
      </c>
      <c r="J2002" s="139" t="str">
        <f>VLOOKUP(H2002,Stock_list!A:S,17,FALSE)</f>
        <v>C49SZX20200043CY</v>
      </c>
      <c r="K2002" s="51" t="str">
        <f>VLOOKUP(H2002,Stock_list!A:T,16,FALSE)</f>
        <v>RMB</v>
      </c>
      <c r="L2002" s="4">
        <v>43979</v>
      </c>
      <c r="M2002" s="132">
        <v>30</v>
      </c>
      <c r="P2002" s="4" t="str">
        <f>VLOOKUP(H2002,Stock_list!A:Y,25,FALSE)</f>
        <v>Yes</v>
      </c>
      <c r="Q2002" s="143"/>
      <c r="T2002" s="144"/>
      <c r="U2002" s="145" t="str">
        <f>VLOOKUP(H2002,Stock_list!A:N,14,FALSE)</f>
        <v>MAY 20</v>
      </c>
    </row>
    <row r="2003" spans="1:21" ht="16.5" customHeight="1">
      <c r="A2003" s="159" t="s">
        <v>2756</v>
      </c>
      <c r="B2003" s="114" t="str">
        <f>VLOOKUP(A2003,'Data pick slip'!B:F,5,FALSE)</f>
        <v>KLJ-MC200-00</v>
      </c>
      <c r="F2003" s="157" t="s">
        <v>2773</v>
      </c>
      <c r="H2003" s="138">
        <v>638</v>
      </c>
      <c r="I2003" s="139" t="str">
        <f>VLOOKUP(H2003,Stock_list!A:R,18,FALSE)</f>
        <v>星辰宇</v>
      </c>
      <c r="J2003" s="139" t="str">
        <f>VLOOKUP(H2003,Stock_list!A:S,17,FALSE)</f>
        <v>C49SZX20200043CY</v>
      </c>
      <c r="K2003" s="51" t="str">
        <f>VLOOKUP(H2003,Stock_list!A:T,16,FALSE)</f>
        <v>RMB</v>
      </c>
      <c r="L2003" s="4">
        <v>43979</v>
      </c>
      <c r="M2003" s="132">
        <v>3</v>
      </c>
      <c r="P2003" s="4" t="str">
        <f>VLOOKUP(H2003,Stock_list!A:Y,25,FALSE)</f>
        <v>Yes</v>
      </c>
      <c r="T2003" s="144"/>
      <c r="U2003" s="145" t="str">
        <f>VLOOKUP(H2003,Stock_list!A:N,14,FALSE)</f>
        <v>MAY 20</v>
      </c>
    </row>
    <row r="2004" spans="1:21" ht="16.5" customHeight="1">
      <c r="A2004" s="159" t="s">
        <v>2744</v>
      </c>
      <c r="B2004" s="114" t="str">
        <f>VLOOKUP(A2004,'Data pick slip'!B:F,5,FALSE)</f>
        <v>KHJ-MC100-00</v>
      </c>
      <c r="F2004" s="157" t="s">
        <v>2862</v>
      </c>
      <c r="H2004" s="138">
        <v>639</v>
      </c>
      <c r="I2004" s="139" t="str">
        <f>VLOOKUP(H2004,Stock_list!A:R,18,FALSE)</f>
        <v>创荣发</v>
      </c>
      <c r="J2004" s="139" t="str">
        <f>VLOOKUP(H2004,Stock_list!A:S,17,FALSE)</f>
        <v>C49SZX20200052JY</v>
      </c>
      <c r="K2004" s="51" t="str">
        <f>VLOOKUP(H2004,Stock_list!A:T,16,FALSE)</f>
        <v>JPY</v>
      </c>
      <c r="L2004" s="4">
        <v>43980</v>
      </c>
      <c r="M2004" s="132">
        <v>110</v>
      </c>
      <c r="P2004" s="4" t="str">
        <f>VLOOKUP(H2004,Stock_list!A:Y,25,FALSE)</f>
        <v>Yes</v>
      </c>
      <c r="Q2004" s="143"/>
      <c r="T2004" s="144"/>
      <c r="U2004" s="145" t="str">
        <f>VLOOKUP(H2004,Stock_list!A:N,14,FALSE)</f>
        <v>MAY 20</v>
      </c>
    </row>
    <row r="2005" spans="1:21" ht="16.5" customHeight="1">
      <c r="A2005" s="159" t="s">
        <v>2747</v>
      </c>
      <c r="B2005" s="114" t="str">
        <f>VLOOKUP(A2005,'Data pick slip'!B:F,5,FALSE)</f>
        <v>KHJ-MC200-00</v>
      </c>
      <c r="F2005" s="157" t="s">
        <v>2773</v>
      </c>
      <c r="H2005" s="138">
        <v>639</v>
      </c>
      <c r="I2005" s="139" t="str">
        <f>VLOOKUP(H2005,Stock_list!A:R,18,FALSE)</f>
        <v>创荣发</v>
      </c>
      <c r="J2005" s="139" t="str">
        <f>VLOOKUP(H2005,Stock_list!A:S,17,FALSE)</f>
        <v>C49SZX20200052JY</v>
      </c>
      <c r="K2005" s="51" t="str">
        <f>VLOOKUP(H2005,Stock_list!A:T,16,FALSE)</f>
        <v>JPY</v>
      </c>
      <c r="L2005" s="4">
        <v>43980</v>
      </c>
      <c r="M2005" s="132">
        <v>20</v>
      </c>
      <c r="P2005" s="4" t="str">
        <f>VLOOKUP(H2005,Stock_list!A:Y,25,FALSE)</f>
        <v>Yes</v>
      </c>
      <c r="Q2005" s="143"/>
      <c r="S2005" s="123" t="s">
        <v>3004</v>
      </c>
      <c r="T2005" s="205" t="s">
        <v>3273</v>
      </c>
      <c r="U2005" s="145" t="str">
        <f>VLOOKUP(H2005,Stock_list!A:N,14,FALSE)</f>
        <v>MAY 20</v>
      </c>
    </row>
    <row r="2006" spans="1:21" ht="16.5" customHeight="1">
      <c r="A2006" s="159" t="s">
        <v>2748</v>
      </c>
      <c r="B2006" s="114" t="str">
        <f>VLOOKUP(A2006,'Data pick slip'!B:F,5,FALSE)</f>
        <v>KHJ-MC400-00</v>
      </c>
      <c r="F2006" s="157" t="s">
        <v>2773</v>
      </c>
      <c r="H2006" s="138">
        <v>639</v>
      </c>
      <c r="I2006" s="139" t="str">
        <f>VLOOKUP(H2006,Stock_list!A:R,18,FALSE)</f>
        <v>创荣发</v>
      </c>
      <c r="J2006" s="139" t="str">
        <f>VLOOKUP(H2006,Stock_list!A:S,17,FALSE)</f>
        <v>C49SZX20200052JY</v>
      </c>
      <c r="K2006" s="51" t="str">
        <f>VLOOKUP(H2006,Stock_list!A:T,16,FALSE)</f>
        <v>JPY</v>
      </c>
      <c r="L2006" s="4">
        <v>43980</v>
      </c>
      <c r="M2006" s="132">
        <v>2</v>
      </c>
      <c r="P2006" s="4" t="str">
        <f>VLOOKUP(H2006,Stock_list!A:Y,25,FALSE)</f>
        <v>Yes</v>
      </c>
      <c r="Q2006" s="143"/>
      <c r="S2006" s="123" t="s">
        <v>3004</v>
      </c>
      <c r="T2006" s="205" t="s">
        <v>3274</v>
      </c>
      <c r="U2006" s="145" t="str">
        <f>VLOOKUP(H2006,Stock_list!A:N,14,FALSE)</f>
        <v>MAY 20</v>
      </c>
    </row>
    <row r="2007" spans="1:21" ht="16.5" customHeight="1">
      <c r="A2007" s="159" t="s">
        <v>2756</v>
      </c>
      <c r="B2007" s="114" t="str">
        <f>VLOOKUP(A2007,'Data pick slip'!B:F,5,FALSE)</f>
        <v>KLJ-MC200-00</v>
      </c>
      <c r="F2007" s="157" t="s">
        <v>2773</v>
      </c>
      <c r="I2007" s="139" t="s">
        <v>3100</v>
      </c>
      <c r="J2007" s="139" t="s">
        <v>3275</v>
      </c>
      <c r="K2007" s="51" t="s">
        <v>1246</v>
      </c>
      <c r="L2007" s="4">
        <v>43951</v>
      </c>
      <c r="M2007" s="140">
        <v>3</v>
      </c>
      <c r="P2007" s="4" t="s">
        <v>291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2757</v>
      </c>
      <c r="B2008" s="114" t="str">
        <f>VLOOKUP(A2008,'Data pick slip'!B:F,5,FALSE)</f>
        <v>KLJ-MC400-00</v>
      </c>
      <c r="F2008" s="157" t="s">
        <v>2862</v>
      </c>
      <c r="H2008" s="138">
        <v>641</v>
      </c>
      <c r="I2008" s="139" t="str">
        <f>VLOOKUP(H2008,Stock_list!A:R,18,FALSE)</f>
        <v>天星创展</v>
      </c>
      <c r="J2008" s="139" t="str">
        <f>VLOOKUP(H2008,Stock_list!A:S,17,FALSE)</f>
        <v>C49SZX20200056MZ</v>
      </c>
      <c r="K2008" s="51" t="str">
        <f>VLOOKUP(H2008,Stock_list!A:T,16,FALSE)</f>
        <v>JPY</v>
      </c>
      <c r="L2008" s="4">
        <v>43965</v>
      </c>
      <c r="M2008" s="132">
        <v>5</v>
      </c>
      <c r="P2008" s="4" t="str">
        <f>VLOOKUP(H2008,Stock_list!A:Y,25,FALSE)</f>
        <v>Yes</v>
      </c>
      <c r="Q2008" s="146"/>
      <c r="T2008" s="144"/>
      <c r="U2008" s="145" t="str">
        <f>VLOOKUP(H2008,Stock_list!A:N,14,FALSE)</f>
        <v>MAY 20</v>
      </c>
    </row>
    <row r="2009" spans="1:21" ht="16.5" customHeight="1">
      <c r="A2009" s="159" t="s">
        <v>2744</v>
      </c>
      <c r="B2009" s="114" t="str">
        <f>VLOOKUP(A2009,'Data pick slip'!B:F,5,FALSE)</f>
        <v>KHJ-MC100-00</v>
      </c>
      <c r="F2009" s="157" t="s">
        <v>2862</v>
      </c>
      <c r="I2009" s="139" t="s">
        <v>3016</v>
      </c>
      <c r="J2009" s="139" t="s">
        <v>3276</v>
      </c>
      <c r="K2009" s="51" t="s">
        <v>1246</v>
      </c>
      <c r="L2009" s="4">
        <v>43959</v>
      </c>
      <c r="M2009" s="140">
        <v>155</v>
      </c>
      <c r="P2009" s="4" t="s">
        <v>291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2749</v>
      </c>
      <c r="B2010" s="114" t="str">
        <f>VLOOKUP(A2010,'Data pick slip'!B:F,5,FALSE)</f>
        <v>KHJ-MC500-00</v>
      </c>
      <c r="F2010" s="157" t="s">
        <v>2862</v>
      </c>
      <c r="I2010" s="139" t="s">
        <v>3016</v>
      </c>
      <c r="J2010" s="139" t="s">
        <v>3276</v>
      </c>
      <c r="K2010" s="51" t="s">
        <v>1246</v>
      </c>
      <c r="L2010" s="4">
        <v>43959</v>
      </c>
      <c r="M2010" s="140">
        <v>4</v>
      </c>
      <c r="P2010" s="4" t="s">
        <v>291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2750</v>
      </c>
      <c r="B2011" s="114" t="str">
        <f>VLOOKUP(A2011,'Data pick slip'!B:F,5,FALSE)</f>
        <v>KHJ-MC600-00</v>
      </c>
      <c r="F2011" s="157" t="s">
        <v>2862</v>
      </c>
      <c r="I2011" s="139" t="s">
        <v>3016</v>
      </c>
      <c r="J2011" s="139" t="s">
        <v>3276</v>
      </c>
      <c r="K2011" s="51" t="s">
        <v>1246</v>
      </c>
      <c r="L2011" s="4">
        <v>43959</v>
      </c>
      <c r="M2011" s="140">
        <v>2</v>
      </c>
      <c r="P2011" s="4" t="s">
        <v>291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2747</v>
      </c>
      <c r="B2012" s="114" t="str">
        <f>VLOOKUP(A2012,'Data pick slip'!B:F,5,FALSE)</f>
        <v>KHJ-MC200-00</v>
      </c>
      <c r="F2012" s="157" t="s">
        <v>2862</v>
      </c>
      <c r="I2012" s="139" t="s">
        <v>3016</v>
      </c>
      <c r="J2012" s="139" t="s">
        <v>3277</v>
      </c>
      <c r="K2012" s="51" t="s">
        <v>1246</v>
      </c>
      <c r="L2012" s="4">
        <v>43962</v>
      </c>
      <c r="M2012" s="140">
        <v>28</v>
      </c>
      <c r="P2012" s="4" t="s">
        <v>291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2756</v>
      </c>
      <c r="B2013" s="114" t="str">
        <f>VLOOKUP(A2013,'Data pick slip'!B:F,5,FALSE)</f>
        <v>KLJ-MC200-00</v>
      </c>
      <c r="F2013" s="157" t="s">
        <v>2862</v>
      </c>
      <c r="I2013" s="139" t="s">
        <v>3016</v>
      </c>
      <c r="J2013" s="139" t="s">
        <v>3277</v>
      </c>
      <c r="K2013" s="51" t="s">
        <v>1246</v>
      </c>
      <c r="L2013" s="4">
        <v>43962</v>
      </c>
      <c r="M2013" s="140">
        <v>80</v>
      </c>
      <c r="P2013" s="4" t="s">
        <v>291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2748</v>
      </c>
      <c r="B2014" s="114" t="str">
        <f>VLOOKUP(A2014,'Data pick slip'!B:F,5,FALSE)</f>
        <v>KHJ-MC400-00</v>
      </c>
      <c r="F2014" s="157" t="s">
        <v>2862</v>
      </c>
      <c r="I2014" s="139" t="s">
        <v>3016</v>
      </c>
      <c r="J2014" s="139" t="s">
        <v>3277</v>
      </c>
      <c r="K2014" s="51" t="s">
        <v>1246</v>
      </c>
      <c r="L2014" s="4">
        <v>43962</v>
      </c>
      <c r="M2014" s="140">
        <v>7</v>
      </c>
      <c r="P2014" s="4" t="s">
        <v>291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2750</v>
      </c>
      <c r="B2015" s="114" t="str">
        <f>VLOOKUP(A2015,'Data pick slip'!B:F,5,FALSE)</f>
        <v>KHJ-MC600-00</v>
      </c>
      <c r="F2015" s="157" t="s">
        <v>2862</v>
      </c>
      <c r="I2015" s="139" t="s">
        <v>3016</v>
      </c>
      <c r="J2015" s="139" t="s">
        <v>3277</v>
      </c>
      <c r="K2015" s="51" t="s">
        <v>1246</v>
      </c>
      <c r="L2015" s="4">
        <v>43962</v>
      </c>
      <c r="M2015" s="140">
        <v>5</v>
      </c>
      <c r="P2015" s="4" t="s">
        <v>291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2744</v>
      </c>
      <c r="B2016" s="114" t="str">
        <f>VLOOKUP(A2016,'Data pick slip'!B:F,5,FALSE)</f>
        <v>KHJ-MC100-00</v>
      </c>
      <c r="F2016" s="157" t="s">
        <v>2773</v>
      </c>
      <c r="H2016" s="138">
        <v>642</v>
      </c>
      <c r="I2016" s="139" t="str">
        <f>VLOOKUP(H2016,Stock_list!A:R,18,FALSE)</f>
        <v>利速达</v>
      </c>
      <c r="J2016" s="139" t="str">
        <f>VLOOKUP(H2016,Stock_list!A:S,17,FALSE)</f>
        <v>C49SZX20200037SX-R1</v>
      </c>
      <c r="K2016" s="51" t="str">
        <f>VLOOKUP(H2016,Stock_list!A:T,16,FALSE)</f>
        <v>RMB</v>
      </c>
      <c r="L2016" s="4">
        <v>43970</v>
      </c>
      <c r="M2016" s="132">
        <v>45</v>
      </c>
      <c r="P2016" s="4" t="str">
        <f>VLOOKUP(H2016,Stock_list!A:Y,25,FALSE)</f>
        <v>Yes</v>
      </c>
      <c r="Q2016" s="143"/>
      <c r="T2016" s="144"/>
      <c r="U2016" s="145" t="str">
        <f>VLOOKUP(H2016,Stock_list!A:N,14,FALSE)</f>
        <v>MAY 20</v>
      </c>
    </row>
    <row r="2017" spans="1:21" ht="16.5" customHeight="1">
      <c r="A2017" s="159" t="s">
        <v>2756</v>
      </c>
      <c r="B2017" s="114" t="str">
        <f>VLOOKUP(A2017,'Data pick slip'!B:F,5,FALSE)</f>
        <v>KLJ-MC200-00</v>
      </c>
      <c r="F2017" s="157" t="s">
        <v>2773</v>
      </c>
      <c r="H2017" s="138">
        <v>642</v>
      </c>
      <c r="I2017" s="139" t="str">
        <f>VLOOKUP(H2017,Stock_list!A:R,18,FALSE)</f>
        <v>利速达</v>
      </c>
      <c r="J2017" s="139" t="str">
        <f>VLOOKUP(H2017,Stock_list!A:S,17,FALSE)</f>
        <v>C49SZX20200037SX-R1</v>
      </c>
      <c r="K2017" s="51" t="str">
        <f>VLOOKUP(H2017,Stock_list!A:T,16,FALSE)</f>
        <v>RMB</v>
      </c>
      <c r="L2017" s="4">
        <v>43970</v>
      </c>
      <c r="M2017" s="132">
        <v>11</v>
      </c>
      <c r="P2017" s="4" t="str">
        <f>VLOOKUP(H2017,Stock_list!A:Y,25,FALSE)</f>
        <v>Yes</v>
      </c>
      <c r="T2017" s="144"/>
      <c r="U2017" s="145" t="str">
        <f>VLOOKUP(H2017,Stock_list!A:N,14,FALSE)</f>
        <v>MAY 20</v>
      </c>
    </row>
    <row r="2018" spans="1:21" ht="16.5" customHeight="1">
      <c r="A2018" s="159" t="s">
        <v>2757</v>
      </c>
      <c r="B2018" s="114" t="str">
        <f>VLOOKUP(A2018,'Data pick slip'!B:F,5,FALSE)</f>
        <v>KLJ-MC400-00</v>
      </c>
      <c r="F2018" s="157" t="s">
        <v>2773</v>
      </c>
      <c r="H2018" s="138">
        <v>642</v>
      </c>
      <c r="I2018" s="139" t="str">
        <f>VLOOKUP(H2018,Stock_list!A:R,18,FALSE)</f>
        <v>利速达</v>
      </c>
      <c r="J2018" s="139" t="str">
        <f>VLOOKUP(H2018,Stock_list!A:S,17,FALSE)</f>
        <v>C49SZX20200037SX-R1</v>
      </c>
      <c r="K2018" s="51" t="str">
        <f>VLOOKUP(H2018,Stock_list!A:T,16,FALSE)</f>
        <v>RMB</v>
      </c>
      <c r="L2018" s="4">
        <v>43970</v>
      </c>
      <c r="M2018" s="132">
        <v>4</v>
      </c>
      <c r="P2018" s="4" t="str">
        <f>VLOOKUP(H2018,Stock_list!A:Y,25,FALSE)</f>
        <v>Yes</v>
      </c>
      <c r="Q2018" s="143"/>
      <c r="T2018" s="144"/>
      <c r="U2018" s="145" t="str">
        <f>VLOOKUP(H2018,Stock_list!A:N,14,FALSE)</f>
        <v>MAY 20</v>
      </c>
    </row>
    <row r="2019" spans="1:21" ht="16.5" customHeight="1">
      <c r="A2019" s="159" t="s">
        <v>2744</v>
      </c>
      <c r="B2019" s="114" t="str">
        <f>VLOOKUP(A2019,'Data pick slip'!B:F,5,FALSE)</f>
        <v>KHJ-MC100-00</v>
      </c>
      <c r="F2019" s="157" t="s">
        <v>2862</v>
      </c>
      <c r="I2019" s="139" t="s">
        <v>3016</v>
      </c>
      <c r="J2019" s="139" t="s">
        <v>3278</v>
      </c>
      <c r="K2019" s="51" t="s">
        <v>1246</v>
      </c>
      <c r="L2019" s="4">
        <v>43964</v>
      </c>
      <c r="M2019" s="140">
        <v>160</v>
      </c>
      <c r="P2019" s="4" t="s">
        <v>291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2757</v>
      </c>
      <c r="B2020" s="114" t="str">
        <f>VLOOKUP(A2020,'Data pick slip'!B:F,5,FALSE)</f>
        <v>KLJ-MC400-00</v>
      </c>
      <c r="F2020" s="157" t="s">
        <v>2862</v>
      </c>
      <c r="I2020" s="139" t="s">
        <v>3016</v>
      </c>
      <c r="J2020" s="139" t="s">
        <v>3278</v>
      </c>
      <c r="K2020" s="51" t="s">
        <v>1246</v>
      </c>
      <c r="L2020" s="4">
        <v>43964</v>
      </c>
      <c r="M2020" s="140">
        <v>12</v>
      </c>
      <c r="P2020" s="4" t="s">
        <v>291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2744</v>
      </c>
      <c r="B2021" s="114" t="str">
        <f>VLOOKUP(A2021,'Data pick slip'!B:F,5,FALSE)</f>
        <v>KHJ-MC100-00</v>
      </c>
      <c r="F2021" s="157" t="s">
        <v>2773</v>
      </c>
      <c r="H2021" s="138">
        <v>645</v>
      </c>
      <c r="I2021" s="139" t="str">
        <f>VLOOKUP(H2021,Stock_list!A:R,18,FALSE)</f>
        <v>迅丰</v>
      </c>
      <c r="J2021" s="139" t="str">
        <f>VLOOKUP(H2021,Stock_list!A:S,17,FALSE)</f>
        <v>C49SZX20200060SX</v>
      </c>
      <c r="K2021" s="51" t="str">
        <f>VLOOKUP(H2021,Stock_list!A:T,16,FALSE)</f>
        <v>RMB</v>
      </c>
      <c r="L2021" s="4">
        <v>43999</v>
      </c>
      <c r="M2021" s="132">
        <v>100</v>
      </c>
      <c r="P2021" s="4" t="str">
        <f>VLOOKUP(H2021,Stock_list!A:Y,25,FALSE)</f>
        <v>Yes</v>
      </c>
      <c r="Q2021" s="143"/>
      <c r="T2021" s="144"/>
      <c r="U2021" s="145" t="str">
        <f>VLOOKUP(H2021,Stock_list!A:N,14,FALSE)</f>
        <v>JUN 20</v>
      </c>
    </row>
    <row r="2022" spans="1:21" ht="16.5" customHeight="1">
      <c r="A2022" s="159" t="s">
        <v>2747</v>
      </c>
      <c r="B2022" s="114" t="str">
        <f>VLOOKUP(A2022,'Data pick slip'!B:F,5,FALSE)</f>
        <v>KHJ-MC200-00</v>
      </c>
      <c r="F2022" s="157" t="s">
        <v>2773</v>
      </c>
      <c r="H2022" s="138">
        <v>645</v>
      </c>
      <c r="I2022" s="139" t="str">
        <f>VLOOKUP(H2022,Stock_list!A:R,18,FALSE)</f>
        <v>迅丰</v>
      </c>
      <c r="J2022" s="139" t="str">
        <f>VLOOKUP(H2022,Stock_list!A:S,17,FALSE)</f>
        <v>C49SZX20200060SX</v>
      </c>
      <c r="K2022" s="51" t="str">
        <f>VLOOKUP(H2022,Stock_list!A:T,16,FALSE)</f>
        <v>RMB</v>
      </c>
      <c r="L2022" s="4">
        <v>43999</v>
      </c>
      <c r="M2022" s="132">
        <v>10</v>
      </c>
      <c r="P2022" s="4" t="str">
        <f>VLOOKUP(H2022,Stock_list!A:Y,25,FALSE)</f>
        <v>Yes</v>
      </c>
      <c r="Q2022" s="143"/>
      <c r="T2022" s="144"/>
      <c r="U2022" s="145" t="str">
        <f>VLOOKUP(H2022,Stock_list!A:N,14,FALSE)</f>
        <v>JUN 20</v>
      </c>
    </row>
    <row r="2023" spans="1:21" ht="16.5" customHeight="1">
      <c r="A2023" s="159" t="s">
        <v>2748</v>
      </c>
      <c r="B2023" s="114" t="str">
        <f>VLOOKUP(A2023,'Data pick slip'!B:F,5,FALSE)</f>
        <v>KHJ-MC400-00</v>
      </c>
      <c r="F2023" s="157" t="s">
        <v>2773</v>
      </c>
      <c r="H2023" s="138">
        <v>645</v>
      </c>
      <c r="I2023" s="139" t="str">
        <f>VLOOKUP(H2023,Stock_list!A:R,18,FALSE)</f>
        <v>迅丰</v>
      </c>
      <c r="J2023" s="139" t="str">
        <f>VLOOKUP(H2023,Stock_list!A:S,17,FALSE)</f>
        <v>C49SZX20200060SX</v>
      </c>
      <c r="K2023" s="51" t="str">
        <f>VLOOKUP(H2023,Stock_list!A:T,16,FALSE)</f>
        <v>RMB</v>
      </c>
      <c r="L2023" s="4">
        <v>43999</v>
      </c>
      <c r="M2023" s="132">
        <v>3</v>
      </c>
      <c r="P2023" s="4" t="str">
        <f>VLOOKUP(H2023,Stock_list!A:Y,25,FALSE)</f>
        <v>Yes</v>
      </c>
      <c r="Q2023" s="143"/>
      <c r="T2023" s="144"/>
      <c r="U2023" s="145" t="str">
        <f>VLOOKUP(H2023,Stock_list!A:N,14,FALSE)</f>
        <v>JUN 20</v>
      </c>
    </row>
    <row r="2024" spans="1:21" ht="16.5" customHeight="1">
      <c r="A2024" s="159" t="s">
        <v>2749</v>
      </c>
      <c r="B2024" s="114" t="str">
        <f>VLOOKUP(A2024,'Data pick slip'!B:F,5,FALSE)</f>
        <v>KHJ-MC500-00</v>
      </c>
      <c r="F2024" s="157" t="s">
        <v>2773</v>
      </c>
      <c r="H2024" s="138">
        <v>645</v>
      </c>
      <c r="I2024" s="139" t="str">
        <f>VLOOKUP(H2024,Stock_list!A:R,18,FALSE)</f>
        <v>迅丰</v>
      </c>
      <c r="J2024" s="139" t="str">
        <f>VLOOKUP(H2024,Stock_list!A:S,17,FALSE)</f>
        <v>C49SZX20200060SX</v>
      </c>
      <c r="K2024" s="51" t="str">
        <f>VLOOKUP(H2024,Stock_list!A:T,16,FALSE)</f>
        <v>RMB</v>
      </c>
      <c r="L2024" s="4">
        <v>43999</v>
      </c>
      <c r="M2024" s="132">
        <v>1</v>
      </c>
      <c r="P2024" s="4" t="str">
        <f>VLOOKUP(H2024,Stock_list!A:Y,25,FALSE)</f>
        <v>Yes</v>
      </c>
      <c r="Q2024" s="143"/>
      <c r="T2024" s="144"/>
      <c r="U2024" s="145" t="str">
        <f>VLOOKUP(H2024,Stock_list!A:N,14,FALSE)</f>
        <v>JUN 20</v>
      </c>
    </row>
    <row r="2025" spans="1:21" ht="16.5" customHeight="1">
      <c r="A2025" s="159" t="s">
        <v>2749</v>
      </c>
      <c r="B2025" s="114" t="str">
        <f>VLOOKUP(A2025,'Data pick slip'!B:F,5,FALSE)</f>
        <v>KHJ-MC500-00</v>
      </c>
      <c r="F2025" s="157" t="s">
        <v>2773</v>
      </c>
      <c r="I2025" s="139" t="s">
        <v>3094</v>
      </c>
      <c r="J2025" s="139" t="s">
        <v>3279</v>
      </c>
      <c r="K2025" s="51" t="s">
        <v>1246</v>
      </c>
      <c r="L2025" s="4">
        <v>43970</v>
      </c>
      <c r="M2025" s="140">
        <v>1</v>
      </c>
      <c r="P2025" s="4" t="s">
        <v>291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2756</v>
      </c>
      <c r="B2026" s="114" t="str">
        <f>VLOOKUP(A2026,'Data pick slip'!B:F,5,FALSE)</f>
        <v>KLJ-MC200-00</v>
      </c>
      <c r="F2026" s="157" t="s">
        <v>2862</v>
      </c>
      <c r="I2026" s="139" t="s">
        <v>2854</v>
      </c>
      <c r="J2026" s="139" t="s">
        <v>3280</v>
      </c>
      <c r="K2026" s="51" t="s">
        <v>3003</v>
      </c>
      <c r="L2026" s="4">
        <v>43971</v>
      </c>
      <c r="M2026" s="140">
        <v>14</v>
      </c>
      <c r="P2026" s="4" t="s">
        <v>291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2748</v>
      </c>
      <c r="B2027" s="114" t="str">
        <f>VLOOKUP(A2027,'Data pick slip'!B:F,5,FALSE)</f>
        <v>KHJ-MC400-00</v>
      </c>
      <c r="F2027" s="157" t="s">
        <v>2773</v>
      </c>
      <c r="I2027" s="139" t="s">
        <v>3100</v>
      </c>
      <c r="J2027" s="139" t="s">
        <v>3281</v>
      </c>
      <c r="K2027" s="51" t="s">
        <v>1246</v>
      </c>
      <c r="L2027" s="4">
        <v>43998</v>
      </c>
      <c r="M2027" s="140">
        <v>1</v>
      </c>
      <c r="P2027" s="4" t="s">
        <v>291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2755</v>
      </c>
      <c r="B2028" s="114" t="str">
        <f>VLOOKUP(A2028,'Data pick slip'!B:F,5,FALSE)</f>
        <v>KLJ-MC100-00</v>
      </c>
      <c r="F2028" s="157" t="s">
        <v>2862</v>
      </c>
      <c r="H2028" s="138">
        <v>461</v>
      </c>
      <c r="I2028" s="139" t="str">
        <f>VLOOKUP(H2028,Stock_list!A:R,18,FALSE)</f>
        <v>魔乐视/end user:拓普赛特</v>
      </c>
      <c r="J2028" s="139" t="str">
        <f>VLOOKUP(H2028,Stock_list!A:S,17,FALSE)</f>
        <v>C49SZX20190151MZ</v>
      </c>
      <c r="K2028" s="51" t="str">
        <f>VLOOKUP(H2028,Stock_list!A:T,16,FALSE)</f>
        <v>JPY</v>
      </c>
      <c r="L2028" s="4">
        <v>44061</v>
      </c>
      <c r="M2028" s="132">
        <v>100</v>
      </c>
      <c r="P2028" s="4" t="str">
        <f>VLOOKUP(H2028,Stock_list!A:Y,25,FALSE)</f>
        <v>Yes</v>
      </c>
      <c r="Q2028" s="143"/>
      <c r="T2028" s="144"/>
      <c r="U2028" s="145" t="str">
        <f>VLOOKUP(H2028,Stock_list!A:N,14,FALSE)</f>
        <v>AUG 20</v>
      </c>
    </row>
    <row r="2029" spans="1:21" ht="16.5" customHeight="1">
      <c r="A2029" s="159" t="s">
        <v>2756</v>
      </c>
      <c r="B2029" s="114" t="str">
        <f>VLOOKUP(A2029,'Data pick slip'!B:F,5,FALSE)</f>
        <v>KLJ-MC200-00</v>
      </c>
      <c r="F2029" s="157" t="s">
        <v>2862</v>
      </c>
      <c r="H2029" s="138">
        <v>461</v>
      </c>
      <c r="I2029" s="139" t="str">
        <f>VLOOKUP(H2029,Stock_list!A:R,18,FALSE)</f>
        <v>魔乐视/end user:拓普赛特</v>
      </c>
      <c r="J2029" s="139" t="str">
        <f>VLOOKUP(H2029,Stock_list!A:S,17,FALSE)</f>
        <v>C49SZX20190151MZ</v>
      </c>
      <c r="K2029" s="51" t="str">
        <f>VLOOKUP(H2029,Stock_list!A:T,16,FALSE)</f>
        <v>JPY</v>
      </c>
      <c r="L2029" s="4">
        <v>44061</v>
      </c>
      <c r="M2029" s="132">
        <v>20</v>
      </c>
      <c r="P2029" s="4" t="str">
        <f>VLOOKUP(H2029,Stock_list!A:Y,25,FALSE)</f>
        <v>Yes</v>
      </c>
      <c r="T2029" s="144"/>
      <c r="U2029" s="145" t="str">
        <f>VLOOKUP(H2029,Stock_list!A:N,14,FALSE)</f>
        <v>AUG 20</v>
      </c>
    </row>
    <row r="2030" spans="1:21" ht="16.5" customHeight="1">
      <c r="A2030" s="159" t="s">
        <v>2757</v>
      </c>
      <c r="B2030" s="114" t="str">
        <f>VLOOKUP(A2030,'Data pick slip'!B:F,5,FALSE)</f>
        <v>KLJ-MC400-00</v>
      </c>
      <c r="F2030" s="157" t="s">
        <v>2862</v>
      </c>
      <c r="H2030" s="138">
        <v>461</v>
      </c>
      <c r="I2030" s="139" t="str">
        <f>VLOOKUP(H2030,Stock_list!A:R,18,FALSE)</f>
        <v>魔乐视/end user:拓普赛特</v>
      </c>
      <c r="J2030" s="139" t="str">
        <f>VLOOKUP(H2030,Stock_list!A:S,17,FALSE)</f>
        <v>C49SZX20190151MZ</v>
      </c>
      <c r="K2030" s="51" t="str">
        <f>VLOOKUP(H2030,Stock_list!A:T,16,FALSE)</f>
        <v>JPY</v>
      </c>
      <c r="L2030" s="4">
        <v>44061</v>
      </c>
      <c r="M2030" s="132">
        <v>3</v>
      </c>
      <c r="P2030" s="4" t="str">
        <f>VLOOKUP(H2030,Stock_list!A:Y,25,FALSE)</f>
        <v>Yes</v>
      </c>
      <c r="Q2030" s="143"/>
      <c r="T2030" s="144"/>
      <c r="U2030" s="145" t="str">
        <f>VLOOKUP(H2030,Stock_list!A:N,14,FALSE)</f>
        <v>AUG 20</v>
      </c>
    </row>
    <row r="2031" spans="1:21" ht="16.5" customHeight="1">
      <c r="A2031" s="159" t="s">
        <v>2758</v>
      </c>
      <c r="B2031" s="114" t="str">
        <f>VLOOKUP(A2031,'Data pick slip'!B:F,5,FALSE)</f>
        <v>KLJ-MC500-00</v>
      </c>
      <c r="F2031" s="157" t="s">
        <v>2862</v>
      </c>
      <c r="H2031" s="138">
        <v>461</v>
      </c>
      <c r="I2031" s="139" t="str">
        <f>VLOOKUP(H2031,Stock_list!A:R,18,FALSE)</f>
        <v>魔乐视/end user:拓普赛特</v>
      </c>
      <c r="J2031" s="139" t="str">
        <f>VLOOKUP(H2031,Stock_list!A:S,17,FALSE)</f>
        <v>C49SZX20190151MZ</v>
      </c>
      <c r="K2031" s="51" t="str">
        <f>VLOOKUP(H2031,Stock_list!A:T,16,FALSE)</f>
        <v>JPY</v>
      </c>
      <c r="L2031" s="4">
        <v>44061</v>
      </c>
      <c r="M2031" s="132">
        <v>1</v>
      </c>
      <c r="P2031" s="4" t="str">
        <f>VLOOKUP(H2031,Stock_list!A:Y,25,FALSE)</f>
        <v>Yes</v>
      </c>
      <c r="Q2031" s="143"/>
      <c r="T2031" s="144"/>
      <c r="U2031" s="145" t="str">
        <f>VLOOKUP(H2031,Stock_list!A:N,14,FALSE)</f>
        <v>AUG 20</v>
      </c>
    </row>
    <row r="2032" spans="1:21" ht="16.5" customHeight="1">
      <c r="A2032" s="159" t="s">
        <v>2756</v>
      </c>
      <c r="B2032" s="114" t="str">
        <f>VLOOKUP(A2032,'Data pick slip'!B:F,5,FALSE)</f>
        <v>KLJ-MC200-00</v>
      </c>
      <c r="F2032" s="157" t="s">
        <v>2773</v>
      </c>
      <c r="I2032" s="139" t="s">
        <v>3116</v>
      </c>
      <c r="J2032" s="139" t="s">
        <v>3282</v>
      </c>
      <c r="K2032" s="51" t="s">
        <v>1246</v>
      </c>
      <c r="L2032" s="4">
        <v>43972</v>
      </c>
      <c r="M2032" s="140">
        <v>14</v>
      </c>
      <c r="P2032" s="4" t="s">
        <v>291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2748</v>
      </c>
      <c r="B2033" s="114" t="str">
        <f>VLOOKUP(A2033,'Data pick slip'!B:F,5,FALSE)</f>
        <v>KHJ-MC400-00</v>
      </c>
      <c r="F2033" s="157" t="s">
        <v>2773</v>
      </c>
      <c r="I2033" s="139" t="s">
        <v>3116</v>
      </c>
      <c r="J2033" s="139" t="s">
        <v>3283</v>
      </c>
      <c r="K2033" s="51" t="s">
        <v>1246</v>
      </c>
      <c r="L2033" s="4">
        <v>43972</v>
      </c>
      <c r="M2033" s="140">
        <v>3</v>
      </c>
      <c r="P2033" s="4" t="s">
        <v>291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2751</v>
      </c>
      <c r="B2034" s="114" t="str">
        <f>VLOOKUP(A2034,'Data pick slip'!B:F,5,FALSE)</f>
        <v>KHJ-MC700-00</v>
      </c>
      <c r="F2034" s="157" t="s">
        <v>2773</v>
      </c>
      <c r="I2034" s="139" t="s">
        <v>3116</v>
      </c>
      <c r="J2034" s="139" t="s">
        <v>3283</v>
      </c>
      <c r="K2034" s="51" t="s">
        <v>1246</v>
      </c>
      <c r="L2034" s="4">
        <v>43972</v>
      </c>
      <c r="M2034" s="140">
        <v>1</v>
      </c>
      <c r="P2034" s="4" t="s">
        <v>291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2744</v>
      </c>
      <c r="B2035" s="114" t="str">
        <f>VLOOKUP(A2035,'Data pick slip'!B:F,5,FALSE)</f>
        <v>KHJ-MC100-00</v>
      </c>
      <c r="F2035" s="157" t="s">
        <v>2773</v>
      </c>
      <c r="I2035" s="139" t="s">
        <v>3094</v>
      </c>
      <c r="J2035" s="139" t="s">
        <v>3284</v>
      </c>
      <c r="K2035" s="51" t="s">
        <v>1246</v>
      </c>
      <c r="L2035" s="4">
        <v>43973</v>
      </c>
      <c r="M2035" s="140">
        <v>2</v>
      </c>
      <c r="P2035" s="4" t="s">
        <v>291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2744</v>
      </c>
      <c r="B2036" s="114" t="str">
        <f>VLOOKUP(A2036,'Data pick slip'!B:F,5,FALSE)</f>
        <v>KHJ-MC100-00</v>
      </c>
      <c r="F2036" s="157" t="s">
        <v>2773</v>
      </c>
      <c r="I2036" s="139" t="s">
        <v>3094</v>
      </c>
      <c r="J2036" s="139" t="s">
        <v>3285</v>
      </c>
      <c r="K2036" s="51" t="s">
        <v>1246</v>
      </c>
      <c r="L2036" s="4">
        <v>43973</v>
      </c>
      <c r="M2036" s="140">
        <v>1</v>
      </c>
      <c r="P2036" s="4" t="s">
        <v>291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2744</v>
      </c>
      <c r="B2037" s="114" t="str">
        <f>VLOOKUP(A2037,'Data pick slip'!B:F,5,FALSE)</f>
        <v>KHJ-MC100-00</v>
      </c>
      <c r="F2037" s="157" t="s">
        <v>2773</v>
      </c>
      <c r="H2037" s="138">
        <v>652</v>
      </c>
      <c r="I2037" s="139" t="str">
        <f>VLOOKUP(H2037,Stock_list!A:R,18,FALSE)</f>
        <v>城宇</v>
      </c>
      <c r="J2037" s="139" t="str">
        <f>VLOOKUP(H2037,Stock_list!A:S,17,FALSE)</f>
        <v>C49SZX20200025MX</v>
      </c>
      <c r="K2037" s="51" t="str">
        <f>VLOOKUP(H2037,Stock_list!A:T,16,FALSE)</f>
        <v>RMB</v>
      </c>
      <c r="L2037" s="4">
        <v>43985</v>
      </c>
      <c r="M2037" s="132">
        <v>15</v>
      </c>
      <c r="P2037" s="4" t="str">
        <f>VLOOKUP(H2037,Stock_list!A:Y,25,FALSE)</f>
        <v>Yes</v>
      </c>
      <c r="Q2037" s="143"/>
      <c r="T2037" s="144"/>
      <c r="U2037" s="145" t="str">
        <f>VLOOKUP(H2037,Stock_list!A:N,14,FALSE)</f>
        <v>JUN 20</v>
      </c>
    </row>
    <row r="2038" spans="1:21" ht="16.5" customHeight="1">
      <c r="A2038" s="159" t="s">
        <v>2756</v>
      </c>
      <c r="B2038" s="114" t="str">
        <f>VLOOKUP(A2038,'Data pick slip'!B:F,5,FALSE)</f>
        <v>KLJ-MC200-00</v>
      </c>
      <c r="F2038" s="157" t="s">
        <v>2773</v>
      </c>
      <c r="H2038" s="138">
        <v>652</v>
      </c>
      <c r="I2038" s="139" t="str">
        <f>VLOOKUP(H2038,Stock_list!A:R,18,FALSE)</f>
        <v>城宇</v>
      </c>
      <c r="J2038" s="139" t="str">
        <f>VLOOKUP(H2038,Stock_list!A:S,17,FALSE)</f>
        <v>C49SZX20200025MX</v>
      </c>
      <c r="K2038" s="51" t="str">
        <f>VLOOKUP(H2038,Stock_list!A:T,16,FALSE)</f>
        <v>RMB</v>
      </c>
      <c r="L2038" s="4">
        <v>43985</v>
      </c>
      <c r="M2038" s="132">
        <v>3</v>
      </c>
      <c r="P2038" s="4" t="str">
        <f>VLOOKUP(H2038,Stock_list!A:Y,25,FALSE)</f>
        <v>Yes</v>
      </c>
      <c r="T2038" s="144"/>
      <c r="U2038" s="145" t="str">
        <f>VLOOKUP(H2038,Stock_list!A:N,14,FALSE)</f>
        <v>JUN 20</v>
      </c>
    </row>
    <row r="2039" spans="1:21" ht="16.5" customHeight="1">
      <c r="A2039" s="159" t="s">
        <v>2744</v>
      </c>
      <c r="B2039" s="114" t="str">
        <f>VLOOKUP(A2039,'Data pick slip'!B:F,5,FALSE)</f>
        <v>KHJ-MC100-00</v>
      </c>
      <c r="F2039" s="157" t="s">
        <v>2773</v>
      </c>
      <c r="I2039" s="139" t="s">
        <v>3094</v>
      </c>
      <c r="J2039" s="139" t="s">
        <v>3286</v>
      </c>
      <c r="K2039" s="51" t="s">
        <v>1246</v>
      </c>
      <c r="L2039" s="4">
        <v>43977</v>
      </c>
      <c r="M2039" s="140">
        <v>20</v>
      </c>
      <c r="P2039" s="4" t="s">
        <v>291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2749</v>
      </c>
      <c r="B2040" s="114" t="str">
        <f>VLOOKUP(A2040,'Data pick slip'!B:F,5,FALSE)</f>
        <v>KHJ-MC500-00</v>
      </c>
      <c r="F2040" s="157" t="s">
        <v>2773</v>
      </c>
      <c r="I2040" s="139" t="s">
        <v>3287</v>
      </c>
      <c r="J2040" s="139" t="s">
        <v>3288</v>
      </c>
      <c r="K2040" s="51" t="s">
        <v>1246</v>
      </c>
      <c r="L2040" s="4">
        <v>43985</v>
      </c>
      <c r="M2040" s="140">
        <v>3</v>
      </c>
      <c r="P2040" s="4" t="s">
        <v>291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2747</v>
      </c>
      <c r="B2041" s="114" t="str">
        <f>VLOOKUP(A2041,'Data pick slip'!B:F,5,FALSE)</f>
        <v>KHJ-MC200-00</v>
      </c>
      <c r="F2041" s="157" t="s">
        <v>2862</v>
      </c>
      <c r="I2041" s="139" t="s">
        <v>3016</v>
      </c>
      <c r="J2041" s="139" t="s">
        <v>3289</v>
      </c>
      <c r="K2041" s="51" t="s">
        <v>1246</v>
      </c>
      <c r="L2041" s="4">
        <v>43984</v>
      </c>
      <c r="M2041" s="140">
        <v>4</v>
      </c>
      <c r="P2041" s="4" t="s">
        <v>291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2749</v>
      </c>
      <c r="B2042" s="114" t="str">
        <f>VLOOKUP(A2042,'Data pick slip'!B:F,5,FALSE)</f>
        <v>KHJ-MC500-00</v>
      </c>
      <c r="F2042" s="157" t="s">
        <v>2862</v>
      </c>
      <c r="I2042" s="139" t="s">
        <v>3016</v>
      </c>
      <c r="J2042" s="139" t="s">
        <v>3289</v>
      </c>
      <c r="K2042" s="51" t="s">
        <v>1246</v>
      </c>
      <c r="L2042" s="4">
        <v>43984</v>
      </c>
      <c r="M2042" s="140">
        <v>4</v>
      </c>
      <c r="P2042" s="4" t="s">
        <v>291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2760</v>
      </c>
      <c r="B2043" s="114" t="str">
        <f>VLOOKUP(A2043,'Data pick slip'!B:F,5,FALSE)</f>
        <v>KLJ-MC700-00</v>
      </c>
      <c r="F2043" s="157" t="s">
        <v>2862</v>
      </c>
      <c r="I2043" s="139" t="s">
        <v>3016</v>
      </c>
      <c r="J2043" s="139" t="s">
        <v>3289</v>
      </c>
      <c r="K2043" s="51" t="s">
        <v>1246</v>
      </c>
      <c r="L2043" s="4">
        <v>43984</v>
      </c>
      <c r="M2043" s="140">
        <v>1</v>
      </c>
      <c r="P2043" s="4" t="s">
        <v>291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2751</v>
      </c>
      <c r="B2044" s="114" t="str">
        <f>VLOOKUP(A2044,'Data pick slip'!B:F,5,FALSE)</f>
        <v>KHJ-MC700-00</v>
      </c>
      <c r="F2044" s="157" t="s">
        <v>2862</v>
      </c>
      <c r="I2044" s="139" t="s">
        <v>3016</v>
      </c>
      <c r="J2044" s="139" t="s">
        <v>3289</v>
      </c>
      <c r="K2044" s="51" t="s">
        <v>1246</v>
      </c>
      <c r="L2044" s="4">
        <v>43984</v>
      </c>
      <c r="M2044" s="140">
        <v>3</v>
      </c>
      <c r="P2044" s="4" t="s">
        <v>291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2744</v>
      </c>
      <c r="B2045" s="114" t="str">
        <f>VLOOKUP(A2045,'Data pick slip'!B:F,5,FALSE)</f>
        <v>KHJ-MC100-00</v>
      </c>
      <c r="F2045" s="157" t="s">
        <v>2773</v>
      </c>
      <c r="H2045" s="138">
        <v>656</v>
      </c>
      <c r="I2045" s="139" t="str">
        <f>VLOOKUP(H2045,Stock_list!A:R,18,FALSE)</f>
        <v>中润互联</v>
      </c>
      <c r="J2045" s="139" t="str">
        <f>VLOOKUP(H2045,Stock_list!A:S,17,FALSE)</f>
        <v>C49SZX20200058SS</v>
      </c>
      <c r="K2045" s="51" t="str">
        <f>VLOOKUP(H2045,Stock_list!A:T,16,FALSE)</f>
        <v>RMB</v>
      </c>
      <c r="L2045" s="4">
        <v>44029</v>
      </c>
      <c r="M2045" s="132">
        <v>90</v>
      </c>
      <c r="P2045" s="4" t="str">
        <f>VLOOKUP(H2045,Stock_list!A:Y,25,FALSE)</f>
        <v>Yes</v>
      </c>
      <c r="Q2045" s="143"/>
      <c r="T2045" s="144"/>
      <c r="U2045" s="145" t="str">
        <f>VLOOKUP(H2045,Stock_list!A:N,14,FALSE)</f>
        <v>JUL 20</v>
      </c>
    </row>
    <row r="2046" spans="1:21" ht="16.5" customHeight="1">
      <c r="A2046" s="159" t="s">
        <v>2744</v>
      </c>
      <c r="B2046" s="114" t="str">
        <f>VLOOKUP(A2046,'Data pick slip'!B:F,5,FALSE)</f>
        <v>KHJ-MC100-00</v>
      </c>
      <c r="F2046" s="157" t="s">
        <v>2773</v>
      </c>
      <c r="H2046" s="138">
        <v>656</v>
      </c>
      <c r="I2046" s="139" t="str">
        <f>VLOOKUP(H2046,Stock_list!A:R,18,FALSE)</f>
        <v>中润互联</v>
      </c>
      <c r="J2046" s="139" t="str">
        <f>VLOOKUP(H2046,Stock_list!A:S,17,FALSE)</f>
        <v>C49SZX20200058SS</v>
      </c>
      <c r="K2046" s="51" t="str">
        <f>VLOOKUP(H2046,Stock_list!A:T,16,FALSE)</f>
        <v>RMB</v>
      </c>
      <c r="L2046" s="4">
        <v>44012</v>
      </c>
      <c r="M2046" s="132">
        <v>30</v>
      </c>
      <c r="O2046" s="149"/>
      <c r="P2046" s="4" t="str">
        <f>VLOOKUP(H2046,Stock_list!A:Y,25,FALSE)</f>
        <v>Yes</v>
      </c>
      <c r="Q2046" s="143"/>
      <c r="T2046" s="144"/>
      <c r="U2046" s="145" t="str">
        <f>VLOOKUP(H2046,Stock_list!A:N,14,FALSE)</f>
        <v>JUL 20</v>
      </c>
    </row>
    <row r="2047" spans="1:21" ht="16.5" customHeight="1">
      <c r="A2047" s="159" t="s">
        <v>2747</v>
      </c>
      <c r="B2047" s="114" t="str">
        <f>VLOOKUP(A2047,'Data pick slip'!B:F,5,FALSE)</f>
        <v>KHJ-MC200-00</v>
      </c>
      <c r="F2047" s="157" t="s">
        <v>2773</v>
      </c>
      <c r="H2047" s="138">
        <v>656</v>
      </c>
      <c r="I2047" s="139" t="str">
        <f>VLOOKUP(H2047,Stock_list!A:R,18,FALSE)</f>
        <v>中润互联</v>
      </c>
      <c r="J2047" s="139" t="str">
        <f>VLOOKUP(H2047,Stock_list!A:S,17,FALSE)</f>
        <v>C49SZX20200058SS</v>
      </c>
      <c r="K2047" s="51" t="str">
        <f>VLOOKUP(H2047,Stock_list!A:T,16,FALSE)</f>
        <v>RMB</v>
      </c>
      <c r="L2047" s="4">
        <v>43998</v>
      </c>
      <c r="M2047" s="140">
        <v>15</v>
      </c>
      <c r="O2047" s="149"/>
      <c r="P2047" s="4" t="str">
        <f>VLOOKUP(H2047,Stock_list!A:Y,25,FALSE)</f>
        <v>Yes</v>
      </c>
      <c r="Q2047" s="143"/>
      <c r="T2047" s="144"/>
      <c r="U2047" s="145" t="str">
        <f>VLOOKUP(H2047,Stock_list!A:N,14,FALSE)</f>
        <v>JUL 20</v>
      </c>
    </row>
    <row r="2048" spans="1:21" ht="16.5" customHeight="1">
      <c r="A2048" s="159" t="s">
        <v>2747</v>
      </c>
      <c r="B2048" s="114" t="str">
        <f>VLOOKUP(A2048,'Data pick slip'!B:F,5,FALSE)</f>
        <v>KHJ-MC200-00</v>
      </c>
      <c r="F2048" s="157" t="s">
        <v>2773</v>
      </c>
      <c r="H2048" s="138">
        <v>656</v>
      </c>
      <c r="I2048" s="139" t="str">
        <f>VLOOKUP(H2048,Stock_list!A:R,18,FALSE)</f>
        <v>中润互联</v>
      </c>
      <c r="J2048" s="139" t="str">
        <f>VLOOKUP(H2048,Stock_list!A:S,17,FALSE)</f>
        <v>C49SZX20200058SS</v>
      </c>
      <c r="K2048" s="51" t="str">
        <f>VLOOKUP(H2048,Stock_list!A:T,16,FALSE)</f>
        <v>RMB</v>
      </c>
      <c r="L2048" s="4">
        <v>44029</v>
      </c>
      <c r="M2048" s="132">
        <v>3</v>
      </c>
      <c r="O2048" s="140"/>
      <c r="P2048" s="4" t="str">
        <f>VLOOKUP(H2048,Stock_list!A:Y,25,FALSE)</f>
        <v>Yes</v>
      </c>
      <c r="Q2048" s="143"/>
      <c r="T2048" s="144"/>
      <c r="U2048" s="145" t="str">
        <f>VLOOKUP(H2048,Stock_list!A:N,14,FALSE)</f>
        <v>JUL 20</v>
      </c>
    </row>
    <row r="2049" spans="1:21" ht="16.5" customHeight="1">
      <c r="A2049" s="159" t="s">
        <v>2748</v>
      </c>
      <c r="B2049" s="114" t="str">
        <f>VLOOKUP(A2049,'Data pick slip'!B:F,5,FALSE)</f>
        <v>KHJ-MC400-00</v>
      </c>
      <c r="F2049" s="157" t="s">
        <v>2773</v>
      </c>
      <c r="H2049" s="138">
        <v>656</v>
      </c>
      <c r="I2049" s="139" t="str">
        <f>VLOOKUP(H2049,Stock_list!A:R,18,FALSE)</f>
        <v>中润互联</v>
      </c>
      <c r="J2049" s="139" t="str">
        <f>VLOOKUP(H2049,Stock_list!A:S,17,FALSE)</f>
        <v>C49SZX20200058SS</v>
      </c>
      <c r="K2049" s="51" t="str">
        <f>VLOOKUP(H2049,Stock_list!A:T,16,FALSE)</f>
        <v>RMB</v>
      </c>
      <c r="L2049" s="4">
        <v>44029</v>
      </c>
      <c r="M2049" s="132">
        <v>4</v>
      </c>
      <c r="P2049" s="4" t="str">
        <f>VLOOKUP(H2049,Stock_list!A:Y,25,FALSE)</f>
        <v>Yes</v>
      </c>
      <c r="Q2049" s="143"/>
      <c r="T2049" s="144"/>
      <c r="U2049" s="145" t="str">
        <f>VLOOKUP(H2049,Stock_list!A:N,14,FALSE)</f>
        <v>JUL 20</v>
      </c>
    </row>
    <row r="2050" spans="1:21" ht="16.5" customHeight="1">
      <c r="A2050" s="159" t="s">
        <v>2749</v>
      </c>
      <c r="B2050" s="114" t="str">
        <f>VLOOKUP(A2050,'Data pick slip'!B:F,5,FALSE)</f>
        <v>KHJ-MC500-00</v>
      </c>
      <c r="F2050" s="157" t="s">
        <v>2773</v>
      </c>
      <c r="H2050" s="138">
        <v>656</v>
      </c>
      <c r="I2050" s="139" t="str">
        <f>VLOOKUP(H2050,Stock_list!A:R,18,FALSE)</f>
        <v>中润互联</v>
      </c>
      <c r="J2050" s="139" t="str">
        <f>VLOOKUP(H2050,Stock_list!A:S,17,FALSE)</f>
        <v>C49SZX20200058SS</v>
      </c>
      <c r="K2050" s="51" t="str">
        <f>VLOOKUP(H2050,Stock_list!A:T,16,FALSE)</f>
        <v>RMB</v>
      </c>
      <c r="L2050" s="4">
        <v>44029</v>
      </c>
      <c r="M2050" s="132">
        <v>4</v>
      </c>
      <c r="P2050" s="4" t="str">
        <f>VLOOKUP(H2050,Stock_list!A:Y,25,FALSE)</f>
        <v>Yes</v>
      </c>
      <c r="Q2050" s="143"/>
      <c r="T2050" s="144"/>
      <c r="U2050" s="145" t="str">
        <f>VLOOKUP(H2050,Stock_list!A:N,14,FALSE)</f>
        <v>JUL 20</v>
      </c>
    </row>
    <row r="2051" spans="1:21" ht="16.5" customHeight="1">
      <c r="A2051" s="159" t="s">
        <v>2750</v>
      </c>
      <c r="B2051" s="114" t="str">
        <f>VLOOKUP(A2051,'Data pick slip'!B:F,5,FALSE)</f>
        <v>KHJ-MC600-00</v>
      </c>
      <c r="F2051" s="157" t="s">
        <v>2773</v>
      </c>
      <c r="H2051" s="138">
        <v>656</v>
      </c>
      <c r="I2051" s="139" t="str">
        <f>VLOOKUP(H2051,Stock_list!A:R,18,FALSE)</f>
        <v>中润互联</v>
      </c>
      <c r="J2051" s="139" t="str">
        <f>VLOOKUP(H2051,Stock_list!A:S,17,FALSE)</f>
        <v>C49SZX20200058SS</v>
      </c>
      <c r="K2051" s="51" t="str">
        <f>VLOOKUP(H2051,Stock_list!A:T,16,FALSE)</f>
        <v>RMB</v>
      </c>
      <c r="L2051" s="4">
        <v>44029</v>
      </c>
      <c r="M2051" s="132">
        <v>1</v>
      </c>
      <c r="P2051" s="4" t="str">
        <f>VLOOKUP(H2051,Stock_list!A:Y,25,FALSE)</f>
        <v>Yes</v>
      </c>
      <c r="Q2051" s="143"/>
      <c r="T2051" s="144"/>
      <c r="U2051" s="145" t="str">
        <f>VLOOKUP(H2051,Stock_list!A:N,14,FALSE)</f>
        <v>JUL 20</v>
      </c>
    </row>
    <row r="2052" spans="1:21" ht="16.5" customHeight="1">
      <c r="A2052" s="159" t="s">
        <v>2744</v>
      </c>
      <c r="B2052" s="114" t="str">
        <f>VLOOKUP(A2052,'Data pick slip'!B:F,5,FALSE)</f>
        <v>KHJ-MC100-00</v>
      </c>
      <c r="F2052" s="157" t="s">
        <v>2773</v>
      </c>
      <c r="I2052" s="139" t="s">
        <v>3100</v>
      </c>
      <c r="J2052" s="139" t="s">
        <v>3290</v>
      </c>
      <c r="K2052" s="51" t="s">
        <v>1246</v>
      </c>
      <c r="L2052" s="4">
        <v>43990</v>
      </c>
      <c r="M2052" s="140">
        <v>10</v>
      </c>
      <c r="P2052" s="4" t="s">
        <v>291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2747</v>
      </c>
      <c r="B2053" s="114" t="str">
        <f>VLOOKUP(A2053,'Data pick slip'!B:F,5,FALSE)</f>
        <v>KHJ-MC200-00</v>
      </c>
      <c r="F2053" s="157" t="s">
        <v>2773</v>
      </c>
      <c r="I2053" s="139" t="s">
        <v>3100</v>
      </c>
      <c r="J2053" s="139" t="s">
        <v>3290</v>
      </c>
      <c r="K2053" s="51" t="s">
        <v>1246</v>
      </c>
      <c r="L2053" s="4">
        <v>43998</v>
      </c>
      <c r="M2053" s="140">
        <v>4</v>
      </c>
      <c r="P2053" s="4" t="s">
        <v>291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2748</v>
      </c>
      <c r="B2054" s="114" t="str">
        <f>VLOOKUP(A2054,'Data pick slip'!B:F,5,FALSE)</f>
        <v>KHJ-MC400-00</v>
      </c>
      <c r="F2054" s="157" t="s">
        <v>2773</v>
      </c>
      <c r="I2054" s="139" t="s">
        <v>3100</v>
      </c>
      <c r="J2054" s="139" t="s">
        <v>3290</v>
      </c>
      <c r="K2054" s="51" t="s">
        <v>1246</v>
      </c>
      <c r="L2054" s="4">
        <v>43998</v>
      </c>
      <c r="M2054" s="140">
        <v>2</v>
      </c>
      <c r="P2054" s="4" t="s">
        <v>291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2744</v>
      </c>
      <c r="B2055" s="114" t="str">
        <f>VLOOKUP(A2055,'Data pick slip'!B:F,5,FALSE)</f>
        <v>KHJ-MC100-00</v>
      </c>
      <c r="F2055" s="157" t="s">
        <v>2773</v>
      </c>
      <c r="H2055" s="138">
        <v>660</v>
      </c>
      <c r="I2055" s="139" t="str">
        <f>VLOOKUP(H2055,Stock_list!A:R,18,FALSE)</f>
        <v>康腾</v>
      </c>
      <c r="J2055" s="139" t="str">
        <f>VLOOKUP(H2055,Stock_list!A:S,17,FALSE)</f>
        <v>C49SZX20200062SS</v>
      </c>
      <c r="K2055" s="51" t="str">
        <f>VLOOKUP(H2055,Stock_list!A:T,16,FALSE)</f>
        <v>RMB</v>
      </c>
      <c r="L2055" s="4">
        <v>44014</v>
      </c>
      <c r="M2055" s="132">
        <v>35</v>
      </c>
      <c r="P2055" s="4" t="str">
        <f>VLOOKUP(H2055,Stock_list!A:Y,25,FALSE)</f>
        <v>Yes</v>
      </c>
      <c r="Q2055" s="143"/>
      <c r="T2055" s="144"/>
      <c r="U2055" s="145" t="str">
        <f>VLOOKUP(H2055,Stock_list!A:N,14,FALSE)</f>
        <v>JUL 20</v>
      </c>
    </row>
    <row r="2056" spans="1:21" ht="16.5" customHeight="1">
      <c r="A2056" s="159" t="s">
        <v>2747</v>
      </c>
      <c r="B2056" s="114" t="str">
        <f>VLOOKUP(A2056,'Data pick slip'!B:F,5,FALSE)</f>
        <v>KHJ-MC200-00</v>
      </c>
      <c r="F2056" s="157" t="s">
        <v>2773</v>
      </c>
      <c r="H2056" s="138">
        <v>660</v>
      </c>
      <c r="I2056" s="139" t="str">
        <f>VLOOKUP(H2056,Stock_list!A:R,18,FALSE)</f>
        <v>康腾</v>
      </c>
      <c r="J2056" s="139" t="str">
        <f>VLOOKUP(H2056,Stock_list!A:S,17,FALSE)</f>
        <v>C49SZX20200062SS</v>
      </c>
      <c r="K2056" s="51" t="str">
        <f>VLOOKUP(H2056,Stock_list!A:T,16,FALSE)</f>
        <v>RMB</v>
      </c>
      <c r="L2056" s="4">
        <v>44014</v>
      </c>
      <c r="M2056" s="132">
        <v>2</v>
      </c>
      <c r="P2056" s="4" t="str">
        <f>VLOOKUP(H2056,Stock_list!A:Y,25,FALSE)</f>
        <v>Yes</v>
      </c>
      <c r="Q2056" s="143"/>
      <c r="T2056" s="144"/>
      <c r="U2056" s="145" t="str">
        <f>VLOOKUP(H2056,Stock_list!A:N,14,FALSE)</f>
        <v>JUL 20</v>
      </c>
    </row>
    <row r="2057" spans="1:21" ht="16.5" customHeight="1">
      <c r="A2057" s="159" t="s">
        <v>2749</v>
      </c>
      <c r="B2057" s="114" t="str">
        <f>VLOOKUP(A2057,'Data pick slip'!B:F,5,FALSE)</f>
        <v>KHJ-MC500-00</v>
      </c>
      <c r="F2057" s="157" t="s">
        <v>2773</v>
      </c>
      <c r="I2057" s="139" t="s">
        <v>3291</v>
      </c>
      <c r="J2057" s="139" t="s">
        <v>3292</v>
      </c>
      <c r="K2057" s="51" t="s">
        <v>1246</v>
      </c>
      <c r="L2057" s="4">
        <v>43993</v>
      </c>
      <c r="M2057" s="140">
        <v>2</v>
      </c>
      <c r="P2057" s="4" t="s">
        <v>291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2744</v>
      </c>
      <c r="B2058" s="114" t="str">
        <f>VLOOKUP(A2058,'Data pick slip'!B:F,5,FALSE)</f>
        <v>KHJ-MC100-00</v>
      </c>
      <c r="F2058" s="157" t="s">
        <v>2773</v>
      </c>
      <c r="H2058" s="138">
        <v>661</v>
      </c>
      <c r="I2058" s="139" t="str">
        <f>VLOOKUP(H2058,Stock_list!A:R,18,FALSE)</f>
        <v>科华/End user 美斯特</v>
      </c>
      <c r="J2058" s="139" t="str">
        <f>VLOOKUP(H2058,Stock_list!A:S,17,FALSE)</f>
        <v>C49SZX20200065JZ</v>
      </c>
      <c r="K2058" s="51" t="str">
        <f>VLOOKUP(H2058,Stock_list!A:T,16,FALSE)</f>
        <v>RMB</v>
      </c>
      <c r="L2058" s="4">
        <v>44000</v>
      </c>
      <c r="M2058" s="132">
        <v>14</v>
      </c>
      <c r="P2058" s="4" t="str">
        <f>VLOOKUP(H2058,Stock_list!A:Y,25,FALSE)</f>
        <v>Yes</v>
      </c>
      <c r="Q2058" s="143"/>
      <c r="T2058" s="144"/>
      <c r="U2058" s="145" t="str">
        <f>VLOOKUP(H2058,Stock_list!A:N,14,FALSE)</f>
        <v>JUN 20</v>
      </c>
    </row>
    <row r="2059" spans="1:21" ht="16.5" customHeight="1">
      <c r="A2059" s="159" t="s">
        <v>2747</v>
      </c>
      <c r="B2059" s="114" t="str">
        <f>VLOOKUP(A2059,'Data pick slip'!B:F,5,FALSE)</f>
        <v>KHJ-MC200-00</v>
      </c>
      <c r="F2059" s="157" t="s">
        <v>2773</v>
      </c>
      <c r="H2059" s="138">
        <v>661</v>
      </c>
      <c r="I2059" s="139" t="str">
        <f>VLOOKUP(H2059,Stock_list!A:R,18,FALSE)</f>
        <v>科华/End user 美斯特</v>
      </c>
      <c r="J2059" s="139" t="str">
        <f>VLOOKUP(H2059,Stock_list!A:S,17,FALSE)</f>
        <v>C49SZX20200065JZ</v>
      </c>
      <c r="K2059" s="51" t="str">
        <f>VLOOKUP(H2059,Stock_list!A:T,16,FALSE)</f>
        <v>RMB</v>
      </c>
      <c r="L2059" s="4">
        <v>44000</v>
      </c>
      <c r="M2059" s="132">
        <v>2</v>
      </c>
      <c r="P2059" s="4" t="str">
        <f>VLOOKUP(H2059,Stock_list!A:Y,25,FALSE)</f>
        <v>Yes</v>
      </c>
      <c r="Q2059" s="143"/>
      <c r="T2059" s="144"/>
      <c r="U2059" s="145" t="str">
        <f>VLOOKUP(H2059,Stock_list!A:N,14,FALSE)</f>
        <v>JUN 20</v>
      </c>
    </row>
    <row r="2060" spans="1:21" ht="16.5" customHeight="1">
      <c r="A2060" s="159" t="s">
        <v>2748</v>
      </c>
      <c r="B2060" s="114" t="str">
        <f>VLOOKUP(A2060,'Data pick slip'!B:F,5,FALSE)</f>
        <v>KHJ-MC400-00</v>
      </c>
      <c r="F2060" s="157" t="s">
        <v>2773</v>
      </c>
      <c r="H2060" s="138">
        <v>661</v>
      </c>
      <c r="I2060" s="139" t="str">
        <f>VLOOKUP(H2060,Stock_list!A:R,18,FALSE)</f>
        <v>科华/End user 美斯特</v>
      </c>
      <c r="J2060" s="139" t="str">
        <f>VLOOKUP(H2060,Stock_list!A:S,17,FALSE)</f>
        <v>C49SZX20200065JZ</v>
      </c>
      <c r="K2060" s="51" t="str">
        <f>VLOOKUP(H2060,Stock_list!A:T,16,FALSE)</f>
        <v>RMB</v>
      </c>
      <c r="L2060" s="4">
        <v>44000</v>
      </c>
      <c r="M2060" s="132">
        <v>1</v>
      </c>
      <c r="P2060" s="4" t="str">
        <f>VLOOKUP(H2060,Stock_list!A:Y,25,FALSE)</f>
        <v>Yes</v>
      </c>
      <c r="Q2060" s="143"/>
      <c r="T2060" s="144"/>
      <c r="U2060" s="145" t="str">
        <f>VLOOKUP(H2060,Stock_list!A:N,14,FALSE)</f>
        <v>JUN 20</v>
      </c>
    </row>
    <row r="2061" spans="1:21" ht="16.5" customHeight="1">
      <c r="A2061" s="159" t="s">
        <v>2748</v>
      </c>
      <c r="B2061" s="114" t="str">
        <f>VLOOKUP(A2061,'Data pick slip'!B:F,5,FALSE)</f>
        <v>KHJ-MC400-00</v>
      </c>
      <c r="F2061" s="157" t="s">
        <v>2773</v>
      </c>
      <c r="H2061" s="138">
        <v>662</v>
      </c>
      <c r="I2061" s="139" t="str">
        <f>VLOOKUP(H2061,Stock_list!A:R,18,FALSE)</f>
        <v>旭日伟光</v>
      </c>
      <c r="J2061" s="139" t="str">
        <f>VLOOKUP(H2061,Stock_list!A:S,17,FALSE)</f>
        <v>C49SZX20200061JY</v>
      </c>
      <c r="K2061" s="51" t="str">
        <f>VLOOKUP(H2061,Stock_list!A:T,16,FALSE)</f>
        <v>JPY</v>
      </c>
      <c r="L2061" s="4">
        <v>43999</v>
      </c>
      <c r="M2061" s="140">
        <v>3</v>
      </c>
      <c r="P2061" s="4" t="str">
        <f>VLOOKUP(H2061,Stock_list!A:Y,25,FALSE)</f>
        <v>Yes</v>
      </c>
      <c r="Q2061" s="143"/>
      <c r="S2061" s="123" t="s">
        <v>3004</v>
      </c>
      <c r="T2061" s="205" t="s">
        <v>3293</v>
      </c>
      <c r="U2061" s="145" t="str">
        <f>VLOOKUP(H2061,Stock_list!A:N,14,FALSE)</f>
        <v>JUN 20</v>
      </c>
    </row>
    <row r="2062" spans="1:21" ht="16.5" customHeight="1">
      <c r="A2062" s="159" t="s">
        <v>2744</v>
      </c>
      <c r="B2062" s="114" t="str">
        <f>VLOOKUP(A2062,'Data pick slip'!B:F,5,FALSE)</f>
        <v>KHJ-MC100-00</v>
      </c>
      <c r="F2062" s="157" t="s">
        <v>2862</v>
      </c>
      <c r="I2062" s="139" t="s">
        <v>3016</v>
      </c>
      <c r="J2062" s="139" t="s">
        <v>3294</v>
      </c>
      <c r="K2062" s="51" t="s">
        <v>1246</v>
      </c>
      <c r="L2062" s="4">
        <v>43998</v>
      </c>
      <c r="M2062" s="140">
        <v>50</v>
      </c>
      <c r="P2062" s="4" t="s">
        <v>291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2747</v>
      </c>
      <c r="B2063" s="114" t="str">
        <f>VLOOKUP(A2063,'Data pick slip'!B:F,5,FALSE)</f>
        <v>KHJ-MC200-00</v>
      </c>
      <c r="F2063" s="157" t="s">
        <v>2862</v>
      </c>
      <c r="I2063" s="139" t="s">
        <v>3016</v>
      </c>
      <c r="J2063" s="139" t="s">
        <v>3294</v>
      </c>
      <c r="K2063" s="51" t="s">
        <v>1246</v>
      </c>
      <c r="L2063" s="4">
        <v>43998</v>
      </c>
      <c r="M2063" s="140">
        <v>100</v>
      </c>
      <c r="P2063" s="4" t="s">
        <v>291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2748</v>
      </c>
      <c r="B2064" s="114" t="str">
        <f>VLOOKUP(A2064,'Data pick slip'!B:F,5,FALSE)</f>
        <v>KHJ-MC400-00</v>
      </c>
      <c r="F2064" s="157" t="s">
        <v>2862</v>
      </c>
      <c r="I2064" s="139" t="s">
        <v>3016</v>
      </c>
      <c r="J2064" s="139" t="s">
        <v>3294</v>
      </c>
      <c r="K2064" s="51" t="s">
        <v>1246</v>
      </c>
      <c r="L2064" s="4">
        <v>43998</v>
      </c>
      <c r="M2064" s="140">
        <v>40</v>
      </c>
      <c r="P2064" s="4" t="s">
        <v>291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2750</v>
      </c>
      <c r="B2065" s="114" t="str">
        <f>VLOOKUP(A2065,'Data pick slip'!B:F,5,FALSE)</f>
        <v>KHJ-MC600-00</v>
      </c>
      <c r="F2065" s="157" t="s">
        <v>2862</v>
      </c>
      <c r="I2065" s="139" t="s">
        <v>3016</v>
      </c>
      <c r="J2065" s="139" t="s">
        <v>3294</v>
      </c>
      <c r="K2065" s="51" t="s">
        <v>1246</v>
      </c>
      <c r="L2065" s="4">
        <v>43998</v>
      </c>
      <c r="M2065" s="140">
        <v>5</v>
      </c>
      <c r="P2065" s="4" t="s">
        <v>291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2747</v>
      </c>
      <c r="B2066" s="114" t="str">
        <f>VLOOKUP(A2066,'Data pick slip'!B:F,5,FALSE)</f>
        <v>KHJ-MC200-00</v>
      </c>
      <c r="F2066" s="157" t="s">
        <v>2773</v>
      </c>
      <c r="I2066" s="139" t="s">
        <v>3094</v>
      </c>
      <c r="J2066" s="139" t="s">
        <v>3295</v>
      </c>
      <c r="K2066" s="51" t="s">
        <v>1246</v>
      </c>
      <c r="L2066" s="4">
        <v>43998</v>
      </c>
      <c r="M2066" s="140">
        <v>1</v>
      </c>
      <c r="P2066" s="4" t="s">
        <v>291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2748</v>
      </c>
      <c r="B2067" s="114" t="str">
        <f>VLOOKUP(A2067,'Data pick slip'!B:F,5,FALSE)</f>
        <v>KHJ-MC400-00</v>
      </c>
      <c r="F2067" s="157" t="s">
        <v>2773</v>
      </c>
      <c r="I2067" s="139" t="s">
        <v>3100</v>
      </c>
      <c r="J2067" s="139" t="s">
        <v>3296</v>
      </c>
      <c r="K2067" s="51" t="s">
        <v>1246</v>
      </c>
      <c r="L2067" s="4">
        <v>43998</v>
      </c>
      <c r="M2067" s="140">
        <v>6</v>
      </c>
      <c r="P2067" s="4" t="s">
        <v>291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2744</v>
      </c>
      <c r="B2068" s="114" t="str">
        <f>VLOOKUP(A2068,'Data pick slip'!B:F,5,FALSE)</f>
        <v>KHJ-MC100-00</v>
      </c>
      <c r="F2068" s="157" t="s">
        <v>2773</v>
      </c>
      <c r="I2068" s="139" t="s">
        <v>3100</v>
      </c>
      <c r="J2068" s="139" t="s">
        <v>3297</v>
      </c>
      <c r="K2068" s="51" t="s">
        <v>1246</v>
      </c>
      <c r="L2068" s="4">
        <v>44000</v>
      </c>
      <c r="M2068" s="140">
        <v>2</v>
      </c>
      <c r="P2068" s="4" t="s">
        <v>291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2747</v>
      </c>
      <c r="B2069" s="114" t="str">
        <f>VLOOKUP(A2069,'Data pick slip'!B:F,5,FALSE)</f>
        <v>KHJ-MC200-00</v>
      </c>
      <c r="F2069" s="157" t="s">
        <v>2773</v>
      </c>
      <c r="H2069" s="138">
        <v>665</v>
      </c>
      <c r="I2069" s="139" t="str">
        <f>VLOOKUP(H2069,Stock_list!A:R,18,FALSE)</f>
        <v>中润互联</v>
      </c>
      <c r="J2069" s="139" t="str">
        <f>VLOOKUP(H2069,Stock_list!A:S,17,FALSE)</f>
        <v>C49SZX20200063SS</v>
      </c>
      <c r="K2069" s="51" t="str">
        <f>VLOOKUP(H2069,Stock_list!A:T,16,FALSE)</f>
        <v>RMB</v>
      </c>
      <c r="L2069" s="4">
        <v>44029</v>
      </c>
      <c r="M2069" s="140">
        <v>1</v>
      </c>
      <c r="P2069" s="4" t="str">
        <f>VLOOKUP(H2069,Stock_list!A:Y,25,FALSE)</f>
        <v>Yes</v>
      </c>
      <c r="Q2069" s="143"/>
      <c r="T2069" s="144"/>
      <c r="U2069" s="145" t="str">
        <f>VLOOKUP(H2069,Stock_list!A:N,14,FALSE)</f>
        <v>JUL 20</v>
      </c>
    </row>
    <row r="2070" spans="1:21" ht="16.5" customHeight="1">
      <c r="A2070" s="159" t="s">
        <v>2756</v>
      </c>
      <c r="B2070" s="114" t="str">
        <f>VLOOKUP(A2070,'Data pick slip'!B:F,5,FALSE)</f>
        <v>KLJ-MC200-00</v>
      </c>
      <c r="F2070" s="157" t="s">
        <v>2773</v>
      </c>
      <c r="I2070" s="139" t="s">
        <v>3094</v>
      </c>
      <c r="J2070" s="139" t="s">
        <v>3298</v>
      </c>
      <c r="K2070" s="51" t="s">
        <v>1246</v>
      </c>
      <c r="L2070" s="4">
        <v>44001</v>
      </c>
      <c r="M2070" s="140">
        <v>5</v>
      </c>
      <c r="P2070" s="4" t="s">
        <v>291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2748</v>
      </c>
      <c r="B2071" s="114" t="str">
        <f>VLOOKUP(A2071,'Data pick slip'!B:F,5,FALSE)</f>
        <v>KHJ-MC400-00</v>
      </c>
      <c r="F2071" s="157" t="s">
        <v>2773</v>
      </c>
      <c r="I2071" s="139" t="s">
        <v>3094</v>
      </c>
      <c r="J2071" s="139" t="s">
        <v>3298</v>
      </c>
      <c r="K2071" s="51" t="s">
        <v>1246</v>
      </c>
      <c r="L2071" s="4">
        <v>44001</v>
      </c>
      <c r="M2071" s="140">
        <v>2</v>
      </c>
      <c r="P2071" s="4" t="s">
        <v>291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2744</v>
      </c>
      <c r="B2072" s="114" t="str">
        <f>VLOOKUP(A2072,'Data pick slip'!B:F,5,FALSE)</f>
        <v>KHJ-MC100-00</v>
      </c>
      <c r="F2072" s="157" t="s">
        <v>2862</v>
      </c>
      <c r="H2072" s="138">
        <v>666</v>
      </c>
      <c r="I2072" s="139" t="str">
        <f>VLOOKUP(H2072,Stock_list!A:R,18,FALSE)</f>
        <v>百纳海</v>
      </c>
      <c r="J2072" s="139" t="str">
        <f>VLOOKUP(H2072,Stock_list!A:S,17,FALSE)</f>
        <v>C49SZX20200069JY</v>
      </c>
      <c r="K2072" s="51" t="str">
        <f>VLOOKUP(H2072,Stock_list!A:T,16,FALSE)</f>
        <v>JPY</v>
      </c>
      <c r="L2072" s="4">
        <v>44014</v>
      </c>
      <c r="M2072" s="132">
        <v>20</v>
      </c>
      <c r="P2072" s="4" t="str">
        <f>VLOOKUP(H2072,Stock_list!A:Y,25,FALSE)</f>
        <v>Yes</v>
      </c>
      <c r="Q2072" s="143"/>
      <c r="T2072" s="144"/>
      <c r="U2072" s="145" t="str">
        <f>VLOOKUP(H2072,Stock_list!A:N,14,FALSE)</f>
        <v>JUL 20</v>
      </c>
    </row>
    <row r="2073" spans="1:21" ht="16.5" customHeight="1">
      <c r="A2073" s="159" t="s">
        <v>2747</v>
      </c>
      <c r="B2073" s="114" t="str">
        <f>VLOOKUP(A2073,'Data pick slip'!B:F,5,FALSE)</f>
        <v>KHJ-MC200-00</v>
      </c>
      <c r="F2073" s="157" t="s">
        <v>2862</v>
      </c>
      <c r="H2073" s="138">
        <v>666</v>
      </c>
      <c r="I2073" s="139" t="str">
        <f>VLOOKUP(H2073,Stock_list!A:R,18,FALSE)</f>
        <v>百纳海</v>
      </c>
      <c r="J2073" s="139" t="str">
        <f>VLOOKUP(H2073,Stock_list!A:S,17,FALSE)</f>
        <v>C49SZX20200069JY</v>
      </c>
      <c r="K2073" s="51" t="str">
        <f>VLOOKUP(H2073,Stock_list!A:T,16,FALSE)</f>
        <v>JPY</v>
      </c>
      <c r="L2073" s="4">
        <v>44014</v>
      </c>
      <c r="M2073" s="132">
        <v>2</v>
      </c>
      <c r="P2073" s="4" t="str">
        <f>VLOOKUP(H2073,Stock_list!A:Y,25,FALSE)</f>
        <v>Yes</v>
      </c>
      <c r="Q2073" s="143"/>
      <c r="T2073" s="144"/>
      <c r="U2073" s="145" t="str">
        <f>VLOOKUP(H2073,Stock_list!A:N,14,FALSE)</f>
        <v>JUL 20</v>
      </c>
    </row>
    <row r="2074" spans="1:21" ht="16.5" customHeight="1">
      <c r="A2074" s="159" t="s">
        <v>2744</v>
      </c>
      <c r="B2074" s="114" t="str">
        <f>VLOOKUP(A2074,'Data pick slip'!B:F,5,FALSE)</f>
        <v>KHJ-MC100-00</v>
      </c>
      <c r="F2074" s="157" t="s">
        <v>2773</v>
      </c>
      <c r="I2074" s="139" t="s">
        <v>3100</v>
      </c>
      <c r="J2074" s="139" t="s">
        <v>3299</v>
      </c>
      <c r="K2074" s="51" t="s">
        <v>1246</v>
      </c>
      <c r="L2074" s="4">
        <v>44001</v>
      </c>
      <c r="M2074" s="140">
        <v>1</v>
      </c>
      <c r="P2074" s="4" t="s">
        <v>291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2747</v>
      </c>
      <c r="B2075" s="114" t="str">
        <f>VLOOKUP(A2075,'Data pick slip'!B:F,5,FALSE)</f>
        <v>KHJ-MC200-00</v>
      </c>
      <c r="F2075" s="157" t="s">
        <v>2773</v>
      </c>
      <c r="I2075" s="139" t="s">
        <v>3100</v>
      </c>
      <c r="J2075" s="139" t="s">
        <v>3299</v>
      </c>
      <c r="K2075" s="51" t="s">
        <v>1246</v>
      </c>
      <c r="L2075" s="4">
        <v>44001</v>
      </c>
      <c r="M2075" s="140">
        <v>1</v>
      </c>
      <c r="P2075" s="4" t="s">
        <v>291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2749</v>
      </c>
      <c r="B2076" s="114" t="str">
        <f>VLOOKUP(A2076,'Data pick slip'!B:F,5,FALSE)</f>
        <v>KHJ-MC500-00</v>
      </c>
      <c r="F2076" s="157" t="s">
        <v>2773</v>
      </c>
      <c r="I2076" s="139" t="s">
        <v>3100</v>
      </c>
      <c r="J2076" s="139" t="s">
        <v>3296</v>
      </c>
      <c r="K2076" s="51" t="s">
        <v>1246</v>
      </c>
      <c r="L2076" s="4">
        <v>43994</v>
      </c>
      <c r="M2076" s="140">
        <v>1</v>
      </c>
      <c r="P2076" s="4" t="s">
        <v>291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2748</v>
      </c>
      <c r="B2077" s="114" t="str">
        <f>VLOOKUP(A2077,'Data pick slip'!B:F,5,FALSE)</f>
        <v>KHJ-MC400-00</v>
      </c>
      <c r="F2077" s="157" t="s">
        <v>2773</v>
      </c>
      <c r="I2077" s="139" t="s">
        <v>3100</v>
      </c>
      <c r="J2077" s="139" t="s">
        <v>3300</v>
      </c>
      <c r="K2077" s="51" t="s">
        <v>1246</v>
      </c>
      <c r="L2077" s="4">
        <v>44004</v>
      </c>
      <c r="M2077" s="140">
        <v>5</v>
      </c>
      <c r="P2077" s="4" t="s">
        <v>291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2748</v>
      </c>
      <c r="B2078" s="114" t="str">
        <f>VLOOKUP(A2078,'Data pick slip'!B:F,5,FALSE)</f>
        <v>KHJ-MC400-00</v>
      </c>
      <c r="F2078" s="157" t="s">
        <v>2773</v>
      </c>
      <c r="I2078" s="139" t="s">
        <v>3100</v>
      </c>
      <c r="J2078" s="139" t="s">
        <v>3300</v>
      </c>
      <c r="K2078" s="51" t="s">
        <v>1246</v>
      </c>
      <c r="L2078" s="4">
        <v>44010</v>
      </c>
      <c r="M2078" s="140">
        <v>5</v>
      </c>
      <c r="P2078" s="4" t="s">
        <v>291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2749</v>
      </c>
      <c r="B2079" s="114" t="str">
        <f>VLOOKUP(A2079,'Data pick slip'!B:F,5,FALSE)</f>
        <v>KHJ-MC500-00</v>
      </c>
      <c r="F2079" s="157" t="s">
        <v>2773</v>
      </c>
      <c r="I2079" s="139" t="s">
        <v>3287</v>
      </c>
      <c r="J2079" s="139" t="s">
        <v>3301</v>
      </c>
      <c r="K2079" s="51" t="s">
        <v>1246</v>
      </c>
      <c r="L2079" s="4">
        <v>44001</v>
      </c>
      <c r="M2079" s="140">
        <v>1</v>
      </c>
      <c r="P2079" s="4" t="s">
        <v>291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2750</v>
      </c>
      <c r="B2080" s="114" t="str">
        <f>VLOOKUP(A2080,'Data pick slip'!B:F,5,FALSE)</f>
        <v>KHJ-MC600-00</v>
      </c>
      <c r="F2080" s="157" t="s">
        <v>2773</v>
      </c>
      <c r="I2080" s="139" t="s">
        <v>3287</v>
      </c>
      <c r="J2080" s="139" t="s">
        <v>3301</v>
      </c>
      <c r="K2080" s="51" t="s">
        <v>1246</v>
      </c>
      <c r="L2080" s="4">
        <v>44001</v>
      </c>
      <c r="M2080" s="140">
        <v>1</v>
      </c>
      <c r="P2080" s="4" t="s">
        <v>291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2755</v>
      </c>
      <c r="B2081" s="114" t="str">
        <f>VLOOKUP(A2081,'Data pick slip'!B:F,5,FALSE)</f>
        <v>KLJ-MC100-00</v>
      </c>
      <c r="F2081" s="157" t="s">
        <v>2773</v>
      </c>
      <c r="H2081" s="138">
        <v>667</v>
      </c>
      <c r="I2081" s="139" t="str">
        <f>VLOOKUP(H2081,Stock_list!A:R,18,FALSE)</f>
        <v>鑫东泰</v>
      </c>
      <c r="J2081" s="139" t="str">
        <f>VLOOKUP(H2081,Stock_list!A:S,17,FALSE)</f>
        <v>C49SZX20200076JL</v>
      </c>
      <c r="K2081" s="51" t="str">
        <f>VLOOKUP(H2081,Stock_list!A:T,16,FALSE)</f>
        <v>RMB</v>
      </c>
      <c r="L2081" s="4">
        <v>44035</v>
      </c>
      <c r="M2081" s="132">
        <v>30</v>
      </c>
      <c r="P2081" s="4" t="str">
        <f>VLOOKUP(H2081,Stock_list!A:Y,25,FALSE)</f>
        <v>Yes</v>
      </c>
      <c r="Q2081" s="143"/>
      <c r="T2081" s="144"/>
      <c r="U2081" s="145" t="str">
        <f>VLOOKUP(H2081,Stock_list!A:N,14,FALSE)</f>
        <v>JUL 20</v>
      </c>
    </row>
    <row r="2082" spans="1:21" ht="16.5" customHeight="1">
      <c r="A2082" s="159" t="s">
        <v>2747</v>
      </c>
      <c r="B2082" s="114" t="str">
        <f>VLOOKUP(A2082,'Data pick slip'!B:F,5,FALSE)</f>
        <v>KHJ-MC200-00</v>
      </c>
      <c r="F2082" s="157" t="s">
        <v>2773</v>
      </c>
      <c r="H2082" s="138">
        <v>667</v>
      </c>
      <c r="I2082" s="139" t="str">
        <f>VLOOKUP(H2082,Stock_list!A:R,18,FALSE)</f>
        <v>鑫东泰</v>
      </c>
      <c r="J2082" s="139" t="str">
        <f>VLOOKUP(H2082,Stock_list!A:S,17,FALSE)</f>
        <v>C49SZX20200076JL</v>
      </c>
      <c r="K2082" s="51" t="str">
        <f>VLOOKUP(H2082,Stock_list!A:T,16,FALSE)</f>
        <v>RMB</v>
      </c>
      <c r="L2082" s="4">
        <v>44035</v>
      </c>
      <c r="M2082" s="132">
        <v>15</v>
      </c>
      <c r="P2082" s="4" t="str">
        <f>VLOOKUP(H2082,Stock_list!A:Y,25,FALSE)</f>
        <v>Yes</v>
      </c>
      <c r="Q2082" s="143"/>
      <c r="T2082" s="144"/>
      <c r="U2082" s="145" t="str">
        <f>VLOOKUP(H2082,Stock_list!A:N,14,FALSE)</f>
        <v>JUL 20</v>
      </c>
    </row>
    <row r="2083" spans="1:21" ht="16.5" customHeight="1">
      <c r="A2083" s="159" t="s">
        <v>2748</v>
      </c>
      <c r="B2083" s="114" t="str">
        <f>VLOOKUP(A2083,'Data pick slip'!B:F,5,FALSE)</f>
        <v>KHJ-MC400-00</v>
      </c>
      <c r="F2083" s="157" t="s">
        <v>2773</v>
      </c>
      <c r="H2083" s="138">
        <v>667</v>
      </c>
      <c r="I2083" s="139" t="str">
        <f>VLOOKUP(H2083,Stock_list!A:R,18,FALSE)</f>
        <v>鑫东泰</v>
      </c>
      <c r="J2083" s="139" t="str">
        <f>VLOOKUP(H2083,Stock_list!A:S,17,FALSE)</f>
        <v>C49SZX20200076JL</v>
      </c>
      <c r="K2083" s="51" t="str">
        <f>VLOOKUP(H2083,Stock_list!A:T,16,FALSE)</f>
        <v>RMB</v>
      </c>
      <c r="L2083" s="4">
        <v>44035</v>
      </c>
      <c r="M2083" s="132">
        <v>5</v>
      </c>
      <c r="P2083" s="4" t="str">
        <f>VLOOKUP(H2083,Stock_list!A:Y,25,FALSE)</f>
        <v>Yes</v>
      </c>
      <c r="Q2083" s="143"/>
      <c r="T2083" s="144"/>
      <c r="U2083" s="145" t="str">
        <f>VLOOKUP(H2083,Stock_list!A:N,14,FALSE)</f>
        <v>JUL 20</v>
      </c>
    </row>
    <row r="2084" spans="1:21" ht="16.5" customHeight="1">
      <c r="A2084" s="159" t="s">
        <v>2751</v>
      </c>
      <c r="B2084" s="114" t="str">
        <f>VLOOKUP(A2084,'Data pick slip'!B:F,5,FALSE)</f>
        <v>KHJ-MC700-00</v>
      </c>
      <c r="F2084" s="157" t="s">
        <v>2773</v>
      </c>
      <c r="I2084" s="139" t="s">
        <v>3100</v>
      </c>
      <c r="J2084" s="139" t="s">
        <v>3302</v>
      </c>
      <c r="K2084" s="51" t="s">
        <v>1246</v>
      </c>
      <c r="L2084" s="4">
        <v>44005</v>
      </c>
      <c r="M2084" s="140">
        <v>1</v>
      </c>
      <c r="P2084" s="4" t="s">
        <v>291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2755</v>
      </c>
      <c r="B2085" s="114" t="str">
        <f>VLOOKUP(A2085,'Data pick slip'!B:F,5,FALSE)</f>
        <v>KLJ-MC100-00</v>
      </c>
      <c r="F2085" s="157" t="s">
        <v>2773</v>
      </c>
      <c r="H2085" s="138">
        <v>670</v>
      </c>
      <c r="I2085" s="139" t="str">
        <f>VLOOKUP(H2085,Stock_list!A:R,18,FALSE)</f>
        <v>正邦</v>
      </c>
      <c r="J2085" s="139" t="str">
        <f>VLOOKUP(H2085,Stock_list!A:S,17,FALSE)</f>
        <v>C49SZX20200077JZ</v>
      </c>
      <c r="K2085" s="51" t="str">
        <f>VLOOKUP(H2085,Stock_list!A:T,16,FALSE)</f>
        <v>RMB</v>
      </c>
      <c r="L2085" s="4">
        <v>44033</v>
      </c>
      <c r="M2085" s="132">
        <v>15</v>
      </c>
      <c r="P2085" s="4" t="str">
        <f>VLOOKUP(H2085,Stock_list!A:Y,25,FALSE)</f>
        <v>Yes</v>
      </c>
      <c r="Q2085" s="143"/>
      <c r="T2085" s="144"/>
      <c r="U2085" s="145" t="str">
        <f>VLOOKUP(H2085,Stock_list!A:N,14,FALSE)</f>
        <v>JUL 20</v>
      </c>
    </row>
    <row r="2086" spans="1:21" ht="16.5" customHeight="1">
      <c r="A2086" s="159" t="s">
        <v>2744</v>
      </c>
      <c r="B2086" s="114" t="str">
        <f>VLOOKUP(A2086,'Data pick slip'!B:F,5,FALSE)</f>
        <v>KHJ-MC100-00</v>
      </c>
      <c r="F2086" s="157" t="s">
        <v>2862</v>
      </c>
      <c r="H2086" s="138">
        <v>672</v>
      </c>
      <c r="I2086" s="139" t="str">
        <f>VLOOKUP(H2086,Stock_list!A:R,18,FALSE)</f>
        <v>英拓邦</v>
      </c>
      <c r="J2086" s="139" t="str">
        <f>VLOOKUP(H2086,Stock_list!A:S,17,FALSE)</f>
        <v>C49SZX20200071JY</v>
      </c>
      <c r="K2086" s="51" t="str">
        <f>VLOOKUP(H2086,Stock_list!A:T,16,FALSE)</f>
        <v>JPY</v>
      </c>
      <c r="L2086" s="4">
        <v>44014</v>
      </c>
      <c r="M2086" s="132">
        <v>60</v>
      </c>
      <c r="P2086" s="4" t="str">
        <f>VLOOKUP(H2086,Stock_list!A:Y,25,FALSE)</f>
        <v>Yes</v>
      </c>
      <c r="Q2086" s="143"/>
      <c r="T2086" s="144"/>
      <c r="U2086" s="145" t="str">
        <f>VLOOKUP(H2086,Stock_list!A:N,14,FALSE)</f>
        <v>JUL 20</v>
      </c>
    </row>
    <row r="2087" spans="1:21" ht="16.5" customHeight="1">
      <c r="A2087" s="159" t="s">
        <v>2747</v>
      </c>
      <c r="B2087" s="114" t="str">
        <f>VLOOKUP(A2087,'Data pick slip'!B:F,5,FALSE)</f>
        <v>KHJ-MC200-00</v>
      </c>
      <c r="F2087" s="157" t="s">
        <v>2862</v>
      </c>
      <c r="H2087" s="138">
        <v>672</v>
      </c>
      <c r="I2087" s="139" t="str">
        <f>VLOOKUP(H2087,Stock_list!A:R,18,FALSE)</f>
        <v>英拓邦</v>
      </c>
      <c r="J2087" s="139" t="str">
        <f>VLOOKUP(H2087,Stock_list!A:S,17,FALSE)</f>
        <v>C49SZX20200071JY</v>
      </c>
      <c r="K2087" s="51" t="str">
        <f>VLOOKUP(H2087,Stock_list!A:T,16,FALSE)</f>
        <v>JPY</v>
      </c>
      <c r="L2087" s="4">
        <v>44014</v>
      </c>
      <c r="M2087" s="132">
        <v>5</v>
      </c>
      <c r="P2087" s="4" t="str">
        <f>VLOOKUP(H2087,Stock_list!A:Y,25,FALSE)</f>
        <v>Yes</v>
      </c>
      <c r="Q2087" s="143"/>
      <c r="T2087" s="144"/>
      <c r="U2087" s="145" t="str">
        <f>VLOOKUP(H2087,Stock_list!A:N,14,FALSE)</f>
        <v>JUL 20</v>
      </c>
    </row>
    <row r="2088" spans="1:21" ht="16.5" customHeight="1">
      <c r="A2088" s="159" t="s">
        <v>2748</v>
      </c>
      <c r="B2088" s="114" t="str">
        <f>VLOOKUP(A2088,'Data pick slip'!B:F,5,FALSE)</f>
        <v>KHJ-MC400-00</v>
      </c>
      <c r="F2088" s="157" t="s">
        <v>2862</v>
      </c>
      <c r="H2088" s="138">
        <v>672</v>
      </c>
      <c r="I2088" s="139" t="str">
        <f>VLOOKUP(H2088,Stock_list!A:R,18,FALSE)</f>
        <v>英拓邦</v>
      </c>
      <c r="J2088" s="139" t="str">
        <f>VLOOKUP(H2088,Stock_list!A:S,17,FALSE)</f>
        <v>C49SZX20200071JY</v>
      </c>
      <c r="K2088" s="51" t="str">
        <f>VLOOKUP(H2088,Stock_list!A:T,16,FALSE)</f>
        <v>JPY</v>
      </c>
      <c r="L2088" s="4">
        <v>44014</v>
      </c>
      <c r="M2088" s="132">
        <v>3</v>
      </c>
      <c r="P2088" s="4" t="str">
        <f>VLOOKUP(H2088,Stock_list!A:Y,25,FALSE)</f>
        <v>Yes</v>
      </c>
      <c r="Q2088" s="143"/>
      <c r="T2088" s="144"/>
      <c r="U2088" s="145" t="str">
        <f>VLOOKUP(H2088,Stock_list!A:N,14,FALSE)</f>
        <v>JUL 20</v>
      </c>
    </row>
    <row r="2089" spans="1:21" ht="16.5" customHeight="1">
      <c r="A2089" s="159" t="s">
        <v>2749</v>
      </c>
      <c r="B2089" s="114" t="str">
        <f>VLOOKUP(A2089,'Data pick slip'!B:F,5,FALSE)</f>
        <v>KHJ-MC500-00</v>
      </c>
      <c r="F2089" s="157" t="s">
        <v>2862</v>
      </c>
      <c r="H2089" s="138">
        <v>672</v>
      </c>
      <c r="I2089" s="139" t="str">
        <f>VLOOKUP(H2089,Stock_list!A:R,18,FALSE)</f>
        <v>英拓邦</v>
      </c>
      <c r="J2089" s="139" t="str">
        <f>VLOOKUP(H2089,Stock_list!A:S,17,FALSE)</f>
        <v>C49SZX20200071JY</v>
      </c>
      <c r="K2089" s="51" t="str">
        <f>VLOOKUP(H2089,Stock_list!A:T,16,FALSE)</f>
        <v>JPY</v>
      </c>
      <c r="L2089" s="4">
        <v>44014</v>
      </c>
      <c r="M2089" s="132">
        <v>2</v>
      </c>
      <c r="P2089" s="4" t="str">
        <f>VLOOKUP(H2089,Stock_list!A:Y,25,FALSE)</f>
        <v>Yes</v>
      </c>
      <c r="Q2089" s="143"/>
      <c r="T2089" s="144"/>
      <c r="U2089" s="145" t="str">
        <f>VLOOKUP(H2089,Stock_list!A:N,14,FALSE)</f>
        <v>JUL 20</v>
      </c>
    </row>
    <row r="2090" spans="1:21" ht="16.5" customHeight="1">
      <c r="A2090" s="159" t="s">
        <v>2744</v>
      </c>
      <c r="B2090" s="114" t="str">
        <f>VLOOKUP(A2090,'Data pick slip'!B:F,5,FALSE)</f>
        <v>KHJ-MC100-00</v>
      </c>
      <c r="F2090" s="157" t="s">
        <v>2773</v>
      </c>
      <c r="H2090" s="138">
        <v>673</v>
      </c>
      <c r="I2090" s="139" t="str">
        <f>VLOOKUP(H2090,Stock_list!A:R,18,FALSE)</f>
        <v>晨日电子</v>
      </c>
      <c r="J2090" s="139" t="str">
        <f>VLOOKUP(H2090,Stock_list!A:S,17,FALSE)</f>
        <v>C49SZX20200079KW</v>
      </c>
      <c r="K2090" s="51" t="str">
        <f>VLOOKUP(H2090,Stock_list!A:T,16,FALSE)</f>
        <v>RMB</v>
      </c>
      <c r="L2090" s="4">
        <v>44047</v>
      </c>
      <c r="M2090" s="132">
        <v>80</v>
      </c>
      <c r="P2090" s="4" t="str">
        <f>VLOOKUP(H2090,Stock_list!A:Y,25,FALSE)</f>
        <v>Yes</v>
      </c>
      <c r="Q2090" s="143"/>
      <c r="T2090" s="144"/>
      <c r="U2090" s="145" t="str">
        <f>VLOOKUP(H2090,Stock_list!A:N,14,FALSE)</f>
        <v>AUG 20</v>
      </c>
    </row>
    <row r="2091" spans="1:21" ht="16.5" customHeight="1">
      <c r="A2091" s="159" t="s">
        <v>2747</v>
      </c>
      <c r="B2091" s="114" t="str">
        <f>VLOOKUP(A2091,'Data pick slip'!B:F,5,FALSE)</f>
        <v>KHJ-MC200-00</v>
      </c>
      <c r="F2091" s="157" t="s">
        <v>2773</v>
      </c>
      <c r="H2091" s="138">
        <v>673</v>
      </c>
      <c r="I2091" s="139" t="str">
        <f>VLOOKUP(H2091,Stock_list!A:R,18,FALSE)</f>
        <v>晨日电子</v>
      </c>
      <c r="J2091" s="139" t="str">
        <f>VLOOKUP(H2091,Stock_list!A:S,17,FALSE)</f>
        <v>C49SZX20200079KW</v>
      </c>
      <c r="K2091" s="51" t="str">
        <f>VLOOKUP(H2091,Stock_list!A:T,16,FALSE)</f>
        <v>RMB</v>
      </c>
      <c r="L2091" s="4">
        <v>44047</v>
      </c>
      <c r="M2091" s="132">
        <v>10</v>
      </c>
      <c r="P2091" s="4" t="str">
        <f>VLOOKUP(H2091,Stock_list!A:Y,25,FALSE)</f>
        <v>Yes</v>
      </c>
      <c r="Q2091" s="143"/>
      <c r="T2091" s="144"/>
      <c r="U2091" s="145" t="str">
        <f>VLOOKUP(H2091,Stock_list!A:N,14,FALSE)</f>
        <v>AUG 20</v>
      </c>
    </row>
    <row r="2092" spans="1:21" ht="16.5" customHeight="1">
      <c r="A2092" s="159" t="s">
        <v>2748</v>
      </c>
      <c r="B2092" s="114" t="str">
        <f>VLOOKUP(A2092,'Data pick slip'!B:F,5,FALSE)</f>
        <v>KHJ-MC400-00</v>
      </c>
      <c r="F2092" s="157" t="s">
        <v>2773</v>
      </c>
      <c r="H2092" s="138">
        <v>673</v>
      </c>
      <c r="I2092" s="139" t="str">
        <f>VLOOKUP(H2092,Stock_list!A:R,18,FALSE)</f>
        <v>晨日电子</v>
      </c>
      <c r="J2092" s="139" t="str">
        <f>VLOOKUP(H2092,Stock_list!A:S,17,FALSE)</f>
        <v>C49SZX20200079KW</v>
      </c>
      <c r="K2092" s="51" t="str">
        <f>VLOOKUP(H2092,Stock_list!A:T,16,FALSE)</f>
        <v>RMB</v>
      </c>
      <c r="L2092" s="4">
        <v>44047</v>
      </c>
      <c r="M2092" s="132">
        <v>4</v>
      </c>
      <c r="P2092" s="4" t="str">
        <f>VLOOKUP(H2092,Stock_list!A:Y,25,FALSE)</f>
        <v>Yes</v>
      </c>
      <c r="Q2092" s="143"/>
      <c r="T2092" s="144"/>
      <c r="U2092" s="145" t="str">
        <f>VLOOKUP(H2092,Stock_list!A:N,14,FALSE)</f>
        <v>AUG 20</v>
      </c>
    </row>
    <row r="2093" spans="1:21" ht="16.5" customHeight="1">
      <c r="A2093" s="159" t="s">
        <v>2749</v>
      </c>
      <c r="B2093" s="114" t="str">
        <f>VLOOKUP(A2093,'Data pick slip'!B:F,5,FALSE)</f>
        <v>KHJ-MC500-00</v>
      </c>
      <c r="F2093" s="157" t="s">
        <v>2773</v>
      </c>
      <c r="H2093" s="138">
        <v>673</v>
      </c>
      <c r="I2093" s="139" t="str">
        <f>VLOOKUP(H2093,Stock_list!A:R,18,FALSE)</f>
        <v>晨日电子</v>
      </c>
      <c r="J2093" s="139" t="str">
        <f>VLOOKUP(H2093,Stock_list!A:S,17,FALSE)</f>
        <v>C49SZX20200079KW</v>
      </c>
      <c r="K2093" s="51" t="str">
        <f>VLOOKUP(H2093,Stock_list!A:T,16,FALSE)</f>
        <v>RMB</v>
      </c>
      <c r="L2093" s="4">
        <v>44047</v>
      </c>
      <c r="M2093" s="132">
        <v>1</v>
      </c>
      <c r="P2093" s="4" t="str">
        <f>VLOOKUP(H2093,Stock_list!A:Y,25,FALSE)</f>
        <v>Yes</v>
      </c>
      <c r="Q2093" s="143"/>
      <c r="T2093" s="144"/>
      <c r="U2093" s="145" t="str">
        <f>VLOOKUP(H2093,Stock_list!A:N,14,FALSE)</f>
        <v>AUG 20</v>
      </c>
    </row>
    <row r="2094" spans="1:21" ht="16.5" customHeight="1">
      <c r="A2094" s="159" t="s">
        <v>2750</v>
      </c>
      <c r="B2094" s="114" t="str">
        <f>VLOOKUP(A2094,'Data pick slip'!B:F,5,FALSE)</f>
        <v>KHJ-MC600-00</v>
      </c>
      <c r="F2094" s="157" t="s">
        <v>2773</v>
      </c>
      <c r="H2094" s="138">
        <v>673</v>
      </c>
      <c r="I2094" s="139" t="str">
        <f>VLOOKUP(H2094,Stock_list!A:R,18,FALSE)</f>
        <v>晨日电子</v>
      </c>
      <c r="J2094" s="139" t="str">
        <f>VLOOKUP(H2094,Stock_list!A:S,17,FALSE)</f>
        <v>C49SZX20200079KW</v>
      </c>
      <c r="K2094" s="51" t="str">
        <f>VLOOKUP(H2094,Stock_list!A:T,16,FALSE)</f>
        <v>RMB</v>
      </c>
      <c r="L2094" s="4">
        <v>44047</v>
      </c>
      <c r="M2094" s="132">
        <v>1</v>
      </c>
      <c r="P2094" s="4" t="str">
        <f>VLOOKUP(H2094,Stock_list!A:Y,25,FALSE)</f>
        <v>Yes</v>
      </c>
      <c r="Q2094" s="143"/>
      <c r="T2094" s="144"/>
      <c r="U2094" s="145" t="str">
        <f>VLOOKUP(H2094,Stock_list!A:N,14,FALSE)</f>
        <v>AUG 20</v>
      </c>
    </row>
    <row r="2095" spans="1:21" ht="16.5" customHeight="1">
      <c r="A2095" s="159" t="s">
        <v>2754</v>
      </c>
      <c r="B2095" s="114" t="str">
        <f>VLOOKUP(A2095,'Data pick slip'!B:F,5,FALSE)</f>
        <v>KLJ-MCN00-20</v>
      </c>
      <c r="F2095" s="157" t="s">
        <v>2862</v>
      </c>
      <c r="H2095" s="138">
        <v>675</v>
      </c>
      <c r="I2095" s="139" t="str">
        <f>VLOOKUP(H2095,Stock_list!A:R,18,FALSE)</f>
        <v>朗特</v>
      </c>
      <c r="J2095" s="139" t="str">
        <f>VLOOKUP(H2095,Stock_list!A:S,17,FALSE)</f>
        <v>C49SZX20200081DZ</v>
      </c>
      <c r="K2095" s="51" t="str">
        <f>VLOOKUP(H2095,Stock_list!A:T,16,FALSE)</f>
        <v>JPY</v>
      </c>
      <c r="L2095" s="4">
        <v>44035</v>
      </c>
      <c r="M2095" s="132">
        <v>2</v>
      </c>
      <c r="P2095" s="4" t="str">
        <f>VLOOKUP(H2095,Stock_list!A:Y,25,FALSE)</f>
        <v>Yes</v>
      </c>
      <c r="Q2095" s="143"/>
      <c r="T2095" s="144"/>
      <c r="U2095" s="145" t="str">
        <f>VLOOKUP(H2095,Stock_list!A:N,14,FALSE)</f>
        <v>JUL 20</v>
      </c>
    </row>
    <row r="2096" spans="1:21" ht="16.5" customHeight="1">
      <c r="A2096" s="159" t="s">
        <v>2744</v>
      </c>
      <c r="B2096" s="114" t="str">
        <f>VLOOKUP(A2096,'Data pick slip'!B:F,5,FALSE)</f>
        <v>KHJ-MC100-00</v>
      </c>
      <c r="F2096" s="157" t="s">
        <v>2773</v>
      </c>
      <c r="H2096" s="138">
        <v>679</v>
      </c>
      <c r="I2096" s="139" t="str">
        <f>VLOOKUP(H2096,Stock_list!A:R,18,FALSE)</f>
        <v>达人高科</v>
      </c>
      <c r="J2096" s="139" t="str">
        <f>VLOOKUP(H2096,Stock_list!A:S,17,FALSE)</f>
        <v>C49SZX20200085JL</v>
      </c>
      <c r="K2096" s="51" t="str">
        <f>VLOOKUP(H2096,Stock_list!A:T,16,FALSE)</f>
        <v>RMB</v>
      </c>
      <c r="L2096" s="4">
        <v>44041</v>
      </c>
      <c r="M2096" s="132">
        <v>22</v>
      </c>
      <c r="P2096" s="4" t="str">
        <f>VLOOKUP(H2096,Stock_list!A:Y,25,FALSE)</f>
        <v>Yes</v>
      </c>
      <c r="Q2096" s="143"/>
      <c r="T2096" s="144"/>
      <c r="U2096" s="145" t="str">
        <f>VLOOKUP(H2096,Stock_list!A:N,14,FALSE)</f>
        <v>JUL 20</v>
      </c>
    </row>
    <row r="2097" spans="1:21" ht="16.5" customHeight="1">
      <c r="A2097" s="159" t="s">
        <v>2747</v>
      </c>
      <c r="B2097" s="114" t="str">
        <f>VLOOKUP(A2097,'Data pick slip'!B:F,5,FALSE)</f>
        <v>KHJ-MC200-00</v>
      </c>
      <c r="F2097" s="157" t="s">
        <v>2773</v>
      </c>
      <c r="H2097" s="138">
        <v>679</v>
      </c>
      <c r="I2097" s="139" t="str">
        <f>VLOOKUP(H2097,Stock_list!A:R,18,FALSE)</f>
        <v>达人高科</v>
      </c>
      <c r="J2097" s="139" t="str">
        <f>VLOOKUP(H2097,Stock_list!A:S,17,FALSE)</f>
        <v>C49SZX20200085JL</v>
      </c>
      <c r="K2097" s="51" t="str">
        <f>VLOOKUP(H2097,Stock_list!A:T,16,FALSE)</f>
        <v>RMB</v>
      </c>
      <c r="L2097" s="4">
        <v>44041</v>
      </c>
      <c r="M2097" s="132">
        <v>10</v>
      </c>
      <c r="P2097" s="4" t="str">
        <f>VLOOKUP(H2097,Stock_list!A:Y,25,FALSE)</f>
        <v>Yes</v>
      </c>
      <c r="Q2097" s="143"/>
      <c r="T2097" s="144"/>
      <c r="U2097" s="145" t="str">
        <f>VLOOKUP(H2097,Stock_list!A:N,14,FALSE)</f>
        <v>JUL 20</v>
      </c>
    </row>
    <row r="2098" spans="1:21" ht="16.5" customHeight="1">
      <c r="A2098" s="159" t="s">
        <v>2748</v>
      </c>
      <c r="B2098" s="114" t="str">
        <f>VLOOKUP(A2098,'Data pick slip'!B:F,5,FALSE)</f>
        <v>KHJ-MC400-00</v>
      </c>
      <c r="F2098" s="157" t="s">
        <v>2773</v>
      </c>
      <c r="H2098" s="138">
        <v>679</v>
      </c>
      <c r="I2098" s="139" t="str">
        <f>VLOOKUP(H2098,Stock_list!A:R,18,FALSE)</f>
        <v>达人高科</v>
      </c>
      <c r="J2098" s="139" t="str">
        <f>VLOOKUP(H2098,Stock_list!A:S,17,FALSE)</f>
        <v>C49SZX20200085JL</v>
      </c>
      <c r="K2098" s="51" t="str">
        <f>VLOOKUP(H2098,Stock_list!A:T,16,FALSE)</f>
        <v>RMB</v>
      </c>
      <c r="L2098" s="4">
        <v>44028</v>
      </c>
      <c r="M2098" s="140">
        <v>2</v>
      </c>
      <c r="P2098" s="4" t="str">
        <f>VLOOKUP(H2098,Stock_list!A:Y,25,FALSE)</f>
        <v>Yes</v>
      </c>
      <c r="Q2098" s="143"/>
      <c r="T2098" s="144"/>
      <c r="U2098" s="145" t="str">
        <f>VLOOKUP(H2098,Stock_list!A:N,14,FALSE)</f>
        <v>JUL 20</v>
      </c>
    </row>
    <row r="2099" spans="1:21" ht="16.5" customHeight="1">
      <c r="A2099" s="159" t="s">
        <v>2744</v>
      </c>
      <c r="B2099" s="114" t="str">
        <f>VLOOKUP(A2099,'Data pick slip'!B:F,5,FALSE)</f>
        <v>KHJ-MC100-00</v>
      </c>
      <c r="F2099" s="157" t="s">
        <v>2773</v>
      </c>
      <c r="H2099" s="138">
        <v>681</v>
      </c>
      <c r="I2099" s="139" t="str">
        <f>VLOOKUP(H2099,Stock_list!A:R,18,FALSE)</f>
        <v>铭华永兴</v>
      </c>
      <c r="J2099" s="139" t="str">
        <f>VLOOKUP(H2099,Stock_list!A:S,17,FALSE)</f>
        <v>C49SZX20200083JL</v>
      </c>
      <c r="K2099" s="51" t="str">
        <f>VLOOKUP(H2099,Stock_list!A:T,16,FALSE)</f>
        <v>RMB</v>
      </c>
      <c r="L2099" s="4">
        <v>44015</v>
      </c>
      <c r="M2099" s="132">
        <v>30</v>
      </c>
      <c r="P2099" s="4" t="str">
        <f>VLOOKUP(H2099,Stock_list!A:Y,25,FALSE)</f>
        <v>Yes</v>
      </c>
      <c r="Q2099" s="143"/>
      <c r="T2099" s="144"/>
      <c r="U2099" s="145" t="str">
        <f>VLOOKUP(H2099,Stock_list!A:N,14,FALSE)</f>
        <v>JUL 20</v>
      </c>
    </row>
    <row r="2100" spans="1:21" ht="16.5" customHeight="1">
      <c r="A2100" s="159" t="s">
        <v>2744</v>
      </c>
      <c r="B2100" s="114" t="str">
        <f>VLOOKUP(A2100,'Data pick slip'!B:F,5,FALSE)</f>
        <v>KHJ-MC100-00</v>
      </c>
      <c r="F2100" s="157" t="s">
        <v>2862</v>
      </c>
      <c r="H2100" s="138">
        <v>682</v>
      </c>
      <c r="I2100" s="139" t="str">
        <f>VLOOKUP(H2100,Stock_list!A:R,18,FALSE)</f>
        <v>朗特/end user:朗勤</v>
      </c>
      <c r="J2100" s="139" t="str">
        <f>VLOOKUP(H2100,Stock_list!A:S,17,FALSE)</f>
        <v>C49SZX20200032DZ</v>
      </c>
      <c r="K2100" s="51" t="str">
        <f>VLOOKUP(H2100,Stock_list!A:T,16,FALSE)</f>
        <v>JPY</v>
      </c>
      <c r="L2100" s="4">
        <v>44016</v>
      </c>
      <c r="M2100" s="132">
        <v>100</v>
      </c>
      <c r="P2100" s="4" t="str">
        <f>VLOOKUP(H2100,Stock_list!A:Y,25,FALSE)</f>
        <v>Yes</v>
      </c>
      <c r="Q2100" s="143"/>
      <c r="T2100" s="144"/>
      <c r="U2100" s="145" t="str">
        <f>VLOOKUP(H2100,Stock_list!A:N,14,FALSE)</f>
        <v>JUL 20</v>
      </c>
    </row>
    <row r="2101" spans="1:21" ht="16.5" customHeight="1">
      <c r="A2101" s="159" t="s">
        <v>2747</v>
      </c>
      <c r="B2101" s="114" t="str">
        <f>VLOOKUP(A2101,'Data pick slip'!B:F,5,FALSE)</f>
        <v>KHJ-MC200-00</v>
      </c>
      <c r="F2101" s="157" t="s">
        <v>2862</v>
      </c>
      <c r="H2101" s="138">
        <v>682</v>
      </c>
      <c r="I2101" s="139" t="str">
        <f>VLOOKUP(H2101,Stock_list!A:R,18,FALSE)</f>
        <v>朗特/end user:朗勤</v>
      </c>
      <c r="J2101" s="139" t="str">
        <f>VLOOKUP(H2101,Stock_list!A:S,17,FALSE)</f>
        <v>C49SZX20200032DZ</v>
      </c>
      <c r="K2101" s="51" t="str">
        <f>VLOOKUP(H2101,Stock_list!A:T,16,FALSE)</f>
        <v>JPY</v>
      </c>
      <c r="L2101" s="4">
        <v>44016</v>
      </c>
      <c r="M2101" s="132">
        <v>30</v>
      </c>
      <c r="P2101" s="4" t="str">
        <f>VLOOKUP(H2101,Stock_list!A:Y,25,FALSE)</f>
        <v>Yes</v>
      </c>
      <c r="Q2101" s="143"/>
      <c r="T2101" s="144"/>
      <c r="U2101" s="145" t="str">
        <f>VLOOKUP(H2101,Stock_list!A:N,14,FALSE)</f>
        <v>JUL 20</v>
      </c>
    </row>
    <row r="2102" spans="1:21" ht="16.5" customHeight="1">
      <c r="A2102" s="159" t="s">
        <v>2748</v>
      </c>
      <c r="B2102" s="114" t="str">
        <f>VLOOKUP(A2102,'Data pick slip'!B:F,5,FALSE)</f>
        <v>KHJ-MC400-00</v>
      </c>
      <c r="F2102" s="157" t="s">
        <v>2862</v>
      </c>
      <c r="H2102" s="138">
        <v>682</v>
      </c>
      <c r="I2102" s="139" t="str">
        <f>VLOOKUP(H2102,Stock_list!A:R,18,FALSE)</f>
        <v>朗特/end user:朗勤</v>
      </c>
      <c r="J2102" s="139" t="str">
        <f>VLOOKUP(H2102,Stock_list!A:S,17,FALSE)</f>
        <v>C49SZX20200032DZ</v>
      </c>
      <c r="K2102" s="51" t="str">
        <f>VLOOKUP(H2102,Stock_list!A:T,16,FALSE)</f>
        <v>JPY</v>
      </c>
      <c r="L2102" s="4">
        <v>44016</v>
      </c>
      <c r="M2102" s="132">
        <v>10</v>
      </c>
      <c r="P2102" s="4" t="str">
        <f>VLOOKUP(H2102,Stock_list!A:Y,25,FALSE)</f>
        <v>Yes</v>
      </c>
      <c r="Q2102" s="143"/>
      <c r="T2102" s="144"/>
      <c r="U2102" s="145" t="str">
        <f>VLOOKUP(H2102,Stock_list!A:N,14,FALSE)</f>
        <v>JUL 20</v>
      </c>
    </row>
    <row r="2103" spans="1:21" ht="16.5" customHeight="1">
      <c r="A2103" s="159" t="s">
        <v>2749</v>
      </c>
      <c r="B2103" s="114" t="str">
        <f>VLOOKUP(A2103,'Data pick slip'!B:F,5,FALSE)</f>
        <v>KHJ-MC500-00</v>
      </c>
      <c r="F2103" s="157" t="s">
        <v>2862</v>
      </c>
      <c r="H2103" s="138">
        <v>682</v>
      </c>
      <c r="I2103" s="139" t="str">
        <f>VLOOKUP(H2103,Stock_list!A:R,18,FALSE)</f>
        <v>朗特/end user:朗勤</v>
      </c>
      <c r="J2103" s="139" t="str">
        <f>VLOOKUP(H2103,Stock_list!A:S,17,FALSE)</f>
        <v>C49SZX20200032DZ</v>
      </c>
      <c r="K2103" s="51" t="str">
        <f>VLOOKUP(H2103,Stock_list!A:T,16,FALSE)</f>
        <v>JPY</v>
      </c>
      <c r="L2103" s="4">
        <v>44016</v>
      </c>
      <c r="M2103" s="132">
        <v>3</v>
      </c>
      <c r="P2103" s="4" t="str">
        <f>VLOOKUP(H2103,Stock_list!A:Y,25,FALSE)</f>
        <v>Yes</v>
      </c>
      <c r="Q2103" s="143"/>
      <c r="T2103" s="144"/>
      <c r="U2103" s="145" t="str">
        <f>VLOOKUP(H2103,Stock_list!A:N,14,FALSE)</f>
        <v>JUL 20</v>
      </c>
    </row>
    <row r="2104" spans="1:21" ht="16.5" customHeight="1">
      <c r="A2104" s="159" t="s">
        <v>2744</v>
      </c>
      <c r="B2104" s="114" t="str">
        <f>VLOOKUP(A2104,'Data pick slip'!B:F,5,FALSE)</f>
        <v>KHJ-MC100-00</v>
      </c>
      <c r="F2104" s="157" t="s">
        <v>2862</v>
      </c>
      <c r="I2104" s="139" t="s">
        <v>3016</v>
      </c>
      <c r="J2104" s="139" t="s">
        <v>3303</v>
      </c>
      <c r="K2104" s="51" t="s">
        <v>1246</v>
      </c>
      <c r="L2104" s="4">
        <v>44006</v>
      </c>
      <c r="M2104" s="140">
        <v>50</v>
      </c>
      <c r="P2104" s="4" t="s">
        <v>291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2747</v>
      </c>
      <c r="B2105" s="114" t="str">
        <f>VLOOKUP(A2105,'Data pick slip'!B:F,5,FALSE)</f>
        <v>KHJ-MC200-00</v>
      </c>
      <c r="F2105" s="157" t="s">
        <v>2862</v>
      </c>
      <c r="I2105" s="139" t="s">
        <v>3016</v>
      </c>
      <c r="J2105" s="139" t="s">
        <v>3303</v>
      </c>
      <c r="K2105" s="51" t="s">
        <v>1246</v>
      </c>
      <c r="L2105" s="4">
        <v>44006</v>
      </c>
      <c r="M2105" s="140">
        <v>100</v>
      </c>
      <c r="P2105" s="4" t="s">
        <v>291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2748</v>
      </c>
      <c r="B2106" s="114" t="str">
        <f>VLOOKUP(A2106,'Data pick slip'!B:F,5,FALSE)</f>
        <v>KHJ-MC400-00</v>
      </c>
      <c r="F2106" s="157" t="s">
        <v>2862</v>
      </c>
      <c r="I2106" s="139" t="s">
        <v>3016</v>
      </c>
      <c r="J2106" s="139" t="s">
        <v>3303</v>
      </c>
      <c r="K2106" s="51" t="s">
        <v>1246</v>
      </c>
      <c r="L2106" s="4">
        <v>44006</v>
      </c>
      <c r="M2106" s="140">
        <v>35</v>
      </c>
      <c r="P2106" s="4" t="s">
        <v>291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2749</v>
      </c>
      <c r="B2107" s="114" t="str">
        <f>VLOOKUP(A2107,'Data pick slip'!B:F,5,FALSE)</f>
        <v>KHJ-MC500-00</v>
      </c>
      <c r="F2107" s="157" t="s">
        <v>2862</v>
      </c>
      <c r="I2107" s="139" t="s">
        <v>3016</v>
      </c>
      <c r="J2107" s="139" t="s">
        <v>3303</v>
      </c>
      <c r="K2107" s="51" t="s">
        <v>1246</v>
      </c>
      <c r="L2107" s="4">
        <v>44006</v>
      </c>
      <c r="M2107" s="140">
        <v>5</v>
      </c>
      <c r="P2107" s="4" t="s">
        <v>291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2750</v>
      </c>
      <c r="B2108" s="114" t="str">
        <f>VLOOKUP(A2108,'Data pick slip'!B:F,5,FALSE)</f>
        <v>KHJ-MC600-00</v>
      </c>
      <c r="F2108" s="157" t="s">
        <v>2862</v>
      </c>
      <c r="I2108" s="139" t="s">
        <v>3016</v>
      </c>
      <c r="J2108" s="139" t="s">
        <v>3303</v>
      </c>
      <c r="K2108" s="51" t="s">
        <v>1246</v>
      </c>
      <c r="L2108" s="4">
        <v>44006</v>
      </c>
      <c r="M2108" s="140">
        <v>8</v>
      </c>
      <c r="P2108" s="4" t="s">
        <v>291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2747</v>
      </c>
      <c r="B2109" s="114" t="str">
        <f>VLOOKUP(A2109,'Data pick slip'!B:F,5,FALSE)</f>
        <v>KHJ-MC200-00</v>
      </c>
      <c r="F2109" s="157" t="s">
        <v>2773</v>
      </c>
      <c r="I2109" s="139" t="s">
        <v>3094</v>
      </c>
      <c r="J2109" s="139" t="s">
        <v>3304</v>
      </c>
      <c r="K2109" s="51" t="s">
        <v>1246</v>
      </c>
      <c r="L2109" s="4">
        <v>44010</v>
      </c>
      <c r="M2109" s="140">
        <v>5</v>
      </c>
      <c r="P2109" s="4" t="s">
        <v>291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2748</v>
      </c>
      <c r="B2110" s="114" t="str">
        <f>VLOOKUP(A2110,'Data pick slip'!B:F,5,FALSE)</f>
        <v>KHJ-MC400-00</v>
      </c>
      <c r="F2110" s="157" t="s">
        <v>2773</v>
      </c>
      <c r="I2110" s="139" t="s">
        <v>3094</v>
      </c>
      <c r="J2110" s="139" t="s">
        <v>3305</v>
      </c>
      <c r="K2110" s="51" t="s">
        <v>1246</v>
      </c>
      <c r="L2110" s="4">
        <v>44010</v>
      </c>
      <c r="M2110" s="140">
        <v>3</v>
      </c>
      <c r="P2110" s="4" t="s">
        <v>291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2749</v>
      </c>
      <c r="B2111" s="114" t="str">
        <f>VLOOKUP(A2111,'Data pick slip'!B:F,5,FALSE)</f>
        <v>KHJ-MC500-00</v>
      </c>
      <c r="F2111" s="157" t="s">
        <v>2773</v>
      </c>
      <c r="I2111" s="139" t="s">
        <v>3094</v>
      </c>
      <c r="J2111" s="139" t="s">
        <v>3305</v>
      </c>
      <c r="K2111" s="51" t="s">
        <v>1246</v>
      </c>
      <c r="L2111" s="4">
        <v>44010</v>
      </c>
      <c r="M2111" s="140">
        <v>2</v>
      </c>
      <c r="P2111" s="4" t="s">
        <v>291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2744</v>
      </c>
      <c r="B2112" s="114" t="str">
        <f>VLOOKUP(A2112,'Data pick slip'!B:F,5,FALSE)</f>
        <v>KHJ-MC100-00</v>
      </c>
      <c r="F2112" s="157" t="s">
        <v>2862</v>
      </c>
      <c r="H2112" s="138">
        <v>686</v>
      </c>
      <c r="I2112" s="139" t="str">
        <f>VLOOKUP(H2112,Stock_list!A:R,18,FALSE)</f>
        <v>惠州创荣发</v>
      </c>
      <c r="J2112" s="139" t="str">
        <f>VLOOKUP(H2112,Stock_list!A:S,17,FALSE)</f>
        <v>C49SZX20200070JY</v>
      </c>
      <c r="K2112" s="51" t="str">
        <f>VLOOKUP(H2112,Stock_list!A:T,16,FALSE)</f>
        <v>JPY</v>
      </c>
      <c r="L2112" s="4">
        <v>44042</v>
      </c>
      <c r="M2112" s="132">
        <v>110</v>
      </c>
      <c r="P2112" s="4" t="str">
        <f>VLOOKUP(H2112,Stock_list!A:Y,25,FALSE)</f>
        <v>Yes</v>
      </c>
      <c r="Q2112" s="143"/>
      <c r="T2112" s="144"/>
      <c r="U2112" s="145" t="str">
        <f>VLOOKUP(H2112,Stock_list!A:N,14,FALSE)</f>
        <v>JUL 20</v>
      </c>
    </row>
    <row r="2113" spans="1:21" ht="16.5" customHeight="1">
      <c r="A2113" s="159" t="s">
        <v>2747</v>
      </c>
      <c r="B2113" s="114" t="str">
        <f>VLOOKUP(A2113,'Data pick slip'!B:F,5,FALSE)</f>
        <v>KHJ-MC200-00</v>
      </c>
      <c r="F2113" s="157" t="s">
        <v>2862</v>
      </c>
      <c r="H2113" s="138">
        <v>686</v>
      </c>
      <c r="I2113" s="139" t="str">
        <f>VLOOKUP(H2113,Stock_list!A:R,18,FALSE)</f>
        <v>惠州创荣发</v>
      </c>
      <c r="J2113" s="139" t="str">
        <f>VLOOKUP(H2113,Stock_list!A:S,17,FALSE)</f>
        <v>C49SZX20200070JY</v>
      </c>
      <c r="K2113" s="51" t="str">
        <f>VLOOKUP(H2113,Stock_list!A:T,16,FALSE)</f>
        <v>JPY</v>
      </c>
      <c r="L2113" s="4">
        <v>44042</v>
      </c>
      <c r="M2113" s="132">
        <v>28</v>
      </c>
      <c r="P2113" s="4" t="str">
        <f>VLOOKUP(H2113,Stock_list!A:Y,25,FALSE)</f>
        <v>Yes</v>
      </c>
      <c r="Q2113" s="143"/>
      <c r="T2113" s="144"/>
      <c r="U2113" s="145" t="str">
        <f>VLOOKUP(H2113,Stock_list!A:N,14,FALSE)</f>
        <v>JUL 20</v>
      </c>
    </row>
    <row r="2114" spans="1:21" ht="16.5" customHeight="1">
      <c r="A2114" s="159" t="s">
        <v>2748</v>
      </c>
      <c r="B2114" s="114" t="str">
        <f>VLOOKUP(A2114,'Data pick slip'!B:F,5,FALSE)</f>
        <v>KHJ-MC400-00</v>
      </c>
      <c r="F2114" s="157" t="s">
        <v>2862</v>
      </c>
      <c r="H2114" s="138">
        <v>686</v>
      </c>
      <c r="I2114" s="139" t="str">
        <f>VLOOKUP(H2114,Stock_list!A:R,18,FALSE)</f>
        <v>惠州创荣发</v>
      </c>
      <c r="J2114" s="139" t="str">
        <f>VLOOKUP(H2114,Stock_list!A:S,17,FALSE)</f>
        <v>C49SZX20200070JY</v>
      </c>
      <c r="K2114" s="51" t="str">
        <f>VLOOKUP(H2114,Stock_list!A:T,16,FALSE)</f>
        <v>JPY</v>
      </c>
      <c r="L2114" s="4">
        <v>44042</v>
      </c>
      <c r="M2114" s="132">
        <v>3</v>
      </c>
      <c r="P2114" s="4" t="str">
        <f>VLOOKUP(H2114,Stock_list!A:Y,25,FALSE)</f>
        <v>Yes</v>
      </c>
      <c r="Q2114" s="143"/>
      <c r="T2114" s="144"/>
      <c r="U2114" s="145" t="str">
        <f>VLOOKUP(H2114,Stock_list!A:N,14,FALSE)</f>
        <v>JUL 20</v>
      </c>
    </row>
    <row r="2115" spans="1:21" ht="16.5" customHeight="1">
      <c r="A2115" s="159" t="s">
        <v>2749</v>
      </c>
      <c r="B2115" s="114" t="str">
        <f>VLOOKUP(A2115,'Data pick slip'!B:F,5,FALSE)</f>
        <v>KHJ-MC500-00</v>
      </c>
      <c r="F2115" s="157" t="s">
        <v>2862</v>
      </c>
      <c r="H2115" s="138">
        <v>686</v>
      </c>
      <c r="I2115" s="139" t="str">
        <f>VLOOKUP(H2115,Stock_list!A:R,18,FALSE)</f>
        <v>惠州创荣发</v>
      </c>
      <c r="J2115" s="139" t="str">
        <f>VLOOKUP(H2115,Stock_list!A:S,17,FALSE)</f>
        <v>C49SZX20200070JY</v>
      </c>
      <c r="K2115" s="51" t="str">
        <f>VLOOKUP(H2115,Stock_list!A:T,16,FALSE)</f>
        <v>JPY</v>
      </c>
      <c r="L2115" s="4">
        <v>44042</v>
      </c>
      <c r="M2115" s="132">
        <v>2</v>
      </c>
      <c r="P2115" s="4" t="str">
        <f>VLOOKUP(H2115,Stock_list!A:Y,25,FALSE)</f>
        <v>Yes</v>
      </c>
      <c r="Q2115" s="143"/>
      <c r="T2115" s="144"/>
      <c r="U2115" s="145" t="str">
        <f>VLOOKUP(H2115,Stock_list!A:N,14,FALSE)</f>
        <v>JUL 20</v>
      </c>
    </row>
    <row r="2116" spans="1:21" ht="16.5" customHeight="1">
      <c r="A2116" s="159" t="s">
        <v>2750</v>
      </c>
      <c r="B2116" s="114" t="str">
        <f>VLOOKUP(A2116,'Data pick slip'!B:F,5,FALSE)</f>
        <v>KHJ-MC600-00</v>
      </c>
      <c r="F2116" s="157" t="s">
        <v>2862</v>
      </c>
      <c r="H2116" s="138">
        <v>686</v>
      </c>
      <c r="I2116" s="139" t="str">
        <f>VLOOKUP(H2116,Stock_list!A:R,18,FALSE)</f>
        <v>惠州创荣发</v>
      </c>
      <c r="J2116" s="139" t="str">
        <f>VLOOKUP(H2116,Stock_list!A:S,17,FALSE)</f>
        <v>C49SZX20200070JY</v>
      </c>
      <c r="K2116" s="51" t="str">
        <f>VLOOKUP(H2116,Stock_list!A:T,16,FALSE)</f>
        <v>JPY</v>
      </c>
      <c r="L2116" s="4">
        <v>44042</v>
      </c>
      <c r="M2116" s="132">
        <v>1</v>
      </c>
      <c r="P2116" s="4" t="str">
        <f>VLOOKUP(H2116,Stock_list!A:Y,25,FALSE)</f>
        <v>Yes</v>
      </c>
      <c r="Q2116" s="143"/>
      <c r="T2116" s="144"/>
      <c r="U2116" s="145" t="str">
        <f>VLOOKUP(H2116,Stock_list!A:N,14,FALSE)</f>
        <v>JUL 20</v>
      </c>
    </row>
    <row r="2117" spans="1:21" ht="16.5" customHeight="1">
      <c r="A2117" s="159" t="s">
        <v>2744</v>
      </c>
      <c r="B2117" s="114" t="str">
        <f>VLOOKUP(A2117,'Data pick slip'!B:F,5,FALSE)</f>
        <v>KHJ-MC100-00</v>
      </c>
      <c r="F2117" s="157" t="s">
        <v>2862</v>
      </c>
      <c r="H2117" s="138">
        <v>689</v>
      </c>
      <c r="I2117" s="139" t="str">
        <f>VLOOKUP(H2117,Stock_list!A:R,18,FALSE)</f>
        <v>乐上</v>
      </c>
      <c r="J2117" s="139" t="str">
        <f>VLOOKUP(H2117,Stock_list!A:S,17,FALSE)</f>
        <v>C49SZX20200090SS</v>
      </c>
      <c r="K2117" s="51" t="str">
        <f>VLOOKUP(H2117,Stock_list!A:T,16,FALSE)</f>
        <v>JPY</v>
      </c>
      <c r="L2117" s="4">
        <v>44020</v>
      </c>
      <c r="M2117" s="140">
        <v>10</v>
      </c>
      <c r="P2117" s="4" t="str">
        <f>VLOOKUP(H2117,Stock_list!A:Y,25,FALSE)</f>
        <v>Yes</v>
      </c>
      <c r="Q2117" s="143"/>
      <c r="T2117" s="144"/>
      <c r="U2117" s="145" t="str">
        <f>VLOOKUP(H2117,Stock_list!A:N,14,FALSE)</f>
        <v>JUL 20</v>
      </c>
    </row>
    <row r="2118" spans="1:21" ht="16.5" customHeight="1">
      <c r="A2118" s="159" t="s">
        <v>2744</v>
      </c>
      <c r="B2118" s="114" t="str">
        <f>VLOOKUP(A2118,'Data pick slip'!B:F,5,FALSE)</f>
        <v>KHJ-MC100-00</v>
      </c>
      <c r="F2118" s="157" t="s">
        <v>2773</v>
      </c>
      <c r="H2118" s="138">
        <v>689</v>
      </c>
      <c r="I2118" s="139" t="str">
        <f>VLOOKUP(H2118,Stock_list!A:R,18,FALSE)</f>
        <v>乐上</v>
      </c>
      <c r="J2118" s="139" t="str">
        <f>VLOOKUP(H2118,Stock_list!A:S,17,FALSE)</f>
        <v>C49SZX20200090SS</v>
      </c>
      <c r="K2118" s="51" t="str">
        <f>VLOOKUP(H2118,Stock_list!A:T,16,FALSE)</f>
        <v>JPY</v>
      </c>
      <c r="L2118" s="4">
        <v>44020</v>
      </c>
      <c r="M2118" s="140">
        <v>3</v>
      </c>
      <c r="P2118" s="4" t="str">
        <f>VLOOKUP(H2118,Stock_list!A:Y,25,FALSE)</f>
        <v>Yes</v>
      </c>
      <c r="Q2118" s="143"/>
      <c r="S2118" s="123" t="s">
        <v>3004</v>
      </c>
      <c r="T2118" s="205" t="s">
        <v>3306</v>
      </c>
      <c r="U2118" s="145" t="str">
        <f>VLOOKUP(H2118,Stock_list!A:N,14,FALSE)</f>
        <v>JUL 20</v>
      </c>
    </row>
    <row r="2119" spans="1:21" ht="16.5" customHeight="1">
      <c r="A2119" s="159" t="s">
        <v>2744</v>
      </c>
      <c r="B2119" s="114" t="str">
        <f>VLOOKUP(A2119,'Data pick slip'!B:F,5,FALSE)</f>
        <v>KHJ-MC100-00</v>
      </c>
      <c r="F2119" s="157" t="s">
        <v>2773</v>
      </c>
      <c r="H2119" s="138">
        <v>690</v>
      </c>
      <c r="I2119" s="139" t="str">
        <f>VLOOKUP(H2119,Stock_list!A:R,18,FALSE)</f>
        <v>海星</v>
      </c>
      <c r="J2119" s="139" t="str">
        <f>VLOOKUP(H2119,Stock_list!A:S,17,FALSE)</f>
        <v>C49SZX20200087DZ</v>
      </c>
      <c r="K2119" s="51" t="str">
        <f>VLOOKUP(H2119,Stock_list!A:T,16,FALSE)</f>
        <v>RMB</v>
      </c>
      <c r="L2119" s="4">
        <v>44036</v>
      </c>
      <c r="M2119" s="132">
        <v>40</v>
      </c>
      <c r="P2119" s="4" t="str">
        <f>VLOOKUP(H2119,Stock_list!A:Y,25,FALSE)</f>
        <v>Yes</v>
      </c>
      <c r="Q2119" s="143"/>
      <c r="T2119" s="144"/>
      <c r="U2119" s="145" t="str">
        <f>VLOOKUP(H2119,Stock_list!A:N,14,FALSE)</f>
        <v>JUL 20</v>
      </c>
    </row>
    <row r="2120" spans="1:21" ht="16.5" customHeight="1">
      <c r="A2120" s="159" t="s">
        <v>2747</v>
      </c>
      <c r="B2120" s="114" t="str">
        <f>VLOOKUP(A2120,'Data pick slip'!B:F,5,FALSE)</f>
        <v>KHJ-MC200-00</v>
      </c>
      <c r="F2120" s="157" t="s">
        <v>2773</v>
      </c>
      <c r="H2120" s="138">
        <v>690</v>
      </c>
      <c r="I2120" s="139" t="str">
        <f>VLOOKUP(H2120,Stock_list!A:R,18,FALSE)</f>
        <v>海星</v>
      </c>
      <c r="J2120" s="139" t="str">
        <f>VLOOKUP(H2120,Stock_list!A:S,17,FALSE)</f>
        <v>C49SZX20200087DZ</v>
      </c>
      <c r="K2120" s="51" t="str">
        <f>VLOOKUP(H2120,Stock_list!A:T,16,FALSE)</f>
        <v>RMB</v>
      </c>
      <c r="L2120" s="4">
        <v>44036</v>
      </c>
      <c r="M2120" s="132">
        <v>6</v>
      </c>
      <c r="P2120" s="4" t="str">
        <f>VLOOKUP(H2120,Stock_list!A:Y,25,FALSE)</f>
        <v>Yes</v>
      </c>
      <c r="Q2120" s="143"/>
      <c r="T2120" s="144"/>
      <c r="U2120" s="145" t="str">
        <f>VLOOKUP(H2120,Stock_list!A:N,14,FALSE)</f>
        <v>JUL 20</v>
      </c>
    </row>
    <row r="2121" spans="1:21" ht="16.5" customHeight="1">
      <c r="A2121" s="159" t="s">
        <v>2748</v>
      </c>
      <c r="B2121" s="114" t="str">
        <f>VLOOKUP(A2121,'Data pick slip'!B:F,5,FALSE)</f>
        <v>KHJ-MC400-00</v>
      </c>
      <c r="F2121" s="157" t="s">
        <v>2773</v>
      </c>
      <c r="H2121" s="138">
        <v>690</v>
      </c>
      <c r="I2121" s="139" t="str">
        <f>VLOOKUP(H2121,Stock_list!A:R,18,FALSE)</f>
        <v>海星</v>
      </c>
      <c r="J2121" s="139" t="str">
        <f>VLOOKUP(H2121,Stock_list!A:S,17,FALSE)</f>
        <v>C49SZX20200087DZ</v>
      </c>
      <c r="K2121" s="51" t="str">
        <f>VLOOKUP(H2121,Stock_list!A:T,16,FALSE)</f>
        <v>RMB</v>
      </c>
      <c r="L2121" s="4">
        <v>44036</v>
      </c>
      <c r="M2121" s="132">
        <v>6</v>
      </c>
      <c r="P2121" s="4" t="str">
        <f>VLOOKUP(H2121,Stock_list!A:Y,25,FALSE)</f>
        <v>Yes</v>
      </c>
      <c r="Q2121" s="143"/>
      <c r="T2121" s="144"/>
      <c r="U2121" s="145" t="str">
        <f>VLOOKUP(H2121,Stock_list!A:N,14,FALSE)</f>
        <v>JUL 20</v>
      </c>
    </row>
    <row r="2122" spans="1:21" ht="16.5" customHeight="1">
      <c r="A2122" s="159" t="s">
        <v>2749</v>
      </c>
      <c r="B2122" s="114" t="str">
        <f>VLOOKUP(A2122,'Data pick slip'!B:F,5,FALSE)</f>
        <v>KHJ-MC500-00</v>
      </c>
      <c r="F2122" s="157" t="s">
        <v>2773</v>
      </c>
      <c r="H2122" s="138">
        <v>690</v>
      </c>
      <c r="I2122" s="139" t="str">
        <f>VLOOKUP(H2122,Stock_list!A:R,18,FALSE)</f>
        <v>海星</v>
      </c>
      <c r="J2122" s="139" t="str">
        <f>VLOOKUP(H2122,Stock_list!A:S,17,FALSE)</f>
        <v>C49SZX20200087DZ</v>
      </c>
      <c r="K2122" s="51" t="str">
        <f>VLOOKUP(H2122,Stock_list!A:T,16,FALSE)</f>
        <v>RMB</v>
      </c>
      <c r="L2122" s="4">
        <v>44036</v>
      </c>
      <c r="M2122" s="132">
        <v>1</v>
      </c>
      <c r="P2122" s="4" t="str">
        <f>VLOOKUP(H2122,Stock_list!A:Y,25,FALSE)</f>
        <v>Yes</v>
      </c>
      <c r="Q2122" s="143"/>
      <c r="T2122" s="144"/>
      <c r="U2122" s="145" t="str">
        <f>VLOOKUP(H2122,Stock_list!A:N,14,FALSE)</f>
        <v>JUL 20</v>
      </c>
    </row>
    <row r="2123" spans="1:21" ht="16.5" customHeight="1">
      <c r="A2123" s="159" t="s">
        <v>2750</v>
      </c>
      <c r="B2123" s="114" t="str">
        <f>VLOOKUP(A2123,'Data pick slip'!B:F,5,FALSE)</f>
        <v>KHJ-MC600-00</v>
      </c>
      <c r="F2123" s="157" t="s">
        <v>2773</v>
      </c>
      <c r="H2123" s="138">
        <v>690</v>
      </c>
      <c r="I2123" s="139" t="str">
        <f>VLOOKUP(H2123,Stock_list!A:R,18,FALSE)</f>
        <v>海星</v>
      </c>
      <c r="J2123" s="139" t="str">
        <f>VLOOKUP(H2123,Stock_list!A:S,17,FALSE)</f>
        <v>C49SZX20200087DZ</v>
      </c>
      <c r="K2123" s="51" t="str">
        <f>VLOOKUP(H2123,Stock_list!A:T,16,FALSE)</f>
        <v>RMB</v>
      </c>
      <c r="L2123" s="4">
        <v>44036</v>
      </c>
      <c r="M2123" s="132">
        <v>1</v>
      </c>
      <c r="P2123" s="4" t="str">
        <f>VLOOKUP(H2123,Stock_list!A:Y,25,FALSE)</f>
        <v>Yes</v>
      </c>
      <c r="Q2123" s="143"/>
      <c r="T2123" s="144"/>
      <c r="U2123" s="145" t="str">
        <f>VLOOKUP(H2123,Stock_list!A:N,14,FALSE)</f>
        <v>JUL 20</v>
      </c>
    </row>
    <row r="2124" spans="1:21" ht="16.5" customHeight="1">
      <c r="A2124" s="159" t="s">
        <v>2744</v>
      </c>
      <c r="B2124" s="114" t="str">
        <f>VLOOKUP(A2124,'Data pick slip'!B:F,5,FALSE)</f>
        <v>KHJ-MC100-00</v>
      </c>
      <c r="F2124" s="157" t="s">
        <v>2862</v>
      </c>
      <c r="H2124" s="138">
        <v>691</v>
      </c>
      <c r="I2124" s="139" t="str">
        <f>VLOOKUP(H2124,Stock_list!A:R,18,FALSE)</f>
        <v>百施达</v>
      </c>
      <c r="J2124" s="139" t="str">
        <f>VLOOKUP(H2124,Stock_list!A:S,17,FALSE)</f>
        <v>C49SZX20200072JY</v>
      </c>
      <c r="K2124" s="51" t="str">
        <f>VLOOKUP(H2124,Stock_list!A:T,16,FALSE)</f>
        <v>JPY</v>
      </c>
      <c r="L2124" s="4">
        <v>44040</v>
      </c>
      <c r="M2124" s="132">
        <v>20</v>
      </c>
      <c r="P2124" s="4" t="str">
        <f>VLOOKUP(H2124,Stock_list!A:Y,25,FALSE)</f>
        <v>Yes</v>
      </c>
      <c r="Q2124" s="143"/>
      <c r="T2124" s="144"/>
      <c r="U2124" s="145" t="str">
        <f>VLOOKUP(H2124,Stock_list!A:N,14,FALSE)</f>
        <v>JUL 20</v>
      </c>
    </row>
    <row r="2125" spans="1:21" ht="16.5" customHeight="1">
      <c r="A2125" s="159" t="s">
        <v>2748</v>
      </c>
      <c r="B2125" s="114" t="str">
        <f>VLOOKUP(A2125,'Data pick slip'!B:F,5,FALSE)</f>
        <v>KHJ-MC400-00</v>
      </c>
      <c r="F2125" s="157" t="s">
        <v>2862</v>
      </c>
      <c r="H2125" s="138">
        <v>691</v>
      </c>
      <c r="I2125" s="139" t="str">
        <f>VLOOKUP(H2125,Stock_list!A:R,18,FALSE)</f>
        <v>百施达</v>
      </c>
      <c r="J2125" s="139" t="str">
        <f>VLOOKUP(H2125,Stock_list!A:S,17,FALSE)</f>
        <v>C49SZX20200072JY</v>
      </c>
      <c r="K2125" s="51" t="str">
        <f>VLOOKUP(H2125,Stock_list!A:T,16,FALSE)</f>
        <v>JPY</v>
      </c>
      <c r="L2125" s="4">
        <v>44040</v>
      </c>
      <c r="M2125" s="132">
        <v>1</v>
      </c>
      <c r="P2125" s="4" t="str">
        <f>VLOOKUP(H2125,Stock_list!A:Y,25,FALSE)</f>
        <v>Yes</v>
      </c>
      <c r="Q2125" s="143"/>
      <c r="T2125" s="144"/>
      <c r="U2125" s="145" t="str">
        <f>VLOOKUP(H2125,Stock_list!A:N,14,FALSE)</f>
        <v>JUL 20</v>
      </c>
    </row>
    <row r="2126" spans="1:21" ht="16.5" customHeight="1">
      <c r="A2126" s="159" t="s">
        <v>2749</v>
      </c>
      <c r="B2126" s="114" t="str">
        <f>VLOOKUP(A2126,'Data pick slip'!B:F,5,FALSE)</f>
        <v>KHJ-MC500-00</v>
      </c>
      <c r="F2126" s="157" t="s">
        <v>2862</v>
      </c>
      <c r="H2126" s="138">
        <v>691</v>
      </c>
      <c r="I2126" s="139" t="str">
        <f>VLOOKUP(H2126,Stock_list!A:R,18,FALSE)</f>
        <v>百施达</v>
      </c>
      <c r="J2126" s="139" t="str">
        <f>VLOOKUP(H2126,Stock_list!A:S,17,FALSE)</f>
        <v>C49SZX20200072JY</v>
      </c>
      <c r="K2126" s="51" t="str">
        <f>VLOOKUP(H2126,Stock_list!A:T,16,FALSE)</f>
        <v>JPY</v>
      </c>
      <c r="L2126" s="4">
        <v>44040</v>
      </c>
      <c r="M2126" s="132">
        <v>1</v>
      </c>
      <c r="P2126" s="4" t="str">
        <f>VLOOKUP(H2126,Stock_list!A:Y,25,FALSE)</f>
        <v>Yes</v>
      </c>
      <c r="Q2126" s="143"/>
      <c r="T2126" s="144"/>
      <c r="U2126" s="145" t="str">
        <f>VLOOKUP(H2126,Stock_list!A:N,14,FALSE)</f>
        <v>JUL 20</v>
      </c>
    </row>
    <row r="2127" spans="1:21" ht="16.5" customHeight="1">
      <c r="A2127" s="159" t="s">
        <v>2755</v>
      </c>
      <c r="B2127" s="114" t="str">
        <f>VLOOKUP(A2127,'Data pick slip'!B:F,5,FALSE)</f>
        <v>KLJ-MC100-00</v>
      </c>
      <c r="F2127" s="157" t="s">
        <v>2862</v>
      </c>
      <c r="H2127" s="138">
        <v>692</v>
      </c>
      <c r="I2127" s="139" t="str">
        <f>VLOOKUP(H2127,Stock_list!A:R,18,FALSE)</f>
        <v>德劲</v>
      </c>
      <c r="J2127" s="139" t="str">
        <f>VLOOKUP(H2127,Stock_list!A:S,17,FALSE)</f>
        <v>C49SZX20200116JL</v>
      </c>
      <c r="K2127" s="51" t="str">
        <f>VLOOKUP(H2127,Stock_list!A:T,16,FALSE)</f>
        <v>JPY</v>
      </c>
      <c r="L2127" s="4">
        <v>44074</v>
      </c>
      <c r="M2127" s="132">
        <v>242</v>
      </c>
      <c r="P2127" s="4" t="str">
        <f>VLOOKUP(H2127,Stock_list!A:Y,25,FALSE)</f>
        <v>Yes</v>
      </c>
      <c r="Q2127" s="143"/>
      <c r="T2127" s="144"/>
      <c r="U2127" s="145" t="str">
        <f>VLOOKUP(H2127,Stock_list!A:N,14,FALSE)</f>
        <v>AUG 20</v>
      </c>
    </row>
    <row r="2128" spans="1:21" ht="16.5" customHeight="1">
      <c r="A2128" s="159" t="s">
        <v>2747</v>
      </c>
      <c r="B2128" s="114" t="str">
        <f>VLOOKUP(A2128,'Data pick slip'!B:F,5,FALSE)</f>
        <v>KHJ-MC200-00</v>
      </c>
      <c r="F2128" s="157" t="s">
        <v>2862</v>
      </c>
      <c r="H2128" s="138">
        <v>692</v>
      </c>
      <c r="I2128" s="139" t="str">
        <f>VLOOKUP(H2128,Stock_list!A:R,18,FALSE)</f>
        <v>德劲</v>
      </c>
      <c r="J2128" s="139" t="str">
        <f>VLOOKUP(H2128,Stock_list!A:S,17,FALSE)</f>
        <v>C49SZX20200116JL</v>
      </c>
      <c r="K2128" s="51" t="str">
        <f>VLOOKUP(H2128,Stock_list!A:T,16,FALSE)</f>
        <v>JPY</v>
      </c>
      <c r="L2128" s="4">
        <v>44074</v>
      </c>
      <c r="M2128" s="132">
        <v>40</v>
      </c>
      <c r="P2128" s="4" t="str">
        <f>VLOOKUP(H2128,Stock_list!A:Y,25,FALSE)</f>
        <v>Yes</v>
      </c>
      <c r="Q2128" s="143"/>
      <c r="T2128" s="144"/>
      <c r="U2128" s="145" t="str">
        <f>VLOOKUP(H2128,Stock_list!A:N,14,FALSE)</f>
        <v>AUG 20</v>
      </c>
    </row>
    <row r="2129" spans="1:21" ht="16.5" customHeight="1">
      <c r="A2129" s="159" t="s">
        <v>2748</v>
      </c>
      <c r="B2129" s="114" t="str">
        <f>VLOOKUP(A2129,'Data pick slip'!B:F,5,FALSE)</f>
        <v>KHJ-MC400-00</v>
      </c>
      <c r="F2129" s="157" t="s">
        <v>2862</v>
      </c>
      <c r="H2129" s="138">
        <v>692</v>
      </c>
      <c r="I2129" s="139" t="str">
        <f>VLOOKUP(H2129,Stock_list!A:R,18,FALSE)</f>
        <v>德劲</v>
      </c>
      <c r="J2129" s="139" t="str">
        <f>VLOOKUP(H2129,Stock_list!A:S,17,FALSE)</f>
        <v>C49SZX20200116JL</v>
      </c>
      <c r="K2129" s="51" t="str">
        <f>VLOOKUP(H2129,Stock_list!A:T,16,FALSE)</f>
        <v>JPY</v>
      </c>
      <c r="L2129" s="4">
        <v>44074</v>
      </c>
      <c r="M2129" s="132">
        <v>10</v>
      </c>
      <c r="P2129" s="4" t="str">
        <f>VLOOKUP(H2129,Stock_list!A:Y,25,FALSE)</f>
        <v>Yes</v>
      </c>
      <c r="Q2129" s="143"/>
      <c r="T2129" s="144"/>
      <c r="U2129" s="145" t="str">
        <f>VLOOKUP(H2129,Stock_list!A:N,14,FALSE)</f>
        <v>AUG 20</v>
      </c>
    </row>
    <row r="2130" spans="1:21" ht="16.5" customHeight="1">
      <c r="A2130" s="159" t="s">
        <v>2744</v>
      </c>
      <c r="B2130" s="114" t="str">
        <f>VLOOKUP(A2130,'Data pick slip'!B:F,5,FALSE)</f>
        <v>KHJ-MC100-00</v>
      </c>
      <c r="F2130" s="157" t="s">
        <v>2862</v>
      </c>
      <c r="I2130" s="139" t="s">
        <v>3016</v>
      </c>
      <c r="J2130" s="139" t="s">
        <v>3307</v>
      </c>
      <c r="K2130" s="51" t="s">
        <v>1246</v>
      </c>
      <c r="L2130" s="4">
        <v>44013</v>
      </c>
      <c r="M2130" s="140">
        <v>100</v>
      </c>
      <c r="P2130" s="4" t="s">
        <v>291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2749</v>
      </c>
      <c r="B2131" s="114" t="str">
        <f>VLOOKUP(A2131,'Data pick slip'!B:F,5,FALSE)</f>
        <v>KHJ-MC500-00</v>
      </c>
      <c r="F2131" s="157" t="s">
        <v>2862</v>
      </c>
      <c r="I2131" s="139" t="s">
        <v>3016</v>
      </c>
      <c r="J2131" s="139" t="s">
        <v>3307</v>
      </c>
      <c r="K2131" s="51" t="s">
        <v>1246</v>
      </c>
      <c r="L2131" s="4">
        <v>44013</v>
      </c>
      <c r="M2131" s="140">
        <v>10</v>
      </c>
      <c r="P2131" s="4" t="s">
        <v>291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2744</v>
      </c>
      <c r="B2132" s="114" t="str">
        <f>VLOOKUP(A2132,'Data pick slip'!B:F,5,FALSE)</f>
        <v>KHJ-MC100-00</v>
      </c>
      <c r="F2132" s="157" t="s">
        <v>2862</v>
      </c>
      <c r="I2132" s="139" t="s">
        <v>3016</v>
      </c>
      <c r="J2132" s="139" t="s">
        <v>3308</v>
      </c>
      <c r="K2132" s="51" t="s">
        <v>1246</v>
      </c>
      <c r="L2132" s="4">
        <v>44018</v>
      </c>
      <c r="M2132" s="140">
        <v>250</v>
      </c>
      <c r="P2132" s="4" t="s">
        <v>291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2744</v>
      </c>
      <c r="B2133" s="114" t="str">
        <f>VLOOKUP(A2133,'Data pick slip'!B:F,5,FALSE)</f>
        <v>KHJ-MC100-00</v>
      </c>
      <c r="F2133" s="157" t="s">
        <v>2862</v>
      </c>
      <c r="H2133" s="138">
        <v>699</v>
      </c>
      <c r="I2133" s="139" t="str">
        <f>VLOOKUP(H2133,Stock_list!A:R,18,FALSE)</f>
        <v>乐凡电子</v>
      </c>
      <c r="J2133" s="139" t="str">
        <f>VLOOKUP(H2133,Stock_list!A:S,17,FALSE)</f>
        <v>C49SZX20200088SS</v>
      </c>
      <c r="K2133" s="51" t="str">
        <f>VLOOKUP(H2133,Stock_list!A:T,16,FALSE)</f>
        <v>JPY</v>
      </c>
      <c r="L2133" s="4">
        <v>44117</v>
      </c>
      <c r="M2133" s="132">
        <v>30</v>
      </c>
      <c r="P2133" s="4" t="str">
        <f>VLOOKUP(H2133,Stock_list!A:Y,25,FALSE)</f>
        <v>Yes</v>
      </c>
      <c r="Q2133" s="133"/>
      <c r="T2133" s="144"/>
      <c r="U2133" s="145" t="str">
        <f>VLOOKUP(H2133,Stock_list!A:N,14,FALSE)</f>
        <v>OCT 20</v>
      </c>
    </row>
    <row r="2134" spans="1:21" ht="16.5" customHeight="1">
      <c r="A2134" s="159" t="s">
        <v>2747</v>
      </c>
      <c r="B2134" s="114" t="str">
        <f>VLOOKUP(A2134,'Data pick slip'!B:F,5,FALSE)</f>
        <v>KHJ-MC200-00</v>
      </c>
      <c r="F2134" s="157" t="s">
        <v>2862</v>
      </c>
      <c r="H2134" s="138">
        <v>699</v>
      </c>
      <c r="I2134" s="139" t="str">
        <f>VLOOKUP(H2134,Stock_list!A:R,18,FALSE)</f>
        <v>乐凡电子</v>
      </c>
      <c r="J2134" s="139" t="str">
        <f>VLOOKUP(H2134,Stock_list!A:S,17,FALSE)</f>
        <v>C49SZX20200088SS</v>
      </c>
      <c r="K2134" s="51" t="str">
        <f>VLOOKUP(H2134,Stock_list!A:T,16,FALSE)</f>
        <v>JPY</v>
      </c>
      <c r="L2134" s="4">
        <v>44117</v>
      </c>
      <c r="M2134" s="132">
        <v>5</v>
      </c>
      <c r="P2134" s="4" t="str">
        <f>VLOOKUP(H2134,Stock_list!A:Y,25,FALSE)</f>
        <v>Yes</v>
      </c>
      <c r="Q2134" s="133"/>
      <c r="T2134" s="144"/>
      <c r="U2134" s="145" t="str">
        <f>VLOOKUP(H2134,Stock_list!A:N,14,FALSE)</f>
        <v>OCT 20</v>
      </c>
    </row>
    <row r="2135" spans="1:21" ht="16.5" customHeight="1">
      <c r="A2135" s="159" t="s">
        <v>2749</v>
      </c>
      <c r="B2135" s="114" t="str">
        <f>VLOOKUP(A2135,'Data pick slip'!B:F,5,FALSE)</f>
        <v>KHJ-MC500-00</v>
      </c>
      <c r="F2135" s="157" t="s">
        <v>2862</v>
      </c>
      <c r="H2135" s="138">
        <v>699</v>
      </c>
      <c r="I2135" s="139" t="str">
        <f>VLOOKUP(H2135,Stock_list!A:R,18,FALSE)</f>
        <v>乐凡电子</v>
      </c>
      <c r="J2135" s="139" t="str">
        <f>VLOOKUP(H2135,Stock_list!A:S,17,FALSE)</f>
        <v>C49SZX20200088SS</v>
      </c>
      <c r="K2135" s="51" t="str">
        <f>VLOOKUP(H2135,Stock_list!A:T,16,FALSE)</f>
        <v>JPY</v>
      </c>
      <c r="L2135" s="4">
        <v>44117</v>
      </c>
      <c r="M2135" s="132">
        <v>1</v>
      </c>
      <c r="P2135" s="4" t="str">
        <f>VLOOKUP(H2135,Stock_list!A:Y,25,FALSE)</f>
        <v>Yes</v>
      </c>
      <c r="Q2135" s="133"/>
      <c r="T2135" s="144"/>
      <c r="U2135" s="145" t="str">
        <f>VLOOKUP(H2135,Stock_list!A:N,14,FALSE)</f>
        <v>OCT 20</v>
      </c>
    </row>
    <row r="2136" spans="1:21" ht="16.5" customHeight="1">
      <c r="A2136" s="159" t="s">
        <v>2750</v>
      </c>
      <c r="B2136" s="114" t="str">
        <f>VLOOKUP(A2136,'Data pick slip'!B:F,5,FALSE)</f>
        <v>KHJ-MC600-00</v>
      </c>
      <c r="F2136" s="157" t="s">
        <v>2773</v>
      </c>
      <c r="H2136" s="138">
        <v>699</v>
      </c>
      <c r="I2136" s="139" t="str">
        <f>VLOOKUP(H2136,Stock_list!A:R,18,FALSE)</f>
        <v>乐凡电子</v>
      </c>
      <c r="J2136" s="139" t="str">
        <f>VLOOKUP(H2136,Stock_list!A:S,17,FALSE)</f>
        <v>C49SZX20200088SS</v>
      </c>
      <c r="K2136" s="51" t="str">
        <f>VLOOKUP(H2136,Stock_list!A:T,16,FALSE)</f>
        <v>JPY</v>
      </c>
      <c r="L2136" s="143" t="s">
        <v>3309</v>
      </c>
      <c r="M2136" s="132">
        <v>1</v>
      </c>
      <c r="P2136" s="4" t="str">
        <f>VLOOKUP(H2136,Stock_list!A:Y,25,FALSE)</f>
        <v>Yes</v>
      </c>
      <c r="Q2136" s="133"/>
      <c r="S2136" s="123" t="s">
        <v>3004</v>
      </c>
      <c r="T2136" s="205" t="s">
        <v>3310</v>
      </c>
      <c r="U2136" s="145" t="str">
        <f>VLOOKUP(H2136,Stock_list!A:N,14,FALSE)</f>
        <v>OCT 20</v>
      </c>
    </row>
    <row r="2137" spans="1:21" ht="16.5" customHeight="1">
      <c r="A2137" s="159" t="s">
        <v>2749</v>
      </c>
      <c r="B2137" s="114" t="str">
        <f>VLOOKUP(A2137,'Data pick slip'!B:F,5,FALSE)</f>
        <v>KHJ-MC500-00</v>
      </c>
      <c r="F2137" s="157" t="s">
        <v>2773</v>
      </c>
      <c r="I2137" s="139" t="s">
        <v>3094</v>
      </c>
      <c r="J2137" s="139" t="s">
        <v>3311</v>
      </c>
      <c r="K2137" s="51" t="s">
        <v>1246</v>
      </c>
      <c r="L2137" s="4">
        <v>44020</v>
      </c>
      <c r="M2137" s="140">
        <v>2</v>
      </c>
      <c r="P2137" s="4" t="s">
        <v>291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2747</v>
      </c>
      <c r="B2138" s="114" t="str">
        <f>VLOOKUP(A2138,'Data pick slip'!B:F,5,FALSE)</f>
        <v>KHJ-MC200-00</v>
      </c>
      <c r="F2138" s="157" t="s">
        <v>2773</v>
      </c>
      <c r="I2138" s="139" t="s">
        <v>3094</v>
      </c>
      <c r="J2138" s="139" t="s">
        <v>3312</v>
      </c>
      <c r="K2138" s="51" t="s">
        <v>1246</v>
      </c>
      <c r="L2138" s="4">
        <v>44019</v>
      </c>
      <c r="M2138" s="140">
        <v>6</v>
      </c>
      <c r="P2138" s="4" t="s">
        <v>291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2755</v>
      </c>
      <c r="B2139" s="114" t="str">
        <f>VLOOKUP(A2139,'Data pick slip'!B:F,5,FALSE)</f>
        <v>KLJ-MC100-00</v>
      </c>
      <c r="F2139" s="157" t="s">
        <v>2773</v>
      </c>
      <c r="I2139" s="139" t="s">
        <v>3287</v>
      </c>
      <c r="J2139" s="139" t="s">
        <v>3313</v>
      </c>
      <c r="K2139" s="51" t="s">
        <v>1246</v>
      </c>
      <c r="L2139" s="4">
        <v>44018</v>
      </c>
      <c r="M2139" s="140">
        <v>30</v>
      </c>
      <c r="P2139" s="4" t="s">
        <v>291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2744</v>
      </c>
      <c r="B2140" s="114" t="str">
        <f>VLOOKUP(A2140,'Data pick slip'!B:F,5,FALSE)</f>
        <v>KHJ-MC100-00</v>
      </c>
      <c r="F2140" s="157" t="s">
        <v>2862</v>
      </c>
      <c r="H2140" s="138">
        <v>703</v>
      </c>
      <c r="I2140" s="139" t="str">
        <f>VLOOKUP(H2140,Stock_list!A:R,18,FALSE)</f>
        <v>新平泰end user:弛瑞</v>
      </c>
      <c r="J2140" s="139" t="str">
        <f>VLOOKUP(H2140,Stock_list!A:S,17,FALSE)</f>
        <v>C49SZX20200092SS</v>
      </c>
      <c r="K2140" s="51" t="str">
        <f>VLOOKUP(H2140,Stock_list!A:T,16,FALSE)</f>
        <v>JPY</v>
      </c>
      <c r="L2140" s="4">
        <v>44032</v>
      </c>
      <c r="M2140" s="132">
        <v>32</v>
      </c>
      <c r="P2140" s="4" t="str">
        <f>VLOOKUP(H2140,Stock_list!A:Y,25,FALSE)</f>
        <v>Yes</v>
      </c>
      <c r="Q2140" s="143"/>
      <c r="T2140" s="144"/>
      <c r="U2140" s="145" t="str">
        <f>VLOOKUP(H2140,Stock_list!A:N,14,FALSE)</f>
        <v>JUL 20</v>
      </c>
    </row>
    <row r="2141" spans="1:21" ht="16.5" customHeight="1">
      <c r="A2141" s="159" t="s">
        <v>2747</v>
      </c>
      <c r="B2141" s="114" t="str">
        <f>VLOOKUP(A2141,'Data pick slip'!B:F,5,FALSE)</f>
        <v>KHJ-MC200-00</v>
      </c>
      <c r="F2141" s="157" t="s">
        <v>2862</v>
      </c>
      <c r="H2141" s="138">
        <v>703</v>
      </c>
      <c r="I2141" s="139" t="str">
        <f>VLOOKUP(H2141,Stock_list!A:R,18,FALSE)</f>
        <v>新平泰end user:弛瑞</v>
      </c>
      <c r="J2141" s="139" t="str">
        <f>VLOOKUP(H2141,Stock_list!A:S,17,FALSE)</f>
        <v>C49SZX20200092SS</v>
      </c>
      <c r="K2141" s="51" t="str">
        <f>VLOOKUP(H2141,Stock_list!A:T,16,FALSE)</f>
        <v>JPY</v>
      </c>
      <c r="L2141" s="4">
        <v>44032</v>
      </c>
      <c r="M2141" s="132">
        <v>6</v>
      </c>
      <c r="P2141" s="4" t="str">
        <f>VLOOKUP(H2141,Stock_list!A:Y,25,FALSE)</f>
        <v>Yes</v>
      </c>
      <c r="Q2141" s="143"/>
      <c r="T2141" s="144"/>
      <c r="U2141" s="145" t="str">
        <f>VLOOKUP(H2141,Stock_list!A:N,14,FALSE)</f>
        <v>JUL 20</v>
      </c>
    </row>
    <row r="2142" spans="1:21" ht="16.5" customHeight="1">
      <c r="A2142" s="159" t="s">
        <v>2748</v>
      </c>
      <c r="B2142" s="114" t="str">
        <f>VLOOKUP(A2142,'Data pick slip'!B:F,5,FALSE)</f>
        <v>KHJ-MC400-00</v>
      </c>
      <c r="F2142" s="157" t="s">
        <v>2773</v>
      </c>
      <c r="H2142" s="138">
        <v>703</v>
      </c>
      <c r="I2142" s="139" t="str">
        <f>VLOOKUP(H2142,Stock_list!A:R,18,FALSE)</f>
        <v>新平泰end user:弛瑞</v>
      </c>
      <c r="J2142" s="139" t="str">
        <f>VLOOKUP(H2142,Stock_list!A:S,17,FALSE)</f>
        <v>C49SZX20200092SS</v>
      </c>
      <c r="K2142" s="51" t="str">
        <f>VLOOKUP(H2142,Stock_list!A:T,16,FALSE)</f>
        <v>JPY</v>
      </c>
      <c r="L2142" s="4">
        <v>44032</v>
      </c>
      <c r="M2142" s="132">
        <v>2</v>
      </c>
      <c r="P2142" s="4" t="str">
        <f>VLOOKUP(H2142,Stock_list!A:Y,25,FALSE)</f>
        <v>Yes</v>
      </c>
      <c r="Q2142" s="143"/>
      <c r="S2142" s="123" t="s">
        <v>3004</v>
      </c>
      <c r="T2142" s="144" t="s">
        <v>3314</v>
      </c>
      <c r="U2142" s="145" t="str">
        <f>VLOOKUP(H2142,Stock_list!A:N,14,FALSE)</f>
        <v>JUL 20</v>
      </c>
    </row>
    <row r="2143" spans="1:21" ht="16.5" customHeight="1">
      <c r="A2143" s="159" t="s">
        <v>2744</v>
      </c>
      <c r="B2143" s="114" t="str">
        <f>VLOOKUP(A2143,'Data pick slip'!B:F,5,FALSE)</f>
        <v>KHJ-MC100-00</v>
      </c>
      <c r="F2143" s="157" t="s">
        <v>2773</v>
      </c>
      <c r="I2143" s="139" t="s">
        <v>3094</v>
      </c>
      <c r="J2143" s="139" t="s">
        <v>3315</v>
      </c>
      <c r="K2143" s="51" t="s">
        <v>1246</v>
      </c>
      <c r="L2143" s="4">
        <v>44021</v>
      </c>
      <c r="M2143" s="140">
        <v>2</v>
      </c>
      <c r="P2143" s="4" t="s">
        <v>291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2747</v>
      </c>
      <c r="B2144" s="114" t="str">
        <f>VLOOKUP(A2144,'Data pick slip'!B:F,5,FALSE)</f>
        <v>KHJ-MC200-00</v>
      </c>
      <c r="F2144" s="157" t="s">
        <v>2773</v>
      </c>
      <c r="I2144" s="139" t="s">
        <v>3094</v>
      </c>
      <c r="J2144" s="139" t="s">
        <v>3315</v>
      </c>
      <c r="K2144" s="51" t="s">
        <v>1246</v>
      </c>
      <c r="L2144" s="4">
        <v>44021</v>
      </c>
      <c r="M2144" s="140">
        <v>2</v>
      </c>
      <c r="P2144" s="4" t="s">
        <v>291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2744</v>
      </c>
      <c r="B2145" s="114" t="str">
        <f>VLOOKUP(A2145,'Data pick slip'!B:F,5,FALSE)</f>
        <v>KHJ-MC100-00</v>
      </c>
      <c r="F2145" s="157" t="s">
        <v>2862</v>
      </c>
      <c r="H2145" s="138">
        <v>706</v>
      </c>
      <c r="I2145" s="139" t="str">
        <f>VLOOKUP(H2145,Stock_list!A:R,18,FALSE)</f>
        <v>海红天远</v>
      </c>
      <c r="J2145" s="139" t="str">
        <f>VLOOKUP(H2145,Stock_list!A:S,17,FALSE)</f>
        <v>C49SZX20200075EC</v>
      </c>
      <c r="K2145" s="51" t="str">
        <f>VLOOKUP(H2145,Stock_list!A:T,16,FALSE)</f>
        <v>JPY</v>
      </c>
      <c r="L2145" s="4">
        <v>44096</v>
      </c>
      <c r="M2145" s="132">
        <v>150</v>
      </c>
      <c r="P2145" s="4" t="str">
        <f>VLOOKUP(H2145,Stock_list!A:Y,25,FALSE)</f>
        <v>Yes</v>
      </c>
      <c r="Q2145" s="133"/>
      <c r="T2145" s="144"/>
      <c r="U2145" s="145" t="str">
        <f>VLOOKUP(H2145,Stock_list!A:N,14,FALSE)</f>
        <v>SEP 20</v>
      </c>
    </row>
    <row r="2146" spans="1:21" ht="16.5" customHeight="1">
      <c r="A2146" s="159" t="s">
        <v>2747</v>
      </c>
      <c r="B2146" s="114" t="str">
        <f>VLOOKUP(A2146,'Data pick slip'!B:F,5,FALSE)</f>
        <v>KHJ-MC200-00</v>
      </c>
      <c r="F2146" s="157" t="s">
        <v>2862</v>
      </c>
      <c r="H2146" s="138">
        <v>706</v>
      </c>
      <c r="I2146" s="139" t="str">
        <f>VLOOKUP(H2146,Stock_list!A:R,18,FALSE)</f>
        <v>海红天远</v>
      </c>
      <c r="J2146" s="139" t="str">
        <f>VLOOKUP(H2146,Stock_list!A:S,17,FALSE)</f>
        <v>C49SZX20200075EC</v>
      </c>
      <c r="K2146" s="51" t="str">
        <f>VLOOKUP(H2146,Stock_list!A:T,16,FALSE)</f>
        <v>JPY</v>
      </c>
      <c r="L2146" s="4">
        <v>44096</v>
      </c>
      <c r="M2146" s="132">
        <v>30</v>
      </c>
      <c r="P2146" s="4" t="str">
        <f>VLOOKUP(H2146,Stock_list!A:Y,25,FALSE)</f>
        <v>Yes</v>
      </c>
      <c r="Q2146" s="133"/>
      <c r="T2146" s="144"/>
      <c r="U2146" s="145" t="str">
        <f>VLOOKUP(H2146,Stock_list!A:N,14,FALSE)</f>
        <v>SEP 20</v>
      </c>
    </row>
    <row r="2147" spans="1:21" ht="16.5" customHeight="1">
      <c r="A2147" s="159" t="s">
        <v>2748</v>
      </c>
      <c r="B2147" s="114" t="str">
        <f>VLOOKUP(A2147,'Data pick slip'!B:F,5,FALSE)</f>
        <v>KHJ-MC400-00</v>
      </c>
      <c r="F2147" s="157" t="s">
        <v>2862</v>
      </c>
      <c r="H2147" s="138">
        <v>706</v>
      </c>
      <c r="I2147" s="139" t="str">
        <f>VLOOKUP(H2147,Stock_list!A:R,18,FALSE)</f>
        <v>海红天远</v>
      </c>
      <c r="J2147" s="139" t="str">
        <f>VLOOKUP(H2147,Stock_list!A:S,17,FALSE)</f>
        <v>C49SZX20200075EC</v>
      </c>
      <c r="K2147" s="51" t="str">
        <f>VLOOKUP(H2147,Stock_list!A:T,16,FALSE)</f>
        <v>JPY</v>
      </c>
      <c r="L2147" s="4">
        <v>44096</v>
      </c>
      <c r="M2147" s="132">
        <v>10</v>
      </c>
      <c r="P2147" s="4" t="str">
        <f>VLOOKUP(H2147,Stock_list!A:Y,25,FALSE)</f>
        <v>Yes</v>
      </c>
      <c r="Q2147" s="133"/>
      <c r="T2147" s="144"/>
      <c r="U2147" s="145" t="str">
        <f>VLOOKUP(H2147,Stock_list!A:N,14,FALSE)</f>
        <v>SEP 20</v>
      </c>
    </row>
    <row r="2148" spans="1:21" ht="16.5" customHeight="1">
      <c r="A2148" s="159" t="s">
        <v>2749</v>
      </c>
      <c r="B2148" s="114" t="str">
        <f>VLOOKUP(A2148,'Data pick slip'!B:F,5,FALSE)</f>
        <v>KHJ-MC500-00</v>
      </c>
      <c r="F2148" s="157" t="s">
        <v>2862</v>
      </c>
      <c r="H2148" s="138">
        <v>706</v>
      </c>
      <c r="I2148" s="139" t="str">
        <f>VLOOKUP(H2148,Stock_list!A:R,18,FALSE)</f>
        <v>海红天远</v>
      </c>
      <c r="J2148" s="139" t="str">
        <f>VLOOKUP(H2148,Stock_list!A:S,17,FALSE)</f>
        <v>C49SZX20200075EC</v>
      </c>
      <c r="K2148" s="51" t="str">
        <f>VLOOKUP(H2148,Stock_list!A:T,16,FALSE)</f>
        <v>JPY</v>
      </c>
      <c r="L2148" s="4">
        <v>44096</v>
      </c>
      <c r="M2148" s="132">
        <v>5</v>
      </c>
      <c r="P2148" s="4" t="str">
        <f>VLOOKUP(H2148,Stock_list!A:Y,25,FALSE)</f>
        <v>Yes</v>
      </c>
      <c r="Q2148" s="133"/>
      <c r="T2148" s="144"/>
      <c r="U2148" s="145" t="str">
        <f>VLOOKUP(H2148,Stock_list!A:N,14,FALSE)</f>
        <v>SEP 20</v>
      </c>
    </row>
    <row r="2149" spans="1:21" ht="16.5" customHeight="1">
      <c r="A2149" s="159" t="s">
        <v>2750</v>
      </c>
      <c r="B2149" s="114" t="str">
        <f>VLOOKUP(A2149,'Data pick slip'!B:F,5,FALSE)</f>
        <v>KHJ-MC600-00</v>
      </c>
      <c r="F2149" s="157" t="s">
        <v>2862</v>
      </c>
      <c r="H2149" s="138">
        <v>706</v>
      </c>
      <c r="I2149" s="139" t="str">
        <f>VLOOKUP(H2149,Stock_list!A:R,18,FALSE)</f>
        <v>海红天远</v>
      </c>
      <c r="J2149" s="139" t="str">
        <f>VLOOKUP(H2149,Stock_list!A:S,17,FALSE)</f>
        <v>C49SZX20200075EC</v>
      </c>
      <c r="K2149" s="51" t="str">
        <f>VLOOKUP(H2149,Stock_list!A:T,16,FALSE)</f>
        <v>JPY</v>
      </c>
      <c r="L2149" s="4">
        <v>44096</v>
      </c>
      <c r="M2149" s="132">
        <v>5</v>
      </c>
      <c r="P2149" s="4" t="str">
        <f>VLOOKUP(H2149,Stock_list!A:Y,25,FALSE)</f>
        <v>Yes</v>
      </c>
      <c r="Q2149" s="133"/>
      <c r="T2149" s="144"/>
      <c r="U2149" s="145" t="str">
        <f>VLOOKUP(H2149,Stock_list!A:N,14,FALSE)</f>
        <v>SEP 20</v>
      </c>
    </row>
    <row r="2150" spans="1:21" ht="16.5" customHeight="1">
      <c r="A2150" s="159" t="s">
        <v>2751</v>
      </c>
      <c r="B2150" s="114" t="str">
        <f>VLOOKUP(A2150,'Data pick slip'!B:F,5,FALSE)</f>
        <v>KHJ-MC700-00</v>
      </c>
      <c r="F2150" s="157" t="s">
        <v>2862</v>
      </c>
      <c r="H2150" s="138">
        <v>706</v>
      </c>
      <c r="I2150" s="139" t="str">
        <f>VLOOKUP(H2150,Stock_list!A:R,18,FALSE)</f>
        <v>海红天远</v>
      </c>
      <c r="J2150" s="139" t="str">
        <f>VLOOKUP(H2150,Stock_list!A:S,17,FALSE)</f>
        <v>C49SZX20200075EC</v>
      </c>
      <c r="K2150" s="51" t="str">
        <f>VLOOKUP(H2150,Stock_list!A:T,16,FALSE)</f>
        <v>JPY</v>
      </c>
      <c r="L2150" s="4">
        <v>44096</v>
      </c>
      <c r="M2150" s="132">
        <v>2</v>
      </c>
      <c r="P2150" s="4" t="str">
        <f>VLOOKUP(H2150,Stock_list!A:Y,25,FALSE)</f>
        <v>Yes</v>
      </c>
      <c r="Q2150" s="133"/>
      <c r="T2150" s="144"/>
      <c r="U2150" s="145" t="str">
        <f>VLOOKUP(H2150,Stock_list!A:N,14,FALSE)</f>
        <v>SEP 20</v>
      </c>
    </row>
    <row r="2151" spans="1:21" ht="16.5" customHeight="1">
      <c r="A2151" s="159" t="s">
        <v>2747</v>
      </c>
      <c r="B2151" s="114" t="str">
        <f>VLOOKUP(A2151,'Data pick slip'!B:F,5,FALSE)</f>
        <v>KHJ-MC200-00</v>
      </c>
      <c r="F2151" s="157" t="s">
        <v>2862</v>
      </c>
      <c r="H2151" s="138">
        <v>710</v>
      </c>
      <c r="I2151" s="139" t="str">
        <f>VLOOKUP(H2151,Stock_list!A:R,18,FALSE)</f>
        <v>格美通</v>
      </c>
      <c r="J2151" s="139" t="str">
        <f>VLOOKUP(H2151,Stock_list!A:S,17,FALSE)</f>
        <v>C49SZX20200098ZX</v>
      </c>
      <c r="K2151" s="51" t="str">
        <f>VLOOKUP(H2151,Stock_list!A:T,16,FALSE)</f>
        <v>JPY</v>
      </c>
      <c r="L2151" s="4">
        <v>44043</v>
      </c>
      <c r="M2151" s="132">
        <v>20</v>
      </c>
      <c r="P2151" s="4" t="str">
        <f>VLOOKUP(H2151,Stock_list!A:Y,25,FALSE)</f>
        <v>Yes</v>
      </c>
      <c r="Q2151" s="143"/>
      <c r="T2151" s="144"/>
      <c r="U2151" s="145" t="str">
        <f>VLOOKUP(H2151,Stock_list!A:N,14,FALSE)</f>
        <v>JUL 20</v>
      </c>
    </row>
    <row r="2152" spans="1:21" ht="16.5" customHeight="1">
      <c r="A2152" s="159" t="s">
        <v>2748</v>
      </c>
      <c r="B2152" s="114" t="str">
        <f>VLOOKUP(A2152,'Data pick slip'!B:F,5,FALSE)</f>
        <v>KHJ-MC400-00</v>
      </c>
      <c r="F2152" s="157" t="s">
        <v>2862</v>
      </c>
      <c r="H2152" s="138">
        <v>710</v>
      </c>
      <c r="I2152" s="139" t="str">
        <f>VLOOKUP(H2152,Stock_list!A:R,18,FALSE)</f>
        <v>格美通</v>
      </c>
      <c r="J2152" s="139" t="str">
        <f>VLOOKUP(H2152,Stock_list!A:S,17,FALSE)</f>
        <v>C49SZX20200098ZX</v>
      </c>
      <c r="K2152" s="51" t="str">
        <f>VLOOKUP(H2152,Stock_list!A:T,16,FALSE)</f>
        <v>JPY</v>
      </c>
      <c r="L2152" s="4">
        <v>44043</v>
      </c>
      <c r="M2152" s="132">
        <v>1</v>
      </c>
      <c r="P2152" s="4" t="str">
        <f>VLOOKUP(H2152,Stock_list!A:Y,25,FALSE)</f>
        <v>Yes</v>
      </c>
      <c r="Q2152" s="143"/>
      <c r="T2152" s="144"/>
      <c r="U2152" s="145" t="str">
        <f>VLOOKUP(H2152,Stock_list!A:N,14,FALSE)</f>
        <v>JUL 20</v>
      </c>
    </row>
    <row r="2153" spans="1:21" ht="16.5" customHeight="1">
      <c r="A2153" s="159" t="s">
        <v>2744</v>
      </c>
      <c r="B2153" s="114" t="str">
        <f>VLOOKUP(A2153,'Data pick slip'!B:F,5,FALSE)</f>
        <v>KHJ-MC100-00</v>
      </c>
      <c r="F2153" s="157" t="s">
        <v>2862</v>
      </c>
      <c r="H2153" s="138">
        <v>718</v>
      </c>
      <c r="I2153" s="139" t="str">
        <f>VLOOKUP(H2153,Stock_list!A:R,18,FALSE)</f>
        <v>金睿通</v>
      </c>
      <c r="J2153" s="139" t="str">
        <f>VLOOKUP(H2153,Stock_list!A:S,17,FALSE)</f>
        <v>C49SZX20200089JL-R3</v>
      </c>
      <c r="K2153" s="51" t="str">
        <f>VLOOKUP(H2153,Stock_list!A:T,16,FALSE)</f>
        <v>JPY</v>
      </c>
      <c r="L2153" s="4">
        <v>44102</v>
      </c>
      <c r="M2153" s="140">
        <v>50</v>
      </c>
      <c r="P2153" s="4" t="str">
        <f>VLOOKUP(H2153,Stock_list!A:Y,25,FALSE)</f>
        <v>Yes</v>
      </c>
      <c r="Q2153" s="143"/>
      <c r="T2153" s="144"/>
      <c r="U2153" s="145" t="str">
        <f>VLOOKUP(H2153,Stock_list!A:N,14,FALSE)</f>
        <v>SEP 20</v>
      </c>
    </row>
    <row r="2154" spans="1:21" ht="16.5" customHeight="1">
      <c r="A2154" s="159" t="s">
        <v>2748</v>
      </c>
      <c r="B2154" s="114" t="str">
        <f>VLOOKUP(A2154,'Data pick slip'!B:F,5,FALSE)</f>
        <v>KHJ-MC400-00</v>
      </c>
      <c r="F2154" s="157" t="s">
        <v>2773</v>
      </c>
      <c r="H2154" s="138">
        <v>718</v>
      </c>
      <c r="I2154" s="139" t="str">
        <f>VLOOKUP(H2154,Stock_list!A:R,18,FALSE)</f>
        <v>金睿通</v>
      </c>
      <c r="J2154" s="139" t="str">
        <f>VLOOKUP(H2154,Stock_list!A:S,17,FALSE)</f>
        <v>C49SZX20200089JL-R3</v>
      </c>
      <c r="K2154" s="51" t="str">
        <f>VLOOKUP(H2154,Stock_list!A:T,16,FALSE)</f>
        <v>JPY</v>
      </c>
      <c r="L2154" s="4">
        <v>44102</v>
      </c>
      <c r="M2154" s="140">
        <v>2</v>
      </c>
      <c r="P2154" s="4" t="str">
        <f>VLOOKUP(H2154,Stock_list!A:Y,25,FALSE)</f>
        <v>Yes</v>
      </c>
      <c r="Q2154" s="143"/>
      <c r="S2154" s="123" t="s">
        <v>3004</v>
      </c>
      <c r="T2154" s="205" t="s">
        <v>3310</v>
      </c>
      <c r="U2154" s="145" t="str">
        <f>VLOOKUP(H2154,Stock_list!A:N,14,FALSE)</f>
        <v>SEP 20</v>
      </c>
    </row>
    <row r="2155" spans="1:21" ht="16.5" customHeight="1">
      <c r="A2155" s="159" t="s">
        <v>2744</v>
      </c>
      <c r="B2155" s="114" t="str">
        <f>VLOOKUP(A2155,'Data pick slip'!B:F,5,FALSE)</f>
        <v>KHJ-MC100-00</v>
      </c>
      <c r="F2155" s="157" t="s">
        <v>2862</v>
      </c>
      <c r="H2155" s="138">
        <v>719</v>
      </c>
      <c r="I2155" s="139" t="str">
        <f>VLOOKUP(H2155,Stock_list!A:R,18,FALSE)</f>
        <v>钧溢电子</v>
      </c>
      <c r="J2155" s="139" t="str">
        <f>VLOOKUP(H2155,Stock_list!A:S,17,FALSE)</f>
        <v>C49SZX20200103SS</v>
      </c>
      <c r="K2155" s="51" t="str">
        <f>VLOOKUP(H2155,Stock_list!A:T,16,FALSE)</f>
        <v>JPY</v>
      </c>
      <c r="L2155" s="4">
        <v>44076</v>
      </c>
      <c r="M2155" s="132">
        <v>20</v>
      </c>
      <c r="P2155" s="4" t="str">
        <f>VLOOKUP(H2155,Stock_list!A:Y,25,FALSE)</f>
        <v>Yes</v>
      </c>
      <c r="Q2155" s="133"/>
      <c r="T2155" s="144"/>
      <c r="U2155" s="145" t="str">
        <f>VLOOKUP(H2155,Stock_list!A:N,14,FALSE)</f>
        <v>SEP 20</v>
      </c>
    </row>
    <row r="2156" spans="1:21" ht="16.5" customHeight="1">
      <c r="A2156" s="159" t="s">
        <v>2747</v>
      </c>
      <c r="B2156" s="114" t="str">
        <f>VLOOKUP(A2156,'Data pick slip'!B:F,5,FALSE)</f>
        <v>KHJ-MC200-00</v>
      </c>
      <c r="F2156" s="157" t="s">
        <v>2862</v>
      </c>
      <c r="H2156" s="138">
        <v>719</v>
      </c>
      <c r="I2156" s="139" t="str">
        <f>VLOOKUP(H2156,Stock_list!A:R,18,FALSE)</f>
        <v>钧溢电子</v>
      </c>
      <c r="J2156" s="139" t="str">
        <f>VLOOKUP(H2156,Stock_list!A:S,17,FALSE)</f>
        <v>C49SZX20200103SS</v>
      </c>
      <c r="K2156" s="51" t="str">
        <f>VLOOKUP(H2156,Stock_list!A:T,16,FALSE)</f>
        <v>JPY</v>
      </c>
      <c r="L2156" s="4">
        <v>44076</v>
      </c>
      <c r="M2156" s="132">
        <v>4</v>
      </c>
      <c r="P2156" s="4" t="str">
        <f>VLOOKUP(H2156,Stock_list!A:Y,25,FALSE)</f>
        <v>Yes</v>
      </c>
      <c r="Q2156" s="133"/>
      <c r="T2156" s="144"/>
      <c r="U2156" s="145" t="str">
        <f>VLOOKUP(H2156,Stock_list!A:N,14,FALSE)</f>
        <v>SEP 20</v>
      </c>
    </row>
    <row r="2157" spans="1:21" ht="16.5" customHeight="1">
      <c r="A2157" s="159" t="s">
        <v>2752</v>
      </c>
      <c r="B2157" s="114" t="str">
        <f>VLOOKUP(A2157,'Data pick slip'!B:F,5,FALSE)</f>
        <v>KHJ-MC800-00</v>
      </c>
      <c r="F2157" s="157" t="s">
        <v>2773</v>
      </c>
      <c r="I2157" s="139" t="s">
        <v>3287</v>
      </c>
      <c r="J2157" s="139" t="s">
        <v>3316</v>
      </c>
      <c r="K2157" s="51" t="s">
        <v>1246</v>
      </c>
      <c r="L2157" s="4">
        <v>44050</v>
      </c>
      <c r="M2157" s="140">
        <v>1</v>
      </c>
      <c r="P2157" s="4" t="s">
        <v>291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2744</v>
      </c>
      <c r="B2158" s="114" t="str">
        <f>VLOOKUP(A2158,'Data pick slip'!B:F,5,FALSE)</f>
        <v>KHJ-MC100-00</v>
      </c>
      <c r="F2158" s="157" t="s">
        <v>2862</v>
      </c>
      <c r="H2158" s="138">
        <v>721</v>
      </c>
      <c r="I2158" s="139" t="str">
        <f>VLOOKUP(H2158,Stock_list!A:R,18,FALSE)</f>
        <v>崧盛</v>
      </c>
      <c r="J2158" s="139" t="str">
        <f>VLOOKUP(H2158,Stock_list!A:S,17,FALSE)</f>
        <v>C49SZX20200101MZ</v>
      </c>
      <c r="K2158" s="51" t="str">
        <f>VLOOKUP(H2158,Stock_list!A:T,16,FALSE)</f>
        <v>JPY</v>
      </c>
      <c r="L2158" s="4">
        <v>44035</v>
      </c>
      <c r="M2158" s="140">
        <v>90</v>
      </c>
      <c r="P2158" s="4" t="str">
        <f>VLOOKUP(H2158,Stock_list!A:Y,25,FALSE)</f>
        <v>Yes</v>
      </c>
      <c r="Q2158" s="143"/>
      <c r="T2158" s="144"/>
      <c r="U2158" s="145" t="str">
        <f>VLOOKUP(H2158,Stock_list!A:N,14,FALSE)</f>
        <v>JUL 20</v>
      </c>
    </row>
    <row r="2159" spans="1:21" ht="16.5" customHeight="1">
      <c r="A2159" s="159" t="s">
        <v>2747</v>
      </c>
      <c r="B2159" s="114" t="str">
        <f>VLOOKUP(A2159,'Data pick slip'!B:F,5,FALSE)</f>
        <v>KHJ-MC200-00</v>
      </c>
      <c r="F2159" s="157" t="s">
        <v>2862</v>
      </c>
      <c r="H2159" s="138">
        <v>721</v>
      </c>
      <c r="I2159" s="139" t="str">
        <f>VLOOKUP(H2159,Stock_list!A:R,18,FALSE)</f>
        <v>崧盛</v>
      </c>
      <c r="J2159" s="139" t="str">
        <f>VLOOKUP(H2159,Stock_list!A:S,17,FALSE)</f>
        <v>C49SZX20200101MZ</v>
      </c>
      <c r="K2159" s="51" t="str">
        <f>VLOOKUP(H2159,Stock_list!A:T,16,FALSE)</f>
        <v>JPY</v>
      </c>
      <c r="L2159" s="4">
        <v>44035</v>
      </c>
      <c r="M2159" s="140">
        <v>50</v>
      </c>
      <c r="P2159" s="4" t="str">
        <f>VLOOKUP(H2159,Stock_list!A:Y,25,FALSE)</f>
        <v>Yes</v>
      </c>
      <c r="Q2159" s="143"/>
      <c r="T2159" s="144"/>
      <c r="U2159" s="145" t="str">
        <f>VLOOKUP(H2159,Stock_list!A:N,14,FALSE)</f>
        <v>JUL 20</v>
      </c>
    </row>
    <row r="2160" spans="1:21" ht="16.5" customHeight="1">
      <c r="A2160" s="159" t="s">
        <v>2744</v>
      </c>
      <c r="B2160" s="114" t="str">
        <f>VLOOKUP(A2160,'Data pick slip'!B:F,5,FALSE)</f>
        <v>KHJ-MC100-00</v>
      </c>
      <c r="F2160" s="157" t="s">
        <v>2773</v>
      </c>
      <c r="H2160" s="138">
        <v>721</v>
      </c>
      <c r="I2160" s="139" t="str">
        <f>VLOOKUP(H2160,Stock_list!A:R,18,FALSE)</f>
        <v>崧盛</v>
      </c>
      <c r="J2160" s="139" t="str">
        <f>VLOOKUP(H2160,Stock_list!A:S,17,FALSE)</f>
        <v>C49SZX20200101MZ</v>
      </c>
      <c r="K2160" s="51" t="str">
        <f>VLOOKUP(H2160,Stock_list!A:T,16,FALSE)</f>
        <v>JPY</v>
      </c>
      <c r="L2160" s="4">
        <v>44035</v>
      </c>
      <c r="O2160" s="132">
        <f>110-110</f>
        <v>0</v>
      </c>
      <c r="P2160" s="4" t="str">
        <f>VLOOKUP(H2160,Stock_list!A:Y,25,FALSE)</f>
        <v>Yes</v>
      </c>
      <c r="Q2160" s="143"/>
      <c r="T2160" s="144"/>
      <c r="U2160" s="145" t="str">
        <f>VLOOKUP(H2160,Stock_list!A:N,14,FALSE)</f>
        <v>JUL 20</v>
      </c>
    </row>
    <row r="2161" spans="1:21" ht="16.5" customHeight="1">
      <c r="A2161" s="159" t="s">
        <v>2747</v>
      </c>
      <c r="B2161" s="114" t="str">
        <f>VLOOKUP(A2161,'Data pick slip'!B:F,5,FALSE)</f>
        <v>KHJ-MC200-00</v>
      </c>
      <c r="F2161" s="157" t="s">
        <v>2773</v>
      </c>
      <c r="H2161" s="138">
        <v>721</v>
      </c>
      <c r="I2161" s="139" t="str">
        <f>VLOOKUP(H2161,Stock_list!A:R,18,FALSE)</f>
        <v>崧盛</v>
      </c>
      <c r="J2161" s="139" t="str">
        <f>VLOOKUP(H2161,Stock_list!A:S,17,FALSE)</f>
        <v>C49SZX20200101MZ</v>
      </c>
      <c r="K2161" s="51" t="str">
        <f>VLOOKUP(H2161,Stock_list!A:T,16,FALSE)</f>
        <v>JPY</v>
      </c>
      <c r="L2161" s="4">
        <v>44035</v>
      </c>
      <c r="O2161" s="132">
        <f>23-23</f>
        <v>0</v>
      </c>
      <c r="P2161" s="4" t="str">
        <f>VLOOKUP(H2161,Stock_list!A:Y,25,FALSE)</f>
        <v>Yes</v>
      </c>
      <c r="Q2161" s="143"/>
      <c r="T2161" s="144"/>
      <c r="U2161" s="145" t="str">
        <f>VLOOKUP(H2161,Stock_list!A:N,14,FALSE)</f>
        <v>JUL 20</v>
      </c>
    </row>
    <row r="2162" spans="1:21" ht="16.5" customHeight="1">
      <c r="A2162" s="159" t="s">
        <v>2744</v>
      </c>
      <c r="B2162" s="114" t="str">
        <f>VLOOKUP(A2162,'Data pick slip'!B:F,5,FALSE)</f>
        <v>KHJ-MC100-00</v>
      </c>
      <c r="F2162" s="157" t="s">
        <v>2862</v>
      </c>
      <c r="H2162" s="138">
        <v>722</v>
      </c>
      <c r="I2162" s="139" t="str">
        <f>VLOOKUP(H2162,Stock_list!A:R,18,FALSE)</f>
        <v>崧盛</v>
      </c>
      <c r="J2162" s="139" t="str">
        <f>VLOOKUP(H2162,Stock_list!A:S,17,FALSE)</f>
        <v>C49SZX20200102MZ</v>
      </c>
      <c r="K2162" s="51" t="str">
        <f>VLOOKUP(H2162,Stock_list!A:T,16,FALSE)</f>
        <v>JPY</v>
      </c>
      <c r="L2162" s="4">
        <v>44096</v>
      </c>
      <c r="M2162" s="140">
        <v>250</v>
      </c>
      <c r="P2162" s="4" t="str">
        <f>VLOOKUP(H2162,Stock_list!A:Y,25,FALSE)</f>
        <v>Yes</v>
      </c>
      <c r="Q2162" s="143"/>
      <c r="T2162" s="144"/>
      <c r="U2162" s="145" t="str">
        <f>VLOOKUP(H2162,Stock_list!A:N,14,FALSE)</f>
        <v>SEP 20</v>
      </c>
    </row>
    <row r="2163" spans="1:21" ht="16.5" customHeight="1">
      <c r="A2163" s="159" t="s">
        <v>2744</v>
      </c>
      <c r="B2163" s="114" t="str">
        <f>VLOOKUP(A2163,'Data pick slip'!B:F,5,FALSE)</f>
        <v>KHJ-MC100-00</v>
      </c>
      <c r="F2163" s="157" t="s">
        <v>2862</v>
      </c>
      <c r="H2163" s="138">
        <v>727</v>
      </c>
      <c r="I2163" s="139" t="str">
        <f>VLOOKUP(H2163,Stock_list!A:R,18,FALSE)</f>
        <v>泰鑫荣</v>
      </c>
      <c r="J2163" s="139" t="str">
        <f>VLOOKUP(H2163,Stock_list!A:S,17,FALSE)</f>
        <v>C49SZX20200106SS</v>
      </c>
      <c r="K2163" s="51" t="str">
        <f>VLOOKUP(H2163,Stock_list!A:T,16,FALSE)</f>
        <v>JPY</v>
      </c>
      <c r="L2163" s="4">
        <v>44061</v>
      </c>
      <c r="M2163" s="132">
        <v>30</v>
      </c>
      <c r="P2163" s="4" t="str">
        <f>VLOOKUP(H2163,Stock_list!A:Y,25,FALSE)</f>
        <v>Yes</v>
      </c>
      <c r="Q2163" s="133"/>
      <c r="T2163" s="144"/>
      <c r="U2163" s="145" t="str">
        <f>VLOOKUP(H2163,Stock_list!A:N,14,FALSE)</f>
        <v>AUG 20</v>
      </c>
    </row>
    <row r="2164" spans="1:21" ht="16.5" customHeight="1">
      <c r="A2164" s="159" t="s">
        <v>2747</v>
      </c>
      <c r="B2164" s="114" t="str">
        <f>VLOOKUP(A2164,'Data pick slip'!B:F,5,FALSE)</f>
        <v>KHJ-MC200-00</v>
      </c>
      <c r="F2164" s="157" t="s">
        <v>2862</v>
      </c>
      <c r="H2164" s="138">
        <v>727</v>
      </c>
      <c r="I2164" s="139" t="str">
        <f>VLOOKUP(H2164,Stock_list!A:R,18,FALSE)</f>
        <v>泰鑫荣</v>
      </c>
      <c r="J2164" s="139" t="str">
        <f>VLOOKUP(H2164,Stock_list!A:S,17,FALSE)</f>
        <v>C49SZX20200106SS</v>
      </c>
      <c r="K2164" s="51" t="str">
        <f>VLOOKUP(H2164,Stock_list!A:T,16,FALSE)</f>
        <v>JPY</v>
      </c>
      <c r="L2164" s="4">
        <v>44061</v>
      </c>
      <c r="M2164" s="132">
        <v>6</v>
      </c>
      <c r="P2164" s="4" t="str">
        <f>VLOOKUP(H2164,Stock_list!A:Y,25,FALSE)</f>
        <v>Yes</v>
      </c>
      <c r="Q2164" s="133"/>
      <c r="T2164" s="144"/>
      <c r="U2164" s="145" t="str">
        <f>VLOOKUP(H2164,Stock_list!A:N,14,FALSE)</f>
        <v>AUG 20</v>
      </c>
    </row>
    <row r="2165" spans="1:21" ht="16.5" customHeight="1">
      <c r="A2165" s="159" t="s">
        <v>2747</v>
      </c>
      <c r="B2165" s="114" t="str">
        <f>VLOOKUP(A2165,'Data pick slip'!B:F,5,FALSE)</f>
        <v>KHJ-MC200-00</v>
      </c>
      <c r="F2165" s="157" t="s">
        <v>2862</v>
      </c>
      <c r="H2165" s="138">
        <v>729</v>
      </c>
      <c r="I2165" s="139" t="str">
        <f>VLOOKUP(H2165,Stock_list!A:R,18,FALSE)</f>
        <v>锐诚</v>
      </c>
      <c r="J2165" s="139" t="str">
        <f>VLOOKUP(H2165,Stock_list!A:S,17,FALSE)</f>
        <v>C49SZX20200066SX</v>
      </c>
      <c r="K2165" s="51" t="str">
        <f>VLOOKUP(H2165,Stock_list!A:T,16,FALSE)</f>
        <v>JPY</v>
      </c>
      <c r="L2165" s="4">
        <v>44071</v>
      </c>
      <c r="M2165" s="132">
        <v>5</v>
      </c>
      <c r="P2165" s="4" t="str">
        <f>VLOOKUP(H2165,Stock_list!A:Y,25,FALSE)</f>
        <v>Yes</v>
      </c>
      <c r="Q2165" s="133"/>
      <c r="T2165" s="144"/>
      <c r="U2165" s="145" t="str">
        <f>VLOOKUP(H2165,Stock_list!A:N,14,FALSE)</f>
        <v>AUG 20</v>
      </c>
    </row>
    <row r="2166" spans="1:21" ht="16.5" customHeight="1">
      <c r="A2166" s="159" t="s">
        <v>2748</v>
      </c>
      <c r="B2166" s="114" t="str">
        <f>VLOOKUP(A2166,'Data pick slip'!B:F,5,FALSE)</f>
        <v>KHJ-MC400-00</v>
      </c>
      <c r="F2166" s="157" t="s">
        <v>2862</v>
      </c>
      <c r="H2166" s="138">
        <v>729</v>
      </c>
      <c r="I2166" s="139" t="str">
        <f>VLOOKUP(H2166,Stock_list!A:R,18,FALSE)</f>
        <v>锐诚</v>
      </c>
      <c r="J2166" s="139" t="str">
        <f>VLOOKUP(H2166,Stock_list!A:S,17,FALSE)</f>
        <v>C49SZX20200066SX</v>
      </c>
      <c r="K2166" s="51" t="str">
        <f>VLOOKUP(H2166,Stock_list!A:T,16,FALSE)</f>
        <v>JPY</v>
      </c>
      <c r="L2166" s="4">
        <v>44071</v>
      </c>
      <c r="M2166" s="132">
        <v>5</v>
      </c>
      <c r="P2166" s="4" t="str">
        <f>VLOOKUP(H2166,Stock_list!A:Y,25,FALSE)</f>
        <v>Yes</v>
      </c>
      <c r="Q2166" s="133"/>
      <c r="T2166" s="144"/>
      <c r="U2166" s="145" t="str">
        <f>VLOOKUP(H2166,Stock_list!A:N,14,FALSE)</f>
        <v>AUG 20</v>
      </c>
    </row>
    <row r="2167" spans="1:21" ht="16.5" customHeight="1">
      <c r="A2167" s="159" t="s">
        <v>2749</v>
      </c>
      <c r="B2167" s="114" t="str">
        <f>VLOOKUP(A2167,'Data pick slip'!B:F,5,FALSE)</f>
        <v>KHJ-MC500-00</v>
      </c>
      <c r="F2167" s="157" t="s">
        <v>2773</v>
      </c>
      <c r="I2167" s="139" t="s">
        <v>3094</v>
      </c>
      <c r="J2167" s="139" t="s">
        <v>3317</v>
      </c>
      <c r="K2167" s="51" t="s">
        <v>1246</v>
      </c>
      <c r="L2167" s="4">
        <v>44033</v>
      </c>
      <c r="M2167" s="140">
        <v>1</v>
      </c>
      <c r="P2167" s="4" t="s">
        <v>291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2744</v>
      </c>
      <c r="B2168" s="114" t="str">
        <f>VLOOKUP(A2168,'Data pick slip'!B:F,5,FALSE)</f>
        <v>KHJ-MC100-00</v>
      </c>
      <c r="F2168" s="157" t="s">
        <v>2773</v>
      </c>
      <c r="I2168" s="139" t="s">
        <v>3094</v>
      </c>
      <c r="J2168" s="139" t="s">
        <v>3318</v>
      </c>
      <c r="K2168" s="51" t="s">
        <v>1246</v>
      </c>
      <c r="L2168" s="4">
        <v>44032</v>
      </c>
      <c r="M2168" s="140">
        <v>50</v>
      </c>
      <c r="P2168" s="4" t="s">
        <v>291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2748</v>
      </c>
      <c r="B2169" s="114" t="str">
        <f>VLOOKUP(A2169,'Data pick slip'!B:F,5,FALSE)</f>
        <v>KHJ-MC400-00</v>
      </c>
      <c r="F2169" s="157" t="s">
        <v>2862</v>
      </c>
      <c r="I2169" s="139" t="s">
        <v>3016</v>
      </c>
      <c r="J2169" s="139" t="s">
        <v>3319</v>
      </c>
      <c r="K2169" s="51" t="s">
        <v>1246</v>
      </c>
      <c r="L2169" s="4">
        <v>44034</v>
      </c>
      <c r="M2169" s="140">
        <v>17</v>
      </c>
      <c r="P2169" s="4" t="s">
        <v>291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2754</v>
      </c>
      <c r="B2170" s="114" t="str">
        <f>VLOOKUP(A2170,'Data pick slip'!B:F,5,FALSE)</f>
        <v>KLJ-MCN00-20</v>
      </c>
      <c r="F2170" s="157" t="s">
        <v>2862</v>
      </c>
      <c r="I2170" s="139" t="s">
        <v>3016</v>
      </c>
      <c r="J2170" s="139" t="s">
        <v>3319</v>
      </c>
      <c r="K2170" s="51" t="s">
        <v>1246</v>
      </c>
      <c r="L2170" s="4">
        <v>44034</v>
      </c>
      <c r="M2170" s="140">
        <v>3</v>
      </c>
      <c r="P2170" s="4" t="s">
        <v>291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2755</v>
      </c>
      <c r="B2171" s="114" t="str">
        <f>VLOOKUP(A2171,'Data pick slip'!B:F,5,FALSE)</f>
        <v>KLJ-MC100-00</v>
      </c>
      <c r="F2171" s="157" t="s">
        <v>2862</v>
      </c>
      <c r="I2171" s="139" t="s">
        <v>3016</v>
      </c>
      <c r="J2171" s="139" t="s">
        <v>3319</v>
      </c>
      <c r="K2171" s="51" t="s">
        <v>1246</v>
      </c>
      <c r="L2171" s="4">
        <v>44034</v>
      </c>
      <c r="M2171" s="140">
        <v>20</v>
      </c>
      <c r="P2171" s="4" t="s">
        <v>291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2744</v>
      </c>
      <c r="B2172" s="114" t="str">
        <f>VLOOKUP(A2172,'Data pick slip'!B:F,5,FALSE)</f>
        <v>KHJ-MC100-00</v>
      </c>
      <c r="F2172" s="157" t="s">
        <v>2862</v>
      </c>
      <c r="H2172" s="138">
        <v>731</v>
      </c>
      <c r="I2172" s="139" t="str">
        <f>VLOOKUP(H2172,Stock_list!A:R,18,FALSE)</f>
        <v>融创新合</v>
      </c>
      <c r="J2172" s="139" t="str">
        <f>VLOOKUP(H2172,Stock_list!A:S,17,FALSE)</f>
        <v>C49SZX20200110MZ</v>
      </c>
      <c r="K2172" s="51" t="str">
        <f>VLOOKUP(H2172,Stock_list!A:T,16,FALSE)</f>
        <v>JPY</v>
      </c>
      <c r="L2172" s="4">
        <v>44098</v>
      </c>
      <c r="M2172" s="132">
        <v>80</v>
      </c>
      <c r="P2172" s="4" t="str">
        <f>VLOOKUP(H2172,Stock_list!A:Y,25,FALSE)</f>
        <v>Yes</v>
      </c>
      <c r="Q2172" s="133"/>
      <c r="T2172" s="144"/>
      <c r="U2172" s="145" t="str">
        <f>VLOOKUP(H2172,Stock_list!A:N,14,FALSE)</f>
        <v>SEP 20</v>
      </c>
    </row>
    <row r="2173" spans="1:21" ht="16.5" customHeight="1">
      <c r="A2173" s="159" t="s">
        <v>2747</v>
      </c>
      <c r="B2173" s="114" t="str">
        <f>VLOOKUP(A2173,'Data pick slip'!B:F,5,FALSE)</f>
        <v>KHJ-MC200-00</v>
      </c>
      <c r="F2173" s="157" t="s">
        <v>2862</v>
      </c>
      <c r="H2173" s="138">
        <v>731</v>
      </c>
      <c r="I2173" s="139" t="str">
        <f>VLOOKUP(H2173,Stock_list!A:R,18,FALSE)</f>
        <v>融创新合</v>
      </c>
      <c r="J2173" s="139" t="str">
        <f>VLOOKUP(H2173,Stock_list!A:S,17,FALSE)</f>
        <v>C49SZX20200110MZ</v>
      </c>
      <c r="K2173" s="51" t="str">
        <f>VLOOKUP(H2173,Stock_list!A:T,16,FALSE)</f>
        <v>JPY</v>
      </c>
      <c r="L2173" s="4">
        <v>44098</v>
      </c>
      <c r="M2173" s="132">
        <v>20</v>
      </c>
      <c r="P2173" s="4" t="str">
        <f>VLOOKUP(H2173,Stock_list!A:Y,25,FALSE)</f>
        <v>Yes</v>
      </c>
      <c r="Q2173" s="133"/>
      <c r="T2173" s="144"/>
      <c r="U2173" s="145" t="str">
        <f>VLOOKUP(H2173,Stock_list!A:N,14,FALSE)</f>
        <v>SEP 20</v>
      </c>
    </row>
    <row r="2174" spans="1:21" ht="16.5" customHeight="1">
      <c r="A2174" s="159" t="s">
        <v>2748</v>
      </c>
      <c r="B2174" s="114" t="str">
        <f>VLOOKUP(A2174,'Data pick slip'!B:F,5,FALSE)</f>
        <v>KHJ-MC400-00</v>
      </c>
      <c r="F2174" s="157" t="s">
        <v>2862</v>
      </c>
      <c r="H2174" s="138">
        <v>731</v>
      </c>
      <c r="I2174" s="139" t="str">
        <f>VLOOKUP(H2174,Stock_list!A:R,18,FALSE)</f>
        <v>融创新合</v>
      </c>
      <c r="J2174" s="139" t="str">
        <f>VLOOKUP(H2174,Stock_list!A:S,17,FALSE)</f>
        <v>C49SZX20200110MZ</v>
      </c>
      <c r="K2174" s="51" t="str">
        <f>VLOOKUP(H2174,Stock_list!A:T,16,FALSE)</f>
        <v>JPY</v>
      </c>
      <c r="L2174" s="4">
        <v>44098</v>
      </c>
      <c r="M2174" s="132">
        <v>3</v>
      </c>
      <c r="P2174" s="4" t="str">
        <f>VLOOKUP(H2174,Stock_list!A:Y,25,FALSE)</f>
        <v>Yes</v>
      </c>
      <c r="Q2174" s="133"/>
      <c r="T2174" s="144"/>
      <c r="U2174" s="145" t="str">
        <f>VLOOKUP(H2174,Stock_list!A:N,14,FALSE)</f>
        <v>SEP 20</v>
      </c>
    </row>
    <row r="2175" spans="1:21" ht="16.5" customHeight="1">
      <c r="A2175" s="159" t="s">
        <v>2749</v>
      </c>
      <c r="B2175" s="114" t="str">
        <f>VLOOKUP(A2175,'Data pick slip'!B:F,5,FALSE)</f>
        <v>KHJ-MC500-00</v>
      </c>
      <c r="F2175" s="157" t="s">
        <v>2862</v>
      </c>
      <c r="H2175" s="138">
        <v>731</v>
      </c>
      <c r="I2175" s="139" t="str">
        <f>VLOOKUP(H2175,Stock_list!A:R,18,FALSE)</f>
        <v>融创新合</v>
      </c>
      <c r="J2175" s="139" t="str">
        <f>VLOOKUP(H2175,Stock_list!A:S,17,FALSE)</f>
        <v>C49SZX20200110MZ</v>
      </c>
      <c r="K2175" s="51" t="str">
        <f>VLOOKUP(H2175,Stock_list!A:T,16,FALSE)</f>
        <v>JPY</v>
      </c>
      <c r="L2175" s="4">
        <v>44098</v>
      </c>
      <c r="M2175" s="132">
        <v>2</v>
      </c>
      <c r="P2175" s="4" t="str">
        <f>VLOOKUP(H2175,Stock_list!A:Y,25,FALSE)</f>
        <v>Yes</v>
      </c>
      <c r="Q2175" s="133"/>
      <c r="T2175" s="144"/>
      <c r="U2175" s="145" t="str">
        <f>VLOOKUP(H2175,Stock_list!A:N,14,FALSE)</f>
        <v>SEP 20</v>
      </c>
    </row>
    <row r="2176" spans="1:21" ht="16.5" customHeight="1">
      <c r="A2176" s="159" t="s">
        <v>2750</v>
      </c>
      <c r="B2176" s="114" t="str">
        <f>VLOOKUP(A2176,'Data pick slip'!B:F,5,FALSE)</f>
        <v>KHJ-MC600-00</v>
      </c>
      <c r="F2176" s="157" t="s">
        <v>2862</v>
      </c>
      <c r="H2176" s="138">
        <v>731</v>
      </c>
      <c r="I2176" s="139" t="str">
        <f>VLOOKUP(H2176,Stock_list!A:R,18,FALSE)</f>
        <v>融创新合</v>
      </c>
      <c r="J2176" s="139" t="str">
        <f>VLOOKUP(H2176,Stock_list!A:S,17,FALSE)</f>
        <v>C49SZX20200110MZ</v>
      </c>
      <c r="K2176" s="51" t="str">
        <f>VLOOKUP(H2176,Stock_list!A:T,16,FALSE)</f>
        <v>JPY</v>
      </c>
      <c r="L2176" s="4">
        <v>44098</v>
      </c>
      <c r="M2176" s="132">
        <v>2</v>
      </c>
      <c r="P2176" s="4" t="str">
        <f>VLOOKUP(H2176,Stock_list!A:Y,25,FALSE)</f>
        <v>Yes</v>
      </c>
      <c r="Q2176" s="133"/>
      <c r="T2176" s="144"/>
      <c r="U2176" s="145" t="str">
        <f>VLOOKUP(H2176,Stock_list!A:N,14,FALSE)</f>
        <v>SEP 20</v>
      </c>
    </row>
    <row r="2177" spans="1:21" ht="16.5" customHeight="1">
      <c r="A2177" s="159" t="s">
        <v>2744</v>
      </c>
      <c r="B2177" s="114" t="str">
        <f>VLOOKUP(A2177,'Data pick slip'!B:F,5,FALSE)</f>
        <v>KHJ-MC100-00</v>
      </c>
      <c r="F2177" s="157" t="s">
        <v>2773</v>
      </c>
      <c r="H2177" s="138">
        <v>733</v>
      </c>
      <c r="I2177" s="139" t="str">
        <f>VLOOKUP(H2177,Stock_list!A:R,18,FALSE)</f>
        <v>辉拓（end user：海纳科）</v>
      </c>
      <c r="J2177" s="139" t="str">
        <f>VLOOKUP(H2177,Stock_list!A:S,17,FALSE)</f>
        <v>C49SZX20200097JY</v>
      </c>
      <c r="K2177" s="51" t="str">
        <f>VLOOKUP(H2177,Stock_list!A:T,16,FALSE)</f>
        <v>RMB</v>
      </c>
      <c r="L2177" s="4">
        <v>44040</v>
      </c>
      <c r="M2177" s="132">
        <v>8</v>
      </c>
      <c r="P2177" s="4" t="str">
        <f>VLOOKUP(H2177,Stock_list!A:Y,25,FALSE)</f>
        <v>Yes</v>
      </c>
      <c r="Q2177" s="133"/>
      <c r="T2177" s="144"/>
      <c r="U2177" s="145" t="str">
        <f>VLOOKUP(H2177,Stock_list!A:N,14,FALSE)</f>
        <v>JUL 20</v>
      </c>
    </row>
    <row r="2178" spans="1:21" ht="16.5" customHeight="1">
      <c r="A2178" s="159" t="s">
        <v>2747</v>
      </c>
      <c r="B2178" s="114" t="str">
        <f>VLOOKUP(A2178,'Data pick slip'!B:F,5,FALSE)</f>
        <v>KHJ-MC200-00</v>
      </c>
      <c r="F2178" s="157" t="s">
        <v>2773</v>
      </c>
      <c r="H2178" s="138">
        <v>733</v>
      </c>
      <c r="I2178" s="139" t="str">
        <f>VLOOKUP(H2178,Stock_list!A:R,18,FALSE)</f>
        <v>辉拓（end user：海纳科）</v>
      </c>
      <c r="J2178" s="139" t="str">
        <f>VLOOKUP(H2178,Stock_list!A:S,17,FALSE)</f>
        <v>C49SZX20200097JY</v>
      </c>
      <c r="K2178" s="51" t="str">
        <f>VLOOKUP(H2178,Stock_list!A:T,16,FALSE)</f>
        <v>RMB</v>
      </c>
      <c r="L2178" s="4">
        <v>44040</v>
      </c>
      <c r="M2178" s="132">
        <v>4</v>
      </c>
      <c r="P2178" s="4" t="str">
        <f>VLOOKUP(H2178,Stock_list!A:Y,25,FALSE)</f>
        <v>Yes</v>
      </c>
      <c r="Q2178" s="133"/>
      <c r="T2178" s="144"/>
      <c r="U2178" s="145" t="str">
        <f>VLOOKUP(H2178,Stock_list!A:N,14,FALSE)</f>
        <v>JUL 20</v>
      </c>
    </row>
    <row r="2179" spans="1:21" ht="16.5" customHeight="1">
      <c r="A2179" s="159" t="s">
        <v>2748</v>
      </c>
      <c r="B2179" s="114" t="str">
        <f>VLOOKUP(A2179,'Data pick slip'!B:F,5,FALSE)</f>
        <v>KHJ-MC400-00</v>
      </c>
      <c r="F2179" s="157" t="s">
        <v>2773</v>
      </c>
      <c r="H2179" s="138">
        <v>733</v>
      </c>
      <c r="I2179" s="139" t="str">
        <f>VLOOKUP(H2179,Stock_list!A:R,18,FALSE)</f>
        <v>辉拓（end user：海纳科）</v>
      </c>
      <c r="J2179" s="139" t="str">
        <f>VLOOKUP(H2179,Stock_list!A:S,17,FALSE)</f>
        <v>C49SZX20200097JY</v>
      </c>
      <c r="K2179" s="51" t="str">
        <f>VLOOKUP(H2179,Stock_list!A:T,16,FALSE)</f>
        <v>RMB</v>
      </c>
      <c r="L2179" s="4">
        <v>44040</v>
      </c>
      <c r="M2179" s="132">
        <v>3</v>
      </c>
      <c r="P2179" s="4" t="str">
        <f>VLOOKUP(H2179,Stock_list!A:Y,25,FALSE)</f>
        <v>Yes</v>
      </c>
      <c r="Q2179" s="133"/>
      <c r="T2179" s="144"/>
      <c r="U2179" s="145" t="str">
        <f>VLOOKUP(H2179,Stock_list!A:N,14,FALSE)</f>
        <v>JUL 20</v>
      </c>
    </row>
    <row r="2180" spans="1:21" ht="16.5" customHeight="1">
      <c r="A2180" s="159" t="s">
        <v>2744</v>
      </c>
      <c r="B2180" s="114" t="str">
        <f>VLOOKUP(A2180,'Data pick slip'!B:F,5,FALSE)</f>
        <v>KHJ-MC100-00</v>
      </c>
      <c r="F2180" s="157" t="s">
        <v>2862</v>
      </c>
      <c r="H2180" s="138">
        <v>734</v>
      </c>
      <c r="I2180" s="139" t="str">
        <f>VLOOKUP(H2180,Stock_list!A:R,18,FALSE)</f>
        <v>昊亮迪（end user：海纳科）</v>
      </c>
      <c r="J2180" s="139" t="str">
        <f>VLOOKUP(H2180,Stock_list!A:S,17,FALSE)</f>
        <v>C49SZX20200125JY</v>
      </c>
      <c r="K2180" s="51" t="str">
        <f>VLOOKUP(H2180,Stock_list!A:T,16,FALSE)</f>
        <v>JPY</v>
      </c>
      <c r="L2180" s="4">
        <v>44138</v>
      </c>
      <c r="M2180" s="132">
        <v>8</v>
      </c>
      <c r="P2180" s="4" t="str">
        <f>VLOOKUP(H2180,Stock_list!A:Y,25,FALSE)</f>
        <v>Yes</v>
      </c>
      <c r="Q2180" s="133"/>
      <c r="T2180" s="144"/>
      <c r="U2180" s="145" t="str">
        <f>VLOOKUP(H2180,Stock_list!A:N,14,FALSE)</f>
        <v>SEP 20</v>
      </c>
    </row>
    <row r="2181" spans="1:21" ht="16.5" customHeight="1">
      <c r="A2181" s="159" t="s">
        <v>2747</v>
      </c>
      <c r="B2181" s="114" t="str">
        <f>VLOOKUP(A2181,'Data pick slip'!B:F,5,FALSE)</f>
        <v>KHJ-MC200-00</v>
      </c>
      <c r="F2181" s="157" t="s">
        <v>2862</v>
      </c>
      <c r="H2181" s="138">
        <v>734</v>
      </c>
      <c r="I2181" s="139" t="str">
        <f>VLOOKUP(H2181,Stock_list!A:R,18,FALSE)</f>
        <v>昊亮迪（end user：海纳科）</v>
      </c>
      <c r="J2181" s="139" t="str">
        <f>VLOOKUP(H2181,Stock_list!A:S,17,FALSE)</f>
        <v>C49SZX20200125JY</v>
      </c>
      <c r="K2181" s="51" t="str">
        <f>VLOOKUP(H2181,Stock_list!A:T,16,FALSE)</f>
        <v>JPY</v>
      </c>
      <c r="L2181" s="4">
        <v>44138</v>
      </c>
      <c r="M2181" s="132">
        <v>4</v>
      </c>
      <c r="P2181" s="4" t="str">
        <f>VLOOKUP(H2181,Stock_list!A:Y,25,FALSE)</f>
        <v>Yes</v>
      </c>
      <c r="Q2181" s="133"/>
      <c r="T2181" s="144"/>
      <c r="U2181" s="145" t="str">
        <f>VLOOKUP(H2181,Stock_list!A:N,14,FALSE)</f>
        <v>SEP 20</v>
      </c>
    </row>
    <row r="2182" spans="1:21" ht="16.5" customHeight="1">
      <c r="A2182" s="159" t="s">
        <v>2748</v>
      </c>
      <c r="B2182" s="114" t="str">
        <f>VLOOKUP(A2182,'Data pick slip'!B:F,5,FALSE)</f>
        <v>KHJ-MC400-00</v>
      </c>
      <c r="F2182" s="157" t="s">
        <v>2862</v>
      </c>
      <c r="H2182" s="138">
        <v>734</v>
      </c>
      <c r="I2182" s="139" t="str">
        <f>VLOOKUP(H2182,Stock_list!A:R,18,FALSE)</f>
        <v>昊亮迪（end user：海纳科）</v>
      </c>
      <c r="J2182" s="139" t="str">
        <f>VLOOKUP(H2182,Stock_list!A:S,17,FALSE)</f>
        <v>C49SZX20200125JY</v>
      </c>
      <c r="K2182" s="51" t="str">
        <f>VLOOKUP(H2182,Stock_list!A:T,16,FALSE)</f>
        <v>JPY</v>
      </c>
      <c r="L2182" s="4">
        <v>44138</v>
      </c>
      <c r="M2182" s="132">
        <v>3</v>
      </c>
      <c r="N2182" s="149"/>
      <c r="P2182" s="4" t="str">
        <f>VLOOKUP(H2182,Stock_list!A:Y,25,FALSE)</f>
        <v>Yes</v>
      </c>
      <c r="Q2182" s="133"/>
      <c r="T2182" s="144"/>
      <c r="U2182" s="145" t="str">
        <f>VLOOKUP(H2182,Stock_list!A:N,14,FALSE)</f>
        <v>SEP 20</v>
      </c>
    </row>
    <row r="2183" spans="1:21" ht="16.5" customHeight="1">
      <c r="A2183" s="159" t="s">
        <v>2744</v>
      </c>
      <c r="B2183" s="114" t="str">
        <f>VLOOKUP(A2183,'Data pick slip'!B:F,5,FALSE)</f>
        <v>KHJ-MC100-00</v>
      </c>
      <c r="F2183" s="157" t="s">
        <v>2773</v>
      </c>
      <c r="H2183" s="138">
        <v>734</v>
      </c>
      <c r="I2183" s="139" t="str">
        <f>VLOOKUP(H2183,Stock_list!A:R,18,FALSE)</f>
        <v>昊亮迪（end user：海纳科）</v>
      </c>
      <c r="J2183" s="139" t="str">
        <f>VLOOKUP(H2183,Stock_list!A:S,17,FALSE)</f>
        <v>C49SZX20200125JY</v>
      </c>
      <c r="K2183" s="51" t="str">
        <f>VLOOKUP(H2183,Stock_list!A:T,16,FALSE)</f>
        <v>JPY</v>
      </c>
      <c r="L2183" s="4">
        <v>44097</v>
      </c>
      <c r="O2183" s="132">
        <f>8-8</f>
        <v>0</v>
      </c>
      <c r="P2183" s="4" t="str">
        <f>VLOOKUP(H2183,Stock_list!A:Y,25,FALSE)</f>
        <v>Yes</v>
      </c>
      <c r="Q2183" s="133"/>
      <c r="T2183" s="144"/>
      <c r="U2183" s="145" t="str">
        <f>VLOOKUP(H2183,Stock_list!A:N,14,FALSE)</f>
        <v>SEP 20</v>
      </c>
    </row>
    <row r="2184" spans="1:21" ht="16.5" customHeight="1">
      <c r="A2184" s="159" t="s">
        <v>2747</v>
      </c>
      <c r="B2184" s="114" t="str">
        <f>VLOOKUP(A2184,'Data pick slip'!B:F,5,FALSE)</f>
        <v>KHJ-MC200-00</v>
      </c>
      <c r="F2184" s="157" t="s">
        <v>2773</v>
      </c>
      <c r="H2184" s="138">
        <v>734</v>
      </c>
      <c r="I2184" s="139" t="str">
        <f>VLOOKUP(H2184,Stock_list!A:R,18,FALSE)</f>
        <v>昊亮迪（end user：海纳科）</v>
      </c>
      <c r="J2184" s="139" t="str">
        <f>VLOOKUP(H2184,Stock_list!A:S,17,FALSE)</f>
        <v>C49SZX20200125JY</v>
      </c>
      <c r="K2184" s="51" t="str">
        <f>VLOOKUP(H2184,Stock_list!A:T,16,FALSE)</f>
        <v>JPY</v>
      </c>
      <c r="L2184" s="4">
        <v>44097</v>
      </c>
      <c r="O2184" s="132">
        <f>4-4</f>
        <v>0</v>
      </c>
      <c r="P2184" s="4" t="str">
        <f>VLOOKUP(H2184,Stock_list!A:Y,25,FALSE)</f>
        <v>Yes</v>
      </c>
      <c r="Q2184" s="133"/>
      <c r="T2184" s="144"/>
      <c r="U2184" s="145" t="str">
        <f>VLOOKUP(H2184,Stock_list!A:N,14,FALSE)</f>
        <v>SEP 20</v>
      </c>
    </row>
    <row r="2185" spans="1:21" ht="16.5" customHeight="1">
      <c r="A2185" s="159" t="s">
        <v>2748</v>
      </c>
      <c r="B2185" s="114" t="str">
        <f>VLOOKUP(A2185,'Data pick slip'!B:F,5,FALSE)</f>
        <v>KHJ-MC400-00</v>
      </c>
      <c r="F2185" s="157" t="s">
        <v>2773</v>
      </c>
      <c r="H2185" s="138">
        <v>734</v>
      </c>
      <c r="I2185" s="139" t="str">
        <f>VLOOKUP(H2185,Stock_list!A:R,18,FALSE)</f>
        <v>昊亮迪（end user：海纳科）</v>
      </c>
      <c r="J2185" s="139" t="str">
        <f>VLOOKUP(H2185,Stock_list!A:S,17,FALSE)</f>
        <v>C49SZX20200125JY</v>
      </c>
      <c r="K2185" s="51" t="str">
        <f>VLOOKUP(H2185,Stock_list!A:T,16,FALSE)</f>
        <v>JPY</v>
      </c>
      <c r="L2185" s="4">
        <v>44097</v>
      </c>
      <c r="O2185" s="132">
        <f>3-3</f>
        <v>0</v>
      </c>
      <c r="P2185" s="4" t="str">
        <f>VLOOKUP(H2185,Stock_list!A:Y,25,FALSE)</f>
        <v>Yes</v>
      </c>
      <c r="Q2185" s="133"/>
      <c r="T2185" s="144"/>
      <c r="U2185" s="145" t="str">
        <f>VLOOKUP(H2185,Stock_list!A:N,14,FALSE)</f>
        <v>SEP 20</v>
      </c>
    </row>
    <row r="2186" spans="1:21" ht="16.5" customHeight="1">
      <c r="A2186" s="159" t="s">
        <v>2747</v>
      </c>
      <c r="B2186" s="114" t="str">
        <f>VLOOKUP(A2186,'Data pick slip'!B:F,5,FALSE)</f>
        <v>KHJ-MC200-00</v>
      </c>
      <c r="F2186" s="157" t="s">
        <v>2773</v>
      </c>
      <c r="I2186" s="139" t="s">
        <v>3287</v>
      </c>
      <c r="J2186" s="139" t="s">
        <v>3320</v>
      </c>
      <c r="K2186" s="51" t="s">
        <v>1246</v>
      </c>
      <c r="L2186" s="4">
        <v>44028</v>
      </c>
      <c r="M2186" s="140">
        <v>5</v>
      </c>
      <c r="P2186" s="4" t="s">
        <v>291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2744</v>
      </c>
      <c r="B2187" s="114" t="str">
        <f>VLOOKUP(A2187,'Data pick slip'!B:F,5,FALSE)</f>
        <v>KHJ-MC100-00</v>
      </c>
      <c r="F2187" s="157" t="s">
        <v>2862</v>
      </c>
      <c r="H2187" s="138">
        <v>736</v>
      </c>
      <c r="I2187" s="139" t="str">
        <f>VLOOKUP(H2187,Stock_list!A:R,18,FALSE)</f>
        <v>伯莱科</v>
      </c>
      <c r="J2187" s="139" t="str">
        <f>VLOOKUP(H2187,Stock_list!A:S,17,FALSE)</f>
        <v>C49SZX20200108JL</v>
      </c>
      <c r="K2187" s="51" t="str">
        <f>VLOOKUP(H2187,Stock_list!A:T,16,FALSE)</f>
        <v>JPY</v>
      </c>
      <c r="L2187" s="4">
        <v>44098</v>
      </c>
      <c r="M2187" s="140">
        <v>4</v>
      </c>
      <c r="P2187" s="4" t="str">
        <f>VLOOKUP(H2187,Stock_list!A:Y,25,FALSE)</f>
        <v>Yes</v>
      </c>
      <c r="Q2187" s="133"/>
      <c r="T2187" s="144"/>
      <c r="U2187" s="145" t="str">
        <f>VLOOKUP(H2187,Stock_list!A:N,14,FALSE)</f>
        <v>SEP 20</v>
      </c>
    </row>
    <row r="2188" spans="1:21" ht="16.5" customHeight="1">
      <c r="A2188" s="159" t="s">
        <v>2755</v>
      </c>
      <c r="B2188" s="114" t="str">
        <f>VLOOKUP(A2188,'Data pick slip'!B:F,5,FALSE)</f>
        <v>KLJ-MC100-00</v>
      </c>
      <c r="F2188" s="157" t="s">
        <v>2862</v>
      </c>
      <c r="H2188" s="138">
        <v>739</v>
      </c>
      <c r="I2188" s="139" t="str">
        <f>VLOOKUP(H2188,Stock_list!A:R,18,FALSE)</f>
        <v>平方兆赫</v>
      </c>
      <c r="J2188" s="139" t="str">
        <f>VLOOKUP(H2188,Stock_list!A:S,17,FALSE)</f>
        <v>C49SZX20210028DZ</v>
      </c>
      <c r="K2188" s="51" t="str">
        <f>VLOOKUP(H2188,Stock_list!A:T,16,FALSE)</f>
        <v>JPY</v>
      </c>
      <c r="L2188" s="4">
        <v>44315</v>
      </c>
      <c r="M2188" s="132">
        <v>75</v>
      </c>
      <c r="P2188" s="4" t="str">
        <f>VLOOKUP(H2188,Stock_list!A:Y,25,FALSE)</f>
        <v>Yes</v>
      </c>
      <c r="Q2188" s="143"/>
      <c r="T2188" s="144"/>
      <c r="U2188" s="145" t="str">
        <f>VLOOKUP(H2188,Stock_list!A:N,14,FALSE)</f>
        <v>APR 21</v>
      </c>
    </row>
    <row r="2189" spans="1:21" ht="16.5" customHeight="1">
      <c r="A2189" s="159" t="s">
        <v>2756</v>
      </c>
      <c r="B2189" s="114" t="str">
        <f>VLOOKUP(A2189,'Data pick slip'!B:F,5,FALSE)</f>
        <v>KLJ-MC200-00</v>
      </c>
      <c r="F2189" s="157" t="s">
        <v>2862</v>
      </c>
      <c r="H2189" s="138">
        <v>739</v>
      </c>
      <c r="I2189" s="139" t="str">
        <f>VLOOKUP(H2189,Stock_list!A:R,18,FALSE)</f>
        <v>平方兆赫</v>
      </c>
      <c r="J2189" s="139" t="str">
        <f>VLOOKUP(H2189,Stock_list!A:S,17,FALSE)</f>
        <v>C49SZX20210028DZ</v>
      </c>
      <c r="K2189" s="51" t="str">
        <f>VLOOKUP(H2189,Stock_list!A:T,16,FALSE)</f>
        <v>JPY</v>
      </c>
      <c r="L2189" s="4">
        <v>44315</v>
      </c>
      <c r="M2189" s="132">
        <v>10</v>
      </c>
      <c r="P2189" s="4" t="str">
        <f>VLOOKUP(H2189,Stock_list!A:Y,25,FALSE)</f>
        <v>Yes</v>
      </c>
      <c r="T2189" s="144"/>
      <c r="U2189" s="145" t="str">
        <f>VLOOKUP(H2189,Stock_list!A:N,14,FALSE)</f>
        <v>APR 21</v>
      </c>
    </row>
    <row r="2190" spans="1:21" ht="16.5" customHeight="1">
      <c r="A2190" s="159" t="s">
        <v>2757</v>
      </c>
      <c r="B2190" s="114" t="str">
        <f>VLOOKUP(A2190,'Data pick slip'!B:F,5,FALSE)</f>
        <v>KLJ-MC400-00</v>
      </c>
      <c r="F2190" s="157" t="s">
        <v>2862</v>
      </c>
      <c r="H2190" s="138">
        <v>739</v>
      </c>
      <c r="I2190" s="139" t="str">
        <f>VLOOKUP(H2190,Stock_list!A:R,18,FALSE)</f>
        <v>平方兆赫</v>
      </c>
      <c r="J2190" s="139" t="str">
        <f>VLOOKUP(H2190,Stock_list!A:S,17,FALSE)</f>
        <v>C49SZX20210028DZ</v>
      </c>
      <c r="K2190" s="51" t="str">
        <f>VLOOKUP(H2190,Stock_list!A:T,16,FALSE)</f>
        <v>JPY</v>
      </c>
      <c r="L2190" s="4">
        <v>44315</v>
      </c>
      <c r="M2190" s="132">
        <v>2</v>
      </c>
      <c r="P2190" s="4" t="str">
        <f>VLOOKUP(H2190,Stock_list!A:Y,25,FALSE)</f>
        <v>Yes</v>
      </c>
      <c r="Q2190" s="143"/>
      <c r="T2190" s="144"/>
      <c r="U2190" s="145" t="str">
        <f>VLOOKUP(H2190,Stock_list!A:N,14,FALSE)</f>
        <v>APR 21</v>
      </c>
    </row>
    <row r="2191" spans="1:21" ht="16.5" customHeight="1">
      <c r="A2191" s="159" t="s">
        <v>2744</v>
      </c>
      <c r="B2191" s="114" t="str">
        <f>VLOOKUP(A2191,'Data pick slip'!B:F,5,FALSE)</f>
        <v>KHJ-MC100-00</v>
      </c>
      <c r="F2191" s="157" t="s">
        <v>2862</v>
      </c>
      <c r="H2191" s="138">
        <v>742</v>
      </c>
      <c r="I2191" s="139" t="str">
        <f>VLOOKUP(H2191,Stock_list!A:R,18,FALSE)</f>
        <v>华创易达</v>
      </c>
      <c r="J2191" s="139" t="str">
        <f>VLOOKUP(H2191,Stock_list!A:S,17,FALSE)</f>
        <v>C49SZX20200111JY</v>
      </c>
      <c r="K2191" s="51" t="str">
        <f>VLOOKUP(H2191,Stock_list!A:T,16,FALSE)</f>
        <v>JPY</v>
      </c>
      <c r="L2191" s="4">
        <v>44075</v>
      </c>
      <c r="M2191" s="132">
        <v>2</v>
      </c>
      <c r="P2191" s="4" t="str">
        <f>VLOOKUP(H2191,Stock_list!A:Y,25,FALSE)</f>
        <v>Yes</v>
      </c>
      <c r="Q2191" s="133"/>
      <c r="T2191" s="144"/>
      <c r="U2191" s="145" t="str">
        <f>VLOOKUP(H2191,Stock_list!A:N,14,FALSE)</f>
        <v>SEP 20</v>
      </c>
    </row>
    <row r="2192" spans="1:21" ht="16.5" customHeight="1">
      <c r="A2192" s="159" t="s">
        <v>2744</v>
      </c>
      <c r="B2192" s="114" t="str">
        <f>VLOOKUP(A2192,'Data pick slip'!B:F,5,FALSE)</f>
        <v>KHJ-MC100-00</v>
      </c>
      <c r="F2192" s="157" t="s">
        <v>2862</v>
      </c>
      <c r="H2192" s="138">
        <v>743</v>
      </c>
      <c r="I2192" s="139" t="str">
        <f>VLOOKUP(H2192,Stock_list!A:R,18,FALSE)</f>
        <v>钧溢电子</v>
      </c>
      <c r="J2192" s="139" t="str">
        <f>VLOOKUP(H2192,Stock_list!A:S,17,FALSE)</f>
        <v>C49SZX20200112SS</v>
      </c>
      <c r="K2192" s="51" t="str">
        <f>VLOOKUP(H2192,Stock_list!A:T,16,FALSE)</f>
        <v>JPY</v>
      </c>
      <c r="L2192" s="4">
        <v>44103</v>
      </c>
      <c r="M2192" s="132">
        <v>19</v>
      </c>
      <c r="P2192" s="4" t="str">
        <f>VLOOKUP(H2192,Stock_list!A:Y,25,FALSE)</f>
        <v>Yes</v>
      </c>
      <c r="Q2192" s="133"/>
      <c r="T2192" s="144"/>
      <c r="U2192" s="145" t="str">
        <f>VLOOKUP(H2192,Stock_list!A:N,14,FALSE)</f>
        <v>SEP 20</v>
      </c>
    </row>
    <row r="2193" spans="1:21" ht="16.5" customHeight="1">
      <c r="A2193" s="159" t="s">
        <v>2747</v>
      </c>
      <c r="B2193" s="114" t="str">
        <f>VLOOKUP(A2193,'Data pick slip'!B:F,5,FALSE)</f>
        <v>KHJ-MC200-00</v>
      </c>
      <c r="F2193" s="157" t="s">
        <v>2862</v>
      </c>
      <c r="H2193" s="138">
        <v>743</v>
      </c>
      <c r="I2193" s="139" t="str">
        <f>VLOOKUP(H2193,Stock_list!A:R,18,FALSE)</f>
        <v>钧溢电子</v>
      </c>
      <c r="J2193" s="139" t="str">
        <f>VLOOKUP(H2193,Stock_list!A:S,17,FALSE)</f>
        <v>C49SZX20200112SS</v>
      </c>
      <c r="K2193" s="51" t="str">
        <f>VLOOKUP(H2193,Stock_list!A:T,16,FALSE)</f>
        <v>JPY</v>
      </c>
      <c r="L2193" s="4">
        <v>44103</v>
      </c>
      <c r="M2193" s="132">
        <v>10</v>
      </c>
      <c r="P2193" s="4" t="str">
        <f>VLOOKUP(H2193,Stock_list!A:Y,25,FALSE)</f>
        <v>Yes</v>
      </c>
      <c r="Q2193" s="133"/>
      <c r="T2193" s="144"/>
      <c r="U2193" s="145" t="str">
        <f>VLOOKUP(H2193,Stock_list!A:N,14,FALSE)</f>
        <v>SEP 20</v>
      </c>
    </row>
    <row r="2194" spans="1:21" ht="16.5" customHeight="1">
      <c r="A2194" s="159" t="s">
        <v>2748</v>
      </c>
      <c r="B2194" s="114" t="str">
        <f>VLOOKUP(A2194,'Data pick slip'!B:F,5,FALSE)</f>
        <v>KHJ-MC400-00</v>
      </c>
      <c r="F2194" s="157" t="s">
        <v>2862</v>
      </c>
      <c r="H2194" s="138">
        <v>743</v>
      </c>
      <c r="I2194" s="139" t="str">
        <f>VLOOKUP(H2194,Stock_list!A:R,18,FALSE)</f>
        <v>钧溢电子</v>
      </c>
      <c r="J2194" s="139" t="str">
        <f>VLOOKUP(H2194,Stock_list!A:S,17,FALSE)</f>
        <v>C49SZX20200112SS</v>
      </c>
      <c r="K2194" s="51" t="str">
        <f>VLOOKUP(H2194,Stock_list!A:T,16,FALSE)</f>
        <v>JPY</v>
      </c>
      <c r="L2194" s="4">
        <v>44103</v>
      </c>
      <c r="M2194" s="132">
        <v>1</v>
      </c>
      <c r="P2194" s="4" t="str">
        <f>VLOOKUP(H2194,Stock_list!A:Y,25,FALSE)</f>
        <v>Yes</v>
      </c>
      <c r="Q2194" s="133"/>
      <c r="T2194" s="144"/>
      <c r="U2194" s="145" t="str">
        <f>VLOOKUP(H2194,Stock_list!A:N,14,FALSE)</f>
        <v>SEP 20</v>
      </c>
    </row>
    <row r="2195" spans="1:21" ht="16.5" customHeight="1">
      <c r="A2195" s="159" t="s">
        <v>2755</v>
      </c>
      <c r="B2195" s="114" t="str">
        <f>VLOOKUP(A2195,'Data pick slip'!B:F,5,FALSE)</f>
        <v>KLJ-MC100-00</v>
      </c>
      <c r="F2195" s="157" t="s">
        <v>2773</v>
      </c>
      <c r="I2195" s="139" t="s">
        <v>3094</v>
      </c>
      <c r="J2195" s="139" t="s">
        <v>3321</v>
      </c>
      <c r="K2195" s="51" t="s">
        <v>1246</v>
      </c>
      <c r="L2195" s="4">
        <v>44036</v>
      </c>
      <c r="M2195" s="140">
        <v>25</v>
      </c>
      <c r="P2195" s="4" t="s">
        <v>291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2756</v>
      </c>
      <c r="B2196" s="114" t="str">
        <f>VLOOKUP(A2196,'Data pick slip'!B:F,5,FALSE)</f>
        <v>KLJ-MC200-00</v>
      </c>
      <c r="F2196" s="157" t="s">
        <v>2773</v>
      </c>
      <c r="I2196" s="139" t="s">
        <v>3094</v>
      </c>
      <c r="J2196" s="139" t="s">
        <v>3321</v>
      </c>
      <c r="K2196" s="51" t="s">
        <v>1246</v>
      </c>
      <c r="L2196" s="4">
        <v>44036</v>
      </c>
      <c r="M2196" s="140">
        <v>5</v>
      </c>
      <c r="P2196" s="4" t="s">
        <v>291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2757</v>
      </c>
      <c r="B2197" s="114" t="str">
        <f>VLOOKUP(A2197,'Data pick slip'!B:F,5,FALSE)</f>
        <v>KLJ-MC400-00</v>
      </c>
      <c r="F2197" s="157" t="s">
        <v>2773</v>
      </c>
      <c r="I2197" s="139" t="s">
        <v>3094</v>
      </c>
      <c r="J2197" s="139" t="s">
        <v>3321</v>
      </c>
      <c r="K2197" s="51" t="s">
        <v>1246</v>
      </c>
      <c r="L2197" s="4">
        <v>44036</v>
      </c>
      <c r="M2197" s="140">
        <v>3</v>
      </c>
      <c r="P2197" s="4" t="s">
        <v>291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2759</v>
      </c>
      <c r="B2198" s="114" t="str">
        <f>VLOOKUP(A2198,'Data pick slip'!B:F,5,FALSE)</f>
        <v>KLJ-MC600-00</v>
      </c>
      <c r="F2198" s="157" t="s">
        <v>2773</v>
      </c>
      <c r="I2198" s="139" t="s">
        <v>3094</v>
      </c>
      <c r="J2198" s="139" t="s">
        <v>3321</v>
      </c>
      <c r="K2198" s="51" t="s">
        <v>1246</v>
      </c>
      <c r="L2198" s="4">
        <v>44036</v>
      </c>
      <c r="M2198" s="140">
        <v>1</v>
      </c>
      <c r="P2198" s="4" t="s">
        <v>291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2744</v>
      </c>
      <c r="B2199" s="114" t="str">
        <f>VLOOKUP(A2199,'Data pick slip'!B:F,5,FALSE)</f>
        <v>KHJ-MC100-00</v>
      </c>
      <c r="F2199" s="157" t="s">
        <v>2862</v>
      </c>
      <c r="H2199" s="138">
        <v>745</v>
      </c>
      <c r="I2199" s="139" t="str">
        <f>VLOOKUP(H2199,Stock_list!A:R,18,FALSE)</f>
        <v>优控电子</v>
      </c>
      <c r="J2199" s="139" t="str">
        <f>VLOOKUP(H2199,Stock_list!A:S,17,FALSE)</f>
        <v>C49SZX20200115SX</v>
      </c>
      <c r="K2199" s="51" t="str">
        <f>VLOOKUP(H2199,Stock_list!A:T,16,FALSE)</f>
        <v>JPY</v>
      </c>
      <c r="L2199" s="4">
        <v>44175</v>
      </c>
      <c r="M2199" s="132">
        <v>50</v>
      </c>
      <c r="N2199" s="146"/>
      <c r="P2199" s="4" t="str">
        <f>VLOOKUP(H2199,Stock_list!A:Y,25,FALSE)</f>
        <v>Yes</v>
      </c>
      <c r="Q2199" s="143"/>
      <c r="T2199" s="144"/>
      <c r="U2199" s="145" t="str">
        <f>VLOOKUP(H2199,Stock_list!A:N,14,FALSE)</f>
        <v>DEC 20</v>
      </c>
    </row>
    <row r="2200" spans="1:21" ht="16.5" customHeight="1">
      <c r="A2200" s="159" t="s">
        <v>2747</v>
      </c>
      <c r="B2200" s="114" t="str">
        <f>VLOOKUP(A2200,'Data pick slip'!B:F,5,FALSE)</f>
        <v>KHJ-MC200-00</v>
      </c>
      <c r="F2200" s="157" t="s">
        <v>2862</v>
      </c>
      <c r="H2200" s="138">
        <v>745</v>
      </c>
      <c r="I2200" s="139" t="str">
        <f>VLOOKUP(H2200,Stock_list!A:R,18,FALSE)</f>
        <v>优控电子</v>
      </c>
      <c r="J2200" s="139" t="str">
        <f>VLOOKUP(H2200,Stock_list!A:S,17,FALSE)</f>
        <v>C49SZX20200115SX</v>
      </c>
      <c r="K2200" s="51" t="str">
        <f>VLOOKUP(H2200,Stock_list!A:T,16,FALSE)</f>
        <v>JPY</v>
      </c>
      <c r="L2200" s="4">
        <v>44175</v>
      </c>
      <c r="M2200" s="132">
        <v>5</v>
      </c>
      <c r="N2200" s="146"/>
      <c r="P2200" s="4" t="str">
        <f>VLOOKUP(H2200,Stock_list!A:Y,25,FALSE)</f>
        <v>Yes</v>
      </c>
      <c r="Q2200" s="143"/>
      <c r="T2200" s="144"/>
      <c r="U2200" s="145" t="str">
        <f>VLOOKUP(H2200,Stock_list!A:N,14,FALSE)</f>
        <v>DEC 20</v>
      </c>
    </row>
    <row r="2201" spans="1:21" ht="16.5" customHeight="1">
      <c r="A2201" s="159" t="s">
        <v>2744</v>
      </c>
      <c r="B2201" s="114" t="str">
        <f>VLOOKUP(A2201,'Data pick slip'!B:F,5,FALSE)</f>
        <v>KHJ-MC100-00</v>
      </c>
      <c r="F2201" s="157" t="s">
        <v>2862</v>
      </c>
      <c r="H2201" s="138">
        <v>749</v>
      </c>
      <c r="I2201" s="139" t="str">
        <f>VLOOKUP(H2201,Stock_list!A:R,18,FALSE)</f>
        <v>凌鑫</v>
      </c>
      <c r="J2201" s="139" t="str">
        <f>VLOOKUP(H2201,Stock_list!A:S,17,FALSE)</f>
        <v>C49SZX20200120SX</v>
      </c>
      <c r="K2201" s="51" t="str">
        <f>VLOOKUP(H2201,Stock_list!A:T,16,FALSE)</f>
        <v>JPY</v>
      </c>
      <c r="L2201" s="4">
        <v>44139</v>
      </c>
      <c r="M2201" s="132">
        <v>40</v>
      </c>
      <c r="P2201" s="4" t="str">
        <f>VLOOKUP(H2201,Stock_list!A:Y,25,FALSE)</f>
        <v>Yes</v>
      </c>
      <c r="Q2201" s="143"/>
      <c r="T2201" s="144"/>
      <c r="U2201" s="145" t="str">
        <f>VLOOKUP(H2201,Stock_list!A:N,14,FALSE)</f>
        <v>NOV 20</v>
      </c>
    </row>
    <row r="2202" spans="1:21" ht="16.5" customHeight="1">
      <c r="A2202" s="159" t="s">
        <v>2744</v>
      </c>
      <c r="B2202" s="114" t="str">
        <f>VLOOKUP(A2202,'Data pick slip'!B:F,5,FALSE)</f>
        <v>KHJ-MC100-00</v>
      </c>
      <c r="F2202" s="157" t="s">
        <v>2773</v>
      </c>
      <c r="H2202" s="138">
        <v>749</v>
      </c>
      <c r="I2202" s="139" t="str">
        <f>VLOOKUP(H2202,Stock_list!A:R,18,FALSE)</f>
        <v>凌鑫</v>
      </c>
      <c r="J2202" s="139" t="str">
        <f>VLOOKUP(H2202,Stock_list!A:S,17,FALSE)</f>
        <v>C49SZX20200120SX</v>
      </c>
      <c r="K2202" s="51" t="str">
        <f>VLOOKUP(H2202,Stock_list!A:T,16,FALSE)</f>
        <v>JPY</v>
      </c>
      <c r="L2202" s="4">
        <v>44161</v>
      </c>
      <c r="M2202" s="132">
        <v>2</v>
      </c>
      <c r="P2202" s="4" t="str">
        <f>VLOOKUP(H2202,Stock_list!A:Y,25,FALSE)</f>
        <v>Yes</v>
      </c>
      <c r="Q2202" s="143"/>
      <c r="S2202" s="123" t="s">
        <v>3004</v>
      </c>
      <c r="T2202" s="144" t="s">
        <v>3322</v>
      </c>
      <c r="U2202" s="145" t="str">
        <f>VLOOKUP(H2202,Stock_list!A:N,14,FALSE)</f>
        <v>NOV 20</v>
      </c>
    </row>
    <row r="2203" spans="1:21" ht="16.5" customHeight="1">
      <c r="A2203" s="159" t="s">
        <v>2747</v>
      </c>
      <c r="B2203" s="114" t="str">
        <f>VLOOKUP(A2203,'Data pick slip'!B:F,5,FALSE)</f>
        <v>KHJ-MC200-00</v>
      </c>
      <c r="F2203" s="157" t="s">
        <v>2862</v>
      </c>
      <c r="H2203" s="138">
        <v>749</v>
      </c>
      <c r="I2203" s="139" t="str">
        <f>VLOOKUP(H2203,Stock_list!A:R,18,FALSE)</f>
        <v>凌鑫</v>
      </c>
      <c r="J2203" s="139" t="str">
        <f>VLOOKUP(H2203,Stock_list!A:S,17,FALSE)</f>
        <v>C49SZX20200120SX</v>
      </c>
      <c r="K2203" s="51" t="str">
        <f>VLOOKUP(H2203,Stock_list!A:T,16,FALSE)</f>
        <v>JPY</v>
      </c>
      <c r="L2203" s="4">
        <v>44139</v>
      </c>
      <c r="M2203" s="132">
        <v>5</v>
      </c>
      <c r="P2203" s="4" t="str">
        <f>VLOOKUP(H2203,Stock_list!A:Y,25,FALSE)</f>
        <v>Yes</v>
      </c>
      <c r="Q2203" s="143"/>
      <c r="T2203" s="144"/>
      <c r="U2203" s="145" t="str">
        <f>VLOOKUP(H2203,Stock_list!A:N,14,FALSE)</f>
        <v>NOV 20</v>
      </c>
    </row>
    <row r="2204" spans="1:21" ht="16.5" customHeight="1">
      <c r="A2204" s="159" t="s">
        <v>2744</v>
      </c>
      <c r="B2204" s="114" t="str">
        <f>VLOOKUP(A2204,'Data pick slip'!B:F,5,FALSE)</f>
        <v>KHJ-MC100-00</v>
      </c>
      <c r="F2204" s="157" t="s">
        <v>2773</v>
      </c>
      <c r="H2204" s="138">
        <v>749</v>
      </c>
      <c r="I2204" s="139" t="str">
        <f>VLOOKUP(H2204,Stock_list!A:R,18,FALSE)</f>
        <v>凌鑫</v>
      </c>
      <c r="J2204" s="139" t="str">
        <f>VLOOKUP(H2204,Stock_list!A:S,17,FALSE)</f>
        <v>C49SZX20200120SX</v>
      </c>
      <c r="K2204" s="51" t="str">
        <f>VLOOKUP(H2204,Stock_list!A:T,16,FALSE)</f>
        <v>JPY</v>
      </c>
      <c r="L2204" s="4">
        <v>44047</v>
      </c>
      <c r="O2204" s="132">
        <f>40-40</f>
        <v>0</v>
      </c>
      <c r="P2204" s="4" t="str">
        <f>VLOOKUP(H2204,Stock_list!A:Y,25,FALSE)</f>
        <v>Yes</v>
      </c>
      <c r="Q2204" s="143"/>
      <c r="T2204" s="144"/>
      <c r="U2204" s="145" t="str">
        <f>VLOOKUP(H2204,Stock_list!A:N,14,FALSE)</f>
        <v>NOV 20</v>
      </c>
    </row>
    <row r="2205" spans="1:21" ht="16.5" customHeight="1">
      <c r="A2205" s="159" t="s">
        <v>2747</v>
      </c>
      <c r="B2205" s="114" t="str">
        <f>VLOOKUP(A2205,'Data pick slip'!B:F,5,FALSE)</f>
        <v>KHJ-MC200-00</v>
      </c>
      <c r="F2205" s="157" t="s">
        <v>2773</v>
      </c>
      <c r="H2205" s="138">
        <v>749</v>
      </c>
      <c r="I2205" s="139" t="str">
        <f>VLOOKUP(H2205,Stock_list!A:R,18,FALSE)</f>
        <v>凌鑫</v>
      </c>
      <c r="J2205" s="139" t="str">
        <f>VLOOKUP(H2205,Stock_list!A:S,17,FALSE)</f>
        <v>C49SZX20200120SX</v>
      </c>
      <c r="K2205" s="51" t="str">
        <f>VLOOKUP(H2205,Stock_list!A:T,16,FALSE)</f>
        <v>JPY</v>
      </c>
      <c r="L2205" s="4">
        <v>44047</v>
      </c>
      <c r="O2205" s="132">
        <f>5-5</f>
        <v>0</v>
      </c>
      <c r="P2205" s="4" t="str">
        <f>VLOOKUP(H2205,Stock_list!A:Y,25,FALSE)</f>
        <v>Yes</v>
      </c>
      <c r="Q2205" s="143"/>
      <c r="T2205" s="144"/>
      <c r="U2205" s="145" t="str">
        <f>VLOOKUP(H2205,Stock_list!A:N,14,FALSE)</f>
        <v>NOV 20</v>
      </c>
    </row>
    <row r="2206" spans="1:21" ht="16.5" customHeight="1">
      <c r="A2206" s="159" t="s">
        <v>2744</v>
      </c>
      <c r="B2206" s="114" t="str">
        <f>VLOOKUP(A2206,'Data pick slip'!B:F,5,FALSE)</f>
        <v>KHJ-MC100-00</v>
      </c>
      <c r="F2206" s="157" t="s">
        <v>2862</v>
      </c>
      <c r="H2206" s="138">
        <v>750</v>
      </c>
      <c r="I2206" s="139" t="str">
        <f>VLOOKUP(H2206,Stock_list!A:R,18,FALSE)</f>
        <v>正创</v>
      </c>
      <c r="J2206" s="139" t="str">
        <f>VLOOKUP(H2206,Stock_list!A:S,17,FALSE)</f>
        <v>C49SZX20200118SS</v>
      </c>
      <c r="K2206" s="51" t="str">
        <f>VLOOKUP(H2206,Stock_list!A:T,16,FALSE)</f>
        <v>JPY</v>
      </c>
      <c r="L2206" s="4">
        <v>44134</v>
      </c>
      <c r="M2206" s="140">
        <v>5</v>
      </c>
      <c r="P2206" s="4" t="str">
        <f>VLOOKUP(H2206,Stock_list!A:Y,25,FALSE)</f>
        <v>Yes</v>
      </c>
      <c r="Q2206" s="143"/>
      <c r="T2206" s="144"/>
      <c r="U2206" s="145" t="str">
        <f>VLOOKUP(H2206,Stock_list!A:N,14,FALSE)</f>
        <v>OCT 20</v>
      </c>
    </row>
    <row r="2207" spans="1:21" ht="16.5" customHeight="1">
      <c r="A2207" s="159" t="s">
        <v>2747</v>
      </c>
      <c r="B2207" s="114" t="str">
        <f>VLOOKUP(A2207,'Data pick slip'!B:F,5,FALSE)</f>
        <v>KHJ-MC200-00</v>
      </c>
      <c r="F2207" s="157" t="s">
        <v>2773</v>
      </c>
      <c r="I2207" s="139" t="s">
        <v>3094</v>
      </c>
      <c r="J2207" s="139" t="s">
        <v>3323</v>
      </c>
      <c r="K2207" s="51" t="s">
        <v>1246</v>
      </c>
      <c r="L2207" s="4">
        <v>44040</v>
      </c>
      <c r="M2207" s="140">
        <v>5</v>
      </c>
      <c r="P2207" s="4" t="s">
        <v>291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2749</v>
      </c>
      <c r="B2208" s="114" t="str">
        <f>VLOOKUP(A2208,'Data pick slip'!B:F,5,FALSE)</f>
        <v>KHJ-MC500-00</v>
      </c>
      <c r="F2208" s="157" t="s">
        <v>2773</v>
      </c>
      <c r="I2208" s="139" t="s">
        <v>3094</v>
      </c>
      <c r="J2208" s="139" t="s">
        <v>3324</v>
      </c>
      <c r="K2208" s="51" t="s">
        <v>1246</v>
      </c>
      <c r="L2208" s="4">
        <v>44042</v>
      </c>
      <c r="M2208" s="140">
        <v>1</v>
      </c>
      <c r="P2208" s="4" t="s">
        <v>291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2744</v>
      </c>
      <c r="B2209" s="114" t="str">
        <f>VLOOKUP(A2209,'Data pick slip'!B:F,5,FALSE)</f>
        <v>KHJ-MC100-00</v>
      </c>
      <c r="F2209" s="157" t="s">
        <v>2773</v>
      </c>
      <c r="H2209" s="138">
        <v>751</v>
      </c>
      <c r="I2209" s="139" t="str">
        <f>VLOOKUP(H2209,Stock_list!A:R,18,FALSE)</f>
        <v>银宝山新</v>
      </c>
      <c r="J2209" s="139" t="str">
        <f>VLOOKUP(H2209,Stock_list!A:S,17,FALSE)</f>
        <v>BS-SZGZ20071306-ZB</v>
      </c>
      <c r="K2209" s="51" t="str">
        <f>VLOOKUP(H2209,Stock_list!A:T,16,FALSE)</f>
        <v>RMB</v>
      </c>
      <c r="L2209" s="4">
        <v>44131</v>
      </c>
      <c r="M2209" s="132">
        <v>40</v>
      </c>
      <c r="P2209" s="4" t="str">
        <f>VLOOKUP(H2209,Stock_list!A:Y,25,FALSE)</f>
        <v>Yes</v>
      </c>
      <c r="Q2209" s="133"/>
      <c r="T2209" s="144"/>
      <c r="U2209" s="145" t="str">
        <f>VLOOKUP(H2209,Stock_list!A:N,14,FALSE)</f>
        <v>OCT 20</v>
      </c>
    </row>
    <row r="2210" spans="1:21" ht="16.5" customHeight="1">
      <c r="A2210" s="159" t="s">
        <v>2747</v>
      </c>
      <c r="B2210" s="114" t="str">
        <f>VLOOKUP(A2210,'Data pick slip'!B:F,5,FALSE)</f>
        <v>KHJ-MC200-00</v>
      </c>
      <c r="F2210" s="157" t="s">
        <v>2773</v>
      </c>
      <c r="H2210" s="138">
        <v>751</v>
      </c>
      <c r="I2210" s="139" t="str">
        <f>VLOOKUP(H2210,Stock_list!A:R,18,FALSE)</f>
        <v>银宝山新</v>
      </c>
      <c r="J2210" s="139" t="str">
        <f>VLOOKUP(H2210,Stock_list!A:S,17,FALSE)</f>
        <v>BS-SZGZ20071306-ZB</v>
      </c>
      <c r="K2210" s="51" t="str">
        <f>VLOOKUP(H2210,Stock_list!A:T,16,FALSE)</f>
        <v>RMB</v>
      </c>
      <c r="L2210" s="4">
        <v>44131</v>
      </c>
      <c r="M2210" s="132">
        <v>10</v>
      </c>
      <c r="P2210" s="4" t="str">
        <f>VLOOKUP(H2210,Stock_list!A:Y,25,FALSE)</f>
        <v>Yes</v>
      </c>
      <c r="Q2210" s="133"/>
      <c r="T2210" s="144"/>
      <c r="U2210" s="145" t="str">
        <f>VLOOKUP(H2210,Stock_list!A:N,14,FALSE)</f>
        <v>OCT 20</v>
      </c>
    </row>
    <row r="2211" spans="1:21" ht="16.5" customHeight="1">
      <c r="A2211" s="159" t="s">
        <v>2748</v>
      </c>
      <c r="B2211" s="114" t="str">
        <f>VLOOKUP(A2211,'Data pick slip'!B:F,5,FALSE)</f>
        <v>KHJ-MC400-00</v>
      </c>
      <c r="F2211" s="157" t="s">
        <v>2773</v>
      </c>
      <c r="H2211" s="138">
        <v>751</v>
      </c>
      <c r="I2211" s="139" t="str">
        <f>VLOOKUP(H2211,Stock_list!A:R,18,FALSE)</f>
        <v>银宝山新</v>
      </c>
      <c r="J2211" s="139" t="str">
        <f>VLOOKUP(H2211,Stock_list!A:S,17,FALSE)</f>
        <v>BS-SZGZ20071306-ZB</v>
      </c>
      <c r="K2211" s="51" t="str">
        <f>VLOOKUP(H2211,Stock_list!A:T,16,FALSE)</f>
        <v>RMB</v>
      </c>
      <c r="L2211" s="4">
        <v>44131</v>
      </c>
      <c r="M2211" s="132">
        <v>4</v>
      </c>
      <c r="P2211" s="4" t="str">
        <f>VLOOKUP(H2211,Stock_list!A:Y,25,FALSE)</f>
        <v>Yes</v>
      </c>
      <c r="Q2211" s="133"/>
      <c r="T2211" s="144"/>
      <c r="U2211" s="145" t="str">
        <f>VLOOKUP(H2211,Stock_list!A:N,14,FALSE)</f>
        <v>OCT 20</v>
      </c>
    </row>
    <row r="2212" spans="1:21" ht="16.5" customHeight="1">
      <c r="A2212" s="159" t="s">
        <v>2749</v>
      </c>
      <c r="B2212" s="114" t="str">
        <f>VLOOKUP(A2212,'Data pick slip'!B:F,5,FALSE)</f>
        <v>KHJ-MC500-00</v>
      </c>
      <c r="F2212" s="157" t="s">
        <v>2773</v>
      </c>
      <c r="H2212" s="138">
        <v>751</v>
      </c>
      <c r="I2212" s="139" t="str">
        <f>VLOOKUP(H2212,Stock_list!A:R,18,FALSE)</f>
        <v>银宝山新</v>
      </c>
      <c r="J2212" s="139" t="str">
        <f>VLOOKUP(H2212,Stock_list!A:S,17,FALSE)</f>
        <v>BS-SZGZ20071306-ZB</v>
      </c>
      <c r="K2212" s="51" t="str">
        <f>VLOOKUP(H2212,Stock_list!A:T,16,FALSE)</f>
        <v>RMB</v>
      </c>
      <c r="L2212" s="4">
        <v>44131</v>
      </c>
      <c r="M2212" s="132">
        <v>2</v>
      </c>
      <c r="P2212" s="4" t="str">
        <f>VLOOKUP(H2212,Stock_list!A:Y,25,FALSE)</f>
        <v>Yes</v>
      </c>
      <c r="Q2212" s="133"/>
      <c r="T2212" s="144"/>
      <c r="U2212" s="145" t="str">
        <f>VLOOKUP(H2212,Stock_list!A:N,14,FALSE)</f>
        <v>OCT 20</v>
      </c>
    </row>
    <row r="2213" spans="1:21" ht="16.5" customHeight="1">
      <c r="A2213" s="159" t="s">
        <v>2750</v>
      </c>
      <c r="B2213" s="114" t="str">
        <f>VLOOKUP(A2213,'Data pick slip'!B:F,5,FALSE)</f>
        <v>KHJ-MC600-00</v>
      </c>
      <c r="F2213" s="157" t="s">
        <v>2773</v>
      </c>
      <c r="H2213" s="138">
        <v>751</v>
      </c>
      <c r="I2213" s="139" t="str">
        <f>VLOOKUP(H2213,Stock_list!A:R,18,FALSE)</f>
        <v>银宝山新</v>
      </c>
      <c r="J2213" s="139" t="str">
        <f>VLOOKUP(H2213,Stock_list!A:S,17,FALSE)</f>
        <v>BS-SZGZ20071306-ZB</v>
      </c>
      <c r="K2213" s="51" t="str">
        <f>VLOOKUP(H2213,Stock_list!A:T,16,FALSE)</f>
        <v>RMB</v>
      </c>
      <c r="L2213" s="4">
        <v>44131</v>
      </c>
      <c r="M2213" s="132">
        <v>1</v>
      </c>
      <c r="P2213" s="4" t="str">
        <f>VLOOKUP(H2213,Stock_list!A:Y,25,FALSE)</f>
        <v>Yes</v>
      </c>
      <c r="Q2213" s="133"/>
      <c r="T2213" s="144"/>
      <c r="U2213" s="145" t="str">
        <f>VLOOKUP(H2213,Stock_list!A:N,14,FALSE)</f>
        <v>OCT 20</v>
      </c>
    </row>
    <row r="2214" spans="1:21" ht="16.5" customHeight="1">
      <c r="A2214" s="159" t="s">
        <v>2744</v>
      </c>
      <c r="B2214" s="114" t="str">
        <f>VLOOKUP(A2214,'Data pick slip'!B:F,5,FALSE)</f>
        <v>KHJ-MC100-00</v>
      </c>
      <c r="F2214" s="157" t="s">
        <v>2773</v>
      </c>
      <c r="H2214" s="138">
        <v>752</v>
      </c>
      <c r="I2214" s="139" t="str">
        <f>VLOOKUP(H2214,Stock_list!A:R,18,FALSE)</f>
        <v>兴丰源</v>
      </c>
      <c r="J2214" s="139" t="str">
        <f>VLOOKUP(H2214,Stock_list!A:S,17,FALSE)</f>
        <v>C49SZX20200119SS</v>
      </c>
      <c r="K2214" s="51" t="str">
        <f>VLOOKUP(H2214,Stock_list!A:T,16,FALSE)</f>
        <v>RMB</v>
      </c>
      <c r="L2214" s="4">
        <v>44049</v>
      </c>
      <c r="M2214" s="140">
        <v>5</v>
      </c>
      <c r="P2214" s="4" t="str">
        <f>VLOOKUP(H2214,Stock_list!A:Y,25,FALSE)</f>
        <v>Yes</v>
      </c>
      <c r="Q2214" s="143"/>
      <c r="T2214" s="144"/>
      <c r="U2214" s="145" t="str">
        <f>VLOOKUP(H2214,Stock_list!A:N,14,FALSE)</f>
        <v>AUG 20</v>
      </c>
    </row>
    <row r="2215" spans="1:21" ht="16.5" customHeight="1">
      <c r="A2215" s="159" t="s">
        <v>2750</v>
      </c>
      <c r="B2215" s="114" t="str">
        <f>VLOOKUP(A2215,'Data pick slip'!B:F,5,FALSE)</f>
        <v>KHJ-MC600-00</v>
      </c>
      <c r="F2215" s="157" t="s">
        <v>2773</v>
      </c>
      <c r="I2215" s="139" t="s">
        <v>3094</v>
      </c>
      <c r="J2215" s="139" t="s">
        <v>3325</v>
      </c>
      <c r="K2215" s="51" t="s">
        <v>1246</v>
      </c>
      <c r="L2215" s="4">
        <v>44035</v>
      </c>
      <c r="M2215" s="140">
        <v>1</v>
      </c>
      <c r="P2215" s="4" t="s">
        <v>291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2750</v>
      </c>
      <c r="B2216" s="114" t="str">
        <f>VLOOKUP(A2216,'Data pick slip'!B:F,5,FALSE)</f>
        <v>KHJ-MC600-00</v>
      </c>
      <c r="F2216" s="157" t="s">
        <v>2773</v>
      </c>
      <c r="I2216" s="139" t="s">
        <v>3100</v>
      </c>
      <c r="J2216" s="139" t="s">
        <v>3326</v>
      </c>
      <c r="K2216" s="51" t="s">
        <v>1246</v>
      </c>
      <c r="L2216" s="4">
        <v>44043</v>
      </c>
      <c r="M2216" s="140">
        <v>2</v>
      </c>
      <c r="P2216" s="4" t="s">
        <v>291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2744</v>
      </c>
      <c r="B2217" s="114" t="str">
        <f>VLOOKUP(A2217,'Data pick slip'!B:F,5,FALSE)</f>
        <v>KHJ-MC100-00</v>
      </c>
      <c r="F2217" s="157" t="s">
        <v>2862</v>
      </c>
      <c r="H2217" s="138">
        <v>756</v>
      </c>
      <c r="I2217" s="139" t="str">
        <f>VLOOKUP(H2217,Stock_list!A:R,18,FALSE)</f>
        <v>金晟晖</v>
      </c>
      <c r="J2217" s="139" t="str">
        <f>VLOOKUP(H2217,Stock_list!A:S,17,FALSE)</f>
        <v>C49SZX20200099R1SS</v>
      </c>
      <c r="K2217" s="51" t="str">
        <f>VLOOKUP(H2217,Stock_list!A:T,16,FALSE)</f>
        <v>JPY</v>
      </c>
      <c r="L2217" s="4">
        <v>44138</v>
      </c>
      <c r="M2217" s="132">
        <v>29</v>
      </c>
      <c r="P2217" s="4" t="str">
        <f>VLOOKUP(H2217,Stock_list!A:Y,25,FALSE)</f>
        <v>Yes</v>
      </c>
      <c r="Q2217" s="143"/>
      <c r="T2217" s="144"/>
      <c r="U2217" s="145" t="str">
        <f>VLOOKUP(H2217,Stock_list!A:N,14,FALSE)</f>
        <v>NOV 20</v>
      </c>
    </row>
    <row r="2218" spans="1:21" ht="16.5" customHeight="1">
      <c r="A2218" s="159" t="s">
        <v>2747</v>
      </c>
      <c r="B2218" s="114" t="str">
        <f>VLOOKUP(A2218,'Data pick slip'!B:F,5,FALSE)</f>
        <v>KHJ-MC200-00</v>
      </c>
      <c r="F2218" s="157" t="s">
        <v>2862</v>
      </c>
      <c r="H2218" s="138">
        <v>756</v>
      </c>
      <c r="I2218" s="139" t="str">
        <f>VLOOKUP(H2218,Stock_list!A:R,18,FALSE)</f>
        <v>金晟晖</v>
      </c>
      <c r="J2218" s="139" t="str">
        <f>VLOOKUP(H2218,Stock_list!A:S,17,FALSE)</f>
        <v>C49SZX20200099R1SS</v>
      </c>
      <c r="K2218" s="51" t="str">
        <f>VLOOKUP(H2218,Stock_list!A:T,16,FALSE)</f>
        <v>JPY</v>
      </c>
      <c r="L2218" s="4">
        <v>44138</v>
      </c>
      <c r="M2218" s="132">
        <v>4</v>
      </c>
      <c r="P2218" s="4" t="str">
        <f>VLOOKUP(H2218,Stock_list!A:Y,25,FALSE)</f>
        <v>Yes</v>
      </c>
      <c r="Q2218" s="143"/>
      <c r="T2218" s="144"/>
      <c r="U2218" s="145" t="str">
        <f>VLOOKUP(H2218,Stock_list!A:N,14,FALSE)</f>
        <v>NOV 20</v>
      </c>
    </row>
    <row r="2219" spans="1:21" ht="16.5" customHeight="1">
      <c r="A2219" s="159" t="s">
        <v>2747</v>
      </c>
      <c r="B2219" s="114" t="str">
        <f>VLOOKUP(A2219,'Data pick slip'!B:F,5,FALSE)</f>
        <v>KHJ-MC200-00</v>
      </c>
      <c r="F2219" s="157" t="s">
        <v>2773</v>
      </c>
      <c r="H2219" s="138">
        <v>756</v>
      </c>
      <c r="I2219" s="139" t="str">
        <f>VLOOKUP(H2219,Stock_list!A:R,18,FALSE)</f>
        <v>金晟晖</v>
      </c>
      <c r="J2219" s="139" t="str">
        <f>VLOOKUP(H2219,Stock_list!A:S,17,FALSE)</f>
        <v>C49SZX20200099R1SS</v>
      </c>
      <c r="K2219" s="51" t="str">
        <f>VLOOKUP(H2219,Stock_list!A:T,16,FALSE)</f>
        <v>JPY</v>
      </c>
      <c r="L2219" s="4">
        <v>44138</v>
      </c>
      <c r="M2219" s="132">
        <v>2</v>
      </c>
      <c r="P2219" s="4" t="str">
        <f>VLOOKUP(H2219,Stock_list!A:Y,25,FALSE)</f>
        <v>Yes</v>
      </c>
      <c r="Q2219" s="143"/>
      <c r="S2219" s="123" t="s">
        <v>3004</v>
      </c>
      <c r="T2219" s="205" t="s">
        <v>3327</v>
      </c>
      <c r="U2219" s="145" t="str">
        <f>VLOOKUP(H2219,Stock_list!A:N,14,FALSE)</f>
        <v>NOV 20</v>
      </c>
    </row>
    <row r="2220" spans="1:21" ht="16.5" customHeight="1">
      <c r="A2220" s="159" t="s">
        <v>2748</v>
      </c>
      <c r="B2220" s="114" t="str">
        <f>VLOOKUP(A2220,'Data pick slip'!B:F,5,FALSE)</f>
        <v>KHJ-MC400-00</v>
      </c>
      <c r="F2220" s="157" t="s">
        <v>2862</v>
      </c>
      <c r="H2220" s="138">
        <v>756</v>
      </c>
      <c r="I2220" s="139" t="str">
        <f>VLOOKUP(H2220,Stock_list!A:R,18,FALSE)</f>
        <v>金晟晖</v>
      </c>
      <c r="J2220" s="139" t="str">
        <f>VLOOKUP(H2220,Stock_list!A:S,17,FALSE)</f>
        <v>C49SZX20200099R1SS</v>
      </c>
      <c r="K2220" s="51" t="str">
        <f>VLOOKUP(H2220,Stock_list!A:T,16,FALSE)</f>
        <v>JPY</v>
      </c>
      <c r="L2220" s="4">
        <v>44138</v>
      </c>
      <c r="M2220" s="132">
        <v>2</v>
      </c>
      <c r="P2220" s="4" t="str">
        <f>VLOOKUP(H2220,Stock_list!A:Y,25,FALSE)</f>
        <v>Yes</v>
      </c>
      <c r="Q2220" s="143"/>
      <c r="T2220" s="144"/>
      <c r="U2220" s="145" t="str">
        <f>VLOOKUP(H2220,Stock_list!A:N,14,FALSE)</f>
        <v>NOV 20</v>
      </c>
    </row>
    <row r="2221" spans="1:21" ht="16.5" customHeight="1">
      <c r="A2221" s="159" t="s">
        <v>2744</v>
      </c>
      <c r="B2221" s="114" t="str">
        <f>VLOOKUP(A2221,'Data pick slip'!B:F,5,FALSE)</f>
        <v>KHJ-MC100-00</v>
      </c>
      <c r="F2221" s="157" t="s">
        <v>2862</v>
      </c>
      <c r="H2221" s="138">
        <v>757</v>
      </c>
      <c r="I2221" s="139" t="str">
        <f>VLOOKUP(H2221,Stock_list!A:R,18,FALSE)</f>
        <v>豫龙辉</v>
      </c>
      <c r="J2221" s="139" t="str">
        <f>VLOOKUP(H2221,Stock_list!A:S,17,FALSE)</f>
        <v>C49SZX20200122JY</v>
      </c>
      <c r="K2221" s="51" t="str">
        <f>VLOOKUP(H2221,Stock_list!A:T,16,FALSE)</f>
        <v>JPY</v>
      </c>
      <c r="L2221" s="4">
        <v>44102</v>
      </c>
      <c r="M2221" s="132">
        <v>45</v>
      </c>
      <c r="P2221" s="4" t="str">
        <f>VLOOKUP(H2221,Stock_list!A:Y,25,FALSE)</f>
        <v>Yes</v>
      </c>
      <c r="Q2221" s="143"/>
      <c r="T2221" s="144"/>
      <c r="U2221" s="145" t="str">
        <f>VLOOKUP(H2221,Stock_list!A:N,14,FALSE)</f>
        <v>SEP 20</v>
      </c>
    </row>
    <row r="2222" spans="1:21" ht="16.5" customHeight="1">
      <c r="A2222" s="159" t="s">
        <v>2744</v>
      </c>
      <c r="B2222" s="114" t="str">
        <f>VLOOKUP(A2222,'Data pick slip'!B:F,5,FALSE)</f>
        <v>KHJ-MC100-00</v>
      </c>
      <c r="F2222" s="157" t="s">
        <v>2773</v>
      </c>
      <c r="H2222" s="138">
        <v>757</v>
      </c>
      <c r="I2222" s="139" t="str">
        <f>VLOOKUP(H2222,Stock_list!A:R,18,FALSE)</f>
        <v>豫龙辉</v>
      </c>
      <c r="J2222" s="139" t="str">
        <f>VLOOKUP(H2222,Stock_list!A:S,17,FALSE)</f>
        <v>C49SZX20200122JY</v>
      </c>
      <c r="K2222" s="51" t="str">
        <f>VLOOKUP(H2222,Stock_list!A:T,16,FALSE)</f>
        <v>JPY</v>
      </c>
      <c r="L2222" s="4"/>
      <c r="O2222" s="132">
        <f>10-10</f>
        <v>0</v>
      </c>
      <c r="P2222" s="4" t="str">
        <f>VLOOKUP(H2222,Stock_list!A:Y,25,FALSE)</f>
        <v>Yes</v>
      </c>
      <c r="Q2222" s="143"/>
      <c r="T2222" s="144"/>
      <c r="U2222" s="145" t="str">
        <f>VLOOKUP(H2222,Stock_list!A:N,14,FALSE)</f>
        <v>SEP 20</v>
      </c>
    </row>
    <row r="2223" spans="1:21" ht="16.5" customHeight="1">
      <c r="A2223" s="159" t="s">
        <v>2747</v>
      </c>
      <c r="B2223" s="114" t="str">
        <f>VLOOKUP(A2223,'Data pick slip'!B:F,5,FALSE)</f>
        <v>KHJ-MC200-00</v>
      </c>
      <c r="F2223" s="157" t="s">
        <v>2862</v>
      </c>
      <c r="H2223" s="138">
        <v>757</v>
      </c>
      <c r="I2223" s="139" t="str">
        <f>VLOOKUP(H2223,Stock_list!A:R,18,FALSE)</f>
        <v>豫龙辉</v>
      </c>
      <c r="J2223" s="139" t="str">
        <f>VLOOKUP(H2223,Stock_list!A:S,17,FALSE)</f>
        <v>C49SZX20200122JY</v>
      </c>
      <c r="K2223" s="51" t="str">
        <f>VLOOKUP(H2223,Stock_list!A:T,16,FALSE)</f>
        <v>JPY</v>
      </c>
      <c r="L2223" s="4">
        <v>44102</v>
      </c>
      <c r="M2223" s="140">
        <v>3</v>
      </c>
      <c r="P2223" s="4" t="str">
        <f>VLOOKUP(H2223,Stock_list!A:Y,25,FALSE)</f>
        <v>Yes</v>
      </c>
      <c r="Q2223" s="143"/>
      <c r="T2223" s="144"/>
      <c r="U2223" s="145" t="str">
        <f>VLOOKUP(H2223,Stock_list!A:N,14,FALSE)</f>
        <v>SEP 20</v>
      </c>
    </row>
    <row r="2224" spans="1:21" ht="16.5" customHeight="1">
      <c r="A2224" s="159" t="s">
        <v>2744</v>
      </c>
      <c r="B2224" s="114" t="str">
        <f>VLOOKUP(A2224,'Data pick slip'!B:F,5,FALSE)</f>
        <v>KHJ-MC100-00</v>
      </c>
      <c r="F2224" s="157" t="s">
        <v>2862</v>
      </c>
      <c r="H2224" s="138">
        <v>761</v>
      </c>
      <c r="I2224" s="139" t="str">
        <f>VLOOKUP(H2224,Stock_list!A:R,18,FALSE)</f>
        <v>斯迈</v>
      </c>
      <c r="J2224" s="139" t="str">
        <f>VLOOKUP(H2224,Stock_list!A:S,17,FALSE)</f>
        <v>C49SZX20200130JZ</v>
      </c>
      <c r="K2224" s="51" t="str">
        <f>VLOOKUP(H2224,Stock_list!A:T,16,FALSE)</f>
        <v>JPY</v>
      </c>
      <c r="L2224" s="4">
        <v>44118</v>
      </c>
      <c r="M2224" s="132">
        <v>100</v>
      </c>
      <c r="P2224" s="4" t="str">
        <f>VLOOKUP(H2224,Stock_list!A:Y,25,FALSE)</f>
        <v>Yes</v>
      </c>
      <c r="Q2224" s="143"/>
      <c r="T2224" s="144"/>
      <c r="U2224" s="145" t="str">
        <f>VLOOKUP(H2224,Stock_list!A:N,14,FALSE)</f>
        <v>OCT 20</v>
      </c>
    </row>
    <row r="2225" spans="1:21" ht="16.5" customHeight="1">
      <c r="A2225" s="159" t="s">
        <v>2744</v>
      </c>
      <c r="B2225" s="114" t="str">
        <f>VLOOKUP(A2225,'Data pick slip'!B:F,5,FALSE)</f>
        <v>KHJ-MC100-00</v>
      </c>
      <c r="F2225" s="157" t="s">
        <v>2862</v>
      </c>
      <c r="H2225" s="138">
        <v>761</v>
      </c>
      <c r="I2225" s="139" t="str">
        <f>VLOOKUP(H2225,Stock_list!A:R,18,FALSE)</f>
        <v>斯迈</v>
      </c>
      <c r="J2225" s="139" t="str">
        <f>VLOOKUP(H2225,Stock_list!A:S,17,FALSE)</f>
        <v>C49SZX20200130JZ</v>
      </c>
      <c r="K2225" s="51" t="str">
        <f>VLOOKUP(H2225,Stock_list!A:T,16,FALSE)</f>
        <v>JPY</v>
      </c>
      <c r="L2225" s="4">
        <v>44097</v>
      </c>
      <c r="M2225" s="140">
        <v>100</v>
      </c>
      <c r="P2225" s="4" t="str">
        <f>VLOOKUP(H2225,Stock_list!A:Y,25,FALSE)</f>
        <v>Yes</v>
      </c>
      <c r="Q2225" s="143"/>
      <c r="T2225" s="144"/>
      <c r="U2225" s="145" t="str">
        <f>VLOOKUP(H2225,Stock_list!A:N,14,FALSE)</f>
        <v>OCT 20</v>
      </c>
    </row>
    <row r="2226" spans="1:21" ht="16.5" customHeight="1">
      <c r="A2226" s="159" t="s">
        <v>2744</v>
      </c>
      <c r="B2226" s="114" t="str">
        <f>VLOOKUP(A2226,'Data pick slip'!B:F,5,FALSE)</f>
        <v>KHJ-MC100-00</v>
      </c>
      <c r="F2226" s="157" t="s">
        <v>2773</v>
      </c>
      <c r="H2226" s="138">
        <v>763</v>
      </c>
      <c r="I2226" s="139" t="str">
        <f>VLOOKUP(H2226,Stock_list!A:R,18,FALSE)</f>
        <v>刻锐</v>
      </c>
      <c r="J2226" s="139" t="str">
        <f>VLOOKUP(H2226,Stock_list!A:S,17,FALSE)</f>
        <v>C49SZX20200121JL</v>
      </c>
      <c r="K2226" s="51" t="str">
        <f>VLOOKUP(H2226,Stock_list!A:T,16,FALSE)</f>
        <v>RMB</v>
      </c>
      <c r="L2226" s="4">
        <v>44152</v>
      </c>
      <c r="M2226" s="132">
        <v>55</v>
      </c>
      <c r="P2226" s="4" t="str">
        <f>VLOOKUP(H2226,Stock_list!A:Y,25,FALSE)</f>
        <v>Yes</v>
      </c>
      <c r="Q2226" s="133"/>
      <c r="T2226" s="144"/>
      <c r="U2226" s="145" t="str">
        <f>VLOOKUP(H2226,Stock_list!A:N,14,FALSE)</f>
        <v>NOV 20</v>
      </c>
    </row>
    <row r="2227" spans="1:21" ht="16.5" customHeight="1">
      <c r="A2227" s="159" t="s">
        <v>2747</v>
      </c>
      <c r="B2227" s="114" t="str">
        <f>VLOOKUP(A2227,'Data pick slip'!B:F,5,FALSE)</f>
        <v>KHJ-MC200-00</v>
      </c>
      <c r="F2227" s="157" t="s">
        <v>2773</v>
      </c>
      <c r="H2227" s="138">
        <v>763</v>
      </c>
      <c r="I2227" s="139" t="str">
        <f>VLOOKUP(H2227,Stock_list!A:R,18,FALSE)</f>
        <v>刻锐</v>
      </c>
      <c r="J2227" s="139" t="str">
        <f>VLOOKUP(H2227,Stock_list!A:S,17,FALSE)</f>
        <v>C49SZX20200121JL</v>
      </c>
      <c r="K2227" s="51" t="str">
        <f>VLOOKUP(H2227,Stock_list!A:T,16,FALSE)</f>
        <v>RMB</v>
      </c>
      <c r="L2227" s="4">
        <v>44152</v>
      </c>
      <c r="M2227" s="132">
        <v>18</v>
      </c>
      <c r="P2227" s="4" t="str">
        <f>VLOOKUP(H2227,Stock_list!A:Y,25,FALSE)</f>
        <v>Yes</v>
      </c>
      <c r="Q2227" s="133"/>
      <c r="T2227" s="144"/>
      <c r="U2227" s="145" t="str">
        <f>VLOOKUP(H2227,Stock_list!A:N,14,FALSE)</f>
        <v>NOV 20</v>
      </c>
    </row>
    <row r="2228" spans="1:21" ht="16.5" customHeight="1">
      <c r="A2228" s="159" t="s">
        <v>2748</v>
      </c>
      <c r="B2228" s="114" t="str">
        <f>VLOOKUP(A2228,'Data pick slip'!B:F,5,FALSE)</f>
        <v>KHJ-MC400-00</v>
      </c>
      <c r="F2228" s="157" t="s">
        <v>2773</v>
      </c>
      <c r="H2228" s="138">
        <v>763</v>
      </c>
      <c r="I2228" s="139" t="str">
        <f>VLOOKUP(H2228,Stock_list!A:R,18,FALSE)</f>
        <v>刻锐</v>
      </c>
      <c r="J2228" s="139" t="str">
        <f>VLOOKUP(H2228,Stock_list!A:S,17,FALSE)</f>
        <v>C49SZX20200121JL</v>
      </c>
      <c r="K2228" s="51" t="str">
        <f>VLOOKUP(H2228,Stock_list!A:T,16,FALSE)</f>
        <v>RMB</v>
      </c>
      <c r="L2228" s="4">
        <v>44152</v>
      </c>
      <c r="M2228" s="132">
        <v>7</v>
      </c>
      <c r="P2228" s="4" t="str">
        <f>VLOOKUP(H2228,Stock_list!A:Y,25,FALSE)</f>
        <v>Yes</v>
      </c>
      <c r="Q2228" s="133"/>
      <c r="T2228" s="144"/>
      <c r="U2228" s="145" t="str">
        <f>VLOOKUP(H2228,Stock_list!A:N,14,FALSE)</f>
        <v>NOV 20</v>
      </c>
    </row>
    <row r="2229" spans="1:21" ht="16.5" customHeight="1">
      <c r="A2229" s="159" t="s">
        <v>2749</v>
      </c>
      <c r="B2229" s="114" t="str">
        <f>VLOOKUP(A2229,'Data pick slip'!B:F,5,FALSE)</f>
        <v>KHJ-MC500-00</v>
      </c>
      <c r="F2229" s="157" t="s">
        <v>2773</v>
      </c>
      <c r="H2229" s="138">
        <v>763</v>
      </c>
      <c r="I2229" s="139" t="str">
        <f>VLOOKUP(H2229,Stock_list!A:R,18,FALSE)</f>
        <v>刻锐</v>
      </c>
      <c r="J2229" s="139" t="str">
        <f>VLOOKUP(H2229,Stock_list!A:S,17,FALSE)</f>
        <v>C49SZX20200121JL</v>
      </c>
      <c r="K2229" s="51" t="str">
        <f>VLOOKUP(H2229,Stock_list!A:T,16,FALSE)</f>
        <v>RMB</v>
      </c>
      <c r="L2229" s="4">
        <v>44152</v>
      </c>
      <c r="M2229" s="132">
        <v>1</v>
      </c>
      <c r="P2229" s="4" t="str">
        <f>VLOOKUP(H2229,Stock_list!A:Y,25,FALSE)</f>
        <v>Yes</v>
      </c>
      <c r="Q2229" s="133"/>
      <c r="T2229" s="144"/>
      <c r="U2229" s="145" t="str">
        <f>VLOOKUP(H2229,Stock_list!A:N,14,FALSE)</f>
        <v>NOV 20</v>
      </c>
    </row>
    <row r="2230" spans="1:21" ht="16.5" customHeight="1">
      <c r="A2230" s="159" t="s">
        <v>2750</v>
      </c>
      <c r="B2230" s="114" t="str">
        <f>VLOOKUP(A2230,'Data pick slip'!B:F,5,FALSE)</f>
        <v>KHJ-MC600-00</v>
      </c>
      <c r="F2230" s="157" t="s">
        <v>2773</v>
      </c>
      <c r="H2230" s="138">
        <v>763</v>
      </c>
      <c r="I2230" s="139" t="str">
        <f>VLOOKUP(H2230,Stock_list!A:R,18,FALSE)</f>
        <v>刻锐</v>
      </c>
      <c r="J2230" s="139" t="str">
        <f>VLOOKUP(H2230,Stock_list!A:S,17,FALSE)</f>
        <v>C49SZX20200121JL</v>
      </c>
      <c r="K2230" s="51" t="str">
        <f>VLOOKUP(H2230,Stock_list!A:T,16,FALSE)</f>
        <v>RMB</v>
      </c>
      <c r="L2230" s="4">
        <v>44152</v>
      </c>
      <c r="M2230" s="132">
        <v>1</v>
      </c>
      <c r="P2230" s="4" t="str">
        <f>VLOOKUP(H2230,Stock_list!A:Y,25,FALSE)</f>
        <v>Yes</v>
      </c>
      <c r="Q2230" s="133"/>
      <c r="T2230" s="144"/>
      <c r="U2230" s="145" t="str">
        <f>VLOOKUP(H2230,Stock_list!A:N,14,FALSE)</f>
        <v>NOV 20</v>
      </c>
    </row>
    <row r="2231" spans="1:21" ht="16.5" customHeight="1">
      <c r="A2231" s="159" t="s">
        <v>2744</v>
      </c>
      <c r="B2231" s="114" t="str">
        <f>VLOOKUP(A2231,'Data pick slip'!B:F,5,FALSE)</f>
        <v>KHJ-MC100-00</v>
      </c>
      <c r="F2231" s="157" t="s">
        <v>2862</v>
      </c>
      <c r="H2231" s="138">
        <v>770</v>
      </c>
      <c r="I2231" s="139" t="str">
        <f>VLOOKUP(H2231,Stock_list!A:R,18,FALSE)</f>
        <v>博德越</v>
      </c>
      <c r="J2231" s="139" t="str">
        <f>VLOOKUP(H2231,Stock_list!A:S,17,FALSE)</f>
        <v>C49SZX20200078CY</v>
      </c>
      <c r="K2231" s="51" t="str">
        <f>VLOOKUP(H2231,Stock_list!A:T,16,FALSE)</f>
        <v>JPY</v>
      </c>
      <c r="L2231" s="4">
        <v>44118</v>
      </c>
      <c r="M2231" s="132">
        <v>140</v>
      </c>
      <c r="P2231" s="4" t="str">
        <f>VLOOKUP(H2231,Stock_list!A:Y,25,FALSE)</f>
        <v>Yes</v>
      </c>
      <c r="Q2231" s="133"/>
      <c r="T2231" s="144"/>
      <c r="U2231" s="145" t="str">
        <f>VLOOKUP(H2231,Stock_list!A:N,14,FALSE)</f>
        <v>OCT 20</v>
      </c>
    </row>
    <row r="2232" spans="1:21" ht="16.5" customHeight="1">
      <c r="A2232" s="159" t="s">
        <v>2744</v>
      </c>
      <c r="B2232" s="114" t="str">
        <f>VLOOKUP(A2232,'Data pick slip'!B:F,5,FALSE)</f>
        <v>KHJ-MC100-00</v>
      </c>
      <c r="F2232" s="157" t="s">
        <v>2862</v>
      </c>
      <c r="H2232" s="138">
        <v>770</v>
      </c>
      <c r="I2232" s="139" t="str">
        <f>VLOOKUP(H2232,Stock_list!A:R,18,FALSE)</f>
        <v>博德越</v>
      </c>
      <c r="J2232" s="139" t="str">
        <f>VLOOKUP(H2232,Stock_list!A:S,17,FALSE)</f>
        <v>C49SZX20200078CY</v>
      </c>
      <c r="K2232" s="51" t="str">
        <f>VLOOKUP(H2232,Stock_list!A:T,16,FALSE)</f>
        <v>JPY</v>
      </c>
      <c r="L2232" s="4">
        <v>44103</v>
      </c>
      <c r="M2232" s="132">
        <v>100</v>
      </c>
      <c r="P2232" s="4" t="str">
        <f>VLOOKUP(H2232,Stock_list!A:Y,25,FALSE)</f>
        <v>Yes</v>
      </c>
      <c r="Q2232" s="133"/>
      <c r="T2232" s="144"/>
      <c r="U2232" s="145" t="str">
        <f>VLOOKUP(H2232,Stock_list!A:N,14,FALSE)</f>
        <v>OCT 20</v>
      </c>
    </row>
    <row r="2233" spans="1:21" ht="16.5" customHeight="1">
      <c r="A2233" s="159" t="s">
        <v>2747</v>
      </c>
      <c r="B2233" s="114" t="str">
        <f>VLOOKUP(A2233,'Data pick slip'!B:F,5,FALSE)</f>
        <v>KHJ-MC200-00</v>
      </c>
      <c r="F2233" s="157" t="s">
        <v>2862</v>
      </c>
      <c r="H2233" s="138">
        <v>770</v>
      </c>
      <c r="I2233" s="139" t="str">
        <f>VLOOKUP(H2233,Stock_list!A:R,18,FALSE)</f>
        <v>博德越</v>
      </c>
      <c r="J2233" s="139" t="str">
        <f>VLOOKUP(H2233,Stock_list!A:S,17,FALSE)</f>
        <v>C49SZX20200078CY</v>
      </c>
      <c r="K2233" s="51" t="str">
        <f>VLOOKUP(H2233,Stock_list!A:T,16,FALSE)</f>
        <v>JPY</v>
      </c>
      <c r="L2233" s="4">
        <v>44103</v>
      </c>
      <c r="M2233" s="132">
        <v>30</v>
      </c>
      <c r="P2233" s="4" t="str">
        <f>VLOOKUP(H2233,Stock_list!A:Y,25,FALSE)</f>
        <v>Yes</v>
      </c>
      <c r="Q2233" s="133"/>
      <c r="T2233" s="144"/>
      <c r="U2233" s="145" t="str">
        <f>VLOOKUP(H2233,Stock_list!A:N,14,FALSE)</f>
        <v>OCT 20</v>
      </c>
    </row>
    <row r="2234" spans="1:21" ht="16.5" customHeight="1">
      <c r="A2234" s="159" t="s">
        <v>2748</v>
      </c>
      <c r="B2234" s="114" t="str">
        <f>VLOOKUP(A2234,'Data pick slip'!B:F,5,FALSE)</f>
        <v>KHJ-MC400-00</v>
      </c>
      <c r="F2234" s="157" t="s">
        <v>2862</v>
      </c>
      <c r="H2234" s="138">
        <v>770</v>
      </c>
      <c r="I2234" s="139" t="str">
        <f>VLOOKUP(H2234,Stock_list!A:R,18,FALSE)</f>
        <v>博德越</v>
      </c>
      <c r="J2234" s="139" t="str">
        <f>VLOOKUP(H2234,Stock_list!A:S,17,FALSE)</f>
        <v>C49SZX20200078CY</v>
      </c>
      <c r="K2234" s="51" t="str">
        <f>VLOOKUP(H2234,Stock_list!A:T,16,FALSE)</f>
        <v>JPY</v>
      </c>
      <c r="L2234" s="4">
        <v>44103</v>
      </c>
      <c r="M2234" s="132">
        <v>6</v>
      </c>
      <c r="P2234" s="4" t="str">
        <f>VLOOKUP(H2234,Stock_list!A:Y,25,FALSE)</f>
        <v>Yes</v>
      </c>
      <c r="Q2234" s="133"/>
      <c r="T2234" s="144"/>
      <c r="U2234" s="145" t="str">
        <f>VLOOKUP(H2234,Stock_list!A:N,14,FALSE)</f>
        <v>OCT 20</v>
      </c>
    </row>
    <row r="2235" spans="1:21" ht="16.5" customHeight="1">
      <c r="A2235" s="159" t="s">
        <v>2749</v>
      </c>
      <c r="B2235" s="114" t="str">
        <f>VLOOKUP(A2235,'Data pick slip'!B:F,5,FALSE)</f>
        <v>KHJ-MC500-00</v>
      </c>
      <c r="F2235" s="157" t="s">
        <v>2862</v>
      </c>
      <c r="H2235" s="138">
        <v>770</v>
      </c>
      <c r="I2235" s="139" t="str">
        <f>VLOOKUP(H2235,Stock_list!A:R,18,FALSE)</f>
        <v>博德越</v>
      </c>
      <c r="J2235" s="139" t="str">
        <f>VLOOKUP(H2235,Stock_list!A:S,17,FALSE)</f>
        <v>C49SZX20200078CY</v>
      </c>
      <c r="K2235" s="51" t="str">
        <f>VLOOKUP(H2235,Stock_list!A:T,16,FALSE)</f>
        <v>JPY</v>
      </c>
      <c r="L2235" s="4">
        <v>44103</v>
      </c>
      <c r="M2235" s="132">
        <v>3</v>
      </c>
      <c r="P2235" s="4" t="str">
        <f>VLOOKUP(H2235,Stock_list!A:Y,25,FALSE)</f>
        <v>Yes</v>
      </c>
      <c r="Q2235" s="133"/>
      <c r="T2235" s="144"/>
      <c r="U2235" s="145" t="str">
        <f>VLOOKUP(H2235,Stock_list!A:N,14,FALSE)</f>
        <v>OCT 20</v>
      </c>
    </row>
    <row r="2236" spans="1:21" ht="16.5" customHeight="1">
      <c r="A2236" s="159" t="s">
        <v>2744</v>
      </c>
      <c r="B2236" s="114" t="str">
        <f>VLOOKUP(A2236,'Data pick slip'!B:F,5,FALSE)</f>
        <v>KHJ-MC100-00</v>
      </c>
      <c r="F2236" s="157" t="s">
        <v>2773</v>
      </c>
      <c r="H2236" s="138">
        <v>771</v>
      </c>
      <c r="I2236" s="139" t="str">
        <f>VLOOKUP(H2236,Stock_list!A:R,18,FALSE)</f>
        <v>芯联鑫</v>
      </c>
      <c r="J2236" s="139" t="str">
        <f>VLOOKUP(H2236,Stock_list!A:S,17,FALSE)</f>
        <v>C49SZX20200126JY</v>
      </c>
      <c r="K2236" s="51" t="str">
        <f>VLOOKUP(H2236,Stock_list!A:T,16,FALSE)</f>
        <v>RMB</v>
      </c>
      <c r="L2236" s="4">
        <v>44075</v>
      </c>
      <c r="M2236" s="140">
        <v>20</v>
      </c>
      <c r="P2236" s="4" t="str">
        <f>VLOOKUP(H2236,Stock_list!A:Y,25,FALSE)</f>
        <v>Yes</v>
      </c>
      <c r="Q2236" s="133"/>
      <c r="T2236" s="144"/>
      <c r="U2236" s="145" t="str">
        <f>VLOOKUP(H2236,Stock_list!A:N,14,FALSE)</f>
        <v>SEP 20</v>
      </c>
    </row>
    <row r="2237" spans="1:21" ht="16.5" customHeight="1">
      <c r="A2237" s="159" t="s">
        <v>2747</v>
      </c>
      <c r="B2237" s="114" t="str">
        <f>VLOOKUP(A2237,'Data pick slip'!B:F,5,FALSE)</f>
        <v>KHJ-MC200-00</v>
      </c>
      <c r="F2237" s="157" t="s">
        <v>2773</v>
      </c>
      <c r="H2237" s="138">
        <v>771</v>
      </c>
      <c r="I2237" s="139" t="str">
        <f>VLOOKUP(H2237,Stock_list!A:R,18,FALSE)</f>
        <v>芯联鑫</v>
      </c>
      <c r="J2237" s="139" t="str">
        <f>VLOOKUP(H2237,Stock_list!A:S,17,FALSE)</f>
        <v>C49SZX20200126JY</v>
      </c>
      <c r="K2237" s="51" t="str">
        <f>VLOOKUP(H2237,Stock_list!A:T,16,FALSE)</f>
        <v>RMB</v>
      </c>
      <c r="L2237" s="4">
        <v>44075</v>
      </c>
      <c r="M2237" s="140">
        <v>10</v>
      </c>
      <c r="P2237" s="4" t="str">
        <f>VLOOKUP(H2237,Stock_list!A:Y,25,FALSE)</f>
        <v>Yes</v>
      </c>
      <c r="Q2237" s="133"/>
      <c r="T2237" s="144"/>
      <c r="U2237" s="145" t="str">
        <f>VLOOKUP(H2237,Stock_list!A:N,14,FALSE)</f>
        <v>SEP 20</v>
      </c>
    </row>
    <row r="2238" spans="1:21" ht="16.5" customHeight="1">
      <c r="A2238" s="159" t="s">
        <v>2748</v>
      </c>
      <c r="B2238" s="114" t="str">
        <f>VLOOKUP(A2238,'Data pick slip'!B:F,5,FALSE)</f>
        <v>KHJ-MC400-00</v>
      </c>
      <c r="F2238" s="157" t="s">
        <v>2773</v>
      </c>
      <c r="H2238" s="138">
        <v>771</v>
      </c>
      <c r="I2238" s="139" t="str">
        <f>VLOOKUP(H2238,Stock_list!A:R,18,FALSE)</f>
        <v>芯联鑫</v>
      </c>
      <c r="J2238" s="139" t="str">
        <f>VLOOKUP(H2238,Stock_list!A:S,17,FALSE)</f>
        <v>C49SZX20200126JY</v>
      </c>
      <c r="K2238" s="51" t="str">
        <f>VLOOKUP(H2238,Stock_list!A:T,16,FALSE)</f>
        <v>RMB</v>
      </c>
      <c r="L2238" s="4">
        <v>44075</v>
      </c>
      <c r="M2238" s="140">
        <v>1</v>
      </c>
      <c r="P2238" s="4" t="str">
        <f>VLOOKUP(H2238,Stock_list!A:Y,25,FALSE)</f>
        <v>Yes</v>
      </c>
      <c r="Q2238" s="133"/>
      <c r="T2238" s="144"/>
      <c r="U2238" s="145" t="str">
        <f>VLOOKUP(H2238,Stock_list!A:N,14,FALSE)</f>
        <v>SEP 20</v>
      </c>
    </row>
    <row r="2239" spans="1:21" ht="16.5" customHeight="1">
      <c r="A2239" s="159" t="s">
        <v>2744</v>
      </c>
      <c r="B2239" s="114" t="str">
        <f>VLOOKUP(A2239,'Data pick slip'!B:F,5,FALSE)</f>
        <v>KHJ-MC100-00</v>
      </c>
      <c r="F2239" s="157" t="s">
        <v>2773</v>
      </c>
      <c r="H2239" s="138">
        <v>771</v>
      </c>
      <c r="I2239" s="139" t="str">
        <f>VLOOKUP(H2239,Stock_list!A:R,18,FALSE)</f>
        <v>芯联鑫</v>
      </c>
      <c r="J2239" s="139" t="str">
        <f>VLOOKUP(H2239,Stock_list!A:S,17,FALSE)</f>
        <v>C49SZX20200126JY</v>
      </c>
      <c r="K2239" s="51" t="str">
        <f>VLOOKUP(H2239,Stock_list!A:T,16,FALSE)</f>
        <v>RMB</v>
      </c>
      <c r="L2239" s="4">
        <v>44103</v>
      </c>
      <c r="M2239" s="132">
        <v>20</v>
      </c>
      <c r="P2239" s="4" t="str">
        <f>VLOOKUP(H2239,Stock_list!A:Y,25,FALSE)</f>
        <v>Yes</v>
      </c>
      <c r="Q2239" s="133"/>
      <c r="T2239" s="144"/>
      <c r="U2239" s="145" t="str">
        <f>VLOOKUP(H2239,Stock_list!A:N,14,FALSE)</f>
        <v>SEP 20</v>
      </c>
    </row>
    <row r="2240" spans="1:21" ht="16.5" customHeight="1">
      <c r="A2240" s="159" t="s">
        <v>2747</v>
      </c>
      <c r="B2240" s="114" t="str">
        <f>VLOOKUP(A2240,'Data pick slip'!B:F,5,FALSE)</f>
        <v>KHJ-MC200-00</v>
      </c>
      <c r="F2240" s="157" t="s">
        <v>2773</v>
      </c>
      <c r="H2240" s="138">
        <v>771</v>
      </c>
      <c r="I2240" s="139" t="str">
        <f>VLOOKUP(H2240,Stock_list!A:R,18,FALSE)</f>
        <v>芯联鑫</v>
      </c>
      <c r="J2240" s="139" t="str">
        <f>VLOOKUP(H2240,Stock_list!A:S,17,FALSE)</f>
        <v>C49SZX20200126JY</v>
      </c>
      <c r="K2240" s="51" t="str">
        <f>VLOOKUP(H2240,Stock_list!A:T,16,FALSE)</f>
        <v>RMB</v>
      </c>
      <c r="L2240" s="4">
        <v>44103</v>
      </c>
      <c r="M2240" s="132">
        <v>10</v>
      </c>
      <c r="P2240" s="4" t="str">
        <f>VLOOKUP(H2240,Stock_list!A:Y,25,FALSE)</f>
        <v>Yes</v>
      </c>
      <c r="Q2240" s="133"/>
      <c r="T2240" s="144"/>
      <c r="U2240" s="145" t="str">
        <f>VLOOKUP(H2240,Stock_list!A:N,14,FALSE)</f>
        <v>SEP 20</v>
      </c>
    </row>
    <row r="2241" spans="1:21" ht="16.5" customHeight="1">
      <c r="A2241" s="159" t="s">
        <v>2748</v>
      </c>
      <c r="B2241" s="114" t="str">
        <f>VLOOKUP(A2241,'Data pick slip'!B:F,5,FALSE)</f>
        <v>KHJ-MC400-00</v>
      </c>
      <c r="F2241" s="157" t="s">
        <v>2773</v>
      </c>
      <c r="H2241" s="138">
        <v>771</v>
      </c>
      <c r="I2241" s="139" t="str">
        <f>VLOOKUP(H2241,Stock_list!A:R,18,FALSE)</f>
        <v>芯联鑫</v>
      </c>
      <c r="J2241" s="139" t="str">
        <f>VLOOKUP(H2241,Stock_list!A:S,17,FALSE)</f>
        <v>C49SZX20200126JY</v>
      </c>
      <c r="K2241" s="51" t="str">
        <f>VLOOKUP(H2241,Stock_list!A:T,16,FALSE)</f>
        <v>RMB</v>
      </c>
      <c r="L2241" s="4">
        <v>44103</v>
      </c>
      <c r="M2241" s="132">
        <v>1</v>
      </c>
      <c r="P2241" s="4" t="str">
        <f>VLOOKUP(H2241,Stock_list!A:Y,25,FALSE)</f>
        <v>Yes</v>
      </c>
      <c r="Q2241" s="133"/>
      <c r="T2241" s="144"/>
      <c r="U2241" s="145" t="str">
        <f>VLOOKUP(H2241,Stock_list!A:N,14,FALSE)</f>
        <v>SEP 20</v>
      </c>
    </row>
    <row r="2242" spans="1:21" ht="16.5" customHeight="1">
      <c r="A2242" s="159" t="s">
        <v>2744</v>
      </c>
      <c r="B2242" s="114" t="str">
        <f>VLOOKUP(A2242,'Data pick slip'!B:F,5,FALSE)</f>
        <v>KHJ-MC100-00</v>
      </c>
      <c r="F2242" s="157" t="s">
        <v>2773</v>
      </c>
      <c r="I2242" s="139" t="s">
        <v>3106</v>
      </c>
      <c r="J2242" s="139" t="s">
        <v>3328</v>
      </c>
      <c r="K2242" s="51" t="s">
        <v>1246</v>
      </c>
      <c r="L2242" s="4">
        <v>44053</v>
      </c>
      <c r="M2242" s="140">
        <v>2</v>
      </c>
      <c r="P2242" s="4" t="s">
        <v>291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2747</v>
      </c>
      <c r="B2243" s="114" t="str">
        <f>VLOOKUP(A2243,'Data pick slip'!B:F,5,FALSE)</f>
        <v>KHJ-MC200-00</v>
      </c>
      <c r="F2243" s="157" t="s">
        <v>2773</v>
      </c>
      <c r="I2243" s="139" t="s">
        <v>3106</v>
      </c>
      <c r="J2243" s="139" t="s">
        <v>3329</v>
      </c>
      <c r="K2243" s="51" t="s">
        <v>1246</v>
      </c>
      <c r="L2243" s="4">
        <v>44053</v>
      </c>
      <c r="M2243" s="140">
        <v>3</v>
      </c>
      <c r="P2243" s="4" t="s">
        <v>291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2755</v>
      </c>
      <c r="B2244" s="114" t="str">
        <f>VLOOKUP(A2244,'Data pick slip'!B:F,5,FALSE)</f>
        <v>KLJ-MC100-00</v>
      </c>
      <c r="F2244" s="157" t="s">
        <v>2773</v>
      </c>
      <c r="I2244" s="139" t="s">
        <v>3094</v>
      </c>
      <c r="J2244" s="139" t="s">
        <v>3330</v>
      </c>
      <c r="K2244" s="51" t="s">
        <v>1246</v>
      </c>
      <c r="L2244" s="4">
        <v>44053</v>
      </c>
      <c r="M2244" s="140">
        <v>40</v>
      </c>
      <c r="P2244" s="4" t="s">
        <v>291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2744</v>
      </c>
      <c r="B2245" s="114" t="str">
        <f>VLOOKUP(A2245,'Data pick slip'!B:F,5,FALSE)</f>
        <v>KHJ-MC100-00</v>
      </c>
      <c r="F2245" s="157" t="s">
        <v>2773</v>
      </c>
      <c r="I2245" s="139" t="s">
        <v>3094</v>
      </c>
      <c r="J2245" s="139" t="s">
        <v>3331</v>
      </c>
      <c r="K2245" s="51" t="s">
        <v>1246</v>
      </c>
      <c r="L2245" s="4">
        <v>44056</v>
      </c>
      <c r="M2245" s="140">
        <v>20</v>
      </c>
      <c r="P2245" s="4" t="s">
        <v>291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2744</v>
      </c>
      <c r="B2246" s="114" t="str">
        <f>VLOOKUP(A2246,'Data pick slip'!B:F,5,FALSE)</f>
        <v>KHJ-MC100-00</v>
      </c>
      <c r="F2246" s="157" t="s">
        <v>2862</v>
      </c>
      <c r="I2246" s="139" t="s">
        <v>3016</v>
      </c>
      <c r="J2246" s="139" t="s">
        <v>3332</v>
      </c>
      <c r="K2246" s="51" t="s">
        <v>1246</v>
      </c>
      <c r="L2246" s="4">
        <v>44039</v>
      </c>
      <c r="M2246" s="140">
        <v>50</v>
      </c>
      <c r="P2246" s="4" t="s">
        <v>291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2747</v>
      </c>
      <c r="B2247" s="114" t="str">
        <f>VLOOKUP(A2247,'Data pick slip'!B:F,5,FALSE)</f>
        <v>KHJ-MC200-00</v>
      </c>
      <c r="F2247" s="157" t="s">
        <v>2862</v>
      </c>
      <c r="I2247" s="139" t="s">
        <v>3016</v>
      </c>
      <c r="J2247" s="139" t="s">
        <v>3332</v>
      </c>
      <c r="K2247" s="51" t="s">
        <v>1246</v>
      </c>
      <c r="L2247" s="4">
        <v>44039</v>
      </c>
      <c r="M2247" s="140">
        <v>50</v>
      </c>
      <c r="P2247" s="4" t="s">
        <v>291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2748</v>
      </c>
      <c r="B2248" s="114" t="str">
        <f>VLOOKUP(A2248,'Data pick slip'!B:F,5,FALSE)</f>
        <v>KHJ-MC400-00</v>
      </c>
      <c r="F2248" s="157" t="s">
        <v>2862</v>
      </c>
      <c r="I2248" s="139" t="s">
        <v>3016</v>
      </c>
      <c r="J2248" s="139" t="s">
        <v>3332</v>
      </c>
      <c r="K2248" s="51" t="s">
        <v>1246</v>
      </c>
      <c r="L2248" s="4">
        <v>44039</v>
      </c>
      <c r="M2248" s="140">
        <v>10</v>
      </c>
      <c r="P2248" s="4" t="s">
        <v>291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2749</v>
      </c>
      <c r="B2249" s="114" t="str">
        <f>VLOOKUP(A2249,'Data pick slip'!B:F,5,FALSE)</f>
        <v>KHJ-MC500-00</v>
      </c>
      <c r="F2249" s="157" t="s">
        <v>2862</v>
      </c>
      <c r="I2249" s="139" t="s">
        <v>3016</v>
      </c>
      <c r="J2249" s="139" t="s">
        <v>3332</v>
      </c>
      <c r="K2249" s="51" t="s">
        <v>1246</v>
      </c>
      <c r="L2249" s="4">
        <v>44039</v>
      </c>
      <c r="M2249" s="140">
        <v>5</v>
      </c>
      <c r="P2249" s="4" t="s">
        <v>291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2744</v>
      </c>
      <c r="B2250" s="114" t="str">
        <f>VLOOKUP(A2250,'Data pick slip'!B:F,5,FALSE)</f>
        <v>KHJ-MC100-00</v>
      </c>
      <c r="F2250" s="157" t="s">
        <v>2862</v>
      </c>
      <c r="I2250" s="139" t="s">
        <v>3016</v>
      </c>
      <c r="J2250" s="139" t="s">
        <v>3333</v>
      </c>
      <c r="K2250" s="51" t="s">
        <v>1246</v>
      </c>
      <c r="L2250" s="4">
        <v>44048</v>
      </c>
      <c r="M2250" s="140">
        <v>150</v>
      </c>
      <c r="P2250" s="4" t="s">
        <v>291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2750</v>
      </c>
      <c r="B2251" s="114" t="str">
        <f>VLOOKUP(A2251,'Data pick slip'!B:F,5,FALSE)</f>
        <v>KHJ-MC600-00</v>
      </c>
      <c r="F2251" s="157" t="s">
        <v>2773</v>
      </c>
      <c r="I2251" s="139" t="s">
        <v>3094</v>
      </c>
      <c r="J2251" s="139" t="s">
        <v>3334</v>
      </c>
      <c r="K2251" s="51" t="s">
        <v>1246</v>
      </c>
      <c r="L2251" s="4">
        <v>44057</v>
      </c>
      <c r="M2251" s="140">
        <v>1</v>
      </c>
      <c r="P2251" s="4" t="s">
        <v>291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2747</v>
      </c>
      <c r="B2252" s="114" t="str">
        <f>VLOOKUP(A2252,'Data pick slip'!B:F,5,FALSE)</f>
        <v>KHJ-MC200-00</v>
      </c>
      <c r="F2252" s="157" t="s">
        <v>2773</v>
      </c>
      <c r="I2252" s="139" t="s">
        <v>3094</v>
      </c>
      <c r="J2252" s="139" t="s">
        <v>3335</v>
      </c>
      <c r="K2252" s="51" t="s">
        <v>1246</v>
      </c>
      <c r="L2252" s="4">
        <v>44057</v>
      </c>
      <c r="M2252" s="140">
        <v>5</v>
      </c>
      <c r="P2252" s="4" t="s">
        <v>291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2744</v>
      </c>
      <c r="B2253" s="114" t="str">
        <f>VLOOKUP(A2253,'Data pick slip'!B:F,5,FALSE)</f>
        <v>KHJ-MC100-00</v>
      </c>
      <c r="F2253" s="157" t="s">
        <v>2773</v>
      </c>
      <c r="H2253" s="138">
        <v>773</v>
      </c>
      <c r="I2253" s="139" t="str">
        <f>VLOOKUP(H2253,Stock_list!A:R,18,FALSE)</f>
        <v>海星</v>
      </c>
      <c r="J2253" s="139" t="str">
        <f>VLOOKUP(H2253,Stock_list!A:S,17,FALSE)</f>
        <v>C49SZX20200123DZ</v>
      </c>
      <c r="K2253" s="51" t="str">
        <f>VLOOKUP(H2253,Stock_list!A:T,16,FALSE)</f>
        <v>RMB</v>
      </c>
      <c r="L2253" s="4">
        <v>44079</v>
      </c>
      <c r="M2253" s="132">
        <v>50</v>
      </c>
      <c r="P2253" s="4" t="str">
        <f>VLOOKUP(H2253,Stock_list!A:Y,25,FALSE)</f>
        <v>Yes</v>
      </c>
      <c r="Q2253" s="133"/>
      <c r="T2253" s="144"/>
      <c r="U2253" s="145" t="str">
        <f>VLOOKUP(H2253,Stock_list!A:N,14,FALSE)</f>
        <v>SEP 20</v>
      </c>
    </row>
    <row r="2254" spans="1:21" ht="16.5" customHeight="1">
      <c r="A2254" s="159" t="s">
        <v>2747</v>
      </c>
      <c r="B2254" s="114" t="str">
        <f>VLOOKUP(A2254,'Data pick slip'!B:F,5,FALSE)</f>
        <v>KHJ-MC200-00</v>
      </c>
      <c r="F2254" s="157" t="s">
        <v>2773</v>
      </c>
      <c r="H2254" s="138">
        <v>773</v>
      </c>
      <c r="I2254" s="139" t="str">
        <f>VLOOKUP(H2254,Stock_list!A:R,18,FALSE)</f>
        <v>海星</v>
      </c>
      <c r="J2254" s="139" t="str">
        <f>VLOOKUP(H2254,Stock_list!A:S,17,FALSE)</f>
        <v>C49SZX20200123DZ</v>
      </c>
      <c r="K2254" s="51" t="str">
        <f>VLOOKUP(H2254,Stock_list!A:T,16,FALSE)</f>
        <v>RMB</v>
      </c>
      <c r="L2254" s="4">
        <v>44079</v>
      </c>
      <c r="M2254" s="132">
        <v>20</v>
      </c>
      <c r="P2254" s="4" t="str">
        <f>VLOOKUP(H2254,Stock_list!A:Y,25,FALSE)</f>
        <v>Yes</v>
      </c>
      <c r="Q2254" s="133"/>
      <c r="T2254" s="144"/>
      <c r="U2254" s="145" t="str">
        <f>VLOOKUP(H2254,Stock_list!A:N,14,FALSE)</f>
        <v>SEP 20</v>
      </c>
    </row>
    <row r="2255" spans="1:21" ht="16.5" customHeight="1">
      <c r="A2255" s="159" t="s">
        <v>2748</v>
      </c>
      <c r="B2255" s="114" t="str">
        <f>VLOOKUP(A2255,'Data pick slip'!B:F,5,FALSE)</f>
        <v>KHJ-MC400-00</v>
      </c>
      <c r="F2255" s="157" t="s">
        <v>2773</v>
      </c>
      <c r="H2255" s="138">
        <v>773</v>
      </c>
      <c r="I2255" s="139" t="str">
        <f>VLOOKUP(H2255,Stock_list!A:R,18,FALSE)</f>
        <v>海星</v>
      </c>
      <c r="J2255" s="139" t="str">
        <f>VLOOKUP(H2255,Stock_list!A:S,17,FALSE)</f>
        <v>C49SZX20200123DZ</v>
      </c>
      <c r="K2255" s="51" t="str">
        <f>VLOOKUP(H2255,Stock_list!A:T,16,FALSE)</f>
        <v>RMB</v>
      </c>
      <c r="L2255" s="4">
        <v>44079</v>
      </c>
      <c r="M2255" s="132">
        <v>10</v>
      </c>
      <c r="P2255" s="4" t="str">
        <f>VLOOKUP(H2255,Stock_list!A:Y,25,FALSE)</f>
        <v>Yes</v>
      </c>
      <c r="Q2255" s="133"/>
      <c r="T2255" s="144"/>
      <c r="U2255" s="145" t="str">
        <f>VLOOKUP(H2255,Stock_list!A:N,14,FALSE)</f>
        <v>SEP 20</v>
      </c>
    </row>
    <row r="2256" spans="1:21" ht="16.5" customHeight="1">
      <c r="A2256" s="159" t="s">
        <v>2749</v>
      </c>
      <c r="B2256" s="114" t="str">
        <f>VLOOKUP(A2256,'Data pick slip'!B:F,5,FALSE)</f>
        <v>KHJ-MC500-00</v>
      </c>
      <c r="F2256" s="157" t="s">
        <v>2773</v>
      </c>
      <c r="H2256" s="138">
        <v>773</v>
      </c>
      <c r="I2256" s="139" t="str">
        <f>VLOOKUP(H2256,Stock_list!A:R,18,FALSE)</f>
        <v>海星</v>
      </c>
      <c r="J2256" s="139" t="str">
        <f>VLOOKUP(H2256,Stock_list!A:S,17,FALSE)</f>
        <v>C49SZX20200123DZ</v>
      </c>
      <c r="K2256" s="51" t="str">
        <f>VLOOKUP(H2256,Stock_list!A:T,16,FALSE)</f>
        <v>RMB</v>
      </c>
      <c r="L2256" s="4">
        <v>44079</v>
      </c>
      <c r="M2256" s="132">
        <v>2</v>
      </c>
      <c r="P2256" s="4" t="str">
        <f>VLOOKUP(H2256,Stock_list!A:Y,25,FALSE)</f>
        <v>Yes</v>
      </c>
      <c r="Q2256" s="133"/>
      <c r="T2256" s="144"/>
      <c r="U2256" s="145" t="str">
        <f>VLOOKUP(H2256,Stock_list!A:N,14,FALSE)</f>
        <v>SEP 20</v>
      </c>
    </row>
    <row r="2257" spans="1:21" ht="16.5" customHeight="1">
      <c r="A2257" s="159" t="s">
        <v>2750</v>
      </c>
      <c r="B2257" s="114" t="str">
        <f>VLOOKUP(A2257,'Data pick slip'!B:F,5,FALSE)</f>
        <v>KHJ-MC600-00</v>
      </c>
      <c r="F2257" s="157" t="s">
        <v>2773</v>
      </c>
      <c r="H2257" s="138">
        <v>773</v>
      </c>
      <c r="I2257" s="139" t="str">
        <f>VLOOKUP(H2257,Stock_list!A:R,18,FALSE)</f>
        <v>海星</v>
      </c>
      <c r="J2257" s="139" t="str">
        <f>VLOOKUP(H2257,Stock_list!A:S,17,FALSE)</f>
        <v>C49SZX20200123DZ</v>
      </c>
      <c r="K2257" s="51" t="str">
        <f>VLOOKUP(H2257,Stock_list!A:T,16,FALSE)</f>
        <v>RMB</v>
      </c>
      <c r="L2257" s="4">
        <v>44079</v>
      </c>
      <c r="M2257" s="132">
        <v>2</v>
      </c>
      <c r="P2257" s="4" t="str">
        <f>VLOOKUP(H2257,Stock_list!A:Y,25,FALSE)</f>
        <v>Yes</v>
      </c>
      <c r="Q2257" s="133"/>
      <c r="T2257" s="144"/>
      <c r="U2257" s="145" t="str">
        <f>VLOOKUP(H2257,Stock_list!A:N,14,FALSE)</f>
        <v>SEP 20</v>
      </c>
    </row>
    <row r="2258" spans="1:21" ht="16.5" customHeight="1">
      <c r="A2258" s="159" t="s">
        <v>2747</v>
      </c>
      <c r="B2258" s="114" t="str">
        <f>VLOOKUP(A2258,'Data pick slip'!B:F,5,FALSE)</f>
        <v>KHJ-MC200-00</v>
      </c>
      <c r="F2258" s="157" t="s">
        <v>2862</v>
      </c>
      <c r="H2258" s="138">
        <v>787</v>
      </c>
      <c r="I2258" s="139" t="str">
        <f>VLOOKUP(H2258,Stock_list!A:R,18,FALSE)</f>
        <v>斯迈</v>
      </c>
      <c r="J2258" s="139" t="str">
        <f>VLOOKUP(H2258,Stock_list!A:S,17,FALSE)</f>
        <v>C49SZX20200138JZ</v>
      </c>
      <c r="K2258" s="51" t="str">
        <f>VLOOKUP(H2258,Stock_list!A:T,16,FALSE)</f>
        <v>JPY</v>
      </c>
      <c r="L2258" s="4">
        <v>44139</v>
      </c>
      <c r="M2258" s="140">
        <v>17</v>
      </c>
      <c r="P2258" s="4" t="str">
        <f>VLOOKUP(H2258,Stock_list!A:Y,25,FALSE)</f>
        <v>Yes</v>
      </c>
      <c r="Q2258" s="143"/>
      <c r="T2258" s="144"/>
      <c r="U2258" s="145" t="str">
        <f>VLOOKUP(H2258,Stock_list!A:N,14,FALSE)</f>
        <v>NOV 20</v>
      </c>
    </row>
    <row r="2259" spans="1:21" ht="16.5" customHeight="1">
      <c r="A2259" s="159" t="s">
        <v>2747</v>
      </c>
      <c r="B2259" s="114" t="str">
        <f>VLOOKUP(A2259,'Data pick slip'!B:F,5,FALSE)</f>
        <v>KHJ-MC200-00</v>
      </c>
      <c r="F2259" s="157" t="s">
        <v>2862</v>
      </c>
      <c r="H2259" s="138">
        <v>787</v>
      </c>
      <c r="I2259" s="139" t="str">
        <f>VLOOKUP(H2259,Stock_list!A:R,18,FALSE)</f>
        <v>斯迈</v>
      </c>
      <c r="J2259" s="139" t="str">
        <f>VLOOKUP(H2259,Stock_list!A:S,17,FALSE)</f>
        <v>C49SZX20200138JZ</v>
      </c>
      <c r="K2259" s="51" t="str">
        <f>VLOOKUP(H2259,Stock_list!A:T,16,FALSE)</f>
        <v>JPY</v>
      </c>
      <c r="L2259" s="4">
        <v>44139</v>
      </c>
      <c r="M2259" s="140">
        <v>3</v>
      </c>
      <c r="P2259" s="4" t="str">
        <f>VLOOKUP(H2259,Stock_list!A:Y,25,FALSE)</f>
        <v>Yes</v>
      </c>
      <c r="Q2259" s="143"/>
      <c r="T2259" s="144"/>
      <c r="U2259" s="145" t="str">
        <f>VLOOKUP(H2259,Stock_list!A:N,14,FALSE)</f>
        <v>NOV 20</v>
      </c>
    </row>
    <row r="2260" spans="1:21" ht="16.5" customHeight="1">
      <c r="A2260" s="159" t="s">
        <v>2747</v>
      </c>
      <c r="B2260" s="114" t="str">
        <f>VLOOKUP(A2260,'Data pick slip'!B:F,5,FALSE)</f>
        <v>KHJ-MC200-00</v>
      </c>
      <c r="F2260" s="157" t="s">
        <v>2773</v>
      </c>
      <c r="H2260" s="138">
        <v>787</v>
      </c>
      <c r="I2260" s="139" t="str">
        <f>VLOOKUP(H2260,Stock_list!A:R,18,FALSE)</f>
        <v>斯迈</v>
      </c>
      <c r="J2260" s="139" t="str">
        <f>VLOOKUP(H2260,Stock_list!A:S,17,FALSE)</f>
        <v>C49SZX20200138JZ</v>
      </c>
      <c r="K2260" s="51" t="str">
        <f>VLOOKUP(H2260,Stock_list!A:T,16,FALSE)</f>
        <v>JPY</v>
      </c>
      <c r="L2260" s="4">
        <v>44133</v>
      </c>
      <c r="O2260" s="132">
        <f>5-5</f>
        <v>0</v>
      </c>
      <c r="P2260" s="4" t="str">
        <f>VLOOKUP(H2260,Stock_list!A:Y,25,FALSE)</f>
        <v>Yes</v>
      </c>
      <c r="Q2260" s="143"/>
      <c r="T2260" s="144"/>
      <c r="U2260" s="145" t="str">
        <f>VLOOKUP(H2260,Stock_list!A:N,14,FALSE)</f>
        <v>NOV 20</v>
      </c>
    </row>
    <row r="2261" spans="1:21" ht="16.5" customHeight="1">
      <c r="A2261" s="159" t="s">
        <v>2744</v>
      </c>
      <c r="B2261" s="114" t="str">
        <f>VLOOKUP(A2261,'Data pick slip'!B:F,5,FALSE)</f>
        <v>KHJ-MC100-00</v>
      </c>
      <c r="F2261" s="157" t="s">
        <v>2773</v>
      </c>
      <c r="I2261" s="139" t="s">
        <v>3094</v>
      </c>
      <c r="J2261" s="139" t="s">
        <v>3336</v>
      </c>
      <c r="K2261" s="51" t="s">
        <v>1246</v>
      </c>
      <c r="L2261" s="4">
        <v>44063</v>
      </c>
      <c r="M2261" s="140">
        <v>20</v>
      </c>
      <c r="P2261" s="4" t="s">
        <v>291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2744</v>
      </c>
      <c r="B2262" s="114" t="str">
        <f>VLOOKUP(A2262,'Data pick slip'!B:F,5,FALSE)</f>
        <v>KHJ-MC100-00</v>
      </c>
      <c r="F2262" s="157" t="s">
        <v>2773</v>
      </c>
      <c r="H2262" s="138">
        <v>791</v>
      </c>
      <c r="I2262" s="139" t="str">
        <f>VLOOKUP(H2262,Stock_list!A:R,18,FALSE)</f>
        <v>斯路迅</v>
      </c>
      <c r="J2262" s="139" t="str">
        <f>VLOOKUP(H2262,Stock_list!A:S,17,FALSE)</f>
        <v>C49SZX20200143MZ</v>
      </c>
      <c r="K2262" s="51" t="str">
        <f>VLOOKUP(H2262,Stock_list!A:T,16,FALSE)</f>
        <v>RMB</v>
      </c>
      <c r="L2262" s="4">
        <v>44133</v>
      </c>
      <c r="M2262" s="132">
        <v>30</v>
      </c>
      <c r="P2262" s="4" t="str">
        <f>VLOOKUP(H2262,Stock_list!A:Y,25,FALSE)</f>
        <v>Yes</v>
      </c>
      <c r="Q2262" s="133"/>
      <c r="T2262" s="144"/>
      <c r="U2262" s="145" t="str">
        <f>VLOOKUP(H2262,Stock_list!A:N,14,FALSE)</f>
        <v>OCT 20</v>
      </c>
    </row>
    <row r="2263" spans="1:21" ht="16.5" customHeight="1">
      <c r="A2263" s="159" t="s">
        <v>2747</v>
      </c>
      <c r="B2263" s="114" t="str">
        <f>VLOOKUP(A2263,'Data pick slip'!B:F,5,FALSE)</f>
        <v>KHJ-MC200-00</v>
      </c>
      <c r="F2263" s="157" t="s">
        <v>2773</v>
      </c>
      <c r="H2263" s="138">
        <v>791</v>
      </c>
      <c r="I2263" s="139" t="str">
        <f>VLOOKUP(H2263,Stock_list!A:R,18,FALSE)</f>
        <v>斯路迅</v>
      </c>
      <c r="J2263" s="139" t="str">
        <f>VLOOKUP(H2263,Stock_list!A:S,17,FALSE)</f>
        <v>C49SZX20200143MZ</v>
      </c>
      <c r="K2263" s="51" t="str">
        <f>VLOOKUP(H2263,Stock_list!A:T,16,FALSE)</f>
        <v>RMB</v>
      </c>
      <c r="L2263" s="4">
        <v>44133</v>
      </c>
      <c r="M2263" s="132">
        <v>5</v>
      </c>
      <c r="P2263" s="4" t="str">
        <f>VLOOKUP(H2263,Stock_list!A:Y,25,FALSE)</f>
        <v>Yes</v>
      </c>
      <c r="Q2263" s="133"/>
      <c r="T2263" s="144"/>
      <c r="U2263" s="145" t="str">
        <f>VLOOKUP(H2263,Stock_list!A:N,14,FALSE)</f>
        <v>OCT 20</v>
      </c>
    </row>
    <row r="2264" spans="1:21" ht="16.5" customHeight="1">
      <c r="A2264" s="159" t="s">
        <v>2748</v>
      </c>
      <c r="B2264" s="114" t="str">
        <f>VLOOKUP(A2264,'Data pick slip'!B:F,5,FALSE)</f>
        <v>KHJ-MC400-00</v>
      </c>
      <c r="F2264" s="157" t="s">
        <v>2773</v>
      </c>
      <c r="H2264" s="138">
        <v>791</v>
      </c>
      <c r="I2264" s="139" t="str">
        <f>VLOOKUP(H2264,Stock_list!A:R,18,FALSE)</f>
        <v>斯路迅</v>
      </c>
      <c r="J2264" s="139" t="str">
        <f>VLOOKUP(H2264,Stock_list!A:S,17,FALSE)</f>
        <v>C49SZX20200143MZ</v>
      </c>
      <c r="K2264" s="51" t="str">
        <f>VLOOKUP(H2264,Stock_list!A:T,16,FALSE)</f>
        <v>RMB</v>
      </c>
      <c r="L2264" s="4">
        <v>44133</v>
      </c>
      <c r="M2264" s="132">
        <v>2</v>
      </c>
      <c r="P2264" s="4" t="str">
        <f>VLOOKUP(H2264,Stock_list!A:Y,25,FALSE)</f>
        <v>Yes</v>
      </c>
      <c r="Q2264" s="133"/>
      <c r="T2264" s="144"/>
      <c r="U2264" s="145" t="str">
        <f>VLOOKUP(H2264,Stock_list!A:N,14,FALSE)</f>
        <v>OCT 20</v>
      </c>
    </row>
    <row r="2265" spans="1:21" ht="16.5" customHeight="1">
      <c r="A2265" s="159" t="s">
        <v>2744</v>
      </c>
      <c r="B2265" s="114" t="str">
        <f>VLOOKUP(A2265,'Data pick slip'!B:F,5,FALSE)</f>
        <v>KHJ-MC100-00</v>
      </c>
      <c r="F2265" s="157" t="s">
        <v>2862</v>
      </c>
      <c r="I2265" s="139" t="s">
        <v>3016</v>
      </c>
      <c r="J2265" s="139" t="s">
        <v>3337</v>
      </c>
      <c r="K2265" s="51" t="s">
        <v>1246</v>
      </c>
      <c r="L2265" s="4">
        <v>44070</v>
      </c>
      <c r="M2265" s="140">
        <v>50</v>
      </c>
      <c r="P2265" s="4" t="s">
        <v>291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2747</v>
      </c>
      <c r="B2266" s="114" t="str">
        <f>VLOOKUP(A2266,'Data pick slip'!B:F,5,FALSE)</f>
        <v>KHJ-MC200-00</v>
      </c>
      <c r="F2266" s="157" t="s">
        <v>2862</v>
      </c>
      <c r="I2266" s="139" t="s">
        <v>3016</v>
      </c>
      <c r="J2266" s="139" t="s">
        <v>3337</v>
      </c>
      <c r="K2266" s="51" t="s">
        <v>1246</v>
      </c>
      <c r="L2266" s="4">
        <v>44070</v>
      </c>
      <c r="M2266" s="140">
        <v>20</v>
      </c>
      <c r="P2266" s="4" t="s">
        <v>291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2755</v>
      </c>
      <c r="B2267" s="114" t="str">
        <f>VLOOKUP(A2267,'Data pick slip'!B:F,5,FALSE)</f>
        <v>KLJ-MC100-00</v>
      </c>
      <c r="F2267" s="157" t="s">
        <v>2773</v>
      </c>
      <c r="H2267" s="138">
        <v>793</v>
      </c>
      <c r="I2267" s="139" t="str">
        <f>VLOOKUP(H2267,Stock_list!A:R,18,FALSE)</f>
        <v>万恒光电</v>
      </c>
      <c r="J2267" s="139" t="str">
        <f>VLOOKUP(H2267,Stock_list!A:S,17,FALSE)</f>
        <v>C49SZX20200127KW</v>
      </c>
      <c r="K2267" s="51" t="str">
        <f>VLOOKUP(H2267,Stock_list!A:T,16,FALSE)</f>
        <v>RMB</v>
      </c>
      <c r="L2267" s="4">
        <v>44090</v>
      </c>
      <c r="M2267" s="140">
        <v>20</v>
      </c>
      <c r="P2267" s="4" t="str">
        <f>VLOOKUP(H2267,Stock_list!A:Y,25,FALSE)</f>
        <v>Yes</v>
      </c>
      <c r="Q2267" s="143"/>
      <c r="T2267" s="144"/>
      <c r="U2267" s="145" t="str">
        <f>VLOOKUP(H2267,Stock_list!A:N,14,FALSE)</f>
        <v>SEP 20</v>
      </c>
    </row>
    <row r="2268" spans="1:21" ht="16.5" customHeight="1">
      <c r="A2268" s="159" t="s">
        <v>2744</v>
      </c>
      <c r="B2268" s="114" t="str">
        <f>VLOOKUP(A2268,'Data pick slip'!B:F,5,FALSE)</f>
        <v>KHJ-MC100-00</v>
      </c>
      <c r="F2268" s="157" t="s">
        <v>2773</v>
      </c>
      <c r="I2268" s="139" t="s">
        <v>3100</v>
      </c>
      <c r="J2268" s="139" t="s">
        <v>3338</v>
      </c>
      <c r="K2268" s="51" t="s">
        <v>1246</v>
      </c>
      <c r="L2268" s="4">
        <v>44067</v>
      </c>
      <c r="M2268" s="140">
        <v>40</v>
      </c>
      <c r="P2268" s="4" t="s">
        <v>291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2744</v>
      </c>
      <c r="B2269" s="114" t="str">
        <f>VLOOKUP(A2269,'Data pick slip'!B:F,5,FALSE)</f>
        <v>KHJ-MC100-00</v>
      </c>
      <c r="F2269" s="157" t="s">
        <v>2773</v>
      </c>
      <c r="H2269" s="138">
        <v>795</v>
      </c>
      <c r="I2269" s="139" t="str">
        <f>VLOOKUP(H2269,Stock_list!A:R,18,FALSE)</f>
        <v>嘉普达</v>
      </c>
      <c r="J2269" s="139" t="str">
        <f>VLOOKUP(H2269,Stock_list!A:S,17,FALSE)</f>
        <v>C49SZX20200140RSX</v>
      </c>
      <c r="K2269" s="51" t="str">
        <f>VLOOKUP(H2269,Stock_list!A:T,16,FALSE)</f>
        <v>RMB</v>
      </c>
      <c r="L2269" s="4">
        <v>44203</v>
      </c>
      <c r="M2269" s="132">
        <v>70</v>
      </c>
      <c r="P2269" s="4" t="str">
        <f>VLOOKUP(H2269,Stock_list!A:Y,25,FALSE)</f>
        <v>Yes</v>
      </c>
      <c r="Q2269" s="133"/>
      <c r="T2269" s="144"/>
      <c r="U2269" s="145" t="str">
        <f>VLOOKUP(H2269,Stock_list!A:N,14,FALSE)</f>
        <v>JAN 21</v>
      </c>
    </row>
    <row r="2270" spans="1:21" ht="16.5" customHeight="1">
      <c r="A2270" s="159" t="s">
        <v>2747</v>
      </c>
      <c r="B2270" s="114" t="str">
        <f>VLOOKUP(A2270,'Data pick slip'!B:F,5,FALSE)</f>
        <v>KHJ-MC200-00</v>
      </c>
      <c r="F2270" s="157" t="s">
        <v>2773</v>
      </c>
      <c r="H2270" s="138">
        <v>795</v>
      </c>
      <c r="I2270" s="139" t="str">
        <f>VLOOKUP(H2270,Stock_list!A:R,18,FALSE)</f>
        <v>嘉普达</v>
      </c>
      <c r="J2270" s="139" t="str">
        <f>VLOOKUP(H2270,Stock_list!A:S,17,FALSE)</f>
        <v>C49SZX20200140RSX</v>
      </c>
      <c r="K2270" s="51" t="str">
        <f>VLOOKUP(H2270,Stock_list!A:T,16,FALSE)</f>
        <v>RMB</v>
      </c>
      <c r="L2270" s="257" t="s">
        <v>3339</v>
      </c>
      <c r="M2270" s="132">
        <v>10</v>
      </c>
      <c r="P2270" s="4" t="str">
        <f>VLOOKUP(H2270,Stock_list!A:Y,25,FALSE)</f>
        <v>Yes</v>
      </c>
      <c r="Q2270" s="133"/>
      <c r="T2270" s="144"/>
      <c r="U2270" s="145" t="str">
        <f>VLOOKUP(H2270,Stock_list!A:N,14,FALSE)</f>
        <v>JAN 21</v>
      </c>
    </row>
    <row r="2271" spans="1:21" ht="16.5" customHeight="1">
      <c r="A2271" s="159" t="s">
        <v>2748</v>
      </c>
      <c r="B2271" s="114" t="str">
        <f>VLOOKUP(A2271,'Data pick slip'!B:F,5,FALSE)</f>
        <v>KHJ-MC400-00</v>
      </c>
      <c r="F2271" s="157" t="s">
        <v>2773</v>
      </c>
      <c r="H2271" s="138">
        <v>795</v>
      </c>
      <c r="I2271" s="139" t="str">
        <f>VLOOKUP(H2271,Stock_list!A:R,18,FALSE)</f>
        <v>嘉普达</v>
      </c>
      <c r="J2271" s="139" t="str">
        <f>VLOOKUP(H2271,Stock_list!A:S,17,FALSE)</f>
        <v>C49SZX20200140RSX</v>
      </c>
      <c r="K2271" s="51" t="str">
        <f>VLOOKUP(H2271,Stock_list!A:T,16,FALSE)</f>
        <v>RMB</v>
      </c>
      <c r="L2271" s="4">
        <v>44203</v>
      </c>
      <c r="M2271" s="132">
        <v>3</v>
      </c>
      <c r="P2271" s="4" t="str">
        <f>VLOOKUP(H2271,Stock_list!A:Y,25,FALSE)</f>
        <v>Yes</v>
      </c>
      <c r="Q2271" s="133"/>
      <c r="T2271" s="144"/>
      <c r="U2271" s="145" t="str">
        <f>VLOOKUP(H2271,Stock_list!A:N,14,FALSE)</f>
        <v>JAN 21</v>
      </c>
    </row>
    <row r="2272" spans="1:21" ht="16.5" customHeight="1">
      <c r="A2272" s="159" t="s">
        <v>2749</v>
      </c>
      <c r="B2272" s="114" t="str">
        <f>VLOOKUP(A2272,'Data pick slip'!B:F,5,FALSE)</f>
        <v>KHJ-MC500-00</v>
      </c>
      <c r="F2272" s="157" t="s">
        <v>2773</v>
      </c>
      <c r="H2272" s="138">
        <v>795</v>
      </c>
      <c r="I2272" s="139" t="str">
        <f>VLOOKUP(H2272,Stock_list!A:R,18,FALSE)</f>
        <v>嘉普达</v>
      </c>
      <c r="J2272" s="139" t="str">
        <f>VLOOKUP(H2272,Stock_list!A:S,17,FALSE)</f>
        <v>C49SZX20200140RSX</v>
      </c>
      <c r="K2272" s="51" t="str">
        <f>VLOOKUP(H2272,Stock_list!A:T,16,FALSE)</f>
        <v>RMB</v>
      </c>
      <c r="L2272" s="4">
        <v>44203</v>
      </c>
      <c r="M2272" s="132">
        <v>3</v>
      </c>
      <c r="P2272" s="4" t="str">
        <f>VLOOKUP(H2272,Stock_list!A:Y,25,FALSE)</f>
        <v>Yes</v>
      </c>
      <c r="Q2272" s="133"/>
      <c r="T2272" s="144"/>
      <c r="U2272" s="145" t="str">
        <f>VLOOKUP(H2272,Stock_list!A:N,14,FALSE)</f>
        <v>JAN 21</v>
      </c>
    </row>
    <row r="2273" spans="1:21" ht="16.5" customHeight="1">
      <c r="A2273" s="159" t="s">
        <v>2748</v>
      </c>
      <c r="B2273" s="114" t="str">
        <f>VLOOKUP(A2273,'Data pick slip'!B:F,5,FALSE)</f>
        <v>KHJ-MC400-00</v>
      </c>
      <c r="F2273" s="157" t="s">
        <v>2773</v>
      </c>
      <c r="I2273" s="139" t="s">
        <v>3094</v>
      </c>
      <c r="J2273" s="139" t="s">
        <v>3340</v>
      </c>
      <c r="K2273" s="51" t="s">
        <v>1246</v>
      </c>
      <c r="L2273" s="4">
        <v>44074</v>
      </c>
      <c r="M2273" s="140">
        <v>3</v>
      </c>
      <c r="P2273" s="4" t="s">
        <v>291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2744</v>
      </c>
      <c r="B2274" s="114" t="str">
        <f>VLOOKUP(A2274,'Data pick slip'!B:F,5,FALSE)</f>
        <v>KHJ-MC100-00</v>
      </c>
      <c r="F2274" s="157" t="s">
        <v>2773</v>
      </c>
      <c r="H2274" s="138">
        <v>798</v>
      </c>
      <c r="I2274" s="139" t="str">
        <f>VLOOKUP(H2274,Stock_list!A:R,18,FALSE)</f>
        <v>奕东</v>
      </c>
      <c r="J2274" s="139" t="str">
        <f>VLOOKUP(H2274,Stock_list!A:S,17,FALSE)</f>
        <v>C49SZX20200141SX</v>
      </c>
      <c r="K2274" s="51" t="str">
        <f>VLOOKUP(H2274,Stock_list!A:T,16,FALSE)</f>
        <v>RMB</v>
      </c>
      <c r="L2274" s="4">
        <v>44103</v>
      </c>
      <c r="M2274" s="140">
        <v>40</v>
      </c>
      <c r="P2274" s="4" t="str">
        <f>VLOOKUP(H2274,Stock_list!A:Y,25,FALSE)</f>
        <v>Yes</v>
      </c>
      <c r="Q2274" s="133"/>
      <c r="T2274" s="144"/>
      <c r="U2274" s="145" t="str">
        <f>VLOOKUP(H2274,Stock_list!A:N,14,FALSE)</f>
        <v>SEP 20</v>
      </c>
    </row>
    <row r="2275" spans="1:21" ht="16.5" customHeight="1">
      <c r="A2275" s="159" t="s">
        <v>2747</v>
      </c>
      <c r="B2275" s="114" t="str">
        <f>VLOOKUP(A2275,'Data pick slip'!B:F,5,FALSE)</f>
        <v>KHJ-MC200-00</v>
      </c>
      <c r="F2275" s="157" t="s">
        <v>2773</v>
      </c>
      <c r="H2275" s="138">
        <v>798</v>
      </c>
      <c r="I2275" s="139" t="str">
        <f>VLOOKUP(H2275,Stock_list!A:R,18,FALSE)</f>
        <v>奕东</v>
      </c>
      <c r="J2275" s="139" t="str">
        <f>VLOOKUP(H2275,Stock_list!A:S,17,FALSE)</f>
        <v>C49SZX20200141SX</v>
      </c>
      <c r="K2275" s="51" t="str">
        <f>VLOOKUP(H2275,Stock_list!A:T,16,FALSE)</f>
        <v>RMB</v>
      </c>
      <c r="L2275" s="4">
        <v>44103</v>
      </c>
      <c r="M2275" s="140">
        <v>16</v>
      </c>
      <c r="P2275" s="4" t="str">
        <f>VLOOKUP(H2275,Stock_list!A:Y,25,FALSE)</f>
        <v>Yes</v>
      </c>
      <c r="Q2275" s="133"/>
      <c r="T2275" s="144"/>
      <c r="U2275" s="145" t="str">
        <f>VLOOKUP(H2275,Stock_list!A:N,14,FALSE)</f>
        <v>SEP 20</v>
      </c>
    </row>
    <row r="2276" spans="1:21" ht="16.5" customHeight="1">
      <c r="A2276" s="159" t="s">
        <v>2748</v>
      </c>
      <c r="B2276" s="114" t="str">
        <f>VLOOKUP(A2276,'Data pick slip'!B:F,5,FALSE)</f>
        <v>KHJ-MC400-00</v>
      </c>
      <c r="F2276" s="157" t="s">
        <v>2773</v>
      </c>
      <c r="H2276" s="138">
        <v>798</v>
      </c>
      <c r="I2276" s="139" t="str">
        <f>VLOOKUP(H2276,Stock_list!A:R,18,FALSE)</f>
        <v>奕东</v>
      </c>
      <c r="J2276" s="139" t="str">
        <f>VLOOKUP(H2276,Stock_list!A:S,17,FALSE)</f>
        <v>C49SZX20200141SX</v>
      </c>
      <c r="K2276" s="51" t="str">
        <f>VLOOKUP(H2276,Stock_list!A:T,16,FALSE)</f>
        <v>RMB</v>
      </c>
      <c r="L2276" s="4">
        <v>44103</v>
      </c>
      <c r="M2276" s="140">
        <v>12</v>
      </c>
      <c r="P2276" s="4" t="str">
        <f>VLOOKUP(H2276,Stock_list!A:Y,25,FALSE)</f>
        <v>Yes</v>
      </c>
      <c r="Q2276" s="133"/>
      <c r="T2276" s="144"/>
      <c r="U2276" s="145" t="str">
        <f>VLOOKUP(H2276,Stock_list!A:N,14,FALSE)</f>
        <v>SEP 20</v>
      </c>
    </row>
    <row r="2277" spans="1:21" ht="16.5" customHeight="1">
      <c r="A2277" s="159" t="s">
        <v>2749</v>
      </c>
      <c r="B2277" s="114" t="str">
        <f>VLOOKUP(A2277,'Data pick slip'!B:F,5,FALSE)</f>
        <v>KHJ-MC500-00</v>
      </c>
      <c r="F2277" s="157" t="s">
        <v>2773</v>
      </c>
      <c r="H2277" s="138">
        <v>798</v>
      </c>
      <c r="I2277" s="139" t="str">
        <f>VLOOKUP(H2277,Stock_list!A:R,18,FALSE)</f>
        <v>奕东</v>
      </c>
      <c r="J2277" s="139" t="str">
        <f>VLOOKUP(H2277,Stock_list!A:S,17,FALSE)</f>
        <v>C49SZX20200141SX</v>
      </c>
      <c r="K2277" s="51" t="str">
        <f>VLOOKUP(H2277,Stock_list!A:T,16,FALSE)</f>
        <v>RMB</v>
      </c>
      <c r="L2277" s="4">
        <v>44103</v>
      </c>
      <c r="M2277" s="140">
        <v>16</v>
      </c>
      <c r="P2277" s="4" t="str">
        <f>VLOOKUP(H2277,Stock_list!A:Y,25,FALSE)</f>
        <v>Yes</v>
      </c>
      <c r="Q2277" s="133"/>
      <c r="T2277" s="144"/>
      <c r="U2277" s="145" t="str">
        <f>VLOOKUP(H2277,Stock_list!A:N,14,FALSE)</f>
        <v>SEP 20</v>
      </c>
    </row>
    <row r="2278" spans="1:21" ht="16.5" customHeight="1">
      <c r="A2278" s="159" t="s">
        <v>2750</v>
      </c>
      <c r="B2278" s="114" t="str">
        <f>VLOOKUP(A2278,'Data pick slip'!B:F,5,FALSE)</f>
        <v>KHJ-MC600-00</v>
      </c>
      <c r="F2278" s="157" t="s">
        <v>2773</v>
      </c>
      <c r="H2278" s="138">
        <v>798</v>
      </c>
      <c r="I2278" s="139" t="str">
        <f>VLOOKUP(H2278,Stock_list!A:R,18,FALSE)</f>
        <v>奕东</v>
      </c>
      <c r="J2278" s="139" t="str">
        <f>VLOOKUP(H2278,Stock_list!A:S,17,FALSE)</f>
        <v>C49SZX20200141SX</v>
      </c>
      <c r="K2278" s="51" t="str">
        <f>VLOOKUP(H2278,Stock_list!A:T,16,FALSE)</f>
        <v>RMB</v>
      </c>
      <c r="L2278" s="4">
        <v>44103</v>
      </c>
      <c r="M2278" s="140">
        <v>14</v>
      </c>
      <c r="P2278" s="4" t="str">
        <f>VLOOKUP(H2278,Stock_list!A:Y,25,FALSE)</f>
        <v>Yes</v>
      </c>
      <c r="Q2278" s="133"/>
      <c r="T2278" s="144"/>
      <c r="U2278" s="145" t="str">
        <f>VLOOKUP(H2278,Stock_list!A:N,14,FALSE)</f>
        <v>SEP 20</v>
      </c>
    </row>
    <row r="2279" spans="1:21" ht="16.5" customHeight="1">
      <c r="A2279" s="159" t="s">
        <v>2750</v>
      </c>
      <c r="B2279" s="114" t="str">
        <f>VLOOKUP(A2279,'Data pick slip'!B:F,5,FALSE)</f>
        <v>KHJ-MC600-00</v>
      </c>
      <c r="F2279" s="157" t="s">
        <v>2773</v>
      </c>
      <c r="H2279" s="138">
        <v>798</v>
      </c>
      <c r="I2279" s="139" t="str">
        <f>VLOOKUP(H2279,Stock_list!A:R,18,FALSE)</f>
        <v>奕东</v>
      </c>
      <c r="J2279" s="139" t="str">
        <f>VLOOKUP(H2279,Stock_list!A:S,17,FALSE)</f>
        <v>C49SZX20200141SX</v>
      </c>
      <c r="K2279" s="51" t="str">
        <f>VLOOKUP(H2279,Stock_list!A:T,16,FALSE)</f>
        <v>RMB</v>
      </c>
      <c r="L2279" s="4">
        <v>44134</v>
      </c>
      <c r="M2279" s="140">
        <v>2</v>
      </c>
      <c r="P2279" s="4" t="str">
        <f>VLOOKUP(H2279,Stock_list!A:Y,25,FALSE)</f>
        <v>Yes</v>
      </c>
      <c r="Q2279" s="133"/>
      <c r="T2279" s="144"/>
      <c r="U2279" s="145" t="str">
        <f>VLOOKUP(H2279,Stock_list!A:N,14,FALSE)</f>
        <v>SEP 20</v>
      </c>
    </row>
    <row r="2280" spans="1:21" ht="16.5" customHeight="1">
      <c r="A2280" s="159" t="s">
        <v>2751</v>
      </c>
      <c r="B2280" s="114" t="str">
        <f>VLOOKUP(A2280,'Data pick slip'!B:F,5,FALSE)</f>
        <v>KHJ-MC700-00</v>
      </c>
      <c r="F2280" s="157" t="s">
        <v>2773</v>
      </c>
      <c r="H2280" s="138">
        <v>798</v>
      </c>
      <c r="I2280" s="139" t="str">
        <f>VLOOKUP(H2280,Stock_list!A:R,18,FALSE)</f>
        <v>奕东</v>
      </c>
      <c r="J2280" s="139" t="str">
        <f>VLOOKUP(H2280,Stock_list!A:S,17,FALSE)</f>
        <v>C49SZX20200141SX</v>
      </c>
      <c r="K2280" s="51" t="str">
        <f>VLOOKUP(H2280,Stock_list!A:T,16,FALSE)</f>
        <v>RMB</v>
      </c>
      <c r="L2280" s="4">
        <v>44134</v>
      </c>
      <c r="M2280" s="140">
        <v>16</v>
      </c>
      <c r="P2280" s="4" t="str">
        <f>VLOOKUP(H2280,Stock_list!A:Y,25,FALSE)</f>
        <v>Yes</v>
      </c>
      <c r="Q2280" s="133"/>
      <c r="T2280" s="144"/>
      <c r="U2280" s="145" t="str">
        <f>VLOOKUP(H2280,Stock_list!A:N,14,FALSE)</f>
        <v>SEP 20</v>
      </c>
    </row>
    <row r="2281" spans="1:21" ht="16.5" customHeight="1">
      <c r="A2281" s="159" t="s">
        <v>2752</v>
      </c>
      <c r="B2281" s="114" t="str">
        <f>VLOOKUP(A2281,'Data pick slip'!B:F,5,FALSE)</f>
        <v>KHJ-MC800-00</v>
      </c>
      <c r="F2281" s="157" t="s">
        <v>2773</v>
      </c>
      <c r="H2281" s="138">
        <v>798</v>
      </c>
      <c r="I2281" s="139" t="str">
        <f>VLOOKUP(H2281,Stock_list!A:R,18,FALSE)</f>
        <v>奕东</v>
      </c>
      <c r="J2281" s="139" t="str">
        <f>VLOOKUP(H2281,Stock_list!A:S,17,FALSE)</f>
        <v>C49SZX20200141SX</v>
      </c>
      <c r="K2281" s="51" t="str">
        <f>VLOOKUP(H2281,Stock_list!A:T,16,FALSE)</f>
        <v>RMB</v>
      </c>
      <c r="L2281" s="4">
        <v>44103</v>
      </c>
      <c r="M2281" s="140">
        <v>1</v>
      </c>
      <c r="P2281" s="4" t="str">
        <f>VLOOKUP(H2281,Stock_list!A:Y,25,FALSE)</f>
        <v>Yes</v>
      </c>
      <c r="Q2281" s="133"/>
      <c r="T2281" s="144"/>
      <c r="U2281" s="145" t="str">
        <f>VLOOKUP(H2281,Stock_list!A:N,14,FALSE)</f>
        <v>SEP 20</v>
      </c>
    </row>
    <row r="2282" spans="1:21" ht="16.5" customHeight="1">
      <c r="A2282" s="159" t="s">
        <v>2752</v>
      </c>
      <c r="B2282" s="114" t="str">
        <f>VLOOKUP(A2282,'Data pick slip'!B:F,5,FALSE)</f>
        <v>KHJ-MC800-00</v>
      </c>
      <c r="F2282" s="157" t="s">
        <v>2773</v>
      </c>
      <c r="H2282" s="138">
        <v>798</v>
      </c>
      <c r="I2282" s="139" t="str">
        <f>VLOOKUP(H2282,Stock_list!A:R,18,FALSE)</f>
        <v>奕东</v>
      </c>
      <c r="J2282" s="139" t="str">
        <f>VLOOKUP(H2282,Stock_list!A:S,17,FALSE)</f>
        <v>C49SZX20200141SX</v>
      </c>
      <c r="K2282" s="51" t="str">
        <f>VLOOKUP(H2282,Stock_list!A:T,16,FALSE)</f>
        <v>RMB</v>
      </c>
      <c r="L2282" s="4">
        <v>44134</v>
      </c>
      <c r="M2282" s="140">
        <v>7</v>
      </c>
      <c r="P2282" s="4" t="str">
        <f>VLOOKUP(H2282,Stock_list!A:Y,25,FALSE)</f>
        <v>Yes</v>
      </c>
      <c r="Q2282" s="133"/>
      <c r="T2282" s="144"/>
      <c r="U2282" s="145" t="str">
        <f>VLOOKUP(H2282,Stock_list!A:N,14,FALSE)</f>
        <v>SEP 20</v>
      </c>
    </row>
    <row r="2283" spans="1:21" ht="16.5" customHeight="1">
      <c r="A2283" s="159" t="s">
        <v>2922</v>
      </c>
      <c r="B2283" s="114" t="e">
        <f>VLOOKUP(A2283,'Data pick slip'!B:F,5,FALSE)</f>
        <v>#N/A</v>
      </c>
      <c r="F2283" s="157" t="s">
        <v>2773</v>
      </c>
      <c r="H2283" s="138">
        <v>798</v>
      </c>
      <c r="I2283" s="139" t="str">
        <f>VLOOKUP(H2283,Stock_list!A:R,18,FALSE)</f>
        <v>奕东</v>
      </c>
      <c r="J2283" s="139" t="str">
        <f>VLOOKUP(H2283,Stock_list!A:S,17,FALSE)</f>
        <v>C49SZX20200141SX</v>
      </c>
      <c r="K2283" s="51" t="str">
        <f>VLOOKUP(H2283,Stock_list!A:T,16,FALSE)</f>
        <v>RMB</v>
      </c>
      <c r="L2283" s="4">
        <v>44160</v>
      </c>
      <c r="M2283" s="140">
        <v>8</v>
      </c>
      <c r="P2283" s="4" t="str">
        <f>VLOOKUP(H2283,Stock_list!A:Y,25,FALSE)</f>
        <v>Yes</v>
      </c>
      <c r="Q2283" s="133"/>
      <c r="T2283" s="144"/>
      <c r="U2283" s="145" t="str">
        <f>VLOOKUP(H2283,Stock_list!A:N,14,FALSE)</f>
        <v>SEP 20</v>
      </c>
    </row>
    <row r="2284" spans="1:21" ht="16.5" customHeight="1">
      <c r="A2284" s="159" t="s">
        <v>2744</v>
      </c>
      <c r="B2284" s="114" t="str">
        <f>VLOOKUP(A2284,'Data pick slip'!B:F,5,FALSE)</f>
        <v>KHJ-MC100-00</v>
      </c>
      <c r="F2284" s="157" t="s">
        <v>2862</v>
      </c>
      <c r="H2284" s="138">
        <v>802</v>
      </c>
      <c r="I2284" s="139" t="str">
        <f>VLOOKUP(H2284,Stock_list!A:R,18,FALSE)</f>
        <v>方案集</v>
      </c>
      <c r="J2284" s="139" t="str">
        <f>VLOOKUP(H2284,Stock_list!A:S,17,FALSE)</f>
        <v>C49SZX20200135DZ</v>
      </c>
      <c r="K2284" s="51" t="str">
        <f>VLOOKUP(H2284,Stock_list!A:T,16,FALSE)</f>
        <v>JPY</v>
      </c>
      <c r="L2284" s="4">
        <v>44127</v>
      </c>
      <c r="M2284" s="132">
        <v>50</v>
      </c>
      <c r="P2284" s="4" t="str">
        <f>VLOOKUP(H2284,Stock_list!A:Y,25,FALSE)</f>
        <v>Yes</v>
      </c>
      <c r="Q2284" s="133"/>
      <c r="T2284" s="144"/>
      <c r="U2284" s="145" t="str">
        <f>VLOOKUP(H2284,Stock_list!A:N,14,FALSE)</f>
        <v>OCT 20</v>
      </c>
    </row>
    <row r="2285" spans="1:21" ht="16.5" customHeight="1">
      <c r="A2285" s="159" t="s">
        <v>2747</v>
      </c>
      <c r="B2285" s="114" t="str">
        <f>VLOOKUP(A2285,'Data pick slip'!B:F,5,FALSE)</f>
        <v>KHJ-MC200-00</v>
      </c>
      <c r="F2285" s="157" t="s">
        <v>2862</v>
      </c>
      <c r="H2285" s="138">
        <v>802</v>
      </c>
      <c r="I2285" s="139" t="str">
        <f>VLOOKUP(H2285,Stock_list!A:R,18,FALSE)</f>
        <v>方案集</v>
      </c>
      <c r="J2285" s="139" t="str">
        <f>VLOOKUP(H2285,Stock_list!A:S,17,FALSE)</f>
        <v>C49SZX20200135DZ</v>
      </c>
      <c r="K2285" s="51" t="str">
        <f>VLOOKUP(H2285,Stock_list!A:T,16,FALSE)</f>
        <v>JPY</v>
      </c>
      <c r="L2285" s="4">
        <v>44127</v>
      </c>
      <c r="M2285" s="132">
        <v>35</v>
      </c>
      <c r="P2285" s="4" t="str">
        <f>VLOOKUP(H2285,Stock_list!A:Y,25,FALSE)</f>
        <v>Yes</v>
      </c>
      <c r="Q2285" s="133"/>
      <c r="T2285" s="144"/>
      <c r="U2285" s="145" t="str">
        <f>VLOOKUP(H2285,Stock_list!A:N,14,FALSE)</f>
        <v>OCT 20</v>
      </c>
    </row>
    <row r="2286" spans="1:21" ht="16.5" customHeight="1">
      <c r="A2286" s="159" t="s">
        <v>2748</v>
      </c>
      <c r="B2286" s="114" t="str">
        <f>VLOOKUP(A2286,'Data pick slip'!B:F,5,FALSE)</f>
        <v>KHJ-MC400-00</v>
      </c>
      <c r="F2286" s="157" t="s">
        <v>2862</v>
      </c>
      <c r="H2286" s="138">
        <v>802</v>
      </c>
      <c r="I2286" s="139" t="str">
        <f>VLOOKUP(H2286,Stock_list!A:R,18,FALSE)</f>
        <v>方案集</v>
      </c>
      <c r="J2286" s="139" t="str">
        <f>VLOOKUP(H2286,Stock_list!A:S,17,FALSE)</f>
        <v>C49SZX20200135DZ</v>
      </c>
      <c r="K2286" s="51" t="str">
        <f>VLOOKUP(H2286,Stock_list!A:T,16,FALSE)</f>
        <v>JPY</v>
      </c>
      <c r="L2286" s="4">
        <v>44127</v>
      </c>
      <c r="M2286" s="132">
        <v>6</v>
      </c>
      <c r="P2286" s="4" t="str">
        <f>VLOOKUP(H2286,Stock_list!A:Y,25,FALSE)</f>
        <v>Yes</v>
      </c>
      <c r="Q2286" s="133"/>
      <c r="T2286" s="144"/>
      <c r="U2286" s="145" t="str">
        <f>VLOOKUP(H2286,Stock_list!A:N,14,FALSE)</f>
        <v>OCT 20</v>
      </c>
    </row>
    <row r="2287" spans="1:21" ht="16.5" customHeight="1">
      <c r="A2287" s="159" t="s">
        <v>2748</v>
      </c>
      <c r="B2287" s="114" t="str">
        <f>VLOOKUP(A2287,'Data pick slip'!B:F,5,FALSE)</f>
        <v>KHJ-MC400-00</v>
      </c>
      <c r="F2287" s="157" t="s">
        <v>2773</v>
      </c>
      <c r="I2287" s="139" t="s">
        <v>3094</v>
      </c>
      <c r="J2287" s="139" t="s">
        <v>3341</v>
      </c>
      <c r="K2287" s="51" t="s">
        <v>1246</v>
      </c>
      <c r="L2287" s="4">
        <v>44076</v>
      </c>
      <c r="M2287" s="140">
        <v>4</v>
      </c>
      <c r="P2287" s="4" t="s">
        <v>291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2747</v>
      </c>
      <c r="B2288" s="114" t="str">
        <f>VLOOKUP(A2288,'Data pick slip'!B:F,5,FALSE)</f>
        <v>KHJ-MC200-00</v>
      </c>
      <c r="F2288" s="157" t="s">
        <v>2773</v>
      </c>
      <c r="H2288" s="138">
        <v>587</v>
      </c>
      <c r="I2288" s="139" t="str">
        <f>VLOOKUP(H2288,Stock_list!A:R,18,FALSE)</f>
        <v>正创</v>
      </c>
      <c r="J2288" s="139" t="str">
        <f>VLOOKUP(H2288,Stock_list!A:S,17,FALSE)</f>
        <v>C49SZX20200020SS</v>
      </c>
      <c r="K2288" s="51" t="str">
        <f>VLOOKUP(H2288,Stock_list!A:T,16,FALSE)</f>
        <v>JPY</v>
      </c>
      <c r="L2288" s="4">
        <v>44058</v>
      </c>
      <c r="M2288" s="140">
        <v>1</v>
      </c>
      <c r="P2288" s="4" t="str">
        <f>VLOOKUP(H2288,Stock_list!A:Y,25,FALSE)</f>
        <v>Yes</v>
      </c>
      <c r="Q2288" s="143"/>
      <c r="S2288" s="123" t="s">
        <v>3004</v>
      </c>
      <c r="T2288" s="144" t="s">
        <v>3342</v>
      </c>
      <c r="U2288" s="145" t="str">
        <f>VLOOKUP(H2288,Stock_list!A:N,14,FALSE)</f>
        <v>MAR 20</v>
      </c>
    </row>
    <row r="2289" spans="1:21" ht="16.5" customHeight="1">
      <c r="A2289" s="159" t="s">
        <v>2744</v>
      </c>
      <c r="B2289" s="114" t="str">
        <f>VLOOKUP(A2289,'Data pick slip'!B:F,5,FALSE)</f>
        <v>KHJ-MC100-00</v>
      </c>
      <c r="F2289" s="157" t="s">
        <v>2862</v>
      </c>
      <c r="H2289" s="138">
        <v>803</v>
      </c>
      <c r="I2289" s="139" t="str">
        <f>VLOOKUP(H2289,Stock_list!A:R,18,FALSE)</f>
        <v>博睿通（end user：锂动力）</v>
      </c>
      <c r="J2289" s="139" t="str">
        <f>VLOOKUP(H2289,Stock_list!A:S,17,FALSE)</f>
        <v>C49SZX20200150SS</v>
      </c>
      <c r="K2289" s="51" t="str">
        <f>VLOOKUP(H2289,Stock_list!A:T,16,FALSE)</f>
        <v>JPY</v>
      </c>
      <c r="L2289" s="4">
        <v>44146</v>
      </c>
      <c r="M2289" s="132">
        <v>34</v>
      </c>
      <c r="P2289" s="4" t="str">
        <f>VLOOKUP(H2289,Stock_list!A:Y,25,FALSE)</f>
        <v>Yes</v>
      </c>
      <c r="Q2289" s="143"/>
      <c r="T2289" s="144"/>
      <c r="U2289" s="145" t="str">
        <f>VLOOKUP(H2289,Stock_list!A:N,14,FALSE)</f>
        <v>NOV 20</v>
      </c>
    </row>
    <row r="2290" spans="1:21" ht="16.5" customHeight="1">
      <c r="A2290" s="159" t="s">
        <v>2747</v>
      </c>
      <c r="B2290" s="114" t="str">
        <f>VLOOKUP(A2290,'Data pick slip'!B:F,5,FALSE)</f>
        <v>KHJ-MC200-00</v>
      </c>
      <c r="F2290" s="157" t="s">
        <v>2862</v>
      </c>
      <c r="H2290" s="138">
        <v>803</v>
      </c>
      <c r="I2290" s="139" t="str">
        <f>VLOOKUP(H2290,Stock_list!A:R,18,FALSE)</f>
        <v>博睿通（end user：锂动力）</v>
      </c>
      <c r="J2290" s="139" t="str">
        <f>VLOOKUP(H2290,Stock_list!A:S,17,FALSE)</f>
        <v>C49SZX20200150SS</v>
      </c>
      <c r="K2290" s="51" t="str">
        <f>VLOOKUP(H2290,Stock_list!A:T,16,FALSE)</f>
        <v>JPY</v>
      </c>
      <c r="L2290" s="4">
        <v>44146</v>
      </c>
      <c r="M2290" s="132">
        <v>8</v>
      </c>
      <c r="P2290" s="4" t="str">
        <f>VLOOKUP(H2290,Stock_list!A:Y,25,FALSE)</f>
        <v>Yes</v>
      </c>
      <c r="Q2290" s="143"/>
      <c r="T2290" s="144"/>
      <c r="U2290" s="145" t="str">
        <f>VLOOKUP(H2290,Stock_list!A:N,14,FALSE)</f>
        <v>NOV 20</v>
      </c>
    </row>
    <row r="2291" spans="1:21" ht="16.5" customHeight="1">
      <c r="A2291" s="159" t="s">
        <v>2744</v>
      </c>
      <c r="B2291" s="114" t="str">
        <f>VLOOKUP(A2291,'Data pick slip'!B:F,5,FALSE)</f>
        <v>KHJ-MC100-00</v>
      </c>
      <c r="F2291" s="157" t="s">
        <v>2773</v>
      </c>
      <c r="H2291" s="138">
        <v>805</v>
      </c>
      <c r="I2291" s="139" t="str">
        <f>VLOOKUP(H2291,Stock_list!A:R,18,FALSE)</f>
        <v>芯联鑫</v>
      </c>
      <c r="J2291" s="139" t="str">
        <f>VLOOKUP(H2291,Stock_list!A:S,17,FALSE)</f>
        <v>C49SZX20200148JYR1</v>
      </c>
      <c r="K2291" s="51" t="str">
        <f>VLOOKUP(H2291,Stock_list!A:T,16,FALSE)</f>
        <v>RMB</v>
      </c>
      <c r="L2291" s="4">
        <v>44078</v>
      </c>
      <c r="M2291" s="140">
        <v>50</v>
      </c>
      <c r="P2291" s="4" t="str">
        <f>VLOOKUP(H2291,Stock_list!A:Y,25,FALSE)</f>
        <v>Yes</v>
      </c>
      <c r="Q2291" s="143"/>
      <c r="T2291" s="144"/>
      <c r="U2291" s="145" t="str">
        <f>VLOOKUP(H2291,Stock_list!A:N,14,FALSE)</f>
        <v>OCT 20</v>
      </c>
    </row>
    <row r="2292" spans="1:21" ht="16.5" customHeight="1">
      <c r="A2292" s="159" t="s">
        <v>2744</v>
      </c>
      <c r="B2292" s="114" t="str">
        <f>VLOOKUP(A2292,'Data pick slip'!B:F,5,FALSE)</f>
        <v>KHJ-MC100-00</v>
      </c>
      <c r="F2292" s="157" t="s">
        <v>2773</v>
      </c>
      <c r="H2292" s="138">
        <v>805</v>
      </c>
      <c r="I2292" s="139" t="str">
        <f>VLOOKUP(H2292,Stock_list!A:R,18,FALSE)</f>
        <v>芯联鑫</v>
      </c>
      <c r="J2292" s="139" t="str">
        <f>VLOOKUP(H2292,Stock_list!A:S,17,FALSE)</f>
        <v>C49SZX20200148JYR1</v>
      </c>
      <c r="K2292" s="51" t="str">
        <f>VLOOKUP(H2292,Stock_list!A:T,16,FALSE)</f>
        <v>RMB</v>
      </c>
      <c r="L2292" s="4">
        <v>44134</v>
      </c>
      <c r="M2292" s="132">
        <v>30</v>
      </c>
      <c r="P2292" s="4" t="str">
        <f>VLOOKUP(H2292,Stock_list!A:Y,25,FALSE)</f>
        <v>Yes</v>
      </c>
      <c r="Q2292" s="143"/>
      <c r="T2292" s="144"/>
      <c r="U2292" s="145" t="str">
        <f>VLOOKUP(H2292,Stock_list!A:N,14,FALSE)</f>
        <v>OCT 20</v>
      </c>
    </row>
    <row r="2293" spans="1:21" ht="16.5" customHeight="1">
      <c r="A2293" s="159" t="s">
        <v>2747</v>
      </c>
      <c r="B2293" s="114" t="str">
        <f>VLOOKUP(A2293,'Data pick slip'!B:F,5,FALSE)</f>
        <v>KHJ-MC200-00</v>
      </c>
      <c r="F2293" s="157" t="s">
        <v>2773</v>
      </c>
      <c r="H2293" s="138">
        <v>805</v>
      </c>
      <c r="I2293" s="139" t="str">
        <f>VLOOKUP(H2293,Stock_list!A:R,18,FALSE)</f>
        <v>芯联鑫</v>
      </c>
      <c r="J2293" s="139" t="str">
        <f>VLOOKUP(H2293,Stock_list!A:S,17,FALSE)</f>
        <v>C49SZX20200148JYR1</v>
      </c>
      <c r="K2293" s="51" t="str">
        <f>VLOOKUP(H2293,Stock_list!A:T,16,FALSE)</f>
        <v>RMB</v>
      </c>
      <c r="L2293" s="4">
        <v>44134</v>
      </c>
      <c r="M2293" s="132">
        <v>10</v>
      </c>
      <c r="P2293" s="4" t="str">
        <f>VLOOKUP(H2293,Stock_list!A:Y,25,FALSE)</f>
        <v>Yes</v>
      </c>
      <c r="Q2293" s="143"/>
      <c r="T2293" s="144"/>
      <c r="U2293" s="145" t="str">
        <f>VLOOKUP(H2293,Stock_list!A:N,14,FALSE)</f>
        <v>OCT 20</v>
      </c>
    </row>
    <row r="2294" spans="1:21" ht="16.5" customHeight="1">
      <c r="A2294" s="159" t="s">
        <v>2748</v>
      </c>
      <c r="B2294" s="114" t="str">
        <f>VLOOKUP(A2294,'Data pick slip'!B:F,5,FALSE)</f>
        <v>KHJ-MC400-00</v>
      </c>
      <c r="F2294" s="157" t="s">
        <v>2773</v>
      </c>
      <c r="H2294" s="138">
        <v>805</v>
      </c>
      <c r="I2294" s="139" t="str">
        <f>VLOOKUP(H2294,Stock_list!A:R,18,FALSE)</f>
        <v>芯联鑫</v>
      </c>
      <c r="J2294" s="139" t="str">
        <f>VLOOKUP(H2294,Stock_list!A:S,17,FALSE)</f>
        <v>C49SZX20200148JYR1</v>
      </c>
      <c r="K2294" s="51" t="str">
        <f>VLOOKUP(H2294,Stock_list!A:T,16,FALSE)</f>
        <v>RMB</v>
      </c>
      <c r="L2294" s="4">
        <v>44078</v>
      </c>
      <c r="M2294" s="140">
        <v>4</v>
      </c>
      <c r="P2294" s="4" t="str">
        <f>VLOOKUP(H2294,Stock_list!A:Y,25,FALSE)</f>
        <v>Yes</v>
      </c>
      <c r="Q2294" s="143"/>
      <c r="T2294" s="144"/>
      <c r="U2294" s="145" t="str">
        <f>VLOOKUP(H2294,Stock_list!A:N,14,FALSE)</f>
        <v>OCT 20</v>
      </c>
    </row>
    <row r="2295" spans="1:21" ht="16.5" customHeight="1">
      <c r="A2295" s="159" t="s">
        <v>2749</v>
      </c>
      <c r="B2295" s="114" t="str">
        <f>VLOOKUP(A2295,'Data pick slip'!B:F,5,FALSE)</f>
        <v>KHJ-MC500-00</v>
      </c>
      <c r="F2295" s="157" t="s">
        <v>2773</v>
      </c>
      <c r="H2295" s="138">
        <v>805</v>
      </c>
      <c r="I2295" s="139" t="str">
        <f>VLOOKUP(H2295,Stock_list!A:R,18,FALSE)</f>
        <v>芯联鑫</v>
      </c>
      <c r="J2295" s="139" t="str">
        <f>VLOOKUP(H2295,Stock_list!A:S,17,FALSE)</f>
        <v>C49SZX20200148JYR1</v>
      </c>
      <c r="K2295" s="51" t="str">
        <f>VLOOKUP(H2295,Stock_list!A:T,16,FALSE)</f>
        <v>RMB</v>
      </c>
      <c r="L2295" s="4">
        <v>44134</v>
      </c>
      <c r="M2295" s="132">
        <v>1</v>
      </c>
      <c r="P2295" s="4" t="str">
        <f>VLOOKUP(H2295,Stock_list!A:Y,25,FALSE)</f>
        <v>Yes</v>
      </c>
      <c r="Q2295" s="143"/>
      <c r="T2295" s="144"/>
      <c r="U2295" s="145" t="str">
        <f>VLOOKUP(H2295,Stock_list!A:N,14,FALSE)</f>
        <v>OCT 20</v>
      </c>
    </row>
    <row r="2296" spans="1:21" ht="16.5" customHeight="1">
      <c r="A2296" s="159" t="s">
        <v>2750</v>
      </c>
      <c r="B2296" s="114" t="str">
        <f>VLOOKUP(A2296,'Data pick slip'!B:F,5,FALSE)</f>
        <v>KHJ-MC600-00</v>
      </c>
      <c r="F2296" s="157" t="s">
        <v>2773</v>
      </c>
      <c r="H2296" s="138">
        <v>805</v>
      </c>
      <c r="I2296" s="139" t="str">
        <f>VLOOKUP(H2296,Stock_list!A:R,18,FALSE)</f>
        <v>芯联鑫</v>
      </c>
      <c r="J2296" s="139" t="str">
        <f>VLOOKUP(H2296,Stock_list!A:S,17,FALSE)</f>
        <v>C49SZX20200148JYR1</v>
      </c>
      <c r="K2296" s="51" t="str">
        <f>VLOOKUP(H2296,Stock_list!A:T,16,FALSE)</f>
        <v>RMB</v>
      </c>
      <c r="L2296" s="4">
        <v>44134</v>
      </c>
      <c r="M2296" s="132">
        <v>1</v>
      </c>
      <c r="P2296" s="4" t="str">
        <f>VLOOKUP(H2296,Stock_list!A:Y,25,FALSE)</f>
        <v>Yes</v>
      </c>
      <c r="Q2296" s="143"/>
      <c r="T2296" s="144"/>
      <c r="U2296" s="145" t="str">
        <f>VLOOKUP(H2296,Stock_list!A:N,14,FALSE)</f>
        <v>OCT 20</v>
      </c>
    </row>
    <row r="2297" spans="1:21" ht="16.5" customHeight="1">
      <c r="A2297" s="159" t="s">
        <v>2744</v>
      </c>
      <c r="B2297" s="114" t="str">
        <f>VLOOKUP(A2297,'Data pick slip'!B:F,5,FALSE)</f>
        <v>KHJ-MC100-00</v>
      </c>
      <c r="F2297" s="157" t="s">
        <v>2862</v>
      </c>
      <c r="I2297" s="139" t="s">
        <v>3016</v>
      </c>
      <c r="J2297" s="139" t="s">
        <v>3343</v>
      </c>
      <c r="K2297" s="51" t="s">
        <v>1246</v>
      </c>
      <c r="L2297" s="4">
        <v>44075</v>
      </c>
      <c r="M2297" s="140">
        <v>150</v>
      </c>
      <c r="P2297" s="4" t="s">
        <v>291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2747</v>
      </c>
      <c r="B2298" s="114" t="str">
        <f>VLOOKUP(A2298,'Data pick slip'!B:F,5,FALSE)</f>
        <v>KHJ-MC200-00</v>
      </c>
      <c r="F2298" s="157" t="s">
        <v>2862</v>
      </c>
      <c r="I2298" s="139" t="s">
        <v>3016</v>
      </c>
      <c r="J2298" s="139" t="s">
        <v>3343</v>
      </c>
      <c r="K2298" s="51" t="s">
        <v>1246</v>
      </c>
      <c r="L2298" s="4">
        <v>44075</v>
      </c>
      <c r="M2298" s="140">
        <v>30</v>
      </c>
      <c r="P2298" s="4" t="s">
        <v>291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2748</v>
      </c>
      <c r="B2299" s="114" t="str">
        <f>VLOOKUP(A2299,'Data pick slip'!B:F,5,FALSE)</f>
        <v>KHJ-MC400-00</v>
      </c>
      <c r="F2299" s="157" t="s">
        <v>2862</v>
      </c>
      <c r="I2299" s="139" t="s">
        <v>3016</v>
      </c>
      <c r="J2299" s="139" t="s">
        <v>3343</v>
      </c>
      <c r="K2299" s="51" t="s">
        <v>1246</v>
      </c>
      <c r="L2299" s="4">
        <v>44075</v>
      </c>
      <c r="M2299" s="140">
        <v>10</v>
      </c>
      <c r="P2299" s="4" t="s">
        <v>291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2749</v>
      </c>
      <c r="B2300" s="114" t="str">
        <f>VLOOKUP(A2300,'Data pick slip'!B:F,5,FALSE)</f>
        <v>KHJ-MC500-00</v>
      </c>
      <c r="F2300" s="157" t="s">
        <v>2862</v>
      </c>
      <c r="I2300" s="139" t="s">
        <v>3016</v>
      </c>
      <c r="J2300" s="139" t="s">
        <v>3343</v>
      </c>
      <c r="K2300" s="51" t="s">
        <v>1246</v>
      </c>
      <c r="L2300" s="4">
        <v>44075</v>
      </c>
      <c r="M2300" s="140">
        <v>12</v>
      </c>
      <c r="P2300" s="4" t="s">
        <v>291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2750</v>
      </c>
      <c r="B2301" s="114" t="str">
        <f>VLOOKUP(A2301,'Data pick slip'!B:F,5,FALSE)</f>
        <v>KHJ-MC600-00</v>
      </c>
      <c r="F2301" s="157" t="s">
        <v>2862</v>
      </c>
      <c r="I2301" s="139" t="s">
        <v>3016</v>
      </c>
      <c r="J2301" s="139" t="s">
        <v>3343</v>
      </c>
      <c r="K2301" s="51" t="s">
        <v>1246</v>
      </c>
      <c r="L2301" s="4">
        <v>44075</v>
      </c>
      <c r="M2301" s="140">
        <v>2</v>
      </c>
      <c r="P2301" s="4" t="s">
        <v>291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2744</v>
      </c>
      <c r="B2302" s="114" t="str">
        <f>VLOOKUP(A2302,'Data pick slip'!B:F,5,FALSE)</f>
        <v>KHJ-MC100-00</v>
      </c>
      <c r="F2302" s="157" t="s">
        <v>2773</v>
      </c>
      <c r="I2302" s="139" t="s">
        <v>3094</v>
      </c>
      <c r="J2302" s="139" t="s">
        <v>3336</v>
      </c>
      <c r="K2302" s="51" t="s">
        <v>1246</v>
      </c>
      <c r="L2302" s="4">
        <v>44082</v>
      </c>
      <c r="M2302" s="140">
        <v>50</v>
      </c>
      <c r="P2302" s="4" t="s">
        <v>291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2744</v>
      </c>
      <c r="B2303" s="114" t="str">
        <f>VLOOKUP(A2303,'Data pick slip'!B:F,5,FALSE)</f>
        <v>KHJ-MC100-00</v>
      </c>
      <c r="F2303" s="157" t="s">
        <v>2862</v>
      </c>
      <c r="H2303" s="138">
        <v>811</v>
      </c>
      <c r="I2303" s="139" t="str">
        <f>VLOOKUP(H2303,Stock_list!A:R,18,FALSE)</f>
        <v>力通威</v>
      </c>
      <c r="J2303" s="139" t="str">
        <f>VLOOKUP(H2303,Stock_list!A:S,17,FALSE)</f>
        <v>C49SZX20200129JL</v>
      </c>
      <c r="K2303" s="51" t="str">
        <f>VLOOKUP(H2303,Stock_list!A:T,16,FALSE)</f>
        <v>JPY</v>
      </c>
      <c r="L2303" s="4">
        <v>44159</v>
      </c>
      <c r="M2303" s="132">
        <v>85</v>
      </c>
      <c r="P2303" s="4" t="str">
        <f>VLOOKUP(H2303,Stock_list!A:Y,25,FALSE)</f>
        <v>Yes</v>
      </c>
      <c r="Q2303" s="143"/>
      <c r="T2303" s="144"/>
      <c r="U2303" s="145" t="str">
        <f>VLOOKUP(H2303,Stock_list!A:N,14,FALSE)</f>
        <v>NOV 20</v>
      </c>
    </row>
    <row r="2304" spans="1:21" ht="16.5" customHeight="1">
      <c r="A2304" s="159" t="s">
        <v>2747</v>
      </c>
      <c r="B2304" s="114" t="str">
        <f>VLOOKUP(A2304,'Data pick slip'!B:F,5,FALSE)</f>
        <v>KHJ-MC200-00</v>
      </c>
      <c r="F2304" s="157" t="s">
        <v>2862</v>
      </c>
      <c r="H2304" s="138">
        <v>811</v>
      </c>
      <c r="I2304" s="139" t="str">
        <f>VLOOKUP(H2304,Stock_list!A:R,18,FALSE)</f>
        <v>力通威</v>
      </c>
      <c r="J2304" s="139" t="str">
        <f>VLOOKUP(H2304,Stock_list!A:S,17,FALSE)</f>
        <v>C49SZX20200129JL</v>
      </c>
      <c r="K2304" s="51" t="str">
        <f>VLOOKUP(H2304,Stock_list!A:T,16,FALSE)</f>
        <v>JPY</v>
      </c>
      <c r="L2304" s="4">
        <v>44159</v>
      </c>
      <c r="M2304" s="132">
        <v>23</v>
      </c>
      <c r="P2304" s="4" t="str">
        <f>VLOOKUP(H2304,Stock_list!A:Y,25,FALSE)</f>
        <v>Yes</v>
      </c>
      <c r="Q2304" s="143"/>
      <c r="T2304" s="144"/>
      <c r="U2304" s="145" t="str">
        <f>VLOOKUP(H2304,Stock_list!A:N,14,FALSE)</f>
        <v>NOV 20</v>
      </c>
    </row>
    <row r="2305" spans="1:21" ht="16.5" customHeight="1">
      <c r="A2305" s="159" t="s">
        <v>2748</v>
      </c>
      <c r="B2305" s="114" t="str">
        <f>VLOOKUP(A2305,'Data pick slip'!B:F,5,FALSE)</f>
        <v>KHJ-MC400-00</v>
      </c>
      <c r="F2305" s="157" t="s">
        <v>2862</v>
      </c>
      <c r="H2305" s="138">
        <v>811</v>
      </c>
      <c r="I2305" s="139" t="str">
        <f>VLOOKUP(H2305,Stock_list!A:R,18,FALSE)</f>
        <v>力通威</v>
      </c>
      <c r="J2305" s="139" t="str">
        <f>VLOOKUP(H2305,Stock_list!A:S,17,FALSE)</f>
        <v>C49SZX20200129JL</v>
      </c>
      <c r="K2305" s="51" t="str">
        <f>VLOOKUP(H2305,Stock_list!A:T,16,FALSE)</f>
        <v>JPY</v>
      </c>
      <c r="L2305" s="4">
        <v>44159</v>
      </c>
      <c r="M2305" s="132">
        <v>3</v>
      </c>
      <c r="P2305" s="4" t="str">
        <f>VLOOKUP(H2305,Stock_list!A:Y,25,FALSE)</f>
        <v>Yes</v>
      </c>
      <c r="Q2305" s="143"/>
      <c r="T2305" s="144"/>
      <c r="U2305" s="145" t="str">
        <f>VLOOKUP(H2305,Stock_list!A:N,14,FALSE)</f>
        <v>NOV 20</v>
      </c>
    </row>
    <row r="2306" spans="1:21" ht="16.5" customHeight="1">
      <c r="A2306" s="159" t="s">
        <v>2748</v>
      </c>
      <c r="B2306" s="114" t="str">
        <f>VLOOKUP(A2306,'Data pick slip'!B:F,5,FALSE)</f>
        <v>KHJ-MC400-00</v>
      </c>
      <c r="F2306" s="157" t="s">
        <v>2773</v>
      </c>
      <c r="H2306" s="138">
        <v>789</v>
      </c>
      <c r="I2306" s="139" t="str">
        <f>VLOOKUP(H2306,Stock_list!A:R,18,FALSE)</f>
        <v>通通旺</v>
      </c>
      <c r="J2306" s="139" t="str">
        <f>VLOOKUP(H2306,Stock_list!A:S,17,FALSE)</f>
        <v>C49SZX20200133JL</v>
      </c>
      <c r="K2306" s="51" t="str">
        <f>VLOOKUP(H2306,Stock_list!A:T,16,FALSE)</f>
        <v>RMB</v>
      </c>
      <c r="L2306" s="4">
        <v>44145</v>
      </c>
      <c r="M2306" s="132">
        <v>1</v>
      </c>
      <c r="P2306" s="4" t="str">
        <f>VLOOKUP(H2306,Stock_list!A:Y,25,FALSE)</f>
        <v>Yes</v>
      </c>
      <c r="Q2306" s="143"/>
      <c r="T2306" s="144"/>
      <c r="U2306" s="145" t="str">
        <f>VLOOKUP(H2306,Stock_list!A:N,14,FALSE)</f>
        <v>NOV 20</v>
      </c>
    </row>
    <row r="2307" spans="1:21" ht="16.5" customHeight="1">
      <c r="A2307" s="159" t="s">
        <v>2744</v>
      </c>
      <c r="B2307" s="114" t="str">
        <f>VLOOKUP(A2307,'Data pick slip'!B:F,5,FALSE)</f>
        <v>KHJ-MC100-00</v>
      </c>
      <c r="F2307" s="157" t="s">
        <v>2773</v>
      </c>
      <c r="H2307" s="138">
        <v>827</v>
      </c>
      <c r="I2307" s="139" t="str">
        <f>VLOOKUP(H2307,Stock_list!A:R,18,FALSE)</f>
        <v>旭晟</v>
      </c>
      <c r="J2307" s="139" t="str">
        <f>VLOOKUP(H2307,Stock_list!A:S,17,FALSE)</f>
        <v>C49SZX20200152SX</v>
      </c>
      <c r="K2307" s="51" t="str">
        <f>VLOOKUP(H2307,Stock_list!A:T,16,FALSE)</f>
        <v>JPY</v>
      </c>
      <c r="L2307" s="4">
        <v>44102</v>
      </c>
      <c r="M2307" s="132"/>
      <c r="O2307" s="132">
        <f>40-40</f>
        <v>0</v>
      </c>
      <c r="P2307" s="4" t="str">
        <f>VLOOKUP(H2307,Stock_list!A:Y,25,FALSE)</f>
        <v>Yes</v>
      </c>
      <c r="Q2307" s="133"/>
      <c r="T2307" s="144"/>
      <c r="U2307" s="145" t="str">
        <f>VLOOKUP(H2307,Stock_list!A:N,14,FALSE)</f>
        <v>NOV 20</v>
      </c>
    </row>
    <row r="2308" spans="1:21" ht="16.5" customHeight="1">
      <c r="A2308" s="159" t="s">
        <v>2744</v>
      </c>
      <c r="B2308" s="114" t="str">
        <f>VLOOKUP(A2308,'Data pick slip'!B:F,5,FALSE)</f>
        <v>KHJ-MC100-00</v>
      </c>
      <c r="F2308" s="157" t="s">
        <v>2862</v>
      </c>
      <c r="H2308" s="138">
        <v>827</v>
      </c>
      <c r="I2308" s="139" t="str">
        <f>VLOOKUP(H2308,Stock_list!A:R,18,FALSE)</f>
        <v>旭晟</v>
      </c>
      <c r="J2308" s="139" t="str">
        <f>VLOOKUP(H2308,Stock_list!A:S,17,FALSE)</f>
        <v>C49SZX20200152SX</v>
      </c>
      <c r="K2308" s="51" t="str">
        <f>VLOOKUP(H2308,Stock_list!A:T,16,FALSE)</f>
        <v>JPY</v>
      </c>
      <c r="L2308" s="4">
        <v>44161</v>
      </c>
      <c r="M2308" s="132">
        <v>40</v>
      </c>
      <c r="P2308" s="4" t="str">
        <f>VLOOKUP(H2308,Stock_list!A:Y,25,FALSE)</f>
        <v>Yes</v>
      </c>
      <c r="Q2308" s="133"/>
      <c r="T2308" s="144"/>
      <c r="U2308" s="145" t="str">
        <f>VLOOKUP(H2308,Stock_list!A:N,14,FALSE)</f>
        <v>NOV 20</v>
      </c>
    </row>
    <row r="2309" spans="1:21" ht="16.5" customHeight="1">
      <c r="A2309" s="159" t="s">
        <v>2747</v>
      </c>
      <c r="B2309" s="114" t="str">
        <f>VLOOKUP(A2309,'Data pick slip'!B:F,5,FALSE)</f>
        <v>KHJ-MC200-00</v>
      </c>
      <c r="F2309" s="157" t="s">
        <v>2862</v>
      </c>
      <c r="H2309" s="138">
        <v>827</v>
      </c>
      <c r="I2309" s="139" t="str">
        <f>VLOOKUP(H2309,Stock_list!A:R,18,FALSE)</f>
        <v>旭晟</v>
      </c>
      <c r="J2309" s="139" t="str">
        <f>VLOOKUP(H2309,Stock_list!A:S,17,FALSE)</f>
        <v>C49SZX20200152SX</v>
      </c>
      <c r="K2309" s="51" t="str">
        <f>VLOOKUP(H2309,Stock_list!A:T,16,FALSE)</f>
        <v>JPY</v>
      </c>
      <c r="L2309" s="4">
        <v>44161</v>
      </c>
      <c r="M2309" s="132">
        <v>10</v>
      </c>
      <c r="P2309" s="4" t="str">
        <f>VLOOKUP(H2309,Stock_list!A:Y,25,FALSE)</f>
        <v>Yes</v>
      </c>
      <c r="Q2309" s="143"/>
      <c r="T2309" s="144"/>
      <c r="U2309" s="145" t="str">
        <f>VLOOKUP(H2309,Stock_list!A:N,14,FALSE)</f>
        <v>NOV 20</v>
      </c>
    </row>
    <row r="2310" spans="1:21" ht="16.5" customHeight="1">
      <c r="A2310" s="159" t="s">
        <v>2748</v>
      </c>
      <c r="B2310" s="114" t="str">
        <f>VLOOKUP(A2310,'Data pick slip'!B:F,5,FALSE)</f>
        <v>KHJ-MC400-00</v>
      </c>
      <c r="F2310" s="157" t="s">
        <v>2862</v>
      </c>
      <c r="H2310" s="138">
        <v>827</v>
      </c>
      <c r="I2310" s="139" t="str">
        <f>VLOOKUP(H2310,Stock_list!A:R,18,FALSE)</f>
        <v>旭晟</v>
      </c>
      <c r="J2310" s="139" t="str">
        <f>VLOOKUP(H2310,Stock_list!A:S,17,FALSE)</f>
        <v>C49SZX20200152SX</v>
      </c>
      <c r="K2310" s="51" t="str">
        <f>VLOOKUP(H2310,Stock_list!A:T,16,FALSE)</f>
        <v>JPY</v>
      </c>
      <c r="L2310" s="4">
        <v>44161</v>
      </c>
      <c r="M2310" s="132">
        <v>2</v>
      </c>
      <c r="P2310" s="4" t="str">
        <f>VLOOKUP(H2310,Stock_list!A:Y,25,FALSE)</f>
        <v>Yes</v>
      </c>
      <c r="Q2310" s="143"/>
      <c r="T2310" s="144"/>
      <c r="U2310" s="145" t="str">
        <f>VLOOKUP(H2310,Stock_list!A:N,14,FALSE)</f>
        <v>NOV 20</v>
      </c>
    </row>
    <row r="2311" spans="1:21" ht="16.5" customHeight="1">
      <c r="A2311" s="159" t="s">
        <v>2749</v>
      </c>
      <c r="B2311" s="114" t="str">
        <f>VLOOKUP(A2311,'Data pick slip'!B:F,5,FALSE)</f>
        <v>KHJ-MC500-00</v>
      </c>
      <c r="F2311" s="157" t="s">
        <v>2773</v>
      </c>
      <c r="I2311" s="139" t="s">
        <v>3100</v>
      </c>
      <c r="J2311" s="139" t="s">
        <v>3344</v>
      </c>
      <c r="K2311" s="51" t="s">
        <v>1246</v>
      </c>
      <c r="L2311" s="4">
        <v>44084</v>
      </c>
      <c r="M2311" s="132">
        <v>1</v>
      </c>
      <c r="P2311" s="4" t="s">
        <v>291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2750</v>
      </c>
      <c r="B2312" s="114" t="str">
        <f>VLOOKUP(A2312,'Data pick slip'!B:F,5,FALSE)</f>
        <v>KHJ-MC600-00</v>
      </c>
      <c r="F2312" s="157" t="s">
        <v>2773</v>
      </c>
      <c r="I2312" s="139" t="s">
        <v>3100</v>
      </c>
      <c r="J2312" s="139" t="s">
        <v>3345</v>
      </c>
      <c r="K2312" s="51" t="s">
        <v>1246</v>
      </c>
      <c r="L2312" s="4">
        <v>44084</v>
      </c>
      <c r="M2312" s="132">
        <v>1</v>
      </c>
      <c r="P2312" s="4" t="s">
        <v>291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2744</v>
      </c>
      <c r="B2313" s="114" t="str">
        <f>VLOOKUP(A2313,'Data pick slip'!B:F,5,FALSE)</f>
        <v>KHJ-MC100-00</v>
      </c>
      <c r="F2313" s="157" t="s">
        <v>2862</v>
      </c>
      <c r="H2313" s="138">
        <v>828</v>
      </c>
      <c r="I2313" s="139" t="str">
        <f>VLOOKUP(H2313,Stock_list!A:R,18,FALSE)</f>
        <v>力通威</v>
      </c>
      <c r="J2313" s="139" t="str">
        <f>VLOOKUP(H2313,Stock_list!A:S,17,FALSE)</f>
        <v>C49SZX20200160JL</v>
      </c>
      <c r="K2313" s="51" t="str">
        <f>VLOOKUP(H2313,Stock_list!A:T,16,FALSE)</f>
        <v>JPY</v>
      </c>
      <c r="L2313" s="4">
        <v>44159</v>
      </c>
      <c r="M2313" s="132">
        <v>38</v>
      </c>
      <c r="P2313" s="4" t="str">
        <f>VLOOKUP(H2313,Stock_list!A:Y,25,FALSE)</f>
        <v>Yes</v>
      </c>
      <c r="Q2313" s="133"/>
      <c r="T2313" s="144"/>
      <c r="U2313" s="145" t="str">
        <f>VLOOKUP(H2313,Stock_list!A:N,14,FALSE)</f>
        <v>NOV 20</v>
      </c>
    </row>
    <row r="2314" spans="1:21" ht="16.5" customHeight="1">
      <c r="A2314" s="159" t="s">
        <v>2747</v>
      </c>
      <c r="B2314" s="114" t="str">
        <f>VLOOKUP(A2314,'Data pick slip'!B:F,5,FALSE)</f>
        <v>KHJ-MC200-00</v>
      </c>
      <c r="F2314" s="157" t="s">
        <v>2862</v>
      </c>
      <c r="H2314" s="138">
        <v>828</v>
      </c>
      <c r="I2314" s="139" t="str">
        <f>VLOOKUP(H2314,Stock_list!A:R,18,FALSE)</f>
        <v>力通威</v>
      </c>
      <c r="J2314" s="139" t="str">
        <f>VLOOKUP(H2314,Stock_list!A:S,17,FALSE)</f>
        <v>C49SZX20200160JL</v>
      </c>
      <c r="K2314" s="51" t="str">
        <f>VLOOKUP(H2314,Stock_list!A:T,16,FALSE)</f>
        <v>JPY</v>
      </c>
      <c r="L2314" s="4">
        <v>44159</v>
      </c>
      <c r="M2314" s="132">
        <v>10</v>
      </c>
      <c r="P2314" s="4" t="str">
        <f>VLOOKUP(H2314,Stock_list!A:Y,25,FALSE)</f>
        <v>Yes</v>
      </c>
      <c r="Q2314" s="133"/>
      <c r="T2314" s="144"/>
      <c r="U2314" s="145" t="str">
        <f>VLOOKUP(H2314,Stock_list!A:N,14,FALSE)</f>
        <v>NOV 20</v>
      </c>
    </row>
    <row r="2315" spans="1:21" ht="16.5" customHeight="1">
      <c r="A2315" s="159" t="s">
        <v>2748</v>
      </c>
      <c r="B2315" s="114" t="str">
        <f>VLOOKUP(A2315,'Data pick slip'!B:F,5,FALSE)</f>
        <v>KHJ-MC400-00</v>
      </c>
      <c r="F2315" s="157" t="s">
        <v>2862</v>
      </c>
      <c r="H2315" s="138">
        <v>828</v>
      </c>
      <c r="I2315" s="139" t="str">
        <f>VLOOKUP(H2315,Stock_list!A:R,18,FALSE)</f>
        <v>力通威</v>
      </c>
      <c r="J2315" s="139" t="str">
        <f>VLOOKUP(H2315,Stock_list!A:S,17,FALSE)</f>
        <v>C49SZX20200160JL</v>
      </c>
      <c r="K2315" s="51" t="str">
        <f>VLOOKUP(H2315,Stock_list!A:T,16,FALSE)</f>
        <v>JPY</v>
      </c>
      <c r="L2315" s="4">
        <v>44159</v>
      </c>
      <c r="M2315" s="132">
        <v>1</v>
      </c>
      <c r="P2315" s="4" t="str">
        <f>VLOOKUP(H2315,Stock_list!A:Y,25,FALSE)</f>
        <v>Yes</v>
      </c>
      <c r="Q2315" s="133"/>
      <c r="T2315" s="144"/>
      <c r="U2315" s="145" t="str">
        <f>VLOOKUP(H2315,Stock_list!A:N,14,FALSE)</f>
        <v>NOV 20</v>
      </c>
    </row>
    <row r="2316" spans="1:21" ht="16.5" customHeight="1">
      <c r="A2316" s="159" t="s">
        <v>2749</v>
      </c>
      <c r="B2316" s="114" t="str">
        <f>VLOOKUP(A2316,'Data pick slip'!B:F,5,FALSE)</f>
        <v>KHJ-MC500-00</v>
      </c>
      <c r="F2316" s="157" t="s">
        <v>2862</v>
      </c>
      <c r="H2316" s="138">
        <v>828</v>
      </c>
      <c r="I2316" s="139" t="str">
        <f>VLOOKUP(H2316,Stock_list!A:R,18,FALSE)</f>
        <v>力通威</v>
      </c>
      <c r="J2316" s="139" t="str">
        <f>VLOOKUP(H2316,Stock_list!A:S,17,FALSE)</f>
        <v>C49SZX20200160JL</v>
      </c>
      <c r="K2316" s="51" t="str">
        <f>VLOOKUP(H2316,Stock_list!A:T,16,FALSE)</f>
        <v>JPY</v>
      </c>
      <c r="L2316" s="4">
        <v>44159</v>
      </c>
      <c r="M2316" s="132">
        <v>1</v>
      </c>
      <c r="P2316" s="4" t="str">
        <f>VLOOKUP(H2316,Stock_list!A:Y,25,FALSE)</f>
        <v>Yes</v>
      </c>
      <c r="Q2316" s="133"/>
      <c r="T2316" s="144"/>
      <c r="U2316" s="145" t="str">
        <f>VLOOKUP(H2316,Stock_list!A:N,14,FALSE)</f>
        <v>NOV 20</v>
      </c>
    </row>
    <row r="2317" spans="1:21" ht="16.5" customHeight="1">
      <c r="A2317" s="159" t="s">
        <v>2748</v>
      </c>
      <c r="B2317" s="114" t="str">
        <f>VLOOKUP(A2317,'Data pick slip'!B:F,5,FALSE)</f>
        <v>KHJ-MC400-00</v>
      </c>
      <c r="F2317" s="157" t="s">
        <v>2773</v>
      </c>
      <c r="I2317" s="139" t="s">
        <v>3094</v>
      </c>
      <c r="J2317" s="139" t="s">
        <v>3346</v>
      </c>
      <c r="K2317" s="51" t="s">
        <v>1246</v>
      </c>
      <c r="L2317" s="4">
        <v>44090</v>
      </c>
      <c r="M2317" s="140">
        <v>2</v>
      </c>
      <c r="P2317" s="4" t="s">
        <v>291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2749</v>
      </c>
      <c r="B2318" s="114" t="str">
        <f>VLOOKUP(A2318,'Data pick slip'!B:F,5,FALSE)</f>
        <v>KHJ-MC500-00</v>
      </c>
      <c r="F2318" s="157" t="s">
        <v>2773</v>
      </c>
      <c r="I2318" s="139" t="s">
        <v>3094</v>
      </c>
      <c r="J2318" s="139" t="s">
        <v>3347</v>
      </c>
      <c r="K2318" s="51" t="s">
        <v>1246</v>
      </c>
      <c r="L2318" s="4">
        <v>44090</v>
      </c>
      <c r="M2318" s="140">
        <v>1</v>
      </c>
      <c r="P2318" s="4" t="s">
        <v>291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2747</v>
      </c>
      <c r="B2319" s="114" t="str">
        <f>VLOOKUP(A2319,'Data pick slip'!B:F,5,FALSE)</f>
        <v>KHJ-MC200-00</v>
      </c>
      <c r="F2319" s="157" t="s">
        <v>2773</v>
      </c>
      <c r="I2319" s="139" t="s">
        <v>3094</v>
      </c>
      <c r="J2319" s="139" t="s">
        <v>3348</v>
      </c>
      <c r="K2319" s="51" t="s">
        <v>1246</v>
      </c>
      <c r="L2319" s="4">
        <v>44090</v>
      </c>
      <c r="M2319" s="140">
        <v>20</v>
      </c>
      <c r="P2319" s="4" t="s">
        <v>291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2744</v>
      </c>
      <c r="B2320" s="114" t="str">
        <f>VLOOKUP(A2320,'Data pick slip'!B:F,5,FALSE)</f>
        <v>KHJ-MC100-00</v>
      </c>
      <c r="F2320" s="157" t="s">
        <v>2773</v>
      </c>
      <c r="H2320" s="138">
        <v>830</v>
      </c>
      <c r="I2320" s="139" t="str">
        <f>VLOOKUP(H2320,Stock_list!A:R,18,FALSE)</f>
        <v>志华鑫</v>
      </c>
      <c r="J2320" s="139" t="str">
        <f>VLOOKUP(H2320,Stock_list!A:S,17,FALSE)</f>
        <v>C49SZX20200155JD</v>
      </c>
      <c r="K2320" s="51" t="str">
        <f>VLOOKUP(H2320,Stock_list!A:T,16,FALSE)</f>
        <v>RMB</v>
      </c>
      <c r="L2320" s="4">
        <v>44159</v>
      </c>
      <c r="M2320" s="132">
        <v>240</v>
      </c>
      <c r="P2320" s="4" t="str">
        <f>VLOOKUP(H2320,Stock_list!A:Y,25,FALSE)</f>
        <v>Yes</v>
      </c>
      <c r="Q2320" s="143"/>
      <c r="T2320" s="144"/>
      <c r="U2320" s="145" t="str">
        <f>VLOOKUP(H2320,Stock_list!A:N,14,FALSE)</f>
        <v>NOV 20</v>
      </c>
    </row>
    <row r="2321" spans="1:21" ht="16.5" customHeight="1">
      <c r="A2321" s="159" t="s">
        <v>2747</v>
      </c>
      <c r="B2321" s="114" t="str">
        <f>VLOOKUP(A2321,'Data pick slip'!B:F,5,FALSE)</f>
        <v>KHJ-MC200-00</v>
      </c>
      <c r="F2321" s="157" t="s">
        <v>2773</v>
      </c>
      <c r="H2321" s="138">
        <v>830</v>
      </c>
      <c r="I2321" s="139" t="str">
        <f>VLOOKUP(H2321,Stock_list!A:R,18,FALSE)</f>
        <v>志华鑫</v>
      </c>
      <c r="J2321" s="139" t="str">
        <f>VLOOKUP(H2321,Stock_list!A:S,17,FALSE)</f>
        <v>C49SZX20200155JD</v>
      </c>
      <c r="K2321" s="51" t="str">
        <f>VLOOKUP(H2321,Stock_list!A:T,16,FALSE)</f>
        <v>RMB</v>
      </c>
      <c r="L2321" s="4">
        <v>44159</v>
      </c>
      <c r="M2321" s="132">
        <v>20</v>
      </c>
      <c r="P2321" s="4" t="str">
        <f>VLOOKUP(H2321,Stock_list!A:Y,25,FALSE)</f>
        <v>Yes</v>
      </c>
      <c r="Q2321" s="143"/>
      <c r="T2321" s="144"/>
      <c r="U2321" s="145" t="str">
        <f>VLOOKUP(H2321,Stock_list!A:N,14,FALSE)</f>
        <v>NOV 20</v>
      </c>
    </row>
    <row r="2322" spans="1:21" ht="16.5" customHeight="1">
      <c r="A2322" s="159" t="s">
        <v>2748</v>
      </c>
      <c r="B2322" s="114" t="str">
        <f>VLOOKUP(A2322,'Data pick slip'!B:F,5,FALSE)</f>
        <v>KHJ-MC400-00</v>
      </c>
      <c r="F2322" s="157" t="s">
        <v>2773</v>
      </c>
      <c r="H2322" s="138">
        <v>830</v>
      </c>
      <c r="I2322" s="139" t="str">
        <f>VLOOKUP(H2322,Stock_list!A:R,18,FALSE)</f>
        <v>志华鑫</v>
      </c>
      <c r="J2322" s="139" t="str">
        <f>VLOOKUP(H2322,Stock_list!A:S,17,FALSE)</f>
        <v>C49SZX20200155JD</v>
      </c>
      <c r="K2322" s="51" t="str">
        <f>VLOOKUP(H2322,Stock_list!A:T,16,FALSE)</f>
        <v>RMB</v>
      </c>
      <c r="L2322" s="4">
        <v>44159</v>
      </c>
      <c r="M2322" s="132">
        <v>9</v>
      </c>
      <c r="P2322" s="4" t="str">
        <f>VLOOKUP(H2322,Stock_list!A:Y,25,FALSE)</f>
        <v>Yes</v>
      </c>
      <c r="Q2322" s="143"/>
      <c r="T2322" s="144"/>
      <c r="U2322" s="145" t="str">
        <f>VLOOKUP(H2322,Stock_list!A:N,14,FALSE)</f>
        <v>NOV 20</v>
      </c>
    </row>
    <row r="2323" spans="1:21" ht="16.5" customHeight="1">
      <c r="A2323" s="159" t="s">
        <v>2749</v>
      </c>
      <c r="B2323" s="114" t="str">
        <f>VLOOKUP(A2323,'Data pick slip'!B:F,5,FALSE)</f>
        <v>KHJ-MC500-00</v>
      </c>
      <c r="F2323" s="157" t="s">
        <v>2773</v>
      </c>
      <c r="H2323" s="138">
        <v>830</v>
      </c>
      <c r="I2323" s="139" t="str">
        <f>VLOOKUP(H2323,Stock_list!A:R,18,FALSE)</f>
        <v>志华鑫</v>
      </c>
      <c r="J2323" s="139" t="str">
        <f>VLOOKUP(H2323,Stock_list!A:S,17,FALSE)</f>
        <v>C49SZX20200155JD</v>
      </c>
      <c r="K2323" s="51" t="str">
        <f>VLOOKUP(H2323,Stock_list!A:T,16,FALSE)</f>
        <v>RMB</v>
      </c>
      <c r="L2323" s="4">
        <v>44159</v>
      </c>
      <c r="M2323" s="132">
        <v>2</v>
      </c>
      <c r="P2323" s="4" t="str">
        <f>VLOOKUP(H2323,Stock_list!A:Y,25,FALSE)</f>
        <v>Yes</v>
      </c>
      <c r="Q2323" s="143"/>
      <c r="T2323" s="144"/>
      <c r="U2323" s="145" t="str">
        <f>VLOOKUP(H2323,Stock_list!A:N,14,FALSE)</f>
        <v>NOV 20</v>
      </c>
    </row>
    <row r="2324" spans="1:21" ht="16.5" customHeight="1">
      <c r="A2324" s="159" t="s">
        <v>2749</v>
      </c>
      <c r="B2324" s="114" t="str">
        <f>VLOOKUP(A2324,'Data pick slip'!B:F,5,FALSE)</f>
        <v>KHJ-MC500-00</v>
      </c>
      <c r="F2324" s="157" t="s">
        <v>2773</v>
      </c>
      <c r="I2324" s="139" t="s">
        <v>3116</v>
      </c>
      <c r="J2324" s="139" t="s">
        <v>3349</v>
      </c>
      <c r="K2324" s="51" t="s">
        <v>1246</v>
      </c>
      <c r="L2324" s="4">
        <v>44091</v>
      </c>
      <c r="M2324" s="140">
        <v>1</v>
      </c>
      <c r="P2324" s="4" t="s">
        <v>291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2744</v>
      </c>
      <c r="B2325" s="114" t="str">
        <f>VLOOKUP(A2325,'Data pick slip'!B:F,5,FALSE)</f>
        <v>KHJ-MC100-00</v>
      </c>
      <c r="F2325" s="157" t="s">
        <v>2862</v>
      </c>
      <c r="H2325" s="138">
        <v>835</v>
      </c>
      <c r="I2325" s="139" t="str">
        <f>VLOOKUP(H2325,Stock_list!A:R,18,FALSE)</f>
        <v>伟志半导体</v>
      </c>
      <c r="J2325" s="139" t="str">
        <f>VLOOKUP(H2325,Stock_list!A:S,17,FALSE)</f>
        <v>C49SZX20200159EC</v>
      </c>
      <c r="K2325" s="51" t="str">
        <f>VLOOKUP(H2325,Stock_list!A:T,16,FALSE)</f>
        <v>JPY</v>
      </c>
      <c r="L2325" s="4">
        <v>44151</v>
      </c>
      <c r="M2325" s="140">
        <v>2</v>
      </c>
      <c r="P2325" s="4" t="str">
        <f>VLOOKUP(H2325,Stock_list!A:Y,25,FALSE)</f>
        <v>Yes</v>
      </c>
      <c r="Q2325" s="143"/>
      <c r="T2325" s="144"/>
      <c r="U2325" s="145" t="str">
        <f>VLOOKUP(H2325,Stock_list!A:N,14,FALSE)</f>
        <v>NOV 20</v>
      </c>
    </row>
    <row r="2326" spans="1:21" ht="16.5" customHeight="1">
      <c r="A2326" s="159" t="s">
        <v>2744</v>
      </c>
      <c r="B2326" s="114" t="str">
        <f>VLOOKUP(A2326,'Data pick slip'!B:F,5,FALSE)</f>
        <v>KHJ-MC100-00</v>
      </c>
      <c r="F2326" s="157" t="s">
        <v>2773</v>
      </c>
      <c r="H2326" s="138">
        <v>835</v>
      </c>
      <c r="I2326" s="139" t="str">
        <f>VLOOKUP(H2326,Stock_list!A:R,18,FALSE)</f>
        <v>伟志半导体</v>
      </c>
      <c r="J2326" s="139" t="str">
        <f>VLOOKUP(H2326,Stock_list!A:S,17,FALSE)</f>
        <v>C49SZX20200159EC</v>
      </c>
      <c r="K2326" s="51" t="str">
        <f>VLOOKUP(H2326,Stock_list!A:T,16,FALSE)</f>
        <v>JPY</v>
      </c>
      <c r="L2326" s="4">
        <v>44151</v>
      </c>
      <c r="M2326" s="140">
        <v>2</v>
      </c>
      <c r="P2326" s="4" t="str">
        <f>VLOOKUP(H2326,Stock_list!A:Y,25,FALSE)</f>
        <v>Yes</v>
      </c>
      <c r="Q2326" s="143"/>
      <c r="S2326" s="268" t="s">
        <v>2778</v>
      </c>
      <c r="T2326" s="144" t="s">
        <v>3350</v>
      </c>
      <c r="U2326" s="145" t="str">
        <f>VLOOKUP(H2326,Stock_list!A:N,14,FALSE)</f>
        <v>NOV 20</v>
      </c>
    </row>
    <row r="2327" spans="1:21" ht="16.5" customHeight="1">
      <c r="A2327" s="159" t="s">
        <v>2744</v>
      </c>
      <c r="B2327" s="114" t="str">
        <f>VLOOKUP(A2327,'Data pick slip'!B:F,5,FALSE)</f>
        <v>KHJ-MC100-00</v>
      </c>
      <c r="F2327" s="157" t="s">
        <v>2773</v>
      </c>
      <c r="H2327" s="138">
        <v>835</v>
      </c>
      <c r="I2327" s="139" t="str">
        <f>VLOOKUP(H2327,Stock_list!A:R,18,FALSE)</f>
        <v>伟志半导体</v>
      </c>
      <c r="J2327" s="139" t="str">
        <f>VLOOKUP(H2327,Stock_list!A:S,17,FALSE)</f>
        <v>C49SZX20200159EC</v>
      </c>
      <c r="K2327" s="51" t="str">
        <f>VLOOKUP(H2327,Stock_list!A:T,16,FALSE)</f>
        <v>JPY</v>
      </c>
      <c r="L2327" s="4">
        <v>44151</v>
      </c>
      <c r="M2327" s="140">
        <v>2</v>
      </c>
      <c r="P2327" s="4" t="str">
        <f>VLOOKUP(H2327,Stock_list!A:Y,25,FALSE)</f>
        <v>Yes</v>
      </c>
      <c r="Q2327" s="143"/>
      <c r="S2327" s="123" t="s">
        <v>3004</v>
      </c>
      <c r="T2327" s="144" t="s">
        <v>3322</v>
      </c>
      <c r="U2327" s="145" t="str">
        <f>VLOOKUP(H2327,Stock_list!A:N,14,FALSE)</f>
        <v>NOV 20</v>
      </c>
    </row>
    <row r="2328" spans="1:21" ht="16.5" customHeight="1">
      <c r="A2328" s="159" t="s">
        <v>2744</v>
      </c>
      <c r="B2328" s="114" t="str">
        <f>VLOOKUP(A2328,'Data pick slip'!B:F,5,FALSE)</f>
        <v>KHJ-MC100-00</v>
      </c>
      <c r="F2328" s="157" t="s">
        <v>2773</v>
      </c>
      <c r="H2328" s="138">
        <v>835</v>
      </c>
      <c r="I2328" s="139" t="str">
        <f>VLOOKUP(H2328,Stock_list!A:R,18,FALSE)</f>
        <v>伟志半导体</v>
      </c>
      <c r="J2328" s="139" t="str">
        <f>VLOOKUP(H2328,Stock_list!A:S,17,FALSE)</f>
        <v>C49SZX20200159EC</v>
      </c>
      <c r="K2328" s="51" t="str">
        <f>VLOOKUP(H2328,Stock_list!A:T,16,FALSE)</f>
        <v>JPY</v>
      </c>
      <c r="L2328" s="4">
        <v>44151</v>
      </c>
      <c r="M2328" s="140">
        <v>4</v>
      </c>
      <c r="P2328" s="4" t="str">
        <f>VLOOKUP(H2328,Stock_list!A:Y,25,FALSE)</f>
        <v>Yes</v>
      </c>
      <c r="Q2328" s="143"/>
      <c r="S2328" s="123" t="s">
        <v>3004</v>
      </c>
      <c r="T2328" s="144" t="s">
        <v>3351</v>
      </c>
      <c r="U2328" s="145" t="str">
        <f>VLOOKUP(H2328,Stock_list!A:N,14,FALSE)</f>
        <v>NOV 20</v>
      </c>
    </row>
    <row r="2329" spans="1:21" ht="16.5" customHeight="1">
      <c r="A2329" s="159" t="s">
        <v>2744</v>
      </c>
      <c r="B2329" s="114" t="str">
        <f>VLOOKUP(A2329,'Data pick slip'!B:F,5,FALSE)</f>
        <v>KHJ-MC100-00</v>
      </c>
      <c r="F2329" s="157" t="s">
        <v>2862</v>
      </c>
      <c r="H2329" s="138">
        <v>837</v>
      </c>
      <c r="I2329" s="139" t="str">
        <f>VLOOKUP(H2329,Stock_list!A:R,18,FALSE)</f>
        <v>益田科技</v>
      </c>
      <c r="J2329" s="139" t="str">
        <f>VLOOKUP(H2329,Stock_list!A:S,17,FALSE)</f>
        <v>C49SZX20200165SX</v>
      </c>
      <c r="K2329" s="51" t="str">
        <f>VLOOKUP(H2329,Stock_list!A:T,16,FALSE)</f>
        <v>JPY</v>
      </c>
      <c r="L2329" s="4">
        <v>44166</v>
      </c>
      <c r="M2329" s="132">
        <v>60</v>
      </c>
      <c r="P2329" s="4" t="str">
        <f>VLOOKUP(H2329,Stock_list!A:Y,25,FALSE)</f>
        <v>Yes</v>
      </c>
      <c r="Q2329" s="133"/>
      <c r="T2329" s="144"/>
      <c r="U2329" s="145" t="str">
        <f>VLOOKUP(H2329,Stock_list!A:N,14,FALSE)</f>
        <v>NOV 20</v>
      </c>
    </row>
    <row r="2330" spans="1:21" ht="16.5" customHeight="1">
      <c r="A2330" s="159" t="s">
        <v>2747</v>
      </c>
      <c r="B2330" s="114" t="str">
        <f>VLOOKUP(A2330,'Data pick slip'!B:F,5,FALSE)</f>
        <v>KHJ-MC200-00</v>
      </c>
      <c r="F2330" s="157" t="s">
        <v>2862</v>
      </c>
      <c r="H2330" s="138">
        <v>837</v>
      </c>
      <c r="I2330" s="139" t="str">
        <f>VLOOKUP(H2330,Stock_list!A:R,18,FALSE)</f>
        <v>益田科技</v>
      </c>
      <c r="J2330" s="139" t="str">
        <f>VLOOKUP(H2330,Stock_list!A:S,17,FALSE)</f>
        <v>C49SZX20200165SX</v>
      </c>
      <c r="K2330" s="51" t="str">
        <f>VLOOKUP(H2330,Stock_list!A:T,16,FALSE)</f>
        <v>JPY</v>
      </c>
      <c r="L2330" s="4">
        <v>44166</v>
      </c>
      <c r="M2330" s="132">
        <v>4</v>
      </c>
      <c r="P2330" s="4" t="str">
        <f>VLOOKUP(H2330,Stock_list!A:Y,25,FALSE)</f>
        <v>Yes</v>
      </c>
      <c r="Q2330" s="133"/>
      <c r="T2330" s="144"/>
      <c r="U2330" s="145" t="str">
        <f>VLOOKUP(H2330,Stock_list!A:N,14,FALSE)</f>
        <v>NOV 20</v>
      </c>
    </row>
    <row r="2331" spans="1:21" ht="16.5" customHeight="1">
      <c r="A2331" s="159" t="s">
        <v>2748</v>
      </c>
      <c r="B2331" s="114" t="str">
        <f>VLOOKUP(A2331,'Data pick slip'!B:F,5,FALSE)</f>
        <v>KHJ-MC400-00</v>
      </c>
      <c r="F2331" s="157" t="s">
        <v>2862</v>
      </c>
      <c r="H2331" s="138">
        <v>837</v>
      </c>
      <c r="I2331" s="139" t="str">
        <f>VLOOKUP(H2331,Stock_list!A:R,18,FALSE)</f>
        <v>益田科技</v>
      </c>
      <c r="J2331" s="139" t="str">
        <f>VLOOKUP(H2331,Stock_list!A:S,17,FALSE)</f>
        <v>C49SZX20200165SX</v>
      </c>
      <c r="K2331" s="51" t="str">
        <f>VLOOKUP(H2331,Stock_list!A:T,16,FALSE)</f>
        <v>JPY</v>
      </c>
      <c r="L2331" s="4">
        <v>44166</v>
      </c>
      <c r="M2331" s="132">
        <v>2</v>
      </c>
      <c r="P2331" s="4" t="str">
        <f>VLOOKUP(H2331,Stock_list!A:Y,25,FALSE)</f>
        <v>Yes</v>
      </c>
      <c r="Q2331" s="133"/>
      <c r="T2331" s="144"/>
      <c r="U2331" s="145" t="str">
        <f>VLOOKUP(H2331,Stock_list!A:N,14,FALSE)</f>
        <v>NOV 20</v>
      </c>
    </row>
    <row r="2332" spans="1:21" ht="16.5" customHeight="1">
      <c r="A2332" s="159" t="s">
        <v>2744</v>
      </c>
      <c r="B2332" s="114" t="str">
        <f>VLOOKUP(A2332,'Data pick slip'!B:F,5,FALSE)</f>
        <v>KHJ-MC100-00</v>
      </c>
      <c r="F2332" s="157" t="s">
        <v>2862</v>
      </c>
      <c r="H2332" s="138">
        <v>837</v>
      </c>
      <c r="I2332" s="139" t="str">
        <f>VLOOKUP(H2332,Stock_list!A:R,18,FALSE)</f>
        <v>益田科技</v>
      </c>
      <c r="J2332" s="139" t="str">
        <f>VLOOKUP(H2332,Stock_list!A:S,17,FALSE)</f>
        <v>C49SZX20200165SX</v>
      </c>
      <c r="K2332" s="51" t="str">
        <f>VLOOKUP(H2332,Stock_list!A:T,16,FALSE)</f>
        <v>JPY</v>
      </c>
      <c r="L2332" s="4">
        <v>44182</v>
      </c>
      <c r="M2332" s="132">
        <v>16</v>
      </c>
      <c r="P2332" s="4" t="str">
        <f>VLOOKUP(H2332,Stock_list!A:Y,25,FALSE)</f>
        <v>Yes</v>
      </c>
      <c r="Q2332" s="133"/>
      <c r="T2332" s="144"/>
      <c r="U2332" s="145" t="str">
        <f>VLOOKUP(H2332,Stock_list!A:N,14,FALSE)</f>
        <v>NOV 20</v>
      </c>
    </row>
    <row r="2333" spans="1:21" ht="16.5" customHeight="1">
      <c r="A2333" s="159" t="s">
        <v>2744</v>
      </c>
      <c r="B2333" s="114" t="str">
        <f>VLOOKUP(A2333,'Data pick slip'!B:F,5,FALSE)</f>
        <v>KHJ-MC100-00</v>
      </c>
      <c r="F2333" s="157" t="s">
        <v>2862</v>
      </c>
      <c r="H2333" s="138">
        <v>837</v>
      </c>
      <c r="I2333" s="139" t="str">
        <f>VLOOKUP(H2333,Stock_list!A:R,18,FALSE)</f>
        <v>益田科技</v>
      </c>
      <c r="J2333" s="139" t="str">
        <f>VLOOKUP(H2333,Stock_list!A:S,17,FALSE)</f>
        <v>C49SZX20200165SX</v>
      </c>
      <c r="K2333" s="51" t="str">
        <f>VLOOKUP(H2333,Stock_list!A:T,16,FALSE)</f>
        <v>JPY</v>
      </c>
      <c r="L2333" s="4">
        <v>44182</v>
      </c>
      <c r="M2333" s="132">
        <v>44</v>
      </c>
      <c r="P2333" s="4" t="str">
        <f>VLOOKUP(H2333,Stock_list!A:Y,25,FALSE)</f>
        <v>Yes</v>
      </c>
      <c r="Q2333" s="133"/>
      <c r="T2333" s="144"/>
      <c r="U2333" s="145" t="str">
        <f>VLOOKUP(H2333,Stock_list!A:N,14,FALSE)</f>
        <v>NOV 20</v>
      </c>
    </row>
    <row r="2334" spans="1:21" ht="16.5" customHeight="1">
      <c r="A2334" s="159" t="s">
        <v>2744</v>
      </c>
      <c r="B2334" s="114" t="str">
        <f>VLOOKUP(A2334,'Data pick slip'!B:F,5,FALSE)</f>
        <v>KHJ-MC100-00</v>
      </c>
      <c r="F2334" s="157" t="s">
        <v>2773</v>
      </c>
      <c r="H2334" s="138">
        <v>837</v>
      </c>
      <c r="I2334" s="139" t="str">
        <f>VLOOKUP(H2334,Stock_list!A:R,18,FALSE)</f>
        <v>益田科技</v>
      </c>
      <c r="J2334" s="139" t="str">
        <f>VLOOKUP(H2334,Stock_list!A:S,17,FALSE)</f>
        <v>C49SZX20200165SX</v>
      </c>
      <c r="K2334" s="51" t="str">
        <f>VLOOKUP(H2334,Stock_list!A:T,16,FALSE)</f>
        <v>JPY</v>
      </c>
      <c r="L2334" s="4">
        <v>44189</v>
      </c>
      <c r="M2334" s="132"/>
      <c r="O2334" s="132">
        <f>44-44</f>
        <v>0</v>
      </c>
      <c r="P2334" s="4" t="str">
        <f>VLOOKUP(H2334,Stock_list!A:Y,25,FALSE)</f>
        <v>Yes</v>
      </c>
      <c r="Q2334" s="133"/>
      <c r="T2334" s="144"/>
      <c r="U2334" s="145" t="str">
        <f>VLOOKUP(H2334,Stock_list!A:N,14,FALSE)</f>
        <v>NOV 20</v>
      </c>
    </row>
    <row r="2335" spans="1:21" ht="16.5" customHeight="1">
      <c r="A2335" s="159" t="s">
        <v>2747</v>
      </c>
      <c r="B2335" s="114" t="str">
        <f>VLOOKUP(A2335,'Data pick slip'!B:F,5,FALSE)</f>
        <v>KHJ-MC200-00</v>
      </c>
      <c r="F2335" s="157" t="s">
        <v>2862</v>
      </c>
      <c r="H2335" s="138">
        <v>837</v>
      </c>
      <c r="I2335" s="139" t="str">
        <f>VLOOKUP(H2335,Stock_list!A:R,18,FALSE)</f>
        <v>益田科技</v>
      </c>
      <c r="J2335" s="139" t="str">
        <f>VLOOKUP(H2335,Stock_list!A:S,17,FALSE)</f>
        <v>C49SZX20200165SX</v>
      </c>
      <c r="K2335" s="51" t="str">
        <f>VLOOKUP(H2335,Stock_list!A:T,16,FALSE)</f>
        <v>JPY</v>
      </c>
      <c r="L2335" s="4">
        <v>44182</v>
      </c>
      <c r="M2335" s="132">
        <v>4</v>
      </c>
      <c r="P2335" s="4" t="str">
        <f>VLOOKUP(H2335,Stock_list!A:Y,25,FALSE)</f>
        <v>Yes</v>
      </c>
      <c r="Q2335" s="133"/>
      <c r="T2335" s="144"/>
      <c r="U2335" s="145" t="str">
        <f>VLOOKUP(H2335,Stock_list!A:N,14,FALSE)</f>
        <v>NOV 20</v>
      </c>
    </row>
    <row r="2336" spans="1:21" ht="16.5" customHeight="1">
      <c r="A2336" s="159" t="s">
        <v>2748</v>
      </c>
      <c r="B2336" s="114" t="str">
        <f>VLOOKUP(A2336,'Data pick slip'!B:F,5,FALSE)</f>
        <v>KHJ-MC400-00</v>
      </c>
      <c r="F2336" s="157" t="s">
        <v>2862</v>
      </c>
      <c r="H2336" s="138">
        <v>837</v>
      </c>
      <c r="I2336" s="139" t="str">
        <f>VLOOKUP(H2336,Stock_list!A:R,18,FALSE)</f>
        <v>益田科技</v>
      </c>
      <c r="J2336" s="139" t="str">
        <f>VLOOKUP(H2336,Stock_list!A:S,17,FALSE)</f>
        <v>C49SZX20200165SX</v>
      </c>
      <c r="K2336" s="51" t="str">
        <f>VLOOKUP(H2336,Stock_list!A:T,16,FALSE)</f>
        <v>JPY</v>
      </c>
      <c r="L2336" s="4">
        <v>44182</v>
      </c>
      <c r="M2336" s="132">
        <v>2</v>
      </c>
      <c r="P2336" s="4" t="str">
        <f>VLOOKUP(H2336,Stock_list!A:Y,25,FALSE)</f>
        <v>Yes</v>
      </c>
      <c r="Q2336" s="133"/>
      <c r="T2336" s="144"/>
      <c r="U2336" s="145" t="str">
        <f>VLOOKUP(H2336,Stock_list!A:N,14,FALSE)</f>
        <v>NOV 20</v>
      </c>
    </row>
    <row r="2337" spans="1:21" ht="16.5" customHeight="1">
      <c r="A2337" s="159" t="s">
        <v>2744</v>
      </c>
      <c r="B2337" s="114" t="str">
        <f>VLOOKUP(A2337,'Data pick slip'!B:F,5,FALSE)</f>
        <v>KHJ-MC100-00</v>
      </c>
      <c r="F2337" s="157" t="s">
        <v>2773</v>
      </c>
      <c r="H2337" s="138">
        <v>845</v>
      </c>
      <c r="I2337" s="139" t="str">
        <f>VLOOKUP(H2337,Stock_list!A:R,18,FALSE)</f>
        <v>昊亮迪</v>
      </c>
      <c r="J2337" s="139" t="str">
        <f>VLOOKUP(H2337,Stock_list!A:S,17,FALSE)</f>
        <v>C49SZX20200159JY</v>
      </c>
      <c r="K2337" s="51" t="str">
        <f>VLOOKUP(H2337,Stock_list!A:T,16,FALSE)</f>
        <v>JPY</v>
      </c>
      <c r="L2337" s="4">
        <v>44160</v>
      </c>
      <c r="M2337" s="140">
        <v>2</v>
      </c>
      <c r="P2337" s="4" t="str">
        <f>VLOOKUP(H2337,Stock_list!A:Y,25,FALSE)</f>
        <v>Yes</v>
      </c>
      <c r="Q2337" s="143"/>
      <c r="S2337" s="123" t="s">
        <v>3004</v>
      </c>
      <c r="T2337" s="144" t="s">
        <v>3322</v>
      </c>
      <c r="U2337" s="145" t="str">
        <f>VLOOKUP(H2337,Stock_list!A:N,14,FALSE)</f>
        <v>NOV 20</v>
      </c>
    </row>
    <row r="2338" spans="1:21" ht="16.5" customHeight="1">
      <c r="A2338" s="159" t="s">
        <v>2748</v>
      </c>
      <c r="B2338" s="114" t="str">
        <f>VLOOKUP(A2338,'Data pick slip'!B:F,5,FALSE)</f>
        <v>KHJ-MC400-00</v>
      </c>
      <c r="F2338" s="157" t="s">
        <v>2773</v>
      </c>
      <c r="I2338" s="139" t="s">
        <v>3094</v>
      </c>
      <c r="J2338" s="139" t="s">
        <v>3352</v>
      </c>
      <c r="K2338" s="51" t="s">
        <v>1246</v>
      </c>
      <c r="L2338" s="4">
        <v>44095</v>
      </c>
      <c r="M2338" s="140">
        <v>4</v>
      </c>
      <c r="P2338" s="4" t="s">
        <v>291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2755</v>
      </c>
      <c r="B2339" s="114" t="str">
        <f>VLOOKUP(A2339,'Data pick slip'!B:F,5,FALSE)</f>
        <v>KLJ-MC100-00</v>
      </c>
      <c r="F2339" s="157" t="s">
        <v>2862</v>
      </c>
      <c r="I2339" s="139" t="s">
        <v>3016</v>
      </c>
      <c r="J2339" s="139" t="s">
        <v>3353</v>
      </c>
      <c r="K2339" s="51" t="s">
        <v>1246</v>
      </c>
      <c r="L2339" s="4">
        <v>44090</v>
      </c>
      <c r="M2339" s="140">
        <v>20</v>
      </c>
      <c r="P2339" s="4" t="s">
        <v>291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2744</v>
      </c>
      <c r="B2340" s="114" t="str">
        <f>VLOOKUP(A2340,'Data pick slip'!B:F,5,FALSE)</f>
        <v>KHJ-MC100-00</v>
      </c>
      <c r="F2340" s="157" t="s">
        <v>2862</v>
      </c>
      <c r="I2340" s="139" t="s">
        <v>3016</v>
      </c>
      <c r="J2340" s="139" t="s">
        <v>3354</v>
      </c>
      <c r="K2340" s="51" t="s">
        <v>1246</v>
      </c>
      <c r="L2340" s="4">
        <v>44096</v>
      </c>
      <c r="M2340" s="140">
        <v>76</v>
      </c>
      <c r="P2340" s="4" t="s">
        <v>291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2747</v>
      </c>
      <c r="B2341" s="114" t="str">
        <f>VLOOKUP(A2341,'Data pick slip'!B:F,5,FALSE)</f>
        <v>KHJ-MC200-00</v>
      </c>
      <c r="F2341" s="157" t="s">
        <v>2773</v>
      </c>
      <c r="H2341" s="138">
        <v>847</v>
      </c>
      <c r="I2341" s="139" t="str">
        <f>VLOOKUP(H2341,Stock_list!A:R,18,FALSE)</f>
        <v>利速达</v>
      </c>
      <c r="J2341" s="139" t="str">
        <f>VLOOKUP(H2341,Stock_list!A:S,17,FALSE)</f>
        <v>C49SZX20200168SX</v>
      </c>
      <c r="K2341" s="51" t="str">
        <f>VLOOKUP(H2341,Stock_list!A:T,16,FALSE)</f>
        <v>RMB</v>
      </c>
      <c r="L2341" s="4">
        <v>44145</v>
      </c>
      <c r="M2341" s="132">
        <v>4</v>
      </c>
      <c r="P2341" s="4" t="str">
        <f>VLOOKUP(H2341,Stock_list!A:Y,25,FALSE)</f>
        <v>Yes</v>
      </c>
      <c r="Q2341" s="143"/>
      <c r="T2341" s="144"/>
      <c r="U2341" s="145" t="str">
        <f>VLOOKUP(H2341,Stock_list!A:N,14,FALSE)</f>
        <v>NOV 20</v>
      </c>
    </row>
    <row r="2342" spans="1:21" ht="16.5" customHeight="1">
      <c r="A2342" s="159" t="s">
        <v>2744</v>
      </c>
      <c r="B2342" s="114" t="str">
        <f>VLOOKUP(A2342,'Data pick slip'!B:F,5,FALSE)</f>
        <v>KHJ-MC100-00</v>
      </c>
      <c r="F2342" s="157" t="s">
        <v>2862</v>
      </c>
      <c r="H2342" s="138">
        <v>850</v>
      </c>
      <c r="I2342" s="139" t="str">
        <f>VLOOKUP(H2342,Stock_list!A:R,18,FALSE)</f>
        <v>海红天远</v>
      </c>
      <c r="J2342" s="139" t="str">
        <f>VLOOKUP(H2342,Stock_list!A:S,17,FALSE)</f>
        <v>C49SZX20200167EC</v>
      </c>
      <c r="K2342" s="51" t="str">
        <f>VLOOKUP(H2342,Stock_list!A:T,16,FALSE)</f>
        <v>JPY</v>
      </c>
      <c r="L2342" s="4">
        <v>44179</v>
      </c>
      <c r="M2342" s="132">
        <v>150</v>
      </c>
      <c r="P2342" s="4" t="str">
        <f>VLOOKUP(H2342,Stock_list!A:Y,25,FALSE)</f>
        <v>Yes</v>
      </c>
      <c r="Q2342" s="143"/>
      <c r="T2342" s="144"/>
      <c r="U2342" s="145" t="str">
        <f>VLOOKUP(H2342,Stock_list!A:N,14,FALSE)</f>
        <v>DEC 20</v>
      </c>
    </row>
    <row r="2343" spans="1:21" ht="16.5" customHeight="1">
      <c r="A2343" s="159" t="s">
        <v>2756</v>
      </c>
      <c r="B2343" s="114" t="str">
        <f>VLOOKUP(A2343,'Data pick slip'!B:F,5,FALSE)</f>
        <v>KLJ-MC200-00</v>
      </c>
      <c r="F2343" s="157" t="s">
        <v>2862</v>
      </c>
      <c r="H2343" s="138">
        <v>850</v>
      </c>
      <c r="I2343" s="139" t="str">
        <f>VLOOKUP(H2343,Stock_list!A:R,18,FALSE)</f>
        <v>海红天远</v>
      </c>
      <c r="J2343" s="139" t="str">
        <f>VLOOKUP(H2343,Stock_list!A:S,17,FALSE)</f>
        <v>C49SZX20200167EC</v>
      </c>
      <c r="K2343" s="51" t="str">
        <f>VLOOKUP(H2343,Stock_list!A:T,16,FALSE)</f>
        <v>JPY</v>
      </c>
      <c r="L2343" s="4">
        <v>44179</v>
      </c>
      <c r="M2343" s="132">
        <v>30</v>
      </c>
      <c r="P2343" s="4" t="str">
        <f>VLOOKUP(H2343,Stock_list!A:Y,25,FALSE)</f>
        <v>Yes</v>
      </c>
      <c r="T2343" s="144"/>
      <c r="U2343" s="145" t="str">
        <f>VLOOKUP(H2343,Stock_list!A:N,14,FALSE)</f>
        <v>DEC 20</v>
      </c>
    </row>
    <row r="2344" spans="1:21" ht="16.5" customHeight="1">
      <c r="A2344" s="159" t="s">
        <v>2748</v>
      </c>
      <c r="B2344" s="114" t="str">
        <f>VLOOKUP(A2344,'Data pick slip'!B:F,5,FALSE)</f>
        <v>KHJ-MC400-00</v>
      </c>
      <c r="F2344" s="157" t="s">
        <v>2862</v>
      </c>
      <c r="H2344" s="138">
        <v>850</v>
      </c>
      <c r="I2344" s="139" t="str">
        <f>VLOOKUP(H2344,Stock_list!A:R,18,FALSE)</f>
        <v>海红天远</v>
      </c>
      <c r="J2344" s="139" t="str">
        <f>VLOOKUP(H2344,Stock_list!A:S,17,FALSE)</f>
        <v>C49SZX20200167EC</v>
      </c>
      <c r="K2344" s="51" t="str">
        <f>VLOOKUP(H2344,Stock_list!A:T,16,FALSE)</f>
        <v>JPY</v>
      </c>
      <c r="L2344" s="4">
        <v>44179</v>
      </c>
      <c r="M2344" s="132">
        <v>10</v>
      </c>
      <c r="P2344" s="4" t="str">
        <f>VLOOKUP(H2344,Stock_list!A:Y,25,FALSE)</f>
        <v>Yes</v>
      </c>
      <c r="Q2344" s="143"/>
      <c r="T2344" s="144"/>
      <c r="U2344" s="145" t="str">
        <f>VLOOKUP(H2344,Stock_list!A:N,14,FALSE)</f>
        <v>DEC 20</v>
      </c>
    </row>
    <row r="2345" spans="1:21" ht="16.5" customHeight="1">
      <c r="A2345" s="159" t="s">
        <v>2749</v>
      </c>
      <c r="B2345" s="114" t="str">
        <f>VLOOKUP(A2345,'Data pick slip'!B:F,5,FALSE)</f>
        <v>KHJ-MC500-00</v>
      </c>
      <c r="F2345" s="157" t="s">
        <v>2862</v>
      </c>
      <c r="H2345" s="138">
        <v>850</v>
      </c>
      <c r="I2345" s="139" t="str">
        <f>VLOOKUP(H2345,Stock_list!A:R,18,FALSE)</f>
        <v>海红天远</v>
      </c>
      <c r="J2345" s="139" t="str">
        <f>VLOOKUP(H2345,Stock_list!A:S,17,FALSE)</f>
        <v>C49SZX20200167EC</v>
      </c>
      <c r="K2345" s="51" t="str">
        <f>VLOOKUP(H2345,Stock_list!A:T,16,FALSE)</f>
        <v>JPY</v>
      </c>
      <c r="L2345" s="4">
        <v>44179</v>
      </c>
      <c r="M2345" s="132">
        <v>5</v>
      </c>
      <c r="P2345" s="4" t="str">
        <f>VLOOKUP(H2345,Stock_list!A:Y,25,FALSE)</f>
        <v>Yes</v>
      </c>
      <c r="Q2345" s="143"/>
      <c r="T2345" s="144"/>
      <c r="U2345" s="145" t="str">
        <f>VLOOKUP(H2345,Stock_list!A:N,14,FALSE)</f>
        <v>DEC 20</v>
      </c>
    </row>
    <row r="2346" spans="1:21" ht="16.5" customHeight="1">
      <c r="A2346" s="159" t="s">
        <v>2750</v>
      </c>
      <c r="B2346" s="114" t="str">
        <f>VLOOKUP(A2346,'Data pick slip'!B:F,5,FALSE)</f>
        <v>KHJ-MC600-00</v>
      </c>
      <c r="F2346" s="157" t="s">
        <v>2862</v>
      </c>
      <c r="H2346" s="138">
        <v>850</v>
      </c>
      <c r="I2346" s="139" t="str">
        <f>VLOOKUP(H2346,Stock_list!A:R,18,FALSE)</f>
        <v>海红天远</v>
      </c>
      <c r="J2346" s="139" t="str">
        <f>VLOOKUP(H2346,Stock_list!A:S,17,FALSE)</f>
        <v>C49SZX20200167EC</v>
      </c>
      <c r="K2346" s="51" t="str">
        <f>VLOOKUP(H2346,Stock_list!A:T,16,FALSE)</f>
        <v>JPY</v>
      </c>
      <c r="L2346" s="4">
        <v>44179</v>
      </c>
      <c r="M2346" s="132">
        <v>5</v>
      </c>
      <c r="P2346" s="4" t="str">
        <f>VLOOKUP(H2346,Stock_list!A:Y,25,FALSE)</f>
        <v>Yes</v>
      </c>
      <c r="Q2346" s="143"/>
      <c r="T2346" s="144"/>
      <c r="U2346" s="145" t="str">
        <f>VLOOKUP(H2346,Stock_list!A:N,14,FALSE)</f>
        <v>DEC 20</v>
      </c>
    </row>
    <row r="2347" spans="1:21" ht="16.5" customHeight="1">
      <c r="A2347" s="159" t="s">
        <v>2751</v>
      </c>
      <c r="B2347" s="114" t="str">
        <f>VLOOKUP(A2347,'Data pick slip'!B:F,5,FALSE)</f>
        <v>KHJ-MC700-00</v>
      </c>
      <c r="F2347" s="157" t="s">
        <v>2773</v>
      </c>
      <c r="H2347" s="138">
        <v>850</v>
      </c>
      <c r="I2347" s="139" t="str">
        <f>VLOOKUP(H2347,Stock_list!A:R,18,FALSE)</f>
        <v>海红天远</v>
      </c>
      <c r="J2347" s="139" t="str">
        <f>VLOOKUP(H2347,Stock_list!A:S,17,FALSE)</f>
        <v>C49SZX20200167EC</v>
      </c>
      <c r="K2347" s="51" t="str">
        <f>VLOOKUP(H2347,Stock_list!A:T,16,FALSE)</f>
        <v>JPY</v>
      </c>
      <c r="L2347" s="4">
        <v>44179</v>
      </c>
      <c r="M2347" s="132">
        <v>2</v>
      </c>
      <c r="P2347" s="4" t="str">
        <f>VLOOKUP(H2347,Stock_list!A:Y,25,FALSE)</f>
        <v>Yes</v>
      </c>
      <c r="Q2347" s="143"/>
      <c r="S2347" s="123" t="s">
        <v>3004</v>
      </c>
      <c r="T2347" s="144" t="s">
        <v>3355</v>
      </c>
      <c r="U2347" s="145" t="str">
        <f>VLOOKUP(H2347,Stock_list!A:N,14,FALSE)</f>
        <v>DEC 20</v>
      </c>
    </row>
    <row r="2348" spans="1:21" ht="16.5" customHeight="1">
      <c r="A2348" s="159" t="s">
        <v>2744</v>
      </c>
      <c r="B2348" s="114" t="str">
        <f>VLOOKUP(A2348,'Data pick slip'!B:F,5,FALSE)</f>
        <v>KHJ-MC100-00</v>
      </c>
      <c r="F2348" s="157" t="s">
        <v>2773</v>
      </c>
      <c r="H2348" s="138">
        <v>852</v>
      </c>
      <c r="I2348" s="139" t="str">
        <f>VLOOKUP(H2348,Stock_list!A:R,18,FALSE)</f>
        <v>擎宇精工</v>
      </c>
      <c r="J2348" s="139" t="str">
        <f>VLOOKUP(H2348,Stock_list!A:S,17,FALSE)</f>
        <v>C49SZX20200177DY</v>
      </c>
      <c r="K2348" s="51" t="str">
        <f>VLOOKUP(H2348,Stock_list!A:T,16,FALSE)</f>
        <v>RMB</v>
      </c>
      <c r="L2348" s="4">
        <v>44128</v>
      </c>
      <c r="M2348" s="132">
        <v>50</v>
      </c>
      <c r="P2348" s="4" t="str">
        <f>VLOOKUP(H2348,Stock_list!A:Y,25,FALSE)</f>
        <v>Yes</v>
      </c>
      <c r="Q2348" s="143"/>
      <c r="T2348" s="144"/>
      <c r="U2348" s="145" t="str">
        <f>VLOOKUP(H2348,Stock_list!A:N,14,FALSE)</f>
        <v>OCT 20</v>
      </c>
    </row>
    <row r="2349" spans="1:21" ht="16.5" customHeight="1">
      <c r="A2349" s="159" t="s">
        <v>2744</v>
      </c>
      <c r="B2349" s="114" t="str">
        <f>VLOOKUP(A2349,'Data pick slip'!B:F,5,FALSE)</f>
        <v>KHJ-MC100-00</v>
      </c>
      <c r="F2349" s="157" t="s">
        <v>1381</v>
      </c>
      <c r="H2349" s="138">
        <v>853</v>
      </c>
      <c r="I2349" s="139" t="str">
        <f>VLOOKUP(H2349,Stock_list!A:R,18,FALSE)</f>
        <v>兴开泰</v>
      </c>
      <c r="J2349" s="139" t="str">
        <f>VLOOKUP(H2349,Stock_list!A:S,17,FALSE)</f>
        <v>C49SZX20200176SX</v>
      </c>
      <c r="K2349" s="51" t="str">
        <f>VLOOKUP(H2349,Stock_list!A:T,16,FALSE)</f>
        <v>JPY</v>
      </c>
      <c r="L2349" s="4">
        <v>44382</v>
      </c>
      <c r="M2349" s="140">
        <v>50</v>
      </c>
      <c r="P2349" s="4" t="str">
        <f>VLOOKUP(H2349,Stock_list!A:Y,25,FALSE)</f>
        <v>Yes</v>
      </c>
      <c r="Q2349" s="143"/>
      <c r="T2349" s="144"/>
      <c r="U2349" s="145" t="str">
        <f>VLOOKUP(H2349,Stock_list!A:N,14,FALSE)</f>
        <v>JUL 21</v>
      </c>
    </row>
    <row r="2350" spans="1:21" ht="16.5" customHeight="1">
      <c r="A2350" s="159" t="s">
        <v>2747</v>
      </c>
      <c r="B2350" s="114" t="str">
        <f>VLOOKUP(A2350,'Data pick slip'!B:F,5,FALSE)</f>
        <v>KHJ-MC200-00</v>
      </c>
      <c r="F2350" s="157" t="s">
        <v>1381</v>
      </c>
      <c r="H2350" s="138">
        <v>853</v>
      </c>
      <c r="I2350" s="139" t="str">
        <f>VLOOKUP(H2350,Stock_list!A:R,18,FALSE)</f>
        <v>兴开泰</v>
      </c>
      <c r="J2350" s="139" t="str">
        <f>VLOOKUP(H2350,Stock_list!A:S,17,FALSE)</f>
        <v>C49SZX20200176SX</v>
      </c>
      <c r="K2350" s="51" t="str">
        <f>VLOOKUP(H2350,Stock_list!A:T,16,FALSE)</f>
        <v>JPY</v>
      </c>
      <c r="L2350" s="4">
        <v>44382</v>
      </c>
      <c r="M2350" s="140">
        <v>30</v>
      </c>
      <c r="P2350" s="4" t="str">
        <f>VLOOKUP(H2350,Stock_list!A:Y,25,FALSE)</f>
        <v>Yes</v>
      </c>
      <c r="Q2350" s="143"/>
      <c r="T2350" s="144"/>
      <c r="U2350" s="145" t="str">
        <f>VLOOKUP(H2350,Stock_list!A:N,14,FALSE)</f>
        <v>JUL 21</v>
      </c>
    </row>
    <row r="2351" spans="1:21" ht="16.5" customHeight="1">
      <c r="A2351" s="159" t="s">
        <v>2748</v>
      </c>
      <c r="B2351" s="114" t="str">
        <f>VLOOKUP(A2351,'Data pick slip'!B:F,5,FALSE)</f>
        <v>KHJ-MC400-00</v>
      </c>
      <c r="F2351" s="157" t="s">
        <v>1381</v>
      </c>
      <c r="H2351" s="138">
        <v>853</v>
      </c>
      <c r="I2351" s="285" t="str">
        <f>VLOOKUP(H2351,Stock_list!A:R,18,FALSE)</f>
        <v>兴开泰</v>
      </c>
      <c r="J2351" s="285" t="str">
        <f>VLOOKUP(H2351,Stock_list!A:S,17,FALSE)</f>
        <v>C49SZX20200176SX</v>
      </c>
      <c r="K2351" s="258" t="str">
        <f>VLOOKUP(H2351,Stock_list!A:T,16,FALSE)</f>
        <v>JPY</v>
      </c>
      <c r="L2351" s="286">
        <v>44382</v>
      </c>
      <c r="M2351" s="289">
        <v>8</v>
      </c>
      <c r="P2351" s="4" t="str">
        <f>VLOOKUP(H2351,Stock_list!A:Y,25,FALSE)</f>
        <v>Yes</v>
      </c>
      <c r="Q2351" s="143"/>
      <c r="T2351" s="144"/>
      <c r="U2351" s="145" t="str">
        <f>VLOOKUP(H2351,Stock_list!A:N,14,FALSE)</f>
        <v>JUL 21</v>
      </c>
    </row>
    <row r="2352" spans="1:21" ht="16.5" customHeight="1">
      <c r="A2352" s="159" t="s">
        <v>2749</v>
      </c>
      <c r="B2352" s="114" t="str">
        <f>VLOOKUP(A2352,'Data pick slip'!B:F,5,FALSE)</f>
        <v>KHJ-MC500-00</v>
      </c>
      <c r="F2352" s="157" t="s">
        <v>1381</v>
      </c>
      <c r="H2352" s="138">
        <v>853</v>
      </c>
      <c r="I2352" s="139" t="str">
        <f>VLOOKUP(H2352,Stock_list!A:R,18,FALSE)</f>
        <v>兴开泰</v>
      </c>
      <c r="J2352" s="139" t="str">
        <f>VLOOKUP(H2352,Stock_list!A:S,17,FALSE)</f>
        <v>C49SZX20200176SX</v>
      </c>
      <c r="K2352" s="51" t="str">
        <f>VLOOKUP(H2352,Stock_list!A:T,16,FALSE)</f>
        <v>JPY</v>
      </c>
      <c r="L2352" s="4">
        <v>44382</v>
      </c>
      <c r="M2352" s="140">
        <v>4</v>
      </c>
      <c r="P2352" s="4" t="str">
        <f>VLOOKUP(H2352,Stock_list!A:Y,25,FALSE)</f>
        <v>Yes</v>
      </c>
      <c r="Q2352" s="143"/>
      <c r="T2352" s="144"/>
      <c r="U2352" s="145" t="str">
        <f>VLOOKUP(H2352,Stock_list!A:N,14,FALSE)</f>
        <v>JUL 21</v>
      </c>
    </row>
    <row r="2353" spans="1:21" ht="16.5" customHeight="1">
      <c r="A2353" s="159" t="s">
        <v>2744</v>
      </c>
      <c r="B2353" s="114" t="str">
        <f>VLOOKUP(A2353,'Data pick slip'!B:F,5,FALSE)</f>
        <v>KHJ-MC100-00</v>
      </c>
      <c r="F2353" s="157" t="s">
        <v>1381</v>
      </c>
      <c r="H2353" s="138">
        <v>853</v>
      </c>
      <c r="I2353" s="139" t="str">
        <f>VLOOKUP(H2353,Stock_list!A:R,18,FALSE)</f>
        <v>兴开泰</v>
      </c>
      <c r="J2353" s="139" t="str">
        <f>VLOOKUP(H2353,Stock_list!A:S,17,FALSE)</f>
        <v>C49SZX20200176SX</v>
      </c>
      <c r="K2353" s="51" t="str">
        <f>VLOOKUP(H2353,Stock_list!A:T,16,FALSE)</f>
        <v>JPY</v>
      </c>
      <c r="L2353" s="4">
        <v>44407</v>
      </c>
      <c r="M2353" s="132">
        <f>70-50</f>
        <v>20</v>
      </c>
      <c r="P2353" s="4" t="str">
        <f>VLOOKUP(H2353,Stock_list!A:Y,25,FALSE)</f>
        <v>Yes</v>
      </c>
      <c r="Q2353" s="143"/>
      <c r="T2353" s="144"/>
      <c r="U2353" s="145" t="str">
        <f>VLOOKUP(H2353,Stock_list!A:N,14,FALSE)</f>
        <v>JUL 21</v>
      </c>
    </row>
    <row r="2354" spans="1:21" ht="16.5" customHeight="1">
      <c r="A2354" s="159" t="s">
        <v>2747</v>
      </c>
      <c r="B2354" s="114" t="str">
        <f>VLOOKUP(A2354,'Data pick slip'!B:F,5,FALSE)</f>
        <v>KHJ-MC200-00</v>
      </c>
      <c r="F2354" s="157" t="s">
        <v>1381</v>
      </c>
      <c r="H2354" s="138">
        <v>853</v>
      </c>
      <c r="I2354" s="139" t="str">
        <f>VLOOKUP(H2354,Stock_list!A:R,18,FALSE)</f>
        <v>兴开泰</v>
      </c>
      <c r="J2354" s="139" t="str">
        <f>VLOOKUP(H2354,Stock_list!A:S,17,FALSE)</f>
        <v>C49SZX20200176SX</v>
      </c>
      <c r="K2354" s="51" t="str">
        <f>VLOOKUP(H2354,Stock_list!A:T,16,FALSE)</f>
        <v>JPY</v>
      </c>
      <c r="L2354" s="4">
        <v>44407</v>
      </c>
      <c r="M2354" s="132">
        <f>40-30</f>
        <v>10</v>
      </c>
      <c r="P2354" s="4" t="str">
        <f>VLOOKUP(H2354,Stock_list!A:Y,25,FALSE)</f>
        <v>Yes</v>
      </c>
      <c r="Q2354" s="143"/>
      <c r="T2354" s="144"/>
      <c r="U2354" s="145" t="str">
        <f>VLOOKUP(H2354,Stock_list!A:N,14,FALSE)</f>
        <v>JUL 21</v>
      </c>
    </row>
    <row r="2355" spans="1:21" ht="16.5" customHeight="1">
      <c r="A2355" s="159" t="s">
        <v>2748</v>
      </c>
      <c r="B2355" s="114" t="str">
        <f>VLOOKUP(A2355,'Data pick slip'!B:F,5,FALSE)</f>
        <v>KHJ-MC400-00</v>
      </c>
      <c r="F2355" s="157" t="s">
        <v>1381</v>
      </c>
      <c r="H2355" s="138">
        <v>853</v>
      </c>
      <c r="I2355" s="285" t="str">
        <f>VLOOKUP(H2355,Stock_list!A:R,18,FALSE)</f>
        <v>兴开泰</v>
      </c>
      <c r="J2355" s="285" t="str">
        <f>VLOOKUP(H2355,Stock_list!A:S,17,FALSE)</f>
        <v>C49SZX20200176SX</v>
      </c>
      <c r="K2355" s="258" t="str">
        <f>VLOOKUP(H2355,Stock_list!A:T,16,FALSE)</f>
        <v>JPY</v>
      </c>
      <c r="L2355" s="286">
        <v>44407</v>
      </c>
      <c r="M2355" s="283">
        <f>10-8</f>
        <v>2</v>
      </c>
      <c r="P2355" s="4" t="str">
        <f>VLOOKUP(H2355,Stock_list!A:Y,25,FALSE)</f>
        <v>Yes</v>
      </c>
      <c r="Q2355" s="143"/>
      <c r="T2355" s="144"/>
      <c r="U2355" s="145" t="str">
        <f>VLOOKUP(H2355,Stock_list!A:N,14,FALSE)</f>
        <v>JUL 21</v>
      </c>
    </row>
    <row r="2356" spans="1:21" ht="16.5" customHeight="1">
      <c r="A2356" s="159" t="s">
        <v>2749</v>
      </c>
      <c r="B2356" s="114" t="str">
        <f>VLOOKUP(A2356,'Data pick slip'!B:F,5,FALSE)</f>
        <v>KHJ-MC500-00</v>
      </c>
      <c r="F2356" s="157" t="s">
        <v>1381</v>
      </c>
      <c r="H2356" s="138">
        <v>853</v>
      </c>
      <c r="I2356" s="139" t="str">
        <f>VLOOKUP(H2356,Stock_list!A:R,18,FALSE)</f>
        <v>兴开泰</v>
      </c>
      <c r="J2356" s="139" t="str">
        <f>VLOOKUP(H2356,Stock_list!A:S,17,FALSE)</f>
        <v>C49SZX20200176SX</v>
      </c>
      <c r="K2356" s="51" t="str">
        <f>VLOOKUP(H2356,Stock_list!A:T,16,FALSE)</f>
        <v>JPY</v>
      </c>
      <c r="L2356" s="4">
        <v>44407</v>
      </c>
      <c r="M2356" s="132">
        <f>5-4</f>
        <v>1</v>
      </c>
      <c r="P2356" s="4" t="str">
        <f>VLOOKUP(H2356,Stock_list!A:Y,25,FALSE)</f>
        <v>Yes</v>
      </c>
      <c r="Q2356" s="143"/>
      <c r="T2356" s="144"/>
      <c r="U2356" s="145" t="str">
        <f>VLOOKUP(H2356,Stock_list!A:N,14,FALSE)</f>
        <v>JUL 21</v>
      </c>
    </row>
    <row r="2357" spans="1:21" ht="16.5" customHeight="1">
      <c r="A2357" s="159" t="s">
        <v>2744</v>
      </c>
      <c r="B2357" s="114" t="str">
        <f>VLOOKUP(A2357,'Data pick slip'!B:F,5,FALSE)</f>
        <v>KHJ-MC100-00</v>
      </c>
      <c r="F2357" s="157" t="s">
        <v>2773</v>
      </c>
      <c r="H2357" s="138">
        <v>857</v>
      </c>
      <c r="I2357" s="139" t="str">
        <f>VLOOKUP(H2357,Stock_list!A:R,18,FALSE)</f>
        <v>顺鸿达</v>
      </c>
      <c r="J2357" s="139" t="str">
        <f>VLOOKUP(H2357,Stock_list!A:S,17,FALSE)</f>
        <v>C49SZX20200178SS</v>
      </c>
      <c r="K2357" s="51" t="str">
        <f>VLOOKUP(H2357,Stock_list!A:T,16,FALSE)</f>
        <v>JPY</v>
      </c>
      <c r="L2357" s="4">
        <v>44134</v>
      </c>
      <c r="O2357" s="132">
        <f>30-30</f>
        <v>0</v>
      </c>
      <c r="P2357" s="4" t="str">
        <f>VLOOKUP(H2357,Stock_list!A:Y,25,FALSE)</f>
        <v>Yes</v>
      </c>
      <c r="Q2357" s="143"/>
      <c r="T2357" s="144"/>
      <c r="U2357" s="145" t="str">
        <f>VLOOKUP(H2357,Stock_list!A:N,14,FALSE)</f>
        <v>DEC 20</v>
      </c>
    </row>
    <row r="2358" spans="1:21" ht="16.5" customHeight="1">
      <c r="A2358" s="159" t="s">
        <v>2747</v>
      </c>
      <c r="B2358" s="114" t="str">
        <f>VLOOKUP(A2358,'Data pick slip'!B:F,5,FALSE)</f>
        <v>KHJ-MC200-00</v>
      </c>
      <c r="F2358" s="157" t="s">
        <v>2773</v>
      </c>
      <c r="H2358" s="138">
        <v>857</v>
      </c>
      <c r="I2358" s="139" t="str">
        <f>VLOOKUP(H2358,Stock_list!A:R,18,FALSE)</f>
        <v>顺鸿达</v>
      </c>
      <c r="J2358" s="139" t="str">
        <f>VLOOKUP(H2358,Stock_list!A:S,17,FALSE)</f>
        <v>C49SZX20200178SS</v>
      </c>
      <c r="K2358" s="51" t="str">
        <f>VLOOKUP(H2358,Stock_list!A:T,16,FALSE)</f>
        <v>JPY</v>
      </c>
      <c r="L2358" s="4">
        <v>44139</v>
      </c>
      <c r="O2358" s="132">
        <f>6-6</f>
        <v>0</v>
      </c>
      <c r="P2358" s="4" t="str">
        <f>VLOOKUP(H2358,Stock_list!A:Y,25,FALSE)</f>
        <v>Yes</v>
      </c>
      <c r="Q2358" s="143"/>
      <c r="T2358" s="144"/>
      <c r="U2358" s="145" t="str">
        <f>VLOOKUP(H2358,Stock_list!A:N,14,FALSE)</f>
        <v>DEC 20</v>
      </c>
    </row>
    <row r="2359" spans="1:21" ht="16.5" customHeight="1">
      <c r="A2359" s="159" t="s">
        <v>2744</v>
      </c>
      <c r="B2359" s="114" t="str">
        <f>VLOOKUP(A2359,'Data pick slip'!B:F,5,FALSE)</f>
        <v>KHJ-MC100-00</v>
      </c>
      <c r="F2359" s="157" t="s">
        <v>2862</v>
      </c>
      <c r="H2359" s="138">
        <v>857</v>
      </c>
      <c r="I2359" s="139" t="str">
        <f>VLOOKUP(H2359,Stock_list!A:R,18,FALSE)</f>
        <v>顺鸿达</v>
      </c>
      <c r="J2359" s="139" t="str">
        <f>VLOOKUP(H2359,Stock_list!A:S,17,FALSE)</f>
        <v>C49SZX20200178SS</v>
      </c>
      <c r="K2359" s="51" t="str">
        <f>VLOOKUP(H2359,Stock_list!A:T,16,FALSE)</f>
        <v>JPY</v>
      </c>
      <c r="L2359" s="4">
        <v>44196</v>
      </c>
      <c r="M2359" s="140">
        <v>32</v>
      </c>
      <c r="P2359" s="4" t="str">
        <f>VLOOKUP(H2359,Stock_list!A:Y,25,FALSE)</f>
        <v>Yes</v>
      </c>
      <c r="Q2359" s="143"/>
      <c r="T2359" s="144"/>
      <c r="U2359" s="145" t="str">
        <f>VLOOKUP(H2359,Stock_list!A:N,14,FALSE)</f>
        <v>DEC 20</v>
      </c>
    </row>
    <row r="2360" spans="1:21" ht="16.5" customHeight="1">
      <c r="A2360" s="159" t="s">
        <v>2747</v>
      </c>
      <c r="B2360" s="114" t="str">
        <f>VLOOKUP(A2360,'Data pick slip'!B:F,5,FALSE)</f>
        <v>KHJ-MC200-00</v>
      </c>
      <c r="F2360" s="157" t="s">
        <v>2862</v>
      </c>
      <c r="H2360" s="138">
        <v>857</v>
      </c>
      <c r="I2360" s="139" t="str">
        <f>VLOOKUP(H2360,Stock_list!A:R,18,FALSE)</f>
        <v>顺鸿达</v>
      </c>
      <c r="J2360" s="139" t="str">
        <f>VLOOKUP(H2360,Stock_list!A:S,17,FALSE)</f>
        <v>C49SZX20200178SS</v>
      </c>
      <c r="K2360" s="51" t="str">
        <f>VLOOKUP(H2360,Stock_list!A:T,16,FALSE)</f>
        <v>JPY</v>
      </c>
      <c r="L2360" s="4">
        <v>44196</v>
      </c>
      <c r="M2360" s="140">
        <v>6</v>
      </c>
      <c r="P2360" s="4" t="str">
        <f>VLOOKUP(H2360,Stock_list!A:Y,25,FALSE)</f>
        <v>Yes</v>
      </c>
      <c r="Q2360" s="143"/>
      <c r="T2360" s="144"/>
      <c r="U2360" s="145" t="str">
        <f>VLOOKUP(H2360,Stock_list!A:N,14,FALSE)</f>
        <v>DEC 20</v>
      </c>
    </row>
    <row r="2361" spans="1:21" ht="16.5" customHeight="1">
      <c r="A2361" s="159" t="s">
        <v>2744</v>
      </c>
      <c r="B2361" s="114" t="str">
        <f>VLOOKUP(A2361,'Data pick slip'!B:F,5,FALSE)</f>
        <v>KHJ-MC100-00</v>
      </c>
      <c r="F2361" s="157" t="s">
        <v>2862</v>
      </c>
      <c r="I2361" s="139" t="s">
        <v>3016</v>
      </c>
      <c r="J2361" s="139" t="s">
        <v>3356</v>
      </c>
      <c r="K2361" s="51" t="s">
        <v>1246</v>
      </c>
      <c r="L2361" s="4">
        <v>44102</v>
      </c>
      <c r="M2361" s="140">
        <v>100</v>
      </c>
      <c r="P2361" s="4" t="s">
        <v>291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2747</v>
      </c>
      <c r="B2362" s="114" t="str">
        <f>VLOOKUP(A2362,'Data pick slip'!B:F,5,FALSE)</f>
        <v>KHJ-MC200-00</v>
      </c>
      <c r="F2362" s="157" t="s">
        <v>2862</v>
      </c>
      <c r="I2362" s="139" t="s">
        <v>3016</v>
      </c>
      <c r="J2362" s="139" t="s">
        <v>3356</v>
      </c>
      <c r="K2362" s="51" t="s">
        <v>1246</v>
      </c>
      <c r="L2362" s="4">
        <v>44102</v>
      </c>
      <c r="M2362" s="140">
        <v>20</v>
      </c>
      <c r="P2362" s="4" t="s">
        <v>291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2748</v>
      </c>
      <c r="B2363" s="114" t="str">
        <f>VLOOKUP(A2363,'Data pick slip'!B:F,5,FALSE)</f>
        <v>KHJ-MC400-00</v>
      </c>
      <c r="F2363" s="157" t="s">
        <v>2862</v>
      </c>
      <c r="I2363" s="139" t="s">
        <v>3016</v>
      </c>
      <c r="J2363" s="139" t="s">
        <v>3356</v>
      </c>
      <c r="K2363" s="51" t="s">
        <v>1246</v>
      </c>
      <c r="L2363" s="4">
        <v>44102</v>
      </c>
      <c r="M2363" s="140">
        <v>21</v>
      </c>
      <c r="P2363" s="4" t="s">
        <v>291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2749</v>
      </c>
      <c r="B2364" s="114" t="str">
        <f>VLOOKUP(A2364,'Data pick slip'!B:F,5,FALSE)</f>
        <v>KHJ-MC500-00</v>
      </c>
      <c r="F2364" s="157" t="s">
        <v>2862</v>
      </c>
      <c r="I2364" s="139" t="s">
        <v>3016</v>
      </c>
      <c r="J2364" s="139" t="s">
        <v>3356</v>
      </c>
      <c r="K2364" s="51" t="s">
        <v>1246</v>
      </c>
      <c r="L2364" s="4">
        <v>44102</v>
      </c>
      <c r="M2364" s="140">
        <v>5</v>
      </c>
      <c r="P2364" s="4" t="s">
        <v>291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2750</v>
      </c>
      <c r="B2365" s="114" t="str">
        <f>VLOOKUP(A2365,'Data pick slip'!B:F,5,FALSE)</f>
        <v>KHJ-MC600-00</v>
      </c>
      <c r="F2365" s="157" t="s">
        <v>2862</v>
      </c>
      <c r="I2365" s="139" t="s">
        <v>3016</v>
      </c>
      <c r="J2365" s="139" t="s">
        <v>3356</v>
      </c>
      <c r="K2365" s="51" t="s">
        <v>1246</v>
      </c>
      <c r="L2365" s="4">
        <v>44102</v>
      </c>
      <c r="M2365" s="140">
        <v>9</v>
      </c>
      <c r="P2365" s="4" t="s">
        <v>291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2744</v>
      </c>
      <c r="B2366" s="114" t="str">
        <f>VLOOKUP(A2366,'Data pick slip'!B:F,5,FALSE)</f>
        <v>KHJ-MC100-00</v>
      </c>
      <c r="F2366" s="157" t="s">
        <v>2862</v>
      </c>
      <c r="H2366" s="138">
        <v>860</v>
      </c>
      <c r="I2366" s="139" t="str">
        <f>VLOOKUP(H2366,Stock_list!A:R,18,FALSE)</f>
        <v>兆晖</v>
      </c>
      <c r="J2366" s="139" t="str">
        <f>VLOOKUP(H2366,Stock_list!A:S,17,FALSE)</f>
        <v>C49SZX20200169DZ</v>
      </c>
      <c r="K2366" s="51" t="str">
        <f>VLOOKUP(H2366,Stock_list!A:T,16,FALSE)</f>
        <v>JPY</v>
      </c>
      <c r="L2366" s="4">
        <v>44174</v>
      </c>
      <c r="M2366" s="132">
        <v>60</v>
      </c>
      <c r="P2366" s="4" t="str">
        <f>VLOOKUP(H2366,Stock_list!A:Y,25,FALSE)</f>
        <v>Yes</v>
      </c>
      <c r="Q2366" s="143"/>
      <c r="T2366" s="144"/>
      <c r="U2366" s="145" t="str">
        <f>VLOOKUP(H2366,Stock_list!A:N,14,FALSE)</f>
        <v>DEC 20</v>
      </c>
    </row>
    <row r="2367" spans="1:21" ht="16.5" customHeight="1">
      <c r="A2367" s="159" t="s">
        <v>2747</v>
      </c>
      <c r="B2367" s="114" t="str">
        <f>VLOOKUP(A2367,'Data pick slip'!B:F,5,FALSE)</f>
        <v>KHJ-MC200-00</v>
      </c>
      <c r="F2367" s="157" t="s">
        <v>2862</v>
      </c>
      <c r="H2367" s="138">
        <v>860</v>
      </c>
      <c r="I2367" s="139" t="str">
        <f>VLOOKUP(H2367,Stock_list!A:R,18,FALSE)</f>
        <v>兆晖</v>
      </c>
      <c r="J2367" s="139" t="str">
        <f>VLOOKUP(H2367,Stock_list!A:S,17,FALSE)</f>
        <v>C49SZX20200169DZ</v>
      </c>
      <c r="K2367" s="51" t="str">
        <f>VLOOKUP(H2367,Stock_list!A:T,16,FALSE)</f>
        <v>JPY</v>
      </c>
      <c r="L2367" s="4">
        <v>44174</v>
      </c>
      <c r="M2367" s="132">
        <v>8</v>
      </c>
      <c r="P2367" s="4" t="str">
        <f>VLOOKUP(H2367,Stock_list!A:Y,25,FALSE)</f>
        <v>Yes</v>
      </c>
      <c r="Q2367" s="143"/>
      <c r="T2367" s="144"/>
      <c r="U2367" s="145" t="str">
        <f>VLOOKUP(H2367,Stock_list!A:N,14,FALSE)</f>
        <v>DEC 20</v>
      </c>
    </row>
    <row r="2368" spans="1:21" ht="16.5" customHeight="1">
      <c r="A2368" s="159" t="s">
        <v>2748</v>
      </c>
      <c r="B2368" s="114" t="str">
        <f>VLOOKUP(A2368,'Data pick slip'!B:F,5,FALSE)</f>
        <v>KHJ-MC400-00</v>
      </c>
      <c r="F2368" s="157" t="s">
        <v>2862</v>
      </c>
      <c r="H2368" s="138">
        <v>860</v>
      </c>
      <c r="I2368" s="139" t="str">
        <f>VLOOKUP(H2368,Stock_list!A:R,18,FALSE)</f>
        <v>兆晖</v>
      </c>
      <c r="J2368" s="139" t="str">
        <f>VLOOKUP(H2368,Stock_list!A:S,17,FALSE)</f>
        <v>C49SZX20200169DZ</v>
      </c>
      <c r="K2368" s="51" t="str">
        <f>VLOOKUP(H2368,Stock_list!A:T,16,FALSE)</f>
        <v>JPY</v>
      </c>
      <c r="L2368" s="4">
        <v>44174</v>
      </c>
      <c r="M2368" s="132">
        <v>4</v>
      </c>
      <c r="P2368" s="4" t="str">
        <f>VLOOKUP(H2368,Stock_list!A:Y,25,FALSE)</f>
        <v>Yes</v>
      </c>
      <c r="Q2368" s="143"/>
      <c r="T2368" s="144"/>
      <c r="U2368" s="145" t="str">
        <f>VLOOKUP(H2368,Stock_list!A:N,14,FALSE)</f>
        <v>DEC 20</v>
      </c>
    </row>
    <row r="2369" spans="1:21" ht="16.5" customHeight="1">
      <c r="A2369" s="159" t="s">
        <v>2744</v>
      </c>
      <c r="B2369" s="114" t="str">
        <f>VLOOKUP(A2369,'Data pick slip'!B:F,5,FALSE)</f>
        <v>KHJ-MC100-00</v>
      </c>
      <c r="F2369" s="157" t="s">
        <v>2773</v>
      </c>
      <c r="I2369" s="139" t="s">
        <v>3100</v>
      </c>
      <c r="J2369" s="139" t="s">
        <v>3357</v>
      </c>
      <c r="K2369" s="51" t="s">
        <v>1246</v>
      </c>
      <c r="L2369" s="4">
        <v>44101</v>
      </c>
      <c r="M2369" s="140">
        <v>50</v>
      </c>
      <c r="P2369" s="4" t="s">
        <v>291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2747</v>
      </c>
      <c r="B2370" s="114" t="str">
        <f>VLOOKUP(A2370,'Data pick slip'!B:F,5,FALSE)</f>
        <v>KHJ-MC200-00</v>
      </c>
      <c r="F2370" s="157" t="s">
        <v>2773</v>
      </c>
      <c r="I2370" s="139" t="s">
        <v>3100</v>
      </c>
      <c r="J2370" s="139" t="s">
        <v>3357</v>
      </c>
      <c r="K2370" s="51" t="s">
        <v>1246</v>
      </c>
      <c r="L2370" s="4">
        <v>44101</v>
      </c>
      <c r="M2370" s="140">
        <v>20</v>
      </c>
      <c r="P2370" s="4" t="s">
        <v>291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2744</v>
      </c>
      <c r="B2371" s="114" t="str">
        <f>VLOOKUP(A2371,'Data pick slip'!B:F,5,FALSE)</f>
        <v>KHJ-MC100-00</v>
      </c>
      <c r="F2371" s="157" t="s">
        <v>2773</v>
      </c>
      <c r="H2371" s="138">
        <v>862</v>
      </c>
      <c r="I2371" s="139" t="str">
        <f>VLOOKUP(H2371,Stock_list!A:R,18,FALSE)</f>
        <v>百纳海</v>
      </c>
      <c r="J2371" s="139" t="str">
        <f>VLOOKUP(H2371,Stock_list!A:S,17,FALSE)</f>
        <v>C49SZX20200175JY</v>
      </c>
      <c r="K2371" s="51" t="str">
        <f>VLOOKUP(H2371,Stock_list!A:T,16,FALSE)</f>
        <v>JPY</v>
      </c>
      <c r="L2371" s="4">
        <v>44147</v>
      </c>
      <c r="O2371" s="132">
        <f>40-40</f>
        <v>0</v>
      </c>
      <c r="P2371" s="4" t="str">
        <f>VLOOKUP(H2371,Stock_list!A:Y,25,FALSE)</f>
        <v>Yes</v>
      </c>
      <c r="Q2371" s="143"/>
      <c r="T2371" s="144"/>
      <c r="U2371" s="145" t="str">
        <f>VLOOKUP(H2371,Stock_list!A:N,14,FALSE)</f>
        <v>NOV 20</v>
      </c>
    </row>
    <row r="2372" spans="1:21" ht="18" customHeight="1">
      <c r="A2372" s="159" t="s">
        <v>2747</v>
      </c>
      <c r="B2372" s="114" t="str">
        <f>VLOOKUP(A2372,'Data pick slip'!B:F,5,FALSE)</f>
        <v>KHJ-MC200-00</v>
      </c>
      <c r="F2372" s="157" t="s">
        <v>2773</v>
      </c>
      <c r="H2372" s="138">
        <v>862</v>
      </c>
      <c r="I2372" s="139" t="str">
        <f>VLOOKUP(H2372,Stock_list!A:R,18,FALSE)</f>
        <v>百纳海</v>
      </c>
      <c r="J2372" s="139" t="str">
        <f>VLOOKUP(H2372,Stock_list!A:S,17,FALSE)</f>
        <v>C49SZX20200175JY</v>
      </c>
      <c r="K2372" s="51" t="str">
        <f>VLOOKUP(H2372,Stock_list!A:T,16,FALSE)</f>
        <v>JPY</v>
      </c>
      <c r="L2372" s="4">
        <v>44147</v>
      </c>
      <c r="O2372" s="132">
        <f>5-5</f>
        <v>0</v>
      </c>
      <c r="P2372" s="4" t="str">
        <f>VLOOKUP(H2372,Stock_list!A:Y,25,FALSE)</f>
        <v>Yes</v>
      </c>
      <c r="Q2372" s="143"/>
      <c r="T2372" s="144"/>
      <c r="U2372" s="145" t="str">
        <f>VLOOKUP(H2372,Stock_list!A:N,14,FALSE)</f>
        <v>NOV 20</v>
      </c>
    </row>
    <row r="2373" spans="1:21" ht="18" customHeight="1">
      <c r="A2373" s="159" t="s">
        <v>2744</v>
      </c>
      <c r="B2373" s="114" t="str">
        <f>VLOOKUP(A2373,'Data pick slip'!B:F,5,FALSE)</f>
        <v>KHJ-MC100-00</v>
      </c>
      <c r="F2373" s="157" t="s">
        <v>2862</v>
      </c>
      <c r="H2373" s="138">
        <v>862</v>
      </c>
      <c r="I2373" s="139" t="str">
        <f>VLOOKUP(H2373,Stock_list!A:R,18,FALSE)</f>
        <v>百纳海</v>
      </c>
      <c r="J2373" s="139" t="str">
        <f>VLOOKUP(H2373,Stock_list!A:S,17,FALSE)</f>
        <v>C49SZX20200175JY</v>
      </c>
      <c r="K2373" s="51" t="str">
        <f>VLOOKUP(H2373,Stock_list!A:T,16,FALSE)</f>
        <v>JPY</v>
      </c>
      <c r="L2373" s="4">
        <v>44160</v>
      </c>
      <c r="M2373" s="140">
        <v>40</v>
      </c>
      <c r="P2373" s="4" t="str">
        <f>VLOOKUP(H2373,Stock_list!A:Y,25,FALSE)</f>
        <v>Yes</v>
      </c>
      <c r="Q2373" s="143"/>
      <c r="T2373" s="144"/>
      <c r="U2373" s="145" t="str">
        <f>VLOOKUP(H2373,Stock_list!A:N,14,FALSE)</f>
        <v>NOV 20</v>
      </c>
    </row>
    <row r="2374" spans="1:21" ht="18" customHeight="1">
      <c r="A2374" s="159" t="s">
        <v>2747</v>
      </c>
      <c r="B2374" s="114" t="str">
        <f>VLOOKUP(A2374,'Data pick slip'!B:F,5,FALSE)</f>
        <v>KHJ-MC200-00</v>
      </c>
      <c r="F2374" s="157" t="s">
        <v>2862</v>
      </c>
      <c r="H2374" s="138">
        <v>862</v>
      </c>
      <c r="I2374" s="139" t="str">
        <f>VLOOKUP(H2374,Stock_list!A:R,18,FALSE)</f>
        <v>百纳海</v>
      </c>
      <c r="J2374" s="139" t="str">
        <f>VLOOKUP(H2374,Stock_list!A:S,17,FALSE)</f>
        <v>C49SZX20200175JY</v>
      </c>
      <c r="K2374" s="51" t="str">
        <f>VLOOKUP(H2374,Stock_list!A:T,16,FALSE)</f>
        <v>JPY</v>
      </c>
      <c r="L2374" s="4">
        <v>44160</v>
      </c>
      <c r="M2374" s="140">
        <v>5</v>
      </c>
      <c r="P2374" s="4" t="str">
        <f>VLOOKUP(H2374,Stock_list!A:Y,25,FALSE)</f>
        <v>Yes</v>
      </c>
      <c r="Q2374" s="143"/>
      <c r="T2374" s="144"/>
      <c r="U2374" s="145" t="str">
        <f>VLOOKUP(H2374,Stock_list!A:N,14,FALSE)</f>
        <v>NOV 20</v>
      </c>
    </row>
    <row r="2375" spans="1:21" ht="16.5" customHeight="1">
      <c r="A2375" s="159" t="s">
        <v>2755</v>
      </c>
      <c r="B2375" s="114" t="str">
        <f>VLOOKUP(A2375,'Data pick slip'!B:F,5,FALSE)</f>
        <v>KLJ-MC100-00</v>
      </c>
      <c r="F2375" s="157" t="s">
        <v>2862</v>
      </c>
      <c r="H2375" s="138">
        <v>863</v>
      </c>
      <c r="I2375" s="139" t="str">
        <f>VLOOKUP(H2375,Stock_list!A:R,18,FALSE)</f>
        <v>鸿南</v>
      </c>
      <c r="J2375" s="139" t="str">
        <f>VLOOKUP(H2375,Stock_list!A:S,17,FALSE)</f>
        <v>C49SZX20200179MZ</v>
      </c>
      <c r="K2375" s="51" t="str">
        <f>VLOOKUP(H2375,Stock_list!A:T,16,FALSE)</f>
        <v>JPY</v>
      </c>
      <c r="L2375" s="4">
        <v>44189</v>
      </c>
      <c r="M2375" s="140">
        <v>100</v>
      </c>
      <c r="P2375" s="4" t="str">
        <f>VLOOKUP(H2375,Stock_list!A:Y,25,FALSE)</f>
        <v>Yes</v>
      </c>
      <c r="Q2375" s="143"/>
      <c r="T2375" s="144"/>
      <c r="U2375" s="145" t="str">
        <f>VLOOKUP(H2375,Stock_list!A:N,14,FALSE)</f>
        <v>DEC 20</v>
      </c>
    </row>
    <row r="2376" spans="1:21" ht="16.5" customHeight="1">
      <c r="A2376" s="159" t="s">
        <v>2756</v>
      </c>
      <c r="B2376" s="114" t="str">
        <f>VLOOKUP(A2376,'Data pick slip'!B:F,5,FALSE)</f>
        <v>KLJ-MC200-00</v>
      </c>
      <c r="F2376" s="157" t="s">
        <v>2862</v>
      </c>
      <c r="H2376" s="138">
        <v>863</v>
      </c>
      <c r="I2376" s="139" t="str">
        <f>VLOOKUP(H2376,Stock_list!A:R,18,FALSE)</f>
        <v>鸿南</v>
      </c>
      <c r="J2376" s="139" t="str">
        <f>VLOOKUP(H2376,Stock_list!A:S,17,FALSE)</f>
        <v>C49SZX20200179MZ</v>
      </c>
      <c r="K2376" s="51" t="str">
        <f>VLOOKUP(H2376,Stock_list!A:T,16,FALSE)</f>
        <v>JPY</v>
      </c>
      <c r="L2376" s="4">
        <v>44189</v>
      </c>
      <c r="M2376" s="140">
        <v>10</v>
      </c>
      <c r="P2376" s="4" t="str">
        <f>VLOOKUP(H2376,Stock_list!A:Y,25,FALSE)</f>
        <v>Yes</v>
      </c>
      <c r="T2376" s="144"/>
      <c r="U2376" s="145" t="str">
        <f>VLOOKUP(H2376,Stock_list!A:N,14,FALSE)</f>
        <v>DEC 20</v>
      </c>
    </row>
    <row r="2377" spans="1:21" ht="16.5" customHeight="1">
      <c r="A2377" s="159" t="s">
        <v>2755</v>
      </c>
      <c r="B2377" s="114" t="str">
        <f>VLOOKUP(A2377,'Data pick slip'!B:F,5,FALSE)</f>
        <v>KLJ-MC100-00</v>
      </c>
      <c r="F2377" s="157" t="s">
        <v>2773</v>
      </c>
      <c r="H2377" s="138">
        <v>865</v>
      </c>
      <c r="I2377" s="139" t="str">
        <f>VLOOKUP(H2377,Stock_list!A:R,18,FALSE)</f>
        <v>皇家显示</v>
      </c>
      <c r="J2377" s="139" t="str">
        <f>VLOOKUP(H2377,Stock_list!A:S,17,FALSE)</f>
        <v>C49SZX20200171DZ</v>
      </c>
      <c r="K2377" s="51" t="str">
        <f>VLOOKUP(H2377,Stock_list!A:T,16,FALSE)</f>
        <v>RMB</v>
      </c>
      <c r="L2377" s="4">
        <v>44141</v>
      </c>
      <c r="M2377" s="140">
        <v>10</v>
      </c>
      <c r="P2377" s="4" t="str">
        <f>VLOOKUP(H2377,Stock_list!A:Y,25,FALSE)</f>
        <v>Yes</v>
      </c>
      <c r="Q2377" s="143"/>
      <c r="T2377" s="144"/>
      <c r="U2377" s="145" t="str">
        <f>VLOOKUP(H2377,Stock_list!A:N,14,FALSE)</f>
        <v>NOV 20</v>
      </c>
    </row>
    <row r="2378" spans="1:21" ht="16.5" customHeight="1">
      <c r="A2378" s="159" t="s">
        <v>2755</v>
      </c>
      <c r="B2378" s="114" t="str">
        <f>VLOOKUP(A2378,'Data pick slip'!B:F,5,FALSE)</f>
        <v>KLJ-MC100-00</v>
      </c>
      <c r="F2378" s="157" t="s">
        <v>2773</v>
      </c>
      <c r="H2378" s="138">
        <v>865</v>
      </c>
      <c r="I2378" s="139" t="str">
        <f>VLOOKUP(H2378,Stock_list!A:R,18,FALSE)</f>
        <v>皇家显示</v>
      </c>
      <c r="J2378" s="139" t="str">
        <f>VLOOKUP(H2378,Stock_list!A:S,17,FALSE)</f>
        <v>C49SZX20200171DZ</v>
      </c>
      <c r="K2378" s="51" t="str">
        <f>VLOOKUP(H2378,Stock_list!A:T,16,FALSE)</f>
        <v>RMB</v>
      </c>
      <c r="L2378" s="4">
        <v>44153</v>
      </c>
      <c r="M2378" s="140">
        <v>10</v>
      </c>
      <c r="P2378" s="4" t="str">
        <f>VLOOKUP(H2378,Stock_list!A:Y,25,FALSE)</f>
        <v>Yes</v>
      </c>
      <c r="Q2378" s="143"/>
      <c r="T2378" s="144"/>
      <c r="U2378" s="145" t="str">
        <f>VLOOKUP(H2378,Stock_list!A:N,14,FALSE)</f>
        <v>NOV 20</v>
      </c>
    </row>
    <row r="2379" spans="1:21" ht="16.5" customHeight="1">
      <c r="A2379" s="159" t="s">
        <v>2744</v>
      </c>
      <c r="B2379" s="114" t="str">
        <f>VLOOKUP(A2379,'Data pick slip'!B:F,5,FALSE)</f>
        <v>KHJ-MC100-00</v>
      </c>
      <c r="F2379" s="157" t="s">
        <v>2862</v>
      </c>
      <c r="H2379" s="138">
        <v>868</v>
      </c>
      <c r="I2379" s="139" t="str">
        <f>VLOOKUP(H2379,Stock_list!A:R,18,FALSE)</f>
        <v>嘉裕</v>
      </c>
      <c r="J2379" s="139" t="str">
        <f>VLOOKUP(H2379,Stock_list!A:S,17,FALSE)</f>
        <v>C49SZX20200170DZ</v>
      </c>
      <c r="K2379" s="51" t="str">
        <f>VLOOKUP(H2379,Stock_list!A:T,16,FALSE)</f>
        <v>JPY</v>
      </c>
      <c r="L2379" s="4">
        <v>44183</v>
      </c>
      <c r="M2379" s="132">
        <v>65</v>
      </c>
      <c r="P2379" s="4" t="str">
        <f>VLOOKUP(H2379,Stock_list!A:Y,25,FALSE)</f>
        <v>Yes</v>
      </c>
      <c r="Q2379" s="143"/>
      <c r="T2379" s="144"/>
      <c r="U2379" s="145" t="str">
        <f>VLOOKUP(H2379,Stock_list!A:N,14,FALSE)</f>
        <v>DEC 20</v>
      </c>
    </row>
    <row r="2380" spans="1:21" ht="16.5" customHeight="1">
      <c r="A2380" s="159" t="s">
        <v>2747</v>
      </c>
      <c r="B2380" s="114" t="str">
        <f>VLOOKUP(A2380,'Data pick slip'!B:F,5,FALSE)</f>
        <v>KHJ-MC200-00</v>
      </c>
      <c r="F2380" s="157" t="s">
        <v>2862</v>
      </c>
      <c r="H2380" s="138">
        <v>868</v>
      </c>
      <c r="I2380" s="139" t="str">
        <f>VLOOKUP(H2380,Stock_list!A:R,18,FALSE)</f>
        <v>嘉裕</v>
      </c>
      <c r="J2380" s="139" t="str">
        <f>VLOOKUP(H2380,Stock_list!A:S,17,FALSE)</f>
        <v>C49SZX20200170DZ</v>
      </c>
      <c r="K2380" s="51" t="str">
        <f>VLOOKUP(H2380,Stock_list!A:T,16,FALSE)</f>
        <v>JPY</v>
      </c>
      <c r="L2380" s="4">
        <v>44183</v>
      </c>
      <c r="M2380" s="132">
        <v>13</v>
      </c>
      <c r="P2380" s="4" t="str">
        <f>VLOOKUP(H2380,Stock_list!A:Y,25,FALSE)</f>
        <v>Yes</v>
      </c>
      <c r="Q2380" s="143"/>
      <c r="T2380" s="144"/>
      <c r="U2380" s="145" t="str">
        <f>VLOOKUP(H2380,Stock_list!A:N,14,FALSE)</f>
        <v>DEC 20</v>
      </c>
    </row>
    <row r="2381" spans="1:21" ht="16.5" customHeight="1">
      <c r="A2381" s="159" t="s">
        <v>2748</v>
      </c>
      <c r="B2381" s="114" t="str">
        <f>VLOOKUP(A2381,'Data pick slip'!B:F,5,FALSE)</f>
        <v>KHJ-MC400-00</v>
      </c>
      <c r="F2381" s="157" t="s">
        <v>2862</v>
      </c>
      <c r="H2381" s="138">
        <v>868</v>
      </c>
      <c r="I2381" s="139" t="str">
        <f>VLOOKUP(H2381,Stock_list!A:R,18,FALSE)</f>
        <v>嘉裕</v>
      </c>
      <c r="J2381" s="139" t="str">
        <f>VLOOKUP(H2381,Stock_list!A:S,17,FALSE)</f>
        <v>C49SZX20200170DZ</v>
      </c>
      <c r="K2381" s="51" t="str">
        <f>VLOOKUP(H2381,Stock_list!A:T,16,FALSE)</f>
        <v>JPY</v>
      </c>
      <c r="L2381" s="4">
        <v>44183</v>
      </c>
      <c r="M2381" s="132">
        <v>2</v>
      </c>
      <c r="P2381" s="4" t="str">
        <f>VLOOKUP(H2381,Stock_list!A:Y,25,FALSE)</f>
        <v>Yes</v>
      </c>
      <c r="Q2381" s="143"/>
      <c r="T2381" s="144"/>
      <c r="U2381" s="145" t="str">
        <f>VLOOKUP(H2381,Stock_list!A:N,14,FALSE)</f>
        <v>DEC 20</v>
      </c>
    </row>
    <row r="2382" spans="1:21" ht="16.5" customHeight="1">
      <c r="A2382" s="159" t="s">
        <v>2749</v>
      </c>
      <c r="B2382" s="114" t="str">
        <f>VLOOKUP(A2382,'Data pick slip'!B:F,5,FALSE)</f>
        <v>KHJ-MC500-00</v>
      </c>
      <c r="F2382" s="157" t="s">
        <v>2862</v>
      </c>
      <c r="H2382" s="138">
        <v>868</v>
      </c>
      <c r="I2382" s="139" t="str">
        <f>VLOOKUP(H2382,Stock_list!A:R,18,FALSE)</f>
        <v>嘉裕</v>
      </c>
      <c r="J2382" s="139" t="str">
        <f>VLOOKUP(H2382,Stock_list!A:S,17,FALSE)</f>
        <v>C49SZX20200170DZ</v>
      </c>
      <c r="K2382" s="51" t="str">
        <f>VLOOKUP(H2382,Stock_list!A:T,16,FALSE)</f>
        <v>JPY</v>
      </c>
      <c r="L2382" s="4">
        <v>44183</v>
      </c>
      <c r="M2382" s="132">
        <v>1</v>
      </c>
      <c r="P2382" s="4" t="str">
        <f>VLOOKUP(H2382,Stock_list!A:Y,25,FALSE)</f>
        <v>Yes</v>
      </c>
      <c r="Q2382" s="143"/>
      <c r="T2382" s="144"/>
      <c r="U2382" s="145" t="str">
        <f>VLOOKUP(H2382,Stock_list!A:N,14,FALSE)</f>
        <v>DEC 20</v>
      </c>
    </row>
    <row r="2383" spans="1:21" ht="16.5" customHeight="1">
      <c r="A2383" s="159" t="s">
        <v>2744</v>
      </c>
      <c r="B2383" s="114" t="str">
        <f>VLOOKUP(A2383,'Data pick slip'!B:F,5,FALSE)</f>
        <v>KHJ-MC100-00</v>
      </c>
      <c r="F2383" s="157" t="s">
        <v>2862</v>
      </c>
      <c r="H2383" s="138">
        <v>715</v>
      </c>
      <c r="I2383" s="139" t="str">
        <f>VLOOKUP(H2383,Stock_list!A:R,18,FALSE)</f>
        <v>瑞福联</v>
      </c>
      <c r="J2383" s="139" t="str">
        <f>VLOOKUP(H2383,Stock_list!A:S,17,FALSE)</f>
        <v>C49SZX20200089JL-R2</v>
      </c>
      <c r="K2383" s="51" t="str">
        <f>VLOOKUP(H2383,Stock_list!A:T,16,FALSE)</f>
        <v>JPY</v>
      </c>
      <c r="L2383" s="4">
        <v>44102</v>
      </c>
      <c r="M2383" s="140">
        <v>50</v>
      </c>
      <c r="P2383" s="4" t="str">
        <f>VLOOKUP(H2383,Stock_list!A:Y,25,FALSE)</f>
        <v>Yes</v>
      </c>
      <c r="Q2383" s="143"/>
      <c r="T2383" s="144"/>
      <c r="U2383" s="145" t="str">
        <f>VLOOKUP(H2383,Stock_list!A:N,14,FALSE)</f>
        <v>SEP 20</v>
      </c>
    </row>
    <row r="2384" spans="1:21" ht="16.5" customHeight="1">
      <c r="A2384" s="159" t="s">
        <v>2748</v>
      </c>
      <c r="B2384" s="114" t="str">
        <f>VLOOKUP(A2384,'Data pick slip'!B:F,5,FALSE)</f>
        <v>KHJ-MC400-00</v>
      </c>
      <c r="F2384" s="157" t="s">
        <v>2773</v>
      </c>
      <c r="H2384" s="138">
        <v>715</v>
      </c>
      <c r="I2384" s="139" t="str">
        <f>VLOOKUP(H2384,Stock_list!A:R,18,FALSE)</f>
        <v>瑞福联</v>
      </c>
      <c r="J2384" s="139" t="str">
        <f>VLOOKUP(H2384,Stock_list!A:S,17,FALSE)</f>
        <v>C49SZX20200089JL-R2</v>
      </c>
      <c r="K2384" s="51" t="str">
        <f>VLOOKUP(H2384,Stock_list!A:T,16,FALSE)</f>
        <v>JPY</v>
      </c>
      <c r="L2384" s="4">
        <v>44102</v>
      </c>
      <c r="M2384" s="140">
        <v>2</v>
      </c>
      <c r="P2384" s="4" t="str">
        <f>VLOOKUP(H2384,Stock_list!A:Y,25,FALSE)</f>
        <v>Yes</v>
      </c>
      <c r="Q2384" s="143"/>
      <c r="S2384" s="123" t="s">
        <v>3004</v>
      </c>
      <c r="T2384" s="205" t="s">
        <v>3310</v>
      </c>
      <c r="U2384" s="145" t="str">
        <f>VLOOKUP(H2384,Stock_list!A:N,14,FALSE)</f>
        <v>SEP 20</v>
      </c>
    </row>
    <row r="2385" spans="1:21" ht="16.5" customHeight="1">
      <c r="A2385" s="159" t="s">
        <v>2744</v>
      </c>
      <c r="B2385" s="114" t="str">
        <f>VLOOKUP(A2385,'Data pick slip'!B:F,5,FALSE)</f>
        <v>KHJ-MC100-00</v>
      </c>
      <c r="F2385" s="157" t="s">
        <v>2862</v>
      </c>
      <c r="H2385" s="138">
        <v>872</v>
      </c>
      <c r="I2385" s="139" t="str">
        <f>VLOOKUP(H2385,Stock_list!A:R,18,FALSE)</f>
        <v>东陆</v>
      </c>
      <c r="J2385" s="139" t="str">
        <f>VLOOKUP(H2385,Stock_list!A:S,17,FALSE)</f>
        <v>C49SZX20200180SX</v>
      </c>
      <c r="K2385" s="51" t="str">
        <f>VLOOKUP(H2385,Stock_list!A:T,16,FALSE)</f>
        <v>JPY</v>
      </c>
      <c r="L2385" s="4">
        <v>44231</v>
      </c>
      <c r="M2385" s="132">
        <v>62</v>
      </c>
      <c r="P2385" s="4" t="str">
        <f>VLOOKUP(H2385,Stock_list!A:Y,25,FALSE)</f>
        <v>Yes</v>
      </c>
      <c r="Q2385" s="143"/>
      <c r="T2385" s="144"/>
      <c r="U2385" s="145" t="str">
        <f>VLOOKUP(H2385,Stock_list!A:N,14,FALSE)</f>
        <v>JAN 21</v>
      </c>
    </row>
    <row r="2386" spans="1:21" ht="16.5" customHeight="1">
      <c r="A2386" s="159" t="s">
        <v>2747</v>
      </c>
      <c r="B2386" s="114" t="str">
        <f>VLOOKUP(A2386,'Data pick slip'!B:F,5,FALSE)</f>
        <v>KHJ-MC200-00</v>
      </c>
      <c r="F2386" s="157" t="s">
        <v>2862</v>
      </c>
      <c r="H2386" s="138">
        <v>872</v>
      </c>
      <c r="I2386" s="139" t="str">
        <f>VLOOKUP(H2386,Stock_list!A:R,18,FALSE)</f>
        <v>东陆</v>
      </c>
      <c r="J2386" s="139" t="str">
        <f>VLOOKUP(H2386,Stock_list!A:S,17,FALSE)</f>
        <v>C49SZX20200180SX</v>
      </c>
      <c r="K2386" s="51" t="str">
        <f>VLOOKUP(H2386,Stock_list!A:T,16,FALSE)</f>
        <v>JPY</v>
      </c>
      <c r="L2386" s="4">
        <v>44231</v>
      </c>
      <c r="M2386" s="132">
        <v>2</v>
      </c>
      <c r="P2386" s="4" t="str">
        <f>VLOOKUP(H2386,Stock_list!A:Y,25,FALSE)</f>
        <v>Yes</v>
      </c>
      <c r="Q2386" s="143"/>
      <c r="T2386" s="144"/>
      <c r="U2386" s="145" t="str">
        <f>VLOOKUP(H2386,Stock_list!A:N,14,FALSE)</f>
        <v>JAN 21</v>
      </c>
    </row>
    <row r="2387" spans="1:21" ht="16.5" customHeight="1">
      <c r="A2387" s="159" t="s">
        <v>2748</v>
      </c>
      <c r="B2387" s="114" t="str">
        <f>VLOOKUP(A2387,'Data pick slip'!B:F,5,FALSE)</f>
        <v>KHJ-MC400-00</v>
      </c>
      <c r="F2387" s="157" t="s">
        <v>2862</v>
      </c>
      <c r="H2387" s="138">
        <v>872</v>
      </c>
      <c r="I2387" s="285" t="str">
        <f>VLOOKUP(H2387,Stock_list!A:R,18,FALSE)</f>
        <v>东陆</v>
      </c>
      <c r="J2387" s="285" t="str">
        <f>VLOOKUP(H2387,Stock_list!A:S,17,FALSE)</f>
        <v>C49SZX20200180SX</v>
      </c>
      <c r="K2387" s="258" t="str">
        <f>VLOOKUP(H2387,Stock_list!A:T,16,FALSE)</f>
        <v>JPY</v>
      </c>
      <c r="L2387" s="286">
        <v>44231</v>
      </c>
      <c r="M2387" s="283">
        <v>1</v>
      </c>
      <c r="P2387" s="4" t="str">
        <f>VLOOKUP(H2387,Stock_list!A:Y,25,FALSE)</f>
        <v>Yes</v>
      </c>
      <c r="Q2387" s="143"/>
      <c r="T2387" s="144"/>
      <c r="U2387" s="145" t="str">
        <f>VLOOKUP(H2387,Stock_list!A:N,14,FALSE)</f>
        <v>JAN 21</v>
      </c>
    </row>
    <row r="2388" spans="1:21" ht="16.5" customHeight="1">
      <c r="A2388" s="159" t="s">
        <v>2749</v>
      </c>
      <c r="B2388" s="114" t="str">
        <f>VLOOKUP(A2388,'Data pick slip'!B:F,5,FALSE)</f>
        <v>KHJ-MC500-00</v>
      </c>
      <c r="F2388" s="157" t="s">
        <v>2862</v>
      </c>
      <c r="H2388" s="138">
        <v>872</v>
      </c>
      <c r="I2388" s="139" t="str">
        <f>VLOOKUP(H2388,Stock_list!A:R,18,FALSE)</f>
        <v>东陆</v>
      </c>
      <c r="J2388" s="139" t="str">
        <f>VLOOKUP(H2388,Stock_list!A:S,17,FALSE)</f>
        <v>C49SZX20200180SX</v>
      </c>
      <c r="K2388" s="51" t="str">
        <f>VLOOKUP(H2388,Stock_list!A:T,16,FALSE)</f>
        <v>JPY</v>
      </c>
      <c r="L2388" s="4">
        <v>44231</v>
      </c>
      <c r="M2388" s="132">
        <v>1</v>
      </c>
      <c r="P2388" s="4" t="str">
        <f>VLOOKUP(H2388,Stock_list!A:Y,25,FALSE)</f>
        <v>Yes</v>
      </c>
      <c r="Q2388" s="143"/>
      <c r="T2388" s="144"/>
      <c r="U2388" s="145" t="str">
        <f>VLOOKUP(H2388,Stock_list!A:N,14,FALSE)</f>
        <v>JAN 21</v>
      </c>
    </row>
    <row r="2389" spans="1:21" ht="16.5" customHeight="1">
      <c r="A2389" s="159" t="s">
        <v>2744</v>
      </c>
      <c r="B2389" s="114" t="str">
        <f>VLOOKUP(A2389,'Data pick slip'!B:F,5,FALSE)</f>
        <v>KHJ-MC100-00</v>
      </c>
      <c r="F2389" s="157" t="s">
        <v>2862</v>
      </c>
      <c r="H2389" s="138">
        <v>875</v>
      </c>
      <c r="I2389" s="139" t="str">
        <f>VLOOKUP(H2389,Stock_list!A:R,18,FALSE)</f>
        <v>东陆</v>
      </c>
      <c r="J2389" s="139" t="str">
        <f>VLOOKUP(H2389,Stock_list!A:S,17,FALSE)</f>
        <v>C49SZX20200181SX</v>
      </c>
      <c r="K2389" s="51" t="str">
        <f>VLOOKUP(H2389,Stock_list!A:T,16,FALSE)</f>
        <v>JPY</v>
      </c>
      <c r="L2389" s="4">
        <v>44267</v>
      </c>
      <c r="M2389" s="132">
        <v>40</v>
      </c>
      <c r="P2389" s="4" t="str">
        <f>VLOOKUP(H2389,Stock_list!A:Y,25,FALSE)</f>
        <v>Yes</v>
      </c>
      <c r="Q2389" s="143"/>
      <c r="T2389" s="144"/>
      <c r="U2389" s="145" t="str">
        <f>VLOOKUP(H2389,Stock_list!A:N,14,FALSE)</f>
        <v>MAR 21</v>
      </c>
    </row>
    <row r="2390" spans="1:21" ht="16.5" customHeight="1">
      <c r="A2390" s="159" t="s">
        <v>2747</v>
      </c>
      <c r="B2390" s="114" t="str">
        <f>VLOOKUP(A2390,'Data pick slip'!B:F,5,FALSE)</f>
        <v>KHJ-MC200-00</v>
      </c>
      <c r="F2390" s="157" t="s">
        <v>2862</v>
      </c>
      <c r="H2390" s="138">
        <v>875</v>
      </c>
      <c r="I2390" s="139" t="str">
        <f>VLOOKUP(H2390,Stock_list!A:R,18,FALSE)</f>
        <v>东陆</v>
      </c>
      <c r="J2390" s="139" t="str">
        <f>VLOOKUP(H2390,Stock_list!A:S,17,FALSE)</f>
        <v>C49SZX20200181SX</v>
      </c>
      <c r="K2390" s="51" t="str">
        <f>VLOOKUP(H2390,Stock_list!A:T,16,FALSE)</f>
        <v>JPY</v>
      </c>
      <c r="L2390" s="4">
        <v>44267</v>
      </c>
      <c r="M2390" s="132">
        <v>1</v>
      </c>
      <c r="P2390" s="4" t="str">
        <f>VLOOKUP(H2390,Stock_list!A:Y,25,FALSE)</f>
        <v>Yes</v>
      </c>
      <c r="Q2390" s="143"/>
      <c r="T2390" s="144"/>
      <c r="U2390" s="145" t="str">
        <f>VLOOKUP(H2390,Stock_list!A:N,14,FALSE)</f>
        <v>MAR 21</v>
      </c>
    </row>
    <row r="2391" spans="1:21" ht="16.5" customHeight="1">
      <c r="A2391" s="159" t="s">
        <v>2748</v>
      </c>
      <c r="B2391" s="114" t="str">
        <f>VLOOKUP(A2391,'Data pick slip'!B:F,5,FALSE)</f>
        <v>KHJ-MC400-00</v>
      </c>
      <c r="F2391" s="157" t="s">
        <v>2862</v>
      </c>
      <c r="H2391" s="138">
        <v>875</v>
      </c>
      <c r="I2391" s="285" t="str">
        <f>VLOOKUP(H2391,Stock_list!A:R,18,FALSE)</f>
        <v>东陆</v>
      </c>
      <c r="J2391" s="285" t="str">
        <f>VLOOKUP(H2391,Stock_list!A:S,17,FALSE)</f>
        <v>C49SZX20200181SX</v>
      </c>
      <c r="K2391" s="258" t="str">
        <f>VLOOKUP(H2391,Stock_list!A:T,16,FALSE)</f>
        <v>JPY</v>
      </c>
      <c r="L2391" s="286">
        <v>44267</v>
      </c>
      <c r="M2391" s="283">
        <v>1</v>
      </c>
      <c r="P2391" s="4" t="str">
        <f>VLOOKUP(H2391,Stock_list!A:Y,25,FALSE)</f>
        <v>Yes</v>
      </c>
      <c r="Q2391" s="143"/>
      <c r="T2391" s="144"/>
      <c r="U2391" s="145" t="str">
        <f>VLOOKUP(H2391,Stock_list!A:N,14,FALSE)</f>
        <v>MAR 21</v>
      </c>
    </row>
    <row r="2392" spans="1:21" ht="16.5" customHeight="1">
      <c r="A2392" s="159" t="s">
        <v>2744</v>
      </c>
      <c r="B2392" s="114" t="str">
        <f>VLOOKUP(A2392,'Data pick slip'!B:F,5,FALSE)</f>
        <v>KHJ-MC100-00</v>
      </c>
      <c r="F2392" s="157" t="s">
        <v>2773</v>
      </c>
      <c r="H2392" s="138">
        <v>877</v>
      </c>
      <c r="I2392" s="139" t="str">
        <f>VLOOKUP(H2392,Stock_list!A:R,18,FALSE)</f>
        <v>日东（end user：远爱）</v>
      </c>
      <c r="J2392" s="139" t="str">
        <f>VLOOKUP(H2392,Stock_list!A:S,17,FALSE)</f>
        <v>C49SZX20200173MX</v>
      </c>
      <c r="K2392" s="51" t="str">
        <f>VLOOKUP(H2392,Stock_list!A:T,16,FALSE)</f>
        <v>RMB</v>
      </c>
      <c r="L2392" s="4">
        <v>44175</v>
      </c>
      <c r="M2392" s="140">
        <v>21</v>
      </c>
      <c r="P2392" s="4" t="str">
        <f>VLOOKUP(H2392,Stock_list!A:Y,25,FALSE)</f>
        <v>Yes</v>
      </c>
      <c r="Q2392" s="133"/>
      <c r="T2392" s="144"/>
      <c r="U2392" s="145" t="str">
        <f>VLOOKUP(H2392,Stock_list!A:N,14,FALSE)</f>
        <v>DEC 20</v>
      </c>
    </row>
    <row r="2393" spans="1:21" ht="16.5" customHeight="1">
      <c r="A2393" s="159" t="s">
        <v>2744</v>
      </c>
      <c r="B2393" s="114" t="str">
        <f>VLOOKUP(A2393,'Data pick slip'!B:F,5,FALSE)</f>
        <v>KHJ-MC100-00</v>
      </c>
      <c r="F2393" s="157" t="s">
        <v>2773</v>
      </c>
      <c r="H2393" s="138">
        <v>737</v>
      </c>
      <c r="I2393" s="139" t="str">
        <f>VLOOKUP(H2393,Stock_list!A:R,18,FALSE)</f>
        <v>捷舜诚</v>
      </c>
      <c r="J2393" s="139" t="str">
        <f>VLOOKUP(H2393,Stock_list!A:S,17,FALSE)</f>
        <v>C49SZX20200109JL</v>
      </c>
      <c r="K2393" s="51" t="str">
        <f>VLOOKUP(H2393,Stock_list!A:T,16,FALSE)</f>
        <v>JPY</v>
      </c>
      <c r="L2393" s="4">
        <v>44117</v>
      </c>
      <c r="M2393" s="140">
        <v>5</v>
      </c>
      <c r="P2393" s="4" t="str">
        <f>VLOOKUP(H2393,Stock_list!A:Y,25,FALSE)</f>
        <v>Yes</v>
      </c>
      <c r="Q2393" s="143"/>
      <c r="S2393" s="123" t="s">
        <v>3004</v>
      </c>
      <c r="T2393" s="144" t="s">
        <v>3358</v>
      </c>
      <c r="U2393" s="145" t="str">
        <f>VLOOKUP(H2393,Stock_list!A:N,14,FALSE)</f>
        <v>OCT 20</v>
      </c>
    </row>
    <row r="2394" spans="1:21" ht="16.5" customHeight="1">
      <c r="A2394" s="159" t="s">
        <v>2744</v>
      </c>
      <c r="B2394" s="114" t="str">
        <f>VLOOKUP(A2394,'Data pick slip'!B:F,5,FALSE)</f>
        <v>KHJ-MC100-00</v>
      </c>
      <c r="F2394" s="157" t="s">
        <v>2773</v>
      </c>
      <c r="I2394" s="139" t="s">
        <v>3094</v>
      </c>
      <c r="J2394" s="139" t="s">
        <v>3359</v>
      </c>
      <c r="K2394" s="51" t="s">
        <v>1246</v>
      </c>
      <c r="L2394" s="4">
        <v>44117</v>
      </c>
      <c r="M2394" s="132">
        <v>160</v>
      </c>
      <c r="P2394" s="4" t="s">
        <v>291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2747</v>
      </c>
      <c r="B2395" s="114" t="str">
        <f>VLOOKUP(A2395,'Data pick slip'!B:F,5,FALSE)</f>
        <v>KHJ-MC200-00</v>
      </c>
      <c r="F2395" s="157" t="s">
        <v>2773</v>
      </c>
      <c r="I2395" s="139" t="s">
        <v>3094</v>
      </c>
      <c r="J2395" s="139" t="s">
        <v>3359</v>
      </c>
      <c r="K2395" s="51" t="s">
        <v>1246</v>
      </c>
      <c r="L2395" s="4">
        <v>44117</v>
      </c>
      <c r="M2395" s="132">
        <v>10</v>
      </c>
      <c r="P2395" s="4" t="s">
        <v>291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2748</v>
      </c>
      <c r="B2396" s="114" t="str">
        <f>VLOOKUP(A2396,'Data pick slip'!B:F,5,FALSE)</f>
        <v>KHJ-MC400-00</v>
      </c>
      <c r="F2396" s="157" t="s">
        <v>2773</v>
      </c>
      <c r="I2396" s="139" t="s">
        <v>3094</v>
      </c>
      <c r="J2396" s="139" t="s">
        <v>3359</v>
      </c>
      <c r="K2396" s="51" t="s">
        <v>1246</v>
      </c>
      <c r="L2396" s="4">
        <v>44117</v>
      </c>
      <c r="M2396" s="132">
        <v>2</v>
      </c>
      <c r="P2396" s="4" t="s">
        <v>291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2744</v>
      </c>
      <c r="B2397" s="114" t="str">
        <f>VLOOKUP(A2397,'Data pick slip'!B:F,5,FALSE)</f>
        <v>KHJ-MC100-00</v>
      </c>
      <c r="F2397" s="157" t="s">
        <v>2862</v>
      </c>
      <c r="H2397" s="138">
        <v>878</v>
      </c>
      <c r="I2397" s="139" t="str">
        <f>VLOOKUP(H2397,Stock_list!A:R,18,FALSE)</f>
        <v>百纳海</v>
      </c>
      <c r="J2397" s="139" t="str">
        <f>VLOOKUP(H2397,Stock_list!A:S,17,FALSE)</f>
        <v>C49SZX20200182JY</v>
      </c>
      <c r="K2397" s="51" t="str">
        <f>VLOOKUP(H2397,Stock_list!A:T,16,FALSE)</f>
        <v>JPY</v>
      </c>
      <c r="L2397" s="4">
        <v>44217</v>
      </c>
      <c r="M2397" s="140">
        <v>40</v>
      </c>
      <c r="P2397" s="4" t="str">
        <f>VLOOKUP(H2397,Stock_list!A:Y,25,FALSE)</f>
        <v>Yes</v>
      </c>
      <c r="Q2397" s="133"/>
      <c r="T2397" s="144"/>
      <c r="U2397" s="145" t="str">
        <f>VLOOKUP(H2397,Stock_list!A:N,14,FALSE)</f>
        <v>JAN 21</v>
      </c>
    </row>
    <row r="2398" spans="1:21" ht="16.5" customHeight="1">
      <c r="A2398" s="159" t="s">
        <v>2744</v>
      </c>
      <c r="B2398" s="114" t="str">
        <f>VLOOKUP(A2398,'Data pick slip'!B:F,5,FALSE)</f>
        <v>KHJ-MC100-00</v>
      </c>
      <c r="F2398" s="157" t="s">
        <v>2773</v>
      </c>
      <c r="H2398" s="138">
        <v>878</v>
      </c>
      <c r="I2398" s="139" t="str">
        <f>VLOOKUP(H2398,Stock_list!A:R,18,FALSE)</f>
        <v>百纳海</v>
      </c>
      <c r="J2398" s="139" t="str">
        <f>VLOOKUP(H2398,Stock_list!A:S,17,FALSE)</f>
        <v>C49SZX20200182JY</v>
      </c>
      <c r="K2398" s="51" t="str">
        <f>VLOOKUP(H2398,Stock_list!A:T,16,FALSE)</f>
        <v>JPY</v>
      </c>
      <c r="L2398" s="4">
        <v>44201</v>
      </c>
      <c r="O2398" s="132">
        <f>40-40</f>
        <v>0</v>
      </c>
      <c r="P2398" s="4" t="str">
        <f>VLOOKUP(H2398,Stock_list!A:Y,25,FALSE)</f>
        <v>Yes</v>
      </c>
      <c r="Q2398" s="133"/>
      <c r="T2398" s="144"/>
      <c r="U2398" s="145" t="str">
        <f>VLOOKUP(H2398,Stock_list!A:N,14,FALSE)</f>
        <v>JAN 21</v>
      </c>
    </row>
    <row r="2399" spans="1:21" ht="16.5" customHeight="1">
      <c r="A2399" s="159" t="s">
        <v>2744</v>
      </c>
      <c r="B2399" s="114" t="str">
        <f>VLOOKUP(A2399,'Data pick slip'!B:F,5,FALSE)</f>
        <v>KHJ-MC100-00</v>
      </c>
      <c r="F2399" s="157" t="s">
        <v>2773</v>
      </c>
      <c r="H2399" s="138">
        <v>880</v>
      </c>
      <c r="I2399" s="139" t="str">
        <f>VLOOKUP(H2399,Stock_list!A:R,18,FALSE)</f>
        <v>亿莱</v>
      </c>
      <c r="J2399" s="139" t="str">
        <f>VLOOKUP(H2399,Stock_list!A:S,17,FALSE)</f>
        <v>C49SZX20200187SX</v>
      </c>
      <c r="K2399" s="51" t="str">
        <f>VLOOKUP(H2399,Stock_list!A:T,16,FALSE)</f>
        <v>RMB</v>
      </c>
      <c r="L2399" s="4">
        <v>44150</v>
      </c>
      <c r="M2399" s="132">
        <v>70</v>
      </c>
      <c r="P2399" s="4" t="str">
        <f>VLOOKUP(H2399,Stock_list!A:Y,25,FALSE)</f>
        <v>Yes</v>
      </c>
      <c r="Q2399" s="133"/>
      <c r="T2399" s="144"/>
      <c r="U2399" s="145" t="str">
        <f>VLOOKUP(H2399,Stock_list!A:N,14,FALSE)</f>
        <v>DEC 20</v>
      </c>
    </row>
    <row r="2400" spans="1:21" ht="16.5" customHeight="1">
      <c r="A2400" s="159" t="s">
        <v>2747</v>
      </c>
      <c r="B2400" s="114" t="str">
        <f>VLOOKUP(A2400,'Data pick slip'!B:F,5,FALSE)</f>
        <v>KHJ-MC200-00</v>
      </c>
      <c r="F2400" s="157" t="s">
        <v>2773</v>
      </c>
      <c r="H2400" s="138">
        <v>880</v>
      </c>
      <c r="I2400" s="139" t="str">
        <f>VLOOKUP(H2400,Stock_list!A:R,18,FALSE)</f>
        <v>亿莱</v>
      </c>
      <c r="J2400" s="139" t="str">
        <f>VLOOKUP(H2400,Stock_list!A:S,17,FALSE)</f>
        <v>C49SZX20200187SX</v>
      </c>
      <c r="K2400" s="51" t="str">
        <f>VLOOKUP(H2400,Stock_list!A:T,16,FALSE)</f>
        <v>RMB</v>
      </c>
      <c r="L2400" s="4">
        <v>44150</v>
      </c>
      <c r="M2400" s="132">
        <v>12</v>
      </c>
      <c r="P2400" s="4" t="str">
        <f>VLOOKUP(H2400,Stock_list!A:Y,25,FALSE)</f>
        <v>Yes</v>
      </c>
      <c r="Q2400" s="133"/>
      <c r="T2400" s="144"/>
      <c r="U2400" s="145" t="str">
        <f>VLOOKUP(H2400,Stock_list!A:N,14,FALSE)</f>
        <v>DEC 20</v>
      </c>
    </row>
    <row r="2401" spans="1:21" ht="16.5" customHeight="1">
      <c r="A2401" s="159" t="s">
        <v>2748</v>
      </c>
      <c r="B2401" s="114" t="str">
        <f>VLOOKUP(A2401,'Data pick slip'!B:F,5,FALSE)</f>
        <v>KHJ-MC400-00</v>
      </c>
      <c r="F2401" s="157" t="s">
        <v>2773</v>
      </c>
      <c r="H2401" s="138">
        <v>880</v>
      </c>
      <c r="I2401" s="139" t="str">
        <f>VLOOKUP(H2401,Stock_list!A:R,18,FALSE)</f>
        <v>亿莱</v>
      </c>
      <c r="J2401" s="139" t="str">
        <f>VLOOKUP(H2401,Stock_list!A:S,17,FALSE)</f>
        <v>C49SZX20200187SX</v>
      </c>
      <c r="K2401" s="51" t="str">
        <f>VLOOKUP(H2401,Stock_list!A:T,16,FALSE)</f>
        <v>RMB</v>
      </c>
      <c r="L2401" s="4">
        <v>44150</v>
      </c>
      <c r="M2401" s="132">
        <v>3</v>
      </c>
      <c r="P2401" s="4" t="str">
        <f>VLOOKUP(H2401,Stock_list!A:Y,25,FALSE)</f>
        <v>Yes</v>
      </c>
      <c r="Q2401" s="133"/>
      <c r="T2401" s="144"/>
      <c r="U2401" s="145" t="str">
        <f>VLOOKUP(H2401,Stock_list!A:N,14,FALSE)</f>
        <v>DEC 20</v>
      </c>
    </row>
    <row r="2402" spans="1:21" ht="16.5" customHeight="1">
      <c r="A2402" s="159" t="s">
        <v>2744</v>
      </c>
      <c r="B2402" s="114" t="str">
        <f>VLOOKUP(A2402,'Data pick slip'!B:F,5,FALSE)</f>
        <v>KHJ-MC100-00</v>
      </c>
      <c r="F2402" s="157" t="s">
        <v>2862</v>
      </c>
      <c r="H2402" s="138">
        <v>882</v>
      </c>
      <c r="I2402" s="139" t="str">
        <f>VLOOKUP(H2402,Stock_list!A:R,18,FALSE)</f>
        <v>派勤</v>
      </c>
      <c r="J2402" s="139" t="str">
        <f>VLOOKUP(H2402,Stock_list!A:S,17,FALSE)</f>
        <v>C49SZX20200113SS</v>
      </c>
      <c r="K2402" s="51" t="str">
        <f>VLOOKUP(H2402,Stock_list!A:T,16,FALSE)</f>
        <v>JPY</v>
      </c>
      <c r="L2402" s="4">
        <v>44227</v>
      </c>
      <c r="M2402" s="132">
        <v>133</v>
      </c>
      <c r="P2402" s="4" t="str">
        <f>VLOOKUP(H2402,Stock_list!A:Y,25,FALSE)</f>
        <v>Yes</v>
      </c>
      <c r="Q2402" s="133"/>
      <c r="T2402" s="144"/>
      <c r="U2402" s="145" t="str">
        <f>VLOOKUP(H2402,Stock_list!A:N,14,FALSE)</f>
        <v>JAN 21</v>
      </c>
    </row>
    <row r="2403" spans="1:21" ht="16.5" customHeight="1">
      <c r="A2403" s="159" t="s">
        <v>2747</v>
      </c>
      <c r="B2403" s="114" t="str">
        <f>VLOOKUP(A2403,'Data pick slip'!B:F,5,FALSE)</f>
        <v>KHJ-MC200-00</v>
      </c>
      <c r="F2403" s="157" t="s">
        <v>2862</v>
      </c>
      <c r="H2403" s="138">
        <v>882</v>
      </c>
      <c r="I2403" s="139" t="str">
        <f>VLOOKUP(H2403,Stock_list!A:R,18,FALSE)</f>
        <v>派勤</v>
      </c>
      <c r="J2403" s="139" t="str">
        <f>VLOOKUP(H2403,Stock_list!A:S,17,FALSE)</f>
        <v>C49SZX20200113SS</v>
      </c>
      <c r="K2403" s="51" t="str">
        <f>VLOOKUP(H2403,Stock_list!A:T,16,FALSE)</f>
        <v>JPY</v>
      </c>
      <c r="L2403" s="4">
        <v>44227</v>
      </c>
      <c r="M2403" s="132">
        <v>24</v>
      </c>
      <c r="P2403" s="4" t="str">
        <f>VLOOKUP(H2403,Stock_list!A:Y,25,FALSE)</f>
        <v>Yes</v>
      </c>
      <c r="Q2403" s="133"/>
      <c r="T2403" s="144"/>
      <c r="U2403" s="145" t="str">
        <f>VLOOKUP(H2403,Stock_list!A:N,14,FALSE)</f>
        <v>JAN 21</v>
      </c>
    </row>
    <row r="2404" spans="1:21" ht="16.5" customHeight="1">
      <c r="A2404" s="159" t="s">
        <v>2748</v>
      </c>
      <c r="B2404" s="114" t="str">
        <f>VLOOKUP(A2404,'Data pick slip'!B:F,5,FALSE)</f>
        <v>KHJ-MC400-00</v>
      </c>
      <c r="F2404" s="157" t="s">
        <v>2862</v>
      </c>
      <c r="H2404" s="138">
        <v>882</v>
      </c>
      <c r="I2404" s="139" t="str">
        <f>VLOOKUP(H2404,Stock_list!A:R,18,FALSE)</f>
        <v>派勤</v>
      </c>
      <c r="J2404" s="285" t="str">
        <f>VLOOKUP(H2404,Stock_list!A:S,17,FALSE)</f>
        <v>C49SZX20200113SS</v>
      </c>
      <c r="K2404" s="258" t="str">
        <f>VLOOKUP(H2404,Stock_list!A:T,16,FALSE)</f>
        <v>JPY</v>
      </c>
      <c r="L2404" s="286">
        <v>44227</v>
      </c>
      <c r="M2404" s="283">
        <v>2</v>
      </c>
      <c r="P2404" s="4" t="str">
        <f>VLOOKUP(H2404,Stock_list!A:Y,25,FALSE)</f>
        <v>Yes</v>
      </c>
      <c r="Q2404" s="133"/>
      <c r="T2404" s="144"/>
      <c r="U2404" s="145" t="str">
        <f>VLOOKUP(H2404,Stock_list!A:N,14,FALSE)</f>
        <v>JAN 21</v>
      </c>
    </row>
    <row r="2405" spans="1:21" ht="16.5" customHeight="1">
      <c r="A2405" s="159" t="s">
        <v>2749</v>
      </c>
      <c r="B2405" s="114" t="str">
        <f>VLOOKUP(A2405,'Data pick slip'!B:F,5,FALSE)</f>
        <v>KHJ-MC500-00</v>
      </c>
      <c r="F2405" s="157" t="s">
        <v>2862</v>
      </c>
      <c r="H2405" s="138">
        <v>882</v>
      </c>
      <c r="I2405" s="139" t="str">
        <f>VLOOKUP(H2405,Stock_list!A:R,18,FALSE)</f>
        <v>派勤</v>
      </c>
      <c r="J2405" s="139" t="str">
        <f>VLOOKUP(H2405,Stock_list!A:S,17,FALSE)</f>
        <v>C49SZX20200113SS</v>
      </c>
      <c r="K2405" s="51" t="str">
        <f>VLOOKUP(H2405,Stock_list!A:T,16,FALSE)</f>
        <v>JPY</v>
      </c>
      <c r="L2405" s="4">
        <v>44227</v>
      </c>
      <c r="M2405" s="132">
        <v>2</v>
      </c>
      <c r="P2405" s="4" t="str">
        <f>VLOOKUP(H2405,Stock_list!A:Y,25,FALSE)</f>
        <v>Yes</v>
      </c>
      <c r="Q2405" s="133"/>
      <c r="T2405" s="144"/>
      <c r="U2405" s="145" t="str">
        <f>VLOOKUP(H2405,Stock_list!A:N,14,FALSE)</f>
        <v>JAN 21</v>
      </c>
    </row>
    <row r="2406" spans="1:21" ht="16.5" customHeight="1">
      <c r="A2406" s="159" t="s">
        <v>2750</v>
      </c>
      <c r="B2406" s="114" t="str">
        <f>VLOOKUP(A2406,'Data pick slip'!B:F,5,FALSE)</f>
        <v>KHJ-MC600-00</v>
      </c>
      <c r="F2406" s="157" t="s">
        <v>2862</v>
      </c>
      <c r="H2406" s="138">
        <v>882</v>
      </c>
      <c r="I2406" s="139" t="str">
        <f>VLOOKUP(H2406,Stock_list!A:R,18,FALSE)</f>
        <v>派勤</v>
      </c>
      <c r="J2406" s="139" t="str">
        <f>VLOOKUP(H2406,Stock_list!A:S,17,FALSE)</f>
        <v>C49SZX20200113SS</v>
      </c>
      <c r="K2406" s="51" t="str">
        <f>VLOOKUP(H2406,Stock_list!A:T,16,FALSE)</f>
        <v>JPY</v>
      </c>
      <c r="L2406" s="4">
        <v>44227</v>
      </c>
      <c r="M2406" s="132">
        <v>1</v>
      </c>
      <c r="P2406" s="4" t="str">
        <f>VLOOKUP(H2406,Stock_list!A:Y,25,FALSE)</f>
        <v>Yes</v>
      </c>
      <c r="Q2406" s="133"/>
      <c r="T2406" s="144"/>
      <c r="U2406" s="145" t="str">
        <f>VLOOKUP(H2406,Stock_list!A:N,14,FALSE)</f>
        <v>JAN 21</v>
      </c>
    </row>
    <row r="2407" spans="1:21" ht="16.5" customHeight="1">
      <c r="A2407" s="159" t="s">
        <v>2751</v>
      </c>
      <c r="B2407" s="114" t="str">
        <f>VLOOKUP(A2407,'Data pick slip'!B:F,5,FALSE)</f>
        <v>KHJ-MC700-00</v>
      </c>
      <c r="F2407" s="157" t="s">
        <v>1381</v>
      </c>
      <c r="H2407" s="138">
        <v>882</v>
      </c>
      <c r="I2407" s="139" t="str">
        <f>VLOOKUP(H2407,Stock_list!A:R,18,FALSE)</f>
        <v>派勤</v>
      </c>
      <c r="J2407" s="139" t="str">
        <f>VLOOKUP(H2407,Stock_list!A:S,17,FALSE)</f>
        <v>C49SZX20200113SS</v>
      </c>
      <c r="K2407" s="51" t="str">
        <f>VLOOKUP(H2407,Stock_list!A:T,16,FALSE)</f>
        <v>JPY</v>
      </c>
      <c r="L2407" s="4">
        <v>44227</v>
      </c>
      <c r="M2407" s="132">
        <v>1</v>
      </c>
      <c r="P2407" s="4" t="str">
        <f>VLOOKUP(H2407,Stock_list!A:Y,25,FALSE)</f>
        <v>Yes</v>
      </c>
      <c r="Q2407" s="133"/>
      <c r="T2407" s="144"/>
      <c r="U2407" s="145" t="str">
        <f>VLOOKUP(H2407,Stock_list!A:N,14,FALSE)</f>
        <v>JAN 21</v>
      </c>
    </row>
    <row r="2408" spans="1:21" ht="16.5" customHeight="1">
      <c r="A2408" s="159" t="s">
        <v>2744</v>
      </c>
      <c r="B2408" s="114" t="str">
        <f>VLOOKUP(A2408,'Data pick slip'!B:F,5,FALSE)</f>
        <v>KHJ-MC100-00</v>
      </c>
      <c r="F2408" s="157" t="s">
        <v>2862</v>
      </c>
      <c r="H2408" s="138">
        <v>885</v>
      </c>
      <c r="I2408" s="139" t="str">
        <f>VLOOKUP(H2408,Stock_list!A:R,18,FALSE)</f>
        <v>光瑞新（end user：海纳科）</v>
      </c>
      <c r="J2408" s="139" t="str">
        <f>VLOOKUP(H2408,Stock_list!A:S,17,FALSE)</f>
        <v>C49SZX20210003JY</v>
      </c>
      <c r="K2408" s="51" t="str">
        <f>VLOOKUP(H2408,Stock_list!A:T,16,FALSE)</f>
        <v>JPY</v>
      </c>
      <c r="L2408" s="4">
        <v>44211</v>
      </c>
      <c r="M2408" s="140">
        <v>16</v>
      </c>
      <c r="P2408" s="4" t="str">
        <f>VLOOKUP(H2408,Stock_list!A:Y,25,FALSE)</f>
        <v>Yes</v>
      </c>
      <c r="Q2408" s="133"/>
      <c r="T2408" s="144"/>
      <c r="U2408" s="145" t="str">
        <f>VLOOKUP(H2408,Stock_list!A:N,14,FALSE)</f>
        <v>JAN 21</v>
      </c>
    </row>
    <row r="2409" spans="1:21" ht="16.5" customHeight="1">
      <c r="A2409" s="159" t="s">
        <v>2747</v>
      </c>
      <c r="B2409" s="114" t="str">
        <f>VLOOKUP(A2409,'Data pick slip'!B:F,5,FALSE)</f>
        <v>KHJ-MC200-00</v>
      </c>
      <c r="F2409" s="157" t="s">
        <v>2862</v>
      </c>
      <c r="H2409" s="138">
        <v>885</v>
      </c>
      <c r="I2409" s="139" t="str">
        <f>VLOOKUP(H2409,Stock_list!A:R,18,FALSE)</f>
        <v>光瑞新（end user：海纳科）</v>
      </c>
      <c r="J2409" s="139" t="str">
        <f>VLOOKUP(H2409,Stock_list!A:S,17,FALSE)</f>
        <v>C49SZX20210003JY</v>
      </c>
      <c r="K2409" s="51" t="str">
        <f>VLOOKUP(H2409,Stock_list!A:T,16,FALSE)</f>
        <v>JPY</v>
      </c>
      <c r="L2409" s="4">
        <v>44211</v>
      </c>
      <c r="M2409" s="140">
        <v>8</v>
      </c>
      <c r="P2409" s="4" t="str">
        <f>VLOOKUP(H2409,Stock_list!A:Y,25,FALSE)</f>
        <v>Yes</v>
      </c>
      <c r="Q2409" s="133"/>
      <c r="T2409" s="144"/>
      <c r="U2409" s="145" t="str">
        <f>VLOOKUP(H2409,Stock_list!A:N,14,FALSE)</f>
        <v>JAN 21</v>
      </c>
    </row>
    <row r="2410" spans="1:21" ht="16.5" customHeight="1">
      <c r="A2410" s="159" t="s">
        <v>2747</v>
      </c>
      <c r="B2410" s="114" t="str">
        <f>VLOOKUP(A2410,'Data pick slip'!B:F,5,FALSE)</f>
        <v>KHJ-MC200-00</v>
      </c>
      <c r="F2410" s="157" t="s">
        <v>2753</v>
      </c>
      <c r="H2410" s="138">
        <v>885</v>
      </c>
      <c r="I2410" s="139" t="str">
        <f>VLOOKUP(H2410,Stock_list!A:R,18,FALSE)</f>
        <v>光瑞新（end user：海纳科）</v>
      </c>
      <c r="J2410" s="139" t="str">
        <f>VLOOKUP(H2410,Stock_list!A:S,17,FALSE)</f>
        <v>C49SZX20210003JY</v>
      </c>
      <c r="K2410" s="51" t="str">
        <f>VLOOKUP(H2410,Stock_list!A:T,16,FALSE)</f>
        <v>JPY</v>
      </c>
      <c r="L2410" s="4">
        <v>44211</v>
      </c>
      <c r="O2410" s="132">
        <f>8-8</f>
        <v>0</v>
      </c>
      <c r="P2410" s="4" t="str">
        <f>VLOOKUP(H2410,Stock_list!A:Y,25,FALSE)</f>
        <v>Yes</v>
      </c>
      <c r="Q2410" s="133"/>
      <c r="T2410" s="144"/>
      <c r="U2410" s="145" t="str">
        <f>VLOOKUP(H2410,Stock_list!A:N,14,FALSE)</f>
        <v>JAN 21</v>
      </c>
    </row>
    <row r="2411" spans="1:21" ht="16.5" customHeight="1">
      <c r="A2411" s="159" t="s">
        <v>2748</v>
      </c>
      <c r="B2411" s="114" t="str">
        <f>VLOOKUP(A2411,'Data pick slip'!B:F,5,FALSE)</f>
        <v>KHJ-MC400-00</v>
      </c>
      <c r="F2411" s="157" t="s">
        <v>2862</v>
      </c>
      <c r="H2411" s="138">
        <v>885</v>
      </c>
      <c r="I2411" s="139" t="str">
        <f>VLOOKUP(H2411,Stock_list!A:R,18,FALSE)</f>
        <v>光瑞新（end user：海纳科）</v>
      </c>
      <c r="J2411" s="285" t="str">
        <f>VLOOKUP(H2411,Stock_list!A:S,17,FALSE)</f>
        <v>C49SZX20210003JY</v>
      </c>
      <c r="K2411" s="258" t="str">
        <f>VLOOKUP(H2411,Stock_list!A:T,16,FALSE)</f>
        <v>JPY</v>
      </c>
      <c r="L2411" s="286">
        <v>44211</v>
      </c>
      <c r="M2411" s="289">
        <v>6</v>
      </c>
      <c r="P2411" s="4" t="str">
        <f>VLOOKUP(H2411,Stock_list!A:Y,25,FALSE)</f>
        <v>Yes</v>
      </c>
      <c r="Q2411" s="133"/>
      <c r="T2411" s="144"/>
      <c r="U2411" s="145" t="str">
        <f>VLOOKUP(H2411,Stock_list!A:N,14,FALSE)</f>
        <v>JAN 21</v>
      </c>
    </row>
    <row r="2412" spans="1:21" ht="16.5" customHeight="1">
      <c r="A2412" s="159" t="s">
        <v>2744</v>
      </c>
      <c r="B2412" s="114" t="str">
        <f>VLOOKUP(A2412,'Data pick slip'!B:F,5,FALSE)</f>
        <v>KHJ-MC100-00</v>
      </c>
      <c r="F2412" s="157" t="s">
        <v>2773</v>
      </c>
      <c r="H2412" s="138">
        <v>1165</v>
      </c>
      <c r="I2412" s="139" t="str">
        <f>VLOOKUP(H2412,Stock_list!A:R,18,FALSE)</f>
        <v>瑞福联</v>
      </c>
      <c r="J2412" s="139" t="str">
        <f>VLOOKUP(H2412,Stock_list!A:S,17,FALSE)</f>
        <v>C49SZX20210056JL</v>
      </c>
      <c r="K2412" s="51" t="str">
        <f>VLOOKUP(H2412,Stock_list!A:T,16,FALSE)</f>
        <v>JPY</v>
      </c>
      <c r="L2412" s="4">
        <v>44128</v>
      </c>
      <c r="O2412" s="132">
        <f>50-50</f>
        <v>0</v>
      </c>
      <c r="P2412" s="4" t="str">
        <f>VLOOKUP(H2412,Stock_list!A:Y,25,FALSE)</f>
        <v>Yes</v>
      </c>
      <c r="Q2412" s="133"/>
      <c r="T2412" s="144"/>
      <c r="U2412" s="145" t="str">
        <f>VLOOKUP(H2412,Stock_list!A:N,14,FALSE)</f>
        <v>MAY 21</v>
      </c>
    </row>
    <row r="2413" spans="1:21" ht="16.5" customHeight="1">
      <c r="A2413" s="159" t="s">
        <v>2744</v>
      </c>
      <c r="B2413" s="114" t="str">
        <f>VLOOKUP(A2413,'Data pick slip'!B:F,5,FALSE)</f>
        <v>KHJ-MC100-00</v>
      </c>
      <c r="F2413" s="157" t="s">
        <v>2862</v>
      </c>
      <c r="H2413" s="138">
        <v>1165</v>
      </c>
      <c r="I2413" s="139" t="str">
        <f>VLOOKUP(H2413,Stock_list!A:R,18,FALSE)</f>
        <v>瑞福联</v>
      </c>
      <c r="J2413" s="139" t="str">
        <f>VLOOKUP(H2413,Stock_list!A:S,17,FALSE)</f>
        <v>C49SZX20210056JL</v>
      </c>
      <c r="K2413" s="51" t="str">
        <f>VLOOKUP(H2413,Stock_list!A:T,16,FALSE)</f>
        <v>JPY</v>
      </c>
      <c r="L2413" s="4">
        <v>44340</v>
      </c>
      <c r="M2413" s="140">
        <v>100</v>
      </c>
      <c r="P2413" s="4" t="str">
        <f>VLOOKUP(H2413,Stock_list!A:Y,25,FALSE)</f>
        <v>Yes</v>
      </c>
      <c r="Q2413" s="133"/>
      <c r="T2413" s="144"/>
      <c r="U2413" s="145" t="str">
        <f>VLOOKUP(H2413,Stock_list!A:N,14,FALSE)</f>
        <v>MAY 21</v>
      </c>
    </row>
    <row r="2414" spans="1:21" ht="16.5" customHeight="1">
      <c r="A2414" s="159" t="s">
        <v>2744</v>
      </c>
      <c r="B2414" s="114" t="str">
        <f>VLOOKUP(A2414,'Data pick slip'!B:F,5,FALSE)</f>
        <v>KHJ-MC100-00</v>
      </c>
      <c r="F2414" s="157" t="s">
        <v>2862</v>
      </c>
      <c r="H2414" s="138">
        <v>887</v>
      </c>
      <c r="I2414" s="139" t="str">
        <f>VLOOKUP(H2414,Stock_list!A:R,18,FALSE)</f>
        <v>维益</v>
      </c>
      <c r="J2414" s="139" t="str">
        <f>VLOOKUP(H2414,Stock_list!A:S,17,FALSE)</f>
        <v>C49SZX20200190SS</v>
      </c>
      <c r="K2414" s="51" t="str">
        <f>VLOOKUP(H2414,Stock_list!A:T,16,FALSE)</f>
        <v>JPY</v>
      </c>
      <c r="L2414" s="4">
        <v>44190</v>
      </c>
      <c r="M2414" s="140">
        <v>30</v>
      </c>
      <c r="P2414" s="4" t="str">
        <f>VLOOKUP(H2414,Stock_list!A:Y,25,FALSE)</f>
        <v>Yes</v>
      </c>
      <c r="Q2414" s="133"/>
      <c r="T2414" s="144"/>
      <c r="U2414" s="145" t="str">
        <f>VLOOKUP(H2414,Stock_list!A:N,14,FALSE)</f>
        <v>DEC 20</v>
      </c>
    </row>
    <row r="2415" spans="1:21" ht="16.5" customHeight="1">
      <c r="A2415" s="159" t="s">
        <v>2744</v>
      </c>
      <c r="B2415" s="114" t="str">
        <f>VLOOKUP(A2415,'Data pick slip'!B:F,5,FALSE)</f>
        <v>KHJ-MC100-00</v>
      </c>
      <c r="F2415" s="157" t="s">
        <v>2773</v>
      </c>
      <c r="H2415" s="138">
        <v>887</v>
      </c>
      <c r="I2415" s="139" t="str">
        <f>VLOOKUP(H2415,Stock_list!A:R,18,FALSE)</f>
        <v>维益</v>
      </c>
      <c r="J2415" s="139" t="str">
        <f>VLOOKUP(H2415,Stock_list!A:S,17,FALSE)</f>
        <v>C49SZX20200190SS</v>
      </c>
      <c r="K2415" s="51" t="str">
        <f>VLOOKUP(H2415,Stock_list!A:T,16,FALSE)</f>
        <v>JPY</v>
      </c>
      <c r="L2415" s="4">
        <v>44138</v>
      </c>
      <c r="O2415" s="132">
        <f>20-20</f>
        <v>0</v>
      </c>
      <c r="P2415" s="4" t="str">
        <f>VLOOKUP(H2415,Stock_list!A:Y,25,FALSE)</f>
        <v>Yes</v>
      </c>
      <c r="Q2415" s="133"/>
      <c r="T2415" s="144"/>
      <c r="U2415" s="145" t="str">
        <f>VLOOKUP(H2415,Stock_list!A:N,14,FALSE)</f>
        <v>DEC 20</v>
      </c>
    </row>
    <row r="2416" spans="1:21" ht="16.5" customHeight="1">
      <c r="A2416" s="159" t="s">
        <v>2744</v>
      </c>
      <c r="B2416" s="114" t="str">
        <f>VLOOKUP(A2416,'Data pick slip'!B:F,5,FALSE)</f>
        <v>KHJ-MC100-00</v>
      </c>
      <c r="F2416" s="157" t="s">
        <v>2862</v>
      </c>
      <c r="H2416" s="138">
        <v>888</v>
      </c>
      <c r="I2416" s="139" t="str">
        <f>VLOOKUP(H2416,Stock_list!A:R,18,FALSE)</f>
        <v>晨鑫达</v>
      </c>
      <c r="J2416" s="139" t="str">
        <f>VLOOKUP(H2416,Stock_list!A:S,17,FALSE)</f>
        <v>C49SZX20200193SX</v>
      </c>
      <c r="K2416" s="51" t="str">
        <f>VLOOKUP(H2416,Stock_list!A:T,16,FALSE)</f>
        <v>USD</v>
      </c>
      <c r="L2416" s="4">
        <v>44128</v>
      </c>
      <c r="M2416" s="132">
        <v>10</v>
      </c>
      <c r="P2416" s="4" t="str">
        <f>VLOOKUP(H2416,Stock_list!A:Y,25,FALSE)</f>
        <v>Yes</v>
      </c>
      <c r="Q2416" s="143"/>
      <c r="T2416" s="144"/>
      <c r="U2416" s="145" t="str">
        <f>VLOOKUP(H2416,Stock_list!A:N,14,FALSE)</f>
        <v>OCT 20</v>
      </c>
    </row>
    <row r="2417" spans="1:21" ht="16.5" customHeight="1">
      <c r="A2417" s="159" t="s">
        <v>2747</v>
      </c>
      <c r="B2417" s="114" t="str">
        <f>VLOOKUP(A2417,'Data pick slip'!B:F,5,FALSE)</f>
        <v>KHJ-MC200-00</v>
      </c>
      <c r="F2417" s="157" t="s">
        <v>2862</v>
      </c>
      <c r="H2417" s="138">
        <v>888</v>
      </c>
      <c r="I2417" s="139" t="str">
        <f>VLOOKUP(H2417,Stock_list!A:R,18,FALSE)</f>
        <v>晨鑫达</v>
      </c>
      <c r="J2417" s="139" t="str">
        <f>VLOOKUP(H2417,Stock_list!A:S,17,FALSE)</f>
        <v>C49SZX20200193SX</v>
      </c>
      <c r="K2417" s="51" t="str">
        <f>VLOOKUP(H2417,Stock_list!A:T,16,FALSE)</f>
        <v>USD</v>
      </c>
      <c r="L2417" s="4">
        <v>44128</v>
      </c>
      <c r="M2417" s="132">
        <v>12</v>
      </c>
      <c r="P2417" s="4" t="str">
        <f>VLOOKUP(H2417,Stock_list!A:Y,25,FALSE)</f>
        <v>Yes</v>
      </c>
      <c r="Q2417" s="143"/>
      <c r="T2417" s="144"/>
      <c r="U2417" s="145" t="str">
        <f>VLOOKUP(H2417,Stock_list!A:N,14,FALSE)</f>
        <v>OCT 20</v>
      </c>
    </row>
    <row r="2418" spans="1:21" ht="16.5" customHeight="1">
      <c r="A2418" s="159" t="s">
        <v>2748</v>
      </c>
      <c r="B2418" s="114" t="str">
        <f>VLOOKUP(A2418,'Data pick slip'!B:F,5,FALSE)</f>
        <v>KHJ-MC400-00</v>
      </c>
      <c r="F2418" s="157" t="s">
        <v>2862</v>
      </c>
      <c r="H2418" s="138">
        <v>888</v>
      </c>
      <c r="I2418" s="139" t="str">
        <f>VLOOKUP(H2418,Stock_list!A:R,18,FALSE)</f>
        <v>晨鑫达</v>
      </c>
      <c r="J2418" s="139" t="str">
        <f>VLOOKUP(H2418,Stock_list!A:S,17,FALSE)</f>
        <v>C49SZX20200193SX</v>
      </c>
      <c r="K2418" s="51" t="str">
        <f>VLOOKUP(H2418,Stock_list!A:T,16,FALSE)</f>
        <v>USD</v>
      </c>
      <c r="L2418" s="4">
        <v>44128</v>
      </c>
      <c r="M2418" s="132">
        <v>4</v>
      </c>
      <c r="P2418" s="4" t="str">
        <f>VLOOKUP(H2418,Stock_list!A:Y,25,FALSE)</f>
        <v>Yes</v>
      </c>
      <c r="Q2418" s="143"/>
      <c r="T2418" s="144"/>
      <c r="U2418" s="145" t="str">
        <f>VLOOKUP(H2418,Stock_list!A:N,14,FALSE)</f>
        <v>OCT 20</v>
      </c>
    </row>
    <row r="2419" spans="1:21" ht="16.5" customHeight="1">
      <c r="A2419" s="159" t="s">
        <v>2749</v>
      </c>
      <c r="B2419" s="114" t="str">
        <f>VLOOKUP(A2419,'Data pick slip'!B:F,5,FALSE)</f>
        <v>KHJ-MC500-00</v>
      </c>
      <c r="F2419" s="157" t="s">
        <v>2862</v>
      </c>
      <c r="H2419" s="138">
        <v>888</v>
      </c>
      <c r="I2419" s="139" t="str">
        <f>VLOOKUP(H2419,Stock_list!A:R,18,FALSE)</f>
        <v>晨鑫达</v>
      </c>
      <c r="J2419" s="139" t="str">
        <f>VLOOKUP(H2419,Stock_list!A:S,17,FALSE)</f>
        <v>C49SZX20200193SX</v>
      </c>
      <c r="K2419" s="51" t="str">
        <f>VLOOKUP(H2419,Stock_list!A:T,16,FALSE)</f>
        <v>USD</v>
      </c>
      <c r="L2419" s="4">
        <v>44128</v>
      </c>
      <c r="M2419" s="132">
        <v>2</v>
      </c>
      <c r="P2419" s="4" t="str">
        <f>VLOOKUP(H2419,Stock_list!A:Y,25,FALSE)</f>
        <v>Yes</v>
      </c>
      <c r="Q2419" s="143"/>
      <c r="T2419" s="144"/>
      <c r="U2419" s="145" t="str">
        <f>VLOOKUP(H2419,Stock_list!A:N,14,FALSE)</f>
        <v>OCT 20</v>
      </c>
    </row>
    <row r="2420" spans="1:21" ht="16.5" customHeight="1">
      <c r="A2420" s="159" t="s">
        <v>2750</v>
      </c>
      <c r="B2420" s="114" t="str">
        <f>VLOOKUP(A2420,'Data pick slip'!B:F,5,FALSE)</f>
        <v>KHJ-MC600-00</v>
      </c>
      <c r="F2420" s="157" t="s">
        <v>2862</v>
      </c>
      <c r="H2420" s="138">
        <v>888</v>
      </c>
      <c r="I2420" s="139" t="str">
        <f>VLOOKUP(H2420,Stock_list!A:R,18,FALSE)</f>
        <v>晨鑫达</v>
      </c>
      <c r="J2420" s="139" t="str">
        <f>VLOOKUP(H2420,Stock_list!A:S,17,FALSE)</f>
        <v>C49SZX20200193SX</v>
      </c>
      <c r="K2420" s="51" t="str">
        <f>VLOOKUP(H2420,Stock_list!A:T,16,FALSE)</f>
        <v>USD</v>
      </c>
      <c r="L2420" s="4">
        <v>44128</v>
      </c>
      <c r="M2420" s="132">
        <v>1</v>
      </c>
      <c r="P2420" s="4" t="str">
        <f>VLOOKUP(H2420,Stock_list!A:Y,25,FALSE)</f>
        <v>Yes</v>
      </c>
      <c r="Q2420" s="143"/>
      <c r="T2420" s="144"/>
      <c r="U2420" s="145" t="str">
        <f>VLOOKUP(H2420,Stock_list!A:N,14,FALSE)</f>
        <v>OCT 20</v>
      </c>
    </row>
    <row r="2421" spans="1:21" ht="16.5" customHeight="1">
      <c r="A2421" s="159" t="s">
        <v>2744</v>
      </c>
      <c r="B2421" s="114" t="str">
        <f>VLOOKUP(A2421,'Data pick slip'!B:F,5,FALSE)</f>
        <v>KHJ-MC100-00</v>
      </c>
      <c r="F2421" s="157" t="s">
        <v>2862</v>
      </c>
      <c r="H2421" s="138">
        <v>889</v>
      </c>
      <c r="I2421" s="139" t="str">
        <f>VLOOKUP(H2421,Stock_list!A:R,18,FALSE)</f>
        <v>泰鑫荣</v>
      </c>
      <c r="J2421" s="139" t="str">
        <f>VLOOKUP(H2421,Stock_list!A:S,17,FALSE)</f>
        <v>C49SZX20200195SS</v>
      </c>
      <c r="K2421" s="51" t="str">
        <f>VLOOKUP(H2421,Stock_list!A:T,16,FALSE)</f>
        <v>JPY</v>
      </c>
      <c r="L2421" s="4">
        <v>44222</v>
      </c>
      <c r="M2421" s="132">
        <v>25</v>
      </c>
      <c r="P2421" s="4" t="str">
        <f>VLOOKUP(H2421,Stock_list!A:Y,25,FALSE)</f>
        <v>Yes</v>
      </c>
      <c r="Q2421" s="133"/>
      <c r="T2421" s="144"/>
      <c r="U2421" s="145" t="str">
        <f>VLOOKUP(H2421,Stock_list!A:N,14,FALSE)</f>
        <v>JAN 21</v>
      </c>
    </row>
    <row r="2422" spans="1:21" ht="16.5" customHeight="1">
      <c r="A2422" s="159" t="s">
        <v>2747</v>
      </c>
      <c r="B2422" s="114" t="str">
        <f>VLOOKUP(A2422,'Data pick slip'!B:F,5,FALSE)</f>
        <v>KHJ-MC200-00</v>
      </c>
      <c r="F2422" s="157" t="s">
        <v>2862</v>
      </c>
      <c r="H2422" s="138">
        <v>889</v>
      </c>
      <c r="I2422" s="139" t="str">
        <f>VLOOKUP(H2422,Stock_list!A:R,18,FALSE)</f>
        <v>泰鑫荣</v>
      </c>
      <c r="J2422" s="139" t="str">
        <f>VLOOKUP(H2422,Stock_list!A:S,17,FALSE)</f>
        <v>C49SZX20200195SS</v>
      </c>
      <c r="K2422" s="51" t="str">
        <f>VLOOKUP(H2422,Stock_list!A:T,16,FALSE)</f>
        <v>JPY</v>
      </c>
      <c r="L2422" s="4">
        <v>44222</v>
      </c>
      <c r="M2422" s="132">
        <v>5</v>
      </c>
      <c r="P2422" s="4" t="str">
        <f>VLOOKUP(H2422,Stock_list!A:Y,25,FALSE)</f>
        <v>Yes</v>
      </c>
      <c r="Q2422" s="133"/>
      <c r="T2422" s="144"/>
      <c r="U2422" s="145" t="str">
        <f>VLOOKUP(H2422,Stock_list!A:N,14,FALSE)</f>
        <v>JAN 21</v>
      </c>
    </row>
    <row r="2423" spans="1:21" ht="16.5" customHeight="1">
      <c r="A2423" s="159" t="s">
        <v>2744</v>
      </c>
      <c r="B2423" s="114" t="str">
        <f>VLOOKUP(A2423,'Data pick slip'!B:F,5,FALSE)</f>
        <v>KHJ-MC100-00</v>
      </c>
      <c r="F2423" s="157" t="s">
        <v>2773</v>
      </c>
      <c r="I2423" s="139" t="s">
        <v>3100</v>
      </c>
      <c r="J2423" s="139" t="s">
        <v>3360</v>
      </c>
      <c r="K2423" s="51" t="s">
        <v>1246</v>
      </c>
      <c r="L2423" s="4">
        <v>44123</v>
      </c>
      <c r="M2423" s="140">
        <v>10</v>
      </c>
      <c r="P2423" s="4" t="s">
        <v>291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2750</v>
      </c>
      <c r="B2424" s="114" t="str">
        <f>VLOOKUP(A2424,'Data pick slip'!B:F,5,FALSE)</f>
        <v>KHJ-MC600-00</v>
      </c>
      <c r="F2424" s="157" t="s">
        <v>2773</v>
      </c>
      <c r="I2424" s="139" t="s">
        <v>3100</v>
      </c>
      <c r="J2424" s="139" t="s">
        <v>3361</v>
      </c>
      <c r="K2424" s="51" t="s">
        <v>1246</v>
      </c>
      <c r="L2424" s="143" t="s">
        <v>3309</v>
      </c>
      <c r="M2424" s="140">
        <v>1</v>
      </c>
      <c r="P2424" s="4" t="s">
        <v>291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2750</v>
      </c>
      <c r="B2425" s="114" t="str">
        <f>VLOOKUP(A2425,'Data pick slip'!B:F,5,FALSE)</f>
        <v>KHJ-MC600-00</v>
      </c>
      <c r="F2425" s="157" t="s">
        <v>2862</v>
      </c>
      <c r="I2425" s="139" t="s">
        <v>3016</v>
      </c>
      <c r="J2425" s="139" t="s">
        <v>3362</v>
      </c>
      <c r="K2425" s="51" t="s">
        <v>1246</v>
      </c>
      <c r="L2425" s="4">
        <v>44127</v>
      </c>
      <c r="M2425" s="140">
        <v>4</v>
      </c>
      <c r="P2425" s="4" t="s">
        <v>291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2747</v>
      </c>
      <c r="B2426" s="114" t="str">
        <f>VLOOKUP(A2426,'Data pick slip'!B:F,5,FALSE)</f>
        <v>KHJ-MC200-00</v>
      </c>
      <c r="F2426" s="157" t="s">
        <v>2862</v>
      </c>
      <c r="I2426" s="139" t="s">
        <v>3016</v>
      </c>
      <c r="J2426" s="139" t="s">
        <v>3362</v>
      </c>
      <c r="K2426" s="51" t="s">
        <v>1246</v>
      </c>
      <c r="L2426" s="4">
        <v>44127</v>
      </c>
      <c r="M2426" s="140">
        <v>13</v>
      </c>
      <c r="P2426" s="4" t="s">
        <v>291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2748</v>
      </c>
      <c r="B2427" s="114" t="str">
        <f>VLOOKUP(A2427,'Data pick slip'!B:F,5,FALSE)</f>
        <v>KHJ-MC400-00</v>
      </c>
      <c r="F2427" s="157" t="s">
        <v>2862</v>
      </c>
      <c r="I2427" s="139" t="s">
        <v>3016</v>
      </c>
      <c r="J2427" s="139" t="s">
        <v>3362</v>
      </c>
      <c r="K2427" s="51" t="s">
        <v>1246</v>
      </c>
      <c r="L2427" s="4">
        <v>44127</v>
      </c>
      <c r="M2427" s="140">
        <v>4</v>
      </c>
      <c r="P2427" s="4" t="s">
        <v>291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2749</v>
      </c>
      <c r="B2428" s="114" t="str">
        <f>VLOOKUP(A2428,'Data pick slip'!B:F,5,FALSE)</f>
        <v>KHJ-MC500-00</v>
      </c>
      <c r="F2428" s="157" t="s">
        <v>2862</v>
      </c>
      <c r="I2428" s="139" t="s">
        <v>3016</v>
      </c>
      <c r="J2428" s="139" t="s">
        <v>3362</v>
      </c>
      <c r="K2428" s="51" t="s">
        <v>1246</v>
      </c>
      <c r="L2428" s="4">
        <v>44127</v>
      </c>
      <c r="M2428" s="140">
        <v>5</v>
      </c>
      <c r="P2428" s="4" t="s">
        <v>291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2744</v>
      </c>
      <c r="B2429" s="114" t="str">
        <f>VLOOKUP(A2429,'Data pick slip'!B:F,5,FALSE)</f>
        <v>KHJ-MC100-00</v>
      </c>
      <c r="F2429" s="157" t="s">
        <v>2862</v>
      </c>
      <c r="I2429" s="139" t="s">
        <v>3016</v>
      </c>
      <c r="J2429" s="139" t="s">
        <v>3362</v>
      </c>
      <c r="K2429" s="51" t="s">
        <v>1246</v>
      </c>
      <c r="L2429" s="4">
        <v>44127</v>
      </c>
      <c r="M2429" s="140">
        <v>100</v>
      </c>
      <c r="P2429" s="4" t="s">
        <v>291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2748</v>
      </c>
      <c r="B2430" s="114" t="str">
        <f>VLOOKUP(A2430,'Data pick slip'!B:F,5,FALSE)</f>
        <v>KHJ-MC400-00</v>
      </c>
      <c r="F2430" s="157" t="s">
        <v>2862</v>
      </c>
      <c r="I2430" s="139" t="s">
        <v>3016</v>
      </c>
      <c r="J2430" s="139" t="s">
        <v>3362</v>
      </c>
      <c r="K2430" s="51" t="s">
        <v>1246</v>
      </c>
      <c r="L2430" s="4">
        <v>44127</v>
      </c>
      <c r="M2430" s="140">
        <v>50</v>
      </c>
      <c r="P2430" s="4" t="s">
        <v>291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2749</v>
      </c>
      <c r="B2431" s="114" t="str">
        <f>VLOOKUP(A2431,'Data pick slip'!B:F,5,FALSE)</f>
        <v>KHJ-MC500-00</v>
      </c>
      <c r="F2431" s="157" t="s">
        <v>2862</v>
      </c>
      <c r="I2431" s="139" t="s">
        <v>3016</v>
      </c>
      <c r="J2431" s="139" t="s">
        <v>3362</v>
      </c>
      <c r="K2431" s="51" t="s">
        <v>1246</v>
      </c>
      <c r="L2431" s="4">
        <v>44127</v>
      </c>
      <c r="M2431" s="140">
        <v>16</v>
      </c>
      <c r="P2431" s="4" t="s">
        <v>291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2750</v>
      </c>
      <c r="B2432" s="114" t="str">
        <f>VLOOKUP(A2432,'Data pick slip'!B:F,5,FALSE)</f>
        <v>KHJ-MC600-00</v>
      </c>
      <c r="F2432" s="157" t="s">
        <v>2862</v>
      </c>
      <c r="I2432" s="139" t="s">
        <v>3016</v>
      </c>
      <c r="J2432" s="139" t="s">
        <v>3362</v>
      </c>
      <c r="K2432" s="51" t="s">
        <v>1246</v>
      </c>
      <c r="L2432" s="4">
        <v>44127</v>
      </c>
      <c r="M2432" s="140">
        <v>16</v>
      </c>
      <c r="P2432" s="4" t="s">
        <v>291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2751</v>
      </c>
      <c r="B2433" s="114" t="str">
        <f>VLOOKUP(A2433,'Data pick slip'!B:F,5,FALSE)</f>
        <v>KHJ-MC700-00</v>
      </c>
      <c r="F2433" s="157" t="s">
        <v>2862</v>
      </c>
      <c r="I2433" s="139" t="s">
        <v>3016</v>
      </c>
      <c r="J2433" s="139" t="s">
        <v>3362</v>
      </c>
      <c r="K2433" s="51" t="s">
        <v>1246</v>
      </c>
      <c r="L2433" s="4">
        <v>44127</v>
      </c>
      <c r="M2433" s="140">
        <v>17</v>
      </c>
      <c r="P2433" s="4" t="s">
        <v>291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2752</v>
      </c>
      <c r="B2434" s="114" t="str">
        <f>VLOOKUP(A2434,'Data pick slip'!B:F,5,FALSE)</f>
        <v>KHJ-MC800-00</v>
      </c>
      <c r="F2434" s="157" t="s">
        <v>2862</v>
      </c>
      <c r="I2434" s="139" t="s">
        <v>3016</v>
      </c>
      <c r="J2434" s="139" t="s">
        <v>3362</v>
      </c>
      <c r="K2434" s="51" t="s">
        <v>1246</v>
      </c>
      <c r="L2434" s="4">
        <v>44127</v>
      </c>
      <c r="M2434" s="140">
        <v>7</v>
      </c>
      <c r="P2434" s="4" t="s">
        <v>291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2755</v>
      </c>
      <c r="B2435" s="114" t="str">
        <f>VLOOKUP(A2435,'Data pick slip'!B:F,5,FALSE)</f>
        <v>KLJ-MC100-00</v>
      </c>
      <c r="F2435" s="157" t="s">
        <v>2773</v>
      </c>
      <c r="H2435" s="138">
        <v>895</v>
      </c>
      <c r="I2435" s="139" t="str">
        <f>VLOOKUP(H2435,Stock_list!A:R,18,FALSE)</f>
        <v>华彩鑫</v>
      </c>
      <c r="J2435" s="139" t="str">
        <f>VLOOKUP(H2435,Stock_list!A:S,17,FALSE)</f>
        <v>C49SZX20200166DY</v>
      </c>
      <c r="K2435" s="51" t="str">
        <f>VLOOKUP(H2435,Stock_list!A:T,16,FALSE)</f>
        <v>RMB</v>
      </c>
      <c r="L2435" s="4">
        <v>44157</v>
      </c>
      <c r="M2435" s="140">
        <v>10</v>
      </c>
      <c r="P2435" s="4" t="str">
        <f>VLOOKUP(H2435,Stock_list!A:Y,25,FALSE)</f>
        <v>Yes</v>
      </c>
      <c r="Q2435" s="133"/>
      <c r="T2435" s="144"/>
      <c r="U2435" s="145" t="str">
        <f>VLOOKUP(H2435,Stock_list!A:N,14,FALSE)</f>
        <v>NOV 20</v>
      </c>
    </row>
    <row r="2436" spans="1:21" ht="16.5" customHeight="1">
      <c r="A2436" s="159" t="s">
        <v>2744</v>
      </c>
      <c r="B2436" s="114" t="str">
        <f>VLOOKUP(A2436,'Data pick slip'!B:F,5,FALSE)</f>
        <v>KHJ-MC100-00</v>
      </c>
      <c r="F2436" s="157" t="s">
        <v>2773</v>
      </c>
      <c r="H2436" s="138">
        <v>896</v>
      </c>
      <c r="I2436" s="139" t="str">
        <f>VLOOKUP(H2436,Stock_list!A:R,18,FALSE)</f>
        <v>广泰博</v>
      </c>
      <c r="J2436" s="139" t="str">
        <f>VLOOKUP(H2436,Stock_list!A:S,17,FALSE)</f>
        <v>C49SZX20200196EC</v>
      </c>
      <c r="K2436" s="51" t="str">
        <f>VLOOKUP(H2436,Stock_list!A:T,16,FALSE)</f>
        <v>RMB</v>
      </c>
      <c r="L2436" s="4">
        <v>44190</v>
      </c>
      <c r="M2436" s="132">
        <v>2</v>
      </c>
      <c r="P2436" s="4" t="str">
        <f>VLOOKUP(H2436,Stock_list!A:Y,25,FALSE)</f>
        <v>Yes</v>
      </c>
      <c r="Q2436" s="133"/>
      <c r="T2436" s="144"/>
      <c r="U2436" s="145" t="str">
        <f>VLOOKUP(H2436,Stock_list!A:N,14,FALSE)</f>
        <v>DEC 20</v>
      </c>
    </row>
    <row r="2437" spans="1:21" ht="16.5" customHeight="1">
      <c r="A2437" s="159" t="s">
        <v>2747</v>
      </c>
      <c r="B2437" s="114" t="str">
        <f>VLOOKUP(A2437,'Data pick slip'!B:F,5,FALSE)</f>
        <v>KHJ-MC200-00</v>
      </c>
      <c r="F2437" s="157" t="s">
        <v>2773</v>
      </c>
      <c r="H2437" s="138">
        <v>896</v>
      </c>
      <c r="I2437" s="139" t="str">
        <f>VLOOKUP(H2437,Stock_list!A:R,18,FALSE)</f>
        <v>广泰博</v>
      </c>
      <c r="J2437" s="139" t="str">
        <f>VLOOKUP(H2437,Stock_list!A:S,17,FALSE)</f>
        <v>C49SZX20200196EC</v>
      </c>
      <c r="K2437" s="51" t="str">
        <f>VLOOKUP(H2437,Stock_list!A:T,16,FALSE)</f>
        <v>RMB</v>
      </c>
      <c r="L2437" s="4">
        <v>44190</v>
      </c>
      <c r="M2437" s="132">
        <v>2</v>
      </c>
      <c r="P2437" s="4" t="str">
        <f>VLOOKUP(H2437,Stock_list!A:Y,25,FALSE)</f>
        <v>Yes</v>
      </c>
      <c r="Q2437" s="146"/>
      <c r="T2437" s="144"/>
      <c r="U2437" s="145" t="str">
        <f>VLOOKUP(H2437,Stock_list!A:N,14,FALSE)</f>
        <v>DEC 20</v>
      </c>
    </row>
    <row r="2438" spans="1:21" ht="16.5" customHeight="1">
      <c r="A2438" s="159" t="s">
        <v>2744</v>
      </c>
      <c r="B2438" s="114" t="str">
        <f>VLOOKUP(A2438,'Data pick slip'!B:F,5,FALSE)</f>
        <v>KHJ-MC100-00</v>
      </c>
      <c r="F2438" s="157" t="s">
        <v>2862</v>
      </c>
      <c r="I2438" s="139" t="s">
        <v>3016</v>
      </c>
      <c r="J2438" s="139" t="s">
        <v>3363</v>
      </c>
      <c r="K2438" s="51" t="s">
        <v>1246</v>
      </c>
      <c r="L2438" s="4">
        <v>44131</v>
      </c>
      <c r="M2438" s="140">
        <v>148</v>
      </c>
      <c r="P2438" s="4" t="s">
        <v>291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2748</v>
      </c>
      <c r="B2439" s="114" t="str">
        <f>VLOOKUP(A2439,'Data pick slip'!B:F,5,FALSE)</f>
        <v>KHJ-MC400-00</v>
      </c>
      <c r="F2439" s="157" t="s">
        <v>2862</v>
      </c>
      <c r="I2439" s="139" t="s">
        <v>3016</v>
      </c>
      <c r="J2439" s="139" t="s">
        <v>3363</v>
      </c>
      <c r="K2439" s="51" t="s">
        <v>1246</v>
      </c>
      <c r="L2439" s="4">
        <v>44131</v>
      </c>
      <c r="M2439" s="140">
        <v>2</v>
      </c>
      <c r="P2439" s="4" t="s">
        <v>291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2744</v>
      </c>
      <c r="B2440" s="114" t="str">
        <f>VLOOKUP(A2440,'Data pick slip'!B:F,5,FALSE)</f>
        <v>KHJ-MC100-00</v>
      </c>
      <c r="F2440" s="157" t="s">
        <v>2862</v>
      </c>
      <c r="H2440" s="138">
        <v>900</v>
      </c>
      <c r="I2440" s="139" t="str">
        <f>VLOOKUP(H2440,Stock_list!A:R,18,FALSE)</f>
        <v>阿里兄妹</v>
      </c>
      <c r="J2440" s="139" t="str">
        <f>VLOOKUP(H2440,Stock_list!A:S,17,FALSE)</f>
        <v>C49SZX20200198JZ</v>
      </c>
      <c r="K2440" s="51" t="str">
        <f>VLOOKUP(H2440,Stock_list!A:T,16,FALSE)</f>
        <v>JPY</v>
      </c>
      <c r="L2440" s="4">
        <v>44250</v>
      </c>
      <c r="M2440" s="140">
        <v>20</v>
      </c>
      <c r="P2440" s="4" t="str">
        <f>VLOOKUP(H2440,Stock_list!A:Y,25,FALSE)</f>
        <v>Yes</v>
      </c>
      <c r="Q2440" s="133"/>
      <c r="T2440" s="144"/>
      <c r="U2440" s="145" t="str">
        <f>VLOOKUP(H2440,Stock_list!A:N,14,FALSE)</f>
        <v>FEB 21</v>
      </c>
    </row>
    <row r="2441" spans="1:21" ht="16.5" customHeight="1">
      <c r="A2441" s="159" t="s">
        <v>2744</v>
      </c>
      <c r="B2441" s="114" t="str">
        <f>VLOOKUP(A2441,'Data pick slip'!B:F,5,FALSE)</f>
        <v>KHJ-MC100-00</v>
      </c>
      <c r="F2441" s="157" t="s">
        <v>2773</v>
      </c>
      <c r="I2441" s="139" t="s">
        <v>3094</v>
      </c>
      <c r="J2441" s="139" t="s">
        <v>3364</v>
      </c>
      <c r="K2441" s="51" t="s">
        <v>1246</v>
      </c>
      <c r="L2441" s="4">
        <v>44127</v>
      </c>
      <c r="M2441" s="140">
        <v>20</v>
      </c>
      <c r="P2441" s="4" t="s">
        <v>291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2744</v>
      </c>
      <c r="B2442" s="114" t="str">
        <f>VLOOKUP(A2442,'Data pick slip'!B:F,5,FALSE)</f>
        <v>KHJ-MC100-00</v>
      </c>
      <c r="F2442" s="157" t="s">
        <v>2773</v>
      </c>
      <c r="I2442" s="139" t="s">
        <v>3094</v>
      </c>
      <c r="J2442" s="139" t="s">
        <v>3365</v>
      </c>
      <c r="K2442" s="51" t="s">
        <v>1246</v>
      </c>
      <c r="L2442" s="4">
        <v>44133</v>
      </c>
      <c r="M2442" s="140">
        <v>20</v>
      </c>
      <c r="P2442" s="4" t="s">
        <v>291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2755</v>
      </c>
      <c r="B2443" s="114" t="str">
        <f>VLOOKUP(A2443,'Data pick slip'!B:F,5,FALSE)</f>
        <v>KLJ-MC100-00</v>
      </c>
      <c r="F2443" s="157" t="s">
        <v>2862</v>
      </c>
      <c r="H2443" s="138">
        <v>901</v>
      </c>
      <c r="I2443" s="139" t="str">
        <f>VLOOKUP(H2443,Stock_list!A:R,18,FALSE)</f>
        <v>鸿南</v>
      </c>
      <c r="J2443" s="139" t="str">
        <f>VLOOKUP(H2443,Stock_list!A:S,17,FALSE)</f>
        <v>C49SZX20200199MZ</v>
      </c>
      <c r="K2443" s="51" t="str">
        <f>VLOOKUP(H2443,Stock_list!A:T,16,FALSE)</f>
        <v>JPY</v>
      </c>
      <c r="L2443" s="4">
        <v>44217</v>
      </c>
      <c r="M2443" s="143">
        <v>100</v>
      </c>
      <c r="P2443" s="4" t="str">
        <f>VLOOKUP(H2443,Stock_list!A:Y,25,FALSE)</f>
        <v>Yes</v>
      </c>
      <c r="Q2443" s="133"/>
      <c r="T2443" s="144"/>
      <c r="U2443" s="145" t="str">
        <f>VLOOKUP(H2443,Stock_list!A:N,14,FALSE)</f>
        <v>JAN 21</v>
      </c>
    </row>
    <row r="2444" spans="1:21" ht="16.5" customHeight="1">
      <c r="A2444" s="159" t="s">
        <v>2756</v>
      </c>
      <c r="B2444" s="114" t="str">
        <f>VLOOKUP(A2444,'Data pick slip'!B:F,5,FALSE)</f>
        <v>KLJ-MC200-00</v>
      </c>
      <c r="F2444" s="157" t="s">
        <v>2753</v>
      </c>
      <c r="H2444" s="138">
        <v>901</v>
      </c>
      <c r="I2444" s="139" t="str">
        <f>VLOOKUP(H2444,Stock_list!A:R,18,FALSE)</f>
        <v>鸿南</v>
      </c>
      <c r="J2444" s="139" t="str">
        <f>VLOOKUP(H2444,Stock_list!A:S,17,FALSE)</f>
        <v>C49SZX20200199MZ</v>
      </c>
      <c r="K2444" s="51" t="str">
        <f>VLOOKUP(H2444,Stock_list!A:T,16,FALSE)</f>
        <v>JPY</v>
      </c>
      <c r="L2444" s="4">
        <v>44217</v>
      </c>
      <c r="M2444" s="143">
        <v>10</v>
      </c>
      <c r="P2444" s="4" t="str">
        <f>VLOOKUP(H2444,Stock_list!A:Y,25,FALSE)</f>
        <v>Yes</v>
      </c>
      <c r="S2444" s="268" t="s">
        <v>2778</v>
      </c>
      <c r="T2444" s="266" t="s">
        <v>3366</v>
      </c>
      <c r="U2444" s="145" t="str">
        <f>VLOOKUP(H2444,Stock_list!A:N,14,FALSE)</f>
        <v>JAN 21</v>
      </c>
    </row>
    <row r="2445" spans="1:21" ht="16.5" customHeight="1">
      <c r="A2445" s="159" t="s">
        <v>2744</v>
      </c>
      <c r="B2445" s="114" t="str">
        <f>VLOOKUP(A2445,'Data pick slip'!B:F,5,FALSE)</f>
        <v>KHJ-MC100-00</v>
      </c>
      <c r="F2445" s="157" t="s">
        <v>2773</v>
      </c>
      <c r="I2445" s="139" t="s">
        <v>3094</v>
      </c>
      <c r="J2445" s="139" t="s">
        <v>3367</v>
      </c>
      <c r="K2445" s="51" t="s">
        <v>1246</v>
      </c>
      <c r="L2445" s="4">
        <v>44137</v>
      </c>
      <c r="M2445" s="140">
        <v>3</v>
      </c>
      <c r="P2445" s="4" t="s">
        <v>291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2744</v>
      </c>
      <c r="B2446" s="114" t="str">
        <f>VLOOKUP(A2446,'Data pick slip'!B:F,5,FALSE)</f>
        <v>KHJ-MC100-00</v>
      </c>
      <c r="F2446" s="157" t="s">
        <v>2773</v>
      </c>
      <c r="I2446" s="139" t="s">
        <v>3094</v>
      </c>
      <c r="J2446" s="139" t="s">
        <v>3368</v>
      </c>
      <c r="K2446" s="51" t="s">
        <v>1246</v>
      </c>
      <c r="L2446" s="4">
        <v>44134</v>
      </c>
      <c r="M2446" s="140">
        <v>60</v>
      </c>
      <c r="P2446" s="4" t="s">
        <v>291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2744</v>
      </c>
      <c r="B2447" s="114" t="str">
        <f>VLOOKUP(A2447,'Data pick slip'!B:F,5,FALSE)</f>
        <v>KHJ-MC100-00</v>
      </c>
      <c r="F2447" s="157" t="s">
        <v>2862</v>
      </c>
      <c r="H2447" s="138">
        <v>904</v>
      </c>
      <c r="I2447" s="139" t="str">
        <f>VLOOKUP(H2447,Stock_list!A:R,18,FALSE)</f>
        <v>君博信</v>
      </c>
      <c r="J2447" s="139" t="str">
        <f>VLOOKUP(H2447,Stock_list!A:S,17,FALSE)</f>
        <v>C49SZX20200200SS</v>
      </c>
      <c r="K2447" s="51" t="str">
        <f>VLOOKUP(H2447,Stock_list!A:T,16,FALSE)</f>
        <v>JPY</v>
      </c>
      <c r="L2447" s="4">
        <v>44158</v>
      </c>
      <c r="M2447" s="140">
        <v>20</v>
      </c>
      <c r="N2447" s="143"/>
      <c r="P2447" s="4" t="str">
        <f>VLOOKUP(H2447,Stock_list!A:Y,25,FALSE)</f>
        <v>Yes</v>
      </c>
      <c r="Q2447" s="133"/>
      <c r="T2447" s="144"/>
      <c r="U2447" s="145" t="str">
        <f>VLOOKUP(H2447,Stock_list!A:N,14,FALSE)</f>
        <v>NOV 20</v>
      </c>
    </row>
    <row r="2448" spans="1:21" ht="16.5" customHeight="1">
      <c r="A2448" s="159" t="s">
        <v>2744</v>
      </c>
      <c r="B2448" s="114" t="str">
        <f>VLOOKUP(A2448,'Data pick slip'!B:F,5,FALSE)</f>
        <v>KHJ-MC100-00</v>
      </c>
      <c r="F2448" s="157" t="s">
        <v>2862</v>
      </c>
      <c r="I2448" s="139" t="s">
        <v>3016</v>
      </c>
      <c r="J2448" s="139" t="s">
        <v>3369</v>
      </c>
      <c r="K2448" s="51" t="s">
        <v>1246</v>
      </c>
      <c r="L2448" s="4">
        <v>44137</v>
      </c>
      <c r="M2448" s="140">
        <v>152</v>
      </c>
      <c r="P2448" s="4" t="s">
        <v>291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2747</v>
      </c>
      <c r="B2449" s="114" t="str">
        <f>VLOOKUP(A2449,'Data pick slip'!B:F,5,FALSE)</f>
        <v>KHJ-MC200-00</v>
      </c>
      <c r="F2449" s="157" t="s">
        <v>2862</v>
      </c>
      <c r="I2449" s="139" t="s">
        <v>3016</v>
      </c>
      <c r="J2449" s="139" t="s">
        <v>3369</v>
      </c>
      <c r="K2449" s="51" t="s">
        <v>1246</v>
      </c>
      <c r="L2449" s="4">
        <v>44137</v>
      </c>
      <c r="M2449" s="140">
        <v>31</v>
      </c>
      <c r="P2449" s="4" t="s">
        <v>291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2749</v>
      </c>
      <c r="B2450" s="114" t="str">
        <f>VLOOKUP(A2450,'Data pick slip'!B:F,5,FALSE)</f>
        <v>KHJ-MC500-00</v>
      </c>
      <c r="F2450" s="157" t="s">
        <v>2862</v>
      </c>
      <c r="I2450" s="139" t="s">
        <v>3016</v>
      </c>
      <c r="J2450" s="139" t="s">
        <v>3369</v>
      </c>
      <c r="K2450" s="51" t="s">
        <v>1246</v>
      </c>
      <c r="L2450" s="4">
        <v>44137</v>
      </c>
      <c r="M2450" s="140">
        <v>1</v>
      </c>
      <c r="P2450" s="4" t="s">
        <v>291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2744</v>
      </c>
      <c r="B2451" s="114" t="str">
        <f>VLOOKUP(A2451,'Data pick slip'!B:F,5,FALSE)</f>
        <v>KHJ-MC100-00</v>
      </c>
      <c r="F2451" s="157" t="s">
        <v>2773</v>
      </c>
      <c r="I2451" s="139" t="s">
        <v>3094</v>
      </c>
      <c r="J2451" s="139" t="s">
        <v>3370</v>
      </c>
      <c r="K2451" s="51" t="s">
        <v>1246</v>
      </c>
      <c r="L2451" s="4">
        <v>44119</v>
      </c>
      <c r="M2451" s="140">
        <v>110</v>
      </c>
      <c r="P2451" s="4" t="s">
        <v>291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2747</v>
      </c>
      <c r="B2452" s="114" t="str">
        <f>VLOOKUP(A2452,'Data pick slip'!B:F,5,FALSE)</f>
        <v>KHJ-MC200-00</v>
      </c>
      <c r="F2452" s="157" t="s">
        <v>2773</v>
      </c>
      <c r="I2452" s="139" t="s">
        <v>3094</v>
      </c>
      <c r="J2452" s="139" t="s">
        <v>3370</v>
      </c>
      <c r="K2452" s="51" t="s">
        <v>1246</v>
      </c>
      <c r="L2452" s="4">
        <v>44119</v>
      </c>
      <c r="M2452" s="140">
        <v>10</v>
      </c>
      <c r="P2452" s="4" t="s">
        <v>291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2744</v>
      </c>
      <c r="B2453" s="114" t="str">
        <f>VLOOKUP(A2453,'Data pick slip'!B:F,5,FALSE)</f>
        <v>KHJ-MC100-00</v>
      </c>
      <c r="F2453" s="157" t="s">
        <v>2773</v>
      </c>
      <c r="I2453" s="139" t="s">
        <v>3094</v>
      </c>
      <c r="J2453" s="139" t="s">
        <v>3370</v>
      </c>
      <c r="K2453" s="51" t="s">
        <v>1246</v>
      </c>
      <c r="L2453" s="4">
        <v>44125</v>
      </c>
      <c r="M2453" s="140">
        <v>30</v>
      </c>
      <c r="P2453" s="4" t="s">
        <v>291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2750</v>
      </c>
      <c r="B2454" s="114" t="str">
        <f>VLOOKUP(A2454,'Data pick slip'!B:F,5,FALSE)</f>
        <v>KHJ-MC600-00</v>
      </c>
      <c r="F2454" s="157" t="s">
        <v>2773</v>
      </c>
      <c r="I2454" s="139" t="s">
        <v>3094</v>
      </c>
      <c r="J2454" s="139" t="s">
        <v>3371</v>
      </c>
      <c r="K2454" s="51" t="s">
        <v>1246</v>
      </c>
      <c r="L2454" s="4">
        <v>44138</v>
      </c>
      <c r="M2454" s="140">
        <v>1</v>
      </c>
      <c r="P2454" s="4" t="s">
        <v>291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2751</v>
      </c>
      <c r="B2455" s="114" t="str">
        <f>VLOOKUP(A2455,'Data pick slip'!B:F,5,FALSE)</f>
        <v>KHJ-MC700-00</v>
      </c>
      <c r="F2455" s="157" t="s">
        <v>2773</v>
      </c>
      <c r="I2455" s="139" t="s">
        <v>3094</v>
      </c>
      <c r="J2455" s="139" t="s">
        <v>3371</v>
      </c>
      <c r="K2455" s="51" t="s">
        <v>1246</v>
      </c>
      <c r="L2455" s="4">
        <v>44138</v>
      </c>
      <c r="M2455" s="140">
        <v>1</v>
      </c>
      <c r="P2455" s="4" t="s">
        <v>291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2747</v>
      </c>
      <c r="B2456" s="114" t="str">
        <f>VLOOKUP(A2456,'Data pick slip'!B:F,5,FALSE)</f>
        <v>KHJ-MC200-00</v>
      </c>
      <c r="F2456" s="157" t="s">
        <v>2773</v>
      </c>
      <c r="I2456" s="139" t="s">
        <v>3100</v>
      </c>
      <c r="J2456" s="139" t="s">
        <v>3372</v>
      </c>
      <c r="K2456" s="51" t="s">
        <v>1246</v>
      </c>
      <c r="L2456" s="143" t="s">
        <v>3309</v>
      </c>
      <c r="M2456" s="140">
        <v>4</v>
      </c>
      <c r="P2456" s="4" t="s">
        <v>291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2744</v>
      </c>
      <c r="B2457" s="114" t="str">
        <f>VLOOKUP(A2457,'Data pick slip'!B:F,5,FALSE)</f>
        <v>KHJ-MC100-00</v>
      </c>
      <c r="F2457" s="157" t="s">
        <v>2862</v>
      </c>
      <c r="H2457" s="138">
        <v>907</v>
      </c>
      <c r="I2457" s="139" t="str">
        <f>VLOOKUP(H2457,Stock_list!A:R,18,FALSE)</f>
        <v>鑫亿特</v>
      </c>
      <c r="J2457" s="139" t="str">
        <f>VLOOKUP(H2457,Stock_list!A:S,17,FALSE)</f>
        <v>C49SZX20200142SX</v>
      </c>
      <c r="K2457" s="51" t="str">
        <f>VLOOKUP(H2457,Stock_list!A:T,16,FALSE)</f>
        <v>JPY</v>
      </c>
      <c r="L2457" s="4">
        <v>44204</v>
      </c>
      <c r="M2457" s="143">
        <v>150</v>
      </c>
      <c r="P2457" s="4" t="str">
        <f>VLOOKUP(H2457,Stock_list!A:Y,25,FALSE)</f>
        <v>Yes</v>
      </c>
      <c r="Q2457" s="133"/>
      <c r="T2457" s="144"/>
      <c r="U2457" s="145" t="str">
        <f>VLOOKUP(H2457,Stock_list!A:N,14,FALSE)</f>
        <v>JAN 21</v>
      </c>
    </row>
    <row r="2458" spans="1:21" ht="16.5" customHeight="1">
      <c r="A2458" s="159" t="s">
        <v>2747</v>
      </c>
      <c r="B2458" s="114" t="str">
        <f>VLOOKUP(A2458,'Data pick slip'!B:F,5,FALSE)</f>
        <v>KHJ-MC200-00</v>
      </c>
      <c r="F2458" s="157" t="s">
        <v>2862</v>
      </c>
      <c r="H2458" s="138">
        <v>907</v>
      </c>
      <c r="I2458" s="139" t="str">
        <f>VLOOKUP(H2458,Stock_list!A:R,18,FALSE)</f>
        <v>鑫亿特</v>
      </c>
      <c r="J2458" s="139" t="str">
        <f>VLOOKUP(H2458,Stock_list!A:S,17,FALSE)</f>
        <v>C49SZX20200142SX</v>
      </c>
      <c r="K2458" s="51" t="str">
        <f>VLOOKUP(H2458,Stock_list!A:T,16,FALSE)</f>
        <v>JPY</v>
      </c>
      <c r="L2458" s="4">
        <v>44204</v>
      </c>
      <c r="M2458" s="143">
        <v>8</v>
      </c>
      <c r="P2458" s="4" t="str">
        <f>VLOOKUP(H2458,Stock_list!A:Y,25,FALSE)</f>
        <v>Yes</v>
      </c>
      <c r="Q2458" s="133"/>
      <c r="T2458" s="144"/>
      <c r="U2458" s="145" t="str">
        <f>VLOOKUP(H2458,Stock_list!A:N,14,FALSE)</f>
        <v>JAN 21</v>
      </c>
    </row>
    <row r="2459" spans="1:21" ht="16.5" customHeight="1">
      <c r="A2459" s="159" t="s">
        <v>2748</v>
      </c>
      <c r="B2459" s="114" t="str">
        <f>VLOOKUP(A2459,'Data pick slip'!B:F,5,FALSE)</f>
        <v>KHJ-MC400-00</v>
      </c>
      <c r="F2459" s="157" t="s">
        <v>2862</v>
      </c>
      <c r="H2459" s="138">
        <v>907</v>
      </c>
      <c r="I2459" s="139" t="str">
        <f>VLOOKUP(H2459,Stock_list!A:R,18,FALSE)</f>
        <v>鑫亿特</v>
      </c>
      <c r="J2459" s="285" t="str">
        <f>VLOOKUP(H2459,Stock_list!A:S,17,FALSE)</f>
        <v>C49SZX20200142SX</v>
      </c>
      <c r="K2459" s="258" t="str">
        <f>VLOOKUP(H2459,Stock_list!A:T,16,FALSE)</f>
        <v>JPY</v>
      </c>
      <c r="L2459" s="286">
        <v>44204</v>
      </c>
      <c r="M2459" s="288">
        <v>5</v>
      </c>
      <c r="P2459" s="4" t="str">
        <f>VLOOKUP(H2459,Stock_list!A:Y,25,FALSE)</f>
        <v>Yes</v>
      </c>
      <c r="Q2459" s="133"/>
      <c r="T2459" s="144"/>
      <c r="U2459" s="145" t="str">
        <f>VLOOKUP(H2459,Stock_list!A:N,14,FALSE)</f>
        <v>JAN 21</v>
      </c>
    </row>
    <row r="2460" spans="1:21" ht="16.5" customHeight="1">
      <c r="A2460" s="159" t="s">
        <v>2749</v>
      </c>
      <c r="B2460" s="114" t="str">
        <f>VLOOKUP(A2460,'Data pick slip'!B:F,5,FALSE)</f>
        <v>KHJ-MC500-00</v>
      </c>
      <c r="F2460" s="157" t="s">
        <v>2773</v>
      </c>
      <c r="H2460" s="138">
        <v>907</v>
      </c>
      <c r="I2460" s="139" t="str">
        <f>VLOOKUP(H2460,Stock_list!A:R,18,FALSE)</f>
        <v>鑫亿特</v>
      </c>
      <c r="J2460" s="139" t="str">
        <f>VLOOKUP(H2460,Stock_list!A:S,17,FALSE)</f>
        <v>C49SZX20200142SX</v>
      </c>
      <c r="K2460" s="51" t="str">
        <f>VLOOKUP(H2460,Stock_list!A:T,16,FALSE)</f>
        <v>JPY</v>
      </c>
      <c r="L2460" s="4">
        <v>44204</v>
      </c>
      <c r="M2460" s="143">
        <v>2</v>
      </c>
      <c r="P2460" s="4" t="str">
        <f>VLOOKUP(H2460,Stock_list!A:Y,25,FALSE)</f>
        <v>Yes</v>
      </c>
      <c r="Q2460" s="133"/>
      <c r="S2460" s="268" t="s">
        <v>2778</v>
      </c>
      <c r="T2460" s="266" t="s">
        <v>3373</v>
      </c>
      <c r="U2460" s="145" t="str">
        <f>VLOOKUP(H2460,Stock_list!A:N,14,FALSE)</f>
        <v>JAN 21</v>
      </c>
    </row>
    <row r="2461" spans="1:21" ht="16.5" customHeight="1">
      <c r="A2461" s="159" t="s">
        <v>2750</v>
      </c>
      <c r="B2461" s="114" t="str">
        <f>VLOOKUP(A2461,'Data pick slip'!B:F,5,FALSE)</f>
        <v>KHJ-MC600-00</v>
      </c>
      <c r="F2461" s="157" t="s">
        <v>2773</v>
      </c>
      <c r="H2461" s="138">
        <v>907</v>
      </c>
      <c r="I2461" s="139" t="str">
        <f>VLOOKUP(H2461,Stock_list!A:R,18,FALSE)</f>
        <v>鑫亿特</v>
      </c>
      <c r="J2461" s="139" t="str">
        <f>VLOOKUP(H2461,Stock_list!A:S,17,FALSE)</f>
        <v>C49SZX20200142SX</v>
      </c>
      <c r="K2461" s="51" t="str">
        <f>VLOOKUP(H2461,Stock_list!A:T,16,FALSE)</f>
        <v>JPY</v>
      </c>
      <c r="L2461" s="4">
        <v>44204</v>
      </c>
      <c r="M2461" s="143">
        <v>2</v>
      </c>
      <c r="P2461" s="4" t="str">
        <f>VLOOKUP(H2461,Stock_list!A:Y,25,FALSE)</f>
        <v>Yes</v>
      </c>
      <c r="Q2461" s="133"/>
      <c r="S2461" s="268" t="s">
        <v>2778</v>
      </c>
      <c r="T2461" s="266" t="s">
        <v>3373</v>
      </c>
      <c r="U2461" s="145" t="str">
        <f>VLOOKUP(H2461,Stock_list!A:N,14,FALSE)</f>
        <v>JAN 21</v>
      </c>
    </row>
    <row r="2462" spans="1:21" ht="16.5" customHeight="1">
      <c r="A2462" s="159" t="s">
        <v>2744</v>
      </c>
      <c r="B2462" s="114" t="str">
        <f>VLOOKUP(A2462,'Data pick slip'!B:F,5,FALSE)</f>
        <v>KHJ-MC100-00</v>
      </c>
      <c r="F2462" s="157" t="s">
        <v>2862</v>
      </c>
      <c r="H2462" s="138">
        <v>909</v>
      </c>
      <c r="I2462" s="139" t="str">
        <f>VLOOKUP(H2462,Stock_list!A:R,18,FALSE)</f>
        <v>崧盛</v>
      </c>
      <c r="J2462" s="139" t="str">
        <f>VLOOKUP(H2462,Stock_list!A:S,17,FALSE)</f>
        <v>C49SZX20200207MZ</v>
      </c>
      <c r="K2462" s="51" t="str">
        <f>VLOOKUP(H2462,Stock_list!A:T,16,FALSE)</f>
        <v>JPY</v>
      </c>
      <c r="L2462" s="4">
        <v>44225</v>
      </c>
      <c r="M2462" s="143">
        <v>160</v>
      </c>
      <c r="P2462" s="4" t="str">
        <f>VLOOKUP(H2462,Stock_list!A:Y,25,FALSE)</f>
        <v>Yes</v>
      </c>
      <c r="Q2462" s="133"/>
      <c r="T2462" s="144"/>
      <c r="U2462" s="145" t="str">
        <f>VLOOKUP(H2462,Stock_list!A:N,14,FALSE)</f>
        <v>JAN 21</v>
      </c>
    </row>
    <row r="2463" spans="1:21" ht="16.5" customHeight="1">
      <c r="A2463" s="159" t="s">
        <v>2747</v>
      </c>
      <c r="B2463" s="114" t="str">
        <f>VLOOKUP(A2463,'Data pick slip'!B:F,5,FALSE)</f>
        <v>KHJ-MC200-00</v>
      </c>
      <c r="F2463" s="157" t="s">
        <v>2862</v>
      </c>
      <c r="H2463" s="138">
        <v>909</v>
      </c>
      <c r="I2463" s="139" t="str">
        <f>VLOOKUP(H2463,Stock_list!A:R,18,FALSE)</f>
        <v>崧盛</v>
      </c>
      <c r="J2463" s="139" t="str">
        <f>VLOOKUP(H2463,Stock_list!A:S,17,FALSE)</f>
        <v>C49SZX20200207MZ</v>
      </c>
      <c r="K2463" s="51" t="str">
        <f>VLOOKUP(H2463,Stock_list!A:T,16,FALSE)</f>
        <v>JPY</v>
      </c>
      <c r="L2463" s="4">
        <v>44225</v>
      </c>
      <c r="M2463" s="143">
        <v>20</v>
      </c>
      <c r="P2463" s="4" t="str">
        <f>VLOOKUP(H2463,Stock_list!A:Y,25,FALSE)</f>
        <v>Yes</v>
      </c>
      <c r="Q2463" s="133"/>
      <c r="T2463" s="144"/>
      <c r="U2463" s="145" t="str">
        <f>VLOOKUP(H2463,Stock_list!A:N,14,FALSE)</f>
        <v>JAN 21</v>
      </c>
    </row>
    <row r="2464" spans="1:21" ht="16.5" customHeight="1">
      <c r="A2464" s="159" t="s">
        <v>2744</v>
      </c>
      <c r="B2464" s="114" t="str">
        <f>VLOOKUP(A2464,'Data pick slip'!B:F,5,FALSE)</f>
        <v>KHJ-MC100-00</v>
      </c>
      <c r="F2464" s="157" t="s">
        <v>2862</v>
      </c>
      <c r="H2464" s="138">
        <v>912</v>
      </c>
      <c r="I2464" s="139" t="str">
        <f>VLOOKUP(H2464,Stock_list!A:R,18,FALSE)</f>
        <v>崧盛</v>
      </c>
      <c r="J2464" s="139" t="str">
        <f>VLOOKUP(H2464,Stock_list!A:S,17,FALSE)</f>
        <v>C49SZX20200206MZ</v>
      </c>
      <c r="K2464" s="51" t="str">
        <f>VLOOKUP(H2464,Stock_list!A:T,16,FALSE)</f>
        <v>JPY</v>
      </c>
      <c r="L2464" s="4">
        <v>44203</v>
      </c>
      <c r="M2464" s="143">
        <v>200</v>
      </c>
      <c r="P2464" s="4" t="str">
        <f>VLOOKUP(H2464,Stock_list!A:Y,25,FALSE)</f>
        <v>Yes</v>
      </c>
      <c r="Q2464" s="133"/>
      <c r="T2464" s="144"/>
      <c r="U2464" s="145" t="str">
        <f>VLOOKUP(H2464,Stock_list!A:N,14,FALSE)</f>
        <v>JAN 21</v>
      </c>
    </row>
    <row r="2465" spans="1:21" ht="16.5" customHeight="1">
      <c r="A2465" s="159" t="s">
        <v>2747</v>
      </c>
      <c r="B2465" s="114" t="str">
        <f>VLOOKUP(A2465,'Data pick slip'!B:F,5,FALSE)</f>
        <v>KHJ-MC200-00</v>
      </c>
      <c r="F2465" s="157" t="s">
        <v>2862</v>
      </c>
      <c r="H2465" s="138">
        <v>912</v>
      </c>
      <c r="I2465" s="139" t="str">
        <f>VLOOKUP(H2465,Stock_list!A:R,18,FALSE)</f>
        <v>崧盛</v>
      </c>
      <c r="J2465" s="139" t="str">
        <f>VLOOKUP(H2465,Stock_list!A:S,17,FALSE)</f>
        <v>C49SZX20200206MZ</v>
      </c>
      <c r="K2465" s="51" t="str">
        <f>VLOOKUP(H2465,Stock_list!A:T,16,FALSE)</f>
        <v>JPY</v>
      </c>
      <c r="L2465" s="4">
        <v>44203</v>
      </c>
      <c r="M2465" s="143">
        <v>34</v>
      </c>
      <c r="P2465" s="4" t="str">
        <f>VLOOKUP(H2465,Stock_list!A:Y,25,FALSE)</f>
        <v>Yes</v>
      </c>
      <c r="Q2465" s="133"/>
      <c r="T2465" s="144"/>
      <c r="U2465" s="145" t="str">
        <f>VLOOKUP(H2465,Stock_list!A:N,14,FALSE)</f>
        <v>JAN 21</v>
      </c>
    </row>
    <row r="2466" spans="1:21" ht="16.5" customHeight="1">
      <c r="A2466" s="159" t="s">
        <v>2747</v>
      </c>
      <c r="B2466" s="114" t="str">
        <f>VLOOKUP(A2466,'Data pick slip'!B:F,5,FALSE)</f>
        <v>KHJ-MC200-00</v>
      </c>
      <c r="F2466" s="157" t="s">
        <v>1381</v>
      </c>
      <c r="H2466" s="138">
        <v>912</v>
      </c>
      <c r="I2466" s="139" t="str">
        <f>VLOOKUP(H2466,Stock_list!A:R,18,FALSE)</f>
        <v>崧盛</v>
      </c>
      <c r="J2466" s="139" t="str">
        <f>VLOOKUP(H2466,Stock_list!A:S,17,FALSE)</f>
        <v>C49SZX20200206MZ</v>
      </c>
      <c r="K2466" s="51" t="str">
        <f>VLOOKUP(H2466,Stock_list!A:T,16,FALSE)</f>
        <v>JPY</v>
      </c>
      <c r="L2466" s="4">
        <v>44203</v>
      </c>
      <c r="M2466" s="143">
        <v>6</v>
      </c>
      <c r="P2466" s="4" t="str">
        <f>VLOOKUP(H2466,Stock_list!A:Y,25,FALSE)</f>
        <v>Yes</v>
      </c>
      <c r="Q2466" s="133"/>
      <c r="T2466" s="144"/>
      <c r="U2466" s="145" t="str">
        <f>VLOOKUP(H2466,Stock_list!A:N,14,FALSE)</f>
        <v>JAN 21</v>
      </c>
    </row>
    <row r="2467" spans="1:21" ht="16.5" customHeight="1">
      <c r="A2467" s="159" t="s">
        <v>2747</v>
      </c>
      <c r="B2467" s="114" t="str">
        <f>VLOOKUP(A2467,'Data pick slip'!B:F,5,FALSE)</f>
        <v>KHJ-MC200-00</v>
      </c>
      <c r="F2467" s="157" t="s">
        <v>2773</v>
      </c>
      <c r="H2467" s="138">
        <v>912</v>
      </c>
      <c r="I2467" s="139" t="str">
        <f>VLOOKUP(H2467,Stock_list!A:R,18,FALSE)</f>
        <v>崧盛</v>
      </c>
      <c r="J2467" s="139" t="str">
        <f>VLOOKUP(H2467,Stock_list!A:S,17,FALSE)</f>
        <v>C49SZX20200206MZ</v>
      </c>
      <c r="K2467" s="51" t="str">
        <f>VLOOKUP(H2467,Stock_list!A:T,16,FALSE)</f>
        <v>JPY</v>
      </c>
      <c r="L2467" s="4">
        <v>44203</v>
      </c>
      <c r="M2467" s="143"/>
      <c r="O2467" s="132">
        <f>6-6</f>
        <v>0</v>
      </c>
      <c r="P2467" s="4" t="str">
        <f>VLOOKUP(H2467,Stock_list!A:Y,25,FALSE)</f>
        <v>Yes</v>
      </c>
      <c r="Q2467" s="133"/>
      <c r="T2467" s="144"/>
      <c r="U2467" s="145" t="str">
        <f>VLOOKUP(H2467,Stock_list!A:N,14,FALSE)</f>
        <v>JAN 21</v>
      </c>
    </row>
    <row r="2468" spans="1:21" ht="16.5" customHeight="1">
      <c r="A2468" s="159" t="s">
        <v>2744</v>
      </c>
      <c r="B2468" s="114" t="str">
        <f>VLOOKUP(A2468,'Data pick slip'!B:F,5,FALSE)</f>
        <v>KHJ-MC100-00</v>
      </c>
      <c r="F2468" s="157" t="s">
        <v>2862</v>
      </c>
      <c r="H2468" s="138">
        <v>905</v>
      </c>
      <c r="I2468" s="139" t="str">
        <f>VLOOKUP(H2468,Stock_list!A:R,18,FALSE)</f>
        <v>新明海</v>
      </c>
      <c r="J2468" s="139" t="str">
        <f>VLOOKUP(H2468,Stock_list!A:S,17,FALSE)</f>
        <v>C49SZX20200205JZ</v>
      </c>
      <c r="K2468" s="51" t="str">
        <f>VLOOKUP(H2468,Stock_list!A:T,16,FALSE)</f>
        <v>JPY</v>
      </c>
      <c r="L2468" s="4">
        <v>44203</v>
      </c>
      <c r="M2468" s="143">
        <v>25</v>
      </c>
      <c r="P2468" s="4" t="str">
        <f>VLOOKUP(H2468,Stock_list!A:Y,25,FALSE)</f>
        <v>Yes</v>
      </c>
      <c r="Q2468" s="133"/>
      <c r="T2468" s="144"/>
      <c r="U2468" s="145" t="str">
        <f>VLOOKUP(H2468,Stock_list!A:N,14,FALSE)</f>
        <v>JAN 21</v>
      </c>
    </row>
    <row r="2469" spans="1:21" ht="16.5" customHeight="1">
      <c r="A2469" s="159" t="s">
        <v>2747</v>
      </c>
      <c r="B2469" s="114" t="str">
        <f>VLOOKUP(A2469,'Data pick slip'!B:F,5,FALSE)</f>
        <v>KHJ-MC200-00</v>
      </c>
      <c r="F2469" s="157" t="s">
        <v>2862</v>
      </c>
      <c r="H2469" s="138">
        <v>905</v>
      </c>
      <c r="I2469" s="139" t="str">
        <f>VLOOKUP(H2469,Stock_list!A:R,18,FALSE)</f>
        <v>新明海</v>
      </c>
      <c r="J2469" s="139" t="str">
        <f>VLOOKUP(H2469,Stock_list!A:S,17,FALSE)</f>
        <v>C49SZX20200205JZ</v>
      </c>
      <c r="K2469" s="51" t="str">
        <f>VLOOKUP(H2469,Stock_list!A:T,16,FALSE)</f>
        <v>JPY</v>
      </c>
      <c r="L2469" s="4">
        <v>44203</v>
      </c>
      <c r="M2469" s="143">
        <v>7</v>
      </c>
      <c r="P2469" s="4" t="str">
        <f>VLOOKUP(H2469,Stock_list!A:Y,25,FALSE)</f>
        <v>Yes</v>
      </c>
      <c r="Q2469" s="133"/>
      <c r="T2469" s="144"/>
      <c r="U2469" s="145" t="str">
        <f>VLOOKUP(H2469,Stock_list!A:N,14,FALSE)</f>
        <v>JAN 21</v>
      </c>
    </row>
    <row r="2470" spans="1:21" ht="16.5" customHeight="1">
      <c r="A2470" s="159" t="s">
        <v>2748</v>
      </c>
      <c r="B2470" s="114" t="str">
        <f>VLOOKUP(A2470,'Data pick slip'!B:F,5,FALSE)</f>
        <v>KHJ-MC400-00</v>
      </c>
      <c r="F2470" s="157" t="s">
        <v>2862</v>
      </c>
      <c r="H2470" s="138">
        <v>905</v>
      </c>
      <c r="I2470" s="139" t="str">
        <f>VLOOKUP(H2470,Stock_list!A:R,18,FALSE)</f>
        <v>新明海</v>
      </c>
      <c r="J2470" s="285" t="str">
        <f>VLOOKUP(H2470,Stock_list!A:S,17,FALSE)</f>
        <v>C49SZX20200205JZ</v>
      </c>
      <c r="K2470" s="258" t="str">
        <f>VLOOKUP(H2470,Stock_list!A:T,16,FALSE)</f>
        <v>JPY</v>
      </c>
      <c r="L2470" s="286">
        <v>44203</v>
      </c>
      <c r="M2470" s="288">
        <v>4</v>
      </c>
      <c r="P2470" s="4" t="str">
        <f>VLOOKUP(H2470,Stock_list!A:Y,25,FALSE)</f>
        <v>Yes</v>
      </c>
      <c r="Q2470" s="133"/>
      <c r="T2470" s="144"/>
      <c r="U2470" s="145" t="str">
        <f>VLOOKUP(H2470,Stock_list!A:N,14,FALSE)</f>
        <v>JAN 21</v>
      </c>
    </row>
    <row r="2471" spans="1:21" ht="16.5" customHeight="1">
      <c r="A2471" s="159" t="s">
        <v>2744</v>
      </c>
      <c r="B2471" s="114" t="str">
        <f>VLOOKUP(A2471,'Data pick slip'!B:F,5,FALSE)</f>
        <v>KHJ-MC100-00</v>
      </c>
      <c r="F2471" s="157" t="s">
        <v>2862</v>
      </c>
      <c r="H2471" s="138">
        <v>905</v>
      </c>
      <c r="I2471" s="139" t="str">
        <f>VLOOKUP(H2471,Stock_list!A:R,18,FALSE)</f>
        <v>新明海</v>
      </c>
      <c r="J2471" s="139" t="str">
        <f>VLOOKUP(H2471,Stock_list!A:S,17,FALSE)</f>
        <v>C49SZX20200205JZ</v>
      </c>
      <c r="K2471" s="51" t="str">
        <f>VLOOKUP(H2471,Stock_list!A:T,16,FALSE)</f>
        <v>JPY</v>
      </c>
      <c r="L2471" s="4">
        <v>44218</v>
      </c>
      <c r="M2471" s="143">
        <v>25</v>
      </c>
      <c r="P2471" s="4" t="str">
        <f>VLOOKUP(H2471,Stock_list!A:Y,25,FALSE)</f>
        <v>Yes</v>
      </c>
      <c r="Q2471" s="133"/>
      <c r="T2471" s="144"/>
      <c r="U2471" s="145" t="str">
        <f>VLOOKUP(H2471,Stock_list!A:N,14,FALSE)</f>
        <v>JAN 21</v>
      </c>
    </row>
    <row r="2472" spans="1:21" ht="16.5" customHeight="1">
      <c r="A2472" s="159" t="s">
        <v>2747</v>
      </c>
      <c r="B2472" s="114" t="str">
        <f>VLOOKUP(A2472,'Data pick slip'!B:F,5,FALSE)</f>
        <v>KHJ-MC200-00</v>
      </c>
      <c r="F2472" s="157" t="s">
        <v>2862</v>
      </c>
      <c r="H2472" s="138">
        <v>905</v>
      </c>
      <c r="I2472" s="139" t="str">
        <f>VLOOKUP(H2472,Stock_list!A:R,18,FALSE)</f>
        <v>新明海</v>
      </c>
      <c r="J2472" s="139" t="str">
        <f>VLOOKUP(H2472,Stock_list!A:S,17,FALSE)</f>
        <v>C49SZX20200205JZ</v>
      </c>
      <c r="K2472" s="51" t="str">
        <f>VLOOKUP(H2472,Stock_list!A:T,16,FALSE)</f>
        <v>JPY</v>
      </c>
      <c r="L2472" s="4">
        <v>44218</v>
      </c>
      <c r="M2472" s="143">
        <v>7</v>
      </c>
      <c r="P2472" s="4" t="str">
        <f>VLOOKUP(H2472,Stock_list!A:Y,25,FALSE)</f>
        <v>Yes</v>
      </c>
      <c r="Q2472" s="133"/>
      <c r="T2472" s="144"/>
      <c r="U2472" s="145" t="str">
        <f>VLOOKUP(H2472,Stock_list!A:N,14,FALSE)</f>
        <v>JAN 21</v>
      </c>
    </row>
    <row r="2473" spans="1:21" ht="16.5" customHeight="1">
      <c r="A2473" s="159" t="s">
        <v>2748</v>
      </c>
      <c r="B2473" s="114" t="str">
        <f>VLOOKUP(A2473,'Data pick slip'!B:F,5,FALSE)</f>
        <v>KHJ-MC400-00</v>
      </c>
      <c r="F2473" s="157" t="s">
        <v>2862</v>
      </c>
      <c r="H2473" s="138">
        <v>905</v>
      </c>
      <c r="I2473" s="139" t="str">
        <f>VLOOKUP(H2473,Stock_list!A:R,18,FALSE)</f>
        <v>新明海</v>
      </c>
      <c r="J2473" s="285" t="str">
        <f>VLOOKUP(H2473,Stock_list!A:S,17,FALSE)</f>
        <v>C49SZX20200205JZ</v>
      </c>
      <c r="K2473" s="258" t="str">
        <f>VLOOKUP(H2473,Stock_list!A:T,16,FALSE)</f>
        <v>JPY</v>
      </c>
      <c r="L2473" s="286">
        <v>44218</v>
      </c>
      <c r="M2473" s="288">
        <v>4</v>
      </c>
      <c r="P2473" s="4" t="str">
        <f>VLOOKUP(H2473,Stock_list!A:Y,25,FALSE)</f>
        <v>Yes</v>
      </c>
      <c r="Q2473" s="133"/>
      <c r="T2473" s="144"/>
      <c r="U2473" s="145" t="str">
        <f>VLOOKUP(H2473,Stock_list!A:N,14,FALSE)</f>
        <v>JAN 21</v>
      </c>
    </row>
    <row r="2474" spans="1:21" ht="16.5" customHeight="1">
      <c r="A2474" s="159" t="s">
        <v>2749</v>
      </c>
      <c r="B2474" s="114"/>
      <c r="F2474" s="157" t="s">
        <v>2862</v>
      </c>
      <c r="H2474" s="138">
        <v>905</v>
      </c>
      <c r="I2474" s="139" t="str">
        <f>VLOOKUP(H2474,Stock_list!A:R,18,FALSE)</f>
        <v>新明海</v>
      </c>
      <c r="J2474" s="139" t="str">
        <f>VLOOKUP(H2474,Stock_list!A:S,17,FALSE)</f>
        <v>C49SZX20200205JZ</v>
      </c>
      <c r="K2474" s="51" t="str">
        <f>VLOOKUP(H2474,Stock_list!A:T,16,FALSE)</f>
        <v>JPY</v>
      </c>
      <c r="L2474" s="4">
        <v>44218</v>
      </c>
      <c r="M2474" s="143">
        <v>1</v>
      </c>
      <c r="P2474" s="4" t="str">
        <f>VLOOKUP(H2474,Stock_list!A:Y,25,FALSE)</f>
        <v>Yes</v>
      </c>
      <c r="Q2474" s="133"/>
      <c r="T2474" s="144"/>
      <c r="U2474" s="145" t="str">
        <f>VLOOKUP(H2474,Stock_list!A:N,14,FALSE)</f>
        <v>JAN 21</v>
      </c>
    </row>
    <row r="2475" spans="1:21" ht="16.5" customHeight="1">
      <c r="A2475" s="159" t="s">
        <v>2750</v>
      </c>
      <c r="B2475" s="114" t="str">
        <f>VLOOKUP(A2475,'Data pick slip'!B:F,5,FALSE)</f>
        <v>KHJ-MC600-00</v>
      </c>
      <c r="F2475" s="157" t="s">
        <v>2753</v>
      </c>
      <c r="H2475" s="138">
        <v>905</v>
      </c>
      <c r="I2475" s="139" t="str">
        <f>VLOOKUP(H2475,Stock_list!A:R,18,FALSE)</f>
        <v>新明海</v>
      </c>
      <c r="J2475" s="139" t="str">
        <f>VLOOKUP(H2475,Stock_list!A:S,17,FALSE)</f>
        <v>C49SZX20200205JZ</v>
      </c>
      <c r="K2475" s="51" t="str">
        <f>VLOOKUP(H2475,Stock_list!A:T,16,FALSE)</f>
        <v>JPY</v>
      </c>
      <c r="L2475" s="4">
        <v>44218</v>
      </c>
      <c r="M2475" s="143">
        <v>1</v>
      </c>
      <c r="P2475" s="4" t="str">
        <f>VLOOKUP(H2475,Stock_list!A:Y,25,FALSE)</f>
        <v>Yes</v>
      </c>
      <c r="Q2475" s="133"/>
      <c r="S2475" s="268" t="s">
        <v>2778</v>
      </c>
      <c r="T2475" s="266" t="s">
        <v>3373</v>
      </c>
      <c r="U2475" s="145" t="str">
        <f>VLOOKUP(H2475,Stock_list!A:N,14,FALSE)</f>
        <v>JAN 21</v>
      </c>
    </row>
    <row r="2476" spans="1:21" ht="16.5" customHeight="1">
      <c r="A2476" s="159" t="s">
        <v>2750</v>
      </c>
      <c r="B2476" s="114" t="str">
        <f>VLOOKUP(A2476,'Data pick slip'!B:F,5,FALSE)</f>
        <v>KHJ-MC600-00</v>
      </c>
      <c r="F2476" s="157" t="s">
        <v>1381</v>
      </c>
      <c r="H2476" s="138">
        <v>905</v>
      </c>
      <c r="I2476" s="139" t="str">
        <f>VLOOKUP(H2476,Stock_list!A:R,18,FALSE)</f>
        <v>新明海</v>
      </c>
      <c r="J2476" s="139" t="str">
        <f>VLOOKUP(H2476,Stock_list!A:S,17,FALSE)</f>
        <v>C49SZX20200205JZ</v>
      </c>
      <c r="K2476" s="51" t="str">
        <f>VLOOKUP(H2476,Stock_list!A:T,16,FALSE)</f>
        <v>JPY</v>
      </c>
      <c r="L2476" s="4">
        <v>44218</v>
      </c>
      <c r="M2476" s="271" t="s">
        <v>3374</v>
      </c>
      <c r="P2476" s="4" t="str">
        <f>VLOOKUP(H2476,Stock_list!A:Y,25,FALSE)</f>
        <v>Yes</v>
      </c>
      <c r="Q2476" s="133"/>
      <c r="S2476" s="268"/>
      <c r="T2476" s="266"/>
      <c r="U2476" s="145" t="str">
        <f>VLOOKUP(H2476,Stock_list!A:N,14,FALSE)</f>
        <v>JAN 21</v>
      </c>
    </row>
    <row r="2477" spans="1:21" ht="16.5" customHeight="1">
      <c r="A2477" s="159" t="s">
        <v>2744</v>
      </c>
      <c r="B2477" s="114" t="str">
        <f>VLOOKUP(A2477,'Data pick slip'!B:F,5,FALSE)</f>
        <v>KHJ-MC100-00</v>
      </c>
      <c r="F2477" s="157" t="s">
        <v>2773</v>
      </c>
      <c r="H2477" s="138">
        <v>905</v>
      </c>
      <c r="I2477" s="139" t="str">
        <f>VLOOKUP(H2477,Stock_list!A:R,18,FALSE)</f>
        <v>新明海</v>
      </c>
      <c r="J2477" s="139" t="str">
        <f>VLOOKUP(H2477,Stock_list!A:S,17,FALSE)</f>
        <v>C49SZX20200205JZ</v>
      </c>
      <c r="K2477" s="51" t="str">
        <f>VLOOKUP(H2477,Stock_list!A:T,16,FALSE)</f>
        <v>JPY</v>
      </c>
      <c r="L2477" s="4">
        <v>44158</v>
      </c>
      <c r="N2477" s="146"/>
      <c r="O2477" s="143">
        <f>50-25-25</f>
        <v>0</v>
      </c>
      <c r="P2477" s="4" t="str">
        <f>VLOOKUP(H2477,Stock_list!A:Y,25,FALSE)</f>
        <v>Yes</v>
      </c>
      <c r="Q2477" s="133"/>
      <c r="T2477" s="144"/>
      <c r="U2477" s="145" t="str">
        <f>VLOOKUP(H2477,Stock_list!A:N,14,FALSE)</f>
        <v>JAN 21</v>
      </c>
    </row>
    <row r="2478" spans="1:21" ht="16.5" customHeight="1">
      <c r="A2478" s="159" t="s">
        <v>2747</v>
      </c>
      <c r="B2478" s="114" t="str">
        <f>VLOOKUP(A2478,'Data pick slip'!B:F,5,FALSE)</f>
        <v>KHJ-MC200-00</v>
      </c>
      <c r="F2478" s="157" t="s">
        <v>2773</v>
      </c>
      <c r="H2478" s="138">
        <v>905</v>
      </c>
      <c r="I2478" s="139" t="str">
        <f>VLOOKUP(H2478,Stock_list!A:R,18,FALSE)</f>
        <v>新明海</v>
      </c>
      <c r="J2478" s="139" t="str">
        <f>VLOOKUP(H2478,Stock_list!A:S,17,FALSE)</f>
        <v>C49SZX20200205JZ</v>
      </c>
      <c r="K2478" s="51" t="str">
        <f>VLOOKUP(H2478,Stock_list!A:T,16,FALSE)</f>
        <v>JPY</v>
      </c>
      <c r="L2478" s="4">
        <v>44158</v>
      </c>
      <c r="N2478" s="146"/>
      <c r="O2478" s="143">
        <f>14-7-7</f>
        <v>0</v>
      </c>
      <c r="P2478" s="4" t="str">
        <f>VLOOKUP(H2478,Stock_list!A:Y,25,FALSE)</f>
        <v>Yes</v>
      </c>
      <c r="Q2478" s="133"/>
      <c r="T2478" s="144"/>
      <c r="U2478" s="145" t="str">
        <f>VLOOKUP(H2478,Stock_list!A:N,14,FALSE)</f>
        <v>JAN 21</v>
      </c>
    </row>
    <row r="2479" spans="1:21" ht="16.5" customHeight="1">
      <c r="A2479" s="159" t="s">
        <v>2748</v>
      </c>
      <c r="B2479" s="114" t="str">
        <f>VLOOKUP(A2479,'Data pick slip'!B:F,5,FALSE)</f>
        <v>KHJ-MC400-00</v>
      </c>
      <c r="F2479" s="157" t="s">
        <v>2773</v>
      </c>
      <c r="H2479" s="138">
        <v>905</v>
      </c>
      <c r="I2479" s="139" t="str">
        <f>VLOOKUP(H2479,Stock_list!A:R,18,FALSE)</f>
        <v>新明海</v>
      </c>
      <c r="J2479" s="139" t="str">
        <f>VLOOKUP(H2479,Stock_list!A:S,17,FALSE)</f>
        <v>C49SZX20200205JZ</v>
      </c>
      <c r="K2479" s="51" t="str">
        <f>VLOOKUP(H2479,Stock_list!A:T,16,FALSE)</f>
        <v>JPY</v>
      </c>
      <c r="L2479" s="4">
        <v>44158</v>
      </c>
      <c r="N2479" s="146"/>
      <c r="O2479" s="143">
        <f>8-4-4</f>
        <v>0</v>
      </c>
      <c r="P2479" s="4" t="str">
        <f>VLOOKUP(H2479,Stock_list!A:Y,25,FALSE)</f>
        <v>Yes</v>
      </c>
      <c r="Q2479" s="133"/>
      <c r="T2479" s="144"/>
      <c r="U2479" s="145" t="str">
        <f>VLOOKUP(H2479,Stock_list!A:N,14,FALSE)</f>
        <v>JAN 21</v>
      </c>
    </row>
    <row r="2480" spans="1:21" ht="16.5" customHeight="1">
      <c r="A2480" s="159" t="s">
        <v>2749</v>
      </c>
      <c r="B2480" s="114" t="str">
        <f>VLOOKUP(A2480,'Data pick slip'!B:F,5,FALSE)</f>
        <v>KHJ-MC500-00</v>
      </c>
      <c r="F2480" s="157" t="s">
        <v>2773</v>
      </c>
      <c r="H2480" s="138">
        <v>905</v>
      </c>
      <c r="I2480" s="139" t="str">
        <f>VLOOKUP(H2480,Stock_list!A:R,18,FALSE)</f>
        <v>新明海</v>
      </c>
      <c r="J2480" s="139" t="str">
        <f>VLOOKUP(H2480,Stock_list!A:S,17,FALSE)</f>
        <v>C49SZX20200205JZ</v>
      </c>
      <c r="K2480" s="51" t="str">
        <f>VLOOKUP(H2480,Stock_list!A:T,16,FALSE)</f>
        <v>JPY</v>
      </c>
      <c r="L2480" s="4">
        <v>44158</v>
      </c>
      <c r="N2480" s="146"/>
      <c r="O2480" s="143">
        <f>1-1</f>
        <v>0</v>
      </c>
      <c r="P2480" s="4" t="str">
        <f>VLOOKUP(H2480,Stock_list!A:Y,25,FALSE)</f>
        <v>Yes</v>
      </c>
      <c r="Q2480" s="133"/>
      <c r="T2480" s="144"/>
      <c r="U2480" s="145" t="str">
        <f>VLOOKUP(H2480,Stock_list!A:N,14,FALSE)</f>
        <v>JAN 21</v>
      </c>
    </row>
    <row r="2481" spans="1:21" ht="16.5" customHeight="1">
      <c r="A2481" s="159" t="s">
        <v>2750</v>
      </c>
      <c r="B2481" s="114" t="str">
        <f>VLOOKUP(A2481,'Data pick slip'!B:F,5,FALSE)</f>
        <v>KHJ-MC600-00</v>
      </c>
      <c r="F2481" s="157" t="s">
        <v>2773</v>
      </c>
      <c r="H2481" s="138">
        <v>905</v>
      </c>
      <c r="I2481" s="139" t="str">
        <f>VLOOKUP(H2481,Stock_list!A:R,18,FALSE)</f>
        <v>新明海</v>
      </c>
      <c r="J2481" s="139" t="str">
        <f>VLOOKUP(H2481,Stock_list!A:S,17,FALSE)</f>
        <v>C49SZX20200205JZ</v>
      </c>
      <c r="K2481" s="51" t="str">
        <f>VLOOKUP(H2481,Stock_list!A:T,16,FALSE)</f>
        <v>JPY</v>
      </c>
      <c r="L2481" s="4">
        <v>44158</v>
      </c>
      <c r="N2481" s="146"/>
      <c r="O2481" s="143">
        <f>1-1</f>
        <v>0</v>
      </c>
      <c r="P2481" s="4" t="str">
        <f>VLOOKUP(H2481,Stock_list!A:Y,25,FALSE)</f>
        <v>Yes</v>
      </c>
      <c r="Q2481" s="133"/>
      <c r="T2481" s="144"/>
      <c r="U2481" s="145" t="str">
        <f>VLOOKUP(H2481,Stock_list!A:N,14,FALSE)</f>
        <v>JAN 21</v>
      </c>
    </row>
    <row r="2482" spans="1:21" ht="16.5" customHeight="1">
      <c r="A2482" s="159" t="s">
        <v>2744</v>
      </c>
      <c r="B2482" s="114" t="str">
        <f>VLOOKUP(A2482,'Data pick slip'!B:F,5,FALSE)</f>
        <v>KHJ-MC100-00</v>
      </c>
      <c r="F2482" s="157" t="s">
        <v>2862</v>
      </c>
      <c r="H2482" s="138">
        <v>918</v>
      </c>
      <c r="I2482" s="139" t="str">
        <f>VLOOKUP(H2482,Stock_list!A:R,18,FALSE)</f>
        <v>合进高</v>
      </c>
      <c r="J2482" s="139" t="str">
        <f>VLOOKUP(H2482,Stock_list!A:S,17,FALSE)</f>
        <v>C49SZX20200192SS</v>
      </c>
      <c r="K2482" s="51" t="str">
        <f>VLOOKUP(H2482,Stock_list!A:T,16,FALSE)</f>
        <v>JPY</v>
      </c>
      <c r="L2482" s="4">
        <v>44229</v>
      </c>
      <c r="M2482" s="132">
        <v>200</v>
      </c>
      <c r="P2482" s="4" t="str">
        <f>VLOOKUP(H2482,Stock_list!A:Y,25,FALSE)</f>
        <v>Yes</v>
      </c>
      <c r="Q2482" s="133"/>
      <c r="T2482" s="144"/>
      <c r="U2482" s="145" t="str">
        <f>VLOOKUP(H2482,Stock_list!A:N,14,FALSE)</f>
        <v>JAN 21</v>
      </c>
    </row>
    <row r="2483" spans="1:21" ht="16.5" customHeight="1">
      <c r="A2483" s="159" t="s">
        <v>2747</v>
      </c>
      <c r="B2483" s="114" t="str">
        <f>VLOOKUP(A2483,'Data pick slip'!B:F,5,FALSE)</f>
        <v>KHJ-MC200-00</v>
      </c>
      <c r="F2483" s="157" t="s">
        <v>2862</v>
      </c>
      <c r="H2483" s="138">
        <v>918</v>
      </c>
      <c r="I2483" s="139" t="str">
        <f>VLOOKUP(H2483,Stock_list!A:R,18,FALSE)</f>
        <v>合进高</v>
      </c>
      <c r="J2483" s="139" t="str">
        <f>VLOOKUP(H2483,Stock_list!A:S,17,FALSE)</f>
        <v>C49SZX20200192SS</v>
      </c>
      <c r="K2483" s="51" t="str">
        <f>VLOOKUP(H2483,Stock_list!A:T,16,FALSE)</f>
        <v>JPY</v>
      </c>
      <c r="L2483" s="4">
        <v>44229</v>
      </c>
      <c r="M2483" s="132">
        <v>20</v>
      </c>
      <c r="P2483" s="4" t="str">
        <f>VLOOKUP(H2483,Stock_list!A:Y,25,FALSE)</f>
        <v>Yes</v>
      </c>
      <c r="Q2483" s="133"/>
      <c r="T2483" s="144"/>
      <c r="U2483" s="145" t="str">
        <f>VLOOKUP(H2483,Stock_list!A:N,14,FALSE)</f>
        <v>JAN 21</v>
      </c>
    </row>
    <row r="2484" spans="1:21" ht="16.5" customHeight="1">
      <c r="A2484" s="159" t="s">
        <v>2747</v>
      </c>
      <c r="B2484" s="114" t="str">
        <f>VLOOKUP(A2484,'Data pick slip'!B:F,5,FALSE)</f>
        <v>KHJ-MC200-00</v>
      </c>
      <c r="F2484" s="157" t="s">
        <v>2773</v>
      </c>
      <c r="I2484" s="139" t="s">
        <v>3094</v>
      </c>
      <c r="J2484" s="139" t="s">
        <v>3370</v>
      </c>
      <c r="K2484" s="51" t="s">
        <v>1246</v>
      </c>
      <c r="L2484" s="4">
        <v>44147</v>
      </c>
      <c r="M2484" s="140">
        <v>30</v>
      </c>
      <c r="P2484" s="4" t="s">
        <v>291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2744</v>
      </c>
      <c r="B2485" s="114" t="str">
        <f>VLOOKUP(A2485,'Data pick slip'!B:F,5,FALSE)</f>
        <v>KHJ-MC100-00</v>
      </c>
      <c r="F2485" s="157" t="s">
        <v>2862</v>
      </c>
      <c r="H2485" s="138">
        <v>919</v>
      </c>
      <c r="I2485" s="139" t="str">
        <f>VLOOKUP(H2485,Stock_list!A:R,18,FALSE)</f>
        <v>存封</v>
      </c>
      <c r="J2485" s="139" t="str">
        <f>VLOOKUP(H2485,Stock_list!A:S,17,FALSE)</f>
        <v>C49SZX20200203SS</v>
      </c>
      <c r="K2485" s="51" t="str">
        <f>VLOOKUP(H2485,Stock_list!A:T,16,FALSE)</f>
        <v>JPY</v>
      </c>
      <c r="L2485" s="4">
        <v>44195</v>
      </c>
      <c r="M2485" s="132">
        <v>15</v>
      </c>
      <c r="P2485" s="4" t="str">
        <f>VLOOKUP(H2485,Stock_list!A:Y,25,FALSE)</f>
        <v>Yes</v>
      </c>
      <c r="Q2485" s="143"/>
      <c r="T2485" s="144"/>
      <c r="U2485" s="145" t="str">
        <f>VLOOKUP(H2485,Stock_list!A:N,14,FALSE)</f>
        <v>DEC 20</v>
      </c>
    </row>
    <row r="2486" spans="1:21" ht="16.5" customHeight="1">
      <c r="A2486" s="159" t="s">
        <v>2744</v>
      </c>
      <c r="B2486" s="114" t="str">
        <f>VLOOKUP(A2486,'Data pick slip'!B:F,5,FALSE)</f>
        <v>KHJ-MC100-00</v>
      </c>
      <c r="F2486" s="157" t="s">
        <v>2862</v>
      </c>
      <c r="H2486" s="138">
        <v>920</v>
      </c>
      <c r="I2486" s="139" t="str">
        <f>VLOOKUP(H2486,Stock_list!A:R,18,FALSE)</f>
        <v>易而达</v>
      </c>
      <c r="J2486" s="139" t="str">
        <f>VLOOKUP(H2486,Stock_list!A:S,17,FALSE)</f>
        <v>C49SZX20200145JL</v>
      </c>
      <c r="K2486" s="51" t="str">
        <f>VLOOKUP(H2486,Stock_list!A:T,16,FALSE)</f>
        <v>JPY</v>
      </c>
      <c r="L2486" s="4">
        <v>44217</v>
      </c>
      <c r="M2486" s="143">
        <v>90</v>
      </c>
      <c r="P2486" s="4" t="str">
        <f>VLOOKUP(H2486,Stock_list!A:Y,25,FALSE)</f>
        <v>Yes</v>
      </c>
      <c r="Q2486" s="133"/>
      <c r="T2486" s="144"/>
      <c r="U2486" s="145" t="str">
        <f>VLOOKUP(H2486,Stock_list!A:N,14,FALSE)</f>
        <v>JAN 21</v>
      </c>
    </row>
    <row r="2487" spans="1:21" ht="16.5" customHeight="1">
      <c r="A2487" s="159" t="s">
        <v>2747</v>
      </c>
      <c r="B2487" s="114" t="str">
        <f>VLOOKUP(A2487,'Data pick slip'!B:F,5,FALSE)</f>
        <v>KHJ-MC200-00</v>
      </c>
      <c r="F2487" s="157" t="s">
        <v>2862</v>
      </c>
      <c r="H2487" s="138">
        <v>920</v>
      </c>
      <c r="I2487" s="139" t="str">
        <f>VLOOKUP(H2487,Stock_list!A:R,18,FALSE)</f>
        <v>易而达</v>
      </c>
      <c r="J2487" s="139" t="str">
        <f>VLOOKUP(H2487,Stock_list!A:S,17,FALSE)</f>
        <v>C49SZX20200145JL</v>
      </c>
      <c r="K2487" s="51" t="str">
        <f>VLOOKUP(H2487,Stock_list!A:T,16,FALSE)</f>
        <v>JPY</v>
      </c>
      <c r="L2487" s="4">
        <v>44217</v>
      </c>
      <c r="M2487" s="143">
        <v>2</v>
      </c>
      <c r="P2487" s="4" t="str">
        <f>VLOOKUP(H2487,Stock_list!A:Y,25,FALSE)</f>
        <v>Yes</v>
      </c>
      <c r="Q2487" s="133"/>
      <c r="T2487" s="144"/>
      <c r="U2487" s="145" t="str">
        <f>VLOOKUP(H2487,Stock_list!A:N,14,FALSE)</f>
        <v>JAN 21</v>
      </c>
    </row>
    <row r="2488" spans="1:21" ht="16.5" customHeight="1">
      <c r="A2488" s="159" t="s">
        <v>2748</v>
      </c>
      <c r="B2488" s="114" t="str">
        <f>VLOOKUP(A2488,'Data pick slip'!B:F,5,FALSE)</f>
        <v>KHJ-MC400-00</v>
      </c>
      <c r="F2488" s="157" t="s">
        <v>2862</v>
      </c>
      <c r="H2488" s="138">
        <v>920</v>
      </c>
      <c r="I2488" s="139" t="str">
        <f>VLOOKUP(H2488,Stock_list!A:R,18,FALSE)</f>
        <v>易而达</v>
      </c>
      <c r="J2488" s="285" t="str">
        <f>VLOOKUP(H2488,Stock_list!A:S,17,FALSE)</f>
        <v>C49SZX20200145JL</v>
      </c>
      <c r="K2488" s="258" t="str">
        <f>VLOOKUP(H2488,Stock_list!A:T,16,FALSE)</f>
        <v>JPY</v>
      </c>
      <c r="L2488" s="286">
        <v>44217</v>
      </c>
      <c r="M2488" s="288">
        <v>1</v>
      </c>
      <c r="P2488" s="4" t="str">
        <f>VLOOKUP(H2488,Stock_list!A:Y,25,FALSE)</f>
        <v>Yes</v>
      </c>
      <c r="Q2488" s="133"/>
      <c r="T2488" s="144"/>
      <c r="U2488" s="145" t="str">
        <f>VLOOKUP(H2488,Stock_list!A:N,14,FALSE)</f>
        <v>JAN 21</v>
      </c>
    </row>
    <row r="2489" spans="1:21" ht="16.5" customHeight="1">
      <c r="A2489" s="159" t="s">
        <v>2744</v>
      </c>
      <c r="B2489" s="114" t="str">
        <f>VLOOKUP(A2489,'Data pick slip'!B:F,5,FALSE)</f>
        <v>KHJ-MC100-00</v>
      </c>
      <c r="F2489" s="157" t="s">
        <v>2773</v>
      </c>
      <c r="H2489" s="138">
        <v>922</v>
      </c>
      <c r="I2489" s="139" t="str">
        <f>VLOOKUP(H2489,Stock_list!A:R,18,FALSE)</f>
        <v>韵律光电</v>
      </c>
      <c r="J2489" s="139" t="str">
        <f>VLOOKUP(H2489,Stock_list!A:S,17,FALSE)</f>
        <v>C49SZX20200209SX</v>
      </c>
      <c r="K2489" s="51" t="str">
        <f>VLOOKUP(H2489,Stock_list!A:T,16,FALSE)</f>
        <v>RMB</v>
      </c>
      <c r="L2489" s="4">
        <v>44188</v>
      </c>
      <c r="M2489" s="143">
        <v>10</v>
      </c>
      <c r="P2489" s="4" t="str">
        <f>VLOOKUP(H2489,Stock_list!A:Y,25,FALSE)</f>
        <v>Yes</v>
      </c>
      <c r="Q2489" s="133"/>
      <c r="T2489" s="144"/>
      <c r="U2489" s="145" t="str">
        <f>VLOOKUP(H2489,Stock_list!A:N,14,FALSE)</f>
        <v>DEC 20</v>
      </c>
    </row>
    <row r="2490" spans="1:21" ht="16.5" customHeight="1">
      <c r="A2490" s="159" t="s">
        <v>2747</v>
      </c>
      <c r="B2490" s="114" t="str">
        <f>VLOOKUP(A2490,'Data pick slip'!B:F,5,FALSE)</f>
        <v>KHJ-MC200-00</v>
      </c>
      <c r="F2490" s="157" t="s">
        <v>2773</v>
      </c>
      <c r="H2490" s="138">
        <v>922</v>
      </c>
      <c r="I2490" s="139" t="str">
        <f>VLOOKUP(H2490,Stock_list!A:R,18,FALSE)</f>
        <v>韵律光电</v>
      </c>
      <c r="J2490" s="139" t="str">
        <f>VLOOKUP(H2490,Stock_list!A:S,17,FALSE)</f>
        <v>C49SZX20200209SX</v>
      </c>
      <c r="K2490" s="51" t="str">
        <f>VLOOKUP(H2490,Stock_list!A:T,16,FALSE)</f>
        <v>RMB</v>
      </c>
      <c r="L2490" s="4">
        <v>44188</v>
      </c>
      <c r="M2490" s="143">
        <v>5</v>
      </c>
      <c r="P2490" s="4" t="str">
        <f>VLOOKUP(H2490,Stock_list!A:Y,25,FALSE)</f>
        <v>Yes</v>
      </c>
      <c r="Q2490" s="133"/>
      <c r="T2490" s="144"/>
      <c r="U2490" s="145" t="str">
        <f>VLOOKUP(H2490,Stock_list!A:N,14,FALSE)</f>
        <v>DEC 20</v>
      </c>
    </row>
    <row r="2491" spans="1:21" ht="16.5" customHeight="1">
      <c r="A2491" s="159" t="s">
        <v>2755</v>
      </c>
      <c r="B2491" s="114" t="str">
        <f>VLOOKUP(A2491,'Data pick slip'!B:F,5,FALSE)</f>
        <v>KLJ-MC100-00</v>
      </c>
      <c r="F2491" s="157" t="s">
        <v>2862</v>
      </c>
      <c r="H2491" s="138">
        <v>926</v>
      </c>
      <c r="I2491" s="139" t="str">
        <f>VLOOKUP(H2491,Stock_list!A:R,18,FALSE)</f>
        <v>众鑫科</v>
      </c>
      <c r="J2491" s="139" t="str">
        <f>VLOOKUP(H2491,Stock_list!A:S,17,FALSE)</f>
        <v>C49SZX20200210RSX</v>
      </c>
      <c r="K2491" s="51" t="str">
        <f>VLOOKUP(H2491,Stock_list!A:T,16,FALSE)</f>
        <v>JPY</v>
      </c>
      <c r="L2491" s="4">
        <v>44425</v>
      </c>
      <c r="M2491" s="132">
        <v>80</v>
      </c>
      <c r="P2491" s="4" t="str">
        <f>VLOOKUP(H2491,Stock_list!A:Y,25,FALSE)</f>
        <v>Yes</v>
      </c>
      <c r="Q2491" s="143"/>
      <c r="T2491" s="144"/>
      <c r="U2491" s="145" t="str">
        <f>VLOOKUP(H2491,Stock_list!A:N,14,FALSE)</f>
        <v>AUG 21</v>
      </c>
    </row>
    <row r="2492" spans="1:21" ht="16.5" customHeight="1">
      <c r="A2492" s="159" t="s">
        <v>2756</v>
      </c>
      <c r="B2492" s="114" t="str">
        <f>VLOOKUP(A2492,'Data pick slip'!B:F,5,FALSE)</f>
        <v>KLJ-MC200-00</v>
      </c>
      <c r="F2492" s="157" t="s">
        <v>2862</v>
      </c>
      <c r="H2492" s="138">
        <v>926</v>
      </c>
      <c r="I2492" s="139" t="str">
        <f>VLOOKUP(H2492,Stock_list!A:R,18,FALSE)</f>
        <v>众鑫科</v>
      </c>
      <c r="J2492" s="139" t="str">
        <f>VLOOKUP(H2492,Stock_list!A:S,17,FALSE)</f>
        <v>C49SZX20200210RSX</v>
      </c>
      <c r="K2492" s="51" t="str">
        <f>VLOOKUP(H2492,Stock_list!A:T,16,FALSE)</f>
        <v>JPY</v>
      </c>
      <c r="L2492" s="4">
        <v>44425</v>
      </c>
      <c r="M2492" s="132">
        <f>30-15</f>
        <v>15</v>
      </c>
      <c r="P2492" s="4" t="str">
        <f>VLOOKUP(H2492,Stock_list!A:Y,25,FALSE)</f>
        <v>Yes</v>
      </c>
      <c r="T2492" s="144"/>
      <c r="U2492" s="145" t="str">
        <f>VLOOKUP(H2492,Stock_list!A:N,14,FALSE)</f>
        <v>AUG 21</v>
      </c>
    </row>
    <row r="2493" spans="1:21" ht="16.5" customHeight="1">
      <c r="A2493" s="159" t="s">
        <v>2757</v>
      </c>
      <c r="B2493" s="114" t="str">
        <f>VLOOKUP(A2493,'Data pick slip'!B:F,5,FALSE)</f>
        <v>KLJ-MC400-00</v>
      </c>
      <c r="F2493" s="157" t="s">
        <v>2862</v>
      </c>
      <c r="H2493" s="138">
        <v>926</v>
      </c>
      <c r="I2493" s="139" t="str">
        <f>VLOOKUP(H2493,Stock_list!A:R,18,FALSE)</f>
        <v>众鑫科</v>
      </c>
      <c r="J2493" s="139" t="str">
        <f>VLOOKUP(H2493,Stock_list!A:S,17,FALSE)</f>
        <v>C49SZX20200210RSX</v>
      </c>
      <c r="K2493" s="51" t="str">
        <f>VLOOKUP(H2493,Stock_list!A:T,16,FALSE)</f>
        <v>JPY</v>
      </c>
      <c r="L2493" s="4">
        <v>44425</v>
      </c>
      <c r="M2493" s="132">
        <f>10-5</f>
        <v>5</v>
      </c>
      <c r="P2493" s="4" t="str">
        <f>VLOOKUP(H2493,Stock_list!A:Y,25,FALSE)</f>
        <v>Yes</v>
      </c>
      <c r="Q2493" s="143"/>
      <c r="T2493" s="144"/>
      <c r="U2493" s="145" t="str">
        <f>VLOOKUP(H2493,Stock_list!A:N,14,FALSE)</f>
        <v>AUG 21</v>
      </c>
    </row>
    <row r="2494" spans="1:21" ht="16.5" customHeight="1">
      <c r="A2494" s="159" t="s">
        <v>2758</v>
      </c>
      <c r="B2494" s="114" t="str">
        <f>VLOOKUP(A2494,'Data pick slip'!B:F,5,FALSE)</f>
        <v>KLJ-MC500-00</v>
      </c>
      <c r="F2494" s="157" t="s">
        <v>2862</v>
      </c>
      <c r="H2494" s="138">
        <v>926</v>
      </c>
      <c r="I2494" s="139" t="str">
        <f>VLOOKUP(H2494,Stock_list!A:R,18,FALSE)</f>
        <v>众鑫科</v>
      </c>
      <c r="J2494" s="139" t="str">
        <f>VLOOKUP(H2494,Stock_list!A:S,17,FALSE)</f>
        <v>C49SZX20200210RSX</v>
      </c>
      <c r="K2494" s="51" t="str">
        <f>VLOOKUP(H2494,Stock_list!A:T,16,FALSE)</f>
        <v>JPY</v>
      </c>
      <c r="L2494" s="4">
        <v>44425</v>
      </c>
      <c r="M2494" s="132">
        <f>4-2</f>
        <v>2</v>
      </c>
      <c r="P2494" s="4" t="str">
        <f>VLOOKUP(H2494,Stock_list!A:Y,25,FALSE)</f>
        <v>Yes</v>
      </c>
      <c r="Q2494" s="143"/>
      <c r="T2494" s="144"/>
      <c r="U2494" s="145" t="str">
        <f>VLOOKUP(H2494,Stock_list!A:N,14,FALSE)</f>
        <v>AUG 21</v>
      </c>
    </row>
    <row r="2495" spans="1:21" ht="16.5" customHeight="1">
      <c r="A2495" s="159" t="s">
        <v>2759</v>
      </c>
      <c r="B2495" s="114" t="str">
        <f>VLOOKUP(A2495,'Data pick slip'!B:F,5,FALSE)</f>
        <v>KLJ-MC600-00</v>
      </c>
      <c r="F2495" s="157" t="s">
        <v>2862</v>
      </c>
      <c r="H2495" s="138">
        <v>926</v>
      </c>
      <c r="I2495" s="139" t="str">
        <f>VLOOKUP(H2495,Stock_list!A:R,18,FALSE)</f>
        <v>众鑫科</v>
      </c>
      <c r="J2495" s="139" t="str">
        <f>VLOOKUP(H2495,Stock_list!A:S,17,FALSE)</f>
        <v>C49SZX20200210RSX</v>
      </c>
      <c r="K2495" s="51" t="str">
        <f>VLOOKUP(H2495,Stock_list!A:T,16,FALSE)</f>
        <v>JPY</v>
      </c>
      <c r="L2495" s="4">
        <v>44425</v>
      </c>
      <c r="M2495" s="132">
        <v>2</v>
      </c>
      <c r="P2495" s="4" t="str">
        <f>VLOOKUP(H2495,Stock_list!A:Y,25,FALSE)</f>
        <v>Yes</v>
      </c>
      <c r="Q2495" s="143"/>
      <c r="T2495" s="144"/>
      <c r="U2495" s="145" t="str">
        <f>VLOOKUP(H2495,Stock_list!A:N,14,FALSE)</f>
        <v>AUG 21</v>
      </c>
    </row>
    <row r="2496" spans="1:21" ht="16.5" customHeight="1">
      <c r="A2496" s="159" t="s">
        <v>2759</v>
      </c>
      <c r="B2496" s="114" t="str">
        <f>VLOOKUP(A2496,'Data pick slip'!B:F,5,FALSE)</f>
        <v>KLJ-MC600-00</v>
      </c>
      <c r="F2496" s="157" t="s">
        <v>2753</v>
      </c>
      <c r="H2496" s="138">
        <v>926</v>
      </c>
      <c r="I2496" s="139" t="str">
        <f>VLOOKUP(H2496,Stock_list!A:R,18,FALSE)</f>
        <v>众鑫科</v>
      </c>
      <c r="J2496" s="139" t="str">
        <f>VLOOKUP(H2496,Stock_list!A:S,17,FALSE)</f>
        <v>C49SZX20200210RSX</v>
      </c>
      <c r="K2496" s="51" t="str">
        <f>VLOOKUP(H2496,Stock_list!A:T,16,FALSE)</f>
        <v>JPY</v>
      </c>
      <c r="L2496" s="4">
        <v>44309</v>
      </c>
      <c r="O2496" s="132">
        <f>1-1</f>
        <v>0</v>
      </c>
      <c r="P2496" s="4" t="str">
        <f>VLOOKUP(H2496,Stock_list!A:Y,25,FALSE)</f>
        <v>Yes</v>
      </c>
      <c r="Q2496" s="143"/>
      <c r="T2496" s="144"/>
      <c r="U2496" s="145" t="str">
        <f>VLOOKUP(H2496,Stock_list!A:N,14,FALSE)</f>
        <v>AUG 21</v>
      </c>
    </row>
    <row r="2497" spans="1:21" ht="16.5" customHeight="1">
      <c r="A2497" s="159" t="s">
        <v>2755</v>
      </c>
      <c r="B2497" s="114" t="str">
        <f>VLOOKUP(A2497,'Data pick slip'!B:F,5,FALSE)</f>
        <v>KLJ-MC100-00</v>
      </c>
      <c r="F2497" s="157" t="s">
        <v>2862</v>
      </c>
      <c r="H2497" s="138">
        <v>926</v>
      </c>
      <c r="I2497" s="139" t="str">
        <f>VLOOKUP(H2497,Stock_list!A:R,18,FALSE)</f>
        <v>众鑫科</v>
      </c>
      <c r="J2497" s="139" t="str">
        <f>VLOOKUP(H2497,Stock_list!A:S,17,FALSE)</f>
        <v>C49SZX20200210RSX</v>
      </c>
      <c r="K2497" s="51" t="str">
        <f>VLOOKUP(H2497,Stock_list!A:T,16,FALSE)</f>
        <v>JPY</v>
      </c>
      <c r="L2497" s="4">
        <v>44210</v>
      </c>
      <c r="M2497" s="132">
        <v>80</v>
      </c>
      <c r="N2497" s="146"/>
      <c r="P2497" s="4" t="str">
        <f>VLOOKUP(H2497,Stock_list!A:Y,25,FALSE)</f>
        <v>Yes</v>
      </c>
      <c r="Q2497" s="143"/>
      <c r="T2497" s="144"/>
      <c r="U2497" s="145" t="str">
        <f>VLOOKUP(H2497,Stock_list!A:N,14,FALSE)</f>
        <v>AUG 21</v>
      </c>
    </row>
    <row r="2498" spans="1:21" ht="16.5" customHeight="1">
      <c r="A2498" s="159" t="s">
        <v>2756</v>
      </c>
      <c r="B2498" s="114" t="str">
        <f>VLOOKUP(A2498,'Data pick slip'!B:F,5,FALSE)</f>
        <v>KLJ-MC200-00</v>
      </c>
      <c r="F2498" s="157" t="s">
        <v>2862</v>
      </c>
      <c r="H2498" s="138">
        <v>926</v>
      </c>
      <c r="I2498" s="139" t="str">
        <f>VLOOKUP(H2498,Stock_list!A:R,18,FALSE)</f>
        <v>众鑫科</v>
      </c>
      <c r="J2498" s="139" t="str">
        <f>VLOOKUP(H2498,Stock_list!A:S,17,FALSE)</f>
        <v>C49SZX20200210RSX</v>
      </c>
      <c r="K2498" s="51" t="str">
        <f>VLOOKUP(H2498,Stock_list!A:T,16,FALSE)</f>
        <v>JPY</v>
      </c>
      <c r="L2498" s="4">
        <v>44210</v>
      </c>
      <c r="M2498" s="132">
        <v>15</v>
      </c>
      <c r="N2498" s="146"/>
      <c r="P2498" s="4" t="str">
        <f>VLOOKUP(H2498,Stock_list!A:Y,25,FALSE)</f>
        <v>Yes</v>
      </c>
      <c r="T2498" s="144"/>
      <c r="U2498" s="145" t="str">
        <f>VLOOKUP(H2498,Stock_list!A:N,14,FALSE)</f>
        <v>AUG 21</v>
      </c>
    </row>
    <row r="2499" spans="1:21" ht="16.5" customHeight="1">
      <c r="A2499" s="159" t="s">
        <v>2757</v>
      </c>
      <c r="B2499" s="114" t="str">
        <f>VLOOKUP(A2499,'Data pick slip'!B:F,5,FALSE)</f>
        <v>KLJ-MC400-00</v>
      </c>
      <c r="F2499" s="157" t="s">
        <v>2862</v>
      </c>
      <c r="H2499" s="138">
        <v>926</v>
      </c>
      <c r="I2499" s="139" t="str">
        <f>VLOOKUP(H2499,Stock_list!A:R,18,FALSE)</f>
        <v>众鑫科</v>
      </c>
      <c r="J2499" s="139" t="str">
        <f>VLOOKUP(H2499,Stock_list!A:S,17,FALSE)</f>
        <v>C49SZX20200210RSX</v>
      </c>
      <c r="K2499" s="51" t="str">
        <f>VLOOKUP(H2499,Stock_list!A:T,16,FALSE)</f>
        <v>JPY</v>
      </c>
      <c r="L2499" s="4">
        <v>44210</v>
      </c>
      <c r="M2499" s="132">
        <v>5</v>
      </c>
      <c r="N2499" s="146"/>
      <c r="P2499" s="4" t="str">
        <f>VLOOKUP(H2499,Stock_list!A:Y,25,FALSE)</f>
        <v>Yes</v>
      </c>
      <c r="Q2499" s="143"/>
      <c r="T2499" s="144"/>
      <c r="U2499" s="145" t="str">
        <f>VLOOKUP(H2499,Stock_list!A:N,14,FALSE)</f>
        <v>AUG 21</v>
      </c>
    </row>
    <row r="2500" spans="1:21" ht="16.5" customHeight="1">
      <c r="A2500" s="159" t="s">
        <v>2758</v>
      </c>
      <c r="B2500" s="114" t="str">
        <f>VLOOKUP(A2500,'Data pick slip'!B:F,5,FALSE)</f>
        <v>KLJ-MC500-00</v>
      </c>
      <c r="F2500" s="157" t="s">
        <v>2862</v>
      </c>
      <c r="H2500" s="138">
        <v>926</v>
      </c>
      <c r="I2500" s="139" t="str">
        <f>VLOOKUP(H2500,Stock_list!A:R,18,FALSE)</f>
        <v>众鑫科</v>
      </c>
      <c r="J2500" s="139" t="str">
        <f>VLOOKUP(H2500,Stock_list!A:S,17,FALSE)</f>
        <v>C49SZX20200210RSX</v>
      </c>
      <c r="K2500" s="51" t="str">
        <f>VLOOKUP(H2500,Stock_list!A:T,16,FALSE)</f>
        <v>JPY</v>
      </c>
      <c r="L2500" s="4">
        <v>44210</v>
      </c>
      <c r="M2500" s="132">
        <v>2</v>
      </c>
      <c r="N2500" s="146"/>
      <c r="P2500" s="4" t="str">
        <f>VLOOKUP(H2500,Stock_list!A:Y,25,FALSE)</f>
        <v>Yes</v>
      </c>
      <c r="Q2500" s="143"/>
      <c r="T2500" s="144"/>
      <c r="U2500" s="145" t="str">
        <f>VLOOKUP(H2500,Stock_list!A:N,14,FALSE)</f>
        <v>AUG 21</v>
      </c>
    </row>
    <row r="2501" spans="1:21" ht="16.5" customHeight="1">
      <c r="A2501" s="159" t="s">
        <v>2744</v>
      </c>
      <c r="B2501" s="114" t="str">
        <f>VLOOKUP(A2501,'Data pick slip'!B:F,5,FALSE)</f>
        <v>KHJ-MC100-00</v>
      </c>
      <c r="F2501" s="157" t="s">
        <v>2862</v>
      </c>
      <c r="H2501" s="138">
        <v>930</v>
      </c>
      <c r="I2501" s="139" t="str">
        <f>VLOOKUP(H2501,Stock_list!A:R,18,FALSE)</f>
        <v>同创</v>
      </c>
      <c r="J2501" s="139" t="str">
        <f>VLOOKUP(H2501,Stock_list!A:S,17,FALSE)</f>
        <v>C49SZX20200211SX</v>
      </c>
      <c r="K2501" s="51" t="str">
        <f>VLOOKUP(H2501,Stock_list!A:T,16,FALSE)</f>
        <v>JPY</v>
      </c>
      <c r="L2501" s="4">
        <v>44252</v>
      </c>
      <c r="M2501" s="143">
        <v>65</v>
      </c>
      <c r="P2501" s="4" t="str">
        <f>VLOOKUP(H2501,Stock_list!A:Y,25,FALSE)</f>
        <v>Yes</v>
      </c>
      <c r="Q2501" s="133"/>
      <c r="T2501" s="144"/>
      <c r="U2501" s="145" t="str">
        <f>VLOOKUP(H2501,Stock_list!A:N,14,FALSE)</f>
        <v>FEB 21</v>
      </c>
    </row>
    <row r="2502" spans="1:21" ht="16.5" customHeight="1">
      <c r="A2502" s="159" t="s">
        <v>2747</v>
      </c>
      <c r="B2502" s="114" t="str">
        <f>VLOOKUP(A2502,'Data pick slip'!B:F,5,FALSE)</f>
        <v>KHJ-MC200-00</v>
      </c>
      <c r="F2502" s="157" t="s">
        <v>2862</v>
      </c>
      <c r="H2502" s="138">
        <v>930</v>
      </c>
      <c r="I2502" s="139" t="str">
        <f>VLOOKUP(H2502,Stock_list!A:R,18,FALSE)</f>
        <v>同创</v>
      </c>
      <c r="J2502" s="139" t="str">
        <f>VLOOKUP(H2502,Stock_list!A:S,17,FALSE)</f>
        <v>C49SZX20200211SX</v>
      </c>
      <c r="K2502" s="51" t="str">
        <f>VLOOKUP(H2502,Stock_list!A:T,16,FALSE)</f>
        <v>JPY</v>
      </c>
      <c r="L2502" s="4">
        <v>44252</v>
      </c>
      <c r="M2502" s="143">
        <v>5</v>
      </c>
      <c r="P2502" s="4" t="str">
        <f>VLOOKUP(H2502,Stock_list!A:Y,25,FALSE)</f>
        <v>Yes</v>
      </c>
      <c r="Q2502" s="133"/>
      <c r="T2502" s="144"/>
      <c r="U2502" s="145" t="str">
        <f>VLOOKUP(H2502,Stock_list!A:N,14,FALSE)</f>
        <v>FEB 21</v>
      </c>
    </row>
    <row r="2503" spans="1:21" ht="16.5" customHeight="1">
      <c r="A2503" s="159" t="s">
        <v>2748</v>
      </c>
      <c r="B2503" s="114" t="str">
        <f>VLOOKUP(A2503,'Data pick slip'!B:F,5,FALSE)</f>
        <v>KHJ-MC400-00</v>
      </c>
      <c r="F2503" s="157" t="s">
        <v>2862</v>
      </c>
      <c r="H2503" s="138">
        <v>930</v>
      </c>
      <c r="I2503" s="285" t="str">
        <f>VLOOKUP(H2503,Stock_list!A:R,18,FALSE)</f>
        <v>同创</v>
      </c>
      <c r="J2503" s="285" t="str">
        <f>VLOOKUP(H2503,Stock_list!A:S,17,FALSE)</f>
        <v>C49SZX20200211SX</v>
      </c>
      <c r="K2503" s="258" t="str">
        <f>VLOOKUP(H2503,Stock_list!A:T,16,FALSE)</f>
        <v>JPY</v>
      </c>
      <c r="L2503" s="286">
        <v>44252</v>
      </c>
      <c r="M2503" s="288">
        <v>2</v>
      </c>
      <c r="P2503" s="4" t="str">
        <f>VLOOKUP(H2503,Stock_list!A:Y,25,FALSE)</f>
        <v>Yes</v>
      </c>
      <c r="Q2503" s="133"/>
      <c r="T2503" s="144"/>
      <c r="U2503" s="145" t="str">
        <f>VLOOKUP(H2503,Stock_list!A:N,14,FALSE)</f>
        <v>FEB 21</v>
      </c>
    </row>
    <row r="2504" spans="1:21" ht="16.5" customHeight="1">
      <c r="A2504" s="159" t="s">
        <v>2749</v>
      </c>
      <c r="B2504" s="114" t="str">
        <f>VLOOKUP(A2504,'Data pick slip'!B:F,5,FALSE)</f>
        <v>KHJ-MC500-00</v>
      </c>
      <c r="F2504" s="157" t="s">
        <v>2862</v>
      </c>
      <c r="H2504" s="138">
        <v>930</v>
      </c>
      <c r="I2504" s="139" t="str">
        <f>VLOOKUP(H2504,Stock_list!A:R,18,FALSE)</f>
        <v>同创</v>
      </c>
      <c r="J2504" s="139" t="str">
        <f>VLOOKUP(H2504,Stock_list!A:S,17,FALSE)</f>
        <v>C49SZX20200211SX</v>
      </c>
      <c r="K2504" s="51" t="str">
        <f>VLOOKUP(H2504,Stock_list!A:T,16,FALSE)</f>
        <v>JPY</v>
      </c>
      <c r="L2504" s="4">
        <v>44252</v>
      </c>
      <c r="M2504" s="143">
        <v>1</v>
      </c>
      <c r="P2504" s="4" t="str">
        <f>VLOOKUP(H2504,Stock_list!A:Y,25,FALSE)</f>
        <v>Yes</v>
      </c>
      <c r="Q2504" s="133"/>
      <c r="T2504" s="144"/>
      <c r="U2504" s="145" t="str">
        <f>VLOOKUP(H2504,Stock_list!A:N,14,FALSE)</f>
        <v>FEB 21</v>
      </c>
    </row>
    <row r="2505" spans="1:21" ht="16.5" customHeight="1">
      <c r="A2505" s="159" t="s">
        <v>2750</v>
      </c>
      <c r="B2505" s="114" t="str">
        <f>VLOOKUP(A2505,'Data pick slip'!B:F,5,FALSE)</f>
        <v>KHJ-MC600-00</v>
      </c>
      <c r="F2505" s="157" t="s">
        <v>2862</v>
      </c>
      <c r="H2505" s="138">
        <v>930</v>
      </c>
      <c r="I2505" s="139" t="str">
        <f>VLOOKUP(H2505,Stock_list!A:R,18,FALSE)</f>
        <v>同创</v>
      </c>
      <c r="J2505" s="139" t="str">
        <f>VLOOKUP(H2505,Stock_list!A:S,17,FALSE)</f>
        <v>C49SZX20200211SX</v>
      </c>
      <c r="K2505" s="51" t="str">
        <f>VLOOKUP(H2505,Stock_list!A:T,16,FALSE)</f>
        <v>JPY</v>
      </c>
      <c r="L2505" s="4">
        <v>44252</v>
      </c>
      <c r="M2505" s="143">
        <v>1</v>
      </c>
      <c r="P2505" s="4" t="str">
        <f>VLOOKUP(H2505,Stock_list!A:Y,25,FALSE)</f>
        <v>Yes</v>
      </c>
      <c r="Q2505" s="133"/>
      <c r="T2505" s="144"/>
      <c r="U2505" s="145" t="str">
        <f>VLOOKUP(H2505,Stock_list!A:N,14,FALSE)</f>
        <v>FEB 21</v>
      </c>
    </row>
    <row r="2506" spans="1:21" ht="16.5" customHeight="1">
      <c r="A2506" s="159" t="s">
        <v>2744</v>
      </c>
      <c r="B2506" s="114" t="str">
        <f>VLOOKUP(A2506,'Data pick slip'!B:F,5,FALSE)</f>
        <v>KHJ-MC100-00</v>
      </c>
      <c r="F2506" s="157" t="s">
        <v>2862</v>
      </c>
      <c r="H2506" s="138">
        <v>932</v>
      </c>
      <c r="I2506" s="139" t="str">
        <f>VLOOKUP(H2506,Stock_list!A:R,18,FALSE)</f>
        <v>捷舜诚</v>
      </c>
      <c r="J2506" s="139" t="str">
        <f>VLOOKUP(H2506,Stock_list!A:S,17,FALSE)</f>
        <v>C49SZX20200216JL</v>
      </c>
      <c r="K2506" s="51" t="str">
        <f>VLOOKUP(H2506,Stock_list!A:T,16,FALSE)</f>
        <v>JPY</v>
      </c>
      <c r="L2506" s="4">
        <v>44186</v>
      </c>
      <c r="M2506" s="140">
        <v>32</v>
      </c>
      <c r="P2506" s="4" t="str">
        <f>VLOOKUP(H2506,Stock_list!A:Y,25,FALSE)</f>
        <v>Yes</v>
      </c>
      <c r="Q2506" s="143"/>
      <c r="T2506" s="144"/>
      <c r="U2506" s="145" t="str">
        <f>VLOOKUP(H2506,Stock_list!A:N,14,FALSE)</f>
        <v>DEC 20</v>
      </c>
    </row>
    <row r="2507" spans="1:21" ht="16.5" customHeight="1">
      <c r="A2507" s="159" t="s">
        <v>2744</v>
      </c>
      <c r="B2507" s="114" t="str">
        <f>VLOOKUP(A2507,'Data pick slip'!B:F,5,FALSE)</f>
        <v>KHJ-MC100-00</v>
      </c>
      <c r="F2507" s="157" t="s">
        <v>2773</v>
      </c>
      <c r="H2507" s="138">
        <v>932</v>
      </c>
      <c r="I2507" s="139" t="str">
        <f>VLOOKUP(H2507,Stock_list!A:R,18,FALSE)</f>
        <v>捷舜诚</v>
      </c>
      <c r="J2507" s="139" t="str">
        <f>VLOOKUP(H2507,Stock_list!A:S,17,FALSE)</f>
        <v>C49SZX20200216JL</v>
      </c>
      <c r="K2507" s="51" t="str">
        <f>VLOOKUP(H2507,Stock_list!A:T,16,FALSE)</f>
        <v>JPY</v>
      </c>
      <c r="L2507" s="4">
        <v>44186</v>
      </c>
      <c r="O2507" s="132">
        <f>32-32</f>
        <v>0</v>
      </c>
      <c r="P2507" s="4" t="str">
        <f>VLOOKUP(H2507,Stock_list!A:Y,25,FALSE)</f>
        <v>Yes</v>
      </c>
      <c r="Q2507" s="143"/>
      <c r="T2507" s="144"/>
      <c r="U2507" s="145" t="str">
        <f>VLOOKUP(H2507,Stock_list!A:N,14,FALSE)</f>
        <v>DEC 20</v>
      </c>
    </row>
    <row r="2508" spans="1:21" ht="16.5" customHeight="1">
      <c r="A2508" s="159" t="s">
        <v>2747</v>
      </c>
      <c r="B2508" s="114" t="str">
        <f>VLOOKUP(A2508,'Data pick slip'!B:F,5,FALSE)</f>
        <v>KHJ-MC200-00</v>
      </c>
      <c r="F2508" s="157" t="s">
        <v>2773</v>
      </c>
      <c r="H2508" s="138">
        <v>932</v>
      </c>
      <c r="I2508" s="139" t="str">
        <f>VLOOKUP(H2508,Stock_list!A:R,18,FALSE)</f>
        <v>捷舜诚</v>
      </c>
      <c r="J2508" s="139" t="str">
        <f>VLOOKUP(H2508,Stock_list!A:S,17,FALSE)</f>
        <v>C49SZX20200216JL</v>
      </c>
      <c r="K2508" s="51" t="str">
        <f>VLOOKUP(H2508,Stock_list!A:T,16,FALSE)</f>
        <v>JPY</v>
      </c>
      <c r="L2508" s="4">
        <v>44186</v>
      </c>
      <c r="M2508" s="140">
        <v>2</v>
      </c>
      <c r="P2508" s="4" t="str">
        <f>VLOOKUP(H2508,Stock_list!A:Y,25,FALSE)</f>
        <v>Yes</v>
      </c>
      <c r="Q2508" s="143"/>
      <c r="S2508" s="123" t="s">
        <v>3004</v>
      </c>
      <c r="T2508" s="144" t="s">
        <v>3375</v>
      </c>
      <c r="U2508" s="145" t="str">
        <f>VLOOKUP(H2508,Stock_list!A:N,14,FALSE)</f>
        <v>DEC 20</v>
      </c>
    </row>
    <row r="2509" spans="1:21" ht="16.5" customHeight="1">
      <c r="A2509" s="159" t="s">
        <v>2748</v>
      </c>
      <c r="B2509" s="114" t="str">
        <f>VLOOKUP(A2509,'Data pick slip'!B:F,5,FALSE)</f>
        <v>KHJ-MC400-00</v>
      </c>
      <c r="F2509" s="157" t="s">
        <v>2773</v>
      </c>
      <c r="H2509" s="138">
        <v>932</v>
      </c>
      <c r="I2509" s="139" t="str">
        <f>VLOOKUP(H2509,Stock_list!A:R,18,FALSE)</f>
        <v>捷舜诚</v>
      </c>
      <c r="J2509" s="139" t="str">
        <f>VLOOKUP(H2509,Stock_list!A:S,17,FALSE)</f>
        <v>C49SZX20200216JL</v>
      </c>
      <c r="K2509" s="51" t="str">
        <f>VLOOKUP(H2509,Stock_list!A:T,16,FALSE)</f>
        <v>JPY</v>
      </c>
      <c r="L2509" s="4">
        <v>44186</v>
      </c>
      <c r="M2509" s="140">
        <v>2</v>
      </c>
      <c r="P2509" s="4" t="str">
        <f>VLOOKUP(H2509,Stock_list!A:Y,25,FALSE)</f>
        <v>Yes</v>
      </c>
      <c r="Q2509" s="143"/>
      <c r="S2509" s="123" t="s">
        <v>3004</v>
      </c>
      <c r="T2509" s="144" t="s">
        <v>3375</v>
      </c>
      <c r="U2509" s="145" t="str">
        <f>VLOOKUP(H2509,Stock_list!A:N,14,FALSE)</f>
        <v>DEC 20</v>
      </c>
    </row>
    <row r="2510" spans="1:21" ht="16.5" customHeight="1">
      <c r="A2510" s="159" t="s">
        <v>2744</v>
      </c>
      <c r="B2510" s="114" t="str">
        <f>VLOOKUP(A2510,'Data pick slip'!B:F,5,FALSE)</f>
        <v>KHJ-MC100-00</v>
      </c>
      <c r="F2510" s="157" t="s">
        <v>2862</v>
      </c>
      <c r="H2510" s="138">
        <v>735</v>
      </c>
      <c r="I2510" s="139" t="str">
        <f>VLOOKUP(H2510,Stock_list!A:R,18,FALSE)</f>
        <v>光瑞新（end user：海纳科）</v>
      </c>
      <c r="J2510" s="139" t="str">
        <f>VLOOKUP(H2510,Stock_list!A:S,17,FALSE)</f>
        <v>C49SZX20200188JY</v>
      </c>
      <c r="K2510" s="51" t="str">
        <f>VLOOKUP(H2510,Stock_list!A:T,16,FALSE)</f>
        <v>JPY</v>
      </c>
      <c r="L2510" s="4">
        <v>44139</v>
      </c>
      <c r="M2510" s="140">
        <v>8</v>
      </c>
      <c r="P2510" s="4" t="str">
        <f>VLOOKUP(H2510,Stock_list!A:Y,25,FALSE)</f>
        <v>Yes</v>
      </c>
      <c r="Q2510" s="143"/>
      <c r="T2510" s="144"/>
      <c r="U2510" s="145" t="str">
        <f>VLOOKUP(H2510,Stock_list!A:N,14,FALSE)</f>
        <v>NOV 20</v>
      </c>
    </row>
    <row r="2511" spans="1:21" ht="16.5" customHeight="1">
      <c r="A2511" s="159" t="s">
        <v>2747</v>
      </c>
      <c r="B2511" s="114" t="str">
        <f>VLOOKUP(A2511,'Data pick slip'!B:F,5,FALSE)</f>
        <v>KHJ-MC200-00</v>
      </c>
      <c r="F2511" s="157" t="s">
        <v>2862</v>
      </c>
      <c r="H2511" s="138">
        <v>735</v>
      </c>
      <c r="I2511" s="139" t="str">
        <f>VLOOKUP(H2511,Stock_list!A:R,18,FALSE)</f>
        <v>光瑞新（end user：海纳科）</v>
      </c>
      <c r="J2511" s="139" t="str">
        <f>VLOOKUP(H2511,Stock_list!A:S,17,FALSE)</f>
        <v>C49SZX20200188JY</v>
      </c>
      <c r="K2511" s="51" t="str">
        <f>VLOOKUP(H2511,Stock_list!A:T,16,FALSE)</f>
        <v>JPY</v>
      </c>
      <c r="L2511" s="4">
        <v>44139</v>
      </c>
      <c r="M2511" s="140">
        <v>4</v>
      </c>
      <c r="P2511" s="4" t="str">
        <f>VLOOKUP(H2511,Stock_list!A:Y,25,FALSE)</f>
        <v>Yes</v>
      </c>
      <c r="Q2511" s="143"/>
      <c r="T2511" s="144"/>
      <c r="U2511" s="145" t="str">
        <f>VLOOKUP(H2511,Stock_list!A:N,14,FALSE)</f>
        <v>NOV 20</v>
      </c>
    </row>
    <row r="2512" spans="1:21" ht="16.5" customHeight="1">
      <c r="A2512" s="159" t="s">
        <v>2748</v>
      </c>
      <c r="B2512" s="114" t="str">
        <f>VLOOKUP(A2512,'Data pick slip'!B:F,5,FALSE)</f>
        <v>KHJ-MC400-00</v>
      </c>
      <c r="F2512" s="157" t="s">
        <v>2862</v>
      </c>
      <c r="H2512" s="138">
        <v>735</v>
      </c>
      <c r="I2512" s="139" t="str">
        <f>VLOOKUP(H2512,Stock_list!A:R,18,FALSE)</f>
        <v>光瑞新（end user：海纳科）</v>
      </c>
      <c r="J2512" s="139" t="str">
        <f>VLOOKUP(H2512,Stock_list!A:S,17,FALSE)</f>
        <v>C49SZX20200188JY</v>
      </c>
      <c r="K2512" s="51" t="str">
        <f>VLOOKUP(H2512,Stock_list!A:T,16,FALSE)</f>
        <v>JPY</v>
      </c>
      <c r="L2512" s="4">
        <v>44139</v>
      </c>
      <c r="M2512" s="140">
        <v>2</v>
      </c>
      <c r="P2512" s="4" t="str">
        <f>VLOOKUP(H2512,Stock_list!A:Y,25,FALSE)</f>
        <v>Yes</v>
      </c>
      <c r="Q2512" s="143"/>
      <c r="T2512" s="144"/>
      <c r="U2512" s="145" t="str">
        <f>VLOOKUP(H2512,Stock_list!A:N,14,FALSE)</f>
        <v>NOV 20</v>
      </c>
    </row>
    <row r="2513" spans="1:21" ht="16.5" customHeight="1">
      <c r="A2513" s="159" t="s">
        <v>2748</v>
      </c>
      <c r="B2513" s="114" t="str">
        <f>VLOOKUP(A2513,'Data pick slip'!B:F,5,FALSE)</f>
        <v>KHJ-MC400-00</v>
      </c>
      <c r="F2513" s="157" t="s">
        <v>2773</v>
      </c>
      <c r="H2513" s="138">
        <v>735</v>
      </c>
      <c r="I2513" s="139" t="str">
        <f>VLOOKUP(H2513,Stock_list!A:R,18,FALSE)</f>
        <v>光瑞新（end user：海纳科）</v>
      </c>
      <c r="J2513" s="139" t="str">
        <f>VLOOKUP(H2513,Stock_list!A:S,17,FALSE)</f>
        <v>C49SZX20200188JY</v>
      </c>
      <c r="K2513" s="51" t="str">
        <f>VLOOKUP(H2513,Stock_list!A:T,16,FALSE)</f>
        <v>JPY</v>
      </c>
      <c r="L2513" s="4">
        <v>44139</v>
      </c>
      <c r="M2513" s="140">
        <v>1</v>
      </c>
      <c r="P2513" s="4" t="str">
        <f>VLOOKUP(H2513,Stock_list!A:Y,25,FALSE)</f>
        <v>Yes</v>
      </c>
      <c r="Q2513" s="143"/>
      <c r="S2513" s="268" t="s">
        <v>2778</v>
      </c>
      <c r="T2513" s="144" t="s">
        <v>3376</v>
      </c>
      <c r="U2513" s="145" t="str">
        <f>VLOOKUP(H2513,Stock_list!A:N,14,FALSE)</f>
        <v>NOV 20</v>
      </c>
    </row>
    <row r="2514" spans="1:21" ht="16.5" customHeight="1">
      <c r="A2514" s="159" t="s">
        <v>2744</v>
      </c>
      <c r="B2514" s="114" t="str">
        <f>VLOOKUP(A2514,'Data pick slip'!B:F,5,FALSE)</f>
        <v>KHJ-MC100-00</v>
      </c>
      <c r="F2514" s="157" t="s">
        <v>2862</v>
      </c>
      <c r="H2514" s="138">
        <v>936</v>
      </c>
      <c r="I2514" s="139" t="str">
        <f>VLOOKUP(H2514,Stock_list!A:R,18,FALSE)</f>
        <v>钧溢电子</v>
      </c>
      <c r="J2514" s="139" t="str">
        <f>VLOOKUP(H2514,Stock_list!A:S,17,FALSE)</f>
        <v>C49SZX20200219SS</v>
      </c>
      <c r="K2514" s="51" t="str">
        <f>VLOOKUP(H2514,Stock_list!A:T,16,FALSE)</f>
        <v>JPY</v>
      </c>
      <c r="L2514" s="4">
        <v>44203</v>
      </c>
      <c r="M2514" s="132">
        <v>7</v>
      </c>
      <c r="P2514" s="4" t="str">
        <f>VLOOKUP(H2514,Stock_list!A:Y,25,FALSE)</f>
        <v>Yes</v>
      </c>
      <c r="Q2514" s="143"/>
      <c r="T2514" s="144"/>
      <c r="U2514" s="145" t="str">
        <f>VLOOKUP(H2514,Stock_list!A:N,14,FALSE)</f>
        <v>JAN 21</v>
      </c>
    </row>
    <row r="2515" spans="1:21" ht="16.5" customHeight="1">
      <c r="A2515" s="159" t="s">
        <v>2747</v>
      </c>
      <c r="B2515" s="114" t="str">
        <f>VLOOKUP(A2515,'Data pick slip'!B:F,5,FALSE)</f>
        <v>KHJ-MC200-00</v>
      </c>
      <c r="F2515" s="157" t="s">
        <v>2773</v>
      </c>
      <c r="H2515" s="138">
        <v>936</v>
      </c>
      <c r="I2515" s="139" t="str">
        <f>VLOOKUP(H2515,Stock_list!A:R,18,FALSE)</f>
        <v>钧溢电子</v>
      </c>
      <c r="J2515" s="139" t="str">
        <f>VLOOKUP(H2515,Stock_list!A:S,17,FALSE)</f>
        <v>C49SZX20200219SS</v>
      </c>
      <c r="K2515" s="51" t="str">
        <f>VLOOKUP(H2515,Stock_list!A:T,16,FALSE)</f>
        <v>JPY</v>
      </c>
      <c r="L2515" s="4">
        <v>44203</v>
      </c>
      <c r="M2515" s="132">
        <v>2</v>
      </c>
      <c r="P2515" s="4" t="str">
        <f>VLOOKUP(H2515,Stock_list!A:Y,25,FALSE)</f>
        <v>Yes</v>
      </c>
      <c r="Q2515" s="143"/>
      <c r="S2515" s="268" t="s">
        <v>2778</v>
      </c>
      <c r="T2515" s="266" t="s">
        <v>3366</v>
      </c>
      <c r="U2515" s="145" t="str">
        <f>VLOOKUP(H2515,Stock_list!A:N,14,FALSE)</f>
        <v>JAN 21</v>
      </c>
    </row>
    <row r="2516" spans="1:21" ht="16.5" customHeight="1">
      <c r="A2516" s="159" t="s">
        <v>2748</v>
      </c>
      <c r="B2516" s="114" t="str">
        <f>VLOOKUP(A2516,'Data pick slip'!B:F,5,FALSE)</f>
        <v>KHJ-MC400-00</v>
      </c>
      <c r="F2516" s="157" t="s">
        <v>2773</v>
      </c>
      <c r="H2516" s="138">
        <v>806</v>
      </c>
      <c r="I2516" s="139" t="str">
        <f>VLOOKUP(H2516,Stock_list!A:R,18,FALSE)</f>
        <v>博新</v>
      </c>
      <c r="J2516" s="139" t="str">
        <f>VLOOKUP(H2516,Stock_list!A:S,17,FALSE)</f>
        <v>C49SZX20200149JL</v>
      </c>
      <c r="K2516" s="51" t="str">
        <f>VLOOKUP(H2516,Stock_list!A:T,16,FALSE)</f>
        <v>RMB</v>
      </c>
      <c r="L2516" s="4">
        <v>44174</v>
      </c>
      <c r="M2516" s="132">
        <v>1</v>
      </c>
      <c r="P2516" s="4" t="str">
        <f>VLOOKUP(H2516,Stock_list!A:Y,25,FALSE)</f>
        <v>Yes</v>
      </c>
      <c r="Q2516" s="143"/>
      <c r="T2516" s="144"/>
      <c r="U2516" s="145" t="str">
        <f>VLOOKUP(H2516,Stock_list!A:N,14,FALSE)</f>
        <v>DEC 20</v>
      </c>
    </row>
    <row r="2517" spans="1:21" ht="16.5" customHeight="1">
      <c r="A2517" s="159" t="s">
        <v>2744</v>
      </c>
      <c r="B2517" s="114" t="str">
        <f>VLOOKUP(A2517,'Data pick slip'!B:F,5,FALSE)</f>
        <v>KHJ-MC100-00</v>
      </c>
      <c r="F2517" s="157" t="s">
        <v>2773</v>
      </c>
      <c r="I2517" s="139" t="s">
        <v>3100</v>
      </c>
      <c r="J2517" s="139" t="s">
        <v>3377</v>
      </c>
      <c r="K2517" s="51" t="s">
        <v>1246</v>
      </c>
      <c r="L2517" s="4">
        <v>44153</v>
      </c>
      <c r="M2517" s="140">
        <v>4</v>
      </c>
      <c r="P2517" s="4" t="s">
        <v>291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2747</v>
      </c>
      <c r="B2518" s="114" t="str">
        <f>VLOOKUP(A2518,'Data pick slip'!B:F,5,FALSE)</f>
        <v>KHJ-MC200-00</v>
      </c>
      <c r="F2518" s="157" t="s">
        <v>2773</v>
      </c>
      <c r="I2518" s="139" t="s">
        <v>3100</v>
      </c>
      <c r="J2518" s="139" t="s">
        <v>3378</v>
      </c>
      <c r="K2518" s="51" t="s">
        <v>1246</v>
      </c>
      <c r="L2518" s="4">
        <v>44148</v>
      </c>
      <c r="M2518" s="140">
        <v>15</v>
      </c>
      <c r="P2518" s="4" t="s">
        <v>291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2748</v>
      </c>
      <c r="B2519" s="114" t="str">
        <f>VLOOKUP(A2519,'Data pick slip'!B:F,5,FALSE)</f>
        <v>KHJ-MC400-00</v>
      </c>
      <c r="F2519" s="157" t="s">
        <v>2773</v>
      </c>
      <c r="I2519" s="139" t="s">
        <v>3100</v>
      </c>
      <c r="J2519" s="139" t="s">
        <v>3378</v>
      </c>
      <c r="K2519" s="51" t="s">
        <v>1246</v>
      </c>
      <c r="L2519" s="4">
        <v>44148</v>
      </c>
      <c r="M2519" s="140">
        <v>3</v>
      </c>
      <c r="P2519" s="4" t="s">
        <v>291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2749</v>
      </c>
      <c r="B2520" s="114" t="str">
        <f>VLOOKUP(A2520,'Data pick slip'!B:F,5,FALSE)</f>
        <v>KHJ-MC500-00</v>
      </c>
      <c r="F2520" s="157" t="s">
        <v>2773</v>
      </c>
      <c r="I2520" s="139" t="s">
        <v>3094</v>
      </c>
      <c r="J2520" s="139" t="s">
        <v>3379</v>
      </c>
      <c r="K2520" s="51" t="s">
        <v>1246</v>
      </c>
      <c r="L2520" s="4">
        <v>44148</v>
      </c>
      <c r="M2520" s="140">
        <v>1</v>
      </c>
      <c r="P2520" s="4" t="s">
        <v>291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2750</v>
      </c>
      <c r="B2521" s="114" t="str">
        <f>VLOOKUP(A2521,'Data pick slip'!B:F,5,FALSE)</f>
        <v>KHJ-MC600-00</v>
      </c>
      <c r="F2521" s="157" t="s">
        <v>2773</v>
      </c>
      <c r="I2521" s="139" t="s">
        <v>3094</v>
      </c>
      <c r="J2521" s="139" t="s">
        <v>3380</v>
      </c>
      <c r="K2521" s="51" t="s">
        <v>1246</v>
      </c>
      <c r="L2521" s="4">
        <v>44148</v>
      </c>
      <c r="M2521" s="140">
        <v>1</v>
      </c>
      <c r="P2521" s="4" t="s">
        <v>291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2744</v>
      </c>
      <c r="B2522" s="114" t="str">
        <f>VLOOKUP(A2522,'Data pick slip'!B:F,5,FALSE)</f>
        <v>KHJ-MC100-00</v>
      </c>
      <c r="F2522" s="157" t="s">
        <v>2862</v>
      </c>
      <c r="H2522" s="138">
        <v>942</v>
      </c>
      <c r="I2522" s="139" t="str">
        <f>VLOOKUP(H2522,Stock_list!A:R,18,FALSE)</f>
        <v>盈通恒翼</v>
      </c>
      <c r="J2522" s="139" t="str">
        <f>VLOOKUP(H2522,Stock_list!A:S,17,FALSE)</f>
        <v>C49SZX20200222SS</v>
      </c>
      <c r="K2522" s="51" t="str">
        <f>VLOOKUP(H2522,Stock_list!A:T,16,FALSE)</f>
        <v>JPY</v>
      </c>
      <c r="L2522" s="4">
        <v>44256</v>
      </c>
      <c r="M2522" s="143">
        <v>20</v>
      </c>
      <c r="P2522" s="4" t="str">
        <f>VLOOKUP(H2522,Stock_list!A:Y,25,FALSE)</f>
        <v>Yes</v>
      </c>
      <c r="Q2522" s="133"/>
      <c r="T2522" s="144"/>
      <c r="U2522" s="145" t="str">
        <f>VLOOKUP(H2522,Stock_list!A:N,14,FALSE)</f>
        <v>JAN 21</v>
      </c>
    </row>
    <row r="2523" spans="1:21" ht="16.5" customHeight="1">
      <c r="A2523" s="159" t="s">
        <v>2747</v>
      </c>
      <c r="B2523" s="114" t="str">
        <f>VLOOKUP(A2523,'Data pick slip'!B:F,5,FALSE)</f>
        <v>KHJ-MC200-00</v>
      </c>
      <c r="F2523" s="157" t="s">
        <v>2862</v>
      </c>
      <c r="H2523" s="138">
        <v>942</v>
      </c>
      <c r="I2523" s="139" t="str">
        <f>VLOOKUP(H2523,Stock_list!A:R,18,FALSE)</f>
        <v>盈通恒翼</v>
      </c>
      <c r="J2523" s="139" t="str">
        <f>VLOOKUP(H2523,Stock_list!A:S,17,FALSE)</f>
        <v>C49SZX20200222SS</v>
      </c>
      <c r="K2523" s="51" t="str">
        <f>VLOOKUP(H2523,Stock_list!A:T,16,FALSE)</f>
        <v>JPY</v>
      </c>
      <c r="L2523" s="4">
        <v>44256</v>
      </c>
      <c r="M2523" s="143">
        <v>6</v>
      </c>
      <c r="P2523" s="4" t="str">
        <f>VLOOKUP(H2523,Stock_list!A:Y,25,FALSE)</f>
        <v>Yes</v>
      </c>
      <c r="Q2523" s="133"/>
      <c r="T2523" s="144"/>
      <c r="U2523" s="145" t="str">
        <f>VLOOKUP(H2523,Stock_list!A:N,14,FALSE)</f>
        <v>JAN 21</v>
      </c>
    </row>
    <row r="2524" spans="1:21" ht="16.5" customHeight="1">
      <c r="A2524" s="159" t="s">
        <v>2748</v>
      </c>
      <c r="B2524" s="114" t="str">
        <f>VLOOKUP(A2524,'Data pick slip'!B:F,5,FALSE)</f>
        <v>KHJ-MC400-00</v>
      </c>
      <c r="F2524" s="157" t="s">
        <v>2862</v>
      </c>
      <c r="H2524" s="138">
        <v>942</v>
      </c>
      <c r="I2524" s="285" t="str">
        <f>VLOOKUP(H2524,Stock_list!A:R,18,FALSE)</f>
        <v>盈通恒翼</v>
      </c>
      <c r="J2524" s="285" t="str">
        <f>VLOOKUP(H2524,Stock_list!A:S,17,FALSE)</f>
        <v>C49SZX20200222SS</v>
      </c>
      <c r="K2524" s="258" t="str">
        <f>VLOOKUP(H2524,Stock_list!A:T,16,FALSE)</f>
        <v>JPY</v>
      </c>
      <c r="L2524" s="286">
        <v>44256</v>
      </c>
      <c r="M2524" s="288">
        <v>1</v>
      </c>
      <c r="P2524" s="4" t="str">
        <f>VLOOKUP(H2524,Stock_list!A:Y,25,FALSE)</f>
        <v>Yes</v>
      </c>
      <c r="Q2524" s="133"/>
      <c r="T2524" s="144"/>
      <c r="U2524" s="145" t="str">
        <f>VLOOKUP(H2524,Stock_list!A:N,14,FALSE)</f>
        <v>JAN 21</v>
      </c>
    </row>
    <row r="2525" spans="1:21" ht="16.5" customHeight="1">
      <c r="A2525" s="159" t="s">
        <v>2751</v>
      </c>
      <c r="B2525" s="114" t="str">
        <f>VLOOKUP(A2525,'Data pick slip'!B:F,5,FALSE)</f>
        <v>KHJ-MC700-00</v>
      </c>
      <c r="F2525" s="157" t="s">
        <v>2862</v>
      </c>
      <c r="H2525" s="138">
        <v>942</v>
      </c>
      <c r="I2525" s="139" t="str">
        <f>VLOOKUP(H2525,Stock_list!A:R,18,FALSE)</f>
        <v>盈通恒翼</v>
      </c>
      <c r="J2525" s="139" t="str">
        <f>VLOOKUP(H2525,Stock_list!A:S,17,FALSE)</f>
        <v>C49SZX20200222SS</v>
      </c>
      <c r="K2525" s="51" t="str">
        <f>VLOOKUP(H2525,Stock_list!A:T,16,FALSE)</f>
        <v>JPY</v>
      </c>
      <c r="L2525" s="4">
        <v>44256</v>
      </c>
      <c r="M2525" s="132">
        <v>2</v>
      </c>
      <c r="P2525" s="4" t="str">
        <f>VLOOKUP(H2525,Stock_list!A:Y,25,FALSE)</f>
        <v>Yes</v>
      </c>
      <c r="Q2525" s="143"/>
      <c r="T2525" s="144"/>
      <c r="U2525" s="145" t="str">
        <f>VLOOKUP(H2525,Stock_list!A:N,14,FALSE)</f>
        <v>JAN 21</v>
      </c>
    </row>
    <row r="2526" spans="1:21" ht="16.5" customHeight="1">
      <c r="A2526" s="159" t="s">
        <v>2744</v>
      </c>
      <c r="B2526" s="114" t="str">
        <f>VLOOKUP(A2526,'Data pick slip'!B:F,5,FALSE)</f>
        <v>KHJ-MC100-00</v>
      </c>
      <c r="F2526" s="157" t="s">
        <v>2862</v>
      </c>
      <c r="H2526" s="138">
        <v>942</v>
      </c>
      <c r="I2526" s="139" t="str">
        <f>VLOOKUP(H2526,Stock_list!A:R,18,FALSE)</f>
        <v>盈通恒翼</v>
      </c>
      <c r="J2526" s="139" t="str">
        <f>VLOOKUP(H2526,Stock_list!A:S,17,FALSE)</f>
        <v>C49SZX20200222SS</v>
      </c>
      <c r="K2526" s="51" t="str">
        <f>VLOOKUP(H2526,Stock_list!A:T,16,FALSE)</f>
        <v>JPY</v>
      </c>
      <c r="L2526" s="4">
        <v>44227</v>
      </c>
      <c r="M2526" s="143">
        <v>30</v>
      </c>
      <c r="P2526" s="4" t="str">
        <f>VLOOKUP(H2526,Stock_list!A:Y,25,FALSE)</f>
        <v>Yes</v>
      </c>
      <c r="Q2526" s="133"/>
      <c r="T2526" s="144"/>
      <c r="U2526" s="145" t="str">
        <f>VLOOKUP(H2526,Stock_list!A:N,14,FALSE)</f>
        <v>JAN 21</v>
      </c>
    </row>
    <row r="2527" spans="1:21" ht="16.5" customHeight="1">
      <c r="A2527" s="159" t="s">
        <v>2747</v>
      </c>
      <c r="B2527" s="114" t="str">
        <f>VLOOKUP(A2527,'Data pick slip'!B:F,5,FALSE)</f>
        <v>KHJ-MC200-00</v>
      </c>
      <c r="F2527" s="157" t="s">
        <v>2862</v>
      </c>
      <c r="H2527" s="138">
        <v>942</v>
      </c>
      <c r="I2527" s="139" t="str">
        <f>VLOOKUP(H2527,Stock_list!A:R,18,FALSE)</f>
        <v>盈通恒翼</v>
      </c>
      <c r="J2527" s="139" t="str">
        <f>VLOOKUP(H2527,Stock_list!A:S,17,FALSE)</f>
        <v>C49SZX20200222SS</v>
      </c>
      <c r="K2527" s="51" t="str">
        <f>VLOOKUP(H2527,Stock_list!A:T,16,FALSE)</f>
        <v>JPY</v>
      </c>
      <c r="L2527" s="4">
        <v>44227</v>
      </c>
      <c r="M2527" s="143">
        <v>12</v>
      </c>
      <c r="P2527" s="4" t="str">
        <f>VLOOKUP(H2527,Stock_list!A:Y,25,FALSE)</f>
        <v>Yes</v>
      </c>
      <c r="Q2527" s="133"/>
      <c r="T2527" s="144"/>
      <c r="U2527" s="145" t="str">
        <f>VLOOKUP(H2527,Stock_list!A:N,14,FALSE)</f>
        <v>JAN 21</v>
      </c>
    </row>
    <row r="2528" spans="1:21" ht="16.5" customHeight="1">
      <c r="A2528" s="159" t="s">
        <v>2748</v>
      </c>
      <c r="B2528" s="114" t="str">
        <f>VLOOKUP(A2528,'Data pick slip'!B:F,5,FALSE)</f>
        <v>KHJ-MC400-00</v>
      </c>
      <c r="F2528" s="157" t="s">
        <v>2862</v>
      </c>
      <c r="H2528" s="138">
        <v>942</v>
      </c>
      <c r="I2528" s="139" t="str">
        <f>VLOOKUP(H2528,Stock_list!A:R,18,FALSE)</f>
        <v>盈通恒翼</v>
      </c>
      <c r="J2528" s="285" t="str">
        <f>VLOOKUP(H2528,Stock_list!A:S,17,FALSE)</f>
        <v>C49SZX20200222SS</v>
      </c>
      <c r="K2528" s="258" t="str">
        <f>VLOOKUP(H2528,Stock_list!A:T,16,FALSE)</f>
        <v>JPY</v>
      </c>
      <c r="L2528" s="286">
        <v>44227</v>
      </c>
      <c r="M2528" s="288">
        <v>2</v>
      </c>
      <c r="P2528" s="4" t="str">
        <f>VLOOKUP(H2528,Stock_list!A:Y,25,FALSE)</f>
        <v>Yes</v>
      </c>
      <c r="Q2528" s="133"/>
      <c r="T2528" s="144"/>
      <c r="U2528" s="145" t="str">
        <f>VLOOKUP(H2528,Stock_list!A:N,14,FALSE)</f>
        <v>JAN 21</v>
      </c>
    </row>
    <row r="2529" spans="1:21" ht="16.5" customHeight="1">
      <c r="A2529" s="159" t="s">
        <v>2749</v>
      </c>
      <c r="B2529" s="114" t="str">
        <f>VLOOKUP(A2529,'Data pick slip'!B:F,5,FALSE)</f>
        <v>KHJ-MC500-00</v>
      </c>
      <c r="F2529" s="157" t="s">
        <v>2862</v>
      </c>
      <c r="H2529" s="138">
        <v>942</v>
      </c>
      <c r="I2529" s="139" t="str">
        <f>VLOOKUP(H2529,Stock_list!A:R,18,FALSE)</f>
        <v>盈通恒翼</v>
      </c>
      <c r="J2529" s="139" t="str">
        <f>VLOOKUP(H2529,Stock_list!A:S,17,FALSE)</f>
        <v>C49SZX20200222SS</v>
      </c>
      <c r="K2529" s="51" t="str">
        <f>VLOOKUP(H2529,Stock_list!A:T,16,FALSE)</f>
        <v>JPY</v>
      </c>
      <c r="L2529" s="4">
        <v>44227</v>
      </c>
      <c r="M2529" s="143">
        <v>2</v>
      </c>
      <c r="P2529" s="4" t="str">
        <f>VLOOKUP(H2529,Stock_list!A:Y,25,FALSE)</f>
        <v>Yes</v>
      </c>
      <c r="Q2529" s="133"/>
      <c r="T2529" s="144"/>
      <c r="U2529" s="145" t="str">
        <f>VLOOKUP(H2529,Stock_list!A:N,14,FALSE)</f>
        <v>JAN 21</v>
      </c>
    </row>
    <row r="2530" spans="1:21" ht="16.5" customHeight="1">
      <c r="A2530" s="159" t="s">
        <v>2750</v>
      </c>
      <c r="B2530" s="114" t="str">
        <f>VLOOKUP(A2530,'Data pick slip'!B:F,5,FALSE)</f>
        <v>KHJ-MC600-00</v>
      </c>
      <c r="F2530" s="157" t="s">
        <v>2862</v>
      </c>
      <c r="H2530" s="138">
        <v>942</v>
      </c>
      <c r="I2530" s="139" t="str">
        <f>VLOOKUP(H2530,Stock_list!A:R,18,FALSE)</f>
        <v>盈通恒翼</v>
      </c>
      <c r="J2530" s="139" t="str">
        <f>VLOOKUP(H2530,Stock_list!A:S,17,FALSE)</f>
        <v>C49SZX20200222SS</v>
      </c>
      <c r="K2530" s="51" t="str">
        <f>VLOOKUP(H2530,Stock_list!A:T,16,FALSE)</f>
        <v>JPY</v>
      </c>
      <c r="L2530" s="4">
        <v>44227</v>
      </c>
      <c r="M2530" s="143">
        <v>2</v>
      </c>
      <c r="P2530" s="4" t="str">
        <f>VLOOKUP(H2530,Stock_list!A:Y,25,FALSE)</f>
        <v>Yes</v>
      </c>
      <c r="Q2530" s="133"/>
      <c r="T2530" s="144"/>
      <c r="U2530" s="145" t="str">
        <f>VLOOKUP(H2530,Stock_list!A:N,14,FALSE)</f>
        <v>JAN 21</v>
      </c>
    </row>
    <row r="2531" spans="1:21" ht="16.5" customHeight="1">
      <c r="A2531" s="159" t="s">
        <v>2744</v>
      </c>
      <c r="B2531" s="114" t="str">
        <f>VLOOKUP(A2531,'Data pick slip'!B:F,5,FALSE)</f>
        <v>KHJ-MC100-00</v>
      </c>
      <c r="F2531" s="157" t="s">
        <v>2773</v>
      </c>
      <c r="H2531" s="138">
        <v>943</v>
      </c>
      <c r="I2531" s="139" t="str">
        <f>VLOOKUP(H2531,Stock_list!A:R,18,FALSE)</f>
        <v>腾拓</v>
      </c>
      <c r="J2531" s="139" t="str">
        <f>VLOOKUP(H2531,Stock_list!A:S,17,FALSE)</f>
        <v>C49SZX20200221MZ</v>
      </c>
      <c r="K2531" s="51" t="str">
        <f>VLOOKUP(H2531,Stock_list!A:T,16,FALSE)</f>
        <v>RMB</v>
      </c>
      <c r="L2531" s="4">
        <v>44259</v>
      </c>
      <c r="M2531" s="132">
        <v>100</v>
      </c>
      <c r="P2531" s="4" t="str">
        <f>VLOOKUP(H2531,Stock_list!A:Y,25,FALSE)</f>
        <v>Yes</v>
      </c>
      <c r="Q2531" s="143"/>
      <c r="T2531" s="144"/>
      <c r="U2531" s="145" t="str">
        <f>VLOOKUP(H2531,Stock_list!A:N,14,FALSE)</f>
        <v>FEB 21</v>
      </c>
    </row>
    <row r="2532" spans="1:21" ht="16.5" customHeight="1">
      <c r="A2532" s="159" t="s">
        <v>2744</v>
      </c>
      <c r="B2532" s="114" t="str">
        <f>VLOOKUP(A2532,'Data pick slip'!B:F,5,FALSE)</f>
        <v>KHJ-MC100-00</v>
      </c>
      <c r="F2532" s="157" t="s">
        <v>2773</v>
      </c>
      <c r="H2532" s="138">
        <v>1119</v>
      </c>
      <c r="I2532" s="139" t="str">
        <f>VLOOKUP(H2532,Stock_list!A:R,18,FALSE)</f>
        <v>英拓邦</v>
      </c>
      <c r="J2532" s="139" t="str">
        <f>VLOOKUP(H2532,Stock_list!A:S,17,FALSE)</f>
        <v>C49SZX20210011JY</v>
      </c>
      <c r="K2532" s="51" t="str">
        <f>VLOOKUP(H2532,Stock_list!A:T,16,FALSE)</f>
        <v>JPY</v>
      </c>
      <c r="L2532" s="4">
        <v>44158</v>
      </c>
      <c r="O2532" s="132">
        <f>40-40</f>
        <v>0</v>
      </c>
      <c r="P2532" s="4" t="str">
        <f>VLOOKUP(H2532,Stock_list!A:Y,25,FALSE)</f>
        <v>Yes</v>
      </c>
      <c r="Q2532" s="143"/>
      <c r="T2532" s="144"/>
      <c r="U2532" s="145" t="str">
        <f>VLOOKUP(H2532,Stock_list!A:N,14,FALSE)</f>
        <v>MAR 21</v>
      </c>
    </row>
    <row r="2533" spans="1:21" ht="16.5" customHeight="1">
      <c r="A2533" s="159" t="s">
        <v>2744</v>
      </c>
      <c r="B2533" s="114" t="str">
        <f>VLOOKUP(A2533,'Data pick slip'!B:F,5,FALSE)</f>
        <v>KHJ-MC100-00</v>
      </c>
      <c r="F2533" s="157" t="s">
        <v>2862</v>
      </c>
      <c r="H2533" s="138">
        <v>977</v>
      </c>
      <c r="I2533" s="139" t="str">
        <f>VLOOKUP(H2533,Stock_list!A:R,18,FALSE)</f>
        <v>程氏松哥</v>
      </c>
      <c r="J2533" s="139" t="str">
        <f>VLOOKUP(H2533,Stock_list!A:S,17,FALSE)</f>
        <v>C49SZX20200227MZ</v>
      </c>
      <c r="K2533" s="51" t="str">
        <f>VLOOKUP(H2533,Stock_list!A:T,16,FALSE)</f>
        <v>JPY</v>
      </c>
      <c r="L2533" s="4">
        <v>44301</v>
      </c>
      <c r="M2533" s="132">
        <v>20</v>
      </c>
      <c r="P2533" s="4" t="str">
        <f>VLOOKUP(H2533,Stock_list!A:Y,25,FALSE)</f>
        <v>Yes</v>
      </c>
      <c r="Q2533" s="143"/>
      <c r="T2533" s="144"/>
      <c r="U2533" s="145" t="str">
        <f>VLOOKUP(H2533,Stock_list!A:N,14,FALSE)</f>
        <v>APR 21</v>
      </c>
    </row>
    <row r="2534" spans="1:21" ht="16.5" customHeight="1">
      <c r="A2534" s="159" t="s">
        <v>2747</v>
      </c>
      <c r="B2534" s="114" t="str">
        <f>VLOOKUP(A2534,'Data pick slip'!B:F,5,FALSE)</f>
        <v>KHJ-MC200-00</v>
      </c>
      <c r="F2534" s="157" t="s">
        <v>2862</v>
      </c>
      <c r="H2534" s="138">
        <v>977</v>
      </c>
      <c r="I2534" s="139" t="str">
        <f>VLOOKUP(H2534,Stock_list!A:R,18,FALSE)</f>
        <v>程氏松哥</v>
      </c>
      <c r="J2534" s="139" t="str">
        <f>VLOOKUP(H2534,Stock_list!A:S,17,FALSE)</f>
        <v>C49SZX20200227MZ</v>
      </c>
      <c r="K2534" s="51" t="str">
        <f>VLOOKUP(H2534,Stock_list!A:T,16,FALSE)</f>
        <v>JPY</v>
      </c>
      <c r="L2534" s="4">
        <v>44301</v>
      </c>
      <c r="M2534" s="132">
        <v>10</v>
      </c>
      <c r="P2534" s="4" t="str">
        <f>VLOOKUP(H2534,Stock_list!A:Y,25,FALSE)</f>
        <v>Yes</v>
      </c>
      <c r="Q2534" s="143"/>
      <c r="T2534" s="144"/>
      <c r="U2534" s="145" t="str">
        <f>VLOOKUP(H2534,Stock_list!A:N,14,FALSE)</f>
        <v>APR 21</v>
      </c>
    </row>
    <row r="2535" spans="1:21" ht="16.5" customHeight="1">
      <c r="A2535" s="159" t="s">
        <v>2748</v>
      </c>
      <c r="B2535" s="114" t="str">
        <f>VLOOKUP(A2535,'Data pick slip'!B:F,5,FALSE)</f>
        <v>KHJ-MC400-00</v>
      </c>
      <c r="F2535" s="157" t="s">
        <v>2862</v>
      </c>
      <c r="H2535" s="138">
        <v>977</v>
      </c>
      <c r="I2535" s="139" t="str">
        <f>VLOOKUP(H2535,Stock_list!A:R,18,FALSE)</f>
        <v>程氏松哥</v>
      </c>
      <c r="J2535" s="139" t="str">
        <f>VLOOKUP(H2535,Stock_list!A:S,17,FALSE)</f>
        <v>C49SZX20200227MZ</v>
      </c>
      <c r="K2535" s="51" t="str">
        <f>VLOOKUP(H2535,Stock_list!A:T,16,FALSE)</f>
        <v>JPY</v>
      </c>
      <c r="L2535" s="4">
        <v>44301</v>
      </c>
      <c r="M2535" s="132">
        <v>3</v>
      </c>
      <c r="P2535" s="4" t="str">
        <f>VLOOKUP(H2535,Stock_list!A:Y,25,FALSE)</f>
        <v>Yes</v>
      </c>
      <c r="Q2535" s="143"/>
      <c r="T2535" s="144"/>
      <c r="U2535" s="145" t="str">
        <f>VLOOKUP(H2535,Stock_list!A:N,14,FALSE)</f>
        <v>APR 21</v>
      </c>
    </row>
    <row r="2536" spans="1:21" ht="16.5" customHeight="1">
      <c r="A2536" s="159" t="s">
        <v>2747</v>
      </c>
      <c r="B2536" s="114" t="str">
        <f>VLOOKUP(A2536,'Data pick slip'!B:F,5,FALSE)</f>
        <v>KHJ-MC200-00</v>
      </c>
      <c r="F2536" s="157" t="s">
        <v>2861</v>
      </c>
      <c r="I2536" s="139" t="s">
        <v>3016</v>
      </c>
      <c r="J2536" s="139" t="s">
        <v>2929</v>
      </c>
      <c r="K2536" s="51" t="s">
        <v>1246</v>
      </c>
      <c r="L2536" s="4">
        <v>44145</v>
      </c>
      <c r="M2536" s="140">
        <v>70</v>
      </c>
      <c r="P2536" s="4" t="s">
        <v>291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2922</v>
      </c>
      <c r="B2537" s="114" t="e">
        <f>VLOOKUP(A2537,'Data pick slip'!B:F,5,FALSE)</f>
        <v>#N/A</v>
      </c>
      <c r="F2537" s="157" t="s">
        <v>2861</v>
      </c>
      <c r="I2537" s="139" t="s">
        <v>3016</v>
      </c>
      <c r="J2537" s="139" t="s">
        <v>2929</v>
      </c>
      <c r="K2537" s="51" t="s">
        <v>1246</v>
      </c>
      <c r="L2537" s="4">
        <v>44145</v>
      </c>
      <c r="M2537" s="140">
        <v>2</v>
      </c>
      <c r="P2537" s="4" t="s">
        <v>291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2744</v>
      </c>
      <c r="B2538" s="114" t="str">
        <f>VLOOKUP(A2538,'Data pick slip'!B:F,5,FALSE)</f>
        <v>KHJ-MC100-00</v>
      </c>
      <c r="F2538" s="157" t="s">
        <v>2861</v>
      </c>
      <c r="I2538" s="139" t="s">
        <v>3016</v>
      </c>
      <c r="J2538" s="139" t="s">
        <v>2930</v>
      </c>
      <c r="K2538" s="51" t="s">
        <v>1246</v>
      </c>
      <c r="L2538" s="4">
        <v>44155</v>
      </c>
      <c r="M2538" s="140">
        <v>50</v>
      </c>
      <c r="P2538" s="4" t="s">
        <v>291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2747</v>
      </c>
      <c r="B2539" s="114" t="str">
        <f>VLOOKUP(A2539,'Data pick slip'!B:F,5,FALSE)</f>
        <v>KHJ-MC200-00</v>
      </c>
      <c r="F2539" s="157" t="s">
        <v>2861</v>
      </c>
      <c r="I2539" s="139" t="s">
        <v>3016</v>
      </c>
      <c r="J2539" s="139" t="s">
        <v>2930</v>
      </c>
      <c r="K2539" s="51" t="s">
        <v>1246</v>
      </c>
      <c r="L2539" s="4">
        <v>44155</v>
      </c>
      <c r="M2539" s="140">
        <v>20</v>
      </c>
      <c r="P2539" s="4" t="s">
        <v>291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2744</v>
      </c>
      <c r="B2540" s="114" t="str">
        <f>VLOOKUP(A2540,'Data pick slip'!B:F,5,FALSE)</f>
        <v>KHJ-MC100-00</v>
      </c>
      <c r="F2540" s="157" t="s">
        <v>2861</v>
      </c>
      <c r="I2540" s="139" t="s">
        <v>3016</v>
      </c>
      <c r="J2540" s="139" t="s">
        <v>2930</v>
      </c>
      <c r="K2540" s="51" t="s">
        <v>1246</v>
      </c>
      <c r="L2540" s="4">
        <v>44155</v>
      </c>
      <c r="M2540" s="140">
        <v>220</v>
      </c>
      <c r="P2540" s="4" t="s">
        <v>291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2747</v>
      </c>
      <c r="B2541" s="114" t="str">
        <f>VLOOKUP(A2541,'Data pick slip'!B:F,5,FALSE)</f>
        <v>KHJ-MC200-00</v>
      </c>
      <c r="F2541" s="157" t="s">
        <v>2861</v>
      </c>
      <c r="I2541" s="139" t="s">
        <v>3016</v>
      </c>
      <c r="J2541" s="139" t="s">
        <v>2930</v>
      </c>
      <c r="K2541" s="51" t="s">
        <v>1246</v>
      </c>
      <c r="L2541" s="4">
        <v>44155</v>
      </c>
      <c r="M2541" s="140">
        <v>20</v>
      </c>
      <c r="P2541" s="4" t="s">
        <v>291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2922</v>
      </c>
      <c r="B2542" s="114" t="e">
        <f>VLOOKUP(A2542,'Data pick slip'!B:F,5,FALSE)</f>
        <v>#N/A</v>
      </c>
      <c r="F2542" s="157" t="s">
        <v>2861</v>
      </c>
      <c r="I2542" s="139" t="s">
        <v>3016</v>
      </c>
      <c r="J2542" s="139" t="s">
        <v>2930</v>
      </c>
      <c r="K2542" s="51" t="s">
        <v>1246</v>
      </c>
      <c r="L2542" s="4">
        <v>44155</v>
      </c>
      <c r="M2542" s="140">
        <v>6</v>
      </c>
      <c r="P2542" s="4" t="s">
        <v>291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2747</v>
      </c>
      <c r="B2543" s="114" t="str">
        <f>VLOOKUP(A2543,'Data pick slip'!B:F,5,FALSE)</f>
        <v>KHJ-MC200-00</v>
      </c>
      <c r="F2543" s="157" t="s">
        <v>2773</v>
      </c>
      <c r="I2543" s="139" t="s">
        <v>3106</v>
      </c>
      <c r="J2543" s="139" t="s">
        <v>3381</v>
      </c>
      <c r="K2543" s="51" t="s">
        <v>1246</v>
      </c>
      <c r="L2543" s="4">
        <v>44159</v>
      </c>
      <c r="M2543" s="140">
        <v>2</v>
      </c>
      <c r="P2543" s="4" t="s">
        <v>291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2744</v>
      </c>
      <c r="B2544" s="114" t="str">
        <f>VLOOKUP(A2544,'Data pick slip'!B:F,5,FALSE)</f>
        <v>KHJ-MC100-00</v>
      </c>
      <c r="F2544" s="157" t="s">
        <v>1381</v>
      </c>
      <c r="H2544" s="138">
        <v>978</v>
      </c>
      <c r="I2544" s="139" t="str">
        <f>VLOOKUP(H2544,Stock_list!A:R,18,FALSE)</f>
        <v>豫龙辉</v>
      </c>
      <c r="J2544" s="139" t="str">
        <f>VLOOKUP(H2544,Stock_list!A:S,17,FALSE)</f>
        <v>C49SZX20200229JY</v>
      </c>
      <c r="K2544" s="51" t="str">
        <f>VLOOKUP(H2544,Stock_list!A:T,16,FALSE)</f>
        <v>JPY</v>
      </c>
      <c r="L2544" s="4">
        <v>44249</v>
      </c>
      <c r="M2544" s="132">
        <v>20</v>
      </c>
      <c r="P2544" s="4" t="str">
        <f>VLOOKUP(H2544,Stock_list!A:Y,25,FALSE)</f>
        <v>Yes</v>
      </c>
      <c r="Q2544" s="143"/>
      <c r="T2544" s="144"/>
      <c r="U2544" s="145" t="str">
        <f>VLOOKUP(H2544,Stock_list!A:N,14,FALSE)</f>
        <v>FEB 21</v>
      </c>
    </row>
    <row r="2545" spans="1:21" ht="16.5" customHeight="1">
      <c r="A2545" s="159" t="s">
        <v>2747</v>
      </c>
      <c r="B2545" s="114" t="str">
        <f>VLOOKUP(A2545,'Data pick slip'!B:F,5,FALSE)</f>
        <v>KHJ-MC200-00</v>
      </c>
      <c r="F2545" s="157" t="s">
        <v>1381</v>
      </c>
      <c r="H2545" s="138">
        <v>978</v>
      </c>
      <c r="I2545" s="139" t="str">
        <f>VLOOKUP(H2545,Stock_list!A:R,18,FALSE)</f>
        <v>豫龙辉</v>
      </c>
      <c r="J2545" s="139" t="str">
        <f>VLOOKUP(H2545,Stock_list!A:S,17,FALSE)</f>
        <v>C49SZX20200229JY</v>
      </c>
      <c r="K2545" s="51" t="str">
        <f>VLOOKUP(H2545,Stock_list!A:T,16,FALSE)</f>
        <v>JPY</v>
      </c>
      <c r="L2545" s="4">
        <v>44249</v>
      </c>
      <c r="M2545" s="132">
        <v>3</v>
      </c>
      <c r="P2545" s="4" t="str">
        <f>VLOOKUP(H2545,Stock_list!A:Y,25,FALSE)</f>
        <v>Yes</v>
      </c>
      <c r="Q2545" s="143"/>
      <c r="T2545" s="144"/>
      <c r="U2545" s="145" t="str">
        <f>VLOOKUP(H2545,Stock_list!A:N,14,FALSE)</f>
        <v>FEB 21</v>
      </c>
    </row>
    <row r="2546" spans="1:21" ht="16.5" customHeight="1">
      <c r="A2546" s="159" t="s">
        <v>2751</v>
      </c>
      <c r="B2546" s="114" t="str">
        <f>VLOOKUP(A2546,'Data pick slip'!B:F,5,FALSE)</f>
        <v>KHJ-MC700-00</v>
      </c>
      <c r="F2546" s="157" t="s">
        <v>2773</v>
      </c>
      <c r="I2546" s="139" t="s">
        <v>3094</v>
      </c>
      <c r="J2546" s="139" t="s">
        <v>3382</v>
      </c>
      <c r="K2546" s="51" t="s">
        <v>1246</v>
      </c>
      <c r="L2546" s="4">
        <v>44097</v>
      </c>
      <c r="M2546" s="140">
        <v>1</v>
      </c>
      <c r="P2546" s="4" t="s">
        <v>291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2747</v>
      </c>
      <c r="B2547" s="114" t="str">
        <f>VLOOKUP(A2547,'Data pick slip'!B:F,5,FALSE)</f>
        <v>KHJ-MC200-00</v>
      </c>
      <c r="F2547" s="157" t="s">
        <v>2773</v>
      </c>
      <c r="I2547" s="139" t="s">
        <v>3094</v>
      </c>
      <c r="J2547" s="139" t="s">
        <v>3383</v>
      </c>
      <c r="K2547" s="51" t="s">
        <v>1246</v>
      </c>
      <c r="L2547" s="4">
        <v>44162</v>
      </c>
      <c r="M2547" s="140">
        <v>4</v>
      </c>
      <c r="P2547" s="4" t="s">
        <v>291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2744</v>
      </c>
      <c r="B2548" s="114" t="str">
        <f>VLOOKUP(A2548,'Data pick slip'!B:F,5,FALSE)</f>
        <v>KHJ-MC100-00</v>
      </c>
      <c r="F2548" s="157" t="s">
        <v>2773</v>
      </c>
      <c r="I2548" s="139" t="s">
        <v>3094</v>
      </c>
      <c r="J2548" s="139" t="s">
        <v>3384</v>
      </c>
      <c r="K2548" s="51" t="s">
        <v>1246</v>
      </c>
      <c r="L2548" s="4">
        <v>44165</v>
      </c>
      <c r="M2548" s="140">
        <v>24</v>
      </c>
      <c r="P2548" s="4" t="s">
        <v>291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2744</v>
      </c>
      <c r="B2549" s="114" t="str">
        <f>VLOOKUP(A2549,'Data pick slip'!B:F,5,FALSE)</f>
        <v>KHJ-MC100-00</v>
      </c>
      <c r="F2549" s="157" t="s">
        <v>2862</v>
      </c>
      <c r="H2549" s="138">
        <v>979</v>
      </c>
      <c r="I2549" s="139" t="str">
        <f>VLOOKUP(H2549,Stock_list!A:R,18,FALSE)</f>
        <v>新明海</v>
      </c>
      <c r="J2549" s="139" t="str">
        <f>VLOOKUP(H2549,Stock_list!A:S,17,FALSE)</f>
        <v>C49SZX20200228JZ</v>
      </c>
      <c r="K2549" s="51" t="str">
        <f>VLOOKUP(H2549,Stock_list!A:T,16,FALSE)</f>
        <v>JPY</v>
      </c>
      <c r="L2549" s="4">
        <v>44265</v>
      </c>
      <c r="M2549" s="143">
        <v>80</v>
      </c>
      <c r="P2549" s="4" t="str">
        <f>VLOOKUP(H2549,Stock_list!A:Y,25,FALSE)</f>
        <v>Yes</v>
      </c>
      <c r="T2549" s="144"/>
      <c r="U2549" s="145" t="str">
        <f>VLOOKUP(H2549,Stock_list!A:N,14,FALSE)</f>
        <v>MAR 21</v>
      </c>
    </row>
    <row r="2550" spans="1:21" ht="16.5" customHeight="1">
      <c r="A2550" s="159" t="s">
        <v>2747</v>
      </c>
      <c r="B2550" s="114" t="str">
        <f>VLOOKUP(A2550,'Data pick slip'!B:F,5,FALSE)</f>
        <v>KHJ-MC200-00</v>
      </c>
      <c r="F2550" s="157" t="s">
        <v>2862</v>
      </c>
      <c r="H2550" s="138">
        <v>979</v>
      </c>
      <c r="I2550" s="139" t="str">
        <f>VLOOKUP(H2550,Stock_list!A:R,18,FALSE)</f>
        <v>新明海</v>
      </c>
      <c r="J2550" s="139" t="str">
        <f>VLOOKUP(H2550,Stock_list!A:S,17,FALSE)</f>
        <v>C49SZX20200228JZ</v>
      </c>
      <c r="K2550" s="51" t="str">
        <f>VLOOKUP(H2550,Stock_list!A:T,16,FALSE)</f>
        <v>JPY</v>
      </c>
      <c r="L2550" s="4">
        <v>44265</v>
      </c>
      <c r="M2550" s="143">
        <v>16</v>
      </c>
      <c r="P2550" s="4" t="str">
        <f>VLOOKUP(H2550,Stock_list!A:Y,25,FALSE)</f>
        <v>Yes</v>
      </c>
      <c r="T2550" s="144"/>
      <c r="U2550" s="145" t="str">
        <f>VLOOKUP(H2550,Stock_list!A:N,14,FALSE)</f>
        <v>MAR 21</v>
      </c>
    </row>
    <row r="2551" spans="1:21" ht="16.5" customHeight="1">
      <c r="A2551" s="159" t="s">
        <v>2748</v>
      </c>
      <c r="B2551" s="114" t="str">
        <f>VLOOKUP(A2551,'Data pick slip'!B:F,5,FALSE)</f>
        <v>KHJ-MC400-00</v>
      </c>
      <c r="F2551" s="157" t="s">
        <v>2862</v>
      </c>
      <c r="H2551" s="138">
        <v>979</v>
      </c>
      <c r="I2551" s="285" t="str">
        <f>VLOOKUP(H2551,Stock_list!A:R,18,FALSE)</f>
        <v>新明海</v>
      </c>
      <c r="J2551" s="285" t="str">
        <f>VLOOKUP(H2551,Stock_list!A:S,17,FALSE)</f>
        <v>C49SZX20200228JZ</v>
      </c>
      <c r="K2551" s="258" t="str">
        <f>VLOOKUP(H2551,Stock_list!A:T,16,FALSE)</f>
        <v>JPY</v>
      </c>
      <c r="L2551" s="286">
        <v>44265</v>
      </c>
      <c r="M2551" s="288">
        <v>10</v>
      </c>
      <c r="P2551" s="4" t="str">
        <f>VLOOKUP(H2551,Stock_list!A:Y,25,FALSE)</f>
        <v>Yes</v>
      </c>
      <c r="T2551" s="144"/>
      <c r="U2551" s="145" t="str">
        <f>VLOOKUP(H2551,Stock_list!A:N,14,FALSE)</f>
        <v>MAR 21</v>
      </c>
    </row>
    <row r="2552" spans="1:21" ht="16.5" customHeight="1">
      <c r="A2552" s="159" t="s">
        <v>2749</v>
      </c>
      <c r="B2552" s="280" t="str">
        <f>VLOOKUP(A2552,'Data pick slip'!B:F,5,FALSE)</f>
        <v>KHJ-MC500-00</v>
      </c>
      <c r="F2552" s="157" t="s">
        <v>2753</v>
      </c>
      <c r="H2552" s="138">
        <v>979</v>
      </c>
      <c r="I2552" s="139" t="str">
        <f>VLOOKUP(H2552,Stock_list!A:R,18,FALSE)</f>
        <v>新明海</v>
      </c>
      <c r="J2552" s="139" t="str">
        <f>VLOOKUP(H2552,Stock_list!A:S,17,FALSE)</f>
        <v>C49SZX20200228JZ</v>
      </c>
      <c r="K2552" s="51" t="str">
        <f>VLOOKUP(H2552,Stock_list!A:T,16,FALSE)</f>
        <v>JPY</v>
      </c>
      <c r="L2552" s="4">
        <v>44265</v>
      </c>
      <c r="M2552" s="143">
        <v>2</v>
      </c>
      <c r="P2552" s="4" t="str">
        <f>VLOOKUP(H2552,Stock_list!A:Y,25,FALSE)</f>
        <v>Yes</v>
      </c>
      <c r="S2552" s="268" t="s">
        <v>2778</v>
      </c>
      <c r="T2552" s="266" t="s">
        <v>3385</v>
      </c>
      <c r="U2552" s="145" t="str">
        <f>VLOOKUP(H2552,Stock_list!A:N,14,FALSE)</f>
        <v>MAR 21</v>
      </c>
    </row>
    <row r="2553" spans="1:21" ht="16.5" customHeight="1">
      <c r="A2553" s="159" t="s">
        <v>2744</v>
      </c>
      <c r="B2553" s="114" t="str">
        <f>VLOOKUP(A2553,'Data pick slip'!B:F,5,FALSE)</f>
        <v>KHJ-MC100-00</v>
      </c>
      <c r="F2553" s="157" t="s">
        <v>2862</v>
      </c>
      <c r="H2553" s="138">
        <v>982</v>
      </c>
      <c r="I2553" s="139" t="str">
        <f>VLOOKUP(H2553,Stock_list!A:R,18,FALSE)</f>
        <v>深圳健科</v>
      </c>
      <c r="J2553" s="139" t="str">
        <f>VLOOKUP(H2553,Stock_list!A:S,17,FALSE)</f>
        <v>C49SZX20200218JZ</v>
      </c>
      <c r="K2553" s="51" t="str">
        <f>VLOOKUP(H2553,Stock_list!A:T,16,FALSE)</f>
        <v>JPY</v>
      </c>
      <c r="L2553" s="4">
        <v>44263</v>
      </c>
      <c r="M2553" s="143">
        <v>48</v>
      </c>
      <c r="P2553" s="4" t="str">
        <f>VLOOKUP(H2553,Stock_list!A:Y,25,FALSE)</f>
        <v>Yes</v>
      </c>
      <c r="T2553" s="144"/>
      <c r="U2553" s="145" t="str">
        <f>VLOOKUP(H2553,Stock_list!A:N,14,FALSE)</f>
        <v>MAR 21</v>
      </c>
    </row>
    <row r="2554" spans="1:21" ht="16.5" customHeight="1">
      <c r="A2554" s="159" t="s">
        <v>2747</v>
      </c>
      <c r="B2554" s="114" t="str">
        <f>VLOOKUP(A2554,'Data pick slip'!B:F,5,FALSE)</f>
        <v>KHJ-MC200-00</v>
      </c>
      <c r="F2554" s="157" t="s">
        <v>2862</v>
      </c>
      <c r="H2554" s="138">
        <v>982</v>
      </c>
      <c r="I2554" s="139" t="str">
        <f>VLOOKUP(H2554,Stock_list!A:R,18,FALSE)</f>
        <v>深圳健科</v>
      </c>
      <c r="J2554" s="139" t="str">
        <f>VLOOKUP(H2554,Stock_list!A:S,17,FALSE)</f>
        <v>C49SZX20200218JZ</v>
      </c>
      <c r="K2554" s="51" t="str">
        <f>VLOOKUP(H2554,Stock_list!A:T,16,FALSE)</f>
        <v>JPY</v>
      </c>
      <c r="L2554" s="4">
        <v>44263</v>
      </c>
      <c r="M2554" s="143">
        <v>3</v>
      </c>
      <c r="P2554" s="4" t="str">
        <f>VLOOKUP(H2554,Stock_list!A:Y,25,FALSE)</f>
        <v>Yes</v>
      </c>
      <c r="T2554" s="144"/>
      <c r="U2554" s="145" t="str">
        <f>VLOOKUP(H2554,Stock_list!A:N,14,FALSE)</f>
        <v>MAR 21</v>
      </c>
    </row>
    <row r="2555" spans="1:21" ht="16.5" customHeight="1">
      <c r="A2555" s="159" t="s">
        <v>2748</v>
      </c>
      <c r="B2555" s="114" t="str">
        <f>VLOOKUP(A2555,'Data pick slip'!B:F,5,FALSE)</f>
        <v>KHJ-MC400-00</v>
      </c>
      <c r="F2555" s="157" t="s">
        <v>2862</v>
      </c>
      <c r="H2555" s="138">
        <v>982</v>
      </c>
      <c r="I2555" s="285" t="str">
        <f>VLOOKUP(H2555,Stock_list!A:R,18,FALSE)</f>
        <v>深圳健科</v>
      </c>
      <c r="J2555" s="285" t="str">
        <f>VLOOKUP(H2555,Stock_list!A:S,17,FALSE)</f>
        <v>C49SZX20200218JZ</v>
      </c>
      <c r="K2555" s="258" t="str">
        <f>VLOOKUP(H2555,Stock_list!A:T,16,FALSE)</f>
        <v>JPY</v>
      </c>
      <c r="L2555" s="286">
        <v>44263</v>
      </c>
      <c r="M2555" s="288">
        <v>1</v>
      </c>
      <c r="P2555" s="4" t="str">
        <f>VLOOKUP(H2555,Stock_list!A:Y,25,FALSE)</f>
        <v>Yes</v>
      </c>
      <c r="T2555" s="144"/>
      <c r="U2555" s="145" t="str">
        <f>VLOOKUP(H2555,Stock_list!A:N,14,FALSE)</f>
        <v>MAR 21</v>
      </c>
    </row>
    <row r="2556" spans="1:21" ht="16.5" customHeight="1">
      <c r="A2556" s="159" t="s">
        <v>2749</v>
      </c>
      <c r="B2556" s="114" t="str">
        <f>VLOOKUP(A2556,'Data pick slip'!B:F,5,FALSE)</f>
        <v>KHJ-MC500-00</v>
      </c>
      <c r="F2556" s="157" t="s">
        <v>2862</v>
      </c>
      <c r="H2556" s="138">
        <v>982</v>
      </c>
      <c r="I2556" s="139" t="str">
        <f>VLOOKUP(H2556,Stock_list!A:R,18,FALSE)</f>
        <v>深圳健科</v>
      </c>
      <c r="J2556" s="139" t="str">
        <f>VLOOKUP(H2556,Stock_list!A:S,17,FALSE)</f>
        <v>C49SZX20200218JZ</v>
      </c>
      <c r="K2556" s="51" t="str">
        <f>VLOOKUP(H2556,Stock_list!A:T,16,FALSE)</f>
        <v>JPY</v>
      </c>
      <c r="L2556" s="4">
        <v>44263</v>
      </c>
      <c r="M2556" s="143">
        <v>1</v>
      </c>
      <c r="P2556" s="4" t="str">
        <f>VLOOKUP(H2556,Stock_list!A:Y,25,FALSE)</f>
        <v>Yes</v>
      </c>
      <c r="T2556" s="144"/>
      <c r="U2556" s="145" t="str">
        <f>VLOOKUP(H2556,Stock_list!A:N,14,FALSE)</f>
        <v>MAR 21</v>
      </c>
    </row>
    <row r="2557" spans="1:21" ht="16.5" customHeight="1">
      <c r="A2557" s="159" t="s">
        <v>2750</v>
      </c>
      <c r="B2557" s="280" t="str">
        <f>VLOOKUP(A2557,'Data pick slip'!B:F,5,FALSE)</f>
        <v>KHJ-MC600-00</v>
      </c>
      <c r="F2557" s="157" t="s">
        <v>2753</v>
      </c>
      <c r="H2557" s="138">
        <v>982</v>
      </c>
      <c r="I2557" s="139" t="str">
        <f>VLOOKUP(H2557,Stock_list!A:R,18,FALSE)</f>
        <v>深圳健科</v>
      </c>
      <c r="J2557" s="139" t="str">
        <f>VLOOKUP(H2557,Stock_list!A:S,17,FALSE)</f>
        <v>C49SZX20200218JZ</v>
      </c>
      <c r="K2557" s="51" t="str">
        <f>VLOOKUP(H2557,Stock_list!A:T,16,FALSE)</f>
        <v>JPY</v>
      </c>
      <c r="L2557" s="4">
        <v>44263</v>
      </c>
      <c r="M2557" s="143">
        <v>1</v>
      </c>
      <c r="P2557" s="4" t="str">
        <f>VLOOKUP(H2557,Stock_list!A:Y,25,FALSE)</f>
        <v>Yes</v>
      </c>
      <c r="S2557" s="268" t="s">
        <v>2778</v>
      </c>
      <c r="T2557" s="266" t="s">
        <v>3385</v>
      </c>
      <c r="U2557" s="145" t="str">
        <f>VLOOKUP(H2557,Stock_list!A:N,14,FALSE)</f>
        <v>MAR 21</v>
      </c>
    </row>
    <row r="2558" spans="1:21" ht="16.5" customHeight="1">
      <c r="A2558" s="159" t="s">
        <v>2744</v>
      </c>
      <c r="B2558" s="114" t="str">
        <f>VLOOKUP(A2558,'Data pick slip'!B:F,5,FALSE)</f>
        <v>KHJ-MC100-00</v>
      </c>
      <c r="F2558" s="157" t="s">
        <v>2862</v>
      </c>
      <c r="H2558" s="138">
        <v>983</v>
      </c>
      <c r="I2558" s="139" t="str">
        <f>VLOOKUP(H2558,Stock_list!A:R,18,FALSE)</f>
        <v>盈通恒翼</v>
      </c>
      <c r="J2558" s="139" t="str">
        <f>VLOOKUP(H2558,Stock_list!A:S,17,FALSE)</f>
        <v>C49SZX20200230SS</v>
      </c>
      <c r="K2558" s="51" t="str">
        <f>VLOOKUP(H2558,Stock_list!A:T,16,FALSE)</f>
        <v>JPY</v>
      </c>
      <c r="L2558" s="4">
        <v>44256</v>
      </c>
      <c r="M2558" s="143">
        <v>10</v>
      </c>
      <c r="P2558" s="4" t="str">
        <f>VLOOKUP(H2558,Stock_list!A:Y,25,FALSE)</f>
        <v>Yes</v>
      </c>
      <c r="T2558" s="144"/>
      <c r="U2558" s="145" t="str">
        <f>VLOOKUP(H2558,Stock_list!A:N,14,FALSE)</f>
        <v>FEB 21</v>
      </c>
    </row>
    <row r="2559" spans="1:21" ht="16.5" customHeight="1">
      <c r="A2559" s="159" t="s">
        <v>2747</v>
      </c>
      <c r="B2559" s="114" t="str">
        <f>VLOOKUP(A2559,'Data pick slip'!B:F,5,FALSE)</f>
        <v>KHJ-MC200-00</v>
      </c>
      <c r="F2559" s="157" t="s">
        <v>2862</v>
      </c>
      <c r="H2559" s="138">
        <v>983</v>
      </c>
      <c r="I2559" s="139" t="str">
        <f>VLOOKUP(H2559,Stock_list!A:R,18,FALSE)</f>
        <v>盈通恒翼</v>
      </c>
      <c r="J2559" s="139" t="str">
        <f>VLOOKUP(H2559,Stock_list!A:S,17,FALSE)</f>
        <v>C49SZX20200230SS</v>
      </c>
      <c r="K2559" s="51" t="str">
        <f>VLOOKUP(H2559,Stock_list!A:T,16,FALSE)</f>
        <v>JPY</v>
      </c>
      <c r="L2559" s="4">
        <v>44256</v>
      </c>
      <c r="M2559" s="143">
        <v>5</v>
      </c>
      <c r="P2559" s="4" t="str">
        <f>VLOOKUP(H2559,Stock_list!A:Y,25,FALSE)</f>
        <v>Yes</v>
      </c>
      <c r="T2559" s="144"/>
      <c r="U2559" s="145" t="str">
        <f>VLOOKUP(H2559,Stock_list!A:N,14,FALSE)</f>
        <v>FEB 21</v>
      </c>
    </row>
    <row r="2560" spans="1:21" ht="16.5" customHeight="1">
      <c r="A2560" s="159" t="s">
        <v>2748</v>
      </c>
      <c r="B2560" s="114" t="str">
        <f>VLOOKUP(A2560,'Data pick slip'!B:F,5,FALSE)</f>
        <v>KHJ-MC400-00</v>
      </c>
      <c r="F2560" s="157" t="s">
        <v>2862</v>
      </c>
      <c r="H2560" s="138">
        <v>983</v>
      </c>
      <c r="I2560" s="285" t="str">
        <f>VLOOKUP(H2560,Stock_list!A:R,18,FALSE)</f>
        <v>盈通恒翼</v>
      </c>
      <c r="J2560" s="285" t="str">
        <f>VLOOKUP(H2560,Stock_list!A:S,17,FALSE)</f>
        <v>C49SZX20200230SS</v>
      </c>
      <c r="K2560" s="258" t="str">
        <f>VLOOKUP(H2560,Stock_list!A:T,16,FALSE)</f>
        <v>JPY</v>
      </c>
      <c r="L2560" s="286">
        <v>44256</v>
      </c>
      <c r="M2560" s="288">
        <v>1</v>
      </c>
      <c r="P2560" s="4" t="str">
        <f>VLOOKUP(H2560,Stock_list!A:Y,25,FALSE)</f>
        <v>Yes</v>
      </c>
      <c r="T2560" s="144"/>
      <c r="U2560" s="145" t="str">
        <f>VLOOKUP(H2560,Stock_list!A:N,14,FALSE)</f>
        <v>FEB 21</v>
      </c>
    </row>
    <row r="2561" spans="1:21" ht="16.5" customHeight="1">
      <c r="A2561" s="159" t="s">
        <v>2749</v>
      </c>
      <c r="B2561" s="114" t="str">
        <f>VLOOKUP(A2561,'Data pick slip'!B:F,5,FALSE)</f>
        <v>KHJ-MC500-00</v>
      </c>
      <c r="F2561" s="157" t="s">
        <v>2862</v>
      </c>
      <c r="H2561" s="138">
        <v>983</v>
      </c>
      <c r="I2561" s="139" t="str">
        <f>VLOOKUP(H2561,Stock_list!A:R,18,FALSE)</f>
        <v>盈通恒翼</v>
      </c>
      <c r="J2561" s="139" t="str">
        <f>VLOOKUP(H2561,Stock_list!A:S,17,FALSE)</f>
        <v>C49SZX20200230SS</v>
      </c>
      <c r="K2561" s="51" t="str">
        <f>VLOOKUP(H2561,Stock_list!A:T,16,FALSE)</f>
        <v>JPY</v>
      </c>
      <c r="L2561" s="4">
        <v>44256</v>
      </c>
      <c r="M2561" s="143">
        <v>1</v>
      </c>
      <c r="P2561" s="4" t="str">
        <f>VLOOKUP(H2561,Stock_list!A:Y,25,FALSE)</f>
        <v>Yes</v>
      </c>
      <c r="T2561" s="144"/>
      <c r="U2561" s="145" t="str">
        <f>VLOOKUP(H2561,Stock_list!A:N,14,FALSE)</f>
        <v>FEB 21</v>
      </c>
    </row>
    <row r="2562" spans="1:21" ht="16.5" customHeight="1">
      <c r="A2562" s="159" t="s">
        <v>2750</v>
      </c>
      <c r="B2562" s="114" t="str">
        <f>VLOOKUP(A2562,'Data pick slip'!B:F,5,FALSE)</f>
        <v>KHJ-MC600-00</v>
      </c>
      <c r="F2562" s="157" t="s">
        <v>2862</v>
      </c>
      <c r="H2562" s="138">
        <v>983</v>
      </c>
      <c r="I2562" s="139" t="str">
        <f>VLOOKUP(H2562,Stock_list!A:R,18,FALSE)</f>
        <v>盈通恒翼</v>
      </c>
      <c r="J2562" s="139" t="str">
        <f>VLOOKUP(H2562,Stock_list!A:S,17,FALSE)</f>
        <v>C49SZX20200230SS</v>
      </c>
      <c r="K2562" s="51" t="str">
        <f>VLOOKUP(H2562,Stock_list!A:T,16,FALSE)</f>
        <v>JPY</v>
      </c>
      <c r="L2562" s="4">
        <v>44256</v>
      </c>
      <c r="M2562" s="143">
        <v>1</v>
      </c>
      <c r="P2562" s="4" t="str">
        <f>VLOOKUP(H2562,Stock_list!A:Y,25,FALSE)</f>
        <v>Yes</v>
      </c>
      <c r="T2562" s="144"/>
      <c r="U2562" s="145" t="str">
        <f>VLOOKUP(H2562,Stock_list!A:N,14,FALSE)</f>
        <v>FEB 21</v>
      </c>
    </row>
    <row r="2563" spans="1:21" ht="16.5" customHeight="1">
      <c r="A2563" s="159" t="s">
        <v>2751</v>
      </c>
      <c r="B2563" s="280" t="str">
        <f>VLOOKUP(A2563,'Data pick slip'!B:F,5,FALSE)</f>
        <v>KHJ-MC700-00</v>
      </c>
      <c r="F2563" s="157" t="s">
        <v>2753</v>
      </c>
      <c r="H2563" s="138">
        <v>983</v>
      </c>
      <c r="I2563" s="139" t="str">
        <f>VLOOKUP(H2563,Stock_list!A:R,18,FALSE)</f>
        <v>盈通恒翼</v>
      </c>
      <c r="J2563" s="139" t="str">
        <f>VLOOKUP(H2563,Stock_list!A:S,17,FALSE)</f>
        <v>C49SZX20200230SS</v>
      </c>
      <c r="K2563" s="51" t="str">
        <f>VLOOKUP(H2563,Stock_list!A:T,16,FALSE)</f>
        <v>JPY</v>
      </c>
      <c r="L2563" s="4">
        <v>44334</v>
      </c>
      <c r="M2563" s="140">
        <v>1</v>
      </c>
      <c r="N2563" s="143"/>
      <c r="P2563" s="4" t="str">
        <f>VLOOKUP(H2563,Stock_list!A:Y,25,FALSE)</f>
        <v>Yes</v>
      </c>
      <c r="S2563" s="268" t="s">
        <v>2778</v>
      </c>
      <c r="T2563" s="266" t="s">
        <v>3385</v>
      </c>
      <c r="U2563" s="145" t="str">
        <f>VLOOKUP(H2563,Stock_list!A:N,14,FALSE)</f>
        <v>FEB 21</v>
      </c>
    </row>
    <row r="2564" spans="1:21" ht="16.5" customHeight="1">
      <c r="A2564" s="159" t="s">
        <v>2744</v>
      </c>
      <c r="B2564" s="114" t="str">
        <f>VLOOKUP(A2564,'Data pick slip'!B:F,5,FALSE)</f>
        <v>KHJ-MC100-00</v>
      </c>
      <c r="F2564" s="157" t="s">
        <v>2862</v>
      </c>
      <c r="H2564" s="138">
        <v>985</v>
      </c>
      <c r="I2564" s="139" t="str">
        <f>VLOOKUP(H2564,Stock_list!A:R,18,FALSE)</f>
        <v>可祁</v>
      </c>
      <c r="J2564" s="139" t="str">
        <f>VLOOKUP(H2564,Stock_list!A:S,17,FALSE)</f>
        <v>C49SZX20200231SX</v>
      </c>
      <c r="K2564" s="51" t="str">
        <f>VLOOKUP(H2564,Stock_list!A:T,16,FALSE)</f>
        <v>JPY</v>
      </c>
      <c r="L2564" s="4">
        <v>44267</v>
      </c>
      <c r="M2564" s="143">
        <v>5</v>
      </c>
      <c r="P2564" s="4" t="str">
        <f>VLOOKUP(H2564,Stock_list!A:Y,25,FALSE)</f>
        <v>Yes</v>
      </c>
      <c r="T2564" s="144"/>
      <c r="U2564" s="145" t="str">
        <f>VLOOKUP(H2564,Stock_list!A:N,14,FALSE)</f>
        <v>MAR 21</v>
      </c>
    </row>
    <row r="2565" spans="1:21" ht="16.5" customHeight="1">
      <c r="A2565" s="159" t="s">
        <v>2747</v>
      </c>
      <c r="B2565" s="114" t="str">
        <f>VLOOKUP(A2565,'Data pick slip'!B:F,5,FALSE)</f>
        <v>KHJ-MC200-00</v>
      </c>
      <c r="F2565" s="157" t="s">
        <v>2862</v>
      </c>
      <c r="H2565" s="138">
        <v>985</v>
      </c>
      <c r="I2565" s="139" t="str">
        <f>VLOOKUP(H2565,Stock_list!A:R,18,FALSE)</f>
        <v>可祁</v>
      </c>
      <c r="J2565" s="139" t="str">
        <f>VLOOKUP(H2565,Stock_list!A:S,17,FALSE)</f>
        <v>C49SZX20200231SX</v>
      </c>
      <c r="K2565" s="51" t="str">
        <f>VLOOKUP(H2565,Stock_list!A:T,16,FALSE)</f>
        <v>JPY</v>
      </c>
      <c r="L2565" s="4">
        <v>44267</v>
      </c>
      <c r="M2565" s="143">
        <v>6</v>
      </c>
      <c r="P2565" s="4" t="str">
        <f>VLOOKUP(H2565,Stock_list!A:Y,25,FALSE)</f>
        <v>Yes</v>
      </c>
      <c r="T2565" s="144"/>
      <c r="U2565" s="145" t="str">
        <f>VLOOKUP(H2565,Stock_list!A:N,14,FALSE)</f>
        <v>MAR 21</v>
      </c>
    </row>
    <row r="2566" spans="1:21" ht="16.5" customHeight="1">
      <c r="A2566" s="159" t="s">
        <v>2748</v>
      </c>
      <c r="B2566" s="114" t="str">
        <f>VLOOKUP(A2566,'Data pick slip'!B:F,5,FALSE)</f>
        <v>KHJ-MC400-00</v>
      </c>
      <c r="F2566" s="157" t="s">
        <v>1381</v>
      </c>
      <c r="H2566" s="138">
        <v>985</v>
      </c>
      <c r="I2566" s="285" t="str">
        <f>VLOOKUP(H2566,Stock_list!A:R,18,FALSE)</f>
        <v>可祁</v>
      </c>
      <c r="J2566" s="285" t="str">
        <f>VLOOKUP(H2566,Stock_list!A:S,17,FALSE)</f>
        <v>C49SZX20200231SX</v>
      </c>
      <c r="K2566" s="258" t="str">
        <f>VLOOKUP(H2566,Stock_list!A:T,16,FALSE)</f>
        <v>JPY</v>
      </c>
      <c r="L2566" s="286">
        <v>44267</v>
      </c>
      <c r="M2566" s="288">
        <v>2</v>
      </c>
      <c r="P2566" s="4" t="str">
        <f>VLOOKUP(H2566,Stock_list!A:Y,25,FALSE)</f>
        <v>Yes</v>
      </c>
      <c r="T2566" s="144"/>
      <c r="U2566" s="145" t="str">
        <f>VLOOKUP(H2566,Stock_list!A:N,14,FALSE)</f>
        <v>MAR 21</v>
      </c>
    </row>
    <row r="2567" spans="1:21" ht="16.5" customHeight="1">
      <c r="A2567" s="159" t="s">
        <v>2755</v>
      </c>
      <c r="B2567" s="114" t="str">
        <f>VLOOKUP(A2567,'Data pick slip'!B:F,5,FALSE)</f>
        <v>KLJ-MC100-00</v>
      </c>
      <c r="F2567" s="157" t="s">
        <v>2862</v>
      </c>
      <c r="H2567" s="138">
        <v>986</v>
      </c>
      <c r="I2567" s="139" t="str">
        <f>VLOOKUP(H2567,Stock_list!A:R,18,FALSE)</f>
        <v>永顺创</v>
      </c>
      <c r="J2567" s="139" t="str">
        <f>VLOOKUP(H2567,Stock_list!A:S,17,FALSE)</f>
        <v>C49SZX20200232SX</v>
      </c>
      <c r="K2567" s="51" t="str">
        <f>VLOOKUP(H2567,Stock_list!A:T,16,FALSE)</f>
        <v>JPY</v>
      </c>
      <c r="L2567" s="4">
        <v>44156</v>
      </c>
      <c r="M2567" s="143">
        <v>26</v>
      </c>
      <c r="P2567" s="4" t="str">
        <f>VLOOKUP(H2567,Stock_list!A:Y,25,FALSE)</f>
        <v>Yes</v>
      </c>
      <c r="Q2567" s="133"/>
      <c r="T2567" s="144"/>
      <c r="U2567" s="145" t="str">
        <f>VLOOKUP(H2567,Stock_list!A:N,14,FALSE)</f>
        <v>DEC 20</v>
      </c>
    </row>
    <row r="2568" spans="1:21" ht="16.5" customHeight="1">
      <c r="A2568" s="159" t="s">
        <v>2756</v>
      </c>
      <c r="B2568" s="114" t="str">
        <f>VLOOKUP(A2568,'Data pick slip'!B:F,5,FALSE)</f>
        <v>KLJ-MC200-00</v>
      </c>
      <c r="F2568" s="157" t="s">
        <v>2862</v>
      </c>
      <c r="H2568" s="138">
        <v>986</v>
      </c>
      <c r="I2568" s="139" t="str">
        <f>VLOOKUP(H2568,Stock_list!A:R,18,FALSE)</f>
        <v>永顺创</v>
      </c>
      <c r="J2568" s="139" t="str">
        <f>VLOOKUP(H2568,Stock_list!A:S,17,FALSE)</f>
        <v>C49SZX20200232SX</v>
      </c>
      <c r="K2568" s="51" t="str">
        <f>VLOOKUP(H2568,Stock_list!A:T,16,FALSE)</f>
        <v>JPY</v>
      </c>
      <c r="L2568" s="4">
        <v>44156</v>
      </c>
      <c r="M2568" s="143">
        <v>4</v>
      </c>
      <c r="P2568" s="4" t="str">
        <f>VLOOKUP(H2568,Stock_list!A:Y,25,FALSE)</f>
        <v>Yes</v>
      </c>
      <c r="T2568" s="144"/>
      <c r="U2568" s="145" t="str">
        <f>VLOOKUP(H2568,Stock_list!A:N,14,FALSE)</f>
        <v>DEC 20</v>
      </c>
    </row>
    <row r="2569" spans="1:21" ht="16.5" customHeight="1">
      <c r="A2569" s="159" t="s">
        <v>2757</v>
      </c>
      <c r="B2569" s="114" t="str">
        <f>VLOOKUP(A2569,'Data pick slip'!B:F,5,FALSE)</f>
        <v>KLJ-MC400-00</v>
      </c>
      <c r="F2569" s="157" t="s">
        <v>2862</v>
      </c>
      <c r="H2569" s="138">
        <v>986</v>
      </c>
      <c r="I2569" s="139" t="str">
        <f>VLOOKUP(H2569,Stock_list!A:R,18,FALSE)</f>
        <v>永顺创</v>
      </c>
      <c r="J2569" s="139" t="str">
        <f>VLOOKUP(H2569,Stock_list!A:S,17,FALSE)</f>
        <v>C49SZX20200232SX</v>
      </c>
      <c r="K2569" s="51" t="str">
        <f>VLOOKUP(H2569,Stock_list!A:T,16,FALSE)</f>
        <v>JPY</v>
      </c>
      <c r="L2569" s="4">
        <v>44156</v>
      </c>
      <c r="M2569" s="143">
        <v>1</v>
      </c>
      <c r="P2569" s="4" t="str">
        <f>VLOOKUP(H2569,Stock_list!A:Y,25,FALSE)</f>
        <v>Yes</v>
      </c>
      <c r="Q2569" s="133"/>
      <c r="T2569" s="144"/>
      <c r="U2569" s="145" t="str">
        <f>VLOOKUP(H2569,Stock_list!A:N,14,FALSE)</f>
        <v>DEC 20</v>
      </c>
    </row>
    <row r="2570" spans="1:21" ht="16.5" customHeight="1">
      <c r="A2570" s="159" t="s">
        <v>2758</v>
      </c>
      <c r="B2570" s="114" t="str">
        <f>VLOOKUP(A2570,'Data pick slip'!B:F,5,FALSE)</f>
        <v>KLJ-MC500-00</v>
      </c>
      <c r="F2570" s="157" t="s">
        <v>2862</v>
      </c>
      <c r="H2570" s="138">
        <v>986</v>
      </c>
      <c r="I2570" s="139" t="str">
        <f>VLOOKUP(H2570,Stock_list!A:R,18,FALSE)</f>
        <v>永顺创</v>
      </c>
      <c r="J2570" s="139" t="str">
        <f>VLOOKUP(H2570,Stock_list!A:S,17,FALSE)</f>
        <v>C49SZX20200232SX</v>
      </c>
      <c r="K2570" s="51" t="str">
        <f>VLOOKUP(H2570,Stock_list!A:T,16,FALSE)</f>
        <v>JPY</v>
      </c>
      <c r="L2570" s="4">
        <v>44156</v>
      </c>
      <c r="M2570" s="143">
        <v>1</v>
      </c>
      <c r="P2570" s="4" t="str">
        <f>VLOOKUP(H2570,Stock_list!A:Y,25,FALSE)</f>
        <v>Yes</v>
      </c>
      <c r="Q2570" s="133"/>
      <c r="T2570" s="144"/>
      <c r="U2570" s="145" t="str">
        <f>VLOOKUP(H2570,Stock_list!A:N,14,FALSE)</f>
        <v>DEC 20</v>
      </c>
    </row>
    <row r="2571" spans="1:21" ht="16.5" customHeight="1">
      <c r="A2571" s="159" t="s">
        <v>2744</v>
      </c>
      <c r="B2571" s="114" t="str">
        <f>VLOOKUP(A2571,'Data pick slip'!B:F,5,FALSE)</f>
        <v>KHJ-MC100-00</v>
      </c>
      <c r="F2571" s="157" t="s">
        <v>2753</v>
      </c>
      <c r="H2571" s="138">
        <v>986</v>
      </c>
      <c r="I2571" s="139" t="str">
        <f>VLOOKUP(H2571,Stock_list!A:R,18,FALSE)</f>
        <v>永顺创</v>
      </c>
      <c r="J2571" s="139" t="str">
        <f>VLOOKUP(H2571,Stock_list!A:S,17,FALSE)</f>
        <v>C49SZX20200232SX</v>
      </c>
      <c r="K2571" s="51" t="str">
        <f>VLOOKUP(H2571,Stock_list!A:T,16,FALSE)</f>
        <v>JPY</v>
      </c>
      <c r="L2571" s="4">
        <v>44287</v>
      </c>
      <c r="M2571" s="143">
        <v>2</v>
      </c>
      <c r="P2571" s="4" t="str">
        <f>VLOOKUP(H2571,Stock_list!A:Y,25,FALSE)</f>
        <v>Yes</v>
      </c>
      <c r="Q2571" s="133"/>
      <c r="S2571" s="268" t="s">
        <v>2778</v>
      </c>
      <c r="T2571" s="284" t="s">
        <v>3386</v>
      </c>
      <c r="U2571" s="145" t="str">
        <f>VLOOKUP(H2571,Stock_list!A:N,14,FALSE)</f>
        <v>DEC 20</v>
      </c>
    </row>
    <row r="2572" spans="1:21" ht="16.5" customHeight="1">
      <c r="A2572" s="159" t="s">
        <v>2755</v>
      </c>
      <c r="B2572" s="114" t="str">
        <f>VLOOKUP(A2572,'Data pick slip'!B:F,5,FALSE)</f>
        <v>KLJ-MC100-00</v>
      </c>
      <c r="F2572" s="157" t="s">
        <v>2862</v>
      </c>
      <c r="H2572" s="138">
        <v>986</v>
      </c>
      <c r="I2572" s="139" t="str">
        <f>VLOOKUP(H2572,Stock_list!A:R,18,FALSE)</f>
        <v>永顺创</v>
      </c>
      <c r="J2572" s="139" t="str">
        <f>VLOOKUP(H2572,Stock_list!A:S,17,FALSE)</f>
        <v>C49SZX20200232SX</v>
      </c>
      <c r="K2572" s="51" t="str">
        <f>VLOOKUP(H2572,Stock_list!A:T,16,FALSE)</f>
        <v>JPY</v>
      </c>
      <c r="L2572" s="4">
        <v>44287</v>
      </c>
      <c r="M2572" s="143">
        <v>53</v>
      </c>
      <c r="P2572" s="4" t="str">
        <f>VLOOKUP(H2572,Stock_list!A:Y,25,FALSE)</f>
        <v>Yes</v>
      </c>
      <c r="Q2572" s="133"/>
      <c r="T2572" s="144"/>
      <c r="U2572" s="145" t="str">
        <f>VLOOKUP(H2572,Stock_list!A:N,14,FALSE)</f>
        <v>DEC 20</v>
      </c>
    </row>
    <row r="2573" spans="1:21" ht="16.5" customHeight="1">
      <c r="A2573" s="159" t="s">
        <v>2756</v>
      </c>
      <c r="B2573" s="114" t="str">
        <f>VLOOKUP(A2573,'Data pick slip'!B:F,5,FALSE)</f>
        <v>KLJ-MC200-00</v>
      </c>
      <c r="F2573" s="157" t="s">
        <v>2862</v>
      </c>
      <c r="H2573" s="138">
        <v>986</v>
      </c>
      <c r="I2573" s="139" t="str">
        <f>VLOOKUP(H2573,Stock_list!A:R,18,FALSE)</f>
        <v>永顺创</v>
      </c>
      <c r="J2573" s="139" t="str">
        <f>VLOOKUP(H2573,Stock_list!A:S,17,FALSE)</f>
        <v>C49SZX20200232SX</v>
      </c>
      <c r="K2573" s="51" t="str">
        <f>VLOOKUP(H2573,Stock_list!A:T,16,FALSE)</f>
        <v>JPY</v>
      </c>
      <c r="L2573" s="4">
        <v>44287</v>
      </c>
      <c r="M2573" s="143">
        <f>12-4</f>
        <v>8</v>
      </c>
      <c r="P2573" s="4" t="str">
        <f>VLOOKUP(H2573,Stock_list!A:Y,25,FALSE)</f>
        <v>Yes</v>
      </c>
      <c r="T2573" s="144"/>
      <c r="U2573" s="145" t="str">
        <f>VLOOKUP(H2573,Stock_list!A:N,14,FALSE)</f>
        <v>DEC 20</v>
      </c>
    </row>
    <row r="2574" spans="1:21" ht="16.5" customHeight="1">
      <c r="A2574" s="159" t="s">
        <v>2757</v>
      </c>
      <c r="B2574" s="114" t="str">
        <f>VLOOKUP(A2574,'Data pick slip'!B:F,5,FALSE)</f>
        <v>KLJ-MC400-00</v>
      </c>
      <c r="F2574" s="157" t="s">
        <v>2862</v>
      </c>
      <c r="H2574" s="138">
        <v>986</v>
      </c>
      <c r="I2574" s="139" t="str">
        <f>VLOOKUP(H2574,Stock_list!A:R,18,FALSE)</f>
        <v>永顺创</v>
      </c>
      <c r="J2574" s="139" t="str">
        <f>VLOOKUP(H2574,Stock_list!A:S,17,FALSE)</f>
        <v>C49SZX20200232SX</v>
      </c>
      <c r="K2574" s="51" t="str">
        <f>VLOOKUP(H2574,Stock_list!A:T,16,FALSE)</f>
        <v>JPY</v>
      </c>
      <c r="L2574" s="4">
        <v>44287</v>
      </c>
      <c r="M2574" s="143">
        <f>3-1</f>
        <v>2</v>
      </c>
      <c r="P2574" s="4" t="str">
        <f>VLOOKUP(H2574,Stock_list!A:Y,25,FALSE)</f>
        <v>Yes</v>
      </c>
      <c r="Q2574" s="133"/>
      <c r="T2574" s="144"/>
      <c r="U2574" s="145" t="str">
        <f>VLOOKUP(H2574,Stock_list!A:N,14,FALSE)</f>
        <v>DEC 20</v>
      </c>
    </row>
    <row r="2575" spans="1:21" ht="16.5" customHeight="1">
      <c r="A2575" s="159" t="s">
        <v>2758</v>
      </c>
      <c r="B2575" s="114" t="str">
        <f>VLOOKUP(A2575,'Data pick slip'!B:F,5,FALSE)</f>
        <v>KLJ-MC500-00</v>
      </c>
      <c r="F2575" s="157" t="s">
        <v>2862</v>
      </c>
      <c r="H2575" s="138">
        <v>986</v>
      </c>
      <c r="I2575" s="139" t="str">
        <f>VLOOKUP(H2575,Stock_list!A:R,18,FALSE)</f>
        <v>永顺创</v>
      </c>
      <c r="J2575" s="139" t="str">
        <f>VLOOKUP(H2575,Stock_list!A:S,17,FALSE)</f>
        <v>C49SZX20200232SX</v>
      </c>
      <c r="K2575" s="51" t="str">
        <f>VLOOKUP(H2575,Stock_list!A:T,16,FALSE)</f>
        <v>JPY</v>
      </c>
      <c r="L2575" s="4">
        <v>44287</v>
      </c>
      <c r="M2575" s="143">
        <f>2-1</f>
        <v>1</v>
      </c>
      <c r="P2575" s="4" t="str">
        <f>VLOOKUP(H2575,Stock_list!A:Y,25,FALSE)</f>
        <v>Yes</v>
      </c>
      <c r="Q2575" s="133"/>
      <c r="T2575" s="144"/>
      <c r="U2575" s="145" t="str">
        <f>VLOOKUP(H2575,Stock_list!A:N,14,FALSE)</f>
        <v>DEC 20</v>
      </c>
    </row>
    <row r="2576" spans="1:21" ht="16.5" customHeight="1">
      <c r="A2576" s="159" t="s">
        <v>2759</v>
      </c>
      <c r="B2576" s="114" t="str">
        <f>VLOOKUP(A2576,'Data pick slip'!B:F,5,FALSE)</f>
        <v>KLJ-MC600-00</v>
      </c>
      <c r="F2576" s="157" t="s">
        <v>2862</v>
      </c>
      <c r="H2576" s="138">
        <v>986</v>
      </c>
      <c r="I2576" s="139" t="str">
        <f>VLOOKUP(H2576,Stock_list!A:R,18,FALSE)</f>
        <v>永顺创</v>
      </c>
      <c r="J2576" s="139" t="str">
        <f>VLOOKUP(H2576,Stock_list!A:S,17,FALSE)</f>
        <v>C49SZX20200232SX</v>
      </c>
      <c r="K2576" s="51" t="str">
        <f>VLOOKUP(H2576,Stock_list!A:T,16,FALSE)</f>
        <v>JPY</v>
      </c>
      <c r="L2576" s="4">
        <v>44287</v>
      </c>
      <c r="M2576" s="143">
        <v>1</v>
      </c>
      <c r="P2576" s="4" t="str">
        <f>VLOOKUP(H2576,Stock_list!A:Y,25,FALSE)</f>
        <v>Yes</v>
      </c>
      <c r="Q2576" s="133"/>
      <c r="T2576" s="144"/>
      <c r="U2576" s="145" t="str">
        <f>VLOOKUP(H2576,Stock_list!A:N,14,FALSE)</f>
        <v>DEC 20</v>
      </c>
    </row>
    <row r="2577" spans="1:21" ht="16.5" customHeight="1">
      <c r="A2577" s="159" t="s">
        <v>2751</v>
      </c>
      <c r="B2577" s="114" t="str">
        <f>VLOOKUP(A2577,'Data pick slip'!B:F,5,FALSE)</f>
        <v>KHJ-MC700-00</v>
      </c>
      <c r="F2577" s="157" t="s">
        <v>2773</v>
      </c>
      <c r="I2577" s="139" t="s">
        <v>3100</v>
      </c>
      <c r="J2577" s="139" t="s">
        <v>3387</v>
      </c>
      <c r="K2577" s="51" t="s">
        <v>1246</v>
      </c>
      <c r="L2577" s="4">
        <v>44167</v>
      </c>
      <c r="M2577" s="140">
        <v>1</v>
      </c>
      <c r="P2577" s="4" t="s">
        <v>291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2748</v>
      </c>
      <c r="B2578" s="114" t="str">
        <f>VLOOKUP(A2578,'Data pick slip'!B:F,5,FALSE)</f>
        <v>KHJ-MC400-00</v>
      </c>
      <c r="F2578" s="157" t="s">
        <v>2773</v>
      </c>
      <c r="I2578" s="139" t="s">
        <v>3094</v>
      </c>
      <c r="J2578" s="139" t="s">
        <v>3388</v>
      </c>
      <c r="K2578" s="51" t="s">
        <v>1246</v>
      </c>
      <c r="L2578" s="4">
        <v>44168</v>
      </c>
      <c r="M2578" s="140">
        <v>1</v>
      </c>
      <c r="P2578" s="4" t="s">
        <v>291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2744</v>
      </c>
      <c r="B2579" s="114" t="str">
        <f>VLOOKUP(A2579,'Data pick slip'!B:F,5,FALSE)</f>
        <v>KHJ-MC100-00</v>
      </c>
      <c r="F2579" s="157" t="s">
        <v>2862</v>
      </c>
      <c r="H2579" s="138">
        <v>989</v>
      </c>
      <c r="I2579" s="139" t="str">
        <f>VLOOKUP(H2579,Stock_list!A:R,18,FALSE)</f>
        <v>景硕电子</v>
      </c>
      <c r="J2579" s="139" t="str">
        <f>VLOOKUP(H2579,Stock_list!A:S,17,FALSE)</f>
        <v>C49SZX20200162CY</v>
      </c>
      <c r="K2579" s="51" t="str">
        <f>VLOOKUP(H2579,Stock_list!A:T,16,FALSE)</f>
        <v>JPY</v>
      </c>
      <c r="L2579" s="4">
        <v>44259</v>
      </c>
      <c r="M2579" s="143">
        <v>15</v>
      </c>
      <c r="P2579" s="4" t="str">
        <f>VLOOKUP(H2579,Stock_list!A:Y,25,FALSE)</f>
        <v>Yes</v>
      </c>
      <c r="T2579" s="144"/>
      <c r="U2579" s="145" t="str">
        <f>VLOOKUP(H2579,Stock_list!A:N,14,FALSE)</f>
        <v>FEB 21</v>
      </c>
    </row>
    <row r="2580" spans="1:21" ht="16.5" customHeight="1">
      <c r="A2580" s="159" t="s">
        <v>2747</v>
      </c>
      <c r="B2580" s="114" t="str">
        <f>VLOOKUP(A2580,'Data pick slip'!B:F,5,FALSE)</f>
        <v>KHJ-MC200-00</v>
      </c>
      <c r="F2580" s="157" t="s">
        <v>2862</v>
      </c>
      <c r="H2580" s="138">
        <v>989</v>
      </c>
      <c r="I2580" s="139" t="str">
        <f>VLOOKUP(H2580,Stock_list!A:R,18,FALSE)</f>
        <v>景硕电子</v>
      </c>
      <c r="J2580" s="139" t="str">
        <f>VLOOKUP(H2580,Stock_list!A:S,17,FALSE)</f>
        <v>C49SZX20200162CY</v>
      </c>
      <c r="K2580" s="51" t="str">
        <f>VLOOKUP(H2580,Stock_list!A:T,16,FALSE)</f>
        <v>JPY</v>
      </c>
      <c r="L2580" s="4">
        <v>44259</v>
      </c>
      <c r="M2580" s="143">
        <v>3</v>
      </c>
      <c r="P2580" s="4" t="str">
        <f>VLOOKUP(H2580,Stock_list!A:Y,25,FALSE)</f>
        <v>Yes</v>
      </c>
      <c r="T2580" s="144"/>
      <c r="U2580" s="145" t="str">
        <f>VLOOKUP(H2580,Stock_list!A:N,14,FALSE)</f>
        <v>FEB 21</v>
      </c>
    </row>
    <row r="2581" spans="1:21" ht="16.5" customHeight="1">
      <c r="A2581" s="159" t="s">
        <v>2748</v>
      </c>
      <c r="B2581" s="114" t="str">
        <f>VLOOKUP(A2581,'Data pick slip'!B:F,5,FALSE)</f>
        <v>KHJ-MC400-00</v>
      </c>
      <c r="F2581" s="157" t="s">
        <v>2862</v>
      </c>
      <c r="H2581" s="138">
        <v>989</v>
      </c>
      <c r="I2581" s="139" t="str">
        <f>VLOOKUP(H2581,Stock_list!A:R,18,FALSE)</f>
        <v>景硕电子</v>
      </c>
      <c r="J2581" s="139" t="str">
        <f>VLOOKUP(H2581,Stock_list!A:S,17,FALSE)</f>
        <v>C49SZX20200162CY</v>
      </c>
      <c r="K2581" s="51" t="str">
        <f>VLOOKUP(H2581,Stock_list!A:T,16,FALSE)</f>
        <v>JPY</v>
      </c>
      <c r="L2581" s="4">
        <v>44259</v>
      </c>
      <c r="M2581" s="143">
        <v>2</v>
      </c>
      <c r="P2581" s="4" t="str">
        <f>VLOOKUP(H2581,Stock_list!A:Y,25,FALSE)</f>
        <v>Yes</v>
      </c>
      <c r="T2581" s="144"/>
      <c r="U2581" s="145" t="str">
        <f>VLOOKUP(H2581,Stock_list!A:N,14,FALSE)</f>
        <v>FEB 21</v>
      </c>
    </row>
    <row r="2582" spans="1:21" ht="16.5" customHeight="1">
      <c r="A2582" s="159" t="s">
        <v>2744</v>
      </c>
      <c r="B2582" s="114" t="str">
        <f>VLOOKUP(A2582,'Data pick slip'!B:F,5,FALSE)</f>
        <v>KHJ-MC100-00</v>
      </c>
      <c r="F2582" s="157" t="s">
        <v>2773</v>
      </c>
      <c r="I2582" s="139" t="s">
        <v>3094</v>
      </c>
      <c r="J2582" s="139" t="s">
        <v>3389</v>
      </c>
      <c r="K2582" s="51" t="s">
        <v>1246</v>
      </c>
      <c r="L2582" s="4">
        <v>44167</v>
      </c>
      <c r="M2582" s="140">
        <v>4</v>
      </c>
      <c r="P2582" s="4" t="s">
        <v>291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2744</v>
      </c>
      <c r="B2583" s="114" t="str">
        <f>VLOOKUP(A2583,'Data pick slip'!B:F,5,FALSE)</f>
        <v>KHJ-MC100-00</v>
      </c>
      <c r="F2583" s="157" t="s">
        <v>2862</v>
      </c>
      <c r="I2583" s="139" t="s">
        <v>3016</v>
      </c>
      <c r="J2583" s="139" t="s">
        <v>2931</v>
      </c>
      <c r="K2583" s="51" t="s">
        <v>1246</v>
      </c>
      <c r="L2583" s="4">
        <v>44165</v>
      </c>
      <c r="M2583" s="140">
        <v>170</v>
      </c>
      <c r="P2583" s="4" t="s">
        <v>291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2748</v>
      </c>
      <c r="B2584" s="114" t="str">
        <f>VLOOKUP(A2584,'Data pick slip'!B:F,5,FALSE)</f>
        <v>KHJ-MC400-00</v>
      </c>
      <c r="F2584" s="157" t="s">
        <v>2862</v>
      </c>
      <c r="I2584" s="139" t="s">
        <v>3016</v>
      </c>
      <c r="J2584" s="139" t="s">
        <v>2931</v>
      </c>
      <c r="K2584" s="51" t="s">
        <v>1246</v>
      </c>
      <c r="L2584" s="4">
        <v>44165</v>
      </c>
      <c r="M2584" s="140">
        <v>30</v>
      </c>
      <c r="P2584" s="4" t="s">
        <v>291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2749</v>
      </c>
      <c r="B2585" s="114" t="str">
        <f>VLOOKUP(A2585,'Data pick slip'!B:F,5,FALSE)</f>
        <v>KHJ-MC500-00</v>
      </c>
      <c r="F2585" s="157" t="s">
        <v>2862</v>
      </c>
      <c r="I2585" s="139" t="s">
        <v>3016</v>
      </c>
      <c r="J2585" s="139" t="s">
        <v>2931</v>
      </c>
      <c r="K2585" s="51" t="s">
        <v>1246</v>
      </c>
      <c r="L2585" s="4">
        <v>44165</v>
      </c>
      <c r="M2585" s="140">
        <v>10</v>
      </c>
      <c r="P2585" s="4" t="s">
        <v>291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2751</v>
      </c>
      <c r="B2586" s="114" t="str">
        <f>VLOOKUP(A2586,'Data pick slip'!B:F,5,FALSE)</f>
        <v>KHJ-MC700-00</v>
      </c>
      <c r="F2586" s="157" t="s">
        <v>2862</v>
      </c>
      <c r="I2586" s="139" t="s">
        <v>3016</v>
      </c>
      <c r="J2586" s="139" t="s">
        <v>2931</v>
      </c>
      <c r="K2586" s="51" t="s">
        <v>1246</v>
      </c>
      <c r="L2586" s="4">
        <v>44165</v>
      </c>
      <c r="M2586" s="140">
        <v>1</v>
      </c>
      <c r="P2586" s="4" t="s">
        <v>291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2744</v>
      </c>
      <c r="B2587" s="114" t="str">
        <f>VLOOKUP(A2587,'Data pick slip'!B:F,5,FALSE)</f>
        <v>KHJ-MC100-00</v>
      </c>
      <c r="F2587" s="157" t="s">
        <v>2773</v>
      </c>
      <c r="I2587" s="139" t="s">
        <v>3094</v>
      </c>
      <c r="J2587" s="139" t="s">
        <v>3390</v>
      </c>
      <c r="K2587" s="51" t="s">
        <v>1246</v>
      </c>
      <c r="L2587" s="4">
        <v>44169</v>
      </c>
      <c r="M2587" s="140">
        <v>10</v>
      </c>
      <c r="P2587" s="4" t="s">
        <v>291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2747</v>
      </c>
      <c r="B2588" s="114" t="str">
        <f>VLOOKUP(A2588,'Data pick slip'!B:F,5,FALSE)</f>
        <v>KHJ-MC200-00</v>
      </c>
      <c r="F2588" s="157" t="s">
        <v>2773</v>
      </c>
      <c r="I2588" s="139" t="s">
        <v>3094</v>
      </c>
      <c r="J2588" s="139" t="s">
        <v>3391</v>
      </c>
      <c r="K2588" s="51" t="s">
        <v>1246</v>
      </c>
      <c r="L2588" s="4">
        <v>44169</v>
      </c>
      <c r="M2588" s="140">
        <v>10</v>
      </c>
      <c r="P2588" s="4" t="s">
        <v>291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2812</v>
      </c>
      <c r="B2589" s="114" t="str">
        <f>VLOOKUP(A2589,'Data pick slip'!B:F,5,FALSE)</f>
        <v>KHJ-MC500-00</v>
      </c>
      <c r="F2589" s="157" t="s">
        <v>2773</v>
      </c>
      <c r="I2589" s="139" t="s">
        <v>3094</v>
      </c>
      <c r="J2589" s="139" t="s">
        <v>3392</v>
      </c>
      <c r="K2589" s="51" t="s">
        <v>1246</v>
      </c>
      <c r="L2589" s="4">
        <v>44169</v>
      </c>
      <c r="M2589" s="140">
        <v>3</v>
      </c>
      <c r="P2589" s="4" t="s">
        <v>291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2750</v>
      </c>
      <c r="B2590" s="114" t="str">
        <f>VLOOKUP(A2590,'Data pick slip'!B:F,5,FALSE)</f>
        <v>KHJ-MC600-00</v>
      </c>
      <c r="F2590" s="157" t="s">
        <v>2773</v>
      </c>
      <c r="I2590" s="139" t="s">
        <v>3094</v>
      </c>
      <c r="J2590" s="139" t="s">
        <v>3392</v>
      </c>
      <c r="K2590" s="51" t="s">
        <v>1246</v>
      </c>
      <c r="L2590" s="4">
        <v>44169</v>
      </c>
      <c r="M2590" s="140">
        <v>2</v>
      </c>
      <c r="P2590" s="4" t="s">
        <v>291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2757</v>
      </c>
      <c r="B2591" s="114" t="str">
        <f>VLOOKUP(A2591,'Data pick slip'!B:F,5,FALSE)</f>
        <v>KLJ-MC400-00</v>
      </c>
      <c r="F2591" s="157" t="s">
        <v>2773</v>
      </c>
      <c r="I2591" s="139" t="s">
        <v>3100</v>
      </c>
      <c r="J2591" s="139" t="s">
        <v>3393</v>
      </c>
      <c r="K2591" s="51" t="s">
        <v>1246</v>
      </c>
      <c r="L2591" s="4">
        <v>44169</v>
      </c>
      <c r="M2591" s="140">
        <v>1</v>
      </c>
      <c r="P2591" s="4" t="s">
        <v>291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2744</v>
      </c>
      <c r="B2592" s="114" t="str">
        <f>VLOOKUP(A2592,'Data pick slip'!B:F,5,FALSE)</f>
        <v>KHJ-MC100-00</v>
      </c>
      <c r="F2592" s="157" t="s">
        <v>2753</v>
      </c>
      <c r="H2592" s="138">
        <v>990</v>
      </c>
      <c r="I2592" s="139" t="str">
        <f>VLOOKUP(H2592,Stock_list!A:R,18,FALSE)</f>
        <v>富源晟</v>
      </c>
      <c r="J2592" s="139" t="str">
        <f>VLOOKUP(H2592,Stock_list!A:S,17,FALSE)</f>
        <v>C49SZX20200080DY</v>
      </c>
      <c r="K2592" s="51" t="str">
        <f>VLOOKUP(H2592,Stock_list!A:T,16,FALSE)</f>
        <v>RMB</v>
      </c>
      <c r="L2592" s="4">
        <v>44322</v>
      </c>
      <c r="M2592" s="143">
        <v>50</v>
      </c>
      <c r="P2592" s="4" t="str">
        <f>VLOOKUP(H2592,Stock_list!A:Y,25,FALSE)</f>
        <v>Yes</v>
      </c>
      <c r="T2592" s="144"/>
      <c r="U2592" s="145" t="str">
        <f>VLOOKUP(H2592,Stock_list!A:N,14,FALSE)</f>
        <v>APR 21</v>
      </c>
    </row>
    <row r="2593" spans="1:21" ht="16.5" customHeight="1">
      <c r="A2593" s="159" t="s">
        <v>2747</v>
      </c>
      <c r="B2593" s="114" t="str">
        <f>VLOOKUP(A2593,'Data pick slip'!B:F,5,FALSE)</f>
        <v>KHJ-MC200-00</v>
      </c>
      <c r="F2593" s="157" t="s">
        <v>2753</v>
      </c>
      <c r="H2593" s="138">
        <v>990</v>
      </c>
      <c r="I2593" s="139" t="str">
        <f>VLOOKUP(H2593,Stock_list!A:R,18,FALSE)</f>
        <v>富源晟</v>
      </c>
      <c r="J2593" s="139" t="str">
        <f>VLOOKUP(H2593,Stock_list!A:S,17,FALSE)</f>
        <v>C49SZX20200080DY</v>
      </c>
      <c r="K2593" s="51" t="str">
        <f>VLOOKUP(H2593,Stock_list!A:T,16,FALSE)</f>
        <v>RMB</v>
      </c>
      <c r="L2593" s="4">
        <v>44322</v>
      </c>
      <c r="M2593" s="143">
        <v>5</v>
      </c>
      <c r="P2593" s="4" t="str">
        <f>VLOOKUP(H2593,Stock_list!A:Y,25,FALSE)</f>
        <v>Yes</v>
      </c>
      <c r="T2593" s="144"/>
      <c r="U2593" s="145" t="str">
        <f>VLOOKUP(H2593,Stock_list!A:N,14,FALSE)</f>
        <v>APR 21</v>
      </c>
    </row>
    <row r="2594" spans="1:21" ht="16.5" customHeight="1">
      <c r="A2594" s="159" t="s">
        <v>2748</v>
      </c>
      <c r="B2594" s="114" t="str">
        <f>VLOOKUP(A2594,'Data pick slip'!B:F,5,FALSE)</f>
        <v>KHJ-MC400-00</v>
      </c>
      <c r="F2594" s="157" t="s">
        <v>2753</v>
      </c>
      <c r="H2594" s="138">
        <v>990</v>
      </c>
      <c r="I2594" s="139" t="str">
        <f>VLOOKUP(H2594,Stock_list!A:R,18,FALSE)</f>
        <v>富源晟</v>
      </c>
      <c r="J2594" s="139" t="str">
        <f>VLOOKUP(H2594,Stock_list!A:S,17,FALSE)</f>
        <v>C49SZX20200080DY</v>
      </c>
      <c r="K2594" s="51" t="str">
        <f>VLOOKUP(H2594,Stock_list!A:T,16,FALSE)</f>
        <v>RMB</v>
      </c>
      <c r="L2594" s="4">
        <v>44322</v>
      </c>
      <c r="M2594" s="143">
        <v>2</v>
      </c>
      <c r="P2594" s="4" t="str">
        <f>VLOOKUP(H2594,Stock_list!A:Y,25,FALSE)</f>
        <v>Yes</v>
      </c>
      <c r="T2594" s="144"/>
      <c r="U2594" s="145" t="str">
        <f>VLOOKUP(H2594,Stock_list!A:N,14,FALSE)</f>
        <v>APR 21</v>
      </c>
    </row>
    <row r="2595" spans="1:21" ht="16.5" customHeight="1">
      <c r="A2595" s="159" t="s">
        <v>2744</v>
      </c>
      <c r="B2595" s="114" t="str">
        <f>VLOOKUP(A2595,'Data pick slip'!B:F,5,FALSE)</f>
        <v>KHJ-MC100-00</v>
      </c>
      <c r="F2595" s="157" t="s">
        <v>2862</v>
      </c>
      <c r="H2595" s="138">
        <v>992</v>
      </c>
      <c r="I2595" s="139" t="str">
        <f>VLOOKUP(H2595,Stock_list!A:R,18,FALSE)</f>
        <v>岚新</v>
      </c>
      <c r="J2595" s="139" t="str">
        <f>VLOOKUP(H2595,Stock_list!A:S,17,FALSE)</f>
        <v>C49SZX20200237SX</v>
      </c>
      <c r="K2595" s="51" t="str">
        <f>VLOOKUP(H2595,Stock_list!A:T,16,FALSE)</f>
        <v>JPY</v>
      </c>
      <c r="L2595" s="4">
        <v>44272</v>
      </c>
      <c r="M2595" s="132">
        <v>60</v>
      </c>
      <c r="P2595" s="4" t="str">
        <f>VLOOKUP(H2595,Stock_list!A:Y,25,FALSE)</f>
        <v>Yes</v>
      </c>
      <c r="Q2595" s="143"/>
      <c r="T2595" s="144"/>
      <c r="U2595" s="145" t="str">
        <f>VLOOKUP(H2595,Stock_list!A:N,14,FALSE)</f>
        <v>MAR 21</v>
      </c>
    </row>
    <row r="2596" spans="1:21" ht="16.5" customHeight="1">
      <c r="A2596" s="159" t="s">
        <v>2747</v>
      </c>
      <c r="B2596" s="114" t="str">
        <f>VLOOKUP(A2596,'Data pick slip'!B:F,5,FALSE)</f>
        <v>KHJ-MC200-00</v>
      </c>
      <c r="F2596" s="157" t="s">
        <v>2862</v>
      </c>
      <c r="H2596" s="138">
        <v>992</v>
      </c>
      <c r="I2596" s="139" t="str">
        <f>VLOOKUP(H2596,Stock_list!A:R,18,FALSE)</f>
        <v>岚新</v>
      </c>
      <c r="J2596" s="139" t="str">
        <f>VLOOKUP(H2596,Stock_list!A:S,17,FALSE)</f>
        <v>C49SZX20200237SX</v>
      </c>
      <c r="K2596" s="51" t="str">
        <f>VLOOKUP(H2596,Stock_list!A:T,16,FALSE)</f>
        <v>JPY</v>
      </c>
      <c r="L2596" s="4">
        <v>44272</v>
      </c>
      <c r="M2596" s="132">
        <v>2</v>
      </c>
      <c r="P2596" s="4" t="str">
        <f>VLOOKUP(H2596,Stock_list!A:Y,25,FALSE)</f>
        <v>Yes</v>
      </c>
      <c r="Q2596" s="143"/>
      <c r="T2596" s="144"/>
      <c r="U2596" s="145" t="str">
        <f>VLOOKUP(H2596,Stock_list!A:N,14,FALSE)</f>
        <v>MAR 21</v>
      </c>
    </row>
    <row r="2597" spans="1:21" ht="16.5" customHeight="1">
      <c r="A2597" s="159" t="s">
        <v>2744</v>
      </c>
      <c r="B2597" s="114" t="str">
        <f>VLOOKUP(A2597,'Data pick slip'!B:F,5,FALSE)</f>
        <v>KHJ-MC100-00</v>
      </c>
      <c r="F2597" s="157" t="s">
        <v>2862</v>
      </c>
      <c r="H2597" s="138">
        <v>1002</v>
      </c>
      <c r="I2597" s="139" t="str">
        <f>VLOOKUP(H2597,Stock_list!A:R,18,FALSE)</f>
        <v>瑞福联</v>
      </c>
      <c r="J2597" s="139" t="str">
        <f>VLOOKUP(H2597,Stock_list!A:S,17,FALSE)</f>
        <v>C49SZX20200233JL</v>
      </c>
      <c r="K2597" s="51" t="str">
        <f>VLOOKUP(H2597,Stock_list!A:T,16,FALSE)</f>
        <v>JPY</v>
      </c>
      <c r="L2597" s="4">
        <v>44762</v>
      </c>
      <c r="M2597" s="143">
        <v>45</v>
      </c>
      <c r="P2597" s="4" t="str">
        <f>VLOOKUP(H2597,Stock_list!A:Y,25,FALSE)</f>
        <v>Yes</v>
      </c>
      <c r="T2597" s="144"/>
      <c r="U2597" s="145" t="str">
        <f>VLOOKUP(H2597,Stock_list!A:N,14,FALSE)</f>
        <v>APR 22</v>
      </c>
    </row>
    <row r="2598" spans="1:21" ht="16.5" customHeight="1">
      <c r="A2598" s="159" t="s">
        <v>2747</v>
      </c>
      <c r="B2598" s="114" t="str">
        <f>VLOOKUP(A2598,'Data pick slip'!B:F,5,FALSE)</f>
        <v>KHJ-MC200-00</v>
      </c>
      <c r="F2598" s="157" t="s">
        <v>2862</v>
      </c>
      <c r="H2598" s="138">
        <v>1002</v>
      </c>
      <c r="I2598" s="139" t="str">
        <f>VLOOKUP(H2598,Stock_list!A:R,18,FALSE)</f>
        <v>瑞福联</v>
      </c>
      <c r="J2598" s="139" t="str">
        <f>VLOOKUP(H2598,Stock_list!A:S,17,FALSE)</f>
        <v>C49SZX20200233JL</v>
      </c>
      <c r="K2598" s="51" t="str">
        <f>VLOOKUP(H2598,Stock_list!A:T,16,FALSE)</f>
        <v>JPY</v>
      </c>
      <c r="L2598" s="4">
        <v>44762</v>
      </c>
      <c r="M2598" s="143">
        <v>5</v>
      </c>
      <c r="P2598" s="4" t="str">
        <f>VLOOKUP(H2598,Stock_list!A:Y,25,FALSE)</f>
        <v>Yes</v>
      </c>
      <c r="T2598" s="144"/>
      <c r="U2598" s="145" t="str">
        <f>VLOOKUP(H2598,Stock_list!A:N,14,FALSE)</f>
        <v>APR 22</v>
      </c>
    </row>
    <row r="2599" spans="1:21" ht="16.5" customHeight="1">
      <c r="A2599" s="159" t="s">
        <v>2812</v>
      </c>
      <c r="B2599" s="114" t="str">
        <f>VLOOKUP(A2599,'Data pick slip'!B:F,5,FALSE)</f>
        <v>KHJ-MC500-00</v>
      </c>
      <c r="F2599" s="157" t="s">
        <v>2862</v>
      </c>
      <c r="H2599" s="138">
        <v>1002</v>
      </c>
      <c r="I2599" s="139" t="str">
        <f>VLOOKUP(H2599,Stock_list!A:R,18,FALSE)</f>
        <v>瑞福联</v>
      </c>
      <c r="J2599" s="139" t="str">
        <f>VLOOKUP(H2599,Stock_list!A:S,17,FALSE)</f>
        <v>C49SZX20200233JL</v>
      </c>
      <c r="K2599" s="51" t="str">
        <f>VLOOKUP(H2599,Stock_list!A:T,16,FALSE)</f>
        <v>JPY</v>
      </c>
      <c r="L2599" s="4">
        <v>44762</v>
      </c>
      <c r="M2599" s="143">
        <v>1</v>
      </c>
      <c r="P2599" s="4" t="str">
        <f>VLOOKUP(H2599,Stock_list!A:Y,25,FALSE)</f>
        <v>Yes</v>
      </c>
      <c r="T2599" s="144"/>
      <c r="U2599" s="145" t="str">
        <f>VLOOKUP(H2599,Stock_list!A:N,14,FALSE)</f>
        <v>APR 22</v>
      </c>
    </row>
    <row r="2600" spans="1:21" ht="16.5" customHeight="1">
      <c r="A2600" s="159" t="s">
        <v>2744</v>
      </c>
      <c r="B2600" s="114" t="str">
        <f>VLOOKUP(A2600,'Data pick slip'!B:F,5,FALSE)</f>
        <v>KHJ-MC100-00</v>
      </c>
      <c r="F2600" s="157" t="s">
        <v>2862</v>
      </c>
      <c r="H2600" s="138">
        <v>1002</v>
      </c>
      <c r="I2600" s="139" t="str">
        <f>VLOOKUP(H2600,Stock_list!A:R,18,FALSE)</f>
        <v>瑞福联</v>
      </c>
      <c r="J2600" s="139" t="str">
        <f>VLOOKUP(H2600,Stock_list!A:S,17,FALSE)</f>
        <v>C49SZX20200233JL</v>
      </c>
      <c r="K2600" s="51" t="str">
        <f>VLOOKUP(H2600,Stock_list!A:T,16,FALSE)</f>
        <v>JPY</v>
      </c>
      <c r="L2600" s="4">
        <v>44662</v>
      </c>
      <c r="M2600" s="140">
        <v>45</v>
      </c>
      <c r="N2600" s="143"/>
      <c r="P2600" s="4" t="str">
        <f>VLOOKUP(H2600,Stock_list!A:Y,25,FALSE)</f>
        <v>Yes</v>
      </c>
      <c r="T2600" s="144"/>
      <c r="U2600" s="145" t="str">
        <f>VLOOKUP(H2600,Stock_list!A:N,14,FALSE)</f>
        <v>APR 22</v>
      </c>
    </row>
    <row r="2601" spans="1:21" ht="16.5" customHeight="1">
      <c r="A2601" s="159" t="s">
        <v>2747</v>
      </c>
      <c r="B2601" s="114" t="str">
        <f>VLOOKUP(A2601,'Data pick slip'!B:F,5,FALSE)</f>
        <v>KHJ-MC200-00</v>
      </c>
      <c r="F2601" s="157" t="s">
        <v>2862</v>
      </c>
      <c r="H2601" s="138">
        <v>1002</v>
      </c>
      <c r="I2601" s="139" t="str">
        <f>VLOOKUP(H2601,Stock_list!A:R,18,FALSE)</f>
        <v>瑞福联</v>
      </c>
      <c r="J2601" s="139" t="str">
        <f>VLOOKUP(H2601,Stock_list!A:S,17,FALSE)</f>
        <v>C49SZX20200233JL</v>
      </c>
      <c r="K2601" s="51" t="str">
        <f>VLOOKUP(H2601,Stock_list!A:T,16,FALSE)</f>
        <v>JPY</v>
      </c>
      <c r="L2601" s="4">
        <v>44662</v>
      </c>
      <c r="M2601" s="140">
        <v>4</v>
      </c>
      <c r="N2601" s="143"/>
      <c r="P2601" s="4" t="str">
        <f>VLOOKUP(H2601,Stock_list!A:Y,25,FALSE)</f>
        <v>Yes</v>
      </c>
      <c r="T2601" s="144"/>
      <c r="U2601" s="145" t="str">
        <f>VLOOKUP(H2601,Stock_list!A:N,14,FALSE)</f>
        <v>APR 22</v>
      </c>
    </row>
    <row r="2602" spans="1:21" ht="16.5" customHeight="1">
      <c r="A2602" s="159" t="s">
        <v>2812</v>
      </c>
      <c r="B2602" s="114" t="str">
        <f>VLOOKUP(A2602,'Data pick slip'!B:F,5,FALSE)</f>
        <v>KHJ-MC500-00</v>
      </c>
      <c r="F2602" s="157" t="s">
        <v>2862</v>
      </c>
      <c r="H2602" s="138">
        <v>1002</v>
      </c>
      <c r="I2602" s="139" t="str">
        <f>VLOOKUP(H2602,Stock_list!A:R,18,FALSE)</f>
        <v>瑞福联</v>
      </c>
      <c r="J2602" s="139" t="str">
        <f>VLOOKUP(H2602,Stock_list!A:S,17,FALSE)</f>
        <v>C49SZX20200233JL</v>
      </c>
      <c r="K2602" s="51" t="str">
        <f>VLOOKUP(H2602,Stock_list!A:T,16,FALSE)</f>
        <v>JPY</v>
      </c>
      <c r="L2602" s="4">
        <v>44662</v>
      </c>
      <c r="M2602" s="140">
        <v>1</v>
      </c>
      <c r="N2602" s="143"/>
      <c r="P2602" s="4" t="str">
        <f>VLOOKUP(H2602,Stock_list!A:Y,25,FALSE)</f>
        <v>Yes</v>
      </c>
      <c r="T2602" s="144"/>
      <c r="U2602" s="145" t="str">
        <f>VLOOKUP(H2602,Stock_list!A:N,14,FALSE)</f>
        <v>APR 22</v>
      </c>
    </row>
    <row r="2603" spans="1:21" ht="16.5" customHeight="1">
      <c r="A2603" s="159" t="s">
        <v>2755</v>
      </c>
      <c r="B2603" s="114" t="str">
        <f>VLOOKUP(A2603,'Data pick slip'!B:F,5,FALSE)</f>
        <v>KLJ-MC100-00</v>
      </c>
      <c r="F2603" s="157" t="s">
        <v>2862</v>
      </c>
      <c r="H2603" s="138">
        <v>1014</v>
      </c>
      <c r="I2603" s="139" t="str">
        <f>VLOOKUP(H2603,Stock_list!A:R,18,FALSE)</f>
        <v>博实结</v>
      </c>
      <c r="J2603" s="139" t="str">
        <f>VLOOKUP(H2603,Stock_list!A:S,17,FALSE)</f>
        <v>C49SZX20200239JL</v>
      </c>
      <c r="K2603" s="51" t="str">
        <f>VLOOKUP(H2603,Stock_list!A:T,16,FALSE)</f>
        <v>JPY</v>
      </c>
      <c r="L2603" s="4">
        <v>44263</v>
      </c>
      <c r="M2603" s="143">
        <v>300</v>
      </c>
      <c r="P2603" s="4" t="str">
        <f>VLOOKUP(H2603,Stock_list!A:Y,25,FALSE)</f>
        <v>Yes</v>
      </c>
      <c r="T2603" s="144"/>
      <c r="U2603" s="145" t="str">
        <f>VLOOKUP(H2603,Stock_list!A:N,14,FALSE)</f>
        <v>MAR 21</v>
      </c>
    </row>
    <row r="2604" spans="1:21" ht="16.5" customHeight="1">
      <c r="A2604" s="159" t="s">
        <v>2747</v>
      </c>
      <c r="B2604" s="114" t="str">
        <f>VLOOKUP(A2604,'Data pick slip'!B:F,5,FALSE)</f>
        <v>KHJ-MC200-00</v>
      </c>
      <c r="F2604" s="157" t="s">
        <v>2862</v>
      </c>
      <c r="H2604" s="138">
        <v>1014</v>
      </c>
      <c r="I2604" s="139" t="str">
        <f>VLOOKUP(H2604,Stock_list!A:R,18,FALSE)</f>
        <v>博实结</v>
      </c>
      <c r="J2604" s="139" t="str">
        <f>VLOOKUP(H2604,Stock_list!A:S,17,FALSE)</f>
        <v>C49SZX20200239JL</v>
      </c>
      <c r="K2604" s="51" t="str">
        <f>VLOOKUP(H2604,Stock_list!A:T,16,FALSE)</f>
        <v>JPY</v>
      </c>
      <c r="L2604" s="4">
        <v>44263</v>
      </c>
      <c r="M2604" s="143">
        <v>50</v>
      </c>
      <c r="P2604" s="4" t="str">
        <f>VLOOKUP(H2604,Stock_list!A:Y,25,FALSE)</f>
        <v>Yes</v>
      </c>
      <c r="T2604" s="144"/>
      <c r="U2604" s="145" t="str">
        <f>VLOOKUP(H2604,Stock_list!A:N,14,FALSE)</f>
        <v>MAR 21</v>
      </c>
    </row>
    <row r="2605" spans="1:21" ht="16.5" customHeight="1">
      <c r="A2605" s="159" t="s">
        <v>2748</v>
      </c>
      <c r="B2605" s="114" t="str">
        <f>VLOOKUP(A2605,'Data pick slip'!B:F,5,FALSE)</f>
        <v>KHJ-MC400-00</v>
      </c>
      <c r="F2605" s="157" t="s">
        <v>2862</v>
      </c>
      <c r="H2605" s="138">
        <v>1014</v>
      </c>
      <c r="I2605" s="139" t="str">
        <f>VLOOKUP(H2605,Stock_list!A:R,18,FALSE)</f>
        <v>博实结</v>
      </c>
      <c r="J2605" s="139" t="str">
        <f>VLOOKUP(H2605,Stock_list!A:S,17,FALSE)</f>
        <v>C49SZX20200239JL</v>
      </c>
      <c r="K2605" s="51" t="str">
        <f>VLOOKUP(H2605,Stock_list!A:T,16,FALSE)</f>
        <v>JPY</v>
      </c>
      <c r="L2605" s="4">
        <v>44263</v>
      </c>
      <c r="M2605" s="143">
        <v>10</v>
      </c>
      <c r="P2605" s="4" t="str">
        <f>VLOOKUP(H2605,Stock_list!A:Y,25,FALSE)</f>
        <v>Yes</v>
      </c>
      <c r="T2605" s="144"/>
      <c r="U2605" s="145" t="str">
        <f>VLOOKUP(H2605,Stock_list!A:N,14,FALSE)</f>
        <v>MAR 21</v>
      </c>
    </row>
    <row r="2606" spans="1:21" ht="16.5" customHeight="1">
      <c r="A2606" s="159" t="s">
        <v>2749</v>
      </c>
      <c r="B2606" s="114" t="str">
        <f>VLOOKUP(A2606,'Data pick slip'!B:F,5,FALSE)</f>
        <v>KHJ-MC500-00</v>
      </c>
      <c r="F2606" s="157" t="s">
        <v>2862</v>
      </c>
      <c r="H2606" s="138">
        <v>1014</v>
      </c>
      <c r="I2606" s="139" t="str">
        <f>VLOOKUP(H2606,Stock_list!A:R,18,FALSE)</f>
        <v>博实结</v>
      </c>
      <c r="J2606" s="139" t="str">
        <f>VLOOKUP(H2606,Stock_list!A:S,17,FALSE)</f>
        <v>C49SZX20200239JL</v>
      </c>
      <c r="K2606" s="51" t="str">
        <f>VLOOKUP(H2606,Stock_list!A:T,16,FALSE)</f>
        <v>JPY</v>
      </c>
      <c r="L2606" s="4">
        <v>44263</v>
      </c>
      <c r="M2606" s="143">
        <v>10</v>
      </c>
      <c r="P2606" s="4" t="str">
        <f>VLOOKUP(H2606,Stock_list!A:Y,25,FALSE)</f>
        <v>Yes</v>
      </c>
      <c r="T2606" s="144"/>
      <c r="U2606" s="145" t="str">
        <f>VLOOKUP(H2606,Stock_list!A:N,14,FALSE)</f>
        <v>MAR 21</v>
      </c>
    </row>
    <row r="2607" spans="1:21" ht="16.5" customHeight="1">
      <c r="A2607" s="159" t="s">
        <v>2750</v>
      </c>
      <c r="B2607" s="114" t="str">
        <f>VLOOKUP(A2607,'Data pick slip'!B:F,5,FALSE)</f>
        <v>KHJ-MC600-00</v>
      </c>
      <c r="F2607" s="157" t="s">
        <v>2862</v>
      </c>
      <c r="H2607" s="138">
        <v>1014</v>
      </c>
      <c r="I2607" s="139" t="str">
        <f>VLOOKUP(H2607,Stock_list!A:R,18,FALSE)</f>
        <v>博实结</v>
      </c>
      <c r="J2607" s="139" t="str">
        <f>VLOOKUP(H2607,Stock_list!A:S,17,FALSE)</f>
        <v>C49SZX20200239JL</v>
      </c>
      <c r="K2607" s="51" t="str">
        <f>VLOOKUP(H2607,Stock_list!A:T,16,FALSE)</f>
        <v>JPY</v>
      </c>
      <c r="L2607" s="4">
        <v>44263</v>
      </c>
      <c r="M2607" s="143">
        <v>5</v>
      </c>
      <c r="P2607" s="4" t="str">
        <f>VLOOKUP(H2607,Stock_list!A:Y,25,FALSE)</f>
        <v>Yes</v>
      </c>
      <c r="T2607" s="144"/>
      <c r="U2607" s="145" t="str">
        <f>VLOOKUP(H2607,Stock_list!A:N,14,FALSE)</f>
        <v>MAR 21</v>
      </c>
    </row>
    <row r="2608" spans="1:21" ht="16.5" customHeight="1">
      <c r="A2608" s="159" t="s">
        <v>2760</v>
      </c>
      <c r="B2608" s="114" t="str">
        <f>VLOOKUP(A2608,'Data pick slip'!B:F,5,FALSE)</f>
        <v>KLJ-MC700-00</v>
      </c>
      <c r="F2608" s="157" t="s">
        <v>2753</v>
      </c>
      <c r="H2608" s="138">
        <v>1014</v>
      </c>
      <c r="I2608" s="139" t="str">
        <f>VLOOKUP(H2608,Stock_list!A:R,18,FALSE)</f>
        <v>博实结</v>
      </c>
      <c r="J2608" s="139" t="str">
        <f>VLOOKUP(H2608,Stock_list!A:S,17,FALSE)</f>
        <v>C49SZX20200239JL</v>
      </c>
      <c r="K2608" s="51" t="str">
        <f>VLOOKUP(H2608,Stock_list!A:T,16,FALSE)</f>
        <v>JPY</v>
      </c>
      <c r="L2608" s="4">
        <v>44265</v>
      </c>
      <c r="M2608" s="143"/>
      <c r="O2608" s="132">
        <f>1-1</f>
        <v>0</v>
      </c>
      <c r="P2608" s="4" t="str">
        <f>VLOOKUP(H2608,Stock_list!A:Y,25,FALSE)</f>
        <v>Yes</v>
      </c>
      <c r="S2608" s="268"/>
      <c r="T2608" s="144"/>
      <c r="U2608" s="145" t="str">
        <f>VLOOKUP(H2608,Stock_list!A:N,14,FALSE)</f>
        <v>MAR 21</v>
      </c>
    </row>
    <row r="2609" spans="1:21" ht="16.5" customHeight="1">
      <c r="A2609" s="159" t="s">
        <v>2751</v>
      </c>
      <c r="B2609" s="280" t="str">
        <f>VLOOKUP(A2609,'Data pick slip'!B:F,5,FALSE)</f>
        <v>KHJ-MC700-00</v>
      </c>
      <c r="F2609" s="157" t="s">
        <v>2753</v>
      </c>
      <c r="H2609" s="138">
        <v>1014</v>
      </c>
      <c r="I2609" s="139" t="str">
        <f>VLOOKUP(H2609,Stock_list!A:R,18,FALSE)</f>
        <v>博实结</v>
      </c>
      <c r="J2609" s="139" t="str">
        <f>VLOOKUP(H2609,Stock_list!A:S,17,FALSE)</f>
        <v>C49SZX20200239JL</v>
      </c>
      <c r="K2609" s="51" t="str">
        <f>VLOOKUP(H2609,Stock_list!A:T,16,FALSE)</f>
        <v>JPY</v>
      </c>
      <c r="L2609" s="4">
        <v>44357</v>
      </c>
      <c r="M2609" s="143">
        <v>1</v>
      </c>
      <c r="P2609" s="4" t="str">
        <f>VLOOKUP(H2609,Stock_list!A:Y,25,FALSE)</f>
        <v>Yes</v>
      </c>
      <c r="S2609" s="268" t="s">
        <v>2778</v>
      </c>
      <c r="T2609" s="284" t="s">
        <v>3394</v>
      </c>
      <c r="U2609" s="145" t="str">
        <f>VLOOKUP(H2609,Stock_list!A:N,14,FALSE)</f>
        <v>MAR 21</v>
      </c>
    </row>
    <row r="2610" spans="1:21" ht="16.5" customHeight="1">
      <c r="A2610" s="159" t="s">
        <v>2752</v>
      </c>
      <c r="B2610" s="280" t="str">
        <f>VLOOKUP(A2610,'Data pick slip'!B:F,5,FALSE)</f>
        <v>KHJ-MC800-00</v>
      </c>
      <c r="F2610" s="157" t="s">
        <v>2753</v>
      </c>
      <c r="H2610" s="138">
        <v>1014</v>
      </c>
      <c r="I2610" s="139" t="str">
        <f>VLOOKUP(H2610,Stock_list!A:R,18,FALSE)</f>
        <v>博实结</v>
      </c>
      <c r="J2610" s="139" t="str">
        <f>VLOOKUP(H2610,Stock_list!A:S,17,FALSE)</f>
        <v>C49SZX20200239JL</v>
      </c>
      <c r="K2610" s="51" t="str">
        <f>VLOOKUP(H2610,Stock_list!A:T,16,FALSE)</f>
        <v>JPY</v>
      </c>
      <c r="L2610" s="4">
        <v>44357</v>
      </c>
      <c r="M2610" s="143">
        <v>1</v>
      </c>
      <c r="P2610" s="4" t="str">
        <f>VLOOKUP(H2610,Stock_list!A:Y,25,FALSE)</f>
        <v>Yes</v>
      </c>
      <c r="S2610" s="268" t="s">
        <v>2778</v>
      </c>
      <c r="T2610" s="284" t="s">
        <v>3394</v>
      </c>
      <c r="U2610" s="145" t="str">
        <f>VLOOKUP(H2610,Stock_list!A:N,14,FALSE)</f>
        <v>MAR 21</v>
      </c>
    </row>
    <row r="2611" spans="1:21" ht="16.5" customHeight="1">
      <c r="A2611" s="159" t="s">
        <v>2744</v>
      </c>
      <c r="B2611" s="114" t="str">
        <f>VLOOKUP(A2611,'Data pick slip'!B:F,5,FALSE)</f>
        <v>KHJ-MC100-00</v>
      </c>
      <c r="F2611" s="157" t="s">
        <v>2862</v>
      </c>
      <c r="H2611" s="138">
        <v>1018</v>
      </c>
      <c r="I2611" s="139" t="str">
        <f>VLOOKUP(H2611,Stock_list!A:R,18,FALSE)</f>
        <v>鑫金鸿</v>
      </c>
      <c r="J2611" s="139" t="str">
        <f>VLOOKUP(H2611,Stock_list!A:S,17,FALSE)</f>
        <v>C49SZX20200240MZ</v>
      </c>
      <c r="K2611" s="51" t="str">
        <f>VLOOKUP(H2611,Stock_list!A:T,16,FALSE)</f>
        <v>JPY</v>
      </c>
      <c r="L2611" s="4">
        <v>44294</v>
      </c>
      <c r="M2611" s="143">
        <v>40</v>
      </c>
      <c r="P2611" s="4" t="str">
        <f>VLOOKUP(H2611,Stock_list!A:Y,25,FALSE)</f>
        <v>Yes</v>
      </c>
      <c r="T2611" s="144"/>
      <c r="U2611" s="145" t="str">
        <f>VLOOKUP(H2611,Stock_list!A:N,14,FALSE)</f>
        <v>APR 21</v>
      </c>
    </row>
    <row r="2612" spans="1:21" ht="16.5" customHeight="1">
      <c r="A2612" s="159" t="s">
        <v>2744</v>
      </c>
      <c r="B2612" s="114" t="str">
        <f>VLOOKUP(A2612,'Data pick slip'!B:F,5,FALSE)</f>
        <v>KHJ-MC100-00</v>
      </c>
      <c r="F2612" s="157" t="s">
        <v>2862</v>
      </c>
      <c r="H2612" s="138">
        <v>1020</v>
      </c>
      <c r="I2612" s="139" t="str">
        <f>VLOOKUP(H2612,Stock_list!A:R,18,FALSE)</f>
        <v>新智杰光电</v>
      </c>
      <c r="J2612" s="139" t="str">
        <f>VLOOKUP(H2612,Stock_list!A:S,17,FALSE)</f>
        <v>C49SZX20200245MZ</v>
      </c>
      <c r="K2612" s="51" t="str">
        <f>VLOOKUP(H2612,Stock_list!A:T,16,FALSE)</f>
        <v>JPY</v>
      </c>
      <c r="L2612" s="4">
        <v>44263</v>
      </c>
      <c r="M2612" s="143">
        <v>30</v>
      </c>
      <c r="P2612" s="4" t="str">
        <f>VLOOKUP(H2612,Stock_list!A:Y,25,FALSE)</f>
        <v>Yes</v>
      </c>
      <c r="T2612" s="144"/>
      <c r="U2612" s="145" t="str">
        <f>VLOOKUP(H2612,Stock_list!A:N,14,FALSE)</f>
        <v>MAR 21</v>
      </c>
    </row>
    <row r="2613" spans="1:21" ht="16.5" customHeight="1">
      <c r="A2613" s="159" t="s">
        <v>2747</v>
      </c>
      <c r="B2613" s="114" t="str">
        <f>VLOOKUP(A2613,'Data pick slip'!B:F,5,FALSE)</f>
        <v>KHJ-MC200-00</v>
      </c>
      <c r="F2613" s="157" t="s">
        <v>2862</v>
      </c>
      <c r="H2613" s="138">
        <v>1020</v>
      </c>
      <c r="I2613" s="139" t="str">
        <f>VLOOKUP(H2613,Stock_list!A:R,18,FALSE)</f>
        <v>新智杰光电</v>
      </c>
      <c r="J2613" s="139" t="str">
        <f>VLOOKUP(H2613,Stock_list!A:S,17,FALSE)</f>
        <v>C49SZX20200245MZ</v>
      </c>
      <c r="K2613" s="51" t="str">
        <f>VLOOKUP(H2613,Stock_list!A:T,16,FALSE)</f>
        <v>JPY</v>
      </c>
      <c r="L2613" s="4">
        <v>44263</v>
      </c>
      <c r="M2613" s="143">
        <v>10</v>
      </c>
      <c r="P2613" s="4" t="str">
        <f>VLOOKUP(H2613,Stock_list!A:Y,25,FALSE)</f>
        <v>Yes</v>
      </c>
      <c r="T2613" s="144"/>
      <c r="U2613" s="145" t="str">
        <f>VLOOKUP(H2613,Stock_list!A:N,14,FALSE)</f>
        <v>MAR 21</v>
      </c>
    </row>
    <row r="2614" spans="1:21" ht="16.5" customHeight="1">
      <c r="A2614" s="159" t="s">
        <v>2748</v>
      </c>
      <c r="B2614" s="114" t="str">
        <f>VLOOKUP(A2614,'Data pick slip'!B:F,5,FALSE)</f>
        <v>KHJ-MC400-00</v>
      </c>
      <c r="F2614" s="157" t="s">
        <v>2862</v>
      </c>
      <c r="H2614" s="138">
        <v>1020</v>
      </c>
      <c r="I2614" s="139" t="str">
        <f>VLOOKUP(H2614,Stock_list!A:R,18,FALSE)</f>
        <v>新智杰光电</v>
      </c>
      <c r="J2614" s="139" t="str">
        <f>VLOOKUP(H2614,Stock_list!A:S,17,FALSE)</f>
        <v>C49SZX20200245MZ</v>
      </c>
      <c r="K2614" s="51" t="str">
        <f>VLOOKUP(H2614,Stock_list!A:T,16,FALSE)</f>
        <v>JPY</v>
      </c>
      <c r="L2614" s="4">
        <v>44263</v>
      </c>
      <c r="M2614" s="143">
        <v>2</v>
      </c>
      <c r="P2614" s="4" t="str">
        <f>VLOOKUP(H2614,Stock_list!A:Y,25,FALSE)</f>
        <v>Yes</v>
      </c>
      <c r="T2614" s="144"/>
      <c r="U2614" s="145" t="str">
        <f>VLOOKUP(H2614,Stock_list!A:N,14,FALSE)</f>
        <v>MAR 21</v>
      </c>
    </row>
    <row r="2615" spans="1:21" ht="16.5" customHeight="1">
      <c r="A2615" s="159" t="s">
        <v>2744</v>
      </c>
      <c r="B2615" s="114" t="str">
        <f>VLOOKUP(A2615,'Data pick slip'!B:F,5,FALSE)</f>
        <v>KHJ-MC100-00</v>
      </c>
      <c r="F2615" s="157" t="s">
        <v>2773</v>
      </c>
      <c r="I2615" s="139" t="s">
        <v>3094</v>
      </c>
      <c r="J2615" s="139" t="s">
        <v>3395</v>
      </c>
      <c r="K2615" s="51" t="s">
        <v>1246</v>
      </c>
      <c r="L2615" s="4">
        <v>44179</v>
      </c>
      <c r="M2615" s="140">
        <v>1</v>
      </c>
      <c r="P2615" s="4" t="s">
        <v>291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2755</v>
      </c>
      <c r="B2616" s="114" t="str">
        <f>VLOOKUP(A2616,'Data pick slip'!B:F,5,FALSE)</f>
        <v>KLJ-MC100-00</v>
      </c>
      <c r="F2616" s="157" t="s">
        <v>2773</v>
      </c>
      <c r="I2616" s="139" t="s">
        <v>3094</v>
      </c>
      <c r="J2616" s="139" t="s">
        <v>3395</v>
      </c>
      <c r="K2616" s="51" t="s">
        <v>1246</v>
      </c>
      <c r="L2616" s="4">
        <v>44179</v>
      </c>
      <c r="M2616" s="140">
        <v>29</v>
      </c>
      <c r="P2616" s="4" t="s">
        <v>291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2755</v>
      </c>
      <c r="B2617" s="114" t="str">
        <f>VLOOKUP(A2617,'Data pick slip'!B:F,5,FALSE)</f>
        <v>KLJ-MC100-00</v>
      </c>
      <c r="F2617" s="157" t="s">
        <v>2862</v>
      </c>
      <c r="I2617" s="139" t="s">
        <v>3016</v>
      </c>
      <c r="J2617" s="139" t="s">
        <v>3396</v>
      </c>
      <c r="K2617" s="51" t="s">
        <v>1246</v>
      </c>
      <c r="L2617" s="4">
        <v>44174</v>
      </c>
      <c r="M2617" s="140">
        <v>100</v>
      </c>
      <c r="P2617" s="4" t="s">
        <v>291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2744</v>
      </c>
      <c r="B2618" s="114" t="str">
        <f>VLOOKUP(A2618,'Data pick slip'!B:F,5,FALSE)</f>
        <v>KHJ-MC100-00</v>
      </c>
      <c r="F2618" s="157" t="s">
        <v>2862</v>
      </c>
      <c r="H2618" s="138">
        <v>1022</v>
      </c>
      <c r="I2618" s="139" t="str">
        <f>VLOOKUP(H2618,Stock_list!A:R,18,FALSE)</f>
        <v>海凌科达</v>
      </c>
      <c r="J2618" s="139" t="str">
        <f>VLOOKUP(H2618,Stock_list!A:S,17,FALSE)</f>
        <v>C49SZX20200230JY</v>
      </c>
      <c r="K2618" s="51" t="str">
        <f>VLOOKUP(H2618,Stock_list!A:T,16,FALSE)</f>
        <v>JPY</v>
      </c>
      <c r="L2618" s="4">
        <v>44267</v>
      </c>
      <c r="M2618" s="143">
        <v>72</v>
      </c>
      <c r="P2618" s="4" t="str">
        <f>VLOOKUP(H2618,Stock_list!A:Y,25,FALSE)</f>
        <v>Yes</v>
      </c>
      <c r="T2618" s="144"/>
      <c r="U2618" s="145" t="str">
        <f>VLOOKUP(H2618,Stock_list!A:N,14,FALSE)</f>
        <v>MAR 21</v>
      </c>
    </row>
    <row r="2619" spans="1:21" ht="16.5" customHeight="1">
      <c r="A2619" s="159" t="s">
        <v>2747</v>
      </c>
      <c r="B2619" s="114" t="str">
        <f>VLOOKUP(A2619,'Data pick slip'!B:F,5,FALSE)</f>
        <v>KHJ-MC200-00</v>
      </c>
      <c r="F2619" s="157" t="s">
        <v>2862</v>
      </c>
      <c r="H2619" s="138">
        <v>1022</v>
      </c>
      <c r="I2619" s="139" t="str">
        <f>VLOOKUP(H2619,Stock_list!A:R,18,FALSE)</f>
        <v>海凌科达</v>
      </c>
      <c r="J2619" s="139" t="str">
        <f>VLOOKUP(H2619,Stock_list!A:S,17,FALSE)</f>
        <v>C49SZX20200230JY</v>
      </c>
      <c r="K2619" s="51" t="str">
        <f>VLOOKUP(H2619,Stock_list!A:T,16,FALSE)</f>
        <v>JPY</v>
      </c>
      <c r="L2619" s="4">
        <v>44267</v>
      </c>
      <c r="M2619" s="143">
        <v>12</v>
      </c>
      <c r="P2619" s="4" t="str">
        <f>VLOOKUP(H2619,Stock_list!A:Y,25,FALSE)</f>
        <v>Yes</v>
      </c>
      <c r="T2619" s="144"/>
      <c r="U2619" s="145" t="str">
        <f>VLOOKUP(H2619,Stock_list!A:N,14,FALSE)</f>
        <v>MAR 21</v>
      </c>
    </row>
    <row r="2620" spans="1:21" ht="16.5" customHeight="1">
      <c r="A2620" s="159" t="s">
        <v>2768</v>
      </c>
      <c r="B2620" s="114" t="str">
        <f>VLOOKUP(A2620,'Data pick slip'!B:F,5,FALSE)</f>
        <v>KHJ-MC100-00</v>
      </c>
      <c r="F2620" s="157" t="s">
        <v>1381</v>
      </c>
      <c r="H2620" s="138">
        <v>1028</v>
      </c>
      <c r="I2620" s="139" t="str">
        <f>VLOOKUP(H2620,Stock_list!A:R,18,FALSE)</f>
        <v>朗特</v>
      </c>
      <c r="J2620" s="139" t="str">
        <f>VLOOKUP(H2620,Stock_list!A:S,17,FALSE)</f>
        <v>C49SZX20200243DZ</v>
      </c>
      <c r="K2620" s="51" t="str">
        <f>VLOOKUP(H2620,Stock_list!A:T,16,FALSE)</f>
        <v>JPY</v>
      </c>
      <c r="L2620" s="4">
        <v>44271</v>
      </c>
      <c r="M2620" s="140">
        <v>18</v>
      </c>
      <c r="P2620" s="4" t="str">
        <f>VLOOKUP(H2620,Stock_list!A:Y,25,FALSE)</f>
        <v>Yes</v>
      </c>
      <c r="Q2620" s="143"/>
      <c r="T2620" s="144"/>
      <c r="U2620" s="145" t="str">
        <f>VLOOKUP(H2620,Stock_list!A:N,14,FALSE)</f>
        <v>MAR 21</v>
      </c>
    </row>
    <row r="2621" spans="1:21" ht="16.5" customHeight="1">
      <c r="A2621" s="159" t="s">
        <v>2755</v>
      </c>
      <c r="B2621" s="114" t="str">
        <f>VLOOKUP(A2621,'Data pick slip'!B:F,5,FALSE)</f>
        <v>KLJ-MC100-00</v>
      </c>
      <c r="F2621" s="157" t="s">
        <v>2753</v>
      </c>
      <c r="H2621" s="138">
        <v>1038</v>
      </c>
      <c r="I2621" s="139" t="str">
        <f>VLOOKUP(H2621,Stock_list!A:R,18,FALSE)</f>
        <v>拓新伟业</v>
      </c>
      <c r="J2621" s="139" t="str">
        <f>VLOOKUP(H2621,Stock_list!A:S,17,FALSE)</f>
        <v>C49SZX20200220SX</v>
      </c>
      <c r="K2621" s="51" t="str">
        <f>VLOOKUP(H2621,Stock_list!A:T,16,FALSE)</f>
        <v>RMB</v>
      </c>
      <c r="L2621" s="4">
        <v>44230</v>
      </c>
      <c r="M2621" s="132">
        <v>56</v>
      </c>
      <c r="P2621" s="4" t="str">
        <f>VLOOKUP(H2621,Stock_list!A:Y,25,FALSE)</f>
        <v>Yes</v>
      </c>
      <c r="Q2621" s="143"/>
      <c r="T2621" s="144"/>
      <c r="U2621" s="145" t="str">
        <f>VLOOKUP(H2621,Stock_list!A:N,14,FALSE)</f>
        <v>JAN 21</v>
      </c>
    </row>
    <row r="2622" spans="1:21" ht="16.5" customHeight="1">
      <c r="A2622" s="159" t="s">
        <v>2756</v>
      </c>
      <c r="B2622" s="114" t="str">
        <f>VLOOKUP(A2622,'Data pick slip'!B:F,5,FALSE)</f>
        <v>KLJ-MC200-00</v>
      </c>
      <c r="F2622" s="157" t="s">
        <v>2753</v>
      </c>
      <c r="H2622" s="138">
        <v>1038</v>
      </c>
      <c r="I2622" s="139" t="str">
        <f>VLOOKUP(H2622,Stock_list!A:R,18,FALSE)</f>
        <v>拓新伟业</v>
      </c>
      <c r="J2622" s="139" t="str">
        <f>VLOOKUP(H2622,Stock_list!A:S,17,FALSE)</f>
        <v>C49SZX20200220SX</v>
      </c>
      <c r="K2622" s="51" t="str">
        <f>VLOOKUP(H2622,Stock_list!A:T,16,FALSE)</f>
        <v>RMB</v>
      </c>
      <c r="L2622" s="4">
        <v>44230</v>
      </c>
      <c r="M2622" s="132">
        <v>4</v>
      </c>
      <c r="P2622" s="4" t="str">
        <f>VLOOKUP(H2622,Stock_list!A:Y,25,FALSE)</f>
        <v>Yes</v>
      </c>
      <c r="T2622" s="144"/>
      <c r="U2622" s="145" t="str">
        <f>VLOOKUP(H2622,Stock_list!A:N,14,FALSE)</f>
        <v>JAN 21</v>
      </c>
    </row>
    <row r="2623" spans="1:21" ht="16.5" customHeight="1">
      <c r="A2623" s="159" t="s">
        <v>2744</v>
      </c>
      <c r="B2623" s="114" t="str">
        <f>VLOOKUP(A2623,'Data pick slip'!B:F,5,FALSE)</f>
        <v>KHJ-MC100-00</v>
      </c>
      <c r="F2623" s="157" t="s">
        <v>2773</v>
      </c>
      <c r="H2623" s="138">
        <v>1040</v>
      </c>
      <c r="I2623" s="139" t="str">
        <f>VLOOKUP(H2623,Stock_list!A:R,18,FALSE)</f>
        <v>悦之彩</v>
      </c>
      <c r="J2623" s="139" t="str">
        <f>VLOOKUP(H2623,Stock_list!A:S,17,FALSE)</f>
        <v>C49SZX20200248SX</v>
      </c>
      <c r="K2623" s="51" t="str">
        <f>VLOOKUP(H2623,Stock_list!A:T,16,FALSE)</f>
        <v>RMB</v>
      </c>
      <c r="L2623" s="4">
        <v>44298</v>
      </c>
      <c r="M2623" s="140">
        <v>40</v>
      </c>
      <c r="N2623" s="143"/>
      <c r="P2623" s="4" t="str">
        <f>VLOOKUP(H2623,Stock_list!A:Y,25,FALSE)</f>
        <v>Yes</v>
      </c>
      <c r="T2623" s="144"/>
      <c r="U2623" s="145" t="str">
        <f>VLOOKUP(H2623,Stock_list!A:N,14,FALSE)</f>
        <v>APR 21</v>
      </c>
    </row>
    <row r="2624" spans="1:21" ht="16.5" customHeight="1">
      <c r="A2624" s="159" t="s">
        <v>2747</v>
      </c>
      <c r="B2624" s="114" t="str">
        <f>VLOOKUP(A2624,'Data pick slip'!B:F,5,FALSE)</f>
        <v>KHJ-MC200-00</v>
      </c>
      <c r="F2624" s="157" t="s">
        <v>2773</v>
      </c>
      <c r="H2624" s="138">
        <v>1040</v>
      </c>
      <c r="I2624" s="139" t="str">
        <f>VLOOKUP(H2624,Stock_list!A:R,18,FALSE)</f>
        <v>悦之彩</v>
      </c>
      <c r="J2624" s="139" t="str">
        <f>VLOOKUP(H2624,Stock_list!A:S,17,FALSE)</f>
        <v>C49SZX20200248SX</v>
      </c>
      <c r="K2624" s="51" t="str">
        <f>VLOOKUP(H2624,Stock_list!A:T,16,FALSE)</f>
        <v>RMB</v>
      </c>
      <c r="L2624" s="4">
        <v>44298</v>
      </c>
      <c r="M2624" s="140">
        <v>12</v>
      </c>
      <c r="N2624" s="143"/>
      <c r="P2624" s="4" t="str">
        <f>VLOOKUP(H2624,Stock_list!A:Y,25,FALSE)</f>
        <v>Yes</v>
      </c>
      <c r="T2624" s="144"/>
      <c r="U2624" s="145" t="str">
        <f>VLOOKUP(H2624,Stock_list!A:N,14,FALSE)</f>
        <v>APR 21</v>
      </c>
    </row>
    <row r="2625" spans="1:21" ht="16.5" customHeight="1">
      <c r="A2625" s="159" t="s">
        <v>2750</v>
      </c>
      <c r="B2625" s="114" t="str">
        <f>VLOOKUP(A2625,'Data pick slip'!B:F,5,FALSE)</f>
        <v>KHJ-MC600-00</v>
      </c>
      <c r="F2625" s="157" t="s">
        <v>2773</v>
      </c>
      <c r="H2625" s="138">
        <v>1040</v>
      </c>
      <c r="I2625" s="139" t="str">
        <f>VLOOKUP(H2625,Stock_list!A:R,18,FALSE)</f>
        <v>悦之彩</v>
      </c>
      <c r="J2625" s="139" t="str">
        <f>VLOOKUP(H2625,Stock_list!A:S,17,FALSE)</f>
        <v>C49SZX20200248SX</v>
      </c>
      <c r="K2625" s="51" t="str">
        <f>VLOOKUP(H2625,Stock_list!A:T,16,FALSE)</f>
        <v>RMB</v>
      </c>
      <c r="L2625" s="4">
        <v>44272</v>
      </c>
      <c r="M2625" s="140">
        <v>2</v>
      </c>
      <c r="N2625" s="143"/>
      <c r="P2625" s="4" t="str">
        <f>VLOOKUP(H2625,Stock_list!A:Y,25,FALSE)</f>
        <v>Yes</v>
      </c>
      <c r="T2625" s="144"/>
      <c r="U2625" s="145" t="str">
        <f>VLOOKUP(H2625,Stock_list!A:N,14,FALSE)</f>
        <v>APR 21</v>
      </c>
    </row>
    <row r="2626" spans="1:21" ht="16.5" customHeight="1">
      <c r="A2626" s="159" t="s">
        <v>2744</v>
      </c>
      <c r="B2626" s="114" t="str">
        <f>VLOOKUP(A2626,'Data pick slip'!B:F,5,FALSE)</f>
        <v>KHJ-MC100-00</v>
      </c>
      <c r="F2626" s="157" t="s">
        <v>2862</v>
      </c>
      <c r="I2626" s="139" t="s">
        <v>3016</v>
      </c>
      <c r="J2626" s="139" t="s">
        <v>2935</v>
      </c>
      <c r="K2626" s="51" t="s">
        <v>1246</v>
      </c>
      <c r="L2626" s="4">
        <v>44189</v>
      </c>
      <c r="M2626" s="140">
        <v>86</v>
      </c>
      <c r="P2626" s="4" t="s">
        <v>291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2747</v>
      </c>
      <c r="B2627" s="114" t="str">
        <f>VLOOKUP(A2627,'Data pick slip'!B:F,5,FALSE)</f>
        <v>KHJ-MC200-00</v>
      </c>
      <c r="F2627" s="157" t="s">
        <v>2862</v>
      </c>
      <c r="I2627" s="139" t="s">
        <v>3016</v>
      </c>
      <c r="J2627" s="139" t="s">
        <v>2935</v>
      </c>
      <c r="K2627" s="51" t="s">
        <v>1246</v>
      </c>
      <c r="L2627" s="4">
        <v>44189</v>
      </c>
      <c r="M2627" s="140">
        <v>15</v>
      </c>
      <c r="P2627" s="4" t="s">
        <v>291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2749</v>
      </c>
      <c r="B2628" s="114" t="str">
        <f>VLOOKUP(A2628,'Data pick slip'!B:F,5,FALSE)</f>
        <v>KHJ-MC500-00</v>
      </c>
      <c r="F2628" s="157" t="s">
        <v>2862</v>
      </c>
      <c r="I2628" s="139" t="s">
        <v>3016</v>
      </c>
      <c r="J2628" s="139" t="s">
        <v>2935</v>
      </c>
      <c r="K2628" s="51" t="s">
        <v>1246</v>
      </c>
      <c r="L2628" s="4">
        <v>44189</v>
      </c>
      <c r="M2628" s="140">
        <v>5</v>
      </c>
      <c r="P2628" s="4" t="s">
        <v>291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2755</v>
      </c>
      <c r="B2629" s="114" t="str">
        <f>VLOOKUP(A2629,'Data pick slip'!B:F,5,FALSE)</f>
        <v>KLJ-MC100-00</v>
      </c>
      <c r="F2629" s="157" t="s">
        <v>2773</v>
      </c>
      <c r="I2629" s="139" t="s">
        <v>3094</v>
      </c>
      <c r="J2629" s="139" t="s">
        <v>3397</v>
      </c>
      <c r="K2629" s="51" t="s">
        <v>1246</v>
      </c>
      <c r="L2629" s="4">
        <v>44188</v>
      </c>
      <c r="M2629" s="140">
        <v>20</v>
      </c>
      <c r="P2629" s="4" t="s">
        <v>291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2747</v>
      </c>
      <c r="B2630" s="114" t="str">
        <f>VLOOKUP(A2630,'Data pick slip'!B:F,5,FALSE)</f>
        <v>KHJ-MC200-00</v>
      </c>
      <c r="F2630" s="157" t="s">
        <v>2773</v>
      </c>
      <c r="I2630" s="139" t="s">
        <v>3094</v>
      </c>
      <c r="J2630" s="139" t="s">
        <v>3397</v>
      </c>
      <c r="K2630" s="51" t="s">
        <v>1246</v>
      </c>
      <c r="L2630" s="4">
        <v>44188</v>
      </c>
      <c r="M2630" s="140">
        <v>3</v>
      </c>
      <c r="P2630" s="4" t="s">
        <v>291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2747</v>
      </c>
      <c r="B2631" s="114" t="str">
        <f>VLOOKUP(A2631,'Data pick slip'!B:F,5,FALSE)</f>
        <v>KHJ-MC200-00</v>
      </c>
      <c r="F2631" s="157" t="s">
        <v>2773</v>
      </c>
      <c r="I2631" s="139" t="s">
        <v>3094</v>
      </c>
      <c r="J2631" s="139" t="s">
        <v>3398</v>
      </c>
      <c r="K2631" s="51" t="s">
        <v>1246</v>
      </c>
      <c r="L2631" s="4" t="s">
        <v>3399</v>
      </c>
      <c r="M2631" s="140">
        <v>7</v>
      </c>
      <c r="P2631" s="4" t="s">
        <v>291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2758</v>
      </c>
      <c r="B2632" s="114" t="str">
        <f>VLOOKUP(A2632,'Data pick slip'!B:F,5,FALSE)</f>
        <v>KLJ-MC500-00</v>
      </c>
      <c r="F2632" s="157" t="s">
        <v>2773</v>
      </c>
      <c r="I2632" s="139" t="s">
        <v>3100</v>
      </c>
      <c r="J2632" s="139" t="s">
        <v>3400</v>
      </c>
      <c r="K2632" s="51" t="s">
        <v>1246</v>
      </c>
      <c r="L2632" s="4">
        <v>44180</v>
      </c>
      <c r="M2632" s="140">
        <v>5</v>
      </c>
      <c r="P2632" s="4" t="s">
        <v>291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2756</v>
      </c>
      <c r="B2633" s="114" t="str">
        <f>VLOOKUP(A2633,'Data pick slip'!B:F,5,FALSE)</f>
        <v>KLJ-MC200-00</v>
      </c>
      <c r="F2633" s="157" t="s">
        <v>2773</v>
      </c>
      <c r="I2633" s="139" t="s">
        <v>3100</v>
      </c>
      <c r="J2633" s="139" t="s">
        <v>3400</v>
      </c>
      <c r="K2633" s="51" t="s">
        <v>1246</v>
      </c>
      <c r="L2633" s="4">
        <v>44180</v>
      </c>
      <c r="M2633" s="140">
        <v>1</v>
      </c>
      <c r="P2633" s="4" t="s">
        <v>291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2744</v>
      </c>
      <c r="B2634" s="114" t="str">
        <f>VLOOKUP(A2634,'Data pick slip'!B:F,5,FALSE)</f>
        <v>KHJ-MC100-00</v>
      </c>
      <c r="F2634" s="157" t="s">
        <v>2773</v>
      </c>
      <c r="I2634" s="139" t="s">
        <v>3100</v>
      </c>
      <c r="J2634" s="139" t="s">
        <v>3401</v>
      </c>
      <c r="K2634" s="51" t="s">
        <v>1246</v>
      </c>
      <c r="L2634" s="4">
        <v>44189</v>
      </c>
      <c r="M2634" s="140">
        <v>10</v>
      </c>
      <c r="P2634" s="4" t="s">
        <v>291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2744</v>
      </c>
      <c r="B2635" s="114" t="str">
        <f>VLOOKUP(A2635,'Data pick slip'!B:F,5,FALSE)</f>
        <v>KHJ-MC100-00</v>
      </c>
      <c r="F2635" s="157" t="s">
        <v>2773</v>
      </c>
      <c r="I2635" s="139" t="s">
        <v>2854</v>
      </c>
      <c r="J2635" s="139" t="s">
        <v>3402</v>
      </c>
      <c r="K2635" s="51" t="s">
        <v>1246</v>
      </c>
      <c r="L2635" s="4">
        <v>44179</v>
      </c>
      <c r="M2635" s="140">
        <v>2</v>
      </c>
      <c r="P2635" s="4" t="s">
        <v>291</v>
      </c>
      <c r="Q2635" s="143"/>
      <c r="S2635" s="123" t="s">
        <v>3004</v>
      </c>
      <c r="T2635" s="144" t="s">
        <v>3403</v>
      </c>
      <c r="U2635" s="145" t="e">
        <f>VLOOKUP(H2635,Stock_list!A:N,14,FALSE)</f>
        <v>#N/A</v>
      </c>
    </row>
    <row r="2636" spans="1:21" ht="16.5" customHeight="1">
      <c r="A2636" s="159" t="s">
        <v>2744</v>
      </c>
      <c r="B2636" s="114" t="str">
        <f>VLOOKUP(A2636,'Data pick slip'!B:F,5,FALSE)</f>
        <v>KHJ-MC100-00</v>
      </c>
      <c r="F2636" s="157" t="s">
        <v>2862</v>
      </c>
      <c r="H2636" s="138">
        <v>1043</v>
      </c>
      <c r="I2636" s="139" t="str">
        <f>VLOOKUP(H2636,Stock_list!A:R,18,FALSE)</f>
        <v>昊亮迪</v>
      </c>
      <c r="J2636" s="139" t="str">
        <f>VLOOKUP(H2636,Stock_list!A:S,17,FALSE)</f>
        <v>C49SZX20200255JY</v>
      </c>
      <c r="K2636" s="51" t="str">
        <f>VLOOKUP(H2636,Stock_list!A:T,16,FALSE)</f>
        <v>JPY</v>
      </c>
      <c r="L2636" s="4">
        <v>44217</v>
      </c>
      <c r="M2636" s="143">
        <v>42</v>
      </c>
      <c r="P2636" s="4" t="str">
        <f>VLOOKUP(H2636,Stock_list!A:Y,25,FALSE)</f>
        <v>Yes</v>
      </c>
      <c r="T2636" s="144"/>
      <c r="U2636" s="145" t="str">
        <f>VLOOKUP(H2636,Stock_list!A:N,14,FALSE)</f>
        <v>JAN 21</v>
      </c>
    </row>
    <row r="2637" spans="1:21" ht="16.5" customHeight="1">
      <c r="A2637" s="159" t="s">
        <v>2748</v>
      </c>
      <c r="B2637" s="114" t="str">
        <f>VLOOKUP(A2637,'Data pick slip'!B:F,5,FALSE)</f>
        <v>KHJ-MC400-00</v>
      </c>
      <c r="F2637" s="157" t="s">
        <v>2862</v>
      </c>
      <c r="H2637" s="138">
        <v>1043</v>
      </c>
      <c r="I2637" s="139" t="str">
        <f>VLOOKUP(H2637,Stock_list!A:R,18,FALSE)</f>
        <v>昊亮迪</v>
      </c>
      <c r="J2637" s="139" t="str">
        <f>VLOOKUP(H2637,Stock_list!A:S,17,FALSE)</f>
        <v>C49SZX20200255JY</v>
      </c>
      <c r="K2637" s="51" t="str">
        <f>VLOOKUP(H2637,Stock_list!A:T,16,FALSE)</f>
        <v>JPY</v>
      </c>
      <c r="L2637" s="4">
        <v>44217</v>
      </c>
      <c r="M2637" s="143">
        <v>3</v>
      </c>
      <c r="P2637" s="4" t="str">
        <f>VLOOKUP(H2637,Stock_list!A:Y,25,FALSE)</f>
        <v>Yes</v>
      </c>
      <c r="T2637" s="144"/>
      <c r="U2637" s="145" t="str">
        <f>VLOOKUP(H2637,Stock_list!A:N,14,FALSE)</f>
        <v>JAN 21</v>
      </c>
    </row>
    <row r="2638" spans="1:21" ht="16.5" customHeight="1">
      <c r="A2638" s="159" t="s">
        <v>2749</v>
      </c>
      <c r="B2638" s="114" t="str">
        <f>VLOOKUP(A2638,'Data pick slip'!B:F,5,FALSE)</f>
        <v>KHJ-MC500-00</v>
      </c>
      <c r="F2638" s="157" t="s">
        <v>2862</v>
      </c>
      <c r="H2638" s="138">
        <v>1043</v>
      </c>
      <c r="I2638" s="139" t="str">
        <f>VLOOKUP(H2638,Stock_list!A:R,18,FALSE)</f>
        <v>昊亮迪</v>
      </c>
      <c r="J2638" s="139" t="str">
        <f>VLOOKUP(H2638,Stock_list!A:S,17,FALSE)</f>
        <v>C49SZX20200255JY</v>
      </c>
      <c r="K2638" s="51" t="str">
        <f>VLOOKUP(H2638,Stock_list!A:T,16,FALSE)</f>
        <v>JPY</v>
      </c>
      <c r="L2638" s="4">
        <v>44217</v>
      </c>
      <c r="M2638" s="143">
        <v>3</v>
      </c>
      <c r="P2638" s="4" t="str">
        <f>VLOOKUP(H2638,Stock_list!A:Y,25,FALSE)</f>
        <v>Yes</v>
      </c>
      <c r="T2638" s="144"/>
      <c r="U2638" s="145" t="str">
        <f>VLOOKUP(H2638,Stock_list!A:N,14,FALSE)</f>
        <v>JAN 21</v>
      </c>
    </row>
    <row r="2639" spans="1:21" ht="16.5" customHeight="1">
      <c r="A2639" s="159" t="s">
        <v>2758</v>
      </c>
      <c r="B2639" s="114" t="str">
        <f>VLOOKUP(A2639,'Data pick slip'!B:F,5,FALSE)</f>
        <v>KLJ-MC500-00</v>
      </c>
      <c r="F2639" s="157" t="s">
        <v>2773</v>
      </c>
      <c r="I2639" s="139" t="s">
        <v>3100</v>
      </c>
      <c r="J2639" s="139" t="s">
        <v>3404</v>
      </c>
      <c r="K2639" s="51" t="s">
        <v>1246</v>
      </c>
      <c r="L2639" s="4">
        <v>44165</v>
      </c>
      <c r="M2639" s="140">
        <v>2</v>
      </c>
      <c r="P2639" s="4" t="s">
        <v>291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2749</v>
      </c>
      <c r="B2640" s="114" t="str">
        <f>VLOOKUP(A2640,'Data pick slip'!B:F,5,FALSE)</f>
        <v>KHJ-MC500-00</v>
      </c>
      <c r="F2640" s="157" t="s">
        <v>2773</v>
      </c>
      <c r="I2640" s="139" t="s">
        <v>3100</v>
      </c>
      <c r="J2640" s="139" t="s">
        <v>3404</v>
      </c>
      <c r="K2640" s="51" t="s">
        <v>1246</v>
      </c>
      <c r="L2640" s="4">
        <v>44165</v>
      </c>
      <c r="M2640" s="140">
        <v>1</v>
      </c>
      <c r="P2640" s="4" t="s">
        <v>291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2750</v>
      </c>
      <c r="B2641" s="114" t="str">
        <f>VLOOKUP(A2641,'Data pick slip'!B:F,5,FALSE)</f>
        <v>KHJ-MC600-00</v>
      </c>
      <c r="F2641" s="157" t="s">
        <v>2773</v>
      </c>
      <c r="I2641" s="139" t="s">
        <v>3100</v>
      </c>
      <c r="J2641" s="139" t="s">
        <v>3404</v>
      </c>
      <c r="K2641" s="51" t="s">
        <v>1246</v>
      </c>
      <c r="L2641" s="4">
        <v>44165</v>
      </c>
      <c r="M2641" s="140">
        <v>1</v>
      </c>
      <c r="P2641" s="4" t="s">
        <v>291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2760</v>
      </c>
      <c r="B2642" s="114" t="str">
        <f>VLOOKUP(A2642,'Data pick slip'!B:F,5,FALSE)</f>
        <v>KLJ-MC700-00</v>
      </c>
      <c r="F2642" s="157" t="s">
        <v>2773</v>
      </c>
      <c r="I2642" s="139" t="s">
        <v>3100</v>
      </c>
      <c r="J2642" s="139" t="s">
        <v>3404</v>
      </c>
      <c r="K2642" s="51" t="s">
        <v>1246</v>
      </c>
      <c r="L2642" s="4">
        <v>44165</v>
      </c>
      <c r="M2642" s="140">
        <v>1</v>
      </c>
      <c r="P2642" s="4" t="s">
        <v>291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2744</v>
      </c>
      <c r="B2643" s="114" t="str">
        <f>VLOOKUP(A2643,'Data pick slip'!B:F,5,FALSE)</f>
        <v>KHJ-MC100-00</v>
      </c>
      <c r="F2643" s="157" t="s">
        <v>2773</v>
      </c>
      <c r="I2643" s="139" t="s">
        <v>3100</v>
      </c>
      <c r="J2643" s="139" t="s">
        <v>3405</v>
      </c>
      <c r="K2643" s="51" t="s">
        <v>1246</v>
      </c>
      <c r="L2643" s="4">
        <v>44169</v>
      </c>
      <c r="M2643" s="140">
        <v>50</v>
      </c>
      <c r="P2643" s="4" t="s">
        <v>291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2747</v>
      </c>
      <c r="B2644" s="114" t="str">
        <f>VLOOKUP(A2644,'Data pick slip'!B:F,5,FALSE)</f>
        <v>KHJ-MC200-00</v>
      </c>
      <c r="F2644" s="157" t="s">
        <v>2773</v>
      </c>
      <c r="I2644" s="139" t="s">
        <v>3100</v>
      </c>
      <c r="J2644" s="139" t="s">
        <v>3405</v>
      </c>
      <c r="K2644" s="51" t="s">
        <v>1246</v>
      </c>
      <c r="L2644" s="4">
        <v>44201</v>
      </c>
      <c r="M2644" s="140">
        <v>10</v>
      </c>
      <c r="P2644" s="4" t="s">
        <v>291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2749</v>
      </c>
      <c r="B2645" s="114" t="str">
        <f>VLOOKUP(A2645,'Data pick slip'!B:F,5,FALSE)</f>
        <v>KHJ-MC500-00</v>
      </c>
      <c r="F2645" s="157" t="s">
        <v>2773</v>
      </c>
      <c r="I2645" s="139" t="s">
        <v>3100</v>
      </c>
      <c r="J2645" s="139" t="s">
        <v>3406</v>
      </c>
      <c r="K2645" s="51" t="s">
        <v>1246</v>
      </c>
      <c r="L2645" s="4">
        <v>44179</v>
      </c>
      <c r="O2645" s="132">
        <f>5-5</f>
        <v>0</v>
      </c>
      <c r="P2645" s="4" t="s">
        <v>291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2744</v>
      </c>
      <c r="B2646" s="114" t="str">
        <f>VLOOKUP(A2646,'Data pick slip'!B:F,5,FALSE)</f>
        <v>KHJ-MC100-00</v>
      </c>
      <c r="F2646" s="157" t="s">
        <v>2862</v>
      </c>
      <c r="H2646" s="138">
        <v>1045</v>
      </c>
      <c r="I2646" s="139" t="str">
        <f>VLOOKUP(H2646,Stock_list!A:R,18,FALSE)</f>
        <v>华耘</v>
      </c>
      <c r="J2646" s="139" t="str">
        <f>VLOOKUP(H2646,Stock_list!A:S,17,FALSE)</f>
        <v>C49SZX20200246MX</v>
      </c>
      <c r="K2646" s="51" t="str">
        <f>VLOOKUP(H2646,Stock_list!A:T,16,FALSE)</f>
        <v>JPY</v>
      </c>
      <c r="L2646" s="4">
        <v>44232</v>
      </c>
      <c r="M2646" s="132">
        <v>17</v>
      </c>
      <c r="P2646" s="4" t="str">
        <f>VLOOKUP(H2646,Stock_list!A:Y,25,FALSE)</f>
        <v>Yes</v>
      </c>
      <c r="Q2646" s="143"/>
      <c r="T2646" s="144"/>
      <c r="U2646" s="145" t="str">
        <f>VLOOKUP(H2646,Stock_list!A:N,14,FALSE)</f>
        <v>JAN 21</v>
      </c>
    </row>
    <row r="2647" spans="1:21" ht="16.5" customHeight="1">
      <c r="A2647" s="159" t="s">
        <v>2747</v>
      </c>
      <c r="B2647" s="114" t="str">
        <f>VLOOKUP(A2647,'Data pick slip'!B:F,5,FALSE)</f>
        <v>KHJ-MC200-00</v>
      </c>
      <c r="F2647" s="157" t="s">
        <v>2862</v>
      </c>
      <c r="H2647" s="138">
        <v>1045</v>
      </c>
      <c r="I2647" s="139" t="str">
        <f>VLOOKUP(H2647,Stock_list!A:R,18,FALSE)</f>
        <v>华耘</v>
      </c>
      <c r="J2647" s="139" t="str">
        <f>VLOOKUP(H2647,Stock_list!A:S,17,FALSE)</f>
        <v>C49SZX20200246MX</v>
      </c>
      <c r="K2647" s="51" t="str">
        <f>VLOOKUP(H2647,Stock_list!A:T,16,FALSE)</f>
        <v>JPY</v>
      </c>
      <c r="L2647" s="4">
        <v>44232</v>
      </c>
      <c r="M2647" s="132">
        <v>3</v>
      </c>
      <c r="P2647" s="4" t="str">
        <f>VLOOKUP(H2647,Stock_list!A:Y,25,FALSE)</f>
        <v>Yes</v>
      </c>
      <c r="Q2647" s="143"/>
      <c r="T2647" s="144"/>
      <c r="U2647" s="145" t="str">
        <f>VLOOKUP(H2647,Stock_list!A:N,14,FALSE)</f>
        <v>JAN 21</v>
      </c>
    </row>
    <row r="2648" spans="1:21" ht="16.5" customHeight="1">
      <c r="A2648" s="159" t="s">
        <v>2744</v>
      </c>
      <c r="B2648" s="114" t="str">
        <f>VLOOKUP(A2648,'Data pick slip'!B:F,5,FALSE)</f>
        <v>KHJ-MC100-00</v>
      </c>
      <c r="F2648" s="157" t="s">
        <v>2862</v>
      </c>
      <c r="H2648" s="138">
        <v>1046</v>
      </c>
      <c r="I2648" s="139" t="str">
        <f>VLOOKUP(H2648,Stock_list!A:R,18,FALSE)</f>
        <v>精德鸿</v>
      </c>
      <c r="J2648" s="139" t="str">
        <f>VLOOKUP(H2648,Stock_list!A:S,17,FALSE)</f>
        <v>C49SZX20200257JY</v>
      </c>
      <c r="K2648" s="51" t="str">
        <f>VLOOKUP(H2648,Stock_list!A:T,16,FALSE)</f>
        <v>JPY</v>
      </c>
      <c r="L2648" s="4">
        <v>44288</v>
      </c>
      <c r="M2648" s="132">
        <v>120</v>
      </c>
      <c r="P2648" s="4" t="str">
        <f>VLOOKUP(H2648,Stock_list!A:Y,25,FALSE)</f>
        <v>Yes</v>
      </c>
      <c r="Q2648" s="143"/>
      <c r="T2648" s="144"/>
      <c r="U2648" s="145" t="str">
        <f>VLOOKUP(H2648,Stock_list!A:N,14,FALSE)</f>
        <v>APR 21</v>
      </c>
    </row>
    <row r="2649" spans="1:21" ht="16.5" customHeight="1">
      <c r="A2649" s="159" t="s">
        <v>2747</v>
      </c>
      <c r="B2649" s="114" t="str">
        <f>VLOOKUP(A2649,'Data pick slip'!B:F,5,FALSE)</f>
        <v>KHJ-MC200-00</v>
      </c>
      <c r="F2649" s="157" t="s">
        <v>2862</v>
      </c>
      <c r="H2649" s="138">
        <v>1046</v>
      </c>
      <c r="I2649" s="139" t="str">
        <f>VLOOKUP(H2649,Stock_list!A:R,18,FALSE)</f>
        <v>精德鸿</v>
      </c>
      <c r="J2649" s="139" t="str">
        <f>VLOOKUP(H2649,Stock_list!A:S,17,FALSE)</f>
        <v>C49SZX20200257JY</v>
      </c>
      <c r="K2649" s="51" t="str">
        <f>VLOOKUP(H2649,Stock_list!A:T,16,FALSE)</f>
        <v>JPY</v>
      </c>
      <c r="L2649" s="4">
        <v>44288</v>
      </c>
      <c r="M2649" s="132">
        <v>15</v>
      </c>
      <c r="P2649" s="4" t="str">
        <f>VLOOKUP(H2649,Stock_list!A:Y,25,FALSE)</f>
        <v>Yes</v>
      </c>
      <c r="Q2649" s="143"/>
      <c r="T2649" s="144"/>
      <c r="U2649" s="145" t="str">
        <f>VLOOKUP(H2649,Stock_list!A:N,14,FALSE)</f>
        <v>APR 21</v>
      </c>
    </row>
    <row r="2650" spans="1:21" ht="16.5" customHeight="1">
      <c r="A2650" s="159" t="s">
        <v>2748</v>
      </c>
      <c r="B2650" s="114" t="str">
        <f>VLOOKUP(A2650,'Data pick slip'!B:F,5,FALSE)</f>
        <v>KHJ-MC400-00</v>
      </c>
      <c r="F2650" s="157" t="s">
        <v>2753</v>
      </c>
      <c r="H2650" s="138">
        <v>1046</v>
      </c>
      <c r="I2650" s="139" t="str">
        <f>VLOOKUP(H2650,Stock_list!A:R,18,FALSE)</f>
        <v>精德鸿</v>
      </c>
      <c r="J2650" s="139" t="str">
        <f>VLOOKUP(H2650,Stock_list!A:S,17,FALSE)</f>
        <v>C49SZX20200257JY</v>
      </c>
      <c r="K2650" s="51" t="str">
        <f>VLOOKUP(H2650,Stock_list!A:T,16,FALSE)</f>
        <v>JPY</v>
      </c>
      <c r="L2650" s="4">
        <v>44288</v>
      </c>
      <c r="M2650" s="132">
        <v>10</v>
      </c>
      <c r="P2650" s="4" t="str">
        <f>VLOOKUP(H2650,Stock_list!A:Y,25,FALSE)</f>
        <v>Yes</v>
      </c>
      <c r="Q2650" s="143"/>
      <c r="S2650" s="268" t="s">
        <v>2778</v>
      </c>
      <c r="T2650" s="266" t="s">
        <v>3407</v>
      </c>
      <c r="U2650" s="145" t="str">
        <f>VLOOKUP(H2650,Stock_list!A:N,14,FALSE)</f>
        <v>APR 21</v>
      </c>
    </row>
    <row r="2651" spans="1:21" ht="16.5" customHeight="1">
      <c r="A2651" s="159" t="s">
        <v>2749</v>
      </c>
      <c r="B2651" s="114" t="str">
        <f>VLOOKUP(A2651,'Data pick slip'!B:F,5,FALSE)</f>
        <v>KHJ-MC500-00</v>
      </c>
      <c r="F2651" s="157" t="s">
        <v>2753</v>
      </c>
      <c r="H2651" s="138">
        <v>1046</v>
      </c>
      <c r="I2651" s="139" t="str">
        <f>VLOOKUP(H2651,Stock_list!A:R,18,FALSE)</f>
        <v>精德鸿</v>
      </c>
      <c r="J2651" s="139" t="str">
        <f>VLOOKUP(H2651,Stock_list!A:S,17,FALSE)</f>
        <v>C49SZX20200257JY</v>
      </c>
      <c r="K2651" s="51" t="str">
        <f>VLOOKUP(H2651,Stock_list!A:T,16,FALSE)</f>
        <v>JPY</v>
      </c>
      <c r="L2651" s="4">
        <v>44288</v>
      </c>
      <c r="M2651" s="132">
        <v>8</v>
      </c>
      <c r="P2651" s="4" t="str">
        <f>VLOOKUP(H2651,Stock_list!A:Y,25,FALSE)</f>
        <v>Yes</v>
      </c>
      <c r="Q2651" s="143"/>
      <c r="S2651" s="268" t="s">
        <v>2778</v>
      </c>
      <c r="T2651" s="284" t="s">
        <v>3408</v>
      </c>
      <c r="U2651" s="145" t="str">
        <f>VLOOKUP(H2651,Stock_list!A:N,14,FALSE)</f>
        <v>APR 21</v>
      </c>
    </row>
    <row r="2652" spans="1:21" ht="16.5" customHeight="1">
      <c r="A2652" s="159" t="s">
        <v>2750</v>
      </c>
      <c r="B2652" s="114" t="str">
        <f>VLOOKUP(A2652,'Data pick slip'!B:F,5,FALSE)</f>
        <v>KHJ-MC600-00</v>
      </c>
      <c r="F2652" s="157" t="s">
        <v>2862</v>
      </c>
      <c r="H2652" s="138">
        <v>1046</v>
      </c>
      <c r="I2652" s="139" t="str">
        <f>VLOOKUP(H2652,Stock_list!A:R,18,FALSE)</f>
        <v>精德鸿</v>
      </c>
      <c r="J2652" s="139" t="str">
        <f>VLOOKUP(H2652,Stock_list!A:S,17,FALSE)</f>
        <v>C49SZX20200257JY</v>
      </c>
      <c r="K2652" s="51" t="str">
        <f>VLOOKUP(H2652,Stock_list!A:T,16,FALSE)</f>
        <v>JPY</v>
      </c>
      <c r="L2652" s="4">
        <v>44288</v>
      </c>
      <c r="M2652" s="140">
        <v>2</v>
      </c>
      <c r="P2652" s="4" t="str">
        <f>VLOOKUP(H2652,Stock_list!A:Y,25,FALSE)</f>
        <v>Yes</v>
      </c>
      <c r="Q2652" s="143"/>
      <c r="T2652" s="144"/>
      <c r="U2652" s="145" t="str">
        <f>VLOOKUP(H2652,Stock_list!A:N,14,FALSE)</f>
        <v>APR 21</v>
      </c>
    </row>
    <row r="2653" spans="1:21" ht="16.5" customHeight="1">
      <c r="A2653" s="159" t="s">
        <v>2744</v>
      </c>
      <c r="B2653" s="114" t="str">
        <f>VLOOKUP(A2653,'Data pick slip'!B:F,5,FALSE)</f>
        <v>KHJ-MC100-00</v>
      </c>
      <c r="F2653" s="157" t="s">
        <v>1381</v>
      </c>
      <c r="H2653" s="138">
        <v>1056</v>
      </c>
      <c r="I2653" s="139" t="str">
        <f>VLOOKUP(H2653,Stock_list!A:R,18,FALSE)</f>
        <v>永诺精密</v>
      </c>
      <c r="J2653" s="139" t="str">
        <f>VLOOKUP(H2653,Stock_list!A:S,17,FALSE)</f>
        <v>C49SZX20200260LC</v>
      </c>
      <c r="K2653" s="51" t="str">
        <f>VLOOKUP(H2653,Stock_list!A:T,16,FALSE)</f>
        <v>JPY</v>
      </c>
      <c r="L2653" s="4">
        <v>44259</v>
      </c>
      <c r="M2653" s="143">
        <v>23</v>
      </c>
      <c r="P2653" s="4" t="str">
        <f>VLOOKUP(H2653,Stock_list!A:Y,25,FALSE)</f>
        <v>Yes</v>
      </c>
      <c r="T2653" s="144"/>
      <c r="U2653" s="145" t="str">
        <f>VLOOKUP(H2653,Stock_list!A:N,14,FALSE)</f>
        <v>FEB 21</v>
      </c>
    </row>
    <row r="2654" spans="1:21" ht="16.5" customHeight="1">
      <c r="A2654" s="159" t="s">
        <v>2747</v>
      </c>
      <c r="B2654" s="114" t="str">
        <f>VLOOKUP(A2654,'Data pick slip'!B:F,5,FALSE)</f>
        <v>KHJ-MC200-00</v>
      </c>
      <c r="F2654" s="157" t="s">
        <v>1381</v>
      </c>
      <c r="H2654" s="138">
        <v>1056</v>
      </c>
      <c r="I2654" s="139" t="str">
        <f>VLOOKUP(H2654,Stock_list!A:R,18,FALSE)</f>
        <v>永诺精密</v>
      </c>
      <c r="J2654" s="139" t="str">
        <f>VLOOKUP(H2654,Stock_list!A:S,17,FALSE)</f>
        <v>C49SZX20200260LC</v>
      </c>
      <c r="K2654" s="51" t="str">
        <f>VLOOKUP(H2654,Stock_list!A:T,16,FALSE)</f>
        <v>JPY</v>
      </c>
      <c r="L2654" s="4">
        <v>44259</v>
      </c>
      <c r="M2654" s="143">
        <v>4</v>
      </c>
      <c r="P2654" s="4" t="str">
        <f>VLOOKUP(H2654,Stock_list!A:Y,25,FALSE)</f>
        <v>Yes</v>
      </c>
      <c r="T2654" s="144"/>
      <c r="U2654" s="145" t="str">
        <f>VLOOKUP(H2654,Stock_list!A:N,14,FALSE)</f>
        <v>FEB 21</v>
      </c>
    </row>
    <row r="2655" spans="1:21" ht="16.5" customHeight="1">
      <c r="A2655" s="159" t="s">
        <v>2748</v>
      </c>
      <c r="B2655" s="114" t="str">
        <f>VLOOKUP(A2655,'Data pick slip'!B:F,5,FALSE)</f>
        <v>KHJ-MC400-00</v>
      </c>
      <c r="F2655" s="157" t="s">
        <v>1381</v>
      </c>
      <c r="H2655" s="138">
        <v>1056</v>
      </c>
      <c r="I2655" s="139" t="str">
        <f>VLOOKUP(H2655,Stock_list!A:R,18,FALSE)</f>
        <v>永诺精密</v>
      </c>
      <c r="J2655" s="139" t="str">
        <f>VLOOKUP(H2655,Stock_list!A:S,17,FALSE)</f>
        <v>C49SZX20200260LC</v>
      </c>
      <c r="K2655" s="51" t="str">
        <f>VLOOKUP(H2655,Stock_list!A:T,16,FALSE)</f>
        <v>JPY</v>
      </c>
      <c r="L2655" s="4">
        <v>44259</v>
      </c>
      <c r="M2655" s="143">
        <v>2</v>
      </c>
      <c r="P2655" s="4" t="str">
        <f>VLOOKUP(H2655,Stock_list!A:Y,25,FALSE)</f>
        <v>Yes</v>
      </c>
      <c r="T2655" s="144"/>
      <c r="U2655" s="145" t="str">
        <f>VLOOKUP(H2655,Stock_list!A:N,14,FALSE)</f>
        <v>FEB 21</v>
      </c>
    </row>
    <row r="2656" spans="1:21" ht="16.5" customHeight="1">
      <c r="A2656" s="159" t="s">
        <v>2744</v>
      </c>
      <c r="B2656" s="114" t="str">
        <f>VLOOKUP(A2656,'Data pick slip'!B:F,5,FALSE)</f>
        <v>KHJ-MC100-00</v>
      </c>
      <c r="F2656" s="157" t="s">
        <v>1381</v>
      </c>
      <c r="H2656" s="138">
        <v>1058</v>
      </c>
      <c r="I2656" s="139" t="str">
        <f>VLOOKUP(H2656,Stock_list!A:R,18,FALSE)</f>
        <v>利速达</v>
      </c>
      <c r="J2656" s="139" t="str">
        <f>VLOOKUP(H2656,Stock_list!A:S,17,FALSE)</f>
        <v>C49SZX20210002SX</v>
      </c>
      <c r="K2656" s="51" t="str">
        <f>VLOOKUP(H2656,Stock_list!A:T,16,FALSE)</f>
        <v>JPY</v>
      </c>
      <c r="L2656" s="4">
        <v>44309</v>
      </c>
      <c r="M2656" s="140">
        <v>30</v>
      </c>
      <c r="N2656" s="143"/>
      <c r="P2656" s="4" t="str">
        <f>VLOOKUP(H2656,Stock_list!A:Y,25,FALSE)</f>
        <v>Yes</v>
      </c>
      <c r="T2656" s="144"/>
      <c r="U2656" s="145" t="str">
        <f>VLOOKUP(H2656,Stock_list!A:N,14,FALSE)</f>
        <v>APR 21</v>
      </c>
    </row>
    <row r="2657" spans="1:21" ht="16.5" customHeight="1">
      <c r="A2657" s="159" t="s">
        <v>2747</v>
      </c>
      <c r="B2657" s="114" t="str">
        <f>VLOOKUP(A2657,'Data pick slip'!B:F,5,FALSE)</f>
        <v>KHJ-MC200-00</v>
      </c>
      <c r="F2657" s="157" t="s">
        <v>1381</v>
      </c>
      <c r="H2657" s="138">
        <v>1058</v>
      </c>
      <c r="I2657" s="139" t="str">
        <f>VLOOKUP(H2657,Stock_list!A:R,18,FALSE)</f>
        <v>利速达</v>
      </c>
      <c r="J2657" s="139" t="str">
        <f>VLOOKUP(H2657,Stock_list!A:S,17,FALSE)</f>
        <v>C49SZX20210002SX</v>
      </c>
      <c r="K2657" s="51" t="str">
        <f>VLOOKUP(H2657,Stock_list!A:T,16,FALSE)</f>
        <v>JPY</v>
      </c>
      <c r="L2657" s="4">
        <v>44309</v>
      </c>
      <c r="M2657" s="140">
        <v>5</v>
      </c>
      <c r="N2657" s="143"/>
      <c r="P2657" s="4" t="str">
        <f>VLOOKUP(H2657,Stock_list!A:Y,25,FALSE)</f>
        <v>Yes</v>
      </c>
      <c r="T2657" s="144"/>
      <c r="U2657" s="145" t="str">
        <f>VLOOKUP(H2657,Stock_list!A:N,14,FALSE)</f>
        <v>APR 21</v>
      </c>
    </row>
    <row r="2658" spans="1:21" ht="16.5" customHeight="1">
      <c r="A2658" s="159" t="s">
        <v>2760</v>
      </c>
      <c r="B2658" s="114" t="str">
        <f>VLOOKUP(A2658,'Data pick slip'!B:F,5,FALSE)</f>
        <v>KLJ-MC700-00</v>
      </c>
      <c r="F2658" s="157" t="s">
        <v>2773</v>
      </c>
      <c r="I2658" s="139" t="s">
        <v>3094</v>
      </c>
      <c r="J2658" s="139" t="s">
        <v>3409</v>
      </c>
      <c r="K2658" s="51" t="s">
        <v>1246</v>
      </c>
      <c r="L2658" s="4">
        <v>44201</v>
      </c>
      <c r="M2658" s="140">
        <v>1</v>
      </c>
      <c r="P2658" s="4" t="s">
        <v>291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2757</v>
      </c>
      <c r="B2659" s="114" t="str">
        <f>VLOOKUP(A2659,'Data pick slip'!B:F,5,FALSE)</f>
        <v>KLJ-MC400-00</v>
      </c>
      <c r="F2659" s="157" t="s">
        <v>2773</v>
      </c>
      <c r="I2659" s="139" t="s">
        <v>3100</v>
      </c>
      <c r="J2659" s="139" t="s">
        <v>3410</v>
      </c>
      <c r="K2659" s="51" t="s">
        <v>1246</v>
      </c>
      <c r="L2659" s="4">
        <v>44200</v>
      </c>
      <c r="M2659" s="140">
        <v>1</v>
      </c>
      <c r="P2659" s="4" t="s">
        <v>291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2756</v>
      </c>
      <c r="B2660" s="114" t="str">
        <f>VLOOKUP(A2660,'Data pick slip'!B:F,5,FALSE)</f>
        <v>KLJ-MC200-00</v>
      </c>
      <c r="F2660" s="157" t="s">
        <v>2773</v>
      </c>
      <c r="I2660" s="139" t="s">
        <v>3100</v>
      </c>
      <c r="J2660" s="139" t="s">
        <v>3410</v>
      </c>
      <c r="K2660" s="51" t="s">
        <v>1246</v>
      </c>
      <c r="L2660" s="4">
        <v>44200</v>
      </c>
      <c r="M2660" s="140">
        <v>4</v>
      </c>
      <c r="P2660" s="4" t="s">
        <v>291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2744</v>
      </c>
      <c r="B2661" s="114" t="str">
        <f>VLOOKUP(A2661,'Data pick slip'!B:F,5,FALSE)</f>
        <v>KHJ-MC100-00</v>
      </c>
      <c r="F2661" s="157" t="s">
        <v>1381</v>
      </c>
      <c r="H2661" s="138">
        <v>1057</v>
      </c>
      <c r="I2661" s="139" t="str">
        <f>VLOOKUP(H2661,Stock_list!A:R,18,FALSE)</f>
        <v>乐凡电子</v>
      </c>
      <c r="J2661" s="139" t="str">
        <f>VLOOKUP(H2661,Stock_list!A:S,17,FALSE)</f>
        <v>C49SZX20210001SS</v>
      </c>
      <c r="K2661" s="51" t="str">
        <f>VLOOKUP(H2661,Stock_list!A:T,16,FALSE)</f>
        <v>JPY</v>
      </c>
      <c r="L2661" s="4">
        <v>44294</v>
      </c>
      <c r="M2661" s="132">
        <v>6</v>
      </c>
      <c r="P2661" s="4" t="str">
        <f>VLOOKUP(H2661,Stock_list!A:Y,25,FALSE)</f>
        <v>Yes</v>
      </c>
      <c r="Q2661" s="143"/>
      <c r="T2661" s="144"/>
      <c r="U2661" s="145" t="str">
        <f>VLOOKUP(H2661,Stock_list!A:N,14,FALSE)</f>
        <v>APR 21</v>
      </c>
    </row>
    <row r="2662" spans="1:21">
      <c r="A2662" s="159" t="s">
        <v>2744</v>
      </c>
      <c r="B2662" s="114" t="str">
        <f>VLOOKUP(A2662,'Data pick slip'!B:F,5,FALSE)</f>
        <v>KHJ-MC100-00</v>
      </c>
      <c r="F2662" s="157" t="s">
        <v>2862</v>
      </c>
      <c r="H2662" s="138">
        <v>1044</v>
      </c>
      <c r="I2662" s="139" t="str">
        <f>VLOOKUP(H2662,Stock_list!A:R,18,FALSE)</f>
        <v>凌鑫</v>
      </c>
      <c r="J2662" s="139" t="str">
        <f>VLOOKUP(H2662,Stock_list!A:S,17,FALSE)</f>
        <v>C49SZX20200249SX</v>
      </c>
      <c r="K2662" s="51" t="str">
        <f>VLOOKUP(H2662,Stock_list!A:T,16,FALSE)</f>
        <v>JPY</v>
      </c>
      <c r="L2662" s="141">
        <v>44299</v>
      </c>
      <c r="M2662" s="132">
        <v>32</v>
      </c>
      <c r="P2662" s="4" t="str">
        <f>VLOOKUP(H2662,Stock_list!A:Y,25,FALSE)</f>
        <v>Yes</v>
      </c>
      <c r="U2662" s="145" t="str">
        <f>VLOOKUP(H2662,Stock_list!A:N,14,FALSE)</f>
        <v>APR 21</v>
      </c>
    </row>
    <row r="2663" spans="1:21">
      <c r="A2663" s="159" t="s">
        <v>2747</v>
      </c>
      <c r="B2663" s="114" t="str">
        <f>VLOOKUP(A2663,'Data pick slip'!B:F,5,FALSE)</f>
        <v>KHJ-MC200-00</v>
      </c>
      <c r="F2663" s="157" t="s">
        <v>2862</v>
      </c>
      <c r="H2663" s="138">
        <v>1044</v>
      </c>
      <c r="I2663" s="139" t="str">
        <f>VLOOKUP(H2663,Stock_list!A:R,18,FALSE)</f>
        <v>凌鑫</v>
      </c>
      <c r="J2663" s="139" t="str">
        <f>VLOOKUP(H2663,Stock_list!A:S,17,FALSE)</f>
        <v>C49SZX20200249SX</v>
      </c>
      <c r="K2663" s="51" t="str">
        <f>VLOOKUP(H2663,Stock_list!A:T,16,FALSE)</f>
        <v>JPY</v>
      </c>
      <c r="L2663" s="141">
        <v>44299</v>
      </c>
      <c r="M2663" s="132">
        <v>5</v>
      </c>
      <c r="P2663" s="4" t="str">
        <f>VLOOKUP(H2663,Stock_list!A:Y,25,FALSE)</f>
        <v>Yes</v>
      </c>
      <c r="U2663" s="145" t="str">
        <f>VLOOKUP(H2663,Stock_list!A:N,14,FALSE)</f>
        <v>APR 21</v>
      </c>
    </row>
    <row r="2664" spans="1:21" ht="16.5" customHeight="1">
      <c r="A2664" s="159" t="s">
        <v>2756</v>
      </c>
      <c r="B2664" s="114" t="str">
        <f>VLOOKUP(A2664,'Data pick slip'!B:F,5,FALSE)</f>
        <v>KLJ-MC200-00</v>
      </c>
      <c r="F2664" s="157" t="s">
        <v>2753</v>
      </c>
      <c r="I2664" s="139" t="s">
        <v>3100</v>
      </c>
      <c r="J2664" s="139" t="s">
        <v>3411</v>
      </c>
      <c r="K2664" s="51" t="s">
        <v>1246</v>
      </c>
      <c r="L2664" s="4">
        <v>44195</v>
      </c>
      <c r="M2664" s="140">
        <v>5</v>
      </c>
      <c r="P2664" s="4" t="s">
        <v>291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2744</v>
      </c>
      <c r="B2665" s="114" t="str">
        <f>VLOOKUP(A2665,'Data pick slip'!B:F,5,FALSE)</f>
        <v>KHJ-MC100-00</v>
      </c>
      <c r="F2665" s="157" t="s">
        <v>1381</v>
      </c>
      <c r="H2665" s="138">
        <v>1059</v>
      </c>
      <c r="I2665" s="139" t="str">
        <f>VLOOKUP(H2665,Stock_list!A:R,18,FALSE)</f>
        <v>品诚伟创</v>
      </c>
      <c r="J2665" s="139" t="str">
        <f>VLOOKUP(H2665,Stock_list!A:S,17,FALSE)</f>
        <v>C49SZX20210005SX</v>
      </c>
      <c r="K2665" s="51" t="str">
        <f>VLOOKUP(H2665,Stock_list!A:T,16,FALSE)</f>
        <v>JPY</v>
      </c>
      <c r="L2665" s="4">
        <v>44295</v>
      </c>
      <c r="M2665" s="132">
        <v>25</v>
      </c>
      <c r="P2665" s="4" t="str">
        <f>VLOOKUP(H2665,Stock_list!A:Y,25,FALSE)</f>
        <v>Yes</v>
      </c>
      <c r="Q2665" s="143"/>
      <c r="T2665" s="144"/>
      <c r="U2665" s="145" t="str">
        <f>VLOOKUP(H2665,Stock_list!A:N,14,FALSE)</f>
        <v>APR 21</v>
      </c>
    </row>
    <row r="2666" spans="1:21" ht="16.5" customHeight="1">
      <c r="A2666" s="159" t="s">
        <v>2747</v>
      </c>
      <c r="B2666" s="114" t="str">
        <f>VLOOKUP(A2666,'Data pick slip'!B:F,5,FALSE)</f>
        <v>KHJ-MC200-00</v>
      </c>
      <c r="F2666" s="157" t="s">
        <v>1381</v>
      </c>
      <c r="H2666" s="138">
        <v>1059</v>
      </c>
      <c r="I2666" s="139" t="str">
        <f>VLOOKUP(H2666,Stock_list!A:R,18,FALSE)</f>
        <v>品诚伟创</v>
      </c>
      <c r="J2666" s="139" t="str">
        <f>VLOOKUP(H2666,Stock_list!A:S,17,FALSE)</f>
        <v>C49SZX20210005SX</v>
      </c>
      <c r="K2666" s="51" t="str">
        <f>VLOOKUP(H2666,Stock_list!A:T,16,FALSE)</f>
        <v>JPY</v>
      </c>
      <c r="L2666" s="4">
        <v>44295</v>
      </c>
      <c r="M2666" s="132">
        <v>8</v>
      </c>
      <c r="P2666" s="4" t="str">
        <f>VLOOKUP(H2666,Stock_list!A:Y,25,FALSE)</f>
        <v>Yes</v>
      </c>
      <c r="Q2666" s="143"/>
      <c r="T2666" s="144"/>
      <c r="U2666" s="145" t="str">
        <f>VLOOKUP(H2666,Stock_list!A:N,14,FALSE)</f>
        <v>APR 21</v>
      </c>
    </row>
    <row r="2667" spans="1:21" ht="16.5" customHeight="1">
      <c r="A2667" s="159" t="s">
        <v>2748</v>
      </c>
      <c r="B2667" s="114" t="str">
        <f>VLOOKUP(A2667,'Data pick slip'!B:F,5,FALSE)</f>
        <v>KHJ-MC400-00</v>
      </c>
      <c r="F2667" s="157" t="s">
        <v>2753</v>
      </c>
      <c r="H2667" s="138">
        <v>1059</v>
      </c>
      <c r="I2667" s="139" t="str">
        <f>VLOOKUP(H2667,Stock_list!A:R,18,FALSE)</f>
        <v>品诚伟创</v>
      </c>
      <c r="J2667" s="139" t="str">
        <f>VLOOKUP(H2667,Stock_list!A:S,17,FALSE)</f>
        <v>C49SZX20210005SX</v>
      </c>
      <c r="K2667" s="51" t="str">
        <f>VLOOKUP(H2667,Stock_list!A:T,16,FALSE)</f>
        <v>JPY</v>
      </c>
      <c r="L2667" s="4">
        <v>44295</v>
      </c>
      <c r="M2667" s="132">
        <v>2</v>
      </c>
      <c r="P2667" s="4" t="str">
        <f>VLOOKUP(H2667,Stock_list!A:Y,25,FALSE)</f>
        <v>Yes</v>
      </c>
      <c r="Q2667" s="143"/>
      <c r="S2667" s="123" t="s">
        <v>3004</v>
      </c>
      <c r="T2667" s="284" t="s">
        <v>3412</v>
      </c>
      <c r="U2667" s="145" t="str">
        <f>VLOOKUP(H2667,Stock_list!A:N,14,FALSE)</f>
        <v>APR 21</v>
      </c>
    </row>
    <row r="2668" spans="1:21" ht="16.5" customHeight="1">
      <c r="A2668" s="159" t="s">
        <v>2744</v>
      </c>
      <c r="B2668" s="114" t="str">
        <f>VLOOKUP(A2668,'Data pick slip'!B:F,5,FALSE)</f>
        <v>KHJ-MC100-00</v>
      </c>
      <c r="F2668" s="157" t="s">
        <v>2753</v>
      </c>
      <c r="H2668" s="138">
        <v>1061</v>
      </c>
      <c r="I2668" s="139" t="str">
        <f>VLOOKUP(H2668,Stock_list!A:R,18,FALSE)</f>
        <v>赛维显示</v>
      </c>
      <c r="J2668" s="139" t="str">
        <f>VLOOKUP(H2668,Stock_list!A:S,17,FALSE)</f>
        <v>C49SZX20210007DZ</v>
      </c>
      <c r="K2668" s="51" t="str">
        <f>VLOOKUP(H2668,Stock_list!A:T,16,FALSE)</f>
        <v>RMB</v>
      </c>
      <c r="L2668" s="4">
        <v>44313</v>
      </c>
      <c r="M2668" s="132">
        <v>90</v>
      </c>
      <c r="P2668" s="4" t="str">
        <f>VLOOKUP(H2668,Stock_list!A:Y,25,FALSE)</f>
        <v>Yes</v>
      </c>
      <c r="T2668" s="144"/>
      <c r="U2668" s="145" t="str">
        <f>VLOOKUP(H2668,Stock_list!A:N,14,FALSE)</f>
        <v>APR 21</v>
      </c>
    </row>
    <row r="2669" spans="1:21" ht="16.5" customHeight="1">
      <c r="A2669" s="159" t="s">
        <v>2747</v>
      </c>
      <c r="B2669" s="114" t="str">
        <f>VLOOKUP(A2669,'Data pick slip'!B:F,5,FALSE)</f>
        <v>KHJ-MC200-00</v>
      </c>
      <c r="F2669" s="157" t="s">
        <v>2753</v>
      </c>
      <c r="H2669" s="138">
        <v>1061</v>
      </c>
      <c r="I2669" s="139" t="str">
        <f>VLOOKUP(H2669,Stock_list!A:R,18,FALSE)</f>
        <v>赛维显示</v>
      </c>
      <c r="J2669" s="139" t="str">
        <f>VLOOKUP(H2669,Stock_list!A:S,17,FALSE)</f>
        <v>C49SZX20210007DZ</v>
      </c>
      <c r="K2669" s="51" t="str">
        <f>VLOOKUP(H2669,Stock_list!A:T,16,FALSE)</f>
        <v>RMB</v>
      </c>
      <c r="L2669" s="4">
        <v>44313</v>
      </c>
      <c r="M2669" s="132">
        <v>30</v>
      </c>
      <c r="P2669" s="4" t="str">
        <f>VLOOKUP(H2669,Stock_list!A:Y,25,FALSE)</f>
        <v>Yes</v>
      </c>
      <c r="T2669" s="144"/>
      <c r="U2669" s="145" t="str">
        <f>VLOOKUP(H2669,Stock_list!A:N,14,FALSE)</f>
        <v>APR 21</v>
      </c>
    </row>
    <row r="2670" spans="1:21" ht="16.5" customHeight="1">
      <c r="A2670" s="159" t="s">
        <v>2744</v>
      </c>
      <c r="B2670" s="114" t="str">
        <f>VLOOKUP(A2670,'Data pick slip'!B:F,5,FALSE)</f>
        <v>KHJ-MC100-00</v>
      </c>
      <c r="F2670" s="157" t="s">
        <v>1381</v>
      </c>
      <c r="H2670" s="138">
        <v>1067</v>
      </c>
      <c r="I2670" s="139" t="str">
        <f>VLOOKUP(H2670,Stock_list!A:R,18,FALSE)</f>
        <v>泰润</v>
      </c>
      <c r="J2670" s="139" t="str">
        <f>VLOOKUP(H2670,Stock_list!A:S,17,FALSE)</f>
        <v>C49SZX20210013SS</v>
      </c>
      <c r="K2670" s="51" t="str">
        <f>VLOOKUP(H2670,Stock_list!A:T,16,FALSE)</f>
        <v>JPY</v>
      </c>
      <c r="L2670" s="4">
        <v>44336</v>
      </c>
      <c r="M2670" s="132">
        <v>45</v>
      </c>
      <c r="P2670" s="4" t="str">
        <f>VLOOKUP(H2670,Stock_list!A:Y,25,FALSE)</f>
        <v>Yes</v>
      </c>
      <c r="T2670" s="144"/>
      <c r="U2670" s="145" t="str">
        <f>VLOOKUP(H2670,Stock_list!A:N,14,FALSE)</f>
        <v>MAY 21</v>
      </c>
    </row>
    <row r="2671" spans="1:21" ht="16.5" customHeight="1">
      <c r="A2671" s="159" t="s">
        <v>2747</v>
      </c>
      <c r="B2671" s="114" t="str">
        <f>VLOOKUP(A2671,'Data pick slip'!B:F,5,FALSE)</f>
        <v>KHJ-MC200-00</v>
      </c>
      <c r="F2671" s="157" t="s">
        <v>1381</v>
      </c>
      <c r="H2671" s="138">
        <v>1067</v>
      </c>
      <c r="I2671" s="139" t="str">
        <f>VLOOKUP(H2671,Stock_list!A:R,18,FALSE)</f>
        <v>泰润</v>
      </c>
      <c r="J2671" s="139" t="str">
        <f>VLOOKUP(H2671,Stock_list!A:S,17,FALSE)</f>
        <v>C49SZX20210013SS</v>
      </c>
      <c r="K2671" s="51" t="str">
        <f>VLOOKUP(H2671,Stock_list!A:T,16,FALSE)</f>
        <v>JPY</v>
      </c>
      <c r="L2671" s="4">
        <v>44336</v>
      </c>
      <c r="M2671" s="132">
        <v>10</v>
      </c>
      <c r="P2671" s="4" t="str">
        <f>VLOOKUP(H2671,Stock_list!A:Y,25,FALSE)</f>
        <v>Yes</v>
      </c>
      <c r="T2671" s="144"/>
      <c r="U2671" s="145" t="str">
        <f>VLOOKUP(H2671,Stock_list!A:N,14,FALSE)</f>
        <v>MAY 21</v>
      </c>
    </row>
    <row r="2672" spans="1:21" ht="16.5" customHeight="1">
      <c r="A2672" s="159" t="s">
        <v>2748</v>
      </c>
      <c r="B2672" s="114" t="str">
        <f>VLOOKUP(A2672,'Data pick slip'!B:F,5,FALSE)</f>
        <v>KHJ-MC400-00</v>
      </c>
      <c r="F2672" s="157" t="s">
        <v>1381</v>
      </c>
      <c r="H2672" s="138">
        <v>1067</v>
      </c>
      <c r="I2672" s="139" t="str">
        <f>VLOOKUP(H2672,Stock_list!A:R,18,FALSE)</f>
        <v>泰润</v>
      </c>
      <c r="J2672" s="139" t="str">
        <f>VLOOKUP(H2672,Stock_list!A:S,17,FALSE)</f>
        <v>C49SZX20210013SS</v>
      </c>
      <c r="K2672" s="51" t="str">
        <f>VLOOKUP(H2672,Stock_list!A:T,16,FALSE)</f>
        <v>JPY</v>
      </c>
      <c r="L2672" s="4">
        <v>44336</v>
      </c>
      <c r="M2672" s="132">
        <v>2</v>
      </c>
      <c r="P2672" s="4" t="str">
        <f>VLOOKUP(H2672,Stock_list!A:Y,25,FALSE)</f>
        <v>Yes</v>
      </c>
      <c r="T2672" s="144"/>
      <c r="U2672" s="145" t="str">
        <f>VLOOKUP(H2672,Stock_list!A:N,14,FALSE)</f>
        <v>MAY 21</v>
      </c>
    </row>
    <row r="2673" spans="1:21" ht="16.5" customHeight="1">
      <c r="A2673" s="159" t="s">
        <v>2744</v>
      </c>
      <c r="B2673" s="114" t="str">
        <f>VLOOKUP(A2673,'Data pick slip'!B:F,5,FALSE)</f>
        <v>KHJ-MC100-00</v>
      </c>
      <c r="F2673" s="157" t="s">
        <v>1381</v>
      </c>
      <c r="H2673" s="138">
        <v>1071</v>
      </c>
      <c r="I2673" s="139" t="str">
        <f>VLOOKUP(H2673,Stock_list!A:R,18,FALSE)</f>
        <v>奥视通</v>
      </c>
      <c r="J2673" s="139" t="str">
        <f>VLOOKUP(H2673,Stock_list!A:S,17,FALSE)</f>
        <v>C49SZX20210009MZ</v>
      </c>
      <c r="K2673" s="51" t="str">
        <f>VLOOKUP(H2673,Stock_list!A:T,16,FALSE)</f>
        <v>JPY</v>
      </c>
      <c r="L2673" s="4">
        <v>44334</v>
      </c>
      <c r="M2673" s="132">
        <v>120</v>
      </c>
      <c r="P2673" s="4" t="str">
        <f>VLOOKUP(H2673,Stock_list!A:Y,25,FALSE)</f>
        <v>Yes</v>
      </c>
      <c r="T2673" s="144"/>
      <c r="U2673" s="145" t="str">
        <f>VLOOKUP(H2673,Stock_list!A:N,14,FALSE)</f>
        <v>MAY 21</v>
      </c>
    </row>
    <row r="2674" spans="1:21" ht="16.5" customHeight="1">
      <c r="A2674" s="159" t="s">
        <v>2747</v>
      </c>
      <c r="B2674" s="114" t="str">
        <f>VLOOKUP(A2674,'Data pick slip'!B:F,5,FALSE)</f>
        <v>KHJ-MC200-00</v>
      </c>
      <c r="F2674" s="157" t="s">
        <v>1381</v>
      </c>
      <c r="H2674" s="138">
        <v>1071</v>
      </c>
      <c r="I2674" s="139" t="str">
        <f>VLOOKUP(H2674,Stock_list!A:R,18,FALSE)</f>
        <v>奥视通</v>
      </c>
      <c r="J2674" s="139" t="str">
        <f>VLOOKUP(H2674,Stock_list!A:S,17,FALSE)</f>
        <v>C49SZX20210009MZ</v>
      </c>
      <c r="K2674" s="51" t="str">
        <f>VLOOKUP(H2674,Stock_list!A:T,16,FALSE)</f>
        <v>JPY</v>
      </c>
      <c r="L2674" s="4">
        <v>44334</v>
      </c>
      <c r="M2674" s="132">
        <v>25</v>
      </c>
      <c r="P2674" s="4" t="str">
        <f>VLOOKUP(H2674,Stock_list!A:Y,25,FALSE)</f>
        <v>Yes</v>
      </c>
      <c r="T2674" s="144"/>
      <c r="U2674" s="145" t="str">
        <f>VLOOKUP(H2674,Stock_list!A:N,14,FALSE)</f>
        <v>MAY 21</v>
      </c>
    </row>
    <row r="2675" spans="1:21" ht="16.5" customHeight="1">
      <c r="A2675" s="159" t="s">
        <v>2748</v>
      </c>
      <c r="B2675" s="114" t="str">
        <f>VLOOKUP(A2675,'Data pick slip'!B:F,5,FALSE)</f>
        <v>KHJ-MC400-00</v>
      </c>
      <c r="F2675" s="157" t="s">
        <v>1381</v>
      </c>
      <c r="H2675" s="138">
        <v>1071</v>
      </c>
      <c r="I2675" s="139" t="str">
        <f>VLOOKUP(H2675,Stock_list!A:R,18,FALSE)</f>
        <v>奥视通</v>
      </c>
      <c r="J2675" s="139" t="str">
        <f>VLOOKUP(H2675,Stock_list!A:S,17,FALSE)</f>
        <v>C49SZX20210009MZ</v>
      </c>
      <c r="K2675" s="51" t="str">
        <f>VLOOKUP(H2675,Stock_list!A:T,16,FALSE)</f>
        <v>JPY</v>
      </c>
      <c r="L2675" s="4">
        <v>44334</v>
      </c>
      <c r="M2675" s="132">
        <v>6</v>
      </c>
      <c r="P2675" s="4" t="str">
        <f>VLOOKUP(H2675,Stock_list!A:Y,25,FALSE)</f>
        <v>Yes</v>
      </c>
      <c r="T2675" s="144"/>
      <c r="U2675" s="145" t="str">
        <f>VLOOKUP(H2675,Stock_list!A:N,14,FALSE)</f>
        <v>MAY 21</v>
      </c>
    </row>
    <row r="2676" spans="1:21" ht="16.5" customHeight="1">
      <c r="A2676" s="159" t="s">
        <v>2749</v>
      </c>
      <c r="B2676" s="114" t="str">
        <f>VLOOKUP(A2676,'Data pick slip'!B:F,5,FALSE)</f>
        <v>KHJ-MC500-00</v>
      </c>
      <c r="F2676" s="157" t="s">
        <v>1381</v>
      </c>
      <c r="H2676" s="138">
        <v>1071</v>
      </c>
      <c r="I2676" s="139" t="str">
        <f>VLOOKUP(H2676,Stock_list!A:R,18,FALSE)</f>
        <v>奥视通</v>
      </c>
      <c r="J2676" s="139" t="str">
        <f>VLOOKUP(H2676,Stock_list!A:S,17,FALSE)</f>
        <v>C49SZX20210009MZ</v>
      </c>
      <c r="K2676" s="51" t="str">
        <f>VLOOKUP(H2676,Stock_list!A:T,16,FALSE)</f>
        <v>JPY</v>
      </c>
      <c r="L2676" s="4">
        <v>44334</v>
      </c>
      <c r="M2676" s="132">
        <v>3</v>
      </c>
      <c r="P2676" s="4" t="str">
        <f>VLOOKUP(H2676,Stock_list!A:Y,25,FALSE)</f>
        <v>Yes</v>
      </c>
      <c r="T2676" s="144"/>
      <c r="U2676" s="145" t="str">
        <f>VLOOKUP(H2676,Stock_list!A:N,14,FALSE)</f>
        <v>MAY 21</v>
      </c>
    </row>
    <row r="2677" spans="1:21" ht="16.5" customHeight="1">
      <c r="A2677" s="159" t="s">
        <v>2750</v>
      </c>
      <c r="B2677" s="114" t="str">
        <f>VLOOKUP(A2677,'Data pick slip'!B:F,5,FALSE)</f>
        <v>KHJ-MC600-00</v>
      </c>
      <c r="F2677" s="157" t="s">
        <v>1381</v>
      </c>
      <c r="H2677" s="138">
        <v>1071</v>
      </c>
      <c r="I2677" s="139" t="str">
        <f>VLOOKUP(H2677,Stock_list!A:R,18,FALSE)</f>
        <v>奥视通</v>
      </c>
      <c r="J2677" s="139" t="str">
        <f>VLOOKUP(H2677,Stock_list!A:S,17,FALSE)</f>
        <v>C49SZX20210009MZ</v>
      </c>
      <c r="K2677" s="51" t="str">
        <f>VLOOKUP(H2677,Stock_list!A:T,16,FALSE)</f>
        <v>JPY</v>
      </c>
      <c r="L2677" s="4">
        <v>44334</v>
      </c>
      <c r="M2677" s="132">
        <v>3</v>
      </c>
      <c r="P2677" s="4" t="str">
        <f>VLOOKUP(H2677,Stock_list!A:Y,25,FALSE)</f>
        <v>Yes</v>
      </c>
      <c r="T2677" s="144"/>
      <c r="U2677" s="145" t="str">
        <f>VLOOKUP(H2677,Stock_list!A:N,14,FALSE)</f>
        <v>MAY 21</v>
      </c>
    </row>
    <row r="2678" spans="1:21" ht="16.5" customHeight="1">
      <c r="A2678" s="159" t="s">
        <v>2744</v>
      </c>
      <c r="B2678" s="114" t="str">
        <f>VLOOKUP(A2678,'Data pick slip'!B:F,5,FALSE)</f>
        <v>KHJ-MC100-00</v>
      </c>
      <c r="F2678" s="157" t="s">
        <v>1381</v>
      </c>
      <c r="H2678" s="138">
        <v>1078</v>
      </c>
      <c r="I2678" s="139" t="str">
        <f>VLOOKUP(H2678,Stock_list!A:R,18,FALSE)</f>
        <v>巨鑫电子</v>
      </c>
      <c r="J2678" s="139" t="str">
        <f>VLOOKUP(H2678,Stock_list!A:S,17,FALSE)</f>
        <v>C49SZX20210025DZ</v>
      </c>
      <c r="K2678" s="51" t="str">
        <f>VLOOKUP(H2678,Stock_list!A:T,16,FALSE)</f>
        <v>JPY</v>
      </c>
      <c r="L2678" s="4">
        <v>44250</v>
      </c>
      <c r="M2678" s="132">
        <v>30</v>
      </c>
      <c r="P2678" s="4" t="str">
        <f>VLOOKUP(H2678,Stock_list!A:Y,25,FALSE)</f>
        <v>Yes</v>
      </c>
      <c r="T2678" s="144"/>
      <c r="U2678" s="145" t="str">
        <f>VLOOKUP(H2678,Stock_list!A:N,14,FALSE)</f>
        <v>FEB 21</v>
      </c>
    </row>
    <row r="2679" spans="1:21" ht="16.5" customHeight="1">
      <c r="A2679" s="159" t="s">
        <v>2747</v>
      </c>
      <c r="B2679" s="114" t="str">
        <f>VLOOKUP(A2679,'Data pick slip'!B:F,5,FALSE)</f>
        <v>KHJ-MC200-00</v>
      </c>
      <c r="F2679" s="157" t="s">
        <v>1381</v>
      </c>
      <c r="H2679" s="138">
        <v>1078</v>
      </c>
      <c r="I2679" s="139" t="str">
        <f>VLOOKUP(H2679,Stock_list!A:R,18,FALSE)</f>
        <v>巨鑫电子</v>
      </c>
      <c r="J2679" s="139" t="str">
        <f>VLOOKUP(H2679,Stock_list!A:S,17,FALSE)</f>
        <v>C49SZX20210025DZ</v>
      </c>
      <c r="K2679" s="51" t="str">
        <f>VLOOKUP(H2679,Stock_list!A:T,16,FALSE)</f>
        <v>JPY</v>
      </c>
      <c r="L2679" s="4">
        <v>44250</v>
      </c>
      <c r="M2679" s="132">
        <v>4</v>
      </c>
      <c r="P2679" s="4" t="str">
        <f>VLOOKUP(H2679,Stock_list!A:Y,25,FALSE)</f>
        <v>Yes</v>
      </c>
      <c r="T2679" s="144"/>
      <c r="U2679" s="145" t="str">
        <f>VLOOKUP(H2679,Stock_list!A:N,14,FALSE)</f>
        <v>FEB 21</v>
      </c>
    </row>
    <row r="2680" spans="1:21" ht="16.5" customHeight="1">
      <c r="A2680" s="159" t="s">
        <v>2748</v>
      </c>
      <c r="B2680" s="114" t="str">
        <f>VLOOKUP(A2680,'Data pick slip'!B:F,5,FALSE)</f>
        <v>KHJ-MC400-00</v>
      </c>
      <c r="F2680" s="157" t="s">
        <v>1381</v>
      </c>
      <c r="H2680" s="138">
        <v>1078</v>
      </c>
      <c r="I2680" s="139" t="str">
        <f>VLOOKUP(H2680,Stock_list!A:R,18,FALSE)</f>
        <v>巨鑫电子</v>
      </c>
      <c r="J2680" s="139" t="str">
        <f>VLOOKUP(H2680,Stock_list!A:S,17,FALSE)</f>
        <v>C49SZX20210025DZ</v>
      </c>
      <c r="K2680" s="51" t="str">
        <f>VLOOKUP(H2680,Stock_list!A:T,16,FALSE)</f>
        <v>JPY</v>
      </c>
      <c r="L2680" s="4">
        <v>44250</v>
      </c>
      <c r="M2680" s="132">
        <v>1</v>
      </c>
      <c r="P2680" s="4" t="str">
        <f>VLOOKUP(H2680,Stock_list!A:Y,25,FALSE)</f>
        <v>Yes</v>
      </c>
      <c r="T2680" s="144"/>
      <c r="U2680" s="145" t="str">
        <f>VLOOKUP(H2680,Stock_list!A:N,14,FALSE)</f>
        <v>FEB 21</v>
      </c>
    </row>
    <row r="2681" spans="1:21" ht="16.5" customHeight="1">
      <c r="A2681" s="159" t="s">
        <v>2757</v>
      </c>
      <c r="B2681" s="114" t="str">
        <f>VLOOKUP(A2681,'Data pick slip'!B:F,5,FALSE)</f>
        <v>KLJ-MC400-00</v>
      </c>
      <c r="F2681" s="157" t="s">
        <v>2753</v>
      </c>
      <c r="I2681" s="139" t="s">
        <v>3100</v>
      </c>
      <c r="J2681" s="267" t="s">
        <v>3413</v>
      </c>
      <c r="K2681" s="51" t="s">
        <v>1246</v>
      </c>
      <c r="L2681" s="4">
        <v>44222</v>
      </c>
      <c r="M2681" s="140">
        <v>3</v>
      </c>
      <c r="P2681" s="4" t="s">
        <v>291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2744</v>
      </c>
      <c r="B2682" s="114" t="str">
        <f>VLOOKUP(A2682,'Data pick slip'!B:F,5,FALSE)</f>
        <v>KHJ-MC100-00</v>
      </c>
      <c r="F2682" s="157" t="s">
        <v>1381</v>
      </c>
      <c r="H2682" s="138">
        <v>1088</v>
      </c>
      <c r="I2682" s="139" t="str">
        <f>VLOOKUP(H2682,Stock_list!A:R,18,FALSE)</f>
        <v>锂动力</v>
      </c>
      <c r="J2682" s="139" t="str">
        <f>VLOOKUP(H2682,Stock_list!A:S,17,FALSE)</f>
        <v>C49SZX20210029SS</v>
      </c>
      <c r="K2682" s="51" t="str">
        <f>VLOOKUP(H2682,Stock_list!A:T,16,FALSE)</f>
        <v>JPY</v>
      </c>
      <c r="L2682" s="4">
        <v>44329</v>
      </c>
      <c r="M2682" s="140">
        <v>2</v>
      </c>
      <c r="P2682" s="4" t="str">
        <f>VLOOKUP(H2682,Stock_list!A:Y,25,FALSE)</f>
        <v>Yes</v>
      </c>
      <c r="Q2682" s="143"/>
      <c r="T2682" s="144"/>
      <c r="U2682" s="145" t="str">
        <f>VLOOKUP(H2682,Stock_list!A:N,14,FALSE)</f>
        <v>MAY 21</v>
      </c>
    </row>
    <row r="2683" spans="1:21" ht="16.5" customHeight="1">
      <c r="A2683" s="159" t="s">
        <v>2744</v>
      </c>
      <c r="B2683" s="114" t="str">
        <f>VLOOKUP(A2683,'Data pick slip'!B:F,5,FALSE)</f>
        <v>KHJ-MC100-00</v>
      </c>
      <c r="F2683" s="157" t="s">
        <v>2753</v>
      </c>
      <c r="H2683" s="138">
        <v>1089</v>
      </c>
      <c r="I2683" s="139" t="str">
        <f>VLOOKUP(H2683,Stock_list!A:R,18,FALSE)</f>
        <v>保凌</v>
      </c>
      <c r="J2683" s="139" t="str">
        <f>VLOOKUP(H2683,Stock_list!A:S,17,FALSE)</f>
        <v>C49SZX20210015SS</v>
      </c>
      <c r="K2683" s="51" t="str">
        <f>VLOOKUP(H2683,Stock_list!A:T,16,FALSE)</f>
        <v>RMB</v>
      </c>
      <c r="L2683" s="4">
        <v>44407</v>
      </c>
      <c r="M2683" s="132">
        <v>30</v>
      </c>
      <c r="P2683" s="4" t="str">
        <f>VLOOKUP(H2683,Stock_list!A:Y,25,FALSE)</f>
        <v>Yes</v>
      </c>
      <c r="T2683" s="144"/>
      <c r="U2683" s="145" t="str">
        <f>VLOOKUP(H2683,Stock_list!A:N,14,FALSE)</f>
        <v>JUL 21</v>
      </c>
    </row>
    <row r="2684" spans="1:21" ht="16.5" customHeight="1">
      <c r="A2684" s="159" t="s">
        <v>2747</v>
      </c>
      <c r="B2684" s="114" t="str">
        <f>VLOOKUP(A2684,'Data pick slip'!B:F,5,FALSE)</f>
        <v>KHJ-MC200-00</v>
      </c>
      <c r="F2684" s="157" t="s">
        <v>2753</v>
      </c>
      <c r="H2684" s="138">
        <v>1089</v>
      </c>
      <c r="I2684" s="139" t="str">
        <f>VLOOKUP(H2684,Stock_list!A:R,18,FALSE)</f>
        <v>保凌</v>
      </c>
      <c r="J2684" s="139" t="str">
        <f>VLOOKUP(H2684,Stock_list!A:S,17,FALSE)</f>
        <v>C49SZX20210015SS</v>
      </c>
      <c r="K2684" s="51" t="str">
        <f>VLOOKUP(H2684,Stock_list!A:T,16,FALSE)</f>
        <v>RMB</v>
      </c>
      <c r="L2684" s="4">
        <v>44407</v>
      </c>
      <c r="M2684" s="132">
        <v>10</v>
      </c>
      <c r="P2684" s="4" t="str">
        <f>VLOOKUP(H2684,Stock_list!A:Y,25,FALSE)</f>
        <v>Yes</v>
      </c>
      <c r="T2684" s="144"/>
      <c r="U2684" s="145" t="str">
        <f>VLOOKUP(H2684,Stock_list!A:N,14,FALSE)</f>
        <v>JUL 21</v>
      </c>
    </row>
    <row r="2685" spans="1:21" ht="16.5" customHeight="1">
      <c r="A2685" s="159" t="s">
        <v>2748</v>
      </c>
      <c r="B2685" s="114" t="str">
        <f>VLOOKUP(A2685,'Data pick slip'!B:F,5,FALSE)</f>
        <v>KHJ-MC400-00</v>
      </c>
      <c r="F2685" s="157" t="s">
        <v>2753</v>
      </c>
      <c r="H2685" s="138">
        <v>1089</v>
      </c>
      <c r="I2685" s="139" t="str">
        <f>VLOOKUP(H2685,Stock_list!A:R,18,FALSE)</f>
        <v>保凌</v>
      </c>
      <c r="J2685" s="139" t="str">
        <f>VLOOKUP(H2685,Stock_list!A:S,17,FALSE)</f>
        <v>C49SZX20210015SS</v>
      </c>
      <c r="K2685" s="51" t="str">
        <f>VLOOKUP(H2685,Stock_list!A:T,16,FALSE)</f>
        <v>RMB</v>
      </c>
      <c r="L2685" s="4">
        <v>44407</v>
      </c>
      <c r="M2685" s="132">
        <v>2</v>
      </c>
      <c r="P2685" s="4" t="str">
        <f>VLOOKUP(H2685,Stock_list!A:Y,25,FALSE)</f>
        <v>Yes</v>
      </c>
      <c r="T2685" s="144"/>
      <c r="U2685" s="145" t="str">
        <f>VLOOKUP(H2685,Stock_list!A:N,14,FALSE)</f>
        <v>JUL 21</v>
      </c>
    </row>
    <row r="2686" spans="1:21" ht="16.5" customHeight="1">
      <c r="A2686" s="159" t="s">
        <v>2749</v>
      </c>
      <c r="B2686" s="114" t="str">
        <f>VLOOKUP(A2686,'Data pick slip'!B:F,5,FALSE)</f>
        <v>KHJ-MC500-00</v>
      </c>
      <c r="F2686" s="157" t="s">
        <v>2753</v>
      </c>
      <c r="H2686" s="138">
        <v>1089</v>
      </c>
      <c r="I2686" s="139" t="str">
        <f>VLOOKUP(H2686,Stock_list!A:R,18,FALSE)</f>
        <v>保凌</v>
      </c>
      <c r="J2686" s="139" t="str">
        <f>VLOOKUP(H2686,Stock_list!A:S,17,FALSE)</f>
        <v>C49SZX20210015SS</v>
      </c>
      <c r="K2686" s="51" t="str">
        <f>VLOOKUP(H2686,Stock_list!A:T,16,FALSE)</f>
        <v>RMB</v>
      </c>
      <c r="L2686" s="4">
        <v>44407</v>
      </c>
      <c r="M2686" s="132">
        <v>1</v>
      </c>
      <c r="P2686" s="4" t="str">
        <f>VLOOKUP(H2686,Stock_list!A:Y,25,FALSE)</f>
        <v>Yes</v>
      </c>
      <c r="T2686" s="144"/>
      <c r="U2686" s="145" t="str">
        <f>VLOOKUP(H2686,Stock_list!A:N,14,FALSE)</f>
        <v>JUL 21</v>
      </c>
    </row>
    <row r="2687" spans="1:21" ht="16.5" customHeight="1">
      <c r="A2687" s="159" t="s">
        <v>2752</v>
      </c>
      <c r="B2687" s="114" t="str">
        <f>VLOOKUP(A2687,'Data pick slip'!B:F,5,FALSE)</f>
        <v>KHJ-MC800-00</v>
      </c>
      <c r="F2687" s="157" t="s">
        <v>1381</v>
      </c>
      <c r="I2687" s="269" t="s">
        <v>3414</v>
      </c>
      <c r="J2687" s="139" t="s">
        <v>3415</v>
      </c>
      <c r="K2687" s="51" t="s">
        <v>1246</v>
      </c>
      <c r="L2687" s="4">
        <v>44210</v>
      </c>
      <c r="M2687" s="140">
        <v>1</v>
      </c>
      <c r="P2687" s="4" t="s">
        <v>291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2752</v>
      </c>
      <c r="B2688" s="114" t="str">
        <f>VLOOKUP(A2688,'Data pick slip'!B:F,5,FALSE)</f>
        <v>KHJ-MC800-00</v>
      </c>
      <c r="F2688" s="157" t="s">
        <v>2753</v>
      </c>
      <c r="I2688" s="139" t="s">
        <v>3100</v>
      </c>
      <c r="J2688" s="270" t="s">
        <v>3416</v>
      </c>
      <c r="K2688" s="51" t="s">
        <v>1246</v>
      </c>
      <c r="L2688" s="4">
        <v>44211</v>
      </c>
      <c r="M2688" s="140">
        <v>1</v>
      </c>
      <c r="P2688" s="4" t="s">
        <v>291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2744</v>
      </c>
      <c r="B2689" s="114" t="str">
        <f>VLOOKUP(A2689,'Data pick slip'!B:F,5,FALSE)</f>
        <v>KHJ-MC100-00</v>
      </c>
      <c r="F2689" s="157" t="s">
        <v>1381</v>
      </c>
      <c r="H2689" s="138">
        <v>1090</v>
      </c>
      <c r="I2689" s="139" t="str">
        <f>VLOOKUP(H2689,Stock_list!A:R,18,FALSE)</f>
        <v>益田科技</v>
      </c>
      <c r="J2689" s="139" t="str">
        <f>VLOOKUP(H2689,Stock_list!A:S,17,FALSE)</f>
        <v>C49SZX20210031SX</v>
      </c>
      <c r="K2689" s="51" t="str">
        <f>VLOOKUP(H2689,Stock_list!A:T,16,FALSE)</f>
        <v>JPY</v>
      </c>
      <c r="L2689" s="4">
        <v>44672</v>
      </c>
      <c r="M2689" s="140">
        <v>55</v>
      </c>
      <c r="P2689" s="4" t="str">
        <f>VLOOKUP(H2689,Stock_list!A:Y,25,FALSE)</f>
        <v>Yes</v>
      </c>
      <c r="Q2689" s="143"/>
      <c r="T2689" s="144"/>
      <c r="U2689" s="145" t="str">
        <f>VLOOKUP(H2689,Stock_list!A:N,14,FALSE)</f>
        <v>APR 22</v>
      </c>
    </row>
    <row r="2690" spans="1:21" ht="16.5" customHeight="1">
      <c r="A2690" s="159" t="s">
        <v>2747</v>
      </c>
      <c r="B2690" s="114" t="str">
        <f>VLOOKUP(A2690,'Data pick slip'!B:F,5,FALSE)</f>
        <v>KHJ-MC200-00</v>
      </c>
      <c r="F2690" s="157" t="s">
        <v>1381</v>
      </c>
      <c r="H2690" s="138">
        <v>1090</v>
      </c>
      <c r="I2690" s="139" t="str">
        <f>VLOOKUP(H2690,Stock_list!A:R,18,FALSE)</f>
        <v>益田科技</v>
      </c>
      <c r="J2690" s="139" t="str">
        <f>VLOOKUP(H2690,Stock_list!A:S,17,FALSE)</f>
        <v>C49SZX20210031SX</v>
      </c>
      <c r="K2690" s="51" t="str">
        <f>VLOOKUP(H2690,Stock_list!A:T,16,FALSE)</f>
        <v>JPY</v>
      </c>
      <c r="L2690" s="4">
        <v>44672</v>
      </c>
      <c r="M2690" s="140">
        <v>4</v>
      </c>
      <c r="P2690" s="4" t="str">
        <f>VLOOKUP(H2690,Stock_list!A:Y,25,FALSE)</f>
        <v>Yes</v>
      </c>
      <c r="Q2690" s="143"/>
      <c r="T2690" s="144"/>
      <c r="U2690" s="145" t="str">
        <f>VLOOKUP(H2690,Stock_list!A:N,14,FALSE)</f>
        <v>APR 22</v>
      </c>
    </row>
    <row r="2691" spans="1:21" ht="16.5" customHeight="1">
      <c r="A2691" s="159" t="s">
        <v>2748</v>
      </c>
      <c r="B2691" s="114" t="str">
        <f>VLOOKUP(A2691,'Data pick slip'!B:F,5,FALSE)</f>
        <v>KHJ-MC400-00</v>
      </c>
      <c r="F2691" s="157" t="s">
        <v>1381</v>
      </c>
      <c r="H2691" s="138">
        <v>1090</v>
      </c>
      <c r="I2691" s="139" t="str">
        <f>VLOOKUP(H2691,Stock_list!A:R,18,FALSE)</f>
        <v>益田科技</v>
      </c>
      <c r="J2691" s="139" t="str">
        <f>VLOOKUP(H2691,Stock_list!A:S,17,FALSE)</f>
        <v>C49SZX20210031SX</v>
      </c>
      <c r="K2691" s="51" t="str">
        <f>VLOOKUP(H2691,Stock_list!A:T,16,FALSE)</f>
        <v>JPY</v>
      </c>
      <c r="L2691" s="4">
        <v>44672</v>
      </c>
      <c r="M2691" s="140">
        <v>3</v>
      </c>
      <c r="P2691" s="4" t="str">
        <f>VLOOKUP(H2691,Stock_list!A:Y,25,FALSE)</f>
        <v>Yes</v>
      </c>
      <c r="Q2691" s="143"/>
      <c r="T2691" s="144"/>
      <c r="U2691" s="145" t="str">
        <f>VLOOKUP(H2691,Stock_list!A:N,14,FALSE)</f>
        <v>APR 22</v>
      </c>
    </row>
    <row r="2692" spans="1:21" ht="16.5" customHeight="1">
      <c r="A2692" s="159" t="s">
        <v>2744</v>
      </c>
      <c r="B2692" s="114" t="str">
        <f>VLOOKUP(A2692,'Data pick slip'!B:F,5,FALSE)</f>
        <v>KHJ-MC100-00</v>
      </c>
      <c r="F2692" s="157" t="s">
        <v>1381</v>
      </c>
      <c r="H2692" s="138">
        <v>1090</v>
      </c>
      <c r="I2692" s="139" t="str">
        <f>VLOOKUP(H2692,Stock_list!A:R,18,FALSE)</f>
        <v>益田科技</v>
      </c>
      <c r="J2692" s="139" t="str">
        <f>VLOOKUP(H2692,Stock_list!A:S,17,FALSE)</f>
        <v>C49SZX20210031SX</v>
      </c>
      <c r="K2692" s="51" t="str">
        <f>VLOOKUP(H2692,Stock_list!A:T,16,FALSE)</f>
        <v>JPY</v>
      </c>
      <c r="L2692" s="4">
        <v>44582</v>
      </c>
      <c r="M2692" s="140">
        <v>55</v>
      </c>
      <c r="P2692" s="4" t="str">
        <f>VLOOKUP(H2692,Stock_list!A:Y,25,FALSE)</f>
        <v>Yes</v>
      </c>
      <c r="Q2692" s="143"/>
      <c r="T2692" s="144"/>
      <c r="U2692" s="145" t="str">
        <f>VLOOKUP(H2692,Stock_list!A:N,14,FALSE)</f>
        <v>APR 22</v>
      </c>
    </row>
    <row r="2693" spans="1:21" ht="16.5" customHeight="1">
      <c r="A2693" s="159" t="s">
        <v>2747</v>
      </c>
      <c r="B2693" s="114" t="str">
        <f>VLOOKUP(A2693,'Data pick slip'!B:F,5,FALSE)</f>
        <v>KHJ-MC200-00</v>
      </c>
      <c r="F2693" s="157" t="s">
        <v>1381</v>
      </c>
      <c r="H2693" s="138">
        <v>1090</v>
      </c>
      <c r="I2693" s="139" t="str">
        <f>VLOOKUP(H2693,Stock_list!A:R,18,FALSE)</f>
        <v>益田科技</v>
      </c>
      <c r="J2693" s="139" t="str">
        <f>VLOOKUP(H2693,Stock_list!A:S,17,FALSE)</f>
        <v>C49SZX20210031SX</v>
      </c>
      <c r="K2693" s="51" t="str">
        <f>VLOOKUP(H2693,Stock_list!A:T,16,FALSE)</f>
        <v>JPY</v>
      </c>
      <c r="L2693" s="4">
        <v>44582</v>
      </c>
      <c r="M2693" s="140">
        <v>4</v>
      </c>
      <c r="P2693" s="4" t="str">
        <f>VLOOKUP(H2693,Stock_list!A:Y,25,FALSE)</f>
        <v>Yes</v>
      </c>
      <c r="Q2693" s="143"/>
      <c r="T2693" s="144"/>
      <c r="U2693" s="145" t="str">
        <f>VLOOKUP(H2693,Stock_list!A:N,14,FALSE)</f>
        <v>APR 22</v>
      </c>
    </row>
    <row r="2694" spans="1:21" ht="16.5" customHeight="1">
      <c r="A2694" s="159" t="s">
        <v>2748</v>
      </c>
      <c r="B2694" s="114" t="str">
        <f>VLOOKUP(A2694,'Data pick slip'!B:F,5,FALSE)</f>
        <v>KHJ-MC400-00</v>
      </c>
      <c r="F2694" s="157" t="s">
        <v>1381</v>
      </c>
      <c r="H2694" s="138">
        <v>1090</v>
      </c>
      <c r="I2694" s="139" t="str">
        <f>VLOOKUP(H2694,Stock_list!A:R,18,FALSE)</f>
        <v>益田科技</v>
      </c>
      <c r="J2694" s="139" t="str">
        <f>VLOOKUP(H2694,Stock_list!A:S,17,FALSE)</f>
        <v>C49SZX20210031SX</v>
      </c>
      <c r="K2694" s="51" t="str">
        <f>VLOOKUP(H2694,Stock_list!A:T,16,FALSE)</f>
        <v>JPY</v>
      </c>
      <c r="L2694" s="4">
        <v>44582</v>
      </c>
      <c r="M2694" s="140">
        <v>2</v>
      </c>
      <c r="P2694" s="4" t="str">
        <f>VLOOKUP(H2694,Stock_list!A:Y,25,FALSE)</f>
        <v>Yes</v>
      </c>
      <c r="Q2694" s="143"/>
      <c r="T2694" s="144"/>
      <c r="U2694" s="145" t="str">
        <f>VLOOKUP(H2694,Stock_list!A:N,14,FALSE)</f>
        <v>APR 22</v>
      </c>
    </row>
    <row r="2695" spans="1:21" ht="16.5" customHeight="1">
      <c r="A2695" s="159" t="s">
        <v>2755</v>
      </c>
      <c r="B2695" s="114" t="str">
        <f>VLOOKUP(A2695,'Data pick slip'!B:F,5,FALSE)</f>
        <v>KLJ-MC100-00</v>
      </c>
      <c r="F2695" s="157" t="s">
        <v>2753</v>
      </c>
      <c r="H2695" s="138">
        <v>1094</v>
      </c>
      <c r="I2695" s="139" t="str">
        <f>VLOOKUP(H2695,Stock_list!A:R,18,FALSE)</f>
        <v>龙大光电</v>
      </c>
      <c r="J2695" s="139" t="str">
        <f>VLOOKUP(H2695,Stock_list!A:S,17,FALSE)</f>
        <v>C49SZX20210021SS</v>
      </c>
      <c r="K2695" s="51" t="str">
        <f>VLOOKUP(H2695,Stock_list!A:T,16,FALSE)</f>
        <v>RMB</v>
      </c>
      <c r="L2695" s="4">
        <v>44335</v>
      </c>
      <c r="M2695" s="140">
        <v>68</v>
      </c>
      <c r="P2695" s="4" t="str">
        <f>VLOOKUP(H2695,Stock_list!A:Y,25,FALSE)</f>
        <v>Yes</v>
      </c>
      <c r="Q2695" s="143"/>
      <c r="T2695" s="144"/>
      <c r="U2695" s="145" t="str">
        <f>VLOOKUP(H2695,Stock_list!A:N,14,FALSE)</f>
        <v>MAY 21</v>
      </c>
    </row>
    <row r="2696" spans="1:21" ht="16.5" customHeight="1">
      <c r="A2696" s="159" t="s">
        <v>2744</v>
      </c>
      <c r="B2696" s="114" t="str">
        <f>VLOOKUP(A2696,'Data pick slip'!B:F,5,FALSE)</f>
        <v>KHJ-MC100-00</v>
      </c>
      <c r="F2696" s="157" t="s">
        <v>1381</v>
      </c>
      <c r="H2696" s="138">
        <v>1098</v>
      </c>
      <c r="I2696" s="139" t="str">
        <f>VLOOKUP(H2696,Stock_list!A:R,18,FALSE)</f>
        <v>吉鑫凯</v>
      </c>
      <c r="J2696" s="139" t="str">
        <f>VLOOKUP(H2696,Stock_list!A:S,17,FALSE)</f>
        <v>C49SZX20210022VG</v>
      </c>
      <c r="K2696" s="51" t="str">
        <f>VLOOKUP(H2696,Stock_list!A:T,16,FALSE)</f>
        <v>JPY</v>
      </c>
      <c r="L2696" s="4">
        <v>44324</v>
      </c>
      <c r="M2696" s="132">
        <v>20</v>
      </c>
      <c r="P2696" s="4" t="str">
        <f>VLOOKUP(H2696,Stock_list!A:Y,25,FALSE)</f>
        <v>Yes</v>
      </c>
      <c r="Q2696" s="143"/>
      <c r="T2696" s="144"/>
      <c r="U2696" s="145" t="str">
        <f>VLOOKUP(H2696,Stock_list!A:N,14,FALSE)</f>
        <v>MAY 21</v>
      </c>
    </row>
    <row r="2697" spans="1:21" ht="16.5" customHeight="1">
      <c r="A2697" s="159" t="s">
        <v>2747</v>
      </c>
      <c r="B2697" s="114" t="str">
        <f>VLOOKUP(A2697,'Data pick slip'!B:F,5,FALSE)</f>
        <v>KHJ-MC200-00</v>
      </c>
      <c r="F2697" s="157" t="s">
        <v>1381</v>
      </c>
      <c r="H2697" s="138">
        <v>1098</v>
      </c>
      <c r="I2697" s="139" t="str">
        <f>VLOOKUP(H2697,Stock_list!A:R,18,FALSE)</f>
        <v>吉鑫凯</v>
      </c>
      <c r="J2697" s="139" t="str">
        <f>VLOOKUP(H2697,Stock_list!A:S,17,FALSE)</f>
        <v>C49SZX20210022VG</v>
      </c>
      <c r="K2697" s="51" t="str">
        <f>VLOOKUP(H2697,Stock_list!A:T,16,FALSE)</f>
        <v>JPY</v>
      </c>
      <c r="L2697" s="4">
        <v>44324</v>
      </c>
      <c r="M2697" s="132">
        <v>5</v>
      </c>
      <c r="P2697" s="4" t="str">
        <f>VLOOKUP(H2697,Stock_list!A:Y,25,FALSE)</f>
        <v>Yes</v>
      </c>
      <c r="Q2697" s="143"/>
      <c r="T2697" s="144"/>
      <c r="U2697" s="145" t="str">
        <f>VLOOKUP(H2697,Stock_list!A:N,14,FALSE)</f>
        <v>MAY 21</v>
      </c>
    </row>
    <row r="2698" spans="1:21" ht="16.5" customHeight="1">
      <c r="A2698" s="159" t="s">
        <v>2744</v>
      </c>
      <c r="B2698" s="114" t="str">
        <f>VLOOKUP(A2698,'Data pick slip'!B:F,5,FALSE)</f>
        <v>KHJ-MC100-00</v>
      </c>
      <c r="F2698" s="157" t="s">
        <v>1381</v>
      </c>
      <c r="H2698" s="138">
        <v>1100</v>
      </c>
      <c r="I2698" s="139" t="str">
        <f>VLOOKUP(H2698,Stock_list!A:R,18,FALSE)</f>
        <v>晟锦威</v>
      </c>
      <c r="J2698" s="139" t="str">
        <f>VLOOKUP(H2698,Stock_list!A:S,17,FALSE)</f>
        <v>C49SZX20210019JY</v>
      </c>
      <c r="K2698" s="51" t="str">
        <f>VLOOKUP(H2698,Stock_list!A:T,16,FALSE)</f>
        <v>JPY</v>
      </c>
      <c r="L2698" s="4">
        <v>44329</v>
      </c>
      <c r="M2698" s="132">
        <v>120</v>
      </c>
      <c r="P2698" s="4" t="str">
        <f>VLOOKUP(H2698,Stock_list!A:Y,25,FALSE)</f>
        <v>Yes</v>
      </c>
      <c r="Q2698" s="143"/>
      <c r="T2698" s="144"/>
      <c r="U2698" s="145" t="str">
        <f>VLOOKUP(H2698,Stock_list!A:N,14,FALSE)</f>
        <v>MAY 21</v>
      </c>
    </row>
    <row r="2699" spans="1:21" ht="16.5" customHeight="1">
      <c r="A2699" s="159" t="s">
        <v>2747</v>
      </c>
      <c r="B2699" s="114" t="str">
        <f>VLOOKUP(A2699,'Data pick slip'!B:F,5,FALSE)</f>
        <v>KHJ-MC200-00</v>
      </c>
      <c r="F2699" s="157" t="s">
        <v>1381</v>
      </c>
      <c r="H2699" s="138">
        <v>1100</v>
      </c>
      <c r="I2699" s="139" t="str">
        <f>VLOOKUP(H2699,Stock_list!A:R,18,FALSE)</f>
        <v>晟锦威</v>
      </c>
      <c r="J2699" s="139" t="str">
        <f>VLOOKUP(H2699,Stock_list!A:S,17,FALSE)</f>
        <v>C49SZX20210019JY</v>
      </c>
      <c r="K2699" s="51" t="str">
        <f>VLOOKUP(H2699,Stock_list!A:T,16,FALSE)</f>
        <v>JPY</v>
      </c>
      <c r="L2699" s="4">
        <v>44329</v>
      </c>
      <c r="M2699" s="132">
        <v>25</v>
      </c>
      <c r="P2699" s="4" t="str">
        <f>VLOOKUP(H2699,Stock_list!A:Y,25,FALSE)</f>
        <v>Yes</v>
      </c>
      <c r="Q2699" s="143"/>
      <c r="T2699" s="144"/>
      <c r="U2699" s="145" t="str">
        <f>VLOOKUP(H2699,Stock_list!A:N,14,FALSE)</f>
        <v>MAY 21</v>
      </c>
    </row>
    <row r="2700" spans="1:21" ht="16.5" customHeight="1">
      <c r="A2700" s="159" t="s">
        <v>2748</v>
      </c>
      <c r="B2700" s="114" t="str">
        <f>VLOOKUP(A2700,'Data pick slip'!B:F,5,FALSE)</f>
        <v>KHJ-MC400-00</v>
      </c>
      <c r="F2700" s="157" t="s">
        <v>1381</v>
      </c>
      <c r="H2700" s="138">
        <v>1100</v>
      </c>
      <c r="I2700" s="139" t="str">
        <f>VLOOKUP(H2700,Stock_list!A:R,18,FALSE)</f>
        <v>晟锦威</v>
      </c>
      <c r="J2700" s="139" t="str">
        <f>VLOOKUP(H2700,Stock_list!A:S,17,FALSE)</f>
        <v>C49SZX20210019JY</v>
      </c>
      <c r="K2700" s="51" t="str">
        <f>VLOOKUP(H2700,Stock_list!A:T,16,FALSE)</f>
        <v>JPY</v>
      </c>
      <c r="L2700" s="4">
        <v>44329</v>
      </c>
      <c r="M2700" s="132">
        <v>6</v>
      </c>
      <c r="P2700" s="4" t="str">
        <f>VLOOKUP(H2700,Stock_list!A:Y,25,FALSE)</f>
        <v>Yes</v>
      </c>
      <c r="Q2700" s="143"/>
      <c r="T2700" s="144"/>
      <c r="U2700" s="145" t="str">
        <f>VLOOKUP(H2700,Stock_list!A:N,14,FALSE)</f>
        <v>MAY 21</v>
      </c>
    </row>
    <row r="2701" spans="1:21" ht="16.5" customHeight="1">
      <c r="A2701" s="159" t="s">
        <v>2749</v>
      </c>
      <c r="B2701" s="114" t="str">
        <f>VLOOKUP(A2701,'Data pick slip'!B:F,5,FALSE)</f>
        <v>KHJ-MC500-00</v>
      </c>
      <c r="F2701" s="157" t="s">
        <v>1381</v>
      </c>
      <c r="H2701" s="138">
        <v>1100</v>
      </c>
      <c r="I2701" s="139" t="str">
        <f>VLOOKUP(H2701,Stock_list!A:R,18,FALSE)</f>
        <v>晟锦威</v>
      </c>
      <c r="J2701" s="139" t="str">
        <f>VLOOKUP(H2701,Stock_list!A:S,17,FALSE)</f>
        <v>C49SZX20210019JY</v>
      </c>
      <c r="K2701" s="51" t="str">
        <f>VLOOKUP(H2701,Stock_list!A:T,16,FALSE)</f>
        <v>JPY</v>
      </c>
      <c r="L2701" s="4">
        <v>44329</v>
      </c>
      <c r="M2701" s="132">
        <v>1</v>
      </c>
      <c r="P2701" s="4" t="str">
        <f>VLOOKUP(H2701,Stock_list!A:Y,25,FALSE)</f>
        <v>Yes</v>
      </c>
      <c r="Q2701" s="143"/>
      <c r="T2701" s="144"/>
      <c r="U2701" s="145" t="str">
        <f>VLOOKUP(H2701,Stock_list!A:N,14,FALSE)</f>
        <v>MAY 21</v>
      </c>
    </row>
    <row r="2702" spans="1:21" ht="16.5" customHeight="1">
      <c r="A2702" s="159" t="s">
        <v>2744</v>
      </c>
      <c r="B2702" s="114" t="str">
        <f>VLOOKUP(A2702,'Data pick slip'!B:F,5,FALSE)</f>
        <v>KHJ-MC100-00</v>
      </c>
      <c r="F2702" s="157" t="s">
        <v>2861</v>
      </c>
      <c r="H2702" s="138">
        <v>1079</v>
      </c>
      <c r="I2702" s="139" t="str">
        <f>VLOOKUP(H2702,Stock_list!A:R,18,FALSE)</f>
        <v>航特</v>
      </c>
      <c r="J2702" s="139" t="str">
        <f>VLOOKUP(H2702,Stock_list!A:S,17,FALSE)</f>
        <v>C49SZX20210026DZ</v>
      </c>
      <c r="K2702" s="51" t="str">
        <f>VLOOKUP(H2702,Stock_list!A:T,16,FALSE)</f>
        <v>JPY</v>
      </c>
      <c r="L2702" s="4">
        <v>44284</v>
      </c>
      <c r="M2702" s="132">
        <v>90</v>
      </c>
      <c r="P2702" s="4" t="str">
        <f>VLOOKUP(H2702,Stock_list!A:Y,25,FALSE)</f>
        <v>Yes</v>
      </c>
      <c r="Q2702" s="143"/>
      <c r="T2702" s="144"/>
      <c r="U2702" s="145" t="str">
        <f>VLOOKUP(H2702,Stock_list!A:N,14,FALSE)</f>
        <v>MAR 21</v>
      </c>
    </row>
    <row r="2703" spans="1:21" ht="16.5" customHeight="1">
      <c r="A2703" s="159" t="s">
        <v>2747</v>
      </c>
      <c r="B2703" s="114" t="str">
        <f>VLOOKUP(A2703,'Data pick slip'!B:F,5,FALSE)</f>
        <v>KHJ-MC200-00</v>
      </c>
      <c r="F2703" s="157" t="s">
        <v>2861</v>
      </c>
      <c r="H2703" s="138">
        <v>1079</v>
      </c>
      <c r="I2703" s="139" t="str">
        <f>VLOOKUP(H2703,Stock_list!A:R,18,FALSE)</f>
        <v>航特</v>
      </c>
      <c r="J2703" s="139" t="str">
        <f>VLOOKUP(H2703,Stock_list!A:S,17,FALSE)</f>
        <v>C49SZX20210026DZ</v>
      </c>
      <c r="K2703" s="51" t="str">
        <f>VLOOKUP(H2703,Stock_list!A:T,16,FALSE)</f>
        <v>JPY</v>
      </c>
      <c r="L2703" s="4">
        <v>44284</v>
      </c>
      <c r="M2703" s="132">
        <v>10</v>
      </c>
      <c r="P2703" s="4" t="str">
        <f>VLOOKUP(H2703,Stock_list!A:Y,25,FALSE)</f>
        <v>Yes</v>
      </c>
      <c r="Q2703" s="143"/>
      <c r="T2703" s="144"/>
      <c r="U2703" s="145" t="str">
        <f>VLOOKUP(H2703,Stock_list!A:N,14,FALSE)</f>
        <v>MAR 21</v>
      </c>
    </row>
    <row r="2704" spans="1:21" ht="16.5" customHeight="1">
      <c r="A2704" s="159" t="s">
        <v>2744</v>
      </c>
      <c r="B2704" s="114" t="str">
        <f>VLOOKUP(A2704,'Data pick slip'!B:F,5,FALSE)</f>
        <v>KHJ-MC100-00</v>
      </c>
      <c r="F2704" s="157" t="s">
        <v>2862</v>
      </c>
      <c r="I2704" s="139" t="s">
        <v>3016</v>
      </c>
      <c r="J2704" s="139" t="s">
        <v>2952</v>
      </c>
      <c r="K2704" s="51" t="s">
        <v>1246</v>
      </c>
      <c r="L2704" s="4">
        <v>44228</v>
      </c>
      <c r="M2704" s="140">
        <v>148</v>
      </c>
      <c r="P2704" s="4" t="s">
        <v>291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2747</v>
      </c>
      <c r="B2705" s="114" t="str">
        <f>VLOOKUP(A2705,'Data pick slip'!B:F,5,FALSE)</f>
        <v>KHJ-MC200-00</v>
      </c>
      <c r="F2705" s="157" t="s">
        <v>1381</v>
      </c>
      <c r="I2705" s="139" t="s">
        <v>3016</v>
      </c>
      <c r="J2705" s="139" t="s">
        <v>2952</v>
      </c>
      <c r="K2705" s="51" t="s">
        <v>1246</v>
      </c>
      <c r="L2705" s="4">
        <v>44228</v>
      </c>
      <c r="M2705" s="140">
        <v>46</v>
      </c>
      <c r="P2705" s="4" t="s">
        <v>291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2744</v>
      </c>
      <c r="B2706" s="114" t="str">
        <f>VLOOKUP(A2706,'Data pick slip'!B:F,5,FALSE)</f>
        <v>KHJ-MC100-00</v>
      </c>
      <c r="F2706" s="157" t="s">
        <v>1381</v>
      </c>
      <c r="I2706" s="139" t="s">
        <v>3016</v>
      </c>
      <c r="J2706" s="139" t="s">
        <v>3417</v>
      </c>
      <c r="K2706" s="51" t="s">
        <v>1246</v>
      </c>
      <c r="L2706" s="4">
        <v>44252</v>
      </c>
      <c r="M2706" s="140">
        <v>100</v>
      </c>
      <c r="P2706" s="4" t="s">
        <v>291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2747</v>
      </c>
      <c r="B2707" s="114" t="str">
        <f>VLOOKUP(A2707,'Data pick slip'!B:F,5,FALSE)</f>
        <v>KHJ-MC200-00</v>
      </c>
      <c r="F2707" s="157" t="s">
        <v>1381</v>
      </c>
      <c r="I2707" s="139" t="s">
        <v>3016</v>
      </c>
      <c r="J2707" s="139" t="s">
        <v>3417</v>
      </c>
      <c r="K2707" s="51" t="s">
        <v>1246</v>
      </c>
      <c r="L2707" s="4">
        <v>44252</v>
      </c>
      <c r="M2707" s="140">
        <v>30</v>
      </c>
      <c r="P2707" s="4" t="s">
        <v>291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2755</v>
      </c>
      <c r="B2708" s="114" t="str">
        <f>VLOOKUP(A2708,'Data pick slip'!B:F,5,FALSE)</f>
        <v>KLJ-MC100-00</v>
      </c>
      <c r="F2708" s="157" t="s">
        <v>1381</v>
      </c>
      <c r="I2708" s="139" t="s">
        <v>3016</v>
      </c>
      <c r="J2708" s="139" t="s">
        <v>3417</v>
      </c>
      <c r="K2708" s="51" t="s">
        <v>1246</v>
      </c>
      <c r="L2708" s="4">
        <v>44252</v>
      </c>
      <c r="M2708" s="140">
        <v>50</v>
      </c>
      <c r="P2708" s="4" t="s">
        <v>291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2750</v>
      </c>
      <c r="B2709" s="114" t="str">
        <f>VLOOKUP(A2709,'Data pick slip'!B:F,5,FALSE)</f>
        <v>KHJ-MC600-00</v>
      </c>
      <c r="F2709" s="157" t="s">
        <v>1381</v>
      </c>
      <c r="I2709" s="139" t="s">
        <v>3016</v>
      </c>
      <c r="J2709" s="139" t="s">
        <v>3417</v>
      </c>
      <c r="K2709" s="51" t="s">
        <v>1246</v>
      </c>
      <c r="L2709" s="4">
        <v>44252</v>
      </c>
      <c r="M2709" s="140">
        <v>2</v>
      </c>
      <c r="P2709" s="4" t="s">
        <v>291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2744</v>
      </c>
      <c r="B2710" s="114" t="str">
        <f>VLOOKUP(A2710,'Data pick slip'!B:F,5,FALSE)</f>
        <v>KHJ-MC100-00</v>
      </c>
      <c r="F2710" s="157" t="s">
        <v>1381</v>
      </c>
      <c r="H2710" s="138">
        <v>1105</v>
      </c>
      <c r="I2710" s="139" t="str">
        <f>VLOOKUP(H2710,Stock_list!A:R,18,FALSE)</f>
        <v>嘉裕</v>
      </c>
      <c r="J2710" s="139" t="str">
        <f>VLOOKUP(H2710,Stock_list!A:S,17,FALSE)</f>
        <v>C49SZX20210029DZ</v>
      </c>
      <c r="K2710" s="51" t="str">
        <f>VLOOKUP(H2710,Stock_list!A:T,16,FALSE)</f>
        <v>JPY</v>
      </c>
      <c r="L2710" s="4">
        <v>44313</v>
      </c>
      <c r="M2710" s="132">
        <v>133</v>
      </c>
      <c r="P2710" s="4" t="str">
        <f>VLOOKUP(H2710,Stock_list!A:Y,25,FALSE)</f>
        <v>Yes</v>
      </c>
      <c r="Q2710" s="143"/>
      <c r="T2710" s="144"/>
      <c r="U2710" s="145" t="str">
        <f>VLOOKUP(H2710,Stock_list!A:N,14,FALSE)</f>
        <v>APR 21</v>
      </c>
    </row>
    <row r="2711" spans="1:21" ht="16.5" customHeight="1">
      <c r="A2711" s="159" t="s">
        <v>2747</v>
      </c>
      <c r="B2711" s="114" t="str">
        <f>VLOOKUP(A2711,'Data pick slip'!B:F,5,FALSE)</f>
        <v>KHJ-MC200-00</v>
      </c>
      <c r="F2711" s="157" t="s">
        <v>1381</v>
      </c>
      <c r="H2711" s="138">
        <v>1105</v>
      </c>
      <c r="I2711" s="139" t="str">
        <f>VLOOKUP(H2711,Stock_list!A:R,18,FALSE)</f>
        <v>嘉裕</v>
      </c>
      <c r="J2711" s="139" t="str">
        <f>VLOOKUP(H2711,Stock_list!A:S,17,FALSE)</f>
        <v>C49SZX20210029DZ</v>
      </c>
      <c r="K2711" s="51" t="str">
        <f>VLOOKUP(H2711,Stock_list!A:T,16,FALSE)</f>
        <v>JPY</v>
      </c>
      <c r="L2711" s="4">
        <v>44313</v>
      </c>
      <c r="M2711" s="132">
        <v>35</v>
      </c>
      <c r="P2711" s="4" t="str">
        <f>VLOOKUP(H2711,Stock_list!A:Y,25,FALSE)</f>
        <v>Yes</v>
      </c>
      <c r="Q2711" s="143"/>
      <c r="T2711" s="144"/>
      <c r="U2711" s="145" t="str">
        <f>VLOOKUP(H2711,Stock_list!A:N,14,FALSE)</f>
        <v>APR 21</v>
      </c>
    </row>
    <row r="2712" spans="1:21" ht="16.5" customHeight="1">
      <c r="A2712" s="159" t="s">
        <v>2748</v>
      </c>
      <c r="B2712" s="114" t="str">
        <f>VLOOKUP(A2712,'Data pick slip'!B:F,5,FALSE)</f>
        <v>KHJ-MC400-00</v>
      </c>
      <c r="F2712" s="157" t="s">
        <v>1381</v>
      </c>
      <c r="H2712" s="138">
        <v>1105</v>
      </c>
      <c r="I2712" s="139" t="str">
        <f>VLOOKUP(H2712,Stock_list!A:R,18,FALSE)</f>
        <v>嘉裕</v>
      </c>
      <c r="J2712" s="139" t="str">
        <f>VLOOKUP(H2712,Stock_list!A:S,17,FALSE)</f>
        <v>C49SZX20210029DZ</v>
      </c>
      <c r="K2712" s="51" t="str">
        <f>VLOOKUP(H2712,Stock_list!A:T,16,FALSE)</f>
        <v>JPY</v>
      </c>
      <c r="L2712" s="4">
        <v>44313</v>
      </c>
      <c r="M2712" s="132">
        <v>10</v>
      </c>
      <c r="P2712" s="4" t="str">
        <f>VLOOKUP(H2712,Stock_list!A:Y,25,FALSE)</f>
        <v>Yes</v>
      </c>
      <c r="Q2712" s="143"/>
      <c r="T2712" s="144"/>
      <c r="U2712" s="145" t="str">
        <f>VLOOKUP(H2712,Stock_list!A:N,14,FALSE)</f>
        <v>APR 21</v>
      </c>
    </row>
    <row r="2713" spans="1:21" ht="16.5" customHeight="1">
      <c r="A2713" s="159" t="s">
        <v>2749</v>
      </c>
      <c r="B2713" s="114" t="str">
        <f>VLOOKUP(A2713,'Data pick slip'!B:F,5,FALSE)</f>
        <v>KHJ-MC500-00</v>
      </c>
      <c r="F2713" s="157" t="s">
        <v>1381</v>
      </c>
      <c r="H2713" s="138">
        <v>1105</v>
      </c>
      <c r="I2713" s="139" t="str">
        <f>VLOOKUP(H2713,Stock_list!A:R,18,FALSE)</f>
        <v>嘉裕</v>
      </c>
      <c r="J2713" s="139" t="str">
        <f>VLOOKUP(H2713,Stock_list!A:S,17,FALSE)</f>
        <v>C49SZX20210029DZ</v>
      </c>
      <c r="K2713" s="51" t="str">
        <f>VLOOKUP(H2713,Stock_list!A:T,16,FALSE)</f>
        <v>JPY</v>
      </c>
      <c r="L2713" s="4">
        <v>44313</v>
      </c>
      <c r="M2713" s="132">
        <v>5</v>
      </c>
      <c r="P2713" s="4" t="str">
        <f>VLOOKUP(H2713,Stock_list!A:Y,25,FALSE)</f>
        <v>Yes</v>
      </c>
      <c r="Q2713" s="143"/>
      <c r="T2713" s="144"/>
      <c r="U2713" s="145" t="str">
        <f>VLOOKUP(H2713,Stock_list!A:N,14,FALSE)</f>
        <v>APR 21</v>
      </c>
    </row>
    <row r="2714" spans="1:21" ht="16.5" customHeight="1">
      <c r="A2714" s="159" t="s">
        <v>2750</v>
      </c>
      <c r="B2714" s="114" t="str">
        <f>VLOOKUP(A2714,'Data pick slip'!B:F,5,FALSE)</f>
        <v>KHJ-MC600-00</v>
      </c>
      <c r="F2714" s="157" t="s">
        <v>1381</v>
      </c>
      <c r="H2714" s="138">
        <v>1105</v>
      </c>
      <c r="I2714" s="139" t="str">
        <f>VLOOKUP(H2714,Stock_list!A:R,18,FALSE)</f>
        <v>嘉裕</v>
      </c>
      <c r="J2714" s="139" t="str">
        <f>VLOOKUP(H2714,Stock_list!A:S,17,FALSE)</f>
        <v>C49SZX20210029DZ</v>
      </c>
      <c r="K2714" s="51" t="str">
        <f>VLOOKUP(H2714,Stock_list!A:T,16,FALSE)</f>
        <v>JPY</v>
      </c>
      <c r="L2714" s="4">
        <v>44313</v>
      </c>
      <c r="M2714" s="132">
        <v>2</v>
      </c>
      <c r="P2714" s="4" t="str">
        <f>VLOOKUP(H2714,Stock_list!A:Y,25,FALSE)</f>
        <v>Yes</v>
      </c>
      <c r="Q2714" s="143"/>
      <c r="T2714" s="144"/>
      <c r="U2714" s="145" t="str">
        <f>VLOOKUP(H2714,Stock_list!A:N,14,FALSE)</f>
        <v>APR 21</v>
      </c>
    </row>
    <row r="2715" spans="1:21" ht="16.5" customHeight="1">
      <c r="A2715" s="159" t="s">
        <v>2744</v>
      </c>
      <c r="B2715" s="114" t="str">
        <f>VLOOKUP(A2715,'Data pick slip'!B:F,5,FALSE)</f>
        <v>KHJ-MC100-00</v>
      </c>
      <c r="F2715" s="157" t="s">
        <v>1381</v>
      </c>
      <c r="H2715" s="138">
        <v>1106</v>
      </c>
      <c r="I2715" s="139" t="str">
        <f>VLOOKUP(H2715,Stock_list!A:R,18,FALSE)</f>
        <v>赛美达</v>
      </c>
      <c r="J2715" s="139" t="str">
        <f>VLOOKUP(H2715,Stock_list!A:S,17,FALSE)</f>
        <v>C49SZX20210038SX</v>
      </c>
      <c r="K2715" s="51" t="str">
        <f>VLOOKUP(H2715,Stock_list!A:T,16,FALSE)</f>
        <v>JPY</v>
      </c>
      <c r="L2715" s="4">
        <v>44288</v>
      </c>
      <c r="M2715" s="132">
        <v>23</v>
      </c>
      <c r="P2715" s="4" t="str">
        <f>VLOOKUP(H2715,Stock_list!A:Y,25,FALSE)</f>
        <v>Yes</v>
      </c>
      <c r="T2715" s="144"/>
      <c r="U2715" s="145" t="str">
        <f>VLOOKUP(H2715,Stock_list!A:N,14,FALSE)</f>
        <v>APR 21</v>
      </c>
    </row>
    <row r="2716" spans="1:21" ht="16.5" customHeight="1">
      <c r="A2716" s="159" t="s">
        <v>2747</v>
      </c>
      <c r="B2716" s="114" t="str">
        <f>VLOOKUP(A2716,'Data pick slip'!B:F,5,FALSE)</f>
        <v>KHJ-MC200-00</v>
      </c>
      <c r="F2716" s="157" t="s">
        <v>1381</v>
      </c>
      <c r="H2716" s="138">
        <v>1106</v>
      </c>
      <c r="I2716" s="139" t="str">
        <f>VLOOKUP(H2716,Stock_list!A:R,18,FALSE)</f>
        <v>赛美达</v>
      </c>
      <c r="J2716" s="139" t="str">
        <f>VLOOKUP(H2716,Stock_list!A:S,17,FALSE)</f>
        <v>C49SZX20210038SX</v>
      </c>
      <c r="K2716" s="51" t="str">
        <f>VLOOKUP(H2716,Stock_list!A:T,16,FALSE)</f>
        <v>JPY</v>
      </c>
      <c r="L2716" s="4">
        <v>44288</v>
      </c>
      <c r="M2716" s="132">
        <v>8</v>
      </c>
      <c r="P2716" s="4" t="str">
        <f>VLOOKUP(H2716,Stock_list!A:Y,25,FALSE)</f>
        <v>Yes</v>
      </c>
      <c r="T2716" s="144"/>
      <c r="U2716" s="145" t="str">
        <f>VLOOKUP(H2716,Stock_list!A:N,14,FALSE)</f>
        <v>APR 21</v>
      </c>
    </row>
    <row r="2717" spans="1:21" ht="16.5" customHeight="1">
      <c r="A2717" s="159" t="s">
        <v>2777</v>
      </c>
      <c r="B2717" s="114" t="str">
        <f>VLOOKUP(A2717,'Data pick slip'!B:F,5,FALSE)</f>
        <v>KHJ-MC400-00</v>
      </c>
      <c r="F2717" s="157" t="s">
        <v>2753</v>
      </c>
      <c r="H2717" s="138">
        <v>1106</v>
      </c>
      <c r="I2717" s="139" t="str">
        <f>VLOOKUP(H2717,Stock_list!A:R,18,FALSE)</f>
        <v>赛美达</v>
      </c>
      <c r="J2717" s="139" t="str">
        <f>VLOOKUP(H2717,Stock_list!A:S,17,FALSE)</f>
        <v>C49SZX20210038SX</v>
      </c>
      <c r="K2717" s="51" t="str">
        <f>VLOOKUP(H2717,Stock_list!A:T,16,FALSE)</f>
        <v>JPY</v>
      </c>
      <c r="L2717" s="4">
        <v>44288</v>
      </c>
      <c r="M2717" s="132">
        <v>1</v>
      </c>
      <c r="P2717" s="4" t="str">
        <f>VLOOKUP(H2717,Stock_list!A:Y,25,FALSE)</f>
        <v>Yes</v>
      </c>
      <c r="S2717" s="268" t="s">
        <v>2778</v>
      </c>
      <c r="T2717" s="266" t="s">
        <v>3385</v>
      </c>
      <c r="U2717" s="145" t="str">
        <f>VLOOKUP(H2717,Stock_list!A:N,14,FALSE)</f>
        <v>APR 21</v>
      </c>
    </row>
    <row r="2718" spans="1:21" ht="16.5" customHeight="1">
      <c r="A2718" s="159" t="s">
        <v>2749</v>
      </c>
      <c r="B2718" s="114" t="str">
        <f>VLOOKUP(A2718,'Data pick slip'!B:F,5,FALSE)</f>
        <v>KHJ-MC500-00</v>
      </c>
      <c r="F2718" s="157" t="s">
        <v>2753</v>
      </c>
      <c r="H2718" s="138">
        <v>1106</v>
      </c>
      <c r="I2718" s="139" t="str">
        <f>VLOOKUP(H2718,Stock_list!A:R,18,FALSE)</f>
        <v>赛美达</v>
      </c>
      <c r="J2718" s="139" t="str">
        <f>VLOOKUP(H2718,Stock_list!A:S,17,FALSE)</f>
        <v>C49SZX20210038SX</v>
      </c>
      <c r="K2718" s="51" t="str">
        <f>VLOOKUP(H2718,Stock_list!A:T,16,FALSE)</f>
        <v>JPY</v>
      </c>
      <c r="L2718" s="4">
        <v>44288</v>
      </c>
      <c r="M2718" s="132">
        <v>1</v>
      </c>
      <c r="P2718" s="4" t="str">
        <f>VLOOKUP(H2718,Stock_list!A:Y,25,FALSE)</f>
        <v>Yes</v>
      </c>
      <c r="S2718" s="268" t="s">
        <v>2778</v>
      </c>
      <c r="T2718" s="266" t="s">
        <v>3385</v>
      </c>
      <c r="U2718" s="145" t="str">
        <f>VLOOKUP(H2718,Stock_list!A:N,14,FALSE)</f>
        <v>APR 21</v>
      </c>
    </row>
    <row r="2719" spans="1:21" ht="16.5" customHeight="1">
      <c r="A2719" s="159" t="s">
        <v>2744</v>
      </c>
      <c r="B2719" s="114" t="str">
        <f>VLOOKUP(A2719,'Data pick slip'!B:F,5,FALSE)</f>
        <v>KHJ-MC100-00</v>
      </c>
      <c r="F2719" s="157" t="s">
        <v>1381</v>
      </c>
      <c r="H2719" s="138">
        <v>1109</v>
      </c>
      <c r="I2719" s="139" t="str">
        <f>VLOOKUP(H2719,Stock_list!A:R,18,FALSE)</f>
        <v>模鑫</v>
      </c>
      <c r="J2719" s="139" t="str">
        <f>VLOOKUP(H2719,Stock_list!A:S,17,FALSE)</f>
        <v>C49SZX20210037SX</v>
      </c>
      <c r="K2719" s="51" t="str">
        <f>VLOOKUP(H2719,Stock_list!A:T,16,FALSE)</f>
        <v>JPY</v>
      </c>
      <c r="L2719" s="4">
        <v>44277</v>
      </c>
      <c r="M2719" s="143">
        <v>100</v>
      </c>
      <c r="P2719" s="4" t="str">
        <f>VLOOKUP(H2719,Stock_list!A:Y,25,FALSE)</f>
        <v>Yes</v>
      </c>
      <c r="Q2719" s="143"/>
      <c r="T2719" s="144"/>
      <c r="U2719" s="145" t="str">
        <f>VLOOKUP(H2719,Stock_list!A:N,14,FALSE)</f>
        <v>MAR 21</v>
      </c>
    </row>
    <row r="2720" spans="1:21" ht="16.5" customHeight="1">
      <c r="A2720" s="159" t="s">
        <v>2747</v>
      </c>
      <c r="B2720" s="114" t="str">
        <f>VLOOKUP(A2720,'Data pick slip'!B:F,5,FALSE)</f>
        <v>KHJ-MC200-00</v>
      </c>
      <c r="F2720" s="157" t="s">
        <v>1381</v>
      </c>
      <c r="H2720" s="138">
        <v>1109</v>
      </c>
      <c r="I2720" s="139" t="str">
        <f>VLOOKUP(H2720,Stock_list!A:R,18,FALSE)</f>
        <v>模鑫</v>
      </c>
      <c r="J2720" s="139" t="str">
        <f>VLOOKUP(H2720,Stock_list!A:S,17,FALSE)</f>
        <v>C49SZX20210037SX</v>
      </c>
      <c r="K2720" s="51" t="str">
        <f>VLOOKUP(H2720,Stock_list!A:T,16,FALSE)</f>
        <v>JPY</v>
      </c>
      <c r="L2720" s="4">
        <v>44277</v>
      </c>
      <c r="M2720" s="143">
        <v>20</v>
      </c>
      <c r="P2720" s="4" t="str">
        <f>VLOOKUP(H2720,Stock_list!A:Y,25,FALSE)</f>
        <v>Yes</v>
      </c>
      <c r="Q2720" s="143"/>
      <c r="T2720" s="144"/>
      <c r="U2720" s="145" t="str">
        <f>VLOOKUP(H2720,Stock_list!A:N,14,FALSE)</f>
        <v>MAR 21</v>
      </c>
    </row>
    <row r="2721" spans="1:21" ht="16.5" customHeight="1">
      <c r="A2721" s="159" t="s">
        <v>2744</v>
      </c>
      <c r="B2721" s="114" t="str">
        <f>VLOOKUP(A2721,'Data pick slip'!B:F,5,FALSE)</f>
        <v>KHJ-MC100-00</v>
      </c>
      <c r="F2721" s="157" t="s">
        <v>1381</v>
      </c>
      <c r="H2721" s="138">
        <v>1111</v>
      </c>
      <c r="I2721" s="139" t="str">
        <f>VLOOKUP(H2721,Stock_list!A:R,18,FALSE)</f>
        <v>捷舜诚</v>
      </c>
      <c r="J2721" s="139" t="str">
        <f>VLOOKUP(H2721,Stock_list!A:S,17,FALSE)</f>
        <v>C49SZX20210032JL</v>
      </c>
      <c r="K2721" s="51" t="str">
        <f>VLOOKUP(H2721,Stock_list!A:T,16,FALSE)</f>
        <v>JPY</v>
      </c>
      <c r="L2721" s="4">
        <v>44286</v>
      </c>
      <c r="M2721" s="143">
        <v>28</v>
      </c>
      <c r="P2721" s="4" t="str">
        <f>VLOOKUP(H2721,Stock_list!A:Y,25,FALSE)</f>
        <v>Yes</v>
      </c>
      <c r="Q2721" s="143"/>
      <c r="T2721" s="144"/>
      <c r="U2721" s="145" t="str">
        <f>VLOOKUP(H2721,Stock_list!A:N,14,FALSE)</f>
        <v>FEB 21</v>
      </c>
    </row>
    <row r="2722" spans="1:21" ht="16.5" customHeight="1">
      <c r="A2722" s="159" t="s">
        <v>2747</v>
      </c>
      <c r="B2722" s="114" t="str">
        <f>VLOOKUP(A2722,'Data pick slip'!B:F,5,FALSE)</f>
        <v>KHJ-MC200-00</v>
      </c>
      <c r="F2722" s="157" t="s">
        <v>1381</v>
      </c>
      <c r="H2722" s="138">
        <v>1111</v>
      </c>
      <c r="I2722" s="139" t="str">
        <f>VLOOKUP(H2722,Stock_list!A:R,18,FALSE)</f>
        <v>捷舜诚</v>
      </c>
      <c r="J2722" s="139" t="str">
        <f>VLOOKUP(H2722,Stock_list!A:S,17,FALSE)</f>
        <v>C49SZX20210032JL</v>
      </c>
      <c r="K2722" s="51" t="str">
        <f>VLOOKUP(H2722,Stock_list!A:T,16,FALSE)</f>
        <v>JPY</v>
      </c>
      <c r="L2722" s="4">
        <v>44286</v>
      </c>
      <c r="M2722" s="143">
        <v>1</v>
      </c>
      <c r="P2722" s="4" t="str">
        <f>VLOOKUP(H2722,Stock_list!A:Y,25,FALSE)</f>
        <v>Yes</v>
      </c>
      <c r="Q2722" s="143"/>
      <c r="T2722" s="144"/>
      <c r="U2722" s="145" t="str">
        <f>VLOOKUP(H2722,Stock_list!A:N,14,FALSE)</f>
        <v>FEB 21</v>
      </c>
    </row>
    <row r="2723" spans="1:21" ht="16.5" customHeight="1">
      <c r="A2723" s="159" t="s">
        <v>2748</v>
      </c>
      <c r="B2723" s="114" t="str">
        <f>VLOOKUP(A2723,'Data pick slip'!B:F,5,FALSE)</f>
        <v>KHJ-MC400-00</v>
      </c>
      <c r="F2723" s="157" t="s">
        <v>2753</v>
      </c>
      <c r="H2723" s="138">
        <v>1111</v>
      </c>
      <c r="I2723" s="139" t="str">
        <f>VLOOKUP(H2723,Stock_list!A:R,18,FALSE)</f>
        <v>捷舜诚</v>
      </c>
      <c r="J2723" s="139" t="str">
        <f>VLOOKUP(H2723,Stock_list!A:S,17,FALSE)</f>
        <v>C49SZX20210032JL</v>
      </c>
      <c r="K2723" s="51" t="str">
        <f>VLOOKUP(H2723,Stock_list!A:T,16,FALSE)</f>
        <v>JPY</v>
      </c>
      <c r="L2723" s="4">
        <v>44286</v>
      </c>
      <c r="M2723" s="143">
        <v>1</v>
      </c>
      <c r="P2723" s="4" t="str">
        <f>VLOOKUP(H2723,Stock_list!A:Y,25,FALSE)</f>
        <v>Yes</v>
      </c>
      <c r="Q2723" s="143"/>
      <c r="S2723" s="268" t="s">
        <v>2778</v>
      </c>
      <c r="T2723" s="266" t="s">
        <v>3385</v>
      </c>
      <c r="U2723" s="145" t="str">
        <f>VLOOKUP(H2723,Stock_list!A:N,14,FALSE)</f>
        <v>FEB 21</v>
      </c>
    </row>
    <row r="2724" spans="1:21" ht="16.5" customHeight="1">
      <c r="A2724" s="159" t="s">
        <v>2744</v>
      </c>
      <c r="B2724" s="114" t="str">
        <f>VLOOKUP(A2724,'Data pick slip'!B:F,5,FALSE)</f>
        <v>KHJ-MC100-00</v>
      </c>
      <c r="F2724" s="157" t="s">
        <v>1381</v>
      </c>
      <c r="H2724" s="138">
        <v>1111</v>
      </c>
      <c r="I2724" s="139" t="str">
        <f>VLOOKUP(H2724,Stock_list!A:R,18,FALSE)</f>
        <v>捷舜诚</v>
      </c>
      <c r="J2724" s="139" t="str">
        <f>VLOOKUP(H2724,Stock_list!A:S,17,FALSE)</f>
        <v>C49SZX20210032JL</v>
      </c>
      <c r="K2724" s="51" t="str">
        <f>VLOOKUP(H2724,Stock_list!A:T,16,FALSE)</f>
        <v>JPY</v>
      </c>
      <c r="L2724" s="4">
        <v>44256</v>
      </c>
      <c r="M2724" s="143">
        <v>28</v>
      </c>
      <c r="N2724" s="146"/>
      <c r="P2724" s="4" t="str">
        <f>VLOOKUP(H2724,Stock_list!A:Y,25,FALSE)</f>
        <v>Yes</v>
      </c>
      <c r="Q2724" s="143"/>
      <c r="T2724" s="144"/>
      <c r="U2724" s="145" t="str">
        <f>VLOOKUP(H2724,Stock_list!A:N,14,FALSE)</f>
        <v>FEB 21</v>
      </c>
    </row>
    <row r="2725" spans="1:21" ht="16.5" customHeight="1">
      <c r="A2725" s="159" t="s">
        <v>2747</v>
      </c>
      <c r="B2725" s="114" t="str">
        <f>VLOOKUP(A2725,'Data pick slip'!B:F,5,FALSE)</f>
        <v>KHJ-MC200-00</v>
      </c>
      <c r="F2725" s="157" t="s">
        <v>1381</v>
      </c>
      <c r="H2725" s="138">
        <v>1111</v>
      </c>
      <c r="I2725" s="139" t="str">
        <f>VLOOKUP(H2725,Stock_list!A:R,18,FALSE)</f>
        <v>捷舜诚</v>
      </c>
      <c r="J2725" s="139" t="str">
        <f>VLOOKUP(H2725,Stock_list!A:S,17,FALSE)</f>
        <v>C49SZX20210032JL</v>
      </c>
      <c r="K2725" s="51" t="str">
        <f>VLOOKUP(H2725,Stock_list!A:T,16,FALSE)</f>
        <v>JPY</v>
      </c>
      <c r="L2725" s="4">
        <v>44256</v>
      </c>
      <c r="M2725" s="143">
        <v>1</v>
      </c>
      <c r="N2725" s="146"/>
      <c r="P2725" s="4" t="str">
        <f>VLOOKUP(H2725,Stock_list!A:Y,25,FALSE)</f>
        <v>Yes</v>
      </c>
      <c r="Q2725" s="143"/>
      <c r="T2725" s="144"/>
      <c r="U2725" s="145" t="str">
        <f>VLOOKUP(H2725,Stock_list!A:N,14,FALSE)</f>
        <v>FEB 21</v>
      </c>
    </row>
    <row r="2726" spans="1:21" ht="16.5" customHeight="1">
      <c r="A2726" s="159" t="s">
        <v>2748</v>
      </c>
      <c r="B2726" s="114" t="str">
        <f>VLOOKUP(A2726,'Data pick slip'!B:F,5,FALSE)</f>
        <v>KHJ-MC400-00</v>
      </c>
      <c r="F2726" s="157" t="s">
        <v>1381</v>
      </c>
      <c r="H2726" s="138">
        <v>1111</v>
      </c>
      <c r="I2726" s="139" t="str">
        <f>VLOOKUP(H2726,Stock_list!A:R,18,FALSE)</f>
        <v>捷舜诚</v>
      </c>
      <c r="J2726" s="139" t="str">
        <f>VLOOKUP(H2726,Stock_list!A:S,17,FALSE)</f>
        <v>C49SZX20210032JL</v>
      </c>
      <c r="K2726" s="51" t="str">
        <f>VLOOKUP(H2726,Stock_list!A:T,16,FALSE)</f>
        <v>JPY</v>
      </c>
      <c r="L2726" s="4">
        <v>44256</v>
      </c>
      <c r="M2726" s="143">
        <v>1</v>
      </c>
      <c r="N2726" s="146"/>
      <c r="P2726" s="4" t="str">
        <f>VLOOKUP(H2726,Stock_list!A:Y,25,FALSE)</f>
        <v>Yes</v>
      </c>
      <c r="Q2726" s="143"/>
      <c r="T2726" s="144"/>
      <c r="U2726" s="145" t="str">
        <f>VLOOKUP(H2726,Stock_list!A:N,14,FALSE)</f>
        <v>FEB 21</v>
      </c>
    </row>
    <row r="2727" spans="1:21" ht="16.5" customHeight="1">
      <c r="A2727" s="159" t="s">
        <v>2744</v>
      </c>
      <c r="B2727" s="114" t="str">
        <f>VLOOKUP(A2727,'Data pick slip'!B:F,5,FALSE)</f>
        <v>KHJ-MC100-00</v>
      </c>
      <c r="F2727" s="157" t="s">
        <v>1381</v>
      </c>
      <c r="H2727" s="138">
        <v>1119</v>
      </c>
      <c r="I2727" s="139" t="str">
        <f>VLOOKUP(H2727,Stock_list!A:R,18,FALSE)</f>
        <v>英拓邦</v>
      </c>
      <c r="J2727" s="139" t="str">
        <f>VLOOKUP(H2727,Stock_list!A:S,17,FALSE)</f>
        <v>C49SZX20210011JY</v>
      </c>
      <c r="K2727" s="51" t="str">
        <f>VLOOKUP(H2727,Stock_list!A:T,16,FALSE)</f>
        <v>JPY</v>
      </c>
      <c r="L2727" s="4">
        <v>44277</v>
      </c>
      <c r="M2727" s="143">
        <v>400</v>
      </c>
      <c r="P2727" s="4" t="str">
        <f>VLOOKUP(H2727,Stock_list!A:Y,25,FALSE)</f>
        <v>Yes</v>
      </c>
      <c r="Q2727" s="143"/>
      <c r="T2727" s="144"/>
      <c r="U2727" s="145" t="str">
        <f>VLOOKUP(H2727,Stock_list!A:N,14,FALSE)</f>
        <v>MAR 21</v>
      </c>
    </row>
    <row r="2728" spans="1:21" ht="16.5" customHeight="1">
      <c r="A2728" s="159" t="s">
        <v>2747</v>
      </c>
      <c r="B2728" s="114" t="str">
        <f>VLOOKUP(A2728,'Data pick slip'!B:F,5,FALSE)</f>
        <v>KHJ-MC200-00</v>
      </c>
      <c r="F2728" s="157" t="s">
        <v>1381</v>
      </c>
      <c r="H2728" s="138">
        <v>1119</v>
      </c>
      <c r="I2728" s="139" t="str">
        <f>VLOOKUP(H2728,Stock_list!A:R,18,FALSE)</f>
        <v>英拓邦</v>
      </c>
      <c r="J2728" s="139" t="str">
        <f>VLOOKUP(H2728,Stock_list!A:S,17,FALSE)</f>
        <v>C49SZX20210011JY</v>
      </c>
      <c r="K2728" s="51" t="str">
        <f>VLOOKUP(H2728,Stock_list!A:T,16,FALSE)</f>
        <v>JPY</v>
      </c>
      <c r="L2728" s="4">
        <v>44277</v>
      </c>
      <c r="M2728" s="143">
        <v>60</v>
      </c>
      <c r="P2728" s="4" t="str">
        <f>VLOOKUP(H2728,Stock_list!A:Y,25,FALSE)</f>
        <v>Yes</v>
      </c>
      <c r="Q2728" s="143"/>
      <c r="T2728" s="144"/>
      <c r="U2728" s="145" t="str">
        <f>VLOOKUP(H2728,Stock_list!A:N,14,FALSE)</f>
        <v>MAR 21</v>
      </c>
    </row>
    <row r="2729" spans="1:21" ht="16.5" customHeight="1">
      <c r="A2729" s="159" t="s">
        <v>2748</v>
      </c>
      <c r="B2729" s="114" t="str">
        <f>VLOOKUP(A2729,'Data pick slip'!B:F,5,FALSE)</f>
        <v>KHJ-MC400-00</v>
      </c>
      <c r="F2729" s="157" t="s">
        <v>1381</v>
      </c>
      <c r="H2729" s="138">
        <v>1119</v>
      </c>
      <c r="I2729" s="139" t="str">
        <f>VLOOKUP(H2729,Stock_list!A:R,18,FALSE)</f>
        <v>英拓邦</v>
      </c>
      <c r="J2729" s="139" t="str">
        <f>VLOOKUP(H2729,Stock_list!A:S,17,FALSE)</f>
        <v>C49SZX20210011JY</v>
      </c>
      <c r="K2729" s="51" t="str">
        <f>VLOOKUP(H2729,Stock_list!A:T,16,FALSE)</f>
        <v>JPY</v>
      </c>
      <c r="L2729" s="4">
        <v>44277</v>
      </c>
      <c r="M2729" s="143">
        <v>11</v>
      </c>
      <c r="N2729" s="146"/>
      <c r="P2729" s="4" t="str">
        <f>VLOOKUP(H2729,Stock_list!A:Y,25,FALSE)</f>
        <v>Yes</v>
      </c>
      <c r="Q2729" s="143"/>
      <c r="T2729" s="144"/>
      <c r="U2729" s="145" t="str">
        <f>VLOOKUP(H2729,Stock_list!A:N,14,FALSE)</f>
        <v>MAR 21</v>
      </c>
    </row>
    <row r="2730" spans="1:21" ht="16.5" customHeight="1">
      <c r="A2730" s="159" t="s">
        <v>2748</v>
      </c>
      <c r="B2730" s="280" t="str">
        <f>VLOOKUP(A2730,'Data pick slip'!B:F,5,FALSE)</f>
        <v>KHJ-MC400-00</v>
      </c>
      <c r="F2730" s="157" t="s">
        <v>2753</v>
      </c>
      <c r="H2730" s="138">
        <v>1119</v>
      </c>
      <c r="I2730" s="139" t="str">
        <f>VLOOKUP(H2730,Stock_list!A:R,18,FALSE)</f>
        <v>英拓邦</v>
      </c>
      <c r="J2730" s="139" t="str">
        <f>VLOOKUP(H2730,Stock_list!A:S,17,FALSE)</f>
        <v>C49SZX20210011JY</v>
      </c>
      <c r="K2730" s="51" t="str">
        <f>VLOOKUP(H2730,Stock_list!A:T,16,FALSE)</f>
        <v>JPY</v>
      </c>
      <c r="L2730" s="4">
        <v>44277</v>
      </c>
      <c r="M2730" s="143">
        <v>9</v>
      </c>
      <c r="N2730" s="146"/>
      <c r="P2730" s="4" t="str">
        <f>VLOOKUP(H2730,Stock_list!A:Y,25,FALSE)</f>
        <v>Yes</v>
      </c>
      <c r="Q2730" s="143"/>
      <c r="S2730" s="268" t="s">
        <v>2778</v>
      </c>
      <c r="T2730" s="266" t="s">
        <v>3418</v>
      </c>
      <c r="U2730" s="145" t="str">
        <f>VLOOKUP(H2730,Stock_list!A:N,14,FALSE)</f>
        <v>MAR 21</v>
      </c>
    </row>
    <row r="2731" spans="1:21" ht="16.5" customHeight="1">
      <c r="A2731" s="159" t="s">
        <v>2749</v>
      </c>
      <c r="B2731" s="280" t="str">
        <f>VLOOKUP(A2731,'Data pick slip'!B:F,5,FALSE)</f>
        <v>KHJ-MC500-00</v>
      </c>
      <c r="F2731" s="157" t="s">
        <v>2753</v>
      </c>
      <c r="H2731" s="138">
        <v>1119</v>
      </c>
      <c r="I2731" s="139" t="str">
        <f>VLOOKUP(H2731,Stock_list!A:R,18,FALSE)</f>
        <v>英拓邦</v>
      </c>
      <c r="J2731" s="139" t="str">
        <f>VLOOKUP(H2731,Stock_list!A:S,17,FALSE)</f>
        <v>C49SZX20210011JY</v>
      </c>
      <c r="K2731" s="51" t="str">
        <f>VLOOKUP(H2731,Stock_list!A:T,16,FALSE)</f>
        <v>JPY</v>
      </c>
      <c r="L2731" s="4">
        <v>44277</v>
      </c>
      <c r="M2731" s="143">
        <v>3</v>
      </c>
      <c r="N2731" s="146"/>
      <c r="P2731" s="4" t="str">
        <f>VLOOKUP(H2731,Stock_list!A:Y,25,FALSE)</f>
        <v>Yes</v>
      </c>
      <c r="Q2731" s="143"/>
      <c r="S2731" s="268" t="s">
        <v>2778</v>
      </c>
      <c r="T2731" s="266" t="s">
        <v>3418</v>
      </c>
      <c r="U2731" s="145" t="str">
        <f>VLOOKUP(H2731,Stock_list!A:N,14,FALSE)</f>
        <v>MAR 21</v>
      </c>
    </row>
    <row r="2732" spans="1:21" ht="16.5" customHeight="1">
      <c r="A2732" s="159" t="s">
        <v>2750</v>
      </c>
      <c r="B2732" s="114" t="str">
        <f>VLOOKUP(A2732,'Data pick slip'!B:F,5,FALSE)</f>
        <v>KHJ-MC600-00</v>
      </c>
      <c r="F2732" s="157" t="s">
        <v>1381</v>
      </c>
      <c r="H2732" s="138">
        <v>1119</v>
      </c>
      <c r="I2732" s="139" t="str">
        <f>VLOOKUP(H2732,Stock_list!A:R,18,FALSE)</f>
        <v>英拓邦</v>
      </c>
      <c r="J2732" s="139" t="str">
        <f>VLOOKUP(H2732,Stock_list!A:S,17,FALSE)</f>
        <v>C49SZX20210011JY</v>
      </c>
      <c r="K2732" s="51" t="str">
        <f>VLOOKUP(H2732,Stock_list!A:T,16,FALSE)</f>
        <v>JPY</v>
      </c>
      <c r="L2732" s="4">
        <v>44277</v>
      </c>
      <c r="M2732" s="143">
        <v>2</v>
      </c>
      <c r="N2732" s="146"/>
      <c r="P2732" s="4" t="str">
        <f>VLOOKUP(H2732,Stock_list!A:Y,25,FALSE)</f>
        <v>Yes</v>
      </c>
      <c r="Q2732" s="143"/>
      <c r="T2732" s="144"/>
      <c r="U2732" s="145" t="str">
        <f>VLOOKUP(H2732,Stock_list!A:N,14,FALSE)</f>
        <v>MAR 21</v>
      </c>
    </row>
    <row r="2733" spans="1:21" ht="16.5" customHeight="1">
      <c r="A2733" s="159" t="s">
        <v>2751</v>
      </c>
      <c r="B2733" s="114" t="str">
        <f>VLOOKUP(A2733,'Data pick slip'!B:F,5,FALSE)</f>
        <v>KHJ-MC700-00</v>
      </c>
      <c r="F2733" s="157" t="s">
        <v>1381</v>
      </c>
      <c r="H2733" s="138">
        <v>1119</v>
      </c>
      <c r="I2733" s="139" t="str">
        <f>VLOOKUP(H2733,Stock_list!A:R,18,FALSE)</f>
        <v>英拓邦</v>
      </c>
      <c r="J2733" s="139" t="str">
        <f>VLOOKUP(H2733,Stock_list!A:S,17,FALSE)</f>
        <v>C49SZX20210011JY</v>
      </c>
      <c r="K2733" s="51" t="str">
        <f>VLOOKUP(H2733,Stock_list!A:T,16,FALSE)</f>
        <v>JPY</v>
      </c>
      <c r="L2733" s="4">
        <v>44334</v>
      </c>
      <c r="M2733" s="140">
        <v>1</v>
      </c>
      <c r="N2733" s="143"/>
      <c r="P2733" s="4" t="str">
        <f>VLOOKUP(H2733,Stock_list!A:Y,25,FALSE)</f>
        <v>Yes</v>
      </c>
      <c r="Q2733" s="143"/>
      <c r="S2733" s="268" t="s">
        <v>2778</v>
      </c>
      <c r="T2733" s="266" t="s">
        <v>3419</v>
      </c>
      <c r="U2733" s="145" t="str">
        <f>VLOOKUP(H2733,Stock_list!A:N,14,FALSE)</f>
        <v>MAR 21</v>
      </c>
    </row>
    <row r="2734" spans="1:21" ht="16.5" customHeight="1">
      <c r="A2734" s="159" t="s">
        <v>2744</v>
      </c>
      <c r="B2734" s="114" t="str">
        <f>VLOOKUP(A2734,'Data pick slip'!B:F,5,FALSE)</f>
        <v>KHJ-MC100-00</v>
      </c>
      <c r="F2734" s="157" t="s">
        <v>1381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2747</v>
      </c>
      <c r="B2735" s="114" t="str">
        <f>VLOOKUP(A2735,'Data pick slip'!B:F,5,FALSE)</f>
        <v>KHJ-MC200-00</v>
      </c>
      <c r="F2735" s="157" t="s">
        <v>1381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2748</v>
      </c>
      <c r="B2736" s="114" t="str">
        <f>VLOOKUP(A2736,'Data pick slip'!B:F,5,FALSE)</f>
        <v>KHJ-MC400-00</v>
      </c>
      <c r="F2736" s="157" t="s">
        <v>1381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2755</v>
      </c>
      <c r="B2737" s="114" t="str">
        <f>VLOOKUP(A2737,'Data pick slip'!B:F,5,FALSE)</f>
        <v>KLJ-MC100-00</v>
      </c>
      <c r="F2737" s="157" t="s">
        <v>1381</v>
      </c>
      <c r="H2737" s="138">
        <v>1128</v>
      </c>
      <c r="I2737" s="139" t="str">
        <f>VLOOKUP(H2737,Stock_list!A:R,18,FALSE)</f>
        <v>恒泰创新</v>
      </c>
      <c r="J2737" s="139" t="str">
        <f>VLOOKUP(H2737,Stock_list!A:S,17,FALSE)</f>
        <v>C49SZX20210036JZ</v>
      </c>
      <c r="K2737" s="51" t="str">
        <f>VLOOKUP(H2737,Stock_list!A:T,16,FALSE)</f>
        <v>JPY</v>
      </c>
      <c r="L2737" s="4">
        <v>44307</v>
      </c>
      <c r="M2737" s="143">
        <v>50</v>
      </c>
      <c r="P2737" s="4" t="str">
        <f>VLOOKUP(H2737,Stock_list!A:Y,25,FALSE)</f>
        <v>Yes</v>
      </c>
      <c r="T2737" s="144"/>
      <c r="U2737" s="145" t="str">
        <f>VLOOKUP(H2737,Stock_list!A:N,14,FALSE)</f>
        <v>APR 21</v>
      </c>
    </row>
    <row r="2738" spans="1:21" ht="16.5" customHeight="1">
      <c r="A2738" s="159" t="s">
        <v>2756</v>
      </c>
      <c r="B2738" s="114" t="str">
        <f>VLOOKUP(A2738,'Data pick slip'!B:F,5,FALSE)</f>
        <v>KLJ-MC200-00</v>
      </c>
      <c r="F2738" s="157" t="s">
        <v>1381</v>
      </c>
      <c r="H2738" s="138">
        <v>1128</v>
      </c>
      <c r="I2738" s="139" t="str">
        <f>VLOOKUP(H2738,Stock_list!A:R,18,FALSE)</f>
        <v>恒泰创新</v>
      </c>
      <c r="J2738" s="139" t="str">
        <f>VLOOKUP(H2738,Stock_list!A:S,17,FALSE)</f>
        <v>C49SZX20210036JZ</v>
      </c>
      <c r="K2738" s="51" t="str">
        <f>VLOOKUP(H2738,Stock_list!A:T,16,FALSE)</f>
        <v>JPY</v>
      </c>
      <c r="L2738" s="4">
        <v>44307</v>
      </c>
      <c r="M2738" s="143">
        <v>10</v>
      </c>
      <c r="P2738" s="4" t="str">
        <f>VLOOKUP(H2738,Stock_list!A:Y,25,FALSE)</f>
        <v>Yes</v>
      </c>
      <c r="T2738" s="144"/>
      <c r="U2738" s="145" t="str">
        <f>VLOOKUP(H2738,Stock_list!A:N,14,FALSE)</f>
        <v>APR 21</v>
      </c>
    </row>
    <row r="2739" spans="1:21" ht="16.5" customHeight="1">
      <c r="A2739" s="159" t="s">
        <v>2758</v>
      </c>
      <c r="B2739" s="114" t="str">
        <f>VLOOKUP(A2739,'Data pick slip'!B:F,5,FALSE)</f>
        <v>KLJ-MC500-00</v>
      </c>
      <c r="F2739" s="157" t="s">
        <v>1381</v>
      </c>
      <c r="H2739" s="138">
        <v>1128</v>
      </c>
      <c r="I2739" s="139" t="str">
        <f>VLOOKUP(H2739,Stock_list!A:R,18,FALSE)</f>
        <v>恒泰创新</v>
      </c>
      <c r="J2739" s="139" t="str">
        <f>VLOOKUP(H2739,Stock_list!A:S,17,FALSE)</f>
        <v>C49SZX20210036JZ</v>
      </c>
      <c r="K2739" s="51" t="str">
        <f>VLOOKUP(H2739,Stock_list!A:T,16,FALSE)</f>
        <v>JPY</v>
      </c>
      <c r="L2739" s="4">
        <v>44307</v>
      </c>
      <c r="M2739" s="143">
        <v>1</v>
      </c>
      <c r="P2739" s="4" t="str">
        <f>VLOOKUP(H2739,Stock_list!A:Y,25,FALSE)</f>
        <v>Yes</v>
      </c>
      <c r="T2739" s="144"/>
      <c r="U2739" s="145" t="str">
        <f>VLOOKUP(H2739,Stock_list!A:N,14,FALSE)</f>
        <v>APR 21</v>
      </c>
    </row>
    <row r="2740" spans="1:21" ht="16.5" customHeight="1">
      <c r="A2740" s="159" t="s">
        <v>2744</v>
      </c>
      <c r="B2740" s="114" t="str">
        <f>VLOOKUP(A2740,'Data pick slip'!B:F,5,FALSE)</f>
        <v>KHJ-MC100-00</v>
      </c>
      <c r="F2740" s="157" t="s">
        <v>2753</v>
      </c>
      <c r="H2740" s="138">
        <v>1131</v>
      </c>
      <c r="I2740" s="139" t="str">
        <f>VLOOKUP(H2740,Stock_list!A:R,18,FALSE)</f>
        <v>惠宇</v>
      </c>
      <c r="J2740" s="139" t="str">
        <f>VLOOKUP(H2740,Stock_list!A:S,17,FALSE)</f>
        <v>C49SZX20210040DY</v>
      </c>
      <c r="K2740" s="51" t="str">
        <f>VLOOKUP(H2740,Stock_list!A:T,16,FALSE)</f>
        <v>RMB</v>
      </c>
      <c r="L2740" s="4">
        <v>44358</v>
      </c>
      <c r="M2740" s="143">
        <v>50</v>
      </c>
      <c r="P2740" s="4" t="str">
        <f>VLOOKUP(H2740,Stock_list!A:Y,25,FALSE)</f>
        <v>Yes</v>
      </c>
      <c r="T2740" s="144"/>
      <c r="U2740" s="145" t="str">
        <f>VLOOKUP(H2740,Stock_list!A:N,14,FALSE)</f>
        <v>JUN 21</v>
      </c>
    </row>
    <row r="2741" spans="1:21" ht="16.5" customHeight="1">
      <c r="A2741" s="159" t="s">
        <v>2747</v>
      </c>
      <c r="B2741" s="114" t="str">
        <f>VLOOKUP(A2741,'Data pick slip'!B:F,5,FALSE)</f>
        <v>KHJ-MC200-00</v>
      </c>
      <c r="F2741" s="157" t="s">
        <v>2753</v>
      </c>
      <c r="H2741" s="138">
        <v>1131</v>
      </c>
      <c r="I2741" s="139" t="str">
        <f>VLOOKUP(H2741,Stock_list!A:R,18,FALSE)</f>
        <v>惠宇</v>
      </c>
      <c r="J2741" s="139" t="str">
        <f>VLOOKUP(H2741,Stock_list!A:S,17,FALSE)</f>
        <v>C49SZX20210040DY</v>
      </c>
      <c r="K2741" s="51" t="str">
        <f>VLOOKUP(H2741,Stock_list!A:T,16,FALSE)</f>
        <v>RMB</v>
      </c>
      <c r="L2741" s="4">
        <v>44358</v>
      </c>
      <c r="M2741" s="143">
        <v>5</v>
      </c>
      <c r="P2741" s="4" t="str">
        <f>VLOOKUP(H2741,Stock_list!A:Y,25,FALSE)</f>
        <v>Yes</v>
      </c>
      <c r="T2741" s="144"/>
      <c r="U2741" s="145" t="str">
        <f>VLOOKUP(H2741,Stock_list!A:N,14,FALSE)</f>
        <v>JUN 21</v>
      </c>
    </row>
    <row r="2742" spans="1:21" ht="16.5" customHeight="1">
      <c r="A2742" s="159" t="s">
        <v>2744</v>
      </c>
      <c r="B2742" s="114" t="str">
        <f>VLOOKUP(A2742,'Data pick slip'!B:F,5,FALSE)</f>
        <v>KHJ-MC100-00</v>
      </c>
      <c r="F2742" s="157" t="s">
        <v>1381</v>
      </c>
      <c r="H2742" s="138">
        <v>1132</v>
      </c>
      <c r="I2742" s="139" t="str">
        <f>VLOOKUP(H2742,Stock_list!A:R,18,FALSE)</f>
        <v>狂热者</v>
      </c>
      <c r="J2742" s="139" t="str">
        <f>VLOOKUP(H2742,Stock_list!A:S,17,FALSE)</f>
        <v>C49SZX20210042VG</v>
      </c>
      <c r="K2742" s="51" t="str">
        <f>VLOOKUP(H2742,Stock_list!A:T,16,FALSE)</f>
        <v>JPY</v>
      </c>
      <c r="L2742" s="4">
        <v>44333</v>
      </c>
      <c r="M2742" s="132">
        <v>70</v>
      </c>
      <c r="P2742" s="4" t="str">
        <f>VLOOKUP(H2742,Stock_list!A:Y,25,FALSE)</f>
        <v>Yes</v>
      </c>
      <c r="Q2742" s="143"/>
      <c r="T2742" s="144"/>
      <c r="U2742" s="145" t="str">
        <f>VLOOKUP(H2742,Stock_list!A:N,14,FALSE)</f>
        <v>MAY 21</v>
      </c>
    </row>
    <row r="2743" spans="1:21" ht="16.5" customHeight="1">
      <c r="A2743" s="159" t="s">
        <v>2747</v>
      </c>
      <c r="B2743" s="114" t="str">
        <f>VLOOKUP(A2743,'Data pick slip'!B:F,5,FALSE)</f>
        <v>KHJ-MC200-00</v>
      </c>
      <c r="F2743" s="157" t="s">
        <v>1381</v>
      </c>
      <c r="H2743" s="138">
        <v>1132</v>
      </c>
      <c r="I2743" s="139" t="str">
        <f>VLOOKUP(H2743,Stock_list!A:R,18,FALSE)</f>
        <v>狂热者</v>
      </c>
      <c r="J2743" s="139" t="str">
        <f>VLOOKUP(H2743,Stock_list!A:S,17,FALSE)</f>
        <v>C49SZX20210042VG</v>
      </c>
      <c r="K2743" s="51" t="str">
        <f>VLOOKUP(H2743,Stock_list!A:T,16,FALSE)</f>
        <v>JPY</v>
      </c>
      <c r="L2743" s="4">
        <v>44333</v>
      </c>
      <c r="M2743" s="132">
        <v>26</v>
      </c>
      <c r="P2743" s="4" t="str">
        <f>VLOOKUP(H2743,Stock_list!A:Y,25,FALSE)</f>
        <v>Yes</v>
      </c>
      <c r="Q2743" s="143"/>
      <c r="T2743" s="144"/>
      <c r="U2743" s="145" t="str">
        <f>VLOOKUP(H2743,Stock_list!A:N,14,FALSE)</f>
        <v>MAY 21</v>
      </c>
    </row>
    <row r="2744" spans="1:21" ht="16.5" customHeight="1">
      <c r="A2744" s="159" t="s">
        <v>2748</v>
      </c>
      <c r="B2744" s="114" t="str">
        <f>VLOOKUP(A2744,'Data pick slip'!B:F,5,FALSE)</f>
        <v>KHJ-MC400-00</v>
      </c>
      <c r="F2744" s="157" t="s">
        <v>1381</v>
      </c>
      <c r="H2744" s="138">
        <v>1132</v>
      </c>
      <c r="I2744" s="139" t="str">
        <f>VLOOKUP(H2744,Stock_list!A:R,18,FALSE)</f>
        <v>狂热者</v>
      </c>
      <c r="J2744" s="139" t="str">
        <f>VLOOKUP(H2744,Stock_list!A:S,17,FALSE)</f>
        <v>C49SZX20210042VG</v>
      </c>
      <c r="K2744" s="51" t="str">
        <f>VLOOKUP(H2744,Stock_list!A:T,16,FALSE)</f>
        <v>JPY</v>
      </c>
      <c r="L2744" s="4">
        <v>44333</v>
      </c>
      <c r="M2744" s="132">
        <v>6</v>
      </c>
      <c r="P2744" s="4" t="str">
        <f>VLOOKUP(H2744,Stock_list!A:Y,25,FALSE)</f>
        <v>Yes</v>
      </c>
      <c r="Q2744" s="143"/>
      <c r="T2744" s="144"/>
      <c r="U2744" s="145" t="str">
        <f>VLOOKUP(H2744,Stock_list!A:N,14,FALSE)</f>
        <v>MAY 21</v>
      </c>
    </row>
    <row r="2745" spans="1:21" ht="16.5" customHeight="1">
      <c r="A2745" s="159" t="s">
        <v>2744</v>
      </c>
      <c r="B2745" s="114" t="str">
        <f>VLOOKUP(A2745,'Data pick slip'!B:F,5,FALSE)</f>
        <v>KHJ-MC100-00</v>
      </c>
      <c r="F2745" s="157" t="s">
        <v>1381</v>
      </c>
      <c r="H2745" s="138">
        <v>1135</v>
      </c>
      <c r="I2745" s="139" t="str">
        <f>VLOOKUP(H2745,Stock_list!A:R,18,FALSE)</f>
        <v>恒业信</v>
      </c>
      <c r="J2745" s="139" t="str">
        <f>VLOOKUP(H2745,Stock_list!A:S,17,FALSE)</f>
        <v>C49SZX20210046SS</v>
      </c>
      <c r="K2745" s="51" t="str">
        <f>VLOOKUP(H2745,Stock_list!A:T,16,FALSE)</f>
        <v>JPY</v>
      </c>
      <c r="L2745" s="4">
        <v>44328</v>
      </c>
      <c r="M2745" s="140">
        <v>30</v>
      </c>
      <c r="P2745" s="4" t="str">
        <f>VLOOKUP(H2745,Stock_list!A:Y,25,FALSE)</f>
        <v>Yes</v>
      </c>
      <c r="Q2745" s="143"/>
      <c r="T2745" s="144"/>
      <c r="U2745" s="145" t="str">
        <f>VLOOKUP(H2745,Stock_list!A:N,14,FALSE)</f>
        <v>MAY 21</v>
      </c>
    </row>
    <row r="2746" spans="1:21" ht="16.5" customHeight="1">
      <c r="A2746" s="159" t="s">
        <v>2744</v>
      </c>
      <c r="B2746" s="114" t="str">
        <f>VLOOKUP(A2746,'Data pick slip'!B:F,5,FALSE)</f>
        <v>KHJ-MC100-00</v>
      </c>
      <c r="F2746" s="157" t="s">
        <v>1381</v>
      </c>
      <c r="H2746" s="138">
        <v>1136</v>
      </c>
      <c r="I2746" s="139" t="str">
        <f>VLOOKUP(H2746,Stock_list!A:R,18,FALSE)</f>
        <v>百益晟</v>
      </c>
      <c r="J2746" s="139" t="str">
        <f>VLOOKUP(H2746,Stock_list!A:S,17,FALSE)</f>
        <v>C49SZX20210045SX</v>
      </c>
      <c r="K2746" s="51" t="str">
        <f>VLOOKUP(H2746,Stock_list!A:T,16,FALSE)</f>
        <v>JPY</v>
      </c>
      <c r="L2746" s="4">
        <v>44329</v>
      </c>
      <c r="M2746" s="143">
        <v>90</v>
      </c>
      <c r="P2746" s="4" t="str">
        <f>VLOOKUP(H2746,Stock_list!A:Y,25,FALSE)</f>
        <v>Yes</v>
      </c>
      <c r="T2746" s="144"/>
      <c r="U2746" s="145" t="str">
        <f>VLOOKUP(H2746,Stock_list!A:N,14,FALSE)</f>
        <v>MAY 21</v>
      </c>
    </row>
    <row r="2747" spans="1:21" ht="16.5" customHeight="1">
      <c r="A2747" s="159" t="s">
        <v>2747</v>
      </c>
      <c r="B2747" s="114" t="str">
        <f>VLOOKUP(A2747,'Data pick slip'!B:F,5,FALSE)</f>
        <v>KHJ-MC200-00</v>
      </c>
      <c r="F2747" s="157" t="s">
        <v>1381</v>
      </c>
      <c r="H2747" s="138">
        <v>1136</v>
      </c>
      <c r="I2747" s="139" t="str">
        <f>VLOOKUP(H2747,Stock_list!A:R,18,FALSE)</f>
        <v>百益晟</v>
      </c>
      <c r="J2747" s="139" t="str">
        <f>VLOOKUP(H2747,Stock_list!A:S,17,FALSE)</f>
        <v>C49SZX20210045SX</v>
      </c>
      <c r="K2747" s="51" t="str">
        <f>VLOOKUP(H2747,Stock_list!A:T,16,FALSE)</f>
        <v>JPY</v>
      </c>
      <c r="L2747" s="4">
        <v>44329</v>
      </c>
      <c r="M2747" s="143">
        <v>25</v>
      </c>
      <c r="P2747" s="4" t="str">
        <f>VLOOKUP(H2747,Stock_list!A:Y,25,FALSE)</f>
        <v>Yes</v>
      </c>
      <c r="T2747" s="144"/>
      <c r="U2747" s="145" t="str">
        <f>VLOOKUP(H2747,Stock_list!A:N,14,FALSE)</f>
        <v>MAY 21</v>
      </c>
    </row>
    <row r="2748" spans="1:21" ht="16.5" customHeight="1">
      <c r="A2748" s="159" t="s">
        <v>2748</v>
      </c>
      <c r="B2748" s="114" t="str">
        <f>VLOOKUP(A2748,'Data pick slip'!B:F,5,FALSE)</f>
        <v>KHJ-MC400-00</v>
      </c>
      <c r="F2748" s="157" t="s">
        <v>1381</v>
      </c>
      <c r="H2748" s="138">
        <v>1136</v>
      </c>
      <c r="I2748" s="139" t="str">
        <f>VLOOKUP(H2748,Stock_list!A:R,18,FALSE)</f>
        <v>百益晟</v>
      </c>
      <c r="J2748" s="139" t="str">
        <f>VLOOKUP(H2748,Stock_list!A:S,17,FALSE)</f>
        <v>C49SZX20210045SX</v>
      </c>
      <c r="K2748" s="51" t="str">
        <f>VLOOKUP(H2748,Stock_list!A:T,16,FALSE)</f>
        <v>JPY</v>
      </c>
      <c r="L2748" s="4">
        <v>44329</v>
      </c>
      <c r="M2748" s="143">
        <v>4</v>
      </c>
      <c r="P2748" s="4" t="str">
        <f>VLOOKUP(H2748,Stock_list!A:Y,25,FALSE)</f>
        <v>Yes</v>
      </c>
      <c r="T2748" s="144"/>
      <c r="U2748" s="145" t="str">
        <f>VLOOKUP(H2748,Stock_list!A:N,14,FALSE)</f>
        <v>MAY 21</v>
      </c>
    </row>
    <row r="2749" spans="1:21" ht="16.5" customHeight="1">
      <c r="A2749" s="159" t="s">
        <v>2744</v>
      </c>
      <c r="B2749" s="114" t="str">
        <f>VLOOKUP(A2749,'Data pick slip'!B:F,5,FALSE)</f>
        <v>KHJ-MC100-00</v>
      </c>
      <c r="F2749" s="157" t="s">
        <v>1381</v>
      </c>
      <c r="H2749" s="138">
        <v>1138</v>
      </c>
      <c r="I2749" s="139" t="str">
        <f>VLOOKUP(H2749,Stock_list!A:R,18,FALSE)</f>
        <v>芯联鑫</v>
      </c>
      <c r="J2749" s="139" t="str">
        <f>VLOOKUP(H2749,Stock_list!A:S,17,FALSE)</f>
        <v>C49SZX20210016JY</v>
      </c>
      <c r="K2749" s="51" t="str">
        <f>VLOOKUP(H2749,Stock_list!A:T,16,FALSE)</f>
        <v>JPY</v>
      </c>
      <c r="L2749" s="4">
        <v>44333</v>
      </c>
      <c r="M2749" s="140">
        <v>40</v>
      </c>
      <c r="P2749" s="4" t="str">
        <f>VLOOKUP(H2749,Stock_list!A:Y,25,FALSE)</f>
        <v>Yes</v>
      </c>
      <c r="Q2749" s="143"/>
      <c r="T2749" s="144"/>
      <c r="U2749" s="145" t="str">
        <f>VLOOKUP(H2749,Stock_list!A:N,14,FALSE)</f>
        <v>MAY 21</v>
      </c>
    </row>
    <row r="2750" spans="1:21" ht="16.5" customHeight="1">
      <c r="A2750" s="159" t="s">
        <v>2747</v>
      </c>
      <c r="B2750" s="114" t="str">
        <f>VLOOKUP(A2750,'Data pick slip'!B:F,5,FALSE)</f>
        <v>KHJ-MC200-00</v>
      </c>
      <c r="F2750" s="157" t="s">
        <v>1381</v>
      </c>
      <c r="H2750" s="138">
        <v>1138</v>
      </c>
      <c r="I2750" s="139" t="str">
        <f>VLOOKUP(H2750,Stock_list!A:R,18,FALSE)</f>
        <v>芯联鑫</v>
      </c>
      <c r="J2750" s="139" t="str">
        <f>VLOOKUP(H2750,Stock_list!A:S,17,FALSE)</f>
        <v>C49SZX20210016JY</v>
      </c>
      <c r="K2750" s="51" t="str">
        <f>VLOOKUP(H2750,Stock_list!A:T,16,FALSE)</f>
        <v>JPY</v>
      </c>
      <c r="L2750" s="4">
        <v>44333</v>
      </c>
      <c r="M2750" s="140">
        <v>10</v>
      </c>
      <c r="P2750" s="4" t="str">
        <f>VLOOKUP(H2750,Stock_list!A:Y,25,FALSE)</f>
        <v>Yes</v>
      </c>
      <c r="Q2750" s="143"/>
      <c r="T2750" s="144"/>
      <c r="U2750" s="145" t="str">
        <f>VLOOKUP(H2750,Stock_list!A:N,14,FALSE)</f>
        <v>MAY 21</v>
      </c>
    </row>
    <row r="2751" spans="1:21" ht="16.5" customHeight="1">
      <c r="A2751" s="159" t="s">
        <v>2747</v>
      </c>
      <c r="B2751" s="114" t="str">
        <f>VLOOKUP(A2751,'Data pick slip'!B:F,5,FALSE)</f>
        <v>KHJ-MC200-00</v>
      </c>
      <c r="F2751" s="157" t="s">
        <v>2753</v>
      </c>
      <c r="I2751" s="139" t="s">
        <v>3100</v>
      </c>
      <c r="J2751" s="270" t="s">
        <v>3420</v>
      </c>
      <c r="K2751" s="51" t="s">
        <v>1246</v>
      </c>
      <c r="L2751" s="4">
        <v>44247</v>
      </c>
      <c r="M2751" s="140">
        <v>3</v>
      </c>
      <c r="P2751" s="4" t="s">
        <v>291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2744</v>
      </c>
      <c r="B2752" s="114" t="str">
        <f>VLOOKUP(A2752,'Data pick slip'!B:F,5,FALSE)</f>
        <v>KHJ-MC100-00</v>
      </c>
      <c r="F2752" s="157" t="s">
        <v>1381</v>
      </c>
      <c r="H2752" s="138">
        <v>1139</v>
      </c>
      <c r="I2752" s="139" t="str">
        <f>VLOOKUP(H2752,Stock_list!A:R,18,FALSE)</f>
        <v>名商</v>
      </c>
      <c r="J2752" s="139" t="str">
        <f>VLOOKUP(H2752,Stock_list!A:S,17,FALSE)</f>
        <v>C49SZX20210126DZ</v>
      </c>
      <c r="K2752" s="51" t="str">
        <f>VLOOKUP(H2752,Stock_list!A:T,16,FALSE)</f>
        <v>JPY</v>
      </c>
      <c r="L2752" s="4">
        <v>44316</v>
      </c>
      <c r="M2752" s="140">
        <v>150</v>
      </c>
      <c r="P2752" s="4" t="str">
        <f>VLOOKUP(H2752,Stock_list!A:Y,25,FALSE)</f>
        <v>Yes</v>
      </c>
      <c r="Q2752" s="143"/>
      <c r="T2752" s="144"/>
      <c r="U2752" s="145" t="str">
        <f>VLOOKUP(H2752,Stock_list!A:N,14,FALSE)</f>
        <v>APR 21</v>
      </c>
    </row>
    <row r="2753" spans="1:21" ht="16.5" customHeight="1">
      <c r="A2753" s="159" t="s">
        <v>2747</v>
      </c>
      <c r="B2753" s="114" t="str">
        <f>VLOOKUP(A2753,'Data pick slip'!B:F,5,FALSE)</f>
        <v>KHJ-MC200-00</v>
      </c>
      <c r="F2753" s="157" t="s">
        <v>1381</v>
      </c>
      <c r="H2753" s="138">
        <v>1139</v>
      </c>
      <c r="I2753" s="139" t="str">
        <f>VLOOKUP(H2753,Stock_list!A:R,18,FALSE)</f>
        <v>名商</v>
      </c>
      <c r="J2753" s="139" t="str">
        <f>VLOOKUP(H2753,Stock_list!A:S,17,FALSE)</f>
        <v>C49SZX20210126DZ</v>
      </c>
      <c r="K2753" s="51" t="str">
        <f>VLOOKUP(H2753,Stock_list!A:T,16,FALSE)</f>
        <v>JPY</v>
      </c>
      <c r="L2753" s="4">
        <v>44316</v>
      </c>
      <c r="M2753" s="140">
        <v>30</v>
      </c>
      <c r="P2753" s="4" t="str">
        <f>VLOOKUP(H2753,Stock_list!A:Y,25,FALSE)</f>
        <v>Yes</v>
      </c>
      <c r="Q2753" s="143"/>
      <c r="T2753" s="144"/>
      <c r="U2753" s="145" t="str">
        <f>VLOOKUP(H2753,Stock_list!A:N,14,FALSE)</f>
        <v>APR 21</v>
      </c>
    </row>
    <row r="2754" spans="1:21" ht="16.5" customHeight="1">
      <c r="A2754" s="159" t="s">
        <v>2748</v>
      </c>
      <c r="B2754" s="114" t="str">
        <f>VLOOKUP(A2754,'Data pick slip'!B:F,5,FALSE)</f>
        <v>KHJ-MC400-00</v>
      </c>
      <c r="F2754" s="157" t="s">
        <v>1381</v>
      </c>
      <c r="H2754" s="138">
        <v>1139</v>
      </c>
      <c r="I2754" s="139" t="str">
        <f>VLOOKUP(H2754,Stock_list!A:R,18,FALSE)</f>
        <v>名商</v>
      </c>
      <c r="J2754" s="139" t="str">
        <f>VLOOKUP(H2754,Stock_list!A:S,17,FALSE)</f>
        <v>C49SZX20210126DZ</v>
      </c>
      <c r="K2754" s="51" t="str">
        <f>VLOOKUP(H2754,Stock_list!A:T,16,FALSE)</f>
        <v>JPY</v>
      </c>
      <c r="L2754" s="4">
        <v>44316</v>
      </c>
      <c r="M2754" s="140">
        <v>8</v>
      </c>
      <c r="P2754" s="4" t="str">
        <f>VLOOKUP(H2754,Stock_list!A:Y,25,FALSE)</f>
        <v>Yes</v>
      </c>
      <c r="Q2754" s="143"/>
      <c r="T2754" s="144"/>
      <c r="U2754" s="145" t="str">
        <f>VLOOKUP(H2754,Stock_list!A:N,14,FALSE)</f>
        <v>APR 21</v>
      </c>
    </row>
    <row r="2755" spans="1:21" ht="16.5" customHeight="1">
      <c r="A2755" s="159" t="s">
        <v>2749</v>
      </c>
      <c r="B2755" s="114" t="str">
        <f>VLOOKUP(A2755,'Data pick slip'!B:F,5,FALSE)</f>
        <v>KHJ-MC500-00</v>
      </c>
      <c r="F2755" s="157" t="s">
        <v>1381</v>
      </c>
      <c r="H2755" s="138">
        <v>1139</v>
      </c>
      <c r="I2755" s="139" t="str">
        <f>VLOOKUP(H2755,Stock_list!A:R,18,FALSE)</f>
        <v>名商</v>
      </c>
      <c r="J2755" s="139" t="str">
        <f>VLOOKUP(H2755,Stock_list!A:S,17,FALSE)</f>
        <v>C49SZX20210126DZ</v>
      </c>
      <c r="K2755" s="51" t="str">
        <f>VLOOKUP(H2755,Stock_list!A:T,16,FALSE)</f>
        <v>JPY</v>
      </c>
      <c r="L2755" s="4">
        <v>44316</v>
      </c>
      <c r="M2755" s="140">
        <v>5</v>
      </c>
      <c r="P2755" s="4" t="str">
        <f>VLOOKUP(H2755,Stock_list!A:Y,25,FALSE)</f>
        <v>Yes</v>
      </c>
      <c r="Q2755" s="143"/>
      <c r="T2755" s="144"/>
      <c r="U2755" s="145" t="str">
        <f>VLOOKUP(H2755,Stock_list!A:N,14,FALSE)</f>
        <v>APR 21</v>
      </c>
    </row>
    <row r="2756" spans="1:21" ht="16.5" customHeight="1">
      <c r="A2756" s="159" t="s">
        <v>2750</v>
      </c>
      <c r="B2756" s="114" t="str">
        <f>VLOOKUP(A2756,'Data pick slip'!B:F,5,FALSE)</f>
        <v>KHJ-MC600-00</v>
      </c>
      <c r="F2756" s="157" t="s">
        <v>1381</v>
      </c>
      <c r="H2756" s="138">
        <v>1139</v>
      </c>
      <c r="I2756" s="139" t="str">
        <f>VLOOKUP(H2756,Stock_list!A:R,18,FALSE)</f>
        <v>名商</v>
      </c>
      <c r="J2756" s="139" t="str">
        <f>VLOOKUP(H2756,Stock_list!A:S,17,FALSE)</f>
        <v>C49SZX20210126DZ</v>
      </c>
      <c r="K2756" s="51" t="str">
        <f>VLOOKUP(H2756,Stock_list!A:T,16,FALSE)</f>
        <v>JPY</v>
      </c>
      <c r="L2756" s="4">
        <v>44316</v>
      </c>
      <c r="M2756" s="140">
        <v>2</v>
      </c>
      <c r="P2756" s="4" t="str">
        <f>VLOOKUP(H2756,Stock_list!A:Y,25,FALSE)</f>
        <v>Yes</v>
      </c>
      <c r="Q2756" s="143"/>
      <c r="T2756" s="144"/>
      <c r="U2756" s="145" t="str">
        <f>VLOOKUP(H2756,Stock_list!A:N,14,FALSE)</f>
        <v>APR 21</v>
      </c>
    </row>
    <row r="2757" spans="1:21" ht="16.5" customHeight="1">
      <c r="A2757" s="159" t="s">
        <v>2744</v>
      </c>
      <c r="B2757" s="114" t="str">
        <f>VLOOKUP(A2757,'Data pick slip'!B:F,5,FALSE)</f>
        <v>KHJ-MC100-00</v>
      </c>
      <c r="F2757" s="157" t="s">
        <v>2753</v>
      </c>
      <c r="H2757" s="138">
        <v>1143</v>
      </c>
      <c r="I2757" s="139" t="str">
        <f>VLOOKUP(H2757,Stock_list!A:R,18,FALSE)</f>
        <v>美田</v>
      </c>
      <c r="J2757" s="139" t="str">
        <f>VLOOKUP(H2757,Stock_list!A:S,17,FALSE)</f>
        <v>C49SZX20210048SS</v>
      </c>
      <c r="K2757" s="51" t="str">
        <f>VLOOKUP(H2757,Stock_list!A:T,16,FALSE)</f>
        <v>RMB</v>
      </c>
      <c r="L2757" s="4">
        <v>44378</v>
      </c>
      <c r="M2757" s="140">
        <v>350</v>
      </c>
      <c r="P2757" s="4" t="str">
        <f>VLOOKUP(H2757,Stock_list!A:Y,25,FALSE)</f>
        <v>Yes</v>
      </c>
      <c r="Q2757" s="143"/>
      <c r="T2757" s="144"/>
      <c r="U2757" s="145" t="str">
        <f>VLOOKUP(H2757,Stock_list!A:N,14,FALSE)</f>
        <v>JUN 21</v>
      </c>
    </row>
    <row r="2758" spans="1:21" ht="16.5" customHeight="1">
      <c r="A2758" s="159" t="s">
        <v>2744</v>
      </c>
      <c r="B2758" s="114" t="str">
        <f>VLOOKUP(A2758,'Data pick slip'!B:F,5,FALSE)</f>
        <v>KHJ-MC100-00</v>
      </c>
      <c r="F2758" s="157" t="s">
        <v>2753</v>
      </c>
      <c r="H2758" s="138">
        <v>1149</v>
      </c>
      <c r="I2758" s="139" t="str">
        <f>VLOOKUP(H2758,Stock_list!A:R,18,FALSE)</f>
        <v>中润互联</v>
      </c>
      <c r="J2758" s="139" t="str">
        <f>VLOOKUP(H2758,Stock_list!A:S,17,FALSE)</f>
        <v>C49SZX20210055SS</v>
      </c>
      <c r="K2758" s="51" t="str">
        <f>VLOOKUP(H2758,Stock_list!A:T,16,FALSE)</f>
        <v>RMB</v>
      </c>
      <c r="L2758" s="4">
        <v>44328</v>
      </c>
      <c r="M2758" s="140">
        <v>33</v>
      </c>
      <c r="P2758" s="4" t="str">
        <f>VLOOKUP(H2758,Stock_list!A:Y,25,FALSE)</f>
        <v>Yes</v>
      </c>
      <c r="Q2758" s="143"/>
      <c r="T2758" s="144"/>
      <c r="U2758" s="145" t="str">
        <f>VLOOKUP(H2758,Stock_list!A:N,14,FALSE)</f>
        <v>MAY 21</v>
      </c>
    </row>
    <row r="2759" spans="1:21" ht="16.5" customHeight="1">
      <c r="A2759" s="159" t="s">
        <v>2744</v>
      </c>
      <c r="B2759" s="114" t="str">
        <f>VLOOKUP(A2759,'Data pick slip'!B:F,5,FALSE)</f>
        <v>KHJ-MC100-00</v>
      </c>
      <c r="F2759" s="157" t="s">
        <v>2862</v>
      </c>
      <c r="H2759" s="138">
        <v>1152</v>
      </c>
      <c r="I2759" s="139" t="str">
        <f>VLOOKUP(H2759,Stock_list!A:R,18,FALSE)</f>
        <v>络鑫（end user:东莞络鑫）</v>
      </c>
      <c r="J2759" s="139" t="str">
        <f>VLOOKUP(H2759,Stock_list!A:S,17,FALSE)</f>
        <v>C49SZX20210051JY</v>
      </c>
      <c r="K2759" s="51" t="str">
        <f>VLOOKUP(H2759,Stock_list!A:T,16,FALSE)</f>
        <v>JPY</v>
      </c>
      <c r="L2759" s="4">
        <v>44314</v>
      </c>
      <c r="M2759" s="143">
        <v>60</v>
      </c>
      <c r="P2759" s="4" t="str">
        <f>VLOOKUP(H2759,Stock_list!A:Y,25,FALSE)</f>
        <v>Yes</v>
      </c>
      <c r="T2759" s="144"/>
      <c r="U2759" s="145" t="str">
        <f>VLOOKUP(H2759,Stock_list!A:N,14,FALSE)</f>
        <v>APR 21</v>
      </c>
    </row>
    <row r="2760" spans="1:21" ht="16.5" customHeight="1">
      <c r="A2760" s="159" t="s">
        <v>2748</v>
      </c>
      <c r="B2760" s="114" t="str">
        <f>VLOOKUP(A2760,'Data pick slip'!B:F,5,FALSE)</f>
        <v>KHJ-MC400-00</v>
      </c>
      <c r="F2760" s="157" t="s">
        <v>2862</v>
      </c>
      <c r="H2760" s="138">
        <v>1152</v>
      </c>
      <c r="I2760" s="139" t="str">
        <f>VLOOKUP(H2760,Stock_list!A:R,18,FALSE)</f>
        <v>络鑫（end user:东莞络鑫）</v>
      </c>
      <c r="J2760" s="139" t="str">
        <f>VLOOKUP(H2760,Stock_list!A:S,17,FALSE)</f>
        <v>C49SZX20210051JY</v>
      </c>
      <c r="K2760" s="51" t="str">
        <f>VLOOKUP(H2760,Stock_list!A:T,16,FALSE)</f>
        <v>JPY</v>
      </c>
      <c r="L2760" s="4">
        <v>44314</v>
      </c>
      <c r="M2760" s="143">
        <v>6</v>
      </c>
      <c r="P2760" s="4" t="str">
        <f>VLOOKUP(H2760,Stock_list!A:Y,25,FALSE)</f>
        <v>Yes</v>
      </c>
      <c r="T2760" s="144"/>
      <c r="U2760" s="145" t="str">
        <f>VLOOKUP(H2760,Stock_list!A:N,14,FALSE)</f>
        <v>APR 21</v>
      </c>
    </row>
    <row r="2761" spans="1:21" ht="16.5" customHeight="1">
      <c r="A2761" s="159" t="s">
        <v>2749</v>
      </c>
      <c r="B2761" s="114" t="str">
        <f>VLOOKUP(A2761,'Data pick slip'!B:F,5,FALSE)</f>
        <v>KHJ-MC500-00</v>
      </c>
      <c r="F2761" s="157" t="s">
        <v>2862</v>
      </c>
      <c r="H2761" s="138">
        <v>1152</v>
      </c>
      <c r="I2761" s="139" t="str">
        <f>VLOOKUP(H2761,Stock_list!A:R,18,FALSE)</f>
        <v>络鑫（end user:东莞络鑫）</v>
      </c>
      <c r="J2761" s="139" t="str">
        <f>VLOOKUP(H2761,Stock_list!A:S,17,FALSE)</f>
        <v>C49SZX20210051JY</v>
      </c>
      <c r="K2761" s="51" t="str">
        <f>VLOOKUP(H2761,Stock_list!A:T,16,FALSE)</f>
        <v>JPY</v>
      </c>
      <c r="L2761" s="4">
        <v>44314</v>
      </c>
      <c r="M2761" s="143">
        <v>1</v>
      </c>
      <c r="P2761" s="4" t="str">
        <f>VLOOKUP(H2761,Stock_list!A:Y,25,FALSE)</f>
        <v>Yes</v>
      </c>
      <c r="T2761" s="144"/>
      <c r="U2761" s="145" t="str">
        <f>VLOOKUP(H2761,Stock_list!A:N,14,FALSE)</f>
        <v>APR 21</v>
      </c>
    </row>
    <row r="2762" spans="1:21" ht="16.5" customHeight="1">
      <c r="A2762" s="159" t="s">
        <v>2750</v>
      </c>
      <c r="B2762" s="114" t="str">
        <f>VLOOKUP(A2762,'Data pick slip'!B:F,5,FALSE)</f>
        <v>KHJ-MC600-00</v>
      </c>
      <c r="F2762" s="157" t="s">
        <v>2862</v>
      </c>
      <c r="H2762" s="138">
        <v>1152</v>
      </c>
      <c r="I2762" s="139" t="str">
        <f>VLOOKUP(H2762,Stock_list!A:R,18,FALSE)</f>
        <v>络鑫（end user:东莞络鑫）</v>
      </c>
      <c r="J2762" s="139" t="str">
        <f>VLOOKUP(H2762,Stock_list!A:S,17,FALSE)</f>
        <v>C49SZX20210051JY</v>
      </c>
      <c r="K2762" s="51" t="str">
        <f>VLOOKUP(H2762,Stock_list!A:T,16,FALSE)</f>
        <v>JPY</v>
      </c>
      <c r="L2762" s="4">
        <v>44314</v>
      </c>
      <c r="M2762" s="143">
        <v>1</v>
      </c>
      <c r="P2762" s="4" t="str">
        <f>VLOOKUP(H2762,Stock_list!A:Y,25,FALSE)</f>
        <v>Yes</v>
      </c>
      <c r="T2762" s="144"/>
      <c r="U2762" s="145" t="str">
        <f>VLOOKUP(H2762,Stock_list!A:N,14,FALSE)</f>
        <v>APR 21</v>
      </c>
    </row>
    <row r="2763" spans="1:21" ht="16.5" customHeight="1">
      <c r="A2763" s="159" t="s">
        <v>2744</v>
      </c>
      <c r="B2763" s="114" t="str">
        <f>VLOOKUP(A2763,'Data pick slip'!B:F,5,FALSE)</f>
        <v>KHJ-MC100-00</v>
      </c>
      <c r="F2763" s="157" t="s">
        <v>1381</v>
      </c>
      <c r="H2763" s="138">
        <v>1163</v>
      </c>
      <c r="I2763" s="139" t="str">
        <f>VLOOKUP(H2763,Stock_list!A:R,18,FALSE)</f>
        <v>骏孚</v>
      </c>
      <c r="J2763" s="139" t="str">
        <f>VLOOKUP(H2763,Stock_list!A:S,17,FALSE)</f>
        <v>C49SZX20210059EC</v>
      </c>
      <c r="K2763" s="51" t="str">
        <f>VLOOKUP(H2763,Stock_list!A:T,16,FALSE)</f>
        <v>JPY</v>
      </c>
      <c r="L2763" s="4">
        <v>44323</v>
      </c>
      <c r="M2763" s="143">
        <v>26</v>
      </c>
      <c r="P2763" s="4" t="str">
        <f>VLOOKUP(H2763,Stock_list!A:Y,25,FALSE)</f>
        <v>Yes</v>
      </c>
      <c r="T2763" s="144"/>
      <c r="U2763" s="145" t="str">
        <f>VLOOKUP(H2763,Stock_list!A:N,14,FALSE)</f>
        <v>MAY 21</v>
      </c>
    </row>
    <row r="2764" spans="1:21" ht="16.5" customHeight="1">
      <c r="A2764" s="159" t="s">
        <v>2747</v>
      </c>
      <c r="B2764" s="114" t="str">
        <f>VLOOKUP(A2764,'Data pick slip'!B:F,5,FALSE)</f>
        <v>KHJ-MC200-00</v>
      </c>
      <c r="F2764" s="157" t="s">
        <v>1381</v>
      </c>
      <c r="H2764" s="138">
        <v>1163</v>
      </c>
      <c r="I2764" s="139" t="str">
        <f>VLOOKUP(H2764,Stock_list!A:R,18,FALSE)</f>
        <v>骏孚</v>
      </c>
      <c r="J2764" s="139" t="str">
        <f>VLOOKUP(H2764,Stock_list!A:S,17,FALSE)</f>
        <v>C49SZX20210059EC</v>
      </c>
      <c r="K2764" s="51" t="str">
        <f>VLOOKUP(H2764,Stock_list!A:T,16,FALSE)</f>
        <v>JPY</v>
      </c>
      <c r="L2764" s="4">
        <v>44323</v>
      </c>
      <c r="M2764" s="143">
        <v>5</v>
      </c>
      <c r="P2764" s="4" t="str">
        <f>VLOOKUP(H2764,Stock_list!A:Y,25,FALSE)</f>
        <v>Yes</v>
      </c>
      <c r="T2764" s="144"/>
      <c r="U2764" s="145" t="str">
        <f>VLOOKUP(H2764,Stock_list!A:N,14,FALSE)</f>
        <v>MAY 21</v>
      </c>
    </row>
    <row r="2765" spans="1:21" ht="16.5" customHeight="1">
      <c r="A2765" s="159" t="s">
        <v>2744</v>
      </c>
      <c r="B2765" s="114" t="str">
        <f>VLOOKUP(A2765,'Data pick slip'!B:F,5,FALSE)</f>
        <v>KHJ-MC100-00</v>
      </c>
      <c r="F2765" s="157" t="s">
        <v>1381</v>
      </c>
      <c r="H2765" s="138">
        <v>1163</v>
      </c>
      <c r="I2765" s="139" t="str">
        <f>VLOOKUP(H2765,Stock_list!A:R,18,FALSE)</f>
        <v>骏孚</v>
      </c>
      <c r="J2765" s="139" t="str">
        <f>VLOOKUP(H2765,Stock_list!A:S,17,FALSE)</f>
        <v>C49SZX20210059EC</v>
      </c>
      <c r="K2765" s="51" t="str">
        <f>VLOOKUP(H2765,Stock_list!A:T,16,FALSE)</f>
        <v>JPY</v>
      </c>
      <c r="L2765" s="4">
        <v>44747</v>
      </c>
      <c r="M2765" s="143">
        <v>26</v>
      </c>
      <c r="P2765" s="4" t="str">
        <f>VLOOKUP(H2765,Stock_list!A:Y,25,FALSE)</f>
        <v>Yes</v>
      </c>
      <c r="T2765" s="144"/>
      <c r="U2765" s="145" t="str">
        <f>VLOOKUP(H2765,Stock_list!A:N,14,FALSE)</f>
        <v>MAY 21</v>
      </c>
    </row>
    <row r="2766" spans="1:21" ht="16.5" customHeight="1">
      <c r="A2766" s="159" t="s">
        <v>2747</v>
      </c>
      <c r="B2766" s="114" t="str">
        <f>VLOOKUP(A2766,'Data pick slip'!B:F,5,FALSE)</f>
        <v>KHJ-MC200-00</v>
      </c>
      <c r="F2766" s="157" t="s">
        <v>1381</v>
      </c>
      <c r="H2766" s="138">
        <v>1163</v>
      </c>
      <c r="I2766" s="139" t="str">
        <f>VLOOKUP(H2766,Stock_list!A:R,18,FALSE)</f>
        <v>骏孚</v>
      </c>
      <c r="J2766" s="139" t="str">
        <f>VLOOKUP(H2766,Stock_list!A:S,17,FALSE)</f>
        <v>C49SZX20210059EC</v>
      </c>
      <c r="K2766" s="51" t="str">
        <f>VLOOKUP(H2766,Stock_list!A:T,16,FALSE)</f>
        <v>JPY</v>
      </c>
      <c r="L2766" s="4">
        <v>44747</v>
      </c>
      <c r="M2766" s="143">
        <v>5</v>
      </c>
      <c r="P2766" s="4" t="str">
        <f>VLOOKUP(H2766,Stock_list!A:Y,25,FALSE)</f>
        <v>Yes</v>
      </c>
      <c r="T2766" s="144"/>
      <c r="U2766" s="145" t="str">
        <f>VLOOKUP(H2766,Stock_list!A:N,14,FALSE)</f>
        <v>MAY 21</v>
      </c>
    </row>
    <row r="2767" spans="1:21" ht="16.5" customHeight="1">
      <c r="A2767" s="159" t="s">
        <v>2744</v>
      </c>
      <c r="B2767" s="114" t="str">
        <f>VLOOKUP(A2767,'Data pick slip'!B:F,5,FALSE)</f>
        <v>KHJ-MC100-00</v>
      </c>
      <c r="F2767" s="157" t="s">
        <v>2753</v>
      </c>
      <c r="H2767" s="138">
        <v>1163</v>
      </c>
      <c r="I2767" s="139" t="str">
        <f>VLOOKUP(H2767,Stock_list!A:R,18,FALSE)</f>
        <v>骏孚</v>
      </c>
      <c r="J2767" s="139" t="str">
        <f>VLOOKUP(H2767,Stock_list!A:S,17,FALSE)</f>
        <v>C49SZX20210059EC</v>
      </c>
      <c r="K2767" s="51" t="str">
        <f>VLOOKUP(H2767,Stock_list!A:T,16,FALSE)</f>
        <v>JPY</v>
      </c>
      <c r="L2767" s="4">
        <v>44323</v>
      </c>
      <c r="M2767" s="143"/>
      <c r="O2767" s="132">
        <f>26-26</f>
        <v>0</v>
      </c>
      <c r="P2767" s="4" t="str">
        <f>VLOOKUP(H2767,Stock_list!A:Y,25,FALSE)</f>
        <v>Yes</v>
      </c>
      <c r="T2767" s="144"/>
      <c r="U2767" s="145" t="str">
        <f>VLOOKUP(H2767,Stock_list!A:N,14,FALSE)</f>
        <v>MAY 21</v>
      </c>
    </row>
    <row r="2768" spans="1:21" ht="16.5" customHeight="1">
      <c r="A2768" s="159" t="s">
        <v>2747</v>
      </c>
      <c r="B2768" s="114" t="str">
        <f>VLOOKUP(A2768,'Data pick slip'!B:F,5,FALSE)</f>
        <v>KHJ-MC200-00</v>
      </c>
      <c r="F2768" s="157" t="s">
        <v>2753</v>
      </c>
      <c r="H2768" s="138">
        <v>1163</v>
      </c>
      <c r="I2768" s="139" t="str">
        <f>VLOOKUP(H2768,Stock_list!A:R,18,FALSE)</f>
        <v>骏孚</v>
      </c>
      <c r="J2768" s="139" t="str">
        <f>VLOOKUP(H2768,Stock_list!A:S,17,FALSE)</f>
        <v>C49SZX20210059EC</v>
      </c>
      <c r="K2768" s="51" t="str">
        <f>VLOOKUP(H2768,Stock_list!A:T,16,FALSE)</f>
        <v>JPY</v>
      </c>
      <c r="L2768" s="4">
        <v>44323</v>
      </c>
      <c r="M2768" s="143"/>
      <c r="O2768" s="132">
        <f>5-5</f>
        <v>0</v>
      </c>
      <c r="P2768" s="4" t="str">
        <f>VLOOKUP(H2768,Stock_list!A:Y,25,FALSE)</f>
        <v>Yes</v>
      </c>
      <c r="T2768" s="144"/>
      <c r="U2768" s="145" t="str">
        <f>VLOOKUP(H2768,Stock_list!A:N,14,FALSE)</f>
        <v>MAY 21</v>
      </c>
    </row>
    <row r="2769" spans="1:21" ht="16.5" customHeight="1">
      <c r="A2769" s="159" t="s">
        <v>2744</v>
      </c>
      <c r="B2769" s="114" t="str">
        <f>VLOOKUP(A2769,'Data pick slip'!B:F,5,FALSE)</f>
        <v>KHJ-MC100-00</v>
      </c>
      <c r="F2769" s="157" t="s">
        <v>1381</v>
      </c>
      <c r="H2769" s="138">
        <v>1166</v>
      </c>
      <c r="I2769" s="139" t="str">
        <f>VLOOKUP(H2769,Stock_list!A:R,18,FALSE)</f>
        <v>岚新</v>
      </c>
      <c r="J2769" s="139" t="str">
        <f>VLOOKUP(H2769,Stock_list!A:S,17,FALSE)</f>
        <v>C49SZX20210060SX</v>
      </c>
      <c r="K2769" s="51" t="str">
        <f>VLOOKUP(H2769,Stock_list!A:T,16,FALSE)</f>
        <v>JPY</v>
      </c>
      <c r="L2769" s="4">
        <v>44334</v>
      </c>
      <c r="M2769" s="143">
        <v>50</v>
      </c>
      <c r="P2769" s="4" t="str">
        <f>VLOOKUP(H2769,Stock_list!A:Y,25,FALSE)</f>
        <v>Yes</v>
      </c>
      <c r="T2769" s="144"/>
      <c r="U2769" s="145" t="str">
        <f>VLOOKUP(H2769,Stock_list!A:N,14,FALSE)</f>
        <v>MAY 21</v>
      </c>
    </row>
    <row r="2770" spans="1:21" ht="16.5" customHeight="1">
      <c r="A2770" s="159" t="s">
        <v>2748</v>
      </c>
      <c r="B2770" s="114" t="str">
        <f>VLOOKUP(A2770,'Data pick slip'!B:F,5,FALSE)</f>
        <v>KHJ-MC400-00</v>
      </c>
      <c r="F2770" s="157" t="s">
        <v>1381</v>
      </c>
      <c r="H2770" s="138">
        <v>1166</v>
      </c>
      <c r="I2770" s="139" t="str">
        <f>VLOOKUP(H2770,Stock_list!A:R,18,FALSE)</f>
        <v>岚新</v>
      </c>
      <c r="J2770" s="139" t="str">
        <f>VLOOKUP(H2770,Stock_list!A:S,17,FALSE)</f>
        <v>C49SZX20210060SX</v>
      </c>
      <c r="K2770" s="51" t="str">
        <f>VLOOKUP(H2770,Stock_list!A:T,16,FALSE)</f>
        <v>JPY</v>
      </c>
      <c r="L2770" s="4">
        <v>44334</v>
      </c>
      <c r="M2770" s="143">
        <v>2</v>
      </c>
      <c r="P2770" s="4" t="str">
        <f>VLOOKUP(H2770,Stock_list!A:Y,25,FALSE)</f>
        <v>Yes</v>
      </c>
      <c r="T2770" s="144"/>
      <c r="U2770" s="145" t="str">
        <f>VLOOKUP(H2770,Stock_list!A:N,14,FALSE)</f>
        <v>MAY 21</v>
      </c>
    </row>
    <row r="2771" spans="1:21" ht="16.5" customHeight="1">
      <c r="A2771" s="159" t="s">
        <v>2749</v>
      </c>
      <c r="B2771" s="114" t="str">
        <f>VLOOKUP(A2771,'Data pick slip'!B:F,5,FALSE)</f>
        <v>KHJ-MC500-00</v>
      </c>
      <c r="F2771" s="157" t="s">
        <v>1381</v>
      </c>
      <c r="H2771" s="138">
        <v>1166</v>
      </c>
      <c r="I2771" s="139" t="str">
        <f>VLOOKUP(H2771,Stock_list!A:R,18,FALSE)</f>
        <v>岚新</v>
      </c>
      <c r="J2771" s="139" t="str">
        <f>VLOOKUP(H2771,Stock_list!A:S,17,FALSE)</f>
        <v>C49SZX20210060SX</v>
      </c>
      <c r="K2771" s="51" t="str">
        <f>VLOOKUP(H2771,Stock_list!A:T,16,FALSE)</f>
        <v>JPY</v>
      </c>
      <c r="L2771" s="4">
        <v>44334</v>
      </c>
      <c r="M2771" s="143">
        <v>1</v>
      </c>
      <c r="P2771" s="4" t="str">
        <f>VLOOKUP(H2771,Stock_list!A:Y,25,FALSE)</f>
        <v>Yes</v>
      </c>
      <c r="T2771" s="144"/>
      <c r="U2771" s="145" t="str">
        <f>VLOOKUP(H2771,Stock_list!A:N,14,FALSE)</f>
        <v>MAY 21</v>
      </c>
    </row>
    <row r="2772" spans="1:21" ht="16.5" customHeight="1">
      <c r="A2772" s="159" t="s">
        <v>2748</v>
      </c>
      <c r="B2772" s="114" t="str">
        <f>VLOOKUP(A2772,'Data pick slip'!B:F,5,FALSE)</f>
        <v>KHJ-MC400-00</v>
      </c>
      <c r="F2772" s="157" t="s">
        <v>2753</v>
      </c>
      <c r="H2772" s="138">
        <v>1166</v>
      </c>
      <c r="I2772" s="139" t="str">
        <f>VLOOKUP(H2772,Stock_list!A:R,18,FALSE)</f>
        <v>岚新</v>
      </c>
      <c r="J2772" s="139" t="str">
        <f>VLOOKUP(H2772,Stock_list!A:S,17,FALSE)</f>
        <v>C49SZX20210060SX</v>
      </c>
      <c r="K2772" s="51" t="str">
        <f>VLOOKUP(H2772,Stock_list!A:T,16,FALSE)</f>
        <v>JPY</v>
      </c>
      <c r="L2772" s="4">
        <v>44334</v>
      </c>
      <c r="M2772" s="143"/>
      <c r="O2772" s="132">
        <f>2-2</f>
        <v>0</v>
      </c>
      <c r="P2772" s="4" t="str">
        <f>VLOOKUP(H2772,Stock_list!A:Y,25,FALSE)</f>
        <v>Yes</v>
      </c>
      <c r="T2772" s="144"/>
      <c r="U2772" s="145" t="str">
        <f>VLOOKUP(H2772,Stock_list!A:N,14,FALSE)</f>
        <v>MAY 21</v>
      </c>
    </row>
    <row r="2773" spans="1:21" ht="16.5" customHeight="1">
      <c r="A2773" s="159" t="s">
        <v>2749</v>
      </c>
      <c r="B2773" s="114" t="str">
        <f>VLOOKUP(A2773,'Data pick slip'!B:F,5,FALSE)</f>
        <v>KHJ-MC500-00</v>
      </c>
      <c r="F2773" s="157" t="s">
        <v>2753</v>
      </c>
      <c r="H2773" s="138">
        <v>1166</v>
      </c>
      <c r="I2773" s="139" t="str">
        <f>VLOOKUP(H2773,Stock_list!A:R,18,FALSE)</f>
        <v>岚新</v>
      </c>
      <c r="J2773" s="139" t="str">
        <f>VLOOKUP(H2773,Stock_list!A:S,17,FALSE)</f>
        <v>C49SZX20210060SX</v>
      </c>
      <c r="K2773" s="51" t="str">
        <f>VLOOKUP(H2773,Stock_list!A:T,16,FALSE)</f>
        <v>JPY</v>
      </c>
      <c r="L2773" s="4">
        <v>44334</v>
      </c>
      <c r="M2773" s="143"/>
      <c r="O2773" s="132">
        <f>1-1</f>
        <v>0</v>
      </c>
      <c r="P2773" s="4" t="str">
        <f>VLOOKUP(H2773,Stock_list!A:Y,25,FALSE)</f>
        <v>Yes</v>
      </c>
      <c r="T2773" s="144"/>
      <c r="U2773" s="145" t="str">
        <f>VLOOKUP(H2773,Stock_list!A:N,14,FALSE)</f>
        <v>MAY 21</v>
      </c>
    </row>
    <row r="2774" spans="1:21" ht="16.5" customHeight="1">
      <c r="A2774" s="159" t="s">
        <v>2744</v>
      </c>
      <c r="B2774" s="114" t="str">
        <f>VLOOKUP(A2774,'Data pick slip'!B:F,5,FALSE)</f>
        <v>KHJ-MC100-00</v>
      </c>
      <c r="F2774" s="157" t="s">
        <v>2753</v>
      </c>
      <c r="H2774" s="138">
        <v>1167</v>
      </c>
      <c r="I2774" s="139" t="str">
        <f>VLOOKUP(H2774,Stock_list!A:R,18,FALSE)</f>
        <v>智序</v>
      </c>
      <c r="J2774" s="139" t="str">
        <f>VLOOKUP(H2774,Stock_list!A:S,17,FALSE)</f>
        <v>C49SZX20210049MX</v>
      </c>
      <c r="K2774" s="51" t="str">
        <f>VLOOKUP(H2774,Stock_list!A:T,16,FALSE)</f>
        <v>JPY</v>
      </c>
      <c r="L2774" s="4">
        <v>44390</v>
      </c>
      <c r="M2774" s="140">
        <v>6</v>
      </c>
      <c r="P2774" s="4" t="str">
        <f>VLOOKUP(H2774,Stock_list!A:Y,25,FALSE)</f>
        <v>Yes</v>
      </c>
      <c r="Q2774" s="143"/>
      <c r="S2774" s="123" t="s">
        <v>3004</v>
      </c>
      <c r="T2774" s="284" t="s">
        <v>3412</v>
      </c>
      <c r="U2774" s="145" t="str">
        <f>VLOOKUP(H2774,Stock_list!A:N,14,FALSE)</f>
        <v>APR 21</v>
      </c>
    </row>
    <row r="2775" spans="1:21" ht="16.5" customHeight="1">
      <c r="A2775" s="159" t="s">
        <v>2744</v>
      </c>
      <c r="B2775" s="114" t="str">
        <f>VLOOKUP(A2775,'Data pick slip'!B:F,5,FALSE)</f>
        <v>KHJ-MC100-00</v>
      </c>
      <c r="F2775" s="157" t="s">
        <v>1381</v>
      </c>
      <c r="H2775" s="138">
        <v>1167</v>
      </c>
      <c r="I2775" s="139" t="str">
        <f>VLOOKUP(H2775,Stock_list!A:R,18,FALSE)</f>
        <v>智序</v>
      </c>
      <c r="J2775" s="139" t="str">
        <f>VLOOKUP(H2775,Stock_list!A:S,17,FALSE)</f>
        <v>C49SZX20210049MX</v>
      </c>
      <c r="K2775" s="51" t="str">
        <f>VLOOKUP(H2775,Stock_list!A:T,16,FALSE)</f>
        <v>JPY</v>
      </c>
      <c r="L2775" s="4">
        <v>44797</v>
      </c>
      <c r="M2775" s="140">
        <v>1</v>
      </c>
      <c r="P2775" s="4" t="str">
        <f>VLOOKUP(H2775,Stock_list!A:Y,25,FALSE)</f>
        <v>Yes</v>
      </c>
      <c r="Q2775" s="143"/>
      <c r="T2775" s="144"/>
      <c r="U2775" s="145" t="str">
        <f>VLOOKUP(H2775,Stock_list!A:N,14,FALSE)</f>
        <v>APR 21</v>
      </c>
    </row>
    <row r="2776" spans="1:21" ht="16.5" customHeight="1">
      <c r="A2776" s="159" t="s">
        <v>2744</v>
      </c>
      <c r="B2776" s="114" t="str">
        <f>VLOOKUP(A2776,'Data pick slip'!B:F,5,FALSE)</f>
        <v>KHJ-MC100-00</v>
      </c>
      <c r="F2776" s="157" t="s">
        <v>1381</v>
      </c>
      <c r="H2776" s="138">
        <v>1178</v>
      </c>
      <c r="I2776" s="139" t="str">
        <f>VLOOKUP(H2776,Stock_list!A:R,18,FALSE)</f>
        <v>优品</v>
      </c>
      <c r="J2776" s="139" t="str">
        <f>VLOOKUP(H2776,Stock_list!A:S,17,FALSE)</f>
        <v>C49SZX20210057DZ</v>
      </c>
      <c r="K2776" s="51" t="str">
        <f>VLOOKUP(H2776,Stock_list!A:T,16,FALSE)</f>
        <v>JPY</v>
      </c>
      <c r="L2776" s="4">
        <v>44455</v>
      </c>
      <c r="M2776" s="140">
        <v>67</v>
      </c>
      <c r="P2776" s="4" t="str">
        <f>VLOOKUP(H2776,Stock_list!A:Y,25,FALSE)</f>
        <v>Yes</v>
      </c>
      <c r="Q2776" s="143"/>
      <c r="T2776" s="144"/>
      <c r="U2776" s="145" t="str">
        <f>VLOOKUP(H2776,Stock_list!A:N,14,FALSE)</f>
        <v>SEP 21</v>
      </c>
    </row>
    <row r="2777" spans="1:21" ht="16.5" customHeight="1">
      <c r="A2777" s="159" t="s">
        <v>2744</v>
      </c>
      <c r="B2777" s="114" t="str">
        <f>VLOOKUP(A2777,'Data pick slip'!B:F,5,FALSE)</f>
        <v>KHJ-MC100-00</v>
      </c>
      <c r="F2777" s="157" t="s">
        <v>1381</v>
      </c>
      <c r="H2777" s="138">
        <v>1178</v>
      </c>
      <c r="I2777" s="139" t="str">
        <f>VLOOKUP(H2777,Stock_list!A:R,18,FALSE)</f>
        <v>优品</v>
      </c>
      <c r="J2777" s="139" t="str">
        <f>VLOOKUP(H2777,Stock_list!A:S,17,FALSE)</f>
        <v>C49SZX20210057DZ</v>
      </c>
      <c r="K2777" s="51" t="str">
        <f>VLOOKUP(H2777,Stock_list!A:T,16,FALSE)</f>
        <v>JPY</v>
      </c>
      <c r="L2777" s="4">
        <v>44406</v>
      </c>
      <c r="M2777" s="132">
        <v>40</v>
      </c>
      <c r="P2777" s="4" t="str">
        <f>VLOOKUP(H2777,Stock_list!A:Y,25,FALSE)</f>
        <v>Yes</v>
      </c>
      <c r="Q2777" s="143"/>
      <c r="T2777" s="144"/>
      <c r="U2777" s="145" t="str">
        <f>VLOOKUP(H2777,Stock_list!A:N,14,FALSE)</f>
        <v>SEP 21</v>
      </c>
    </row>
    <row r="2778" spans="1:21" ht="16.5" customHeight="1">
      <c r="A2778" s="159" t="s">
        <v>2747</v>
      </c>
      <c r="B2778" s="114" t="str">
        <f>VLOOKUP(A2778,'Data pick slip'!B:F,5,FALSE)</f>
        <v>KHJ-MC200-00</v>
      </c>
      <c r="F2778" s="157" t="s">
        <v>1381</v>
      </c>
      <c r="H2778" s="138">
        <v>1178</v>
      </c>
      <c r="I2778" s="139" t="str">
        <f>VLOOKUP(H2778,Stock_list!A:R,18,FALSE)</f>
        <v>优品</v>
      </c>
      <c r="J2778" s="139" t="str">
        <f>VLOOKUP(H2778,Stock_list!A:S,17,FALSE)</f>
        <v>C49SZX20210057DZ</v>
      </c>
      <c r="K2778" s="51" t="str">
        <f>VLOOKUP(H2778,Stock_list!A:T,16,FALSE)</f>
        <v>JPY</v>
      </c>
      <c r="L2778" s="4">
        <v>44406</v>
      </c>
      <c r="M2778" s="132">
        <v>2</v>
      </c>
      <c r="P2778" s="4" t="str">
        <f>VLOOKUP(H2778,Stock_list!A:Y,25,FALSE)</f>
        <v>Yes</v>
      </c>
      <c r="Q2778" s="143"/>
      <c r="T2778" s="144"/>
      <c r="U2778" s="145" t="str">
        <f>VLOOKUP(H2778,Stock_list!A:N,14,FALSE)</f>
        <v>SEP 21</v>
      </c>
    </row>
    <row r="2779" spans="1:21" ht="16.5" customHeight="1">
      <c r="A2779" s="159" t="s">
        <v>2777</v>
      </c>
      <c r="B2779" s="114" t="str">
        <f>VLOOKUP(A2779,'Data pick slip'!B:F,5,FALSE)</f>
        <v>KHJ-MC400-00</v>
      </c>
      <c r="F2779" s="157" t="s">
        <v>1381</v>
      </c>
      <c r="H2779" s="138">
        <v>1178</v>
      </c>
      <c r="I2779" s="139" t="str">
        <f>VLOOKUP(H2779,Stock_list!A:R,18,FALSE)</f>
        <v>优品</v>
      </c>
      <c r="J2779" s="139" t="str">
        <f>VLOOKUP(H2779,Stock_list!A:S,17,FALSE)</f>
        <v>C49SZX20210057DZ</v>
      </c>
      <c r="K2779" s="51" t="str">
        <f>VLOOKUP(H2779,Stock_list!A:T,16,FALSE)</f>
        <v>JPY</v>
      </c>
      <c r="L2779" s="4">
        <v>44406</v>
      </c>
      <c r="M2779" s="132">
        <v>5</v>
      </c>
      <c r="P2779" s="4" t="str">
        <f>VLOOKUP(H2779,Stock_list!A:Y,25,FALSE)</f>
        <v>Yes</v>
      </c>
      <c r="Q2779" s="143"/>
      <c r="T2779" s="144"/>
      <c r="U2779" s="145" t="str">
        <f>VLOOKUP(H2779,Stock_list!A:N,14,FALSE)</f>
        <v>SEP 21</v>
      </c>
    </row>
    <row r="2780" spans="1:21" ht="16.5" customHeight="1">
      <c r="A2780" s="159" t="s">
        <v>2749</v>
      </c>
      <c r="B2780" s="114" t="str">
        <f>VLOOKUP(A2780,'Data pick slip'!B:F,5,FALSE)</f>
        <v>KHJ-MC500-00</v>
      </c>
      <c r="F2780" s="157" t="s">
        <v>1381</v>
      </c>
      <c r="H2780" s="138">
        <v>1178</v>
      </c>
      <c r="I2780" s="139" t="str">
        <f>VLOOKUP(H2780,Stock_list!A:R,18,FALSE)</f>
        <v>优品</v>
      </c>
      <c r="J2780" s="139" t="str">
        <f>VLOOKUP(H2780,Stock_list!A:S,17,FALSE)</f>
        <v>C49SZX20210057DZ</v>
      </c>
      <c r="K2780" s="51" t="str">
        <f>VLOOKUP(H2780,Stock_list!A:T,16,FALSE)</f>
        <v>JPY</v>
      </c>
      <c r="L2780" s="4">
        <v>44406</v>
      </c>
      <c r="M2780" s="132">
        <v>1</v>
      </c>
      <c r="P2780" s="4" t="str">
        <f>VLOOKUP(H2780,Stock_list!A:Y,25,FALSE)</f>
        <v>Yes</v>
      </c>
      <c r="Q2780" s="143"/>
      <c r="T2780" s="144"/>
      <c r="U2780" s="145" t="str">
        <f>VLOOKUP(H2780,Stock_list!A:N,14,FALSE)</f>
        <v>SEP 21</v>
      </c>
    </row>
    <row r="2781" spans="1:21" ht="16.5" customHeight="1">
      <c r="A2781" s="159" t="s">
        <v>2750</v>
      </c>
      <c r="B2781" s="114" t="str">
        <f>VLOOKUP(A2781,'Data pick slip'!B:F,5,FALSE)</f>
        <v>KHJ-MC600-00</v>
      </c>
      <c r="F2781" s="157" t="s">
        <v>1381</v>
      </c>
      <c r="H2781" s="138">
        <v>1178</v>
      </c>
      <c r="I2781" s="139" t="str">
        <f>VLOOKUP(H2781,Stock_list!A:R,18,FALSE)</f>
        <v>优品</v>
      </c>
      <c r="J2781" s="139" t="str">
        <f>VLOOKUP(H2781,Stock_list!A:S,17,FALSE)</f>
        <v>C49SZX20210057DZ</v>
      </c>
      <c r="K2781" s="51" t="str">
        <f>VLOOKUP(H2781,Stock_list!A:T,16,FALSE)</f>
        <v>JPY</v>
      </c>
      <c r="L2781" s="4">
        <v>44406</v>
      </c>
      <c r="M2781" s="132">
        <v>1</v>
      </c>
      <c r="P2781" s="4" t="str">
        <f>VLOOKUP(H2781,Stock_list!A:Y,25,FALSE)</f>
        <v>Yes</v>
      </c>
      <c r="Q2781" s="143"/>
      <c r="T2781" s="144"/>
      <c r="U2781" s="145" t="str">
        <f>VLOOKUP(H2781,Stock_list!A:N,14,FALSE)</f>
        <v>SEP 21</v>
      </c>
    </row>
    <row r="2782" spans="1:21" ht="16.5" customHeight="1">
      <c r="A2782" s="159" t="s">
        <v>2751</v>
      </c>
      <c r="B2782" s="114" t="str">
        <f>VLOOKUP(A2782,'Data pick slip'!B:F,5,FALSE)</f>
        <v>KHJ-MC700-00</v>
      </c>
      <c r="F2782" s="157" t="s">
        <v>1381</v>
      </c>
      <c r="H2782" s="138">
        <v>1178</v>
      </c>
      <c r="I2782" s="139" t="str">
        <f>VLOOKUP(H2782,Stock_list!A:R,18,FALSE)</f>
        <v>优品</v>
      </c>
      <c r="J2782" s="139" t="str">
        <f>VLOOKUP(H2782,Stock_list!A:S,17,FALSE)</f>
        <v>C49SZX20210057DZ</v>
      </c>
      <c r="K2782" s="51" t="str">
        <f>VLOOKUP(H2782,Stock_list!A:T,16,FALSE)</f>
        <v>JPY</v>
      </c>
      <c r="L2782" s="4">
        <v>44406</v>
      </c>
      <c r="M2782" s="132">
        <v>1</v>
      </c>
      <c r="P2782" s="4" t="str">
        <f>VLOOKUP(H2782,Stock_list!A:Y,25,FALSE)</f>
        <v>Yes</v>
      </c>
      <c r="Q2782" s="143"/>
      <c r="T2782" s="144"/>
      <c r="U2782" s="145" t="str">
        <f>VLOOKUP(H2782,Stock_list!A:N,14,FALSE)</f>
        <v>SEP 21</v>
      </c>
    </row>
    <row r="2783" spans="1:21" ht="16.5" customHeight="1">
      <c r="A2783" s="159" t="s">
        <v>2744</v>
      </c>
      <c r="B2783" s="114" t="str">
        <f>VLOOKUP(A2783,'Data pick slip'!B:F,5,FALSE)</f>
        <v>KHJ-MC100-00</v>
      </c>
      <c r="F2783" s="157" t="s">
        <v>2862</v>
      </c>
      <c r="H2783" s="138">
        <v>1179</v>
      </c>
      <c r="I2783" s="139" t="str">
        <f>VLOOKUP(H2783,Stock_list!A:R,18,FALSE)</f>
        <v>海松微</v>
      </c>
      <c r="J2783" s="139" t="str">
        <f>VLOOKUP(H2783,Stock_list!A:S,17,FALSE)</f>
        <v>C49SZX20210062JY</v>
      </c>
      <c r="K2783" s="51" t="str">
        <f>VLOOKUP(H2783,Stock_list!A:T,16,FALSE)</f>
        <v>JPY</v>
      </c>
      <c r="L2783" s="4">
        <v>44376</v>
      </c>
      <c r="M2783" s="143">
        <v>30</v>
      </c>
      <c r="P2783" s="4" t="str">
        <f>VLOOKUP(H2783,Stock_list!A:Y,25,FALSE)</f>
        <v>Yes</v>
      </c>
      <c r="T2783" s="144"/>
      <c r="U2783" s="145" t="str">
        <f>VLOOKUP(H2783,Stock_list!A:N,14,FALSE)</f>
        <v>JUN 21</v>
      </c>
    </row>
    <row r="2784" spans="1:21" ht="16.5" customHeight="1">
      <c r="A2784" s="159" t="s">
        <v>2747</v>
      </c>
      <c r="B2784" s="114" t="str">
        <f>VLOOKUP(A2784,'Data pick slip'!B:F,5,FALSE)</f>
        <v>KHJ-MC200-00</v>
      </c>
      <c r="F2784" s="157" t="s">
        <v>2862</v>
      </c>
      <c r="H2784" s="138">
        <v>1179</v>
      </c>
      <c r="I2784" s="139" t="str">
        <f>VLOOKUP(H2784,Stock_list!A:R,18,FALSE)</f>
        <v>海松微</v>
      </c>
      <c r="J2784" s="139" t="str">
        <f>VLOOKUP(H2784,Stock_list!A:S,17,FALSE)</f>
        <v>C49SZX20210062JY</v>
      </c>
      <c r="K2784" s="51" t="str">
        <f>VLOOKUP(H2784,Stock_list!A:T,16,FALSE)</f>
        <v>JPY</v>
      </c>
      <c r="L2784" s="4">
        <v>44376</v>
      </c>
      <c r="M2784" s="143">
        <v>3</v>
      </c>
      <c r="P2784" s="4" t="str">
        <f>VLOOKUP(H2784,Stock_list!A:Y,25,FALSE)</f>
        <v>Yes</v>
      </c>
      <c r="T2784" s="144"/>
      <c r="U2784" s="145" t="str">
        <f>VLOOKUP(H2784,Stock_list!A:N,14,FALSE)</f>
        <v>JUN 21</v>
      </c>
    </row>
    <row r="2785" spans="1:21" ht="16.5" customHeight="1">
      <c r="A2785" s="159" t="s">
        <v>2748</v>
      </c>
      <c r="B2785" s="114" t="str">
        <f>VLOOKUP(A2785,'Data pick slip'!B:F,5,FALSE)</f>
        <v>KHJ-MC400-00</v>
      </c>
      <c r="F2785" s="157" t="s">
        <v>2862</v>
      </c>
      <c r="H2785" s="138">
        <v>1179</v>
      </c>
      <c r="I2785" s="139" t="str">
        <f>VLOOKUP(H2785,Stock_list!A:R,18,FALSE)</f>
        <v>海松微</v>
      </c>
      <c r="J2785" s="139" t="str">
        <f>VLOOKUP(H2785,Stock_list!A:S,17,FALSE)</f>
        <v>C49SZX20210062JY</v>
      </c>
      <c r="K2785" s="51" t="str">
        <f>VLOOKUP(H2785,Stock_list!A:T,16,FALSE)</f>
        <v>JPY</v>
      </c>
      <c r="L2785" s="4">
        <v>44376</v>
      </c>
      <c r="M2785" s="143">
        <v>2</v>
      </c>
      <c r="P2785" s="4" t="str">
        <f>VLOOKUP(H2785,Stock_list!A:Y,25,FALSE)</f>
        <v>Yes</v>
      </c>
      <c r="T2785" s="144"/>
      <c r="U2785" s="145" t="str">
        <f>VLOOKUP(H2785,Stock_list!A:N,14,FALSE)</f>
        <v>JUN 21</v>
      </c>
    </row>
    <row r="2786" spans="1:21" ht="16.5" customHeight="1">
      <c r="A2786" s="159" t="s">
        <v>2750</v>
      </c>
      <c r="B2786" s="114" t="str">
        <f>VLOOKUP(A2786,'Data pick slip'!B:F,5,FALSE)</f>
        <v>KHJ-MC600-00</v>
      </c>
      <c r="F2786" s="157" t="s">
        <v>2753</v>
      </c>
      <c r="I2786" s="139" t="s">
        <v>3094</v>
      </c>
      <c r="J2786" s="139" t="s">
        <v>3421</v>
      </c>
      <c r="K2786" s="51" t="s">
        <v>1246</v>
      </c>
      <c r="L2786" s="4">
        <v>44257</v>
      </c>
      <c r="M2786" s="140">
        <v>1</v>
      </c>
      <c r="P2786" s="4" t="s">
        <v>291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2744</v>
      </c>
      <c r="B2787" s="114" t="str">
        <f>VLOOKUP(A2787,'Data pick slip'!B:F,5,FALSE)</f>
        <v>KHJ-MC100-00</v>
      </c>
      <c r="F2787" s="157" t="s">
        <v>1381</v>
      </c>
      <c r="H2787" s="138">
        <v>1180</v>
      </c>
      <c r="I2787" s="139" t="str">
        <f>VLOOKUP(H2787,Stock_list!A:R,18,FALSE)</f>
        <v>贝爱婴童</v>
      </c>
      <c r="J2787" s="139" t="str">
        <f>VLOOKUP(H2787,Stock_list!A:S,17,FALSE)</f>
        <v>C49SZX20210065JD</v>
      </c>
      <c r="K2787" s="51" t="str">
        <f>VLOOKUP(H2787,Stock_list!A:T,16,FALSE)</f>
        <v>JPY</v>
      </c>
      <c r="L2787" s="4">
        <v>44350</v>
      </c>
      <c r="M2787" s="132">
        <v>40</v>
      </c>
      <c r="P2787" s="4" t="s">
        <v>291</v>
      </c>
      <c r="Q2787" s="143"/>
      <c r="T2787" s="144"/>
      <c r="U2787" s="145" t="str">
        <f>VLOOKUP(H2787,Stock_list!A:N,14,FALSE)</f>
        <v>JUN 21</v>
      </c>
    </row>
    <row r="2788" spans="1:21" ht="16.5" customHeight="1">
      <c r="A2788" s="159" t="s">
        <v>2747</v>
      </c>
      <c r="B2788" s="114" t="str">
        <f>VLOOKUP(A2788,'Data pick slip'!B:F,5,FALSE)</f>
        <v>KHJ-MC200-00</v>
      </c>
      <c r="F2788" s="157" t="s">
        <v>1381</v>
      </c>
      <c r="H2788" s="138">
        <v>1180</v>
      </c>
      <c r="I2788" s="139" t="str">
        <f>VLOOKUP(H2788,Stock_list!A:R,18,FALSE)</f>
        <v>贝爱婴童</v>
      </c>
      <c r="J2788" s="139" t="str">
        <f>VLOOKUP(H2788,Stock_list!A:S,17,FALSE)</f>
        <v>C49SZX20210065JD</v>
      </c>
      <c r="K2788" s="51" t="str">
        <f>VLOOKUP(H2788,Stock_list!A:T,16,FALSE)</f>
        <v>JPY</v>
      </c>
      <c r="L2788" s="4">
        <v>44350</v>
      </c>
      <c r="M2788" s="132">
        <v>5</v>
      </c>
      <c r="P2788" s="4" t="s">
        <v>291</v>
      </c>
      <c r="Q2788" s="143"/>
      <c r="T2788" s="144"/>
      <c r="U2788" s="145" t="str">
        <f>VLOOKUP(H2788,Stock_list!A:N,14,FALSE)</f>
        <v>JUN 21</v>
      </c>
    </row>
    <row r="2789" spans="1:21" ht="16.5" customHeight="1">
      <c r="A2789" s="159" t="s">
        <v>2748</v>
      </c>
      <c r="B2789" s="114" t="str">
        <f>VLOOKUP(A2789,'Data pick slip'!B:F,5,FALSE)</f>
        <v>KHJ-MC400-00</v>
      </c>
      <c r="F2789" s="157" t="s">
        <v>1381</v>
      </c>
      <c r="H2789" s="138">
        <v>1180</v>
      </c>
      <c r="I2789" s="139" t="str">
        <f>VLOOKUP(H2789,Stock_list!A:R,18,FALSE)</f>
        <v>贝爱婴童</v>
      </c>
      <c r="J2789" s="139" t="str">
        <f>VLOOKUP(H2789,Stock_list!A:S,17,FALSE)</f>
        <v>C49SZX20210065JD</v>
      </c>
      <c r="K2789" s="51" t="str">
        <f>VLOOKUP(H2789,Stock_list!A:T,16,FALSE)</f>
        <v>JPY</v>
      </c>
      <c r="L2789" s="4">
        <v>44350</v>
      </c>
      <c r="M2789" s="132">
        <v>3</v>
      </c>
      <c r="P2789" s="4" t="s">
        <v>291</v>
      </c>
      <c r="Q2789" s="143"/>
      <c r="T2789" s="144"/>
      <c r="U2789" s="145" t="str">
        <f>VLOOKUP(H2789,Stock_list!A:N,14,FALSE)</f>
        <v>JUN 21</v>
      </c>
    </row>
    <row r="2790" spans="1:21" ht="16.5" customHeight="1">
      <c r="A2790" s="159" t="s">
        <v>2749</v>
      </c>
      <c r="B2790" s="114" t="str">
        <f>VLOOKUP(A2790,'Data pick slip'!B:F,5,FALSE)</f>
        <v>KHJ-MC500-00</v>
      </c>
      <c r="F2790" s="157" t="s">
        <v>1381</v>
      </c>
      <c r="H2790" s="138">
        <v>1180</v>
      </c>
      <c r="I2790" s="139" t="str">
        <f>VLOOKUP(H2790,Stock_list!A:R,18,FALSE)</f>
        <v>贝爱婴童</v>
      </c>
      <c r="J2790" s="139" t="str">
        <f>VLOOKUP(H2790,Stock_list!A:S,17,FALSE)</f>
        <v>C49SZX20210065JD</v>
      </c>
      <c r="K2790" s="51" t="str">
        <f>VLOOKUP(H2790,Stock_list!A:T,16,FALSE)</f>
        <v>JPY</v>
      </c>
      <c r="L2790" s="4">
        <v>44350</v>
      </c>
      <c r="M2790" s="132">
        <v>2</v>
      </c>
      <c r="P2790" s="4" t="s">
        <v>291</v>
      </c>
      <c r="Q2790" s="143"/>
      <c r="T2790" s="144"/>
      <c r="U2790" s="145" t="str">
        <f>VLOOKUP(H2790,Stock_list!A:N,14,FALSE)</f>
        <v>JUN 21</v>
      </c>
    </row>
    <row r="2791" spans="1:21" ht="16.5" customHeight="1">
      <c r="A2791" s="159" t="s">
        <v>2744</v>
      </c>
      <c r="B2791" s="114" t="str">
        <f>VLOOKUP(A2791,'Data pick slip'!B:F,5,FALSE)</f>
        <v>KHJ-MC100-00</v>
      </c>
      <c r="F2791" s="157" t="s">
        <v>2762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2747</v>
      </c>
      <c r="B2792" s="114" t="str">
        <f>VLOOKUP(A2792,'Data pick slip'!B:F,5,FALSE)</f>
        <v>KHJ-MC200-00</v>
      </c>
      <c r="F2792" s="157" t="s">
        <v>2762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2777</v>
      </c>
      <c r="B2793" s="114" t="str">
        <f>VLOOKUP(A2793,'Data pick slip'!B:F,5,FALSE)</f>
        <v>KHJ-MC400-00</v>
      </c>
      <c r="F2793" s="157" t="s">
        <v>2762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2749</v>
      </c>
      <c r="B2794" s="114" t="str">
        <f>VLOOKUP(A2794,'Data pick slip'!B:F,5,FALSE)</f>
        <v>KHJ-MC500-00</v>
      </c>
      <c r="F2794" s="157" t="s">
        <v>2762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2744</v>
      </c>
      <c r="B2795" s="114" t="str">
        <f>VLOOKUP(A2795,'Data pick slip'!B:F,5,FALSE)</f>
        <v>KHJ-MC100-00</v>
      </c>
      <c r="F2795" s="157" t="s">
        <v>2753</v>
      </c>
      <c r="I2795" s="139" t="s">
        <v>3094</v>
      </c>
      <c r="J2795" s="270" t="s">
        <v>3422</v>
      </c>
      <c r="K2795" s="51" t="s">
        <v>1246</v>
      </c>
      <c r="L2795" s="4">
        <v>44259</v>
      </c>
      <c r="M2795" s="132">
        <v>3</v>
      </c>
      <c r="P2795" s="4" t="s">
        <v>291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2747</v>
      </c>
      <c r="B2796" s="114" t="str">
        <f>VLOOKUP(A2796,'Data pick slip'!B:F,5,FALSE)</f>
        <v>KHJ-MC200-00</v>
      </c>
      <c r="F2796" s="157" t="s">
        <v>2753</v>
      </c>
      <c r="I2796" s="139" t="s">
        <v>3094</v>
      </c>
      <c r="J2796" s="270" t="s">
        <v>3422</v>
      </c>
      <c r="K2796" s="51" t="s">
        <v>1246</v>
      </c>
      <c r="L2796" s="4">
        <v>44259</v>
      </c>
      <c r="M2796" s="132">
        <v>2</v>
      </c>
      <c r="P2796" s="4" t="s">
        <v>291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2744</v>
      </c>
      <c r="B2797" s="114" t="str">
        <f>VLOOKUP(A2797,'Data pick slip'!B:F,5,FALSE)</f>
        <v>KHJ-MC100-00</v>
      </c>
      <c r="F2797" s="157" t="s">
        <v>1381</v>
      </c>
      <c r="H2797" s="138">
        <v>1185</v>
      </c>
      <c r="I2797" s="139" t="str">
        <f>VLOOKUP(H2797,Stock_list!A:R,18,FALSE)</f>
        <v>星辰宇</v>
      </c>
      <c r="J2797" s="139" t="str">
        <f>VLOOKUP(H2797,Stock_list!A:S,17,FALSE)</f>
        <v>C49SZX20210063LC</v>
      </c>
      <c r="K2797" s="51" t="str">
        <f>VLOOKUP(H2797,Stock_list!A:T,16,FALSE)</f>
        <v>JPY</v>
      </c>
      <c r="L2797" s="4">
        <v>44334</v>
      </c>
      <c r="M2797" s="132">
        <v>28</v>
      </c>
      <c r="P2797" s="4" t="str">
        <f>VLOOKUP(H2797,Stock_list!A:Y,25,FALSE)</f>
        <v>Yes</v>
      </c>
      <c r="Q2797" s="143"/>
      <c r="T2797" s="144"/>
      <c r="U2797" s="145" t="str">
        <f>VLOOKUP(H2797,Stock_list!A:N,14,FALSE)</f>
        <v>MAY 21</v>
      </c>
    </row>
    <row r="2798" spans="1:21" ht="16.5" customHeight="1">
      <c r="A2798" s="159" t="s">
        <v>2747</v>
      </c>
      <c r="B2798" s="114" t="str">
        <f>VLOOKUP(A2798,'Data pick slip'!B:F,5,FALSE)</f>
        <v>KHJ-MC200-00</v>
      </c>
      <c r="F2798" s="157" t="s">
        <v>1381</v>
      </c>
      <c r="H2798" s="138">
        <v>1185</v>
      </c>
      <c r="I2798" s="139" t="str">
        <f>VLOOKUP(H2798,Stock_list!A:R,18,FALSE)</f>
        <v>星辰宇</v>
      </c>
      <c r="J2798" s="139" t="str">
        <f>VLOOKUP(H2798,Stock_list!A:S,17,FALSE)</f>
        <v>C49SZX20210063LC</v>
      </c>
      <c r="K2798" s="51" t="str">
        <f>VLOOKUP(H2798,Stock_list!A:T,16,FALSE)</f>
        <v>JPY</v>
      </c>
      <c r="L2798" s="4">
        <v>44334</v>
      </c>
      <c r="M2798" s="132">
        <v>9</v>
      </c>
      <c r="P2798" s="4" t="str">
        <f>VLOOKUP(H2798,Stock_list!A:Y,25,FALSE)</f>
        <v>Yes</v>
      </c>
      <c r="Q2798" s="143"/>
      <c r="T2798" s="144"/>
      <c r="U2798" s="145" t="str">
        <f>VLOOKUP(H2798,Stock_list!A:N,14,FALSE)</f>
        <v>MAY 21</v>
      </c>
    </row>
    <row r="2799" spans="1:21" ht="16.5" customHeight="1">
      <c r="A2799" s="159" t="s">
        <v>2777</v>
      </c>
      <c r="B2799" s="114" t="str">
        <f>VLOOKUP(A2799,'Data pick slip'!B:F,5,FALSE)</f>
        <v>KHJ-MC400-00</v>
      </c>
      <c r="F2799" s="157" t="s">
        <v>1381</v>
      </c>
      <c r="H2799" s="138">
        <v>1185</v>
      </c>
      <c r="I2799" s="139" t="str">
        <f>VLOOKUP(H2799,Stock_list!A:R,18,FALSE)</f>
        <v>星辰宇</v>
      </c>
      <c r="J2799" s="139" t="str">
        <f>VLOOKUP(H2799,Stock_list!A:S,17,FALSE)</f>
        <v>C49SZX20210063LC</v>
      </c>
      <c r="K2799" s="51" t="str">
        <f>VLOOKUP(H2799,Stock_list!A:T,16,FALSE)</f>
        <v>JPY</v>
      </c>
      <c r="L2799" s="4">
        <v>44334</v>
      </c>
      <c r="M2799" s="132">
        <v>1</v>
      </c>
      <c r="P2799" s="4" t="str">
        <f>VLOOKUP(H2799,Stock_list!A:Y,25,FALSE)</f>
        <v>Yes</v>
      </c>
      <c r="Q2799" s="143"/>
      <c r="T2799" s="144"/>
      <c r="U2799" s="145" t="str">
        <f>VLOOKUP(H2799,Stock_list!A:N,14,FALSE)</f>
        <v>MAY 21</v>
      </c>
    </row>
    <row r="2800" spans="1:21" ht="16.5" customHeight="1">
      <c r="A2800" s="159" t="s">
        <v>2744</v>
      </c>
      <c r="B2800" s="114" t="str">
        <f>VLOOKUP(A2800,'Data pick slip'!B:F,5,FALSE)</f>
        <v>KHJ-MC100-00</v>
      </c>
      <c r="F2800" s="157" t="s">
        <v>2862</v>
      </c>
      <c r="H2800" s="138">
        <v>1153</v>
      </c>
      <c r="I2800" s="139" t="str">
        <f>VLOOKUP(H2800,Stock_list!A:R,18,FALSE)</f>
        <v>江西络鑫</v>
      </c>
      <c r="J2800" s="139" t="str">
        <f>VLOOKUP(H2800,Stock_list!A:S,17,FALSE)</f>
        <v>C49SZX20210052JY</v>
      </c>
      <c r="K2800" s="51" t="str">
        <f>VLOOKUP(H2800,Stock_list!A:T,16,FALSE)</f>
        <v>JPY</v>
      </c>
      <c r="L2800" s="4">
        <v>44536</v>
      </c>
      <c r="M2800" s="143">
        <v>210</v>
      </c>
      <c r="N2800" s="143"/>
      <c r="P2800" s="4" t="str">
        <f>VLOOKUP(H2800,Stock_list!A:Y,25,FALSE)</f>
        <v>Yes</v>
      </c>
      <c r="T2800" s="144"/>
      <c r="U2800" s="145" t="str">
        <f>VLOOKUP(H2800,Stock_list!A:N,14,FALSE)</f>
        <v>DEC 21</v>
      </c>
    </row>
    <row r="2801" spans="1:21" ht="16.5" customHeight="1">
      <c r="A2801" s="159" t="s">
        <v>2747</v>
      </c>
      <c r="B2801" s="114" t="str">
        <f>VLOOKUP(A2801,'Data pick slip'!B:F,5,FALSE)</f>
        <v>KHJ-MC200-00</v>
      </c>
      <c r="F2801" s="157" t="s">
        <v>2862</v>
      </c>
      <c r="H2801" s="138">
        <v>1153</v>
      </c>
      <c r="I2801" s="139" t="str">
        <f>VLOOKUP(H2801,Stock_list!A:R,18,FALSE)</f>
        <v>江西络鑫</v>
      </c>
      <c r="J2801" s="139" t="str">
        <f>VLOOKUP(H2801,Stock_list!A:S,17,FALSE)</f>
        <v>C49SZX20210052JY</v>
      </c>
      <c r="K2801" s="51" t="str">
        <f>VLOOKUP(H2801,Stock_list!A:T,16,FALSE)</f>
        <v>JPY</v>
      </c>
      <c r="L2801" s="4">
        <v>44536</v>
      </c>
      <c r="M2801" s="143">
        <v>30</v>
      </c>
      <c r="N2801" s="143"/>
      <c r="P2801" s="4" t="str">
        <f>VLOOKUP(H2801,Stock_list!A:Y,25,FALSE)</f>
        <v>Yes</v>
      </c>
      <c r="T2801" s="144"/>
      <c r="U2801" s="145" t="str">
        <f>VLOOKUP(H2801,Stock_list!A:N,14,FALSE)</f>
        <v>DEC 21</v>
      </c>
    </row>
    <row r="2802" spans="1:21" ht="16.5" customHeight="1">
      <c r="A2802" s="159" t="s">
        <v>2750</v>
      </c>
      <c r="B2802" s="114" t="str">
        <f>VLOOKUP(A2802,'Data pick slip'!B:F,5,FALSE)</f>
        <v>KHJ-MC600-00</v>
      </c>
      <c r="F2802" s="157" t="s">
        <v>2753</v>
      </c>
      <c r="H2802" s="138">
        <v>1153</v>
      </c>
      <c r="I2802" s="139" t="str">
        <f>VLOOKUP(H2802,Stock_list!A:R,18,FALSE)</f>
        <v>江西络鑫</v>
      </c>
      <c r="J2802" s="139" t="str">
        <f>VLOOKUP(H2802,Stock_list!A:S,17,FALSE)</f>
        <v>C49SZX20210052JY</v>
      </c>
      <c r="K2802" s="51" t="str">
        <f>VLOOKUP(H2802,Stock_list!A:T,16,FALSE)</f>
        <v>JPY</v>
      </c>
      <c r="L2802" s="4">
        <v>44375</v>
      </c>
      <c r="M2802" s="143"/>
      <c r="O2802" s="132">
        <f>2-2</f>
        <v>0</v>
      </c>
      <c r="P2802" s="4" t="str">
        <f>VLOOKUP(H2802,Stock_list!A:Y,25,FALSE)</f>
        <v>Yes</v>
      </c>
      <c r="T2802" s="144"/>
      <c r="U2802" s="145" t="str">
        <f>VLOOKUP(H2802,Stock_list!A:N,14,FALSE)</f>
        <v>DEC 21</v>
      </c>
    </row>
    <row r="2803" spans="1:21" ht="16.5" customHeight="1">
      <c r="A2803" s="159" t="s">
        <v>2744</v>
      </c>
      <c r="B2803" s="114" t="str">
        <f>VLOOKUP(A2803,'Data pick slip'!B:F,5,FALSE)</f>
        <v>KHJ-MC100-00</v>
      </c>
      <c r="F2803" s="157" t="s">
        <v>2862</v>
      </c>
      <c r="H2803" s="138">
        <v>1153</v>
      </c>
      <c r="I2803" s="139" t="str">
        <f>VLOOKUP(H2803,Stock_list!A:R,18,FALSE)</f>
        <v>江西络鑫</v>
      </c>
      <c r="J2803" s="139" t="str">
        <f>VLOOKUP(H2803,Stock_list!A:S,17,FALSE)</f>
        <v>C49SZX20210052JY</v>
      </c>
      <c r="K2803" s="51" t="str">
        <f>VLOOKUP(H2803,Stock_list!A:T,16,FALSE)</f>
        <v>JPY</v>
      </c>
      <c r="L2803" s="4">
        <v>44536</v>
      </c>
      <c r="M2803" s="132">
        <v>210</v>
      </c>
      <c r="P2803" s="4" t="str">
        <f>VLOOKUP(H2803,Stock_list!A:Y,25,FALSE)</f>
        <v>Yes</v>
      </c>
      <c r="T2803" s="144"/>
      <c r="U2803" s="145" t="str">
        <f>VLOOKUP(H2803,Stock_list!A:N,14,FALSE)</f>
        <v>DEC 21</v>
      </c>
    </row>
    <row r="2804" spans="1:21" ht="16.5" customHeight="1">
      <c r="A2804" s="159" t="s">
        <v>2747</v>
      </c>
      <c r="B2804" s="114" t="str">
        <f>VLOOKUP(A2804,'Data pick slip'!B:F,5,FALSE)</f>
        <v>KHJ-MC200-00</v>
      </c>
      <c r="F2804" s="157" t="s">
        <v>2862</v>
      </c>
      <c r="H2804" s="138">
        <v>1153</v>
      </c>
      <c r="I2804" s="139" t="str">
        <f>VLOOKUP(H2804,Stock_list!A:R,18,FALSE)</f>
        <v>江西络鑫</v>
      </c>
      <c r="J2804" s="139" t="str">
        <f>VLOOKUP(H2804,Stock_list!A:S,17,FALSE)</f>
        <v>C49SZX20210052JY</v>
      </c>
      <c r="K2804" s="51" t="str">
        <f>VLOOKUP(H2804,Stock_list!A:T,16,FALSE)</f>
        <v>JPY</v>
      </c>
      <c r="L2804" s="4">
        <v>44536</v>
      </c>
      <c r="M2804" s="132">
        <v>20</v>
      </c>
      <c r="P2804" s="4" t="str">
        <f>VLOOKUP(H2804,Stock_list!A:Y,25,FALSE)</f>
        <v>Yes</v>
      </c>
      <c r="T2804" s="144"/>
      <c r="U2804" s="145" t="str">
        <f>VLOOKUP(H2804,Stock_list!A:N,14,FALSE)</f>
        <v>DEC 21</v>
      </c>
    </row>
    <row r="2805" spans="1:21" ht="16.5" customHeight="1">
      <c r="A2805" s="159" t="s">
        <v>2748</v>
      </c>
      <c r="B2805" s="114" t="str">
        <f>VLOOKUP(A2805,'Data pick slip'!B:F,5,FALSE)</f>
        <v>KHJ-MC400-00</v>
      </c>
      <c r="F2805" s="157" t="s">
        <v>2862</v>
      </c>
      <c r="H2805" s="138">
        <v>1153</v>
      </c>
      <c r="I2805" s="139" t="str">
        <f>VLOOKUP(H2805,Stock_list!A:R,18,FALSE)</f>
        <v>江西络鑫</v>
      </c>
      <c r="J2805" s="139" t="str">
        <f>VLOOKUP(H2805,Stock_list!A:S,17,FALSE)</f>
        <v>C49SZX20210052JY</v>
      </c>
      <c r="K2805" s="51" t="str">
        <f>VLOOKUP(H2805,Stock_list!A:T,16,FALSE)</f>
        <v>JPY</v>
      </c>
      <c r="L2805" s="4">
        <v>44536</v>
      </c>
      <c r="M2805" s="132">
        <v>11</v>
      </c>
      <c r="P2805" s="4" t="str">
        <f>VLOOKUP(H2805,Stock_list!A:Y,25,FALSE)</f>
        <v>Yes</v>
      </c>
      <c r="T2805" s="144"/>
      <c r="U2805" s="145" t="str">
        <f>VLOOKUP(H2805,Stock_list!A:N,14,FALSE)</f>
        <v>DEC 21</v>
      </c>
    </row>
    <row r="2806" spans="1:21" ht="16.5" customHeight="1">
      <c r="A2806" s="159" t="s">
        <v>2749</v>
      </c>
      <c r="B2806" s="114" t="str">
        <f>VLOOKUP(A2806,'Data pick slip'!B:F,5,FALSE)</f>
        <v>KHJ-MC500-00</v>
      </c>
      <c r="F2806" s="157" t="s">
        <v>2862</v>
      </c>
      <c r="H2806" s="138">
        <v>1153</v>
      </c>
      <c r="I2806" s="139" t="str">
        <f>VLOOKUP(H2806,Stock_list!A:R,18,FALSE)</f>
        <v>江西络鑫</v>
      </c>
      <c r="J2806" s="139" t="str">
        <f>VLOOKUP(H2806,Stock_list!A:S,17,FALSE)</f>
        <v>C49SZX20210052JY</v>
      </c>
      <c r="K2806" s="51" t="str">
        <f>VLOOKUP(H2806,Stock_list!A:T,16,FALSE)</f>
        <v>JPY</v>
      </c>
      <c r="L2806" s="4">
        <v>44536</v>
      </c>
      <c r="M2806" s="132">
        <v>4</v>
      </c>
      <c r="P2806" s="4" t="str">
        <f>VLOOKUP(H2806,Stock_list!A:Y,25,FALSE)</f>
        <v>Yes</v>
      </c>
      <c r="T2806" s="144"/>
      <c r="U2806" s="145" t="str">
        <f>VLOOKUP(H2806,Stock_list!A:N,14,FALSE)</f>
        <v>DEC 21</v>
      </c>
    </row>
    <row r="2807" spans="1:21" ht="16.5" customHeight="1">
      <c r="A2807" s="159" t="s">
        <v>2750</v>
      </c>
      <c r="B2807" s="114" t="str">
        <f>VLOOKUP(A2807,'Data pick slip'!B:F,5,FALSE)</f>
        <v>KHJ-MC600-00</v>
      </c>
      <c r="F2807" s="157" t="s">
        <v>2862</v>
      </c>
      <c r="H2807" s="138">
        <v>1153</v>
      </c>
      <c r="I2807" s="139" t="str">
        <f>VLOOKUP(H2807,Stock_list!A:R,18,FALSE)</f>
        <v>江西络鑫</v>
      </c>
      <c r="J2807" s="139" t="str">
        <f>VLOOKUP(H2807,Stock_list!A:S,17,FALSE)</f>
        <v>C49SZX20210052JY</v>
      </c>
      <c r="K2807" s="51" t="str">
        <f>VLOOKUP(H2807,Stock_list!A:T,16,FALSE)</f>
        <v>JPY</v>
      </c>
      <c r="L2807" s="4">
        <v>44536</v>
      </c>
      <c r="M2807" s="132">
        <v>4</v>
      </c>
      <c r="P2807" s="4" t="str">
        <f>VLOOKUP(H2807,Stock_list!A:Y,25,FALSE)</f>
        <v>Yes</v>
      </c>
      <c r="T2807" s="144"/>
      <c r="U2807" s="145" t="str">
        <f>VLOOKUP(H2807,Stock_list!A:N,14,FALSE)</f>
        <v>DEC 21</v>
      </c>
    </row>
    <row r="2808" spans="1:21" ht="16.5" customHeight="1">
      <c r="A2808" s="159" t="s">
        <v>2751</v>
      </c>
      <c r="B2808" s="114" t="str">
        <f>VLOOKUP(A2808,'Data pick slip'!B:F,5,FALSE)</f>
        <v>KHJ-MC700-00</v>
      </c>
      <c r="F2808" s="157" t="s">
        <v>2862</v>
      </c>
      <c r="H2808" s="138">
        <v>1153</v>
      </c>
      <c r="I2808" s="139" t="str">
        <f>VLOOKUP(H2808,Stock_list!A:R,18,FALSE)</f>
        <v>江西络鑫</v>
      </c>
      <c r="J2808" s="139" t="str">
        <f>VLOOKUP(H2808,Stock_list!A:S,17,FALSE)</f>
        <v>C49SZX20210052JY</v>
      </c>
      <c r="K2808" s="51" t="str">
        <f>VLOOKUP(H2808,Stock_list!A:T,16,FALSE)</f>
        <v>JPY</v>
      </c>
      <c r="L2808" s="4">
        <v>44536</v>
      </c>
      <c r="M2808" s="132">
        <v>3</v>
      </c>
      <c r="P2808" s="4" t="str">
        <f>VLOOKUP(H2808,Stock_list!A:Y,25,FALSE)</f>
        <v>Yes</v>
      </c>
      <c r="T2808" s="144"/>
      <c r="U2808" s="145" t="str">
        <f>VLOOKUP(H2808,Stock_list!A:N,14,FALSE)</f>
        <v>DEC 21</v>
      </c>
    </row>
    <row r="2809" spans="1:21" ht="16.5" customHeight="1">
      <c r="A2809" s="159" t="s">
        <v>2744</v>
      </c>
      <c r="B2809" s="114" t="str">
        <f>VLOOKUP(A2809,'Data pick slip'!B:F,5,FALSE)</f>
        <v>KHJ-MC100-00</v>
      </c>
      <c r="F2809" s="157" t="s">
        <v>1381</v>
      </c>
      <c r="H2809" s="138">
        <v>1210</v>
      </c>
      <c r="I2809" s="139" t="str">
        <f>VLOOKUP(H2809,Stock_list!A:R,18,FALSE)</f>
        <v>斯迈电子</v>
      </c>
      <c r="J2809" s="139" t="str">
        <f>VLOOKUP(H2809,Stock_list!A:S,17,FALSE)</f>
        <v>C49SZX20210125DZ</v>
      </c>
      <c r="K2809" s="51" t="str">
        <f>VLOOKUP(H2809,Stock_list!A:T,16,FALSE)</f>
        <v>JPY</v>
      </c>
      <c r="L2809" s="4">
        <v>44428</v>
      </c>
      <c r="M2809" s="132">
        <v>150</v>
      </c>
      <c r="N2809" s="146"/>
      <c r="P2809" s="4" t="str">
        <f>VLOOKUP(H2809,Stock_list!A:Y,25,FALSE)</f>
        <v>Yes</v>
      </c>
      <c r="Q2809" s="143"/>
      <c r="T2809" s="144"/>
      <c r="U2809" s="145" t="str">
        <f>VLOOKUP(H2809,Stock_list!A:N,14,FALSE)</f>
        <v>AUG 21</v>
      </c>
    </row>
    <row r="2810" spans="1:21" ht="16.5" customHeight="1">
      <c r="A2810" s="159" t="s">
        <v>2747</v>
      </c>
      <c r="B2810" s="114" t="str">
        <f>VLOOKUP(A2810,'Data pick slip'!B:F,5,FALSE)</f>
        <v>KHJ-MC200-00</v>
      </c>
      <c r="F2810" s="157" t="s">
        <v>1381</v>
      </c>
      <c r="H2810" s="138">
        <v>1210</v>
      </c>
      <c r="I2810" s="139" t="str">
        <f>VLOOKUP(H2810,Stock_list!A:R,18,FALSE)</f>
        <v>斯迈电子</v>
      </c>
      <c r="J2810" s="139" t="str">
        <f>VLOOKUP(H2810,Stock_list!A:S,17,FALSE)</f>
        <v>C49SZX20210125DZ</v>
      </c>
      <c r="K2810" s="51" t="str">
        <f>VLOOKUP(H2810,Stock_list!A:T,16,FALSE)</f>
        <v>JPY</v>
      </c>
      <c r="L2810" s="4">
        <v>44428</v>
      </c>
      <c r="M2810" s="132">
        <v>10</v>
      </c>
      <c r="N2810" s="146"/>
      <c r="P2810" s="4" t="str">
        <f>VLOOKUP(H2810,Stock_list!A:Y,25,FALSE)</f>
        <v>Yes</v>
      </c>
      <c r="Q2810" s="143"/>
      <c r="T2810" s="144"/>
      <c r="U2810" s="145" t="str">
        <f>VLOOKUP(H2810,Stock_list!A:N,14,FALSE)</f>
        <v>AUG 21</v>
      </c>
    </row>
    <row r="2811" spans="1:21" ht="16.5" customHeight="1">
      <c r="A2811" s="159" t="s">
        <v>2777</v>
      </c>
      <c r="B2811" s="114" t="str">
        <f>VLOOKUP(A2811,'Data pick slip'!B:F,5,FALSE)</f>
        <v>KHJ-MC400-00</v>
      </c>
      <c r="F2811" s="157" t="s">
        <v>1381</v>
      </c>
      <c r="H2811" s="138">
        <v>1210</v>
      </c>
      <c r="I2811" s="139" t="str">
        <f>VLOOKUP(H2811,Stock_list!A:R,18,FALSE)</f>
        <v>斯迈电子</v>
      </c>
      <c r="J2811" s="139" t="str">
        <f>VLOOKUP(H2811,Stock_list!A:S,17,FALSE)</f>
        <v>C49SZX20210125DZ</v>
      </c>
      <c r="K2811" s="51" t="str">
        <f>VLOOKUP(H2811,Stock_list!A:T,16,FALSE)</f>
        <v>JPY</v>
      </c>
      <c r="L2811" s="4">
        <v>44428</v>
      </c>
      <c r="M2811" s="132">
        <v>10</v>
      </c>
      <c r="N2811" s="146"/>
      <c r="P2811" s="4" t="str">
        <f>VLOOKUP(H2811,Stock_list!A:Y,25,FALSE)</f>
        <v>Yes</v>
      </c>
      <c r="Q2811" s="143"/>
      <c r="T2811" s="144"/>
      <c r="U2811" s="145" t="str">
        <f>VLOOKUP(H2811,Stock_list!A:N,14,FALSE)</f>
        <v>AUG 21</v>
      </c>
    </row>
    <row r="2812" spans="1:21" ht="16.5" customHeight="1">
      <c r="A2812" s="159" t="s">
        <v>2749</v>
      </c>
      <c r="B2812" s="114" t="str">
        <f>VLOOKUP(A2812,'Data pick slip'!B:F,5,FALSE)</f>
        <v>KHJ-MC500-00</v>
      </c>
      <c r="F2812" s="157" t="s">
        <v>1381</v>
      </c>
      <c r="H2812" s="138">
        <v>1210</v>
      </c>
      <c r="I2812" s="139" t="str">
        <f>VLOOKUP(H2812,Stock_list!A:R,18,FALSE)</f>
        <v>斯迈电子</v>
      </c>
      <c r="J2812" s="139" t="str">
        <f>VLOOKUP(H2812,Stock_list!A:S,17,FALSE)</f>
        <v>C49SZX20210125DZ</v>
      </c>
      <c r="K2812" s="51" t="str">
        <f>VLOOKUP(H2812,Stock_list!A:T,16,FALSE)</f>
        <v>JPY</v>
      </c>
      <c r="L2812" s="4">
        <v>44428</v>
      </c>
      <c r="M2812" s="132">
        <v>1</v>
      </c>
      <c r="N2812" s="146"/>
      <c r="P2812" s="4" t="str">
        <f>VLOOKUP(H2812,Stock_list!A:Y,25,FALSE)</f>
        <v>Yes</v>
      </c>
      <c r="Q2812" s="143"/>
      <c r="T2812" s="144"/>
      <c r="U2812" s="145" t="str">
        <f>VLOOKUP(H2812,Stock_list!A:N,14,FALSE)</f>
        <v>AUG 21</v>
      </c>
    </row>
    <row r="2813" spans="1:21" ht="16.5" customHeight="1">
      <c r="A2813" s="159" t="s">
        <v>2744</v>
      </c>
      <c r="B2813" s="114" t="str">
        <f>VLOOKUP(A2813,'Data pick slip'!B:F,5,FALSE)</f>
        <v>KHJ-MC100-00</v>
      </c>
      <c r="F2813" s="157" t="s">
        <v>1381</v>
      </c>
      <c r="H2813" s="138">
        <v>1210</v>
      </c>
      <c r="I2813" s="139" t="str">
        <f>VLOOKUP(H2813,Stock_list!A:R,18,FALSE)</f>
        <v>斯迈电子</v>
      </c>
      <c r="J2813" s="139" t="str">
        <f>VLOOKUP(H2813,Stock_list!A:S,17,FALSE)</f>
        <v>C49SZX20210125DZ</v>
      </c>
      <c r="K2813" s="51" t="str">
        <f>VLOOKUP(H2813,Stock_list!A:T,16,FALSE)</f>
        <v>JPY</v>
      </c>
      <c r="L2813" s="257" t="s">
        <v>3423</v>
      </c>
      <c r="M2813" s="320">
        <v>150</v>
      </c>
      <c r="P2813" s="4" t="str">
        <f>VLOOKUP(H2813,Stock_list!A:Y,25,FALSE)</f>
        <v>Yes</v>
      </c>
      <c r="Q2813" s="143"/>
      <c r="T2813" s="144"/>
      <c r="U2813" s="145" t="str">
        <f>VLOOKUP(H2813,Stock_list!A:N,14,FALSE)</f>
        <v>AUG 21</v>
      </c>
    </row>
    <row r="2814" spans="1:21" ht="16.5" customHeight="1">
      <c r="A2814" s="159" t="s">
        <v>2747</v>
      </c>
      <c r="B2814" s="114" t="str">
        <f>VLOOKUP(A2814,'Data pick slip'!B:F,5,FALSE)</f>
        <v>KHJ-MC200-00</v>
      </c>
      <c r="F2814" s="157" t="s">
        <v>1381</v>
      </c>
      <c r="H2814" s="138">
        <v>1210</v>
      </c>
      <c r="I2814" s="139" t="str">
        <f>VLOOKUP(H2814,Stock_list!A:R,18,FALSE)</f>
        <v>斯迈电子</v>
      </c>
      <c r="J2814" s="139" t="str">
        <f>VLOOKUP(H2814,Stock_list!A:S,17,FALSE)</f>
        <v>C49SZX20210125DZ</v>
      </c>
      <c r="K2814" s="51" t="str">
        <f>VLOOKUP(H2814,Stock_list!A:T,16,FALSE)</f>
        <v>JPY</v>
      </c>
      <c r="L2814" s="257" t="s">
        <v>3423</v>
      </c>
      <c r="M2814" s="320">
        <v>10</v>
      </c>
      <c r="P2814" s="4" t="str">
        <f>VLOOKUP(H2814,Stock_list!A:Y,25,FALSE)</f>
        <v>Yes</v>
      </c>
      <c r="Q2814" s="143"/>
      <c r="T2814" s="144"/>
      <c r="U2814" s="145" t="str">
        <f>VLOOKUP(H2814,Stock_list!A:N,14,FALSE)</f>
        <v>AUG 21</v>
      </c>
    </row>
    <row r="2815" spans="1:21" ht="16.5" customHeight="1">
      <c r="A2815" s="159" t="s">
        <v>2777</v>
      </c>
      <c r="B2815" s="114" t="str">
        <f>VLOOKUP(A2815,'Data pick slip'!B:F,5,FALSE)</f>
        <v>KHJ-MC400-00</v>
      </c>
      <c r="F2815" s="157" t="s">
        <v>1381</v>
      </c>
      <c r="H2815" s="138">
        <v>1210</v>
      </c>
      <c r="I2815" s="139" t="str">
        <f>VLOOKUP(H2815,Stock_list!A:R,18,FALSE)</f>
        <v>斯迈电子</v>
      </c>
      <c r="J2815" s="139" t="str">
        <f>VLOOKUP(H2815,Stock_list!A:S,17,FALSE)</f>
        <v>C49SZX20210125DZ</v>
      </c>
      <c r="K2815" s="51" t="str">
        <f>VLOOKUP(H2815,Stock_list!A:T,16,FALSE)</f>
        <v>JPY</v>
      </c>
      <c r="L2815" s="257" t="s">
        <v>3423</v>
      </c>
      <c r="M2815" s="320">
        <v>10</v>
      </c>
      <c r="P2815" s="4" t="str">
        <f>VLOOKUP(H2815,Stock_list!A:Y,25,FALSE)</f>
        <v>Yes</v>
      </c>
      <c r="Q2815" s="143"/>
      <c r="T2815" s="144"/>
      <c r="U2815" s="145" t="str">
        <f>VLOOKUP(H2815,Stock_list!A:N,14,FALSE)</f>
        <v>AUG 21</v>
      </c>
    </row>
    <row r="2816" spans="1:21" ht="16.5" customHeight="1">
      <c r="A2816" s="159" t="s">
        <v>2744</v>
      </c>
      <c r="B2816" s="114" t="str">
        <f>VLOOKUP(A2816,'Data pick slip'!B:F,5,FALSE)</f>
        <v>KHJ-MC100-00</v>
      </c>
      <c r="F2816" s="157" t="s">
        <v>2753</v>
      </c>
      <c r="H2816" s="138">
        <v>1210</v>
      </c>
      <c r="I2816" s="139" t="str">
        <f>VLOOKUP(H2816,Stock_list!A:R,18,FALSE)</f>
        <v>斯迈电子</v>
      </c>
      <c r="J2816" s="139" t="str">
        <f>VLOOKUP(H2816,Stock_list!A:S,17,FALSE)</f>
        <v>C49SZX20210125DZ</v>
      </c>
      <c r="K2816" s="51" t="str">
        <f>VLOOKUP(H2816,Stock_list!A:T,16,FALSE)</f>
        <v>JPY</v>
      </c>
      <c r="L2816" s="4">
        <v>44334</v>
      </c>
      <c r="M2816" s="132"/>
      <c r="O2816" s="132">
        <f>50-50</f>
        <v>0</v>
      </c>
      <c r="P2816" s="4" t="str">
        <f>VLOOKUP(H2816,Stock_list!A:Y,25,FALSE)</f>
        <v>Yes</v>
      </c>
      <c r="Q2816" s="143"/>
      <c r="T2816" s="144"/>
      <c r="U2816" s="145" t="str">
        <f>VLOOKUP(H2816,Stock_list!A:N,14,FALSE)</f>
        <v>AUG 21</v>
      </c>
    </row>
    <row r="2817" spans="1:21" ht="16.5" customHeight="1">
      <c r="A2817" s="159" t="s">
        <v>2744</v>
      </c>
      <c r="B2817" s="114" t="str">
        <f>VLOOKUP(A2817,'Data pick slip'!B:F,5,FALSE)</f>
        <v>KHJ-MC100-00</v>
      </c>
      <c r="F2817" s="157" t="s">
        <v>1381</v>
      </c>
      <c r="H2817" s="138">
        <v>1217</v>
      </c>
      <c r="I2817" s="139" t="str">
        <f>VLOOKUP(H2817,Stock_list!A:R,18,FALSE)</f>
        <v>芯睿视</v>
      </c>
      <c r="J2817" s="139" t="str">
        <f>VLOOKUP(H2817,Stock_list!A:S,17,FALSE)</f>
        <v>C49SZX20210068JL</v>
      </c>
      <c r="K2817" s="51" t="str">
        <f>VLOOKUP(H2817,Stock_list!A:T,16,FALSE)</f>
        <v>JPY</v>
      </c>
      <c r="L2817" s="4">
        <v>44267</v>
      </c>
      <c r="M2817" s="132">
        <v>180</v>
      </c>
      <c r="P2817" s="4" t="str">
        <f>VLOOKUP(H2817,Stock_list!A:Y,25,FALSE)</f>
        <v>Yes</v>
      </c>
      <c r="Q2817" s="143"/>
      <c r="T2817" s="144"/>
      <c r="U2817" s="145" t="str">
        <f>VLOOKUP(H2817,Stock_list!A:N,14,FALSE)</f>
        <v>MAR 21</v>
      </c>
    </row>
    <row r="2818" spans="1:21" ht="16.5" customHeight="1">
      <c r="A2818" s="159" t="s">
        <v>2747</v>
      </c>
      <c r="B2818" s="114" t="str">
        <f>VLOOKUP(A2818,'Data pick slip'!B:F,5,FALSE)</f>
        <v>KHJ-MC200-00</v>
      </c>
      <c r="F2818" s="157" t="s">
        <v>1381</v>
      </c>
      <c r="H2818" s="138">
        <v>1217</v>
      </c>
      <c r="I2818" s="139" t="str">
        <f>VLOOKUP(H2818,Stock_list!A:R,18,FALSE)</f>
        <v>芯睿视</v>
      </c>
      <c r="J2818" s="139" t="str">
        <f>VLOOKUP(H2818,Stock_list!A:S,17,FALSE)</f>
        <v>C49SZX20210068JL</v>
      </c>
      <c r="K2818" s="51" t="str">
        <f>VLOOKUP(H2818,Stock_list!A:T,16,FALSE)</f>
        <v>JPY</v>
      </c>
      <c r="L2818" s="4">
        <v>44267</v>
      </c>
      <c r="M2818" s="132">
        <v>18</v>
      </c>
      <c r="P2818" s="4" t="str">
        <f>VLOOKUP(H2818,Stock_list!A:Y,25,FALSE)</f>
        <v>Yes</v>
      </c>
      <c r="Q2818" s="143"/>
      <c r="T2818" s="144"/>
      <c r="U2818" s="145" t="str">
        <f>VLOOKUP(H2818,Stock_list!A:N,14,FALSE)</f>
        <v>MAR 21</v>
      </c>
    </row>
    <row r="2819" spans="1:21" ht="16.5" customHeight="1">
      <c r="A2819" s="159" t="s">
        <v>2749</v>
      </c>
      <c r="B2819" s="280" t="str">
        <f>VLOOKUP(A2819,'Data pick slip'!B:F,5,FALSE)</f>
        <v>KHJ-MC500-00</v>
      </c>
      <c r="F2819" s="157" t="s">
        <v>2753</v>
      </c>
      <c r="H2819" s="138">
        <v>1217</v>
      </c>
      <c r="I2819" s="139" t="str">
        <f>VLOOKUP(H2819,Stock_list!A:R,18,FALSE)</f>
        <v>芯睿视</v>
      </c>
      <c r="J2819" s="139" t="str">
        <f>VLOOKUP(H2819,Stock_list!A:S,17,FALSE)</f>
        <v>C49SZX20210068JL</v>
      </c>
      <c r="K2819" s="51" t="str">
        <f>VLOOKUP(H2819,Stock_list!A:T,16,FALSE)</f>
        <v>JPY</v>
      </c>
      <c r="L2819" s="4">
        <v>44267</v>
      </c>
      <c r="M2819" s="132">
        <v>4</v>
      </c>
      <c r="P2819" s="4" t="str">
        <f>VLOOKUP(H2819,Stock_list!A:Y,25,FALSE)</f>
        <v>Yes</v>
      </c>
      <c r="Q2819" s="143"/>
      <c r="S2819" s="268" t="s">
        <v>2778</v>
      </c>
      <c r="T2819" s="284" t="s">
        <v>3386</v>
      </c>
      <c r="U2819" s="145" t="str">
        <f>VLOOKUP(H2819,Stock_list!A:N,14,FALSE)</f>
        <v>MAR 21</v>
      </c>
    </row>
    <row r="2820" spans="1:21" ht="16.5" customHeight="1">
      <c r="A2820" s="159" t="s">
        <v>2744</v>
      </c>
      <c r="B2820" s="114" t="str">
        <f>VLOOKUP(A2820,'Data pick slip'!B:F,5,FALSE)</f>
        <v>KHJ-MC100-00</v>
      </c>
      <c r="F2820" s="157" t="s">
        <v>1381</v>
      </c>
      <c r="H2820" s="138">
        <v>1225</v>
      </c>
      <c r="I2820" s="139" t="str">
        <f>VLOOKUP(H2820,Stock_list!A:R,18,FALSE)</f>
        <v>世启纳</v>
      </c>
      <c r="J2820" s="139" t="str">
        <f>VLOOKUP(H2820,Stock_list!A:S,17,FALSE)</f>
        <v>C49SZX20210083SS</v>
      </c>
      <c r="K2820" s="51" t="str">
        <f>VLOOKUP(H2820,Stock_list!A:T,16,FALSE)</f>
        <v>JPY</v>
      </c>
      <c r="L2820" s="4">
        <v>44623</v>
      </c>
      <c r="M2820" s="132">
        <v>5</v>
      </c>
      <c r="P2820" s="4" t="str">
        <f>VLOOKUP(H2820,Stock_list!A:Y,25,FALSE)</f>
        <v>Yes</v>
      </c>
      <c r="Q2820" s="143"/>
      <c r="T2820" s="144"/>
      <c r="U2820" s="145" t="str">
        <f>VLOOKUP(H2820,Stock_list!A:N,14,FALSE)</f>
        <v>MAR 22</v>
      </c>
    </row>
    <row r="2821" spans="1:21" ht="16.5" customHeight="1">
      <c r="A2821" s="159" t="s">
        <v>2744</v>
      </c>
      <c r="B2821" s="114" t="str">
        <f>VLOOKUP(A2821,'Data pick slip'!B:F,5,FALSE)</f>
        <v>KHJ-MC100-00</v>
      </c>
      <c r="F2821" s="157" t="s">
        <v>1381</v>
      </c>
      <c r="H2821" s="138">
        <v>1225</v>
      </c>
      <c r="I2821" s="139" t="str">
        <f>VLOOKUP(H2821,Stock_list!A:R,18,FALSE)</f>
        <v>世启纳</v>
      </c>
      <c r="J2821" s="139" t="str">
        <f>VLOOKUP(H2821,Stock_list!A:S,17,FALSE)</f>
        <v>C49SZX20210083SS</v>
      </c>
      <c r="K2821" s="51" t="str">
        <f>VLOOKUP(H2821,Stock_list!A:T,16,FALSE)</f>
        <v>JPY</v>
      </c>
      <c r="L2821" s="4">
        <v>44477</v>
      </c>
      <c r="M2821" s="132">
        <v>2</v>
      </c>
      <c r="P2821" s="4" t="str">
        <f>VLOOKUP(H2821,Stock_list!A:Y,25,FALSE)</f>
        <v>Yes</v>
      </c>
      <c r="Q2821" s="143"/>
      <c r="T2821" s="144"/>
      <c r="U2821" s="145" t="str">
        <f>VLOOKUP(H2821,Stock_list!A:N,14,FALSE)</f>
        <v>MAR 22</v>
      </c>
    </row>
    <row r="2822" spans="1:21" ht="16.5" customHeight="1">
      <c r="A2822" s="159" t="s">
        <v>2744</v>
      </c>
      <c r="B2822" s="114" t="str">
        <f>VLOOKUP(A2822,'Data pick slip'!B:F,5,FALSE)</f>
        <v>KHJ-MC100-00</v>
      </c>
      <c r="F2822" s="157" t="s">
        <v>1381</v>
      </c>
      <c r="H2822" s="138">
        <v>1225</v>
      </c>
      <c r="I2822" s="139" t="str">
        <f>VLOOKUP(H2822,Stock_list!A:R,18,FALSE)</f>
        <v>世启纳</v>
      </c>
      <c r="J2822" s="139" t="str">
        <f>VLOOKUP(H2822,Stock_list!A:S,17,FALSE)</f>
        <v>C49SZX20210083SS</v>
      </c>
      <c r="K2822" s="51" t="str">
        <f>VLOOKUP(H2822,Stock_list!A:T,16,FALSE)</f>
        <v>JPY</v>
      </c>
      <c r="L2822" s="4">
        <v>44508</v>
      </c>
      <c r="M2822" s="132">
        <v>2</v>
      </c>
      <c r="P2822" s="4" t="str">
        <f>VLOOKUP(H2822,Stock_list!A:Y,25,FALSE)</f>
        <v>Yes</v>
      </c>
      <c r="Q2822" s="143"/>
      <c r="T2822" s="144"/>
      <c r="U2822" s="145" t="str">
        <f>VLOOKUP(H2822,Stock_list!A:N,14,FALSE)</f>
        <v>MAR 22</v>
      </c>
    </row>
    <row r="2823" spans="1:21" ht="16.5" customHeight="1">
      <c r="A2823" s="159" t="s">
        <v>2744</v>
      </c>
      <c r="B2823" s="114" t="str">
        <f>VLOOKUP(A2823,'Data pick slip'!B:F,5,FALSE)</f>
        <v>KHJ-MC100-00</v>
      </c>
      <c r="F2823" s="157" t="s">
        <v>1381</v>
      </c>
      <c r="H2823" s="138">
        <v>1225</v>
      </c>
      <c r="I2823" s="139" t="str">
        <f>VLOOKUP(H2823,Stock_list!A:R,18,FALSE)</f>
        <v>世启纳</v>
      </c>
      <c r="J2823" s="139" t="str">
        <f>VLOOKUP(H2823,Stock_list!A:S,17,FALSE)</f>
        <v>C49SZX20210083SS</v>
      </c>
      <c r="K2823" s="51" t="str">
        <f>VLOOKUP(H2823,Stock_list!A:T,16,FALSE)</f>
        <v>JPY</v>
      </c>
      <c r="L2823" s="4">
        <v>44623</v>
      </c>
      <c r="M2823" s="132">
        <v>2</v>
      </c>
      <c r="P2823" s="4" t="str">
        <f>VLOOKUP(H2823,Stock_list!A:Y,25,FALSE)</f>
        <v>Yes</v>
      </c>
      <c r="Q2823" s="143"/>
      <c r="T2823" s="144"/>
      <c r="U2823" s="145" t="str">
        <f>VLOOKUP(H2823,Stock_list!A:N,14,FALSE)</f>
        <v>MAR 22</v>
      </c>
    </row>
    <row r="2824" spans="1:21" ht="16.5" customHeight="1">
      <c r="A2824" s="159" t="s">
        <v>2744</v>
      </c>
      <c r="B2824" s="114" t="str">
        <f>VLOOKUP(A2824,'Data pick slip'!B:F,5,FALSE)</f>
        <v>KHJ-MC100-00</v>
      </c>
      <c r="F2824" s="157" t="s">
        <v>1381</v>
      </c>
      <c r="H2824" s="138">
        <v>1225</v>
      </c>
      <c r="I2824" s="139" t="str">
        <f>VLOOKUP(H2824,Stock_list!A:R,18,FALSE)</f>
        <v>世启纳</v>
      </c>
      <c r="J2824" s="139" t="str">
        <f>VLOOKUP(H2824,Stock_list!A:S,17,FALSE)</f>
        <v>C49SZX20210083SS</v>
      </c>
      <c r="K2824" s="51" t="str">
        <f>VLOOKUP(H2824,Stock_list!A:T,16,FALSE)</f>
        <v>JPY</v>
      </c>
      <c r="L2824" s="4">
        <v>44544</v>
      </c>
      <c r="M2824" s="132">
        <v>2</v>
      </c>
      <c r="P2824" s="4" t="str">
        <f>VLOOKUP(H2824,Stock_list!A:Y,25,FALSE)</f>
        <v>Yes</v>
      </c>
      <c r="Q2824" s="143"/>
      <c r="T2824" s="144"/>
      <c r="U2824" s="145" t="str">
        <f>VLOOKUP(H2824,Stock_list!A:N,14,FALSE)</f>
        <v>MAR 22</v>
      </c>
    </row>
    <row r="2825" spans="1:21" ht="16.5" customHeight="1">
      <c r="A2825" s="159" t="s">
        <v>2744</v>
      </c>
      <c r="B2825" s="114" t="str">
        <f>VLOOKUP(A2825,'Data pick slip'!B:F,5,FALSE)</f>
        <v>KHJ-MC100-00</v>
      </c>
      <c r="F2825" s="157" t="s">
        <v>1381</v>
      </c>
      <c r="H2825" s="138">
        <v>1225</v>
      </c>
      <c r="I2825" s="139" t="str">
        <f>VLOOKUP(H2825,Stock_list!A:R,18,FALSE)</f>
        <v>世启纳</v>
      </c>
      <c r="J2825" s="139" t="str">
        <f>VLOOKUP(H2825,Stock_list!A:S,17,FALSE)</f>
        <v>C49SZX20210083SS</v>
      </c>
      <c r="K2825" s="51" t="str">
        <f>VLOOKUP(H2825,Stock_list!A:T,16,FALSE)</f>
        <v>JPY</v>
      </c>
      <c r="L2825" s="4">
        <v>44574</v>
      </c>
      <c r="M2825" s="132">
        <v>2</v>
      </c>
      <c r="P2825" s="4" t="str">
        <f>VLOOKUP(H2825,Stock_list!A:Y,25,FALSE)</f>
        <v>Yes</v>
      </c>
      <c r="Q2825" s="143"/>
      <c r="T2825" s="144"/>
      <c r="U2825" s="145" t="str">
        <f>VLOOKUP(H2825,Stock_list!A:N,14,FALSE)</f>
        <v>MAR 22</v>
      </c>
    </row>
    <row r="2826" spans="1:21" ht="16.5" customHeight="1">
      <c r="A2826" s="159" t="s">
        <v>2744</v>
      </c>
      <c r="B2826" s="114" t="str">
        <f>VLOOKUP(A2826,'Data pick slip'!B:F,5,FALSE)</f>
        <v>KHJ-MC100-00</v>
      </c>
      <c r="F2826" s="157" t="s">
        <v>1381</v>
      </c>
      <c r="H2826" s="138">
        <v>1246</v>
      </c>
      <c r="I2826" s="139" t="str">
        <f>VLOOKUP(H2826,Stock_list!A:R,18,FALSE)</f>
        <v>铣米</v>
      </c>
      <c r="J2826" s="139" t="str">
        <f>VLOOKUP(H2826,Stock_list!A:S,17,FALSE)</f>
        <v>C49SZX20210073AY</v>
      </c>
      <c r="K2826" s="51" t="str">
        <f>VLOOKUP(H2826,Stock_list!A:T,16,FALSE)</f>
        <v>JPY</v>
      </c>
      <c r="L2826" s="4">
        <v>44510</v>
      </c>
      <c r="M2826" s="132">
        <v>40</v>
      </c>
      <c r="P2826" s="4" t="str">
        <f>VLOOKUP(H2826,Stock_list!A:Y,25,FALSE)</f>
        <v>Yes</v>
      </c>
      <c r="Q2826" s="143"/>
      <c r="T2826" s="144"/>
      <c r="U2826" s="145" t="str">
        <f>VLOOKUP(H2826,Stock_list!A:N,14,FALSE)</f>
        <v>NOV 21</v>
      </c>
    </row>
    <row r="2827" spans="1:21" ht="16.5" customHeight="1">
      <c r="A2827" s="159" t="s">
        <v>2747</v>
      </c>
      <c r="B2827" s="114" t="str">
        <f>VLOOKUP(A2827,'Data pick slip'!B:F,5,FALSE)</f>
        <v>KHJ-MC200-00</v>
      </c>
      <c r="F2827" s="157" t="s">
        <v>1381</v>
      </c>
      <c r="H2827" s="138">
        <v>1246</v>
      </c>
      <c r="I2827" s="139" t="str">
        <f>VLOOKUP(H2827,Stock_list!A:R,18,FALSE)</f>
        <v>铣米</v>
      </c>
      <c r="J2827" s="139" t="str">
        <f>VLOOKUP(H2827,Stock_list!A:S,17,FALSE)</f>
        <v>C49SZX20210073AY</v>
      </c>
      <c r="K2827" s="51" t="str">
        <f>VLOOKUP(H2827,Stock_list!A:T,16,FALSE)</f>
        <v>JPY</v>
      </c>
      <c r="L2827" s="4">
        <v>44510</v>
      </c>
      <c r="M2827" s="132">
        <v>12</v>
      </c>
      <c r="P2827" s="4" t="str">
        <f>VLOOKUP(H2827,Stock_list!A:Y,25,FALSE)</f>
        <v>Yes</v>
      </c>
      <c r="Q2827" s="143"/>
      <c r="T2827" s="144"/>
      <c r="U2827" s="145" t="str">
        <f>VLOOKUP(H2827,Stock_list!A:N,14,FALSE)</f>
        <v>NOV 21</v>
      </c>
    </row>
    <row r="2828" spans="1:21" ht="16.5" customHeight="1">
      <c r="A2828" s="159" t="s">
        <v>2748</v>
      </c>
      <c r="B2828" s="114" t="str">
        <f>VLOOKUP(A2828,'Data pick slip'!B:F,5,FALSE)</f>
        <v>KHJ-MC400-00</v>
      </c>
      <c r="F2828" s="157" t="s">
        <v>1381</v>
      </c>
      <c r="H2828" s="138">
        <v>1246</v>
      </c>
      <c r="I2828" s="139" t="str">
        <f>VLOOKUP(H2828,Stock_list!A:R,18,FALSE)</f>
        <v>铣米</v>
      </c>
      <c r="J2828" s="139" t="str">
        <f>VLOOKUP(H2828,Stock_list!A:S,17,FALSE)</f>
        <v>C49SZX20210073AY</v>
      </c>
      <c r="K2828" s="51" t="str">
        <f>VLOOKUP(H2828,Stock_list!A:T,16,FALSE)</f>
        <v>JPY</v>
      </c>
      <c r="L2828" s="4">
        <v>44510</v>
      </c>
      <c r="M2828" s="132">
        <v>3</v>
      </c>
      <c r="P2828" s="4" t="str">
        <f>VLOOKUP(H2828,Stock_list!A:Y,25,FALSE)</f>
        <v>Yes</v>
      </c>
      <c r="Q2828" s="143"/>
      <c r="T2828" s="144"/>
      <c r="U2828" s="145" t="str">
        <f>VLOOKUP(H2828,Stock_list!A:N,14,FALSE)</f>
        <v>NOV 21</v>
      </c>
    </row>
    <row r="2829" spans="1:21" ht="16.5" customHeight="1">
      <c r="A2829" s="159" t="s">
        <v>2749</v>
      </c>
      <c r="B2829" s="114" t="str">
        <f>VLOOKUP(A2829,'Data pick slip'!B:F,5,FALSE)</f>
        <v>KHJ-MC500-00</v>
      </c>
      <c r="F2829" s="157" t="s">
        <v>1381</v>
      </c>
      <c r="H2829" s="138">
        <v>1246</v>
      </c>
      <c r="I2829" s="139" t="str">
        <f>VLOOKUP(H2829,Stock_list!A:R,18,FALSE)</f>
        <v>铣米</v>
      </c>
      <c r="J2829" s="139" t="str">
        <f>VLOOKUP(H2829,Stock_list!A:S,17,FALSE)</f>
        <v>C49SZX20210073AY</v>
      </c>
      <c r="K2829" s="51" t="str">
        <f>VLOOKUP(H2829,Stock_list!A:T,16,FALSE)</f>
        <v>JPY</v>
      </c>
      <c r="L2829" s="4">
        <v>44510</v>
      </c>
      <c r="M2829" s="132">
        <v>2</v>
      </c>
      <c r="P2829" s="4" t="str">
        <f>VLOOKUP(H2829,Stock_list!A:Y,25,FALSE)</f>
        <v>Yes</v>
      </c>
      <c r="Q2829" s="143"/>
      <c r="T2829" s="144"/>
      <c r="U2829" s="145" t="str">
        <f>VLOOKUP(H2829,Stock_list!A:N,14,FALSE)</f>
        <v>NOV 21</v>
      </c>
    </row>
    <row r="2830" spans="1:21" ht="16.5" customHeight="1">
      <c r="A2830" s="159" t="s">
        <v>2744</v>
      </c>
      <c r="B2830" s="114" t="str">
        <f>VLOOKUP(A2830,'Data pick slip'!B:F,5,FALSE)</f>
        <v>KHJ-MC100-00</v>
      </c>
      <c r="F2830" s="157" t="s">
        <v>2753</v>
      </c>
      <c r="H2830" s="138">
        <v>1246</v>
      </c>
      <c r="I2830" s="139" t="str">
        <f>VLOOKUP(H2830,Stock_list!A:R,18,FALSE)</f>
        <v>铣米</v>
      </c>
      <c r="J2830" s="139" t="str">
        <f>VLOOKUP(H2830,Stock_list!A:S,17,FALSE)</f>
        <v>C49SZX20210073AY</v>
      </c>
      <c r="K2830" s="51" t="str">
        <f>VLOOKUP(H2830,Stock_list!A:T,16,FALSE)</f>
        <v>JPY</v>
      </c>
      <c r="L2830" s="4">
        <v>44406</v>
      </c>
      <c r="M2830" s="132"/>
      <c r="O2830" s="132">
        <f>30+10-40</f>
        <v>0</v>
      </c>
      <c r="P2830" s="4" t="str">
        <f>VLOOKUP(H2830,Stock_list!A:Y,25,FALSE)</f>
        <v>Yes</v>
      </c>
      <c r="Q2830" s="143"/>
      <c r="T2830" s="144"/>
      <c r="U2830" s="145" t="str">
        <f>VLOOKUP(H2830,Stock_list!A:N,14,FALSE)</f>
        <v>NOV 21</v>
      </c>
    </row>
    <row r="2831" spans="1:21" ht="16.5" customHeight="1">
      <c r="A2831" s="159" t="s">
        <v>2747</v>
      </c>
      <c r="B2831" s="114" t="str">
        <f>VLOOKUP(A2831,'Data pick slip'!B:F,5,FALSE)</f>
        <v>KHJ-MC200-00</v>
      </c>
      <c r="F2831" s="157" t="s">
        <v>2753</v>
      </c>
      <c r="H2831" s="138">
        <v>1246</v>
      </c>
      <c r="I2831" s="139" t="str">
        <f>VLOOKUP(H2831,Stock_list!A:R,18,FALSE)</f>
        <v>铣米</v>
      </c>
      <c r="J2831" s="139" t="str">
        <f>VLOOKUP(H2831,Stock_list!A:S,17,FALSE)</f>
        <v>C49SZX20210073AY</v>
      </c>
      <c r="K2831" s="51" t="str">
        <f>VLOOKUP(H2831,Stock_list!A:T,16,FALSE)</f>
        <v>JPY</v>
      </c>
      <c r="L2831" s="4">
        <v>44406</v>
      </c>
      <c r="M2831" s="132"/>
      <c r="O2831" s="132">
        <f>12-12</f>
        <v>0</v>
      </c>
      <c r="P2831" s="4" t="str">
        <f>VLOOKUP(H2831,Stock_list!A:Y,25,FALSE)</f>
        <v>Yes</v>
      </c>
      <c r="Q2831" s="143"/>
      <c r="T2831" s="144"/>
      <c r="U2831" s="145" t="str">
        <f>VLOOKUP(H2831,Stock_list!A:N,14,FALSE)</f>
        <v>NOV 21</v>
      </c>
    </row>
    <row r="2832" spans="1:21" ht="16.5" customHeight="1">
      <c r="A2832" s="159" t="s">
        <v>2748</v>
      </c>
      <c r="B2832" s="114" t="str">
        <f>VLOOKUP(A2832,'Data pick slip'!B:F,5,FALSE)</f>
        <v>KHJ-MC400-00</v>
      </c>
      <c r="F2832" s="157" t="s">
        <v>2753</v>
      </c>
      <c r="H2832" s="138">
        <v>1246</v>
      </c>
      <c r="I2832" s="139" t="str">
        <f>VLOOKUP(H2832,Stock_list!A:R,18,FALSE)</f>
        <v>铣米</v>
      </c>
      <c r="J2832" s="139" t="str">
        <f>VLOOKUP(H2832,Stock_list!A:S,17,FALSE)</f>
        <v>C49SZX20210073AY</v>
      </c>
      <c r="K2832" s="51" t="str">
        <f>VLOOKUP(H2832,Stock_list!A:T,16,FALSE)</f>
        <v>JPY</v>
      </c>
      <c r="L2832" s="4">
        <v>44406</v>
      </c>
      <c r="M2832" s="132"/>
      <c r="O2832" s="132">
        <f>3-3</f>
        <v>0</v>
      </c>
      <c r="P2832" s="4" t="str">
        <f>VLOOKUP(H2832,Stock_list!A:Y,25,FALSE)</f>
        <v>Yes</v>
      </c>
      <c r="Q2832" s="143"/>
      <c r="T2832" s="144"/>
      <c r="U2832" s="145" t="str">
        <f>VLOOKUP(H2832,Stock_list!A:N,14,FALSE)</f>
        <v>NOV 21</v>
      </c>
    </row>
    <row r="2833" spans="1:21" ht="16.5" customHeight="1">
      <c r="A2833" s="159" t="s">
        <v>2749</v>
      </c>
      <c r="B2833" s="114" t="str">
        <f>VLOOKUP(A2833,'Data pick slip'!B:F,5,FALSE)</f>
        <v>KHJ-MC500-00</v>
      </c>
      <c r="F2833" s="157" t="s">
        <v>2753</v>
      </c>
      <c r="H2833" s="138">
        <v>1246</v>
      </c>
      <c r="I2833" s="139" t="str">
        <f>VLOOKUP(H2833,Stock_list!A:R,18,FALSE)</f>
        <v>铣米</v>
      </c>
      <c r="J2833" s="139" t="str">
        <f>VLOOKUP(H2833,Stock_list!A:S,17,FALSE)</f>
        <v>C49SZX20210073AY</v>
      </c>
      <c r="K2833" s="51" t="str">
        <f>VLOOKUP(H2833,Stock_list!A:T,16,FALSE)</f>
        <v>JPY</v>
      </c>
      <c r="L2833" s="4">
        <v>44435</v>
      </c>
      <c r="M2833" s="132"/>
      <c r="O2833" s="132">
        <f>2-2</f>
        <v>0</v>
      </c>
      <c r="P2833" s="4" t="str">
        <f>VLOOKUP(H2833,Stock_list!A:Y,25,FALSE)</f>
        <v>Yes</v>
      </c>
      <c r="Q2833" s="143"/>
      <c r="T2833" s="144"/>
      <c r="U2833" s="145" t="str">
        <f>VLOOKUP(H2833,Stock_list!A:N,14,FALSE)</f>
        <v>NOV 21</v>
      </c>
    </row>
    <row r="2834" spans="1:21" ht="16.5" customHeight="1">
      <c r="A2834" s="159" t="s">
        <v>2744</v>
      </c>
      <c r="B2834" s="114" t="str">
        <f>VLOOKUP(A2834,'Data pick slip'!B:F,5,FALSE)</f>
        <v>KHJ-MC100-00</v>
      </c>
      <c r="F2834" s="157" t="s">
        <v>1381</v>
      </c>
      <c r="H2834" s="138">
        <v>1248</v>
      </c>
      <c r="I2834" s="139" t="str">
        <f>VLOOKUP(H2834,Stock_list!A:R,18,FALSE)</f>
        <v>祥弘瑞</v>
      </c>
      <c r="J2834" s="139" t="str">
        <f>VLOOKUP(H2834,Stock_list!A:S,17,FALSE)</f>
        <v>C49SZX20210072SS</v>
      </c>
      <c r="K2834" s="51" t="str">
        <f>VLOOKUP(H2834,Stock_list!A:T,16,FALSE)</f>
        <v>JPY</v>
      </c>
      <c r="L2834" s="4">
        <v>44617</v>
      </c>
      <c r="M2834" s="132">
        <v>5</v>
      </c>
      <c r="P2834" s="4" t="str">
        <f>VLOOKUP(H2834,Stock_list!A:Y,25,FALSE)</f>
        <v>Yes</v>
      </c>
      <c r="Q2834" s="143"/>
      <c r="T2834" s="144"/>
      <c r="U2834" s="145" t="str">
        <f>VLOOKUP(H2834,Stock_list!A:N,14,FALSE)</f>
        <v>FEB 22</v>
      </c>
    </row>
    <row r="2835" spans="1:21" ht="16.5" customHeight="1">
      <c r="A2835" s="159" t="s">
        <v>2744</v>
      </c>
      <c r="B2835" s="114" t="str">
        <f>VLOOKUP(A2835,'Data pick slip'!B:F,5,FALSE)</f>
        <v>KHJ-MC100-00</v>
      </c>
      <c r="F2835" s="157" t="s">
        <v>1381</v>
      </c>
      <c r="H2835" s="138">
        <v>1248</v>
      </c>
      <c r="I2835" s="139" t="str">
        <f>VLOOKUP(H2835,Stock_list!A:R,18,FALSE)</f>
        <v>祥弘瑞</v>
      </c>
      <c r="J2835" s="139" t="str">
        <f>VLOOKUP(H2835,Stock_list!A:S,17,FALSE)</f>
        <v>C49SZX20210072SS</v>
      </c>
      <c r="K2835" s="51" t="str">
        <f>VLOOKUP(H2835,Stock_list!A:T,16,FALSE)</f>
        <v>JPY</v>
      </c>
      <c r="L2835" s="4">
        <v>44477</v>
      </c>
      <c r="M2835" s="132">
        <v>1</v>
      </c>
      <c r="P2835" s="4" t="str">
        <f>VLOOKUP(H2835,Stock_list!A:Y,25,FALSE)</f>
        <v>Yes</v>
      </c>
      <c r="Q2835" s="143"/>
      <c r="T2835" s="144"/>
      <c r="U2835" s="145" t="str">
        <f>VLOOKUP(H2835,Stock_list!A:N,14,FALSE)</f>
        <v>FEB 22</v>
      </c>
    </row>
    <row r="2836" spans="1:21" ht="16.5" customHeight="1">
      <c r="A2836" s="159" t="s">
        <v>2744</v>
      </c>
      <c r="B2836" s="114" t="str">
        <f>VLOOKUP(A2836,'Data pick slip'!B:F,5,FALSE)</f>
        <v>KHJ-MC100-00</v>
      </c>
      <c r="F2836" s="157" t="s">
        <v>1381</v>
      </c>
      <c r="H2836" s="138">
        <v>1248</v>
      </c>
      <c r="I2836" s="139" t="str">
        <f>VLOOKUP(H2836,Stock_list!A:R,18,FALSE)</f>
        <v>祥弘瑞</v>
      </c>
      <c r="J2836" s="139" t="str">
        <f>VLOOKUP(H2836,Stock_list!A:S,17,FALSE)</f>
        <v>C49SZX20210072SS</v>
      </c>
      <c r="K2836" s="51" t="str">
        <f>VLOOKUP(H2836,Stock_list!A:T,16,FALSE)</f>
        <v>JPY</v>
      </c>
      <c r="L2836" s="4">
        <v>44508</v>
      </c>
      <c r="M2836" s="132">
        <v>1</v>
      </c>
      <c r="P2836" s="4" t="str">
        <f>VLOOKUP(H2836,Stock_list!A:Y,25,FALSE)</f>
        <v>Yes</v>
      </c>
      <c r="Q2836" s="143"/>
      <c r="T2836" s="144"/>
      <c r="U2836" s="145" t="str">
        <f>VLOOKUP(H2836,Stock_list!A:N,14,FALSE)</f>
        <v>FEB 22</v>
      </c>
    </row>
    <row r="2837" spans="1:21" ht="16.5" customHeight="1">
      <c r="A2837" s="159" t="s">
        <v>2744</v>
      </c>
      <c r="B2837" s="114" t="str">
        <f>VLOOKUP(A2837,'Data pick slip'!B:F,5,FALSE)</f>
        <v>KHJ-MC100-00</v>
      </c>
      <c r="F2837" s="157" t="s">
        <v>1381</v>
      </c>
      <c r="H2837" s="138">
        <v>1248</v>
      </c>
      <c r="I2837" s="139" t="str">
        <f>VLOOKUP(H2837,Stock_list!A:R,18,FALSE)</f>
        <v>祥弘瑞</v>
      </c>
      <c r="J2837" s="139" t="str">
        <f>VLOOKUP(H2837,Stock_list!A:S,17,FALSE)</f>
        <v>C49SZX20210072SS</v>
      </c>
      <c r="K2837" s="51" t="str">
        <f>VLOOKUP(H2837,Stock_list!A:T,16,FALSE)</f>
        <v>JPY</v>
      </c>
      <c r="L2837" s="4">
        <v>44544</v>
      </c>
      <c r="M2837" s="132">
        <v>1</v>
      </c>
      <c r="P2837" s="4" t="str">
        <f>VLOOKUP(H2837,Stock_list!A:Y,25,FALSE)</f>
        <v>Yes</v>
      </c>
      <c r="Q2837" s="143"/>
      <c r="T2837" s="144"/>
      <c r="U2837" s="145" t="str">
        <f>VLOOKUP(H2837,Stock_list!A:N,14,FALSE)</f>
        <v>FEB 22</v>
      </c>
    </row>
    <row r="2838" spans="1:21" ht="16.5" customHeight="1">
      <c r="A2838" s="159" t="s">
        <v>2744</v>
      </c>
      <c r="B2838" s="114" t="str">
        <f>VLOOKUP(A2838,'Data pick slip'!B:F,5,FALSE)</f>
        <v>KHJ-MC100-00</v>
      </c>
      <c r="F2838" s="157" t="s">
        <v>1381</v>
      </c>
      <c r="H2838" s="138">
        <v>1248</v>
      </c>
      <c r="I2838" s="139" t="str">
        <f>VLOOKUP(H2838,Stock_list!A:R,18,FALSE)</f>
        <v>祥弘瑞</v>
      </c>
      <c r="J2838" s="139" t="str">
        <f>VLOOKUP(H2838,Stock_list!A:S,17,FALSE)</f>
        <v>C49SZX20210072SS</v>
      </c>
      <c r="K2838" s="51" t="str">
        <f>VLOOKUP(H2838,Stock_list!A:T,16,FALSE)</f>
        <v>JPY</v>
      </c>
      <c r="L2838" s="4">
        <v>44574</v>
      </c>
      <c r="M2838" s="132">
        <v>1</v>
      </c>
      <c r="P2838" s="4" t="str">
        <f>VLOOKUP(H2838,Stock_list!A:Y,25,FALSE)</f>
        <v>Yes</v>
      </c>
      <c r="Q2838" s="143"/>
      <c r="T2838" s="144"/>
      <c r="U2838" s="145" t="str">
        <f>VLOOKUP(H2838,Stock_list!A:N,14,FALSE)</f>
        <v>FEB 22</v>
      </c>
    </row>
    <row r="2839" spans="1:21" ht="16.5" customHeight="1">
      <c r="A2839" s="159" t="s">
        <v>2744</v>
      </c>
      <c r="B2839" s="114" t="str">
        <f>VLOOKUP(A2839,'Data pick slip'!B:F,5,FALSE)</f>
        <v>KHJ-MC100-00</v>
      </c>
      <c r="F2839" s="157" t="s">
        <v>1381</v>
      </c>
      <c r="H2839" s="138">
        <v>1250</v>
      </c>
      <c r="I2839" s="139" t="str">
        <f>VLOOKUP(H2839,Stock_list!A:R,18,FALSE)</f>
        <v>泓凯</v>
      </c>
      <c r="J2839" s="139" t="str">
        <f>VLOOKUP(H2839,Stock_list!A:S,17,FALSE)</f>
        <v>C49SZX20210071SS</v>
      </c>
      <c r="K2839" s="51" t="str">
        <f>VLOOKUP(H2839,Stock_list!A:T,16,FALSE)</f>
        <v>JPY</v>
      </c>
      <c r="L2839" s="4">
        <v>44400</v>
      </c>
      <c r="M2839" s="132">
        <v>60</v>
      </c>
      <c r="P2839" s="4" t="str">
        <f>VLOOKUP(H2839,Stock_list!A:Y,25,FALSE)</f>
        <v>Yes</v>
      </c>
      <c r="Q2839" s="143"/>
      <c r="T2839" s="144"/>
      <c r="U2839" s="145" t="str">
        <f>VLOOKUP(H2839,Stock_list!A:N,14,FALSE)</f>
        <v>JUL 21</v>
      </c>
    </row>
    <row r="2840" spans="1:21" ht="16.5" customHeight="1">
      <c r="A2840" s="159" t="s">
        <v>2747</v>
      </c>
      <c r="B2840" s="114" t="str">
        <f>VLOOKUP(A2840,'Data pick slip'!B:F,5,FALSE)</f>
        <v>KHJ-MC200-00</v>
      </c>
      <c r="F2840" s="157" t="s">
        <v>1381</v>
      </c>
      <c r="H2840" s="138">
        <v>1250</v>
      </c>
      <c r="I2840" s="139" t="str">
        <f>VLOOKUP(H2840,Stock_list!A:R,18,FALSE)</f>
        <v>泓凯</v>
      </c>
      <c r="J2840" s="139" t="str">
        <f>VLOOKUP(H2840,Stock_list!A:S,17,FALSE)</f>
        <v>C49SZX20210071SS</v>
      </c>
      <c r="K2840" s="51" t="str">
        <f>VLOOKUP(H2840,Stock_list!A:T,16,FALSE)</f>
        <v>JPY</v>
      </c>
      <c r="L2840" s="4">
        <v>44400</v>
      </c>
      <c r="M2840" s="132">
        <v>10</v>
      </c>
      <c r="P2840" s="4" t="str">
        <f>VLOOKUP(H2840,Stock_list!A:Y,25,FALSE)</f>
        <v>Yes</v>
      </c>
      <c r="Q2840" s="143"/>
      <c r="T2840" s="144"/>
      <c r="U2840" s="145" t="str">
        <f>VLOOKUP(H2840,Stock_list!A:N,14,FALSE)</f>
        <v>JUL 21</v>
      </c>
    </row>
    <row r="2841" spans="1:21" ht="16.5" customHeight="1">
      <c r="A2841" s="159" t="s">
        <v>2748</v>
      </c>
      <c r="B2841" s="114" t="str">
        <f>VLOOKUP(A2841,'Data pick slip'!B:F,5,FALSE)</f>
        <v>KHJ-MC400-00</v>
      </c>
      <c r="F2841" s="157" t="s">
        <v>1381</v>
      </c>
      <c r="H2841" s="138">
        <v>1250</v>
      </c>
      <c r="I2841" s="139" t="str">
        <f>VLOOKUP(H2841,Stock_list!A:R,18,FALSE)</f>
        <v>泓凯</v>
      </c>
      <c r="J2841" s="139" t="str">
        <f>VLOOKUP(H2841,Stock_list!A:S,17,FALSE)</f>
        <v>C49SZX20210071SS</v>
      </c>
      <c r="K2841" s="51" t="str">
        <f>VLOOKUP(H2841,Stock_list!A:T,16,FALSE)</f>
        <v>JPY</v>
      </c>
      <c r="L2841" s="4">
        <v>44400</v>
      </c>
      <c r="M2841" s="132">
        <v>3</v>
      </c>
      <c r="P2841" s="4" t="str">
        <f>VLOOKUP(H2841,Stock_list!A:Y,25,FALSE)</f>
        <v>Yes</v>
      </c>
      <c r="Q2841" s="143"/>
      <c r="T2841" s="144"/>
      <c r="U2841" s="145" t="str">
        <f>VLOOKUP(H2841,Stock_list!A:N,14,FALSE)</f>
        <v>JUL 21</v>
      </c>
    </row>
    <row r="2842" spans="1:21" ht="16.5" customHeight="1">
      <c r="A2842" s="159" t="s">
        <v>2744</v>
      </c>
      <c r="B2842" s="114" t="str">
        <f>VLOOKUP(A2842,'Data pick slip'!B:F,5,FALSE)</f>
        <v>KHJ-MC100-00</v>
      </c>
      <c r="F2842" s="157" t="s">
        <v>1381</v>
      </c>
      <c r="H2842" s="138">
        <v>1252</v>
      </c>
      <c r="I2842" s="139" t="str">
        <f>VLOOKUP(H2842,Stock_list!A:R,18,FALSE)</f>
        <v>圣亨</v>
      </c>
      <c r="J2842" s="139" t="str">
        <f>VLOOKUP(H2842,Stock_list!A:S,17,FALSE)</f>
        <v>C49SZX20210076JZ</v>
      </c>
      <c r="K2842" s="51" t="str">
        <f>VLOOKUP(H2842,Stock_list!A:T,16,FALSE)</f>
        <v>JPY</v>
      </c>
      <c r="L2842" s="4">
        <v>44337</v>
      </c>
      <c r="M2842" s="132">
        <v>80</v>
      </c>
      <c r="P2842" s="4" t="str">
        <f>VLOOKUP(H2842,Stock_list!A:Y,25,FALSE)</f>
        <v>Yes</v>
      </c>
      <c r="Q2842" s="143"/>
      <c r="T2842" s="144"/>
      <c r="U2842" s="145" t="str">
        <f>VLOOKUP(H2842,Stock_list!A:N,14,FALSE)</f>
        <v>MAY 21</v>
      </c>
    </row>
    <row r="2843" spans="1:21" ht="16.5" customHeight="1">
      <c r="A2843" s="159" t="s">
        <v>2747</v>
      </c>
      <c r="B2843" s="114" t="str">
        <f>VLOOKUP(A2843,'Data pick slip'!B:F,5,FALSE)</f>
        <v>KHJ-MC200-00</v>
      </c>
      <c r="F2843" s="157" t="s">
        <v>1381</v>
      </c>
      <c r="H2843" s="138">
        <v>1252</v>
      </c>
      <c r="I2843" s="139" t="str">
        <f>VLOOKUP(H2843,Stock_list!A:R,18,FALSE)</f>
        <v>圣亨</v>
      </c>
      <c r="J2843" s="139" t="str">
        <f>VLOOKUP(H2843,Stock_list!A:S,17,FALSE)</f>
        <v>C49SZX20210076JZ</v>
      </c>
      <c r="K2843" s="51" t="str">
        <f>VLOOKUP(H2843,Stock_list!A:T,16,FALSE)</f>
        <v>JPY</v>
      </c>
      <c r="L2843" s="4">
        <v>44337</v>
      </c>
      <c r="M2843" s="132">
        <v>8</v>
      </c>
      <c r="P2843" s="4" t="str">
        <f>VLOOKUP(H2843,Stock_list!A:Y,25,FALSE)</f>
        <v>Yes</v>
      </c>
      <c r="Q2843" s="143"/>
      <c r="T2843" s="144"/>
      <c r="U2843" s="145" t="str">
        <f>VLOOKUP(H2843,Stock_list!A:N,14,FALSE)</f>
        <v>MAY 21</v>
      </c>
    </row>
    <row r="2844" spans="1:21" ht="16.5" customHeight="1">
      <c r="A2844" s="159" t="s">
        <v>2747</v>
      </c>
      <c r="B2844" s="114" t="str">
        <f>VLOOKUP(A2844,'Data pick slip'!B:F,5,FALSE)</f>
        <v>KHJ-MC200-00</v>
      </c>
      <c r="F2844" s="157" t="s">
        <v>2753</v>
      </c>
      <c r="I2844" s="139" t="s">
        <v>3094</v>
      </c>
      <c r="J2844" s="270" t="s">
        <v>3424</v>
      </c>
      <c r="K2844" s="51" t="s">
        <v>1246</v>
      </c>
      <c r="L2844" s="4">
        <v>44270</v>
      </c>
      <c r="M2844" s="132">
        <v>5</v>
      </c>
      <c r="P2844" s="4" t="s">
        <v>291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2744</v>
      </c>
      <c r="B2845" s="114" t="str">
        <f>VLOOKUP(A2845,'Data pick slip'!B:F,5,FALSE)</f>
        <v>KHJ-MC100-00</v>
      </c>
      <c r="F2845" s="157" t="s">
        <v>2753</v>
      </c>
      <c r="H2845" s="138">
        <v>1165</v>
      </c>
      <c r="I2845" s="139" t="str">
        <f>VLOOKUP(H2845,Stock_list!A:R,18,FALSE)</f>
        <v>瑞福联</v>
      </c>
      <c r="J2845" s="139" t="str">
        <f>VLOOKUP(H2845,Stock_list!A:S,17,FALSE)</f>
        <v>C49SZX20210056JL</v>
      </c>
      <c r="K2845" s="51" t="str">
        <f>VLOOKUP(H2845,Stock_list!A:T,16,FALSE)</f>
        <v>JPY</v>
      </c>
      <c r="L2845" s="4">
        <v>44270</v>
      </c>
      <c r="M2845" s="132"/>
      <c r="O2845" s="132">
        <f>20-20</f>
        <v>0</v>
      </c>
      <c r="P2845" s="4" t="str">
        <f>VLOOKUP(H2845,Stock_list!A:Y,25,FALSE)</f>
        <v>Yes</v>
      </c>
      <c r="Q2845" s="143"/>
      <c r="T2845" s="144"/>
      <c r="U2845" s="145" t="str">
        <f>VLOOKUP(H2845,Stock_list!A:N,14,FALSE)</f>
        <v>MAY 21</v>
      </c>
    </row>
    <row r="2846" spans="1:21" ht="16.5" customHeight="1">
      <c r="A2846" s="159" t="s">
        <v>2744</v>
      </c>
      <c r="B2846" s="114" t="str">
        <f>VLOOKUP(A2846,'Data pick slip'!B:F,5,FALSE)</f>
        <v>KHJ-MC100-00</v>
      </c>
      <c r="F2846" s="157" t="s">
        <v>1381</v>
      </c>
      <c r="H2846" s="138">
        <v>1260</v>
      </c>
      <c r="I2846" s="139" t="str">
        <f>VLOOKUP(H2846,Stock_list!A:R,18,FALSE)</f>
        <v>崧盛</v>
      </c>
      <c r="J2846" s="139" t="str">
        <f>VLOOKUP(H2846,Stock_list!A:S,17,FALSE)</f>
        <v>C49SZX20210082MZ</v>
      </c>
      <c r="K2846" s="51" t="str">
        <f>VLOOKUP(H2846,Stock_list!A:T,16,FALSE)</f>
        <v>JPY</v>
      </c>
      <c r="L2846" s="4">
        <v>44405</v>
      </c>
      <c r="M2846" s="132">
        <v>240</v>
      </c>
      <c r="P2846" s="4" t="str">
        <f>VLOOKUP(H2846,Stock_list!A:Y,25,FALSE)</f>
        <v>Yes</v>
      </c>
      <c r="Q2846" s="143"/>
      <c r="T2846" s="144"/>
      <c r="U2846" s="145" t="str">
        <f>VLOOKUP(H2846,Stock_list!A:N,14,FALSE)</f>
        <v>JUL 21</v>
      </c>
    </row>
    <row r="2847" spans="1:21" ht="16.5" customHeight="1">
      <c r="A2847" s="159" t="s">
        <v>2747</v>
      </c>
      <c r="B2847" s="114" t="str">
        <f>VLOOKUP(A2847,'Data pick slip'!B:F,5,FALSE)</f>
        <v>KHJ-MC200-00</v>
      </c>
      <c r="F2847" s="157" t="s">
        <v>1381</v>
      </c>
      <c r="H2847" s="138">
        <v>1260</v>
      </c>
      <c r="I2847" s="139" t="str">
        <f>VLOOKUP(H2847,Stock_list!A:R,18,FALSE)</f>
        <v>崧盛</v>
      </c>
      <c r="J2847" s="139" t="str">
        <f>VLOOKUP(H2847,Stock_list!A:S,17,FALSE)</f>
        <v>C49SZX20210082MZ</v>
      </c>
      <c r="K2847" s="51" t="str">
        <f>VLOOKUP(H2847,Stock_list!A:T,16,FALSE)</f>
        <v>JPY</v>
      </c>
      <c r="L2847" s="4">
        <v>44405</v>
      </c>
      <c r="M2847" s="132">
        <v>50</v>
      </c>
      <c r="P2847" s="4" t="str">
        <f>VLOOKUP(H2847,Stock_list!A:Y,25,FALSE)</f>
        <v>Yes</v>
      </c>
      <c r="Q2847" s="143"/>
      <c r="T2847" s="144"/>
      <c r="U2847" s="145" t="str">
        <f>VLOOKUP(H2847,Stock_list!A:N,14,FALSE)</f>
        <v>JUL 21</v>
      </c>
    </row>
    <row r="2848" spans="1:21" ht="16.5" customHeight="1">
      <c r="A2848" s="159" t="s">
        <v>2744</v>
      </c>
      <c r="B2848" s="114" t="str">
        <f>VLOOKUP(A2848,'Data pick slip'!B:F,5,FALSE)</f>
        <v>KHJ-MC100-00</v>
      </c>
      <c r="F2848" s="157" t="s">
        <v>1381</v>
      </c>
      <c r="H2848" s="138">
        <v>1256</v>
      </c>
      <c r="I2848" s="139" t="str">
        <f>VLOOKUP(H2848,Stock_list!A:R,18,FALSE)</f>
        <v>崧盛</v>
      </c>
      <c r="J2848" s="139" t="str">
        <f>VLOOKUP(H2848,Stock_list!A:S,17,FALSE)</f>
        <v>C49SZX20210081MZ</v>
      </c>
      <c r="K2848" s="51" t="str">
        <f>VLOOKUP(H2848,Stock_list!A:T,16,FALSE)</f>
        <v>JPY</v>
      </c>
      <c r="L2848" s="4">
        <v>44376</v>
      </c>
      <c r="M2848" s="132">
        <v>113</v>
      </c>
      <c r="P2848" s="4" t="str">
        <f>VLOOKUP(H2848,Stock_list!A:Y,25,FALSE)</f>
        <v>Yes</v>
      </c>
      <c r="Q2848" s="143"/>
      <c r="T2848" s="144"/>
      <c r="U2848" s="145" t="str">
        <f>VLOOKUP(H2848,Stock_list!A:N,14,FALSE)</f>
        <v>JUN 21</v>
      </c>
    </row>
    <row r="2849" spans="1:21" ht="16.5" customHeight="1">
      <c r="A2849" s="159" t="s">
        <v>2747</v>
      </c>
      <c r="B2849" s="114" t="str">
        <f>VLOOKUP(A2849,'Data pick slip'!B:F,5,FALSE)</f>
        <v>KHJ-MC200-00</v>
      </c>
      <c r="F2849" s="157" t="s">
        <v>1381</v>
      </c>
      <c r="H2849" s="138">
        <v>1256</v>
      </c>
      <c r="I2849" s="139" t="str">
        <f>VLOOKUP(H2849,Stock_list!A:R,18,FALSE)</f>
        <v>崧盛</v>
      </c>
      <c r="J2849" s="139" t="str">
        <f>VLOOKUP(H2849,Stock_list!A:S,17,FALSE)</f>
        <v>C49SZX20210081MZ</v>
      </c>
      <c r="K2849" s="51" t="str">
        <f>VLOOKUP(H2849,Stock_list!A:T,16,FALSE)</f>
        <v>JPY</v>
      </c>
      <c r="L2849" s="4">
        <v>44376</v>
      </c>
      <c r="M2849" s="132">
        <v>40</v>
      </c>
      <c r="P2849" s="4" t="str">
        <f>VLOOKUP(H2849,Stock_list!A:Y,25,FALSE)</f>
        <v>Yes</v>
      </c>
      <c r="Q2849" s="143"/>
      <c r="T2849" s="144"/>
      <c r="U2849" s="145" t="str">
        <f>VLOOKUP(H2849,Stock_list!A:N,14,FALSE)</f>
        <v>JUN 21</v>
      </c>
    </row>
    <row r="2850" spans="1:21" ht="16.5" customHeight="1">
      <c r="A2850" s="159" t="s">
        <v>2744</v>
      </c>
      <c r="B2850" s="114" t="str">
        <f>VLOOKUP(A2850,'Data pick slip'!B:F,5,FALSE)</f>
        <v>KHJ-MC100-00</v>
      </c>
      <c r="F2850" s="157" t="s">
        <v>1381</v>
      </c>
      <c r="H2850" s="138">
        <v>1256</v>
      </c>
      <c r="I2850" s="139" t="str">
        <f>VLOOKUP(H2850,Stock_list!A:R,18,FALSE)</f>
        <v>崧盛</v>
      </c>
      <c r="J2850" s="139" t="str">
        <f>VLOOKUP(H2850,Stock_list!A:S,17,FALSE)</f>
        <v>C49SZX20210081MZ</v>
      </c>
      <c r="K2850" s="51" t="str">
        <f>VLOOKUP(H2850,Stock_list!A:T,16,FALSE)</f>
        <v>JPY</v>
      </c>
      <c r="L2850" s="4">
        <v>44398</v>
      </c>
      <c r="M2850" s="132">
        <f>150-113</f>
        <v>37</v>
      </c>
      <c r="P2850" s="4" t="str">
        <f>VLOOKUP(H2850,Stock_list!A:Y,25,FALSE)</f>
        <v>Yes</v>
      </c>
      <c r="Q2850" s="143"/>
      <c r="T2850" s="144"/>
      <c r="U2850" s="145" t="str">
        <f>VLOOKUP(H2850,Stock_list!A:N,14,FALSE)</f>
        <v>JUN 21</v>
      </c>
    </row>
    <row r="2851" spans="1:21" ht="16.5" customHeight="1">
      <c r="A2851" s="159" t="s">
        <v>2747</v>
      </c>
      <c r="B2851" s="114" t="str">
        <f>VLOOKUP(A2851,'Data pick slip'!B:F,5,FALSE)</f>
        <v>KHJ-MC200-00</v>
      </c>
      <c r="F2851" s="157" t="s">
        <v>1381</v>
      </c>
      <c r="H2851" s="138">
        <v>1256</v>
      </c>
      <c r="I2851" s="139" t="str">
        <f>VLOOKUP(H2851,Stock_list!A:R,18,FALSE)</f>
        <v>崧盛</v>
      </c>
      <c r="J2851" s="139" t="str">
        <f>VLOOKUP(H2851,Stock_list!A:S,17,FALSE)</f>
        <v>C49SZX20210081MZ</v>
      </c>
      <c r="K2851" s="51" t="str">
        <f>VLOOKUP(H2851,Stock_list!A:T,16,FALSE)</f>
        <v>JPY</v>
      </c>
      <c r="L2851" s="4">
        <v>44398</v>
      </c>
      <c r="M2851" s="132">
        <f>52-40</f>
        <v>12</v>
      </c>
      <c r="P2851" s="4" t="str">
        <f>VLOOKUP(H2851,Stock_list!A:Y,25,FALSE)</f>
        <v>Yes</v>
      </c>
      <c r="Q2851" s="143"/>
      <c r="T2851" s="144"/>
      <c r="U2851" s="145" t="str">
        <f>VLOOKUP(H2851,Stock_list!A:N,14,FALSE)</f>
        <v>JUN 21</v>
      </c>
    </row>
    <row r="2852" spans="1:21" ht="16.5" customHeight="1">
      <c r="A2852" s="159" t="s">
        <v>2748</v>
      </c>
      <c r="B2852" s="114" t="str">
        <f>VLOOKUP(A2852,'Data pick slip'!B:F,5,FALSE)</f>
        <v>KHJ-MC400-00</v>
      </c>
      <c r="F2852" s="157" t="s">
        <v>1381</v>
      </c>
      <c r="H2852" s="138">
        <v>1256</v>
      </c>
      <c r="I2852" s="139" t="str">
        <f>VLOOKUP(H2852,Stock_list!A:R,18,FALSE)</f>
        <v>崧盛</v>
      </c>
      <c r="J2852" s="139" t="str">
        <f>VLOOKUP(H2852,Stock_list!A:S,17,FALSE)</f>
        <v>C49SZX20210081MZ</v>
      </c>
      <c r="K2852" s="51" t="str">
        <f>VLOOKUP(H2852,Stock_list!A:T,16,FALSE)</f>
        <v>JPY</v>
      </c>
      <c r="L2852" s="4">
        <v>44398</v>
      </c>
      <c r="M2852" s="132">
        <v>1</v>
      </c>
      <c r="P2852" s="4" t="str">
        <f>VLOOKUP(H2852,Stock_list!A:Y,25,FALSE)</f>
        <v>Yes</v>
      </c>
      <c r="Q2852" s="143"/>
      <c r="T2852" s="144"/>
      <c r="U2852" s="145" t="str">
        <f>VLOOKUP(H2852,Stock_list!A:N,14,FALSE)</f>
        <v>JUN 21</v>
      </c>
    </row>
    <row r="2853" spans="1:21" ht="16.5" customHeight="1">
      <c r="A2853" s="159" t="s">
        <v>2744</v>
      </c>
      <c r="B2853" s="114" t="str">
        <f>VLOOKUP(A2853,'Data pick slip'!B:F,5,FALSE)</f>
        <v>KHJ-MC100-00</v>
      </c>
      <c r="F2853" s="157" t="s">
        <v>1381</v>
      </c>
      <c r="H2853" s="138">
        <v>1254</v>
      </c>
      <c r="I2853" s="139" t="str">
        <f>VLOOKUP(H2853,Stock_list!A:R,18,FALSE)</f>
        <v>景思</v>
      </c>
      <c r="J2853" s="139" t="str">
        <f>VLOOKUP(H2853,Stock_list!A:S,17,FALSE)</f>
        <v>C49SZX20210090EC</v>
      </c>
      <c r="K2853" s="51" t="str">
        <f>VLOOKUP(H2853,Stock_list!A:T,16,FALSE)</f>
        <v>JPY</v>
      </c>
      <c r="L2853" s="4">
        <v>44285</v>
      </c>
      <c r="M2853" s="132">
        <v>3</v>
      </c>
      <c r="P2853" s="4" t="str">
        <f>VLOOKUP(H2853,Stock_list!A:Y,25,FALSE)</f>
        <v>Yes</v>
      </c>
      <c r="Q2853" s="143"/>
      <c r="T2853" s="144"/>
      <c r="U2853" s="145" t="str">
        <f>VLOOKUP(H2853,Stock_list!A:N,14,FALSE)</f>
        <v>MAR 21</v>
      </c>
    </row>
    <row r="2854" spans="1:21" ht="16.5" customHeight="1">
      <c r="A2854" s="159" t="s">
        <v>2744</v>
      </c>
      <c r="B2854" s="114" t="str">
        <f>VLOOKUP(A2854,'Data pick slip'!B:F,5,FALSE)</f>
        <v>KHJ-MC100-00</v>
      </c>
      <c r="F2854" s="157" t="s">
        <v>1381</v>
      </c>
      <c r="H2854" s="138">
        <v>1255</v>
      </c>
      <c r="I2854" s="139" t="str">
        <f>VLOOKUP(H2854,Stock_list!A:R,18,FALSE)</f>
        <v>福瑞康</v>
      </c>
      <c r="J2854" s="139" t="str">
        <f>VLOOKUP(H2854,Stock_list!A:S,17,FALSE)</f>
        <v>C49SZX20210079EC</v>
      </c>
      <c r="K2854" s="51" t="str">
        <f>VLOOKUP(H2854,Stock_list!A:T,16,FALSE)</f>
        <v>JPY</v>
      </c>
      <c r="L2854" s="4">
        <v>44300</v>
      </c>
      <c r="M2854" s="132">
        <v>32</v>
      </c>
      <c r="P2854" s="4" t="str">
        <f>VLOOKUP(H2854,Stock_list!A:Y,25,FALSE)</f>
        <v>Yes</v>
      </c>
      <c r="Q2854" s="143"/>
      <c r="T2854" s="144"/>
      <c r="U2854" s="145" t="str">
        <f>VLOOKUP(H2854,Stock_list!A:N,14,FALSE)</f>
        <v>APR 21</v>
      </c>
    </row>
    <row r="2855" spans="1:21" ht="16.5" customHeight="1">
      <c r="A2855" s="159" t="s">
        <v>2747</v>
      </c>
      <c r="B2855" s="114" t="str">
        <f>VLOOKUP(A2855,'Data pick slip'!B:F,5,FALSE)</f>
        <v>KHJ-MC200-00</v>
      </c>
      <c r="F2855" s="157" t="s">
        <v>2753</v>
      </c>
      <c r="I2855" s="139" t="s">
        <v>3094</v>
      </c>
      <c r="J2855" s="270" t="s">
        <v>3425</v>
      </c>
      <c r="K2855" s="51" t="s">
        <v>1246</v>
      </c>
      <c r="L2855" s="4">
        <v>44260</v>
      </c>
      <c r="M2855" s="132">
        <v>5</v>
      </c>
      <c r="P2855" s="4" t="s">
        <v>291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2744</v>
      </c>
      <c r="B2856" s="114" t="str">
        <f>VLOOKUP(A2856,'Data pick slip'!B:F,5,FALSE)</f>
        <v>KHJ-MC100-00</v>
      </c>
      <c r="F2856" s="157" t="s">
        <v>1381</v>
      </c>
      <c r="I2856" s="139" t="s">
        <v>3016</v>
      </c>
      <c r="J2856" s="139" t="s">
        <v>2953</v>
      </c>
      <c r="K2856" s="51" t="s">
        <v>1246</v>
      </c>
      <c r="L2856" s="4">
        <v>44189</v>
      </c>
      <c r="M2856" s="132">
        <v>100</v>
      </c>
      <c r="P2856" s="4" t="s">
        <v>291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2747</v>
      </c>
      <c r="B2857" s="114" t="str">
        <f>VLOOKUP(A2857,'Data pick slip'!B:F,5,FALSE)</f>
        <v>KHJ-MC200-00</v>
      </c>
      <c r="F2857" s="157" t="s">
        <v>1381</v>
      </c>
      <c r="I2857" s="139" t="s">
        <v>3016</v>
      </c>
      <c r="J2857" s="139" t="s">
        <v>2953</v>
      </c>
      <c r="K2857" s="51" t="s">
        <v>1246</v>
      </c>
      <c r="L2857" s="4">
        <v>44189</v>
      </c>
      <c r="M2857" s="132">
        <v>60</v>
      </c>
      <c r="P2857" s="4" t="s">
        <v>291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2748</v>
      </c>
      <c r="B2858" s="114" t="str">
        <f>VLOOKUP(A2858,'Data pick slip'!B:F,5,FALSE)</f>
        <v>KHJ-MC400-00</v>
      </c>
      <c r="F2858" s="157" t="s">
        <v>1381</v>
      </c>
      <c r="I2858" s="139" t="s">
        <v>3016</v>
      </c>
      <c r="J2858" s="139" t="s">
        <v>2953</v>
      </c>
      <c r="K2858" s="51" t="s">
        <v>1246</v>
      </c>
      <c r="L2858" s="4">
        <v>44189</v>
      </c>
      <c r="M2858" s="132">
        <v>4</v>
      </c>
      <c r="P2858" s="4" t="s">
        <v>291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2749</v>
      </c>
      <c r="B2859" s="114" t="str">
        <f>VLOOKUP(A2859,'Data pick slip'!B:F,5,FALSE)</f>
        <v>KHJ-MC500-00</v>
      </c>
      <c r="F2859" s="157" t="s">
        <v>1381</v>
      </c>
      <c r="I2859" s="139" t="s">
        <v>3016</v>
      </c>
      <c r="J2859" s="139" t="s">
        <v>2953</v>
      </c>
      <c r="K2859" s="51" t="s">
        <v>1246</v>
      </c>
      <c r="L2859" s="4">
        <v>44189</v>
      </c>
      <c r="M2859" s="132">
        <v>1</v>
      </c>
      <c r="P2859" s="4" t="s">
        <v>291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2744</v>
      </c>
      <c r="B2860" s="114" t="str">
        <f>VLOOKUP(A2860,'Data pick slip'!B:F,5,FALSE)</f>
        <v>KHJ-MC100-00</v>
      </c>
      <c r="F2860" s="157" t="s">
        <v>1381</v>
      </c>
      <c r="H2860" s="138">
        <v>1264</v>
      </c>
      <c r="I2860" s="139" t="str">
        <f>VLOOKUP(H2860,Stock_list!A:R,18,FALSE)</f>
        <v>特斯浦</v>
      </c>
      <c r="J2860" s="139" t="str">
        <f>VLOOKUP(H2860,Stock_list!A:S,17,FALSE)</f>
        <v>C49SZX20210087SX</v>
      </c>
      <c r="K2860" s="51" t="str">
        <f>VLOOKUP(H2860,Stock_list!A:T,16,FALSE)</f>
        <v>JPY</v>
      </c>
      <c r="L2860" s="4">
        <v>44382</v>
      </c>
      <c r="M2860" s="132">
        <v>25</v>
      </c>
      <c r="P2860" s="4" t="str">
        <f>VLOOKUP(H2860,Stock_list!A:Y,25,FALSE)</f>
        <v>Yes</v>
      </c>
      <c r="Q2860" s="143"/>
      <c r="T2860" s="144"/>
      <c r="U2860" s="145" t="str">
        <f>VLOOKUP(H2860,Stock_list!A:N,14,FALSE)</f>
        <v>JUL 21</v>
      </c>
    </row>
    <row r="2861" spans="1:21" ht="16.5" customHeight="1">
      <c r="A2861" s="159" t="s">
        <v>2747</v>
      </c>
      <c r="B2861" s="114" t="str">
        <f>VLOOKUP(A2861,'Data pick slip'!B:F,5,FALSE)</f>
        <v>KHJ-MC200-00</v>
      </c>
      <c r="F2861" s="157" t="s">
        <v>1381</v>
      </c>
      <c r="H2861" s="138">
        <v>1264</v>
      </c>
      <c r="I2861" s="139" t="str">
        <f>VLOOKUP(H2861,Stock_list!A:R,18,FALSE)</f>
        <v>特斯浦</v>
      </c>
      <c r="J2861" s="139" t="str">
        <f>VLOOKUP(H2861,Stock_list!A:S,17,FALSE)</f>
        <v>C49SZX20210087SX</v>
      </c>
      <c r="K2861" s="51" t="str">
        <f>VLOOKUP(H2861,Stock_list!A:T,16,FALSE)</f>
        <v>JPY</v>
      </c>
      <c r="L2861" s="4">
        <v>44382</v>
      </c>
      <c r="M2861" s="132">
        <v>2</v>
      </c>
      <c r="P2861" s="4" t="str">
        <f>VLOOKUP(H2861,Stock_list!A:Y,25,FALSE)</f>
        <v>Yes</v>
      </c>
      <c r="Q2861" s="143"/>
      <c r="T2861" s="144"/>
      <c r="U2861" s="145" t="str">
        <f>VLOOKUP(H2861,Stock_list!A:N,14,FALSE)</f>
        <v>JUL 21</v>
      </c>
    </row>
    <row r="2862" spans="1:21" ht="16.5" customHeight="1">
      <c r="A2862" s="159" t="s">
        <v>2744</v>
      </c>
      <c r="B2862" s="114" t="str">
        <f>VLOOKUP(A2862,'Data pick slip'!B:F,5,FALSE)</f>
        <v>KHJ-MC100-00</v>
      </c>
      <c r="F2862" s="157" t="s">
        <v>1381</v>
      </c>
      <c r="H2862" s="138">
        <v>1265</v>
      </c>
      <c r="I2862" s="139" t="str">
        <f>VLOOKUP(H2862,Stock_list!A:R,18,FALSE)</f>
        <v>恒越通</v>
      </c>
      <c r="J2862" s="139" t="str">
        <f>VLOOKUP(H2862,Stock_list!A:S,17,FALSE)</f>
        <v>C49SZX20210088SX</v>
      </c>
      <c r="K2862" s="51" t="str">
        <f>VLOOKUP(H2862,Stock_list!A:T,16,FALSE)</f>
        <v>JPY</v>
      </c>
      <c r="L2862" s="4">
        <v>44377</v>
      </c>
      <c r="M2862" s="132">
        <v>40</v>
      </c>
      <c r="P2862" s="4" t="str">
        <f>VLOOKUP(H2862,Stock_list!A:Y,25,FALSE)</f>
        <v>Yes</v>
      </c>
      <c r="Q2862" s="143"/>
      <c r="T2862" s="144"/>
      <c r="U2862" s="145" t="str">
        <f>VLOOKUP(H2862,Stock_list!A:N,14,FALSE)</f>
        <v>JUL 21</v>
      </c>
    </row>
    <row r="2863" spans="1:21" ht="16.5" customHeight="1">
      <c r="A2863" s="159" t="s">
        <v>2747</v>
      </c>
      <c r="B2863" s="114" t="str">
        <f>VLOOKUP(A2863,'Data pick slip'!B:F,5,FALSE)</f>
        <v>KHJ-MC200-00</v>
      </c>
      <c r="F2863" s="157" t="s">
        <v>1381</v>
      </c>
      <c r="H2863" s="138">
        <v>1265</v>
      </c>
      <c r="I2863" s="139" t="str">
        <f>VLOOKUP(H2863,Stock_list!A:R,18,FALSE)</f>
        <v>恒越通</v>
      </c>
      <c r="J2863" s="139" t="str">
        <f>VLOOKUP(H2863,Stock_list!A:S,17,FALSE)</f>
        <v>C49SZX20210088SX</v>
      </c>
      <c r="K2863" s="51" t="str">
        <f>VLOOKUP(H2863,Stock_list!A:T,16,FALSE)</f>
        <v>JPY</v>
      </c>
      <c r="L2863" s="4">
        <v>44377</v>
      </c>
      <c r="M2863" s="132">
        <v>8</v>
      </c>
      <c r="P2863" s="4" t="str">
        <f>VLOOKUP(H2863,Stock_list!A:Y,25,FALSE)</f>
        <v>Yes</v>
      </c>
      <c r="Q2863" s="143"/>
      <c r="T2863" s="144"/>
      <c r="U2863" s="145" t="str">
        <f>VLOOKUP(H2863,Stock_list!A:N,14,FALSE)</f>
        <v>JUL 21</v>
      </c>
    </row>
    <row r="2864" spans="1:21" ht="16.5" customHeight="1">
      <c r="A2864" s="159" t="s">
        <v>2748</v>
      </c>
      <c r="B2864" s="114" t="str">
        <f>VLOOKUP(A2864,'Data pick slip'!B:F,5,FALSE)</f>
        <v>KHJ-MC400-00</v>
      </c>
      <c r="F2864" s="157" t="s">
        <v>1381</v>
      </c>
      <c r="H2864" s="138">
        <v>1265</v>
      </c>
      <c r="I2864" s="139" t="str">
        <f>VLOOKUP(H2864,Stock_list!A:R,18,FALSE)</f>
        <v>恒越通</v>
      </c>
      <c r="J2864" s="139" t="str">
        <f>VLOOKUP(H2864,Stock_list!A:S,17,FALSE)</f>
        <v>C49SZX20210088SX</v>
      </c>
      <c r="K2864" s="51" t="str">
        <f>VLOOKUP(H2864,Stock_list!A:T,16,FALSE)</f>
        <v>JPY</v>
      </c>
      <c r="L2864" s="4">
        <v>44377</v>
      </c>
      <c r="M2864" s="132">
        <v>4</v>
      </c>
      <c r="P2864" s="4" t="str">
        <f>VLOOKUP(H2864,Stock_list!A:Y,25,FALSE)</f>
        <v>Yes</v>
      </c>
      <c r="Q2864" s="143"/>
      <c r="T2864" s="144"/>
      <c r="U2864" s="145" t="str">
        <f>VLOOKUP(H2864,Stock_list!A:N,14,FALSE)</f>
        <v>JUL 21</v>
      </c>
    </row>
    <row r="2865" spans="1:21" ht="16.5" customHeight="1">
      <c r="A2865" s="159" t="s">
        <v>2749</v>
      </c>
      <c r="B2865" s="114" t="str">
        <f>VLOOKUP(A2865,'Data pick slip'!B:F,5,FALSE)</f>
        <v>KHJ-MC500-00</v>
      </c>
      <c r="F2865" s="157" t="s">
        <v>1381</v>
      </c>
      <c r="H2865" s="138">
        <v>1265</v>
      </c>
      <c r="I2865" s="139" t="str">
        <f>VLOOKUP(H2865,Stock_list!A:R,18,FALSE)</f>
        <v>恒越通</v>
      </c>
      <c r="J2865" s="139" t="str">
        <f>VLOOKUP(H2865,Stock_list!A:S,17,FALSE)</f>
        <v>C49SZX20210088SX</v>
      </c>
      <c r="K2865" s="51" t="str">
        <f>VLOOKUP(H2865,Stock_list!A:T,16,FALSE)</f>
        <v>JPY</v>
      </c>
      <c r="L2865" s="4">
        <v>44377</v>
      </c>
      <c r="M2865" s="132">
        <v>2</v>
      </c>
      <c r="P2865" s="4" t="str">
        <f>VLOOKUP(H2865,Stock_list!A:Y,25,FALSE)</f>
        <v>Yes</v>
      </c>
      <c r="Q2865" s="143"/>
      <c r="T2865" s="144"/>
      <c r="U2865" s="145" t="str">
        <f>VLOOKUP(H2865,Stock_list!A:N,14,FALSE)</f>
        <v>JUL 21</v>
      </c>
    </row>
    <row r="2866" spans="1:21" ht="16.5" customHeight="1">
      <c r="A2866" s="159" t="s">
        <v>2744</v>
      </c>
      <c r="B2866" s="114" t="str">
        <f>VLOOKUP(A2866,'Data pick slip'!B:F,5,FALSE)</f>
        <v>KHJ-MC100-00</v>
      </c>
      <c r="F2866" s="157" t="s">
        <v>1381</v>
      </c>
      <c r="H2866" s="138">
        <v>1269</v>
      </c>
      <c r="I2866" s="139" t="str">
        <f>VLOOKUP(H2866,Stock_list!A:R,18,FALSE)</f>
        <v>伯莱科</v>
      </c>
      <c r="J2866" s="139" t="str">
        <f>VLOOKUP(H2866,Stock_list!A:S,17,FALSE)</f>
        <v>C49SZX20210075JL</v>
      </c>
      <c r="K2866" s="51" t="str">
        <f>VLOOKUP(H2866,Stock_list!A:T,16,FALSE)</f>
        <v>JPY</v>
      </c>
      <c r="L2866" s="4">
        <v>44370</v>
      </c>
      <c r="M2866" s="132">
        <v>2</v>
      </c>
      <c r="P2866" s="4" t="str">
        <f>VLOOKUP(H2866,Stock_list!A:Y,25,FALSE)</f>
        <v>Yes</v>
      </c>
      <c r="Q2866" s="143"/>
      <c r="T2866" s="144"/>
      <c r="U2866" s="145" t="str">
        <f>VLOOKUP(H2866,Stock_list!A:N,14,FALSE)</f>
        <v>JUN 21</v>
      </c>
    </row>
    <row r="2867" spans="1:21" ht="16.5" customHeight="1">
      <c r="A2867" s="159" t="s">
        <v>2744</v>
      </c>
      <c r="B2867" s="114" t="str">
        <f>VLOOKUP(A2867,'Data pick slip'!B:F,5,FALSE)</f>
        <v>KHJ-MC100-00</v>
      </c>
      <c r="F2867" s="157" t="s">
        <v>1381</v>
      </c>
      <c r="H2867" s="138">
        <v>1277</v>
      </c>
      <c r="I2867" s="139" t="str">
        <f>VLOOKUP(H2867,Stock_list!A:R,18,FALSE)</f>
        <v>世达威</v>
      </c>
      <c r="J2867" s="139" t="str">
        <f>VLOOKUP(H2867,Stock_list!A:S,17,FALSE)</f>
        <v>C49SZX20210039JZ</v>
      </c>
      <c r="K2867" s="51" t="str">
        <f>VLOOKUP(H2867,Stock_list!A:T,16,FALSE)</f>
        <v>JPY</v>
      </c>
      <c r="L2867" s="4">
        <v>44339</v>
      </c>
      <c r="M2867" s="132">
        <v>20</v>
      </c>
      <c r="P2867" s="4" t="str">
        <f>VLOOKUP(H2867,Stock_list!A:Y,25,FALSE)</f>
        <v>Yes</v>
      </c>
      <c r="Q2867" s="143"/>
      <c r="T2867" s="144"/>
      <c r="U2867" s="145" t="str">
        <f>VLOOKUP(H2867,Stock_list!A:N,14,FALSE)</f>
        <v>MAY 21</v>
      </c>
    </row>
    <row r="2868" spans="1:21" ht="16.5" customHeight="1">
      <c r="A2868" s="159" t="s">
        <v>2747</v>
      </c>
      <c r="B2868" s="114" t="str">
        <f>VLOOKUP(A2868,'Data pick slip'!B:F,5,FALSE)</f>
        <v>KHJ-MC200-00</v>
      </c>
      <c r="F2868" s="157" t="s">
        <v>1381</v>
      </c>
      <c r="H2868" s="138">
        <v>1277</v>
      </c>
      <c r="I2868" s="139" t="str">
        <f>VLOOKUP(H2868,Stock_list!A:R,18,FALSE)</f>
        <v>世达威</v>
      </c>
      <c r="J2868" s="139" t="str">
        <f>VLOOKUP(H2868,Stock_list!A:S,17,FALSE)</f>
        <v>C49SZX20210039JZ</v>
      </c>
      <c r="K2868" s="51" t="str">
        <f>VLOOKUP(H2868,Stock_list!A:T,16,FALSE)</f>
        <v>JPY</v>
      </c>
      <c r="L2868" s="4">
        <v>44339</v>
      </c>
      <c r="M2868" s="132">
        <v>10</v>
      </c>
      <c r="P2868" s="4" t="str">
        <f>VLOOKUP(H2868,Stock_list!A:Y,25,FALSE)</f>
        <v>Yes</v>
      </c>
      <c r="Q2868" s="143"/>
      <c r="T2868" s="144"/>
      <c r="U2868" s="145" t="str">
        <f>VLOOKUP(H2868,Stock_list!A:N,14,FALSE)</f>
        <v>MAY 21</v>
      </c>
    </row>
    <row r="2869" spans="1:21" ht="16.5" customHeight="1">
      <c r="A2869" s="159" t="s">
        <v>2744</v>
      </c>
      <c r="B2869" s="114" t="str">
        <f>VLOOKUP(A2869,'Data pick slip'!B:F,5,FALSE)</f>
        <v>KHJ-MC100-00</v>
      </c>
      <c r="F2869" s="157" t="s">
        <v>2753</v>
      </c>
      <c r="H2869" s="138">
        <v>1278</v>
      </c>
      <c r="I2869" s="139" t="str">
        <f>VLOOKUP(H2869,Stock_list!A:R,18,FALSE)</f>
        <v>欧科讯</v>
      </c>
      <c r="J2869" s="139" t="str">
        <f>VLOOKUP(H2869,Stock_list!A:S,17,FALSE)</f>
        <v>C49SZX20210085JL</v>
      </c>
      <c r="K2869" s="51" t="str">
        <f>VLOOKUP(H2869,Stock_list!A:T,16,FALSE)</f>
        <v>RMB</v>
      </c>
      <c r="L2869" s="4">
        <v>44350</v>
      </c>
      <c r="M2869" s="287">
        <v>40</v>
      </c>
      <c r="P2869" s="4" t="str">
        <f>VLOOKUP(H2869,Stock_list!A:Y,25,FALSE)</f>
        <v>Yes</v>
      </c>
      <c r="Q2869" s="143"/>
      <c r="T2869" s="144"/>
      <c r="U2869" s="145" t="str">
        <f>VLOOKUP(H2869,Stock_list!A:N,14,FALSE)</f>
        <v>JUN 21</v>
      </c>
    </row>
    <row r="2870" spans="1:21" ht="16.5" customHeight="1">
      <c r="A2870" s="159" t="s">
        <v>2748</v>
      </c>
      <c r="B2870" s="114" t="str">
        <f>VLOOKUP(A2870,'Data pick slip'!B:F,5,FALSE)</f>
        <v>KHJ-MC400-00</v>
      </c>
      <c r="F2870" s="157" t="s">
        <v>2753</v>
      </c>
      <c r="H2870" s="138">
        <v>1278</v>
      </c>
      <c r="I2870" s="139" t="str">
        <f>VLOOKUP(H2870,Stock_list!A:R,18,FALSE)</f>
        <v>欧科讯</v>
      </c>
      <c r="J2870" s="139" t="str">
        <f>VLOOKUP(H2870,Stock_list!A:S,17,FALSE)</f>
        <v>C49SZX20210085JL</v>
      </c>
      <c r="K2870" s="51" t="str">
        <f>VLOOKUP(H2870,Stock_list!A:T,16,FALSE)</f>
        <v>RMB</v>
      </c>
      <c r="L2870" s="4">
        <v>44350</v>
      </c>
      <c r="M2870" s="287">
        <v>1</v>
      </c>
      <c r="P2870" s="4" t="str">
        <f>VLOOKUP(H2870,Stock_list!A:Y,25,FALSE)</f>
        <v>Yes</v>
      </c>
      <c r="Q2870" s="143"/>
      <c r="T2870" s="144"/>
      <c r="U2870" s="145" t="str">
        <f>VLOOKUP(H2870,Stock_list!A:N,14,FALSE)</f>
        <v>JUN 21</v>
      </c>
    </row>
    <row r="2871" spans="1:21" ht="16.5" customHeight="1">
      <c r="A2871" s="159" t="s">
        <v>2749</v>
      </c>
      <c r="B2871" s="114" t="str">
        <f>VLOOKUP(A2871,'Data pick slip'!B:F,5,FALSE)</f>
        <v>KHJ-MC500-00</v>
      </c>
      <c r="F2871" s="157" t="s">
        <v>2753</v>
      </c>
      <c r="H2871" s="138">
        <v>1278</v>
      </c>
      <c r="I2871" s="139" t="str">
        <f>VLOOKUP(H2871,Stock_list!A:R,18,FALSE)</f>
        <v>欧科讯</v>
      </c>
      <c r="J2871" s="139" t="str">
        <f>VLOOKUP(H2871,Stock_list!A:S,17,FALSE)</f>
        <v>C49SZX20210085JL</v>
      </c>
      <c r="K2871" s="51" t="str">
        <f>VLOOKUP(H2871,Stock_list!A:T,16,FALSE)</f>
        <v>RMB</v>
      </c>
      <c r="L2871" s="4">
        <v>44350</v>
      </c>
      <c r="M2871" s="287">
        <v>1</v>
      </c>
      <c r="P2871" s="4" t="str">
        <f>VLOOKUP(H2871,Stock_list!A:Y,25,FALSE)</f>
        <v>Yes</v>
      </c>
      <c r="Q2871" s="143"/>
      <c r="T2871" s="144"/>
      <c r="U2871" s="145" t="str">
        <f>VLOOKUP(H2871,Stock_list!A:N,14,FALSE)</f>
        <v>JUN 21</v>
      </c>
    </row>
    <row r="2872" spans="1:21" ht="16.5" customHeight="1">
      <c r="A2872" s="159" t="s">
        <v>2751</v>
      </c>
      <c r="B2872" s="114" t="str">
        <f>VLOOKUP(A2872,'Data pick slip'!B:F,5,FALSE)</f>
        <v>KHJ-MC700-00</v>
      </c>
      <c r="F2872" s="157" t="s">
        <v>2753</v>
      </c>
      <c r="H2872" s="138">
        <v>1278</v>
      </c>
      <c r="I2872" s="139" t="str">
        <f>VLOOKUP(H2872,Stock_list!A:R,18,FALSE)</f>
        <v>欧科讯</v>
      </c>
      <c r="J2872" s="139" t="str">
        <f>VLOOKUP(H2872,Stock_list!A:S,17,FALSE)</f>
        <v>C49SZX20210085JL</v>
      </c>
      <c r="K2872" s="51" t="str">
        <f>VLOOKUP(H2872,Stock_list!A:T,16,FALSE)</f>
        <v>RMB</v>
      </c>
      <c r="L2872" s="4">
        <v>44350</v>
      </c>
      <c r="M2872" s="287">
        <v>1</v>
      </c>
      <c r="P2872" s="4" t="str">
        <f>VLOOKUP(H2872,Stock_list!A:Y,25,FALSE)</f>
        <v>Yes</v>
      </c>
      <c r="Q2872" s="143"/>
      <c r="T2872" s="144"/>
      <c r="U2872" s="145" t="str">
        <f>VLOOKUP(H2872,Stock_list!A:N,14,FALSE)</f>
        <v>JUN 21</v>
      </c>
    </row>
    <row r="2873" spans="1:21" ht="16.5" customHeight="1">
      <c r="A2873" s="159" t="s">
        <v>2744</v>
      </c>
      <c r="B2873" s="114" t="str">
        <f>VLOOKUP(A2873,'Data pick slip'!B:F,5,FALSE)</f>
        <v>KHJ-MC100-00</v>
      </c>
      <c r="F2873" s="157" t="s">
        <v>1381</v>
      </c>
      <c r="H2873" s="138">
        <v>1287</v>
      </c>
      <c r="I2873" s="139" t="str">
        <f>VLOOKUP(H2873,Stock_list!A:R,18,FALSE)</f>
        <v>鸿翔</v>
      </c>
      <c r="J2873" s="139" t="str">
        <f>VLOOKUP(H2873,Stock_list!A:S,17,FALSE)</f>
        <v>C49SZX20210099VG</v>
      </c>
      <c r="K2873" s="51" t="str">
        <f>VLOOKUP(H2873,Stock_list!A:T,16,FALSE)</f>
        <v>JPY</v>
      </c>
      <c r="L2873" s="4">
        <v>44341</v>
      </c>
      <c r="M2873" s="132">
        <v>30</v>
      </c>
      <c r="P2873" s="4" t="str">
        <f>VLOOKUP(H2873,Stock_list!A:Y,25,FALSE)</f>
        <v>Yes</v>
      </c>
      <c r="Q2873" s="143"/>
      <c r="T2873" s="144"/>
      <c r="U2873" s="145" t="str">
        <f>VLOOKUP(H2873,Stock_list!A:N,14,FALSE)</f>
        <v>MAY 21</v>
      </c>
    </row>
    <row r="2874" spans="1:21" ht="16.5" customHeight="1">
      <c r="A2874" s="159" t="s">
        <v>2747</v>
      </c>
      <c r="B2874" s="114" t="str">
        <f>VLOOKUP(A2874,'Data pick slip'!B:F,5,FALSE)</f>
        <v>KHJ-MC200-00</v>
      </c>
      <c r="F2874" s="157" t="s">
        <v>1381</v>
      </c>
      <c r="H2874" s="138">
        <v>1287</v>
      </c>
      <c r="I2874" s="139" t="str">
        <f>VLOOKUP(H2874,Stock_list!A:R,18,FALSE)</f>
        <v>鸿翔</v>
      </c>
      <c r="J2874" s="139" t="str">
        <f>VLOOKUP(H2874,Stock_list!A:S,17,FALSE)</f>
        <v>C49SZX20210099VG</v>
      </c>
      <c r="K2874" s="51" t="str">
        <f>VLOOKUP(H2874,Stock_list!A:T,16,FALSE)</f>
        <v>JPY</v>
      </c>
      <c r="L2874" s="4">
        <v>44341</v>
      </c>
      <c r="M2874" s="132">
        <v>10</v>
      </c>
      <c r="P2874" s="4" t="str">
        <f>VLOOKUP(H2874,Stock_list!A:Y,25,FALSE)</f>
        <v>Yes</v>
      </c>
      <c r="Q2874" s="143"/>
      <c r="T2874" s="144"/>
      <c r="U2874" s="145" t="str">
        <f>VLOOKUP(H2874,Stock_list!A:N,14,FALSE)</f>
        <v>MAY 21</v>
      </c>
    </row>
    <row r="2875" spans="1:21" ht="16.5" customHeight="1">
      <c r="A2875" s="159" t="s">
        <v>2748</v>
      </c>
      <c r="B2875" s="114" t="str">
        <f>VLOOKUP(A2875,'Data pick slip'!B:F,5,FALSE)</f>
        <v>KHJ-MC400-00</v>
      </c>
      <c r="F2875" s="157" t="s">
        <v>1381</v>
      </c>
      <c r="H2875" s="138">
        <v>1287</v>
      </c>
      <c r="I2875" s="139" t="str">
        <f>VLOOKUP(H2875,Stock_list!A:R,18,FALSE)</f>
        <v>鸿翔</v>
      </c>
      <c r="J2875" s="139" t="str">
        <f>VLOOKUP(H2875,Stock_list!A:S,17,FALSE)</f>
        <v>C49SZX20210099VG</v>
      </c>
      <c r="K2875" s="51" t="str">
        <f>VLOOKUP(H2875,Stock_list!A:T,16,FALSE)</f>
        <v>JPY</v>
      </c>
      <c r="L2875" s="4">
        <v>44341</v>
      </c>
      <c r="M2875" s="132">
        <v>1</v>
      </c>
      <c r="P2875" s="4" t="str">
        <f>VLOOKUP(H2875,Stock_list!A:Y,25,FALSE)</f>
        <v>Yes</v>
      </c>
      <c r="Q2875" s="143"/>
      <c r="T2875" s="144"/>
      <c r="U2875" s="145" t="str">
        <f>VLOOKUP(H2875,Stock_list!A:N,14,FALSE)</f>
        <v>MAY 21</v>
      </c>
    </row>
    <row r="2876" spans="1:21" ht="16.5" customHeight="1">
      <c r="A2876" s="159" t="s">
        <v>2744</v>
      </c>
      <c r="B2876" s="114" t="str">
        <f>VLOOKUP(A2876,'Data pick slip'!B:F,5,FALSE)</f>
        <v>KHJ-MC100-00</v>
      </c>
      <c r="F2876" s="157" t="s">
        <v>1381</v>
      </c>
      <c r="H2876" s="138">
        <v>1288</v>
      </c>
      <c r="I2876" s="139" t="str">
        <f>VLOOKUP(H2876,Stock_list!A:R,18,FALSE)</f>
        <v>懿美莱</v>
      </c>
      <c r="J2876" s="139" t="str">
        <f>VLOOKUP(H2876,Stock_list!A:S,17,FALSE)</f>
        <v>C49SZX20210092MZ</v>
      </c>
      <c r="K2876" s="51" t="str">
        <f>VLOOKUP(H2876,Stock_list!A:T,16,FALSE)</f>
        <v>JPY</v>
      </c>
      <c r="L2876" s="4">
        <v>44673</v>
      </c>
      <c r="M2876" s="140">
        <v>60</v>
      </c>
      <c r="P2876" s="4" t="str">
        <f>VLOOKUP(H2876,Stock_list!A:Y,25,FALSE)</f>
        <v>Yes</v>
      </c>
      <c r="Q2876" s="143"/>
      <c r="T2876" s="144"/>
      <c r="U2876" s="145" t="str">
        <f>VLOOKUP(H2876,Stock_list!A:N,14,FALSE)</f>
        <v>APR 22</v>
      </c>
    </row>
    <row r="2877" spans="1:21" ht="16.5" customHeight="1">
      <c r="A2877" s="159" t="s">
        <v>2747</v>
      </c>
      <c r="B2877" s="114" t="str">
        <f>VLOOKUP(A2877,'Data pick slip'!B:F,5,FALSE)</f>
        <v>KHJ-MC200-00</v>
      </c>
      <c r="F2877" s="157" t="s">
        <v>1381</v>
      </c>
      <c r="H2877" s="138">
        <v>1288</v>
      </c>
      <c r="I2877" s="139" t="str">
        <f>VLOOKUP(H2877,Stock_list!A:R,18,FALSE)</f>
        <v>懿美莱</v>
      </c>
      <c r="J2877" s="139" t="str">
        <f>VLOOKUP(H2877,Stock_list!A:S,17,FALSE)</f>
        <v>C49SZX20210092MZ</v>
      </c>
      <c r="K2877" s="51" t="str">
        <f>VLOOKUP(H2877,Stock_list!A:T,16,FALSE)</f>
        <v>JPY</v>
      </c>
      <c r="L2877" s="4">
        <v>44673</v>
      </c>
      <c r="M2877" s="140">
        <v>20</v>
      </c>
      <c r="P2877" s="4" t="str">
        <f>VLOOKUP(H2877,Stock_list!A:Y,25,FALSE)</f>
        <v>Yes</v>
      </c>
      <c r="Q2877" s="143"/>
      <c r="T2877" s="144"/>
      <c r="U2877" s="145" t="str">
        <f>VLOOKUP(H2877,Stock_list!A:N,14,FALSE)</f>
        <v>APR 22</v>
      </c>
    </row>
    <row r="2878" spans="1:21" ht="16.5" customHeight="1">
      <c r="A2878" s="159" t="s">
        <v>2747</v>
      </c>
      <c r="B2878" s="114" t="str">
        <f>VLOOKUP(A2878,'Data pick slip'!B:F,5,FALSE)</f>
        <v>KHJ-MC200-00</v>
      </c>
      <c r="F2878" s="157" t="s">
        <v>1381</v>
      </c>
      <c r="H2878" s="138">
        <v>1288</v>
      </c>
      <c r="I2878" s="139" t="str">
        <f>VLOOKUP(H2878,Stock_list!A:R,18,FALSE)</f>
        <v>懿美莱</v>
      </c>
      <c r="J2878" s="139" t="str">
        <f>VLOOKUP(H2878,Stock_list!A:S,17,FALSE)</f>
        <v>C49SZX20210092MZ</v>
      </c>
      <c r="K2878" s="51" t="str">
        <f>VLOOKUP(H2878,Stock_list!A:T,16,FALSE)</f>
        <v>JPY</v>
      </c>
      <c r="L2878" s="290">
        <v>44676</v>
      </c>
      <c r="M2878" s="140">
        <v>5</v>
      </c>
      <c r="P2878" s="4" t="str">
        <f>VLOOKUP(H2878,Stock_list!A:Y,25,FALSE)</f>
        <v>Yes</v>
      </c>
      <c r="Q2878" s="143"/>
      <c r="T2878" s="144"/>
      <c r="U2878" s="145" t="str">
        <f>VLOOKUP(H2878,Stock_list!A:N,14,FALSE)</f>
        <v>APR 22</v>
      </c>
    </row>
    <row r="2879" spans="1:21" ht="16.5" customHeight="1">
      <c r="A2879" s="159" t="s">
        <v>2748</v>
      </c>
      <c r="B2879" s="114" t="str">
        <f>VLOOKUP(A2879,'Data pick slip'!B:F,5,FALSE)</f>
        <v>KHJ-MC400-00</v>
      </c>
      <c r="F2879" s="157" t="s">
        <v>1381</v>
      </c>
      <c r="H2879" s="138">
        <v>1288</v>
      </c>
      <c r="I2879" s="139" t="str">
        <f>VLOOKUP(H2879,Stock_list!A:R,18,FALSE)</f>
        <v>懿美莱</v>
      </c>
      <c r="J2879" s="139" t="str">
        <f>VLOOKUP(H2879,Stock_list!A:S,17,FALSE)</f>
        <v>C49SZX20210092MZ</v>
      </c>
      <c r="K2879" s="51" t="str">
        <f>VLOOKUP(H2879,Stock_list!A:T,16,FALSE)</f>
        <v>JPY</v>
      </c>
      <c r="L2879" s="4">
        <v>44673</v>
      </c>
      <c r="M2879" s="140">
        <v>15</v>
      </c>
      <c r="P2879" s="4" t="str">
        <f>VLOOKUP(H2879,Stock_list!A:Y,25,FALSE)</f>
        <v>Yes</v>
      </c>
      <c r="Q2879" s="143"/>
      <c r="T2879" s="144"/>
      <c r="U2879" s="145" t="str">
        <f>VLOOKUP(H2879,Stock_list!A:N,14,FALSE)</f>
        <v>APR 22</v>
      </c>
    </row>
    <row r="2880" spans="1:21" ht="16.5" customHeight="1">
      <c r="A2880" s="159" t="s">
        <v>2749</v>
      </c>
      <c r="B2880" s="114" t="str">
        <f>VLOOKUP(A2880,'Data pick slip'!B:F,5,FALSE)</f>
        <v>KHJ-MC500-00</v>
      </c>
      <c r="F2880" s="157" t="s">
        <v>1381</v>
      </c>
      <c r="H2880" s="138">
        <v>1288</v>
      </c>
      <c r="I2880" s="139" t="str">
        <f>VLOOKUP(H2880,Stock_list!A:R,18,FALSE)</f>
        <v>懿美莱</v>
      </c>
      <c r="J2880" s="139" t="str">
        <f>VLOOKUP(H2880,Stock_list!A:S,17,FALSE)</f>
        <v>C49SZX20210092MZ</v>
      </c>
      <c r="K2880" s="51" t="str">
        <f>VLOOKUP(H2880,Stock_list!A:T,16,FALSE)</f>
        <v>JPY</v>
      </c>
      <c r="L2880" s="4">
        <v>44673</v>
      </c>
      <c r="M2880" s="140">
        <v>4</v>
      </c>
      <c r="P2880" s="4" t="str">
        <f>VLOOKUP(H2880,Stock_list!A:Y,25,FALSE)</f>
        <v>Yes</v>
      </c>
      <c r="Q2880" s="143"/>
      <c r="T2880" s="144"/>
      <c r="U2880" s="145" t="str">
        <f>VLOOKUP(H2880,Stock_list!A:N,14,FALSE)</f>
        <v>APR 22</v>
      </c>
    </row>
    <row r="2881" spans="1:21" ht="16.5" customHeight="1">
      <c r="A2881" s="159" t="s">
        <v>2750</v>
      </c>
      <c r="B2881" s="114" t="str">
        <f>VLOOKUP(A2881,'Data pick slip'!B:F,5,FALSE)</f>
        <v>KHJ-MC600-00</v>
      </c>
      <c r="F2881" s="157" t="s">
        <v>1381</v>
      </c>
      <c r="H2881" s="138">
        <v>1288</v>
      </c>
      <c r="I2881" s="139" t="str">
        <f>VLOOKUP(H2881,Stock_list!A:R,18,FALSE)</f>
        <v>懿美莱</v>
      </c>
      <c r="J2881" s="139" t="str">
        <f>VLOOKUP(H2881,Stock_list!A:S,17,FALSE)</f>
        <v>C49SZX20210092MZ</v>
      </c>
      <c r="K2881" s="51" t="str">
        <f>VLOOKUP(H2881,Stock_list!A:T,16,FALSE)</f>
        <v>JPY</v>
      </c>
      <c r="L2881" s="4">
        <v>44673</v>
      </c>
      <c r="M2881" s="140">
        <v>2</v>
      </c>
      <c r="P2881" s="4" t="str">
        <f>VLOOKUP(H2881,Stock_list!A:Y,25,FALSE)</f>
        <v>Yes</v>
      </c>
      <c r="Q2881" s="143"/>
      <c r="T2881" s="144"/>
      <c r="U2881" s="145" t="str">
        <f>VLOOKUP(H2881,Stock_list!A:N,14,FALSE)</f>
        <v>APR 22</v>
      </c>
    </row>
    <row r="2882" spans="1:21" ht="16.5" customHeight="1">
      <c r="A2882" s="159" t="s">
        <v>2744</v>
      </c>
      <c r="B2882" s="114" t="str">
        <f>VLOOKUP(A2882,'Data pick slip'!B:F,5,FALSE)</f>
        <v>KHJ-MC100-00</v>
      </c>
      <c r="F2882" s="157" t="s">
        <v>1381</v>
      </c>
      <c r="H2882" s="138">
        <v>1292</v>
      </c>
      <c r="I2882" s="139" t="str">
        <f>VLOOKUP(H2882,Stock_list!A:R,18,FALSE)</f>
        <v>乘扬</v>
      </c>
      <c r="J2882" s="139" t="str">
        <f>VLOOKUP(H2882,Stock_list!A:S,17,FALSE)</f>
        <v>C49SZX20210091SS</v>
      </c>
      <c r="K2882" s="51" t="str">
        <f>VLOOKUP(H2882,Stock_list!A:T,16,FALSE)</f>
        <v>JPY</v>
      </c>
      <c r="L2882" s="4">
        <v>44650</v>
      </c>
      <c r="M2882" s="132">
        <v>30</v>
      </c>
      <c r="P2882" s="4" t="str">
        <f>VLOOKUP(H2882,Stock_list!A:Y,25,FALSE)</f>
        <v>Yes</v>
      </c>
      <c r="Q2882" s="143"/>
      <c r="T2882" s="144"/>
      <c r="U2882" s="145" t="str">
        <f>VLOOKUP(H2882,Stock_list!A:N,14,FALSE)</f>
        <v>APR 22</v>
      </c>
    </row>
    <row r="2883" spans="1:21" ht="16.5" customHeight="1">
      <c r="A2883" s="159" t="s">
        <v>2744</v>
      </c>
      <c r="B2883" s="114" t="str">
        <f>VLOOKUP(A2883,'Data pick slip'!B:F,5,FALSE)</f>
        <v>KHJ-MC100-00</v>
      </c>
      <c r="F2883" s="157" t="s">
        <v>1381</v>
      </c>
      <c r="H2883" s="138">
        <v>1292</v>
      </c>
      <c r="I2883" s="139" t="str">
        <f>VLOOKUP(H2883,Stock_list!A:R,18,FALSE)</f>
        <v>乘扬</v>
      </c>
      <c r="J2883" s="139" t="str">
        <f>VLOOKUP(H2883,Stock_list!A:S,17,FALSE)</f>
        <v>C49SZX20210091SS</v>
      </c>
      <c r="K2883" s="51" t="str">
        <f>VLOOKUP(H2883,Stock_list!A:T,16,FALSE)</f>
        <v>JPY</v>
      </c>
      <c r="L2883" s="4">
        <v>44571</v>
      </c>
      <c r="M2883" s="132">
        <v>20</v>
      </c>
      <c r="P2883" s="4" t="str">
        <f>VLOOKUP(H2883,Stock_list!A:Y,25,FALSE)</f>
        <v>Yes</v>
      </c>
      <c r="Q2883" s="143"/>
      <c r="T2883" s="144"/>
      <c r="U2883" s="145" t="str">
        <f>VLOOKUP(H2883,Stock_list!A:N,14,FALSE)</f>
        <v>APR 22</v>
      </c>
    </row>
    <row r="2884" spans="1:21" ht="16.5" customHeight="1">
      <c r="A2884" s="159" t="s">
        <v>2747</v>
      </c>
      <c r="B2884" s="114" t="str">
        <f>VLOOKUP(A2884,'Data pick slip'!B:F,5,FALSE)</f>
        <v>KHJ-MC200-00</v>
      </c>
      <c r="F2884" s="157" t="s">
        <v>1381</v>
      </c>
      <c r="H2884" s="138">
        <v>1292</v>
      </c>
      <c r="I2884" s="139" t="str">
        <f>VLOOKUP(H2884,Stock_list!A:R,18,FALSE)</f>
        <v>乘扬</v>
      </c>
      <c r="J2884" s="139" t="str">
        <f>VLOOKUP(H2884,Stock_list!A:S,17,FALSE)</f>
        <v>C49SZX20210091SS</v>
      </c>
      <c r="K2884" s="51" t="str">
        <f>VLOOKUP(H2884,Stock_list!A:T,16,FALSE)</f>
        <v>JPY</v>
      </c>
      <c r="L2884" s="4">
        <v>44571</v>
      </c>
      <c r="M2884" s="132">
        <v>10</v>
      </c>
      <c r="P2884" s="4" t="str">
        <f>VLOOKUP(H2884,Stock_list!A:Y,25,FALSE)</f>
        <v>Yes</v>
      </c>
      <c r="Q2884" s="143"/>
      <c r="T2884" s="144"/>
      <c r="U2884" s="145" t="str">
        <f>VLOOKUP(H2884,Stock_list!A:N,14,FALSE)</f>
        <v>APR 22</v>
      </c>
    </row>
    <row r="2885" spans="1:21" ht="16.5" customHeight="1">
      <c r="A2885" s="159" t="s">
        <v>2744</v>
      </c>
      <c r="B2885" s="114" t="str">
        <f>VLOOKUP(A2885,'Data pick slip'!B:F,5,FALSE)</f>
        <v>KHJ-MC100-00</v>
      </c>
      <c r="F2885" s="157" t="s">
        <v>1381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2747</v>
      </c>
      <c r="B2886" s="114" t="str">
        <f>VLOOKUP(A2886,'Data pick slip'!B:F,5,FALSE)</f>
        <v>KHJ-MC200-00</v>
      </c>
      <c r="F2886" s="157" t="s">
        <v>1381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2744</v>
      </c>
      <c r="B2887" s="114" t="str">
        <f>VLOOKUP(A2887,'Data pick slip'!B:F,5,FALSE)</f>
        <v>KHJ-MC100-00</v>
      </c>
      <c r="F2887" s="157" t="s">
        <v>2762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2747</v>
      </c>
      <c r="B2888" s="114" t="str">
        <f>VLOOKUP(A2888,'Data pick slip'!B:F,5,FALSE)</f>
        <v>KHJ-MC200-00</v>
      </c>
      <c r="F2888" s="157" t="s">
        <v>2762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2744</v>
      </c>
      <c r="B2889" s="114" t="str">
        <f>VLOOKUP(A2889,'Data pick slip'!B:F,5,FALSE)</f>
        <v>KHJ-MC100-00</v>
      </c>
      <c r="F2889" s="157" t="s">
        <v>1381</v>
      </c>
      <c r="H2889" s="138">
        <v>1296</v>
      </c>
      <c r="I2889" s="139" t="str">
        <f>VLOOKUP(H2889,Stock_list!A:R,18,FALSE)</f>
        <v>君泽</v>
      </c>
      <c r="J2889" s="139" t="str">
        <f>VLOOKUP(H2889,Stock_list!A:S,17,FALSE)</f>
        <v>C49SZX20210107SX</v>
      </c>
      <c r="K2889" s="51" t="str">
        <f>VLOOKUP(H2889,Stock_list!A:T,16,FALSE)</f>
        <v>JPY</v>
      </c>
      <c r="L2889" s="4">
        <v>44347</v>
      </c>
      <c r="M2889" s="132">
        <v>50</v>
      </c>
      <c r="P2889" s="4" t="str">
        <f>VLOOKUP(H2889,Stock_list!A:Y,25,FALSE)</f>
        <v>Yes</v>
      </c>
      <c r="Q2889" s="143"/>
      <c r="T2889" s="144"/>
      <c r="U2889" s="145" t="str">
        <f>VLOOKUP(H2889,Stock_list!A:N,14,FALSE)</f>
        <v>MAY 21</v>
      </c>
    </row>
    <row r="2890" spans="1:21" ht="16.5" customHeight="1">
      <c r="A2890" s="159" t="s">
        <v>2747</v>
      </c>
      <c r="B2890" s="114" t="str">
        <f>VLOOKUP(A2890,'Data pick slip'!B:F,5,FALSE)</f>
        <v>KHJ-MC200-00</v>
      </c>
      <c r="F2890" s="157" t="s">
        <v>1381</v>
      </c>
      <c r="H2890" s="138">
        <v>1296</v>
      </c>
      <c r="I2890" s="139" t="str">
        <f>VLOOKUP(H2890,Stock_list!A:R,18,FALSE)</f>
        <v>君泽</v>
      </c>
      <c r="J2890" s="139" t="str">
        <f>VLOOKUP(H2890,Stock_list!A:S,17,FALSE)</f>
        <v>C49SZX20210107SX</v>
      </c>
      <c r="K2890" s="51" t="str">
        <f>VLOOKUP(H2890,Stock_list!A:T,16,FALSE)</f>
        <v>JPY</v>
      </c>
      <c r="L2890" s="4">
        <v>44347</v>
      </c>
      <c r="M2890" s="132">
        <v>13</v>
      </c>
      <c r="P2890" s="4" t="str">
        <f>VLOOKUP(H2890,Stock_list!A:Y,25,FALSE)</f>
        <v>Yes</v>
      </c>
      <c r="Q2890" s="143"/>
      <c r="T2890" s="144"/>
      <c r="U2890" s="145" t="str">
        <f>VLOOKUP(H2890,Stock_list!A:N,14,FALSE)</f>
        <v>MAY 21</v>
      </c>
    </row>
    <row r="2891" spans="1:21" ht="16.5" customHeight="1">
      <c r="A2891" s="159" t="s">
        <v>2748</v>
      </c>
      <c r="B2891" s="114" t="str">
        <f>VLOOKUP(A2891,'Data pick slip'!B:F,5,FALSE)</f>
        <v>KHJ-MC400-00</v>
      </c>
      <c r="F2891" s="157" t="s">
        <v>1381</v>
      </c>
      <c r="H2891" s="138">
        <v>1296</v>
      </c>
      <c r="I2891" s="139" t="str">
        <f>VLOOKUP(H2891,Stock_list!A:R,18,FALSE)</f>
        <v>君泽</v>
      </c>
      <c r="J2891" s="139" t="str">
        <f>VLOOKUP(H2891,Stock_list!A:S,17,FALSE)</f>
        <v>C49SZX20210107SX</v>
      </c>
      <c r="K2891" s="51" t="str">
        <f>VLOOKUP(H2891,Stock_list!A:T,16,FALSE)</f>
        <v>JPY</v>
      </c>
      <c r="L2891" s="4">
        <v>44347</v>
      </c>
      <c r="M2891" s="132">
        <v>3</v>
      </c>
      <c r="P2891" s="4" t="str">
        <f>VLOOKUP(H2891,Stock_list!A:Y,25,FALSE)</f>
        <v>Yes</v>
      </c>
      <c r="Q2891" s="143"/>
      <c r="T2891" s="144"/>
      <c r="U2891" s="145" t="str">
        <f>VLOOKUP(H2891,Stock_list!A:N,14,FALSE)</f>
        <v>MAY 21</v>
      </c>
    </row>
    <row r="2892" spans="1:21" ht="16.5" customHeight="1">
      <c r="A2892" s="159" t="s">
        <v>2744</v>
      </c>
      <c r="B2892" s="114" t="str">
        <f>VLOOKUP(A2892,'Data pick slip'!B:F,5,FALSE)</f>
        <v>KHJ-MC100-00</v>
      </c>
      <c r="F2892" s="157" t="s">
        <v>2753</v>
      </c>
      <c r="H2892" s="138">
        <v>1299</v>
      </c>
      <c r="I2892" s="139" t="str">
        <f>VLOOKUP(H2892,Stock_list!A:R,18,FALSE)</f>
        <v>辉拓</v>
      </c>
      <c r="J2892" s="139" t="str">
        <f>VLOOKUP(H2892,Stock_list!A:S,17,FALSE)</f>
        <v>C49SZX20210105JY</v>
      </c>
      <c r="K2892" s="51" t="str">
        <f>VLOOKUP(H2892,Stock_list!A:T,16,FALSE)</f>
        <v>RMB</v>
      </c>
      <c r="L2892" s="4">
        <v>44315</v>
      </c>
      <c r="M2892" s="132">
        <v>20</v>
      </c>
      <c r="P2892" s="4" t="str">
        <f>VLOOKUP(H2892,Stock_list!A:Y,25,FALSE)</f>
        <v>Yes</v>
      </c>
      <c r="Q2892" s="143"/>
      <c r="T2892" s="144"/>
      <c r="U2892" s="145" t="str">
        <f>VLOOKUP(H2892,Stock_list!A:N,14,FALSE)</f>
        <v>APR 21</v>
      </c>
    </row>
    <row r="2893" spans="1:21" ht="16.5" customHeight="1">
      <c r="A2893" s="159" t="s">
        <v>2744</v>
      </c>
      <c r="B2893" s="114" t="str">
        <f>VLOOKUP(A2893,'Data pick slip'!B:F,5,FALSE)</f>
        <v>KHJ-MC100-00</v>
      </c>
      <c r="F2893" s="157" t="s">
        <v>1381</v>
      </c>
      <c r="H2893" s="138">
        <v>1301</v>
      </c>
      <c r="I2893" s="139" t="str">
        <f>VLOOKUP(H2893,Stock_list!A:R,18,FALSE)</f>
        <v>辉拓</v>
      </c>
      <c r="J2893" s="139" t="str">
        <f>VLOOKUP(H2893,Stock_list!A:S,17,FALSE)</f>
        <v>C49SZX20210106JY</v>
      </c>
      <c r="K2893" s="51" t="str">
        <f>VLOOKUP(H2893,Stock_list!A:T,16,FALSE)</f>
        <v>JPY</v>
      </c>
      <c r="L2893" s="4">
        <v>44697</v>
      </c>
      <c r="M2893" s="132">
        <v>40</v>
      </c>
      <c r="P2893" s="4" t="str">
        <f>VLOOKUP(H2893,Stock_list!A:Y,25,FALSE)</f>
        <v>Yes</v>
      </c>
      <c r="Q2893" s="143"/>
      <c r="T2893" s="144"/>
      <c r="U2893" s="145" t="str">
        <f>VLOOKUP(H2893,Stock_list!A:N,14,FALSE)</f>
        <v>MAY 22</v>
      </c>
    </row>
    <row r="2894" spans="1:21" ht="16.5" customHeight="1">
      <c r="A2894" s="159" t="s">
        <v>2755</v>
      </c>
      <c r="B2894" s="114" t="str">
        <f>VLOOKUP(A2894,'Data pick slip'!B:F,5,FALSE)</f>
        <v>KLJ-MC100-00</v>
      </c>
      <c r="F2894" s="157" t="s">
        <v>1381</v>
      </c>
      <c r="H2894" s="138">
        <v>1303</v>
      </c>
      <c r="I2894" s="139" t="str">
        <f>VLOOKUP(H2894,Stock_list!A:R,18,FALSE)</f>
        <v>杉川</v>
      </c>
      <c r="J2894" s="139" t="str">
        <f>VLOOKUP(H2894,Stock_list!A:S,17,FALSE)</f>
        <v>C49SZX20210096JL</v>
      </c>
      <c r="K2894" s="51" t="str">
        <f>VLOOKUP(H2894,Stock_list!A:T,16,FALSE)</f>
        <v>JPY</v>
      </c>
      <c r="L2894" s="4">
        <v>44427</v>
      </c>
      <c r="M2894" s="132">
        <v>320</v>
      </c>
      <c r="P2894" s="4" t="str">
        <f>VLOOKUP(H2894,Stock_list!A:Y,25,FALSE)</f>
        <v>Yes</v>
      </c>
      <c r="Q2894" s="143"/>
      <c r="T2894" s="144"/>
      <c r="U2894" s="145" t="str">
        <f>VLOOKUP(H2894,Stock_list!A:N,14,FALSE)</f>
        <v>JUL 21</v>
      </c>
    </row>
    <row r="2895" spans="1:21" ht="16.5" customHeight="1">
      <c r="A2895" s="159" t="s">
        <v>2756</v>
      </c>
      <c r="B2895" s="114" t="str">
        <f>VLOOKUP(A2895,'Data pick slip'!B:F,5,FALSE)</f>
        <v>KLJ-MC200-00</v>
      </c>
      <c r="F2895" s="157" t="s">
        <v>1381</v>
      </c>
      <c r="H2895" s="138">
        <v>1303</v>
      </c>
      <c r="I2895" s="139" t="str">
        <f>VLOOKUP(H2895,Stock_list!A:R,18,FALSE)</f>
        <v>杉川</v>
      </c>
      <c r="J2895" s="139" t="str">
        <f>VLOOKUP(H2895,Stock_list!A:S,17,FALSE)</f>
        <v>C49SZX20210096JL</v>
      </c>
      <c r="K2895" s="51" t="str">
        <f>VLOOKUP(H2895,Stock_list!A:T,16,FALSE)</f>
        <v>JPY</v>
      </c>
      <c r="L2895" s="4">
        <v>44427</v>
      </c>
      <c r="M2895" s="132">
        <v>80</v>
      </c>
      <c r="P2895" s="4" t="str">
        <f>VLOOKUP(H2895,Stock_list!A:Y,25,FALSE)</f>
        <v>Yes</v>
      </c>
      <c r="Q2895" s="143"/>
      <c r="T2895" s="144"/>
      <c r="U2895" s="145" t="str">
        <f>VLOOKUP(H2895,Stock_list!A:N,14,FALSE)</f>
        <v>JUL 21</v>
      </c>
    </row>
    <row r="2896" spans="1:21" ht="16.5" customHeight="1">
      <c r="A2896" s="159" t="s">
        <v>2755</v>
      </c>
      <c r="B2896" s="114" t="str">
        <f>VLOOKUP(A2896,'Data pick slip'!B:F,5,FALSE)</f>
        <v>KLJ-MC100-00</v>
      </c>
      <c r="F2896" s="157" t="s">
        <v>1381</v>
      </c>
      <c r="H2896" s="138">
        <v>1303</v>
      </c>
      <c r="I2896" s="139" t="str">
        <f>VLOOKUP(H2896,Stock_list!A:R,18,FALSE)</f>
        <v>杉川</v>
      </c>
      <c r="J2896" s="139" t="str">
        <f>VLOOKUP(H2896,Stock_list!A:S,17,FALSE)</f>
        <v>C49SZX20210096JL</v>
      </c>
      <c r="K2896" s="51" t="str">
        <f>VLOOKUP(H2896,Stock_list!A:T,16,FALSE)</f>
        <v>JPY</v>
      </c>
      <c r="L2896" s="4">
        <v>44399</v>
      </c>
      <c r="M2896" s="132">
        <v>390</v>
      </c>
      <c r="P2896" s="4" t="str">
        <f>VLOOKUP(H2896,Stock_list!A:Y,25,FALSE)</f>
        <v>Yes</v>
      </c>
      <c r="Q2896" s="143"/>
      <c r="T2896" s="144"/>
      <c r="U2896" s="145" t="str">
        <f>VLOOKUP(H2896,Stock_list!A:N,14,FALSE)</f>
        <v>JUL 21</v>
      </c>
    </row>
    <row r="2897" spans="1:21" ht="16.5" customHeight="1">
      <c r="A2897" s="159" t="s">
        <v>2756</v>
      </c>
      <c r="B2897" s="114" t="str">
        <f>VLOOKUP(A2897,'Data pick slip'!B:F,5,FALSE)</f>
        <v>KLJ-MC200-00</v>
      </c>
      <c r="F2897" s="157" t="s">
        <v>1381</v>
      </c>
      <c r="H2897" s="138">
        <v>1303</v>
      </c>
      <c r="I2897" s="139" t="str">
        <f>VLOOKUP(H2897,Stock_list!A:R,18,FALSE)</f>
        <v>杉川</v>
      </c>
      <c r="J2897" s="139" t="str">
        <f>VLOOKUP(H2897,Stock_list!A:S,17,FALSE)</f>
        <v>C49SZX20210096JL</v>
      </c>
      <c r="K2897" s="51" t="str">
        <f>VLOOKUP(H2897,Stock_list!A:T,16,FALSE)</f>
        <v>JPY</v>
      </c>
      <c r="L2897" s="4">
        <v>44399</v>
      </c>
      <c r="M2897" s="132">
        <v>80</v>
      </c>
      <c r="P2897" s="4" t="str">
        <f>VLOOKUP(H2897,Stock_list!A:Y,25,FALSE)</f>
        <v>Yes</v>
      </c>
      <c r="Q2897" s="143"/>
      <c r="T2897" s="144"/>
      <c r="U2897" s="145" t="str">
        <f>VLOOKUP(H2897,Stock_list!A:N,14,FALSE)</f>
        <v>JUL 21</v>
      </c>
    </row>
    <row r="2898" spans="1:21" ht="16.5" customHeight="1">
      <c r="A2898" s="159" t="s">
        <v>2755</v>
      </c>
      <c r="B2898" s="114" t="str">
        <f>VLOOKUP(A2898,'Data pick slip'!B:F,5,FALSE)</f>
        <v>KLJ-MC100-00</v>
      </c>
      <c r="F2898" s="157" t="s">
        <v>1381</v>
      </c>
      <c r="H2898" s="138">
        <v>1303</v>
      </c>
      <c r="I2898" s="139" t="str">
        <f>VLOOKUP(H2898,Stock_list!A:R,18,FALSE)</f>
        <v>杉川</v>
      </c>
      <c r="J2898" s="139" t="str">
        <f>VLOOKUP(H2898,Stock_list!A:S,17,FALSE)</f>
        <v>C49SZX20210096JL</v>
      </c>
      <c r="K2898" s="51" t="str">
        <f>VLOOKUP(H2898,Stock_list!A:T,16,FALSE)</f>
        <v>JPY</v>
      </c>
      <c r="L2898" s="4">
        <v>44368</v>
      </c>
      <c r="M2898" s="132">
        <v>60</v>
      </c>
      <c r="P2898" s="4" t="str">
        <f>VLOOKUP(H2898,Stock_list!A:Y,25,FALSE)</f>
        <v>Yes</v>
      </c>
      <c r="Q2898" s="143"/>
      <c r="T2898" s="144"/>
      <c r="U2898" s="145" t="str">
        <f>VLOOKUP(H2898,Stock_list!A:N,14,FALSE)</f>
        <v>JUL 21</v>
      </c>
    </row>
    <row r="2899" spans="1:21" ht="16.5" customHeight="1">
      <c r="A2899" s="159" t="s">
        <v>2756</v>
      </c>
      <c r="B2899" s="114" t="str">
        <f>VLOOKUP(A2899,'Data pick slip'!B:F,5,FALSE)</f>
        <v>KLJ-MC200-00</v>
      </c>
      <c r="F2899" s="157" t="s">
        <v>1381</v>
      </c>
      <c r="H2899" s="138">
        <v>1303</v>
      </c>
      <c r="I2899" s="139" t="str">
        <f>VLOOKUP(H2899,Stock_list!A:R,18,FALSE)</f>
        <v>杉川</v>
      </c>
      <c r="J2899" s="139" t="str">
        <f>VLOOKUP(H2899,Stock_list!A:S,17,FALSE)</f>
        <v>C49SZX20210096JL</v>
      </c>
      <c r="K2899" s="51" t="str">
        <f>VLOOKUP(H2899,Stock_list!A:T,16,FALSE)</f>
        <v>JPY</v>
      </c>
      <c r="L2899" s="4">
        <v>44368</v>
      </c>
      <c r="M2899" s="132">
        <v>20</v>
      </c>
      <c r="P2899" s="4" t="str">
        <f>VLOOKUP(H2899,Stock_list!A:Y,25,FALSE)</f>
        <v>Yes</v>
      </c>
      <c r="Q2899" s="143"/>
      <c r="T2899" s="144"/>
      <c r="U2899" s="145" t="str">
        <f>VLOOKUP(H2899,Stock_list!A:N,14,FALSE)</f>
        <v>JUL 21</v>
      </c>
    </row>
    <row r="2900" spans="1:21" ht="16.5" customHeight="1">
      <c r="A2900" s="159" t="s">
        <v>2757</v>
      </c>
      <c r="B2900" s="114" t="str">
        <f>VLOOKUP(A2900,'Data pick slip'!B:F,5,FALSE)</f>
        <v>KLJ-MC400-00</v>
      </c>
      <c r="F2900" s="157" t="s">
        <v>1381</v>
      </c>
      <c r="H2900" s="138">
        <v>1303</v>
      </c>
      <c r="I2900" s="139" t="str">
        <f>VLOOKUP(H2900,Stock_list!A:R,18,FALSE)</f>
        <v>杉川</v>
      </c>
      <c r="J2900" s="139" t="str">
        <f>VLOOKUP(H2900,Stock_list!A:S,17,FALSE)</f>
        <v>C49SZX20210096JL</v>
      </c>
      <c r="K2900" s="51" t="str">
        <f>VLOOKUP(H2900,Stock_list!A:T,16,FALSE)</f>
        <v>JPY</v>
      </c>
      <c r="L2900" s="4">
        <v>44368</v>
      </c>
      <c r="M2900" s="132">
        <v>16</v>
      </c>
      <c r="P2900" s="4" t="str">
        <f>VLOOKUP(H2900,Stock_list!A:Y,25,FALSE)</f>
        <v>Yes</v>
      </c>
      <c r="Q2900" s="143"/>
      <c r="T2900" s="144"/>
      <c r="U2900" s="145" t="str">
        <f>VLOOKUP(H2900,Stock_list!A:N,14,FALSE)</f>
        <v>JUL 21</v>
      </c>
    </row>
    <row r="2901" spans="1:21" ht="16.5" customHeight="1">
      <c r="A2901" s="159" t="s">
        <v>2758</v>
      </c>
      <c r="B2901" s="114" t="str">
        <f>VLOOKUP(A2901,'Data pick slip'!B:F,5,FALSE)</f>
        <v>KLJ-MC500-00</v>
      </c>
      <c r="F2901" s="157" t="s">
        <v>1381</v>
      </c>
      <c r="H2901" s="138">
        <v>1303</v>
      </c>
      <c r="I2901" s="139" t="str">
        <f>VLOOKUP(H2901,Stock_list!A:R,18,FALSE)</f>
        <v>杉川</v>
      </c>
      <c r="J2901" s="139" t="str">
        <f>VLOOKUP(H2901,Stock_list!A:S,17,FALSE)</f>
        <v>C49SZX20210096JL</v>
      </c>
      <c r="K2901" s="51" t="str">
        <f>VLOOKUP(H2901,Stock_list!A:T,16,FALSE)</f>
        <v>JPY</v>
      </c>
      <c r="L2901" s="4">
        <v>44368</v>
      </c>
      <c r="M2901" s="132">
        <v>4</v>
      </c>
      <c r="P2901" s="4" t="str">
        <f>VLOOKUP(H2901,Stock_list!A:Y,25,FALSE)</f>
        <v>Yes</v>
      </c>
      <c r="Q2901" s="143"/>
      <c r="T2901" s="144"/>
      <c r="U2901" s="145" t="str">
        <f>VLOOKUP(H2901,Stock_list!A:N,14,FALSE)</f>
        <v>JUL 21</v>
      </c>
    </row>
    <row r="2902" spans="1:21" ht="16.5" customHeight="1">
      <c r="A2902" s="159" t="s">
        <v>2759</v>
      </c>
      <c r="B2902" s="114" t="str">
        <f>VLOOKUP(A2902,'Data pick slip'!B:F,5,FALSE)</f>
        <v>KLJ-MC600-00</v>
      </c>
      <c r="F2902" s="157" t="s">
        <v>1381</v>
      </c>
      <c r="H2902" s="138">
        <v>1303</v>
      </c>
      <c r="I2902" s="139" t="str">
        <f>VLOOKUP(H2902,Stock_list!A:R,18,FALSE)</f>
        <v>杉川</v>
      </c>
      <c r="J2902" s="139" t="str">
        <f>VLOOKUP(H2902,Stock_list!A:S,17,FALSE)</f>
        <v>C49SZX20210096JL</v>
      </c>
      <c r="K2902" s="51" t="str">
        <f>VLOOKUP(H2902,Stock_list!A:T,16,FALSE)</f>
        <v>JPY</v>
      </c>
      <c r="L2902" s="4">
        <v>44368</v>
      </c>
      <c r="M2902" s="132">
        <v>4</v>
      </c>
      <c r="P2902" s="4" t="str">
        <f>VLOOKUP(H2902,Stock_list!A:Y,25,FALSE)</f>
        <v>Yes</v>
      </c>
      <c r="Q2902" s="143"/>
      <c r="T2902" s="144"/>
      <c r="U2902" s="145" t="str">
        <f>VLOOKUP(H2902,Stock_list!A:N,14,FALSE)</f>
        <v>JUL 21</v>
      </c>
    </row>
    <row r="2903" spans="1:21" ht="16.5" customHeight="1">
      <c r="A2903" s="159" t="s">
        <v>2755</v>
      </c>
      <c r="B2903" s="114" t="str">
        <f>VLOOKUP(A2903,'Data pick slip'!B:F,5,FALSE)</f>
        <v>KLJ-MC100-00</v>
      </c>
      <c r="F2903" s="157" t="s">
        <v>2753</v>
      </c>
      <c r="H2903" s="138">
        <v>1303</v>
      </c>
      <c r="I2903" s="139" t="str">
        <f>VLOOKUP(H2903,Stock_list!A:R,18,FALSE)</f>
        <v>杉川</v>
      </c>
      <c r="J2903" s="139" t="str">
        <f>VLOOKUP(H2903,Stock_list!A:S,17,FALSE)</f>
        <v>C49SZX20210096JL</v>
      </c>
      <c r="K2903" s="51" t="str">
        <f>VLOOKUP(H2903,Stock_list!A:T,16,FALSE)</f>
        <v>JPY</v>
      </c>
      <c r="L2903" s="4">
        <v>44368</v>
      </c>
      <c r="M2903" s="132"/>
      <c r="O2903" s="132">
        <f>60-60</f>
        <v>0</v>
      </c>
      <c r="P2903" s="4" t="str">
        <f>VLOOKUP(H2903,Stock_list!A:Y,25,FALSE)</f>
        <v>Yes</v>
      </c>
      <c r="Q2903" s="143"/>
      <c r="T2903" s="144"/>
      <c r="U2903" s="145" t="str">
        <f>VLOOKUP(H2903,Stock_list!A:N,14,FALSE)</f>
        <v>JUL 21</v>
      </c>
    </row>
    <row r="2904" spans="1:21" ht="16.5" customHeight="1">
      <c r="A2904" s="159" t="s">
        <v>2756</v>
      </c>
      <c r="B2904" s="114" t="str">
        <f>VLOOKUP(A2904,'Data pick slip'!B:F,5,FALSE)</f>
        <v>KLJ-MC200-00</v>
      </c>
      <c r="F2904" s="157" t="s">
        <v>2753</v>
      </c>
      <c r="H2904" s="138">
        <v>1303</v>
      </c>
      <c r="I2904" s="139" t="str">
        <f>VLOOKUP(H2904,Stock_list!A:R,18,FALSE)</f>
        <v>杉川</v>
      </c>
      <c r="J2904" s="139" t="str">
        <f>VLOOKUP(H2904,Stock_list!A:S,17,FALSE)</f>
        <v>C49SZX20210096JL</v>
      </c>
      <c r="K2904" s="51" t="str">
        <f>VLOOKUP(H2904,Stock_list!A:T,16,FALSE)</f>
        <v>JPY</v>
      </c>
      <c r="L2904" s="4">
        <v>44368</v>
      </c>
      <c r="M2904" s="132"/>
      <c r="O2904" s="132">
        <f>20-20</f>
        <v>0</v>
      </c>
      <c r="P2904" s="4" t="str">
        <f>VLOOKUP(H2904,Stock_list!A:Y,25,FALSE)</f>
        <v>Yes</v>
      </c>
      <c r="Q2904" s="143"/>
      <c r="T2904" s="144"/>
      <c r="U2904" s="145" t="str">
        <f>VLOOKUP(H2904,Stock_list!A:N,14,FALSE)</f>
        <v>JUL 21</v>
      </c>
    </row>
    <row r="2905" spans="1:21" ht="16.5" customHeight="1">
      <c r="A2905" s="159" t="s">
        <v>2757</v>
      </c>
      <c r="B2905" s="114" t="str">
        <f>VLOOKUP(A2905,'Data pick slip'!B:F,5,FALSE)</f>
        <v>KLJ-MC400-00</v>
      </c>
      <c r="F2905" s="157" t="s">
        <v>2753</v>
      </c>
      <c r="H2905" s="138">
        <v>1303</v>
      </c>
      <c r="I2905" s="139" t="str">
        <f>VLOOKUP(H2905,Stock_list!A:R,18,FALSE)</f>
        <v>杉川</v>
      </c>
      <c r="J2905" s="139" t="str">
        <f>VLOOKUP(H2905,Stock_list!A:S,17,FALSE)</f>
        <v>C49SZX20210096JL</v>
      </c>
      <c r="K2905" s="51" t="str">
        <f>VLOOKUP(H2905,Stock_list!A:T,16,FALSE)</f>
        <v>JPY</v>
      </c>
      <c r="L2905" s="4">
        <v>44368</v>
      </c>
      <c r="M2905" s="132"/>
      <c r="O2905" s="132">
        <f>16-16</f>
        <v>0</v>
      </c>
      <c r="P2905" s="4" t="str">
        <f>VLOOKUP(H2905,Stock_list!A:Y,25,FALSE)</f>
        <v>Yes</v>
      </c>
      <c r="Q2905" s="143"/>
      <c r="T2905" s="144"/>
      <c r="U2905" s="145" t="str">
        <f>VLOOKUP(H2905,Stock_list!A:N,14,FALSE)</f>
        <v>JUL 21</v>
      </c>
    </row>
    <row r="2906" spans="1:21" ht="16.5" customHeight="1">
      <c r="A2906" s="159" t="s">
        <v>2758</v>
      </c>
      <c r="B2906" s="114" t="str">
        <f>VLOOKUP(A2906,'Data pick slip'!B:F,5,FALSE)</f>
        <v>KLJ-MC500-00</v>
      </c>
      <c r="F2906" s="157" t="s">
        <v>2753</v>
      </c>
      <c r="H2906" s="138">
        <v>1303</v>
      </c>
      <c r="I2906" s="139" t="str">
        <f>VLOOKUP(H2906,Stock_list!A:R,18,FALSE)</f>
        <v>杉川</v>
      </c>
      <c r="J2906" s="139" t="str">
        <f>VLOOKUP(H2906,Stock_list!A:S,17,FALSE)</f>
        <v>C49SZX20210096JL</v>
      </c>
      <c r="K2906" s="51" t="str">
        <f>VLOOKUP(H2906,Stock_list!A:T,16,FALSE)</f>
        <v>JPY</v>
      </c>
      <c r="L2906" s="4">
        <v>44368</v>
      </c>
      <c r="M2906" s="132"/>
      <c r="O2906" s="132">
        <f>4-4</f>
        <v>0</v>
      </c>
      <c r="P2906" s="4" t="str">
        <f>VLOOKUP(H2906,Stock_list!A:Y,25,FALSE)</f>
        <v>Yes</v>
      </c>
      <c r="Q2906" s="143"/>
      <c r="T2906" s="144"/>
      <c r="U2906" s="145" t="str">
        <f>VLOOKUP(H2906,Stock_list!A:N,14,FALSE)</f>
        <v>JUL 21</v>
      </c>
    </row>
    <row r="2907" spans="1:21" ht="16.5" customHeight="1">
      <c r="A2907" s="159" t="s">
        <v>2759</v>
      </c>
      <c r="B2907" s="114" t="str">
        <f>VLOOKUP(A2907,'Data pick slip'!B:F,5,FALSE)</f>
        <v>KLJ-MC600-00</v>
      </c>
      <c r="F2907" s="157" t="s">
        <v>2753</v>
      </c>
      <c r="H2907" s="138">
        <v>1303</v>
      </c>
      <c r="I2907" s="139" t="str">
        <f>VLOOKUP(H2907,Stock_list!A:R,18,FALSE)</f>
        <v>杉川</v>
      </c>
      <c r="J2907" s="139" t="str">
        <f>VLOOKUP(H2907,Stock_list!A:S,17,FALSE)</f>
        <v>C49SZX20210096JL</v>
      </c>
      <c r="K2907" s="51" t="str">
        <f>VLOOKUP(H2907,Stock_list!A:T,16,FALSE)</f>
        <v>JPY</v>
      </c>
      <c r="L2907" s="4">
        <v>44368</v>
      </c>
      <c r="M2907" s="132"/>
      <c r="O2907" s="132">
        <f>4-4</f>
        <v>0</v>
      </c>
      <c r="P2907" s="4" t="str">
        <f>VLOOKUP(H2907,Stock_list!A:Y,25,FALSE)</f>
        <v>Yes</v>
      </c>
      <c r="Q2907" s="143"/>
      <c r="T2907" s="144"/>
      <c r="U2907" s="145" t="str">
        <f>VLOOKUP(H2907,Stock_list!A:N,14,FALSE)</f>
        <v>JUL 21</v>
      </c>
    </row>
    <row r="2908" spans="1:21" ht="16.5" customHeight="1">
      <c r="A2908" s="159" t="s">
        <v>2744</v>
      </c>
      <c r="B2908" s="114" t="str">
        <f>VLOOKUP(A2908,'Data pick slip'!B:F,5,FALSE)</f>
        <v>KHJ-MC100-00</v>
      </c>
      <c r="F2908" s="157" t="s">
        <v>1381</v>
      </c>
      <c r="H2908" s="138">
        <v>1320</v>
      </c>
      <c r="I2908" s="139" t="str">
        <f>VLOOKUP(H2908,Stock_list!A:R,18,FALSE)</f>
        <v>恒创兴</v>
      </c>
      <c r="J2908" s="139" t="str">
        <f>VLOOKUP(H2908,Stock_list!A:S,17,FALSE)</f>
        <v>C49SZX20210111DZ</v>
      </c>
      <c r="K2908" s="51" t="str">
        <f>VLOOKUP(H2908,Stock_list!A:T,16,FALSE)</f>
        <v>JPY</v>
      </c>
      <c r="L2908" s="4">
        <v>44644</v>
      </c>
      <c r="M2908" s="132">
        <f>60-30</f>
        <v>30</v>
      </c>
      <c r="P2908" s="4" t="str">
        <f>VLOOKUP(H2908,Stock_list!A:Y,25,FALSE)</f>
        <v>Yes</v>
      </c>
      <c r="Q2908" s="143"/>
      <c r="T2908" s="144"/>
      <c r="U2908" s="145" t="str">
        <f>VLOOKUP(H2908,Stock_list!A:N,14,FALSE)</f>
        <v>MAR 22</v>
      </c>
    </row>
    <row r="2909" spans="1:21" ht="16.5" customHeight="1">
      <c r="A2909" s="159" t="s">
        <v>2747</v>
      </c>
      <c r="B2909" s="114" t="str">
        <f>VLOOKUP(A2909,'Data pick slip'!B:F,5,FALSE)</f>
        <v>KHJ-MC200-00</v>
      </c>
      <c r="F2909" s="157" t="s">
        <v>1381</v>
      </c>
      <c r="H2909" s="138">
        <v>1320</v>
      </c>
      <c r="I2909" s="139" t="str">
        <f>VLOOKUP(H2909,Stock_list!A:R,18,FALSE)</f>
        <v>恒创兴</v>
      </c>
      <c r="J2909" s="139" t="str">
        <f>VLOOKUP(H2909,Stock_list!A:S,17,FALSE)</f>
        <v>C49SZX20210111DZ</v>
      </c>
      <c r="K2909" s="51" t="str">
        <f>VLOOKUP(H2909,Stock_list!A:T,16,FALSE)</f>
        <v>JPY</v>
      </c>
      <c r="L2909" s="4">
        <v>44644</v>
      </c>
      <c r="M2909" s="132">
        <f>15-7</f>
        <v>8</v>
      </c>
      <c r="P2909" s="4" t="str">
        <f>VLOOKUP(H2909,Stock_list!A:Y,25,FALSE)</f>
        <v>Yes</v>
      </c>
      <c r="Q2909" s="143"/>
      <c r="T2909" s="144"/>
      <c r="U2909" s="145" t="str">
        <f>VLOOKUP(H2909,Stock_list!A:N,14,FALSE)</f>
        <v>MAR 22</v>
      </c>
    </row>
    <row r="2910" spans="1:21" ht="16.5" customHeight="1">
      <c r="A2910" s="159" t="s">
        <v>2748</v>
      </c>
      <c r="B2910" s="114" t="str">
        <f>VLOOKUP(A2910,'Data pick slip'!B:F,5,FALSE)</f>
        <v>KHJ-MC400-00</v>
      </c>
      <c r="F2910" s="157" t="s">
        <v>1381</v>
      </c>
      <c r="H2910" s="138">
        <v>1320</v>
      </c>
      <c r="I2910" s="139" t="str">
        <f>VLOOKUP(H2910,Stock_list!A:R,18,FALSE)</f>
        <v>恒创兴</v>
      </c>
      <c r="J2910" s="139" t="str">
        <f>VLOOKUP(H2910,Stock_list!A:S,17,FALSE)</f>
        <v>C49SZX20210111DZ</v>
      </c>
      <c r="K2910" s="51" t="str">
        <f>VLOOKUP(H2910,Stock_list!A:T,16,FALSE)</f>
        <v>JPY</v>
      </c>
      <c r="L2910" s="4">
        <v>44644</v>
      </c>
      <c r="M2910" s="132">
        <f>5-2</f>
        <v>3</v>
      </c>
      <c r="P2910" s="4" t="str">
        <f>VLOOKUP(H2910,Stock_list!A:Y,25,FALSE)</f>
        <v>Yes</v>
      </c>
      <c r="Q2910" s="143"/>
      <c r="T2910" s="144"/>
      <c r="U2910" s="145" t="str">
        <f>VLOOKUP(H2910,Stock_list!A:N,14,FALSE)</f>
        <v>MAR 22</v>
      </c>
    </row>
    <row r="2911" spans="1:21" ht="16.5" customHeight="1">
      <c r="A2911" s="159" t="s">
        <v>2749</v>
      </c>
      <c r="B2911" s="114" t="str">
        <f>VLOOKUP(A2911,'Data pick slip'!B:F,5,FALSE)</f>
        <v>KHJ-MC500-00</v>
      </c>
      <c r="F2911" s="157" t="s">
        <v>1381</v>
      </c>
      <c r="H2911" s="138">
        <v>1320</v>
      </c>
      <c r="I2911" s="139" t="str">
        <f>VLOOKUP(H2911,Stock_list!A:R,18,FALSE)</f>
        <v>恒创兴</v>
      </c>
      <c r="J2911" s="139" t="str">
        <f>VLOOKUP(H2911,Stock_list!A:S,17,FALSE)</f>
        <v>C49SZX20210111DZ</v>
      </c>
      <c r="K2911" s="51" t="str">
        <f>VLOOKUP(H2911,Stock_list!A:T,16,FALSE)</f>
        <v>JPY</v>
      </c>
      <c r="L2911" s="4">
        <v>44644</v>
      </c>
      <c r="M2911" s="132">
        <v>1</v>
      </c>
      <c r="P2911" s="4" t="str">
        <f>VLOOKUP(H2911,Stock_list!A:Y,25,FALSE)</f>
        <v>Yes</v>
      </c>
      <c r="Q2911" s="143"/>
      <c r="T2911" s="144"/>
      <c r="U2911" s="145" t="str">
        <f>VLOOKUP(H2911,Stock_list!A:N,14,FALSE)</f>
        <v>MAR 22</v>
      </c>
    </row>
    <row r="2912" spans="1:21" ht="16.5" customHeight="1">
      <c r="A2912" s="159" t="s">
        <v>2744</v>
      </c>
      <c r="B2912" s="114" t="str">
        <f>VLOOKUP(A2912,'Data pick slip'!B:F,5,FALSE)</f>
        <v>KHJ-MC100-00</v>
      </c>
      <c r="F2912" s="157" t="s">
        <v>1381</v>
      </c>
      <c r="H2912" s="138">
        <v>1320</v>
      </c>
      <c r="I2912" s="139" t="str">
        <f>VLOOKUP(H2912,Stock_list!A:R,18,FALSE)</f>
        <v>恒创兴</v>
      </c>
      <c r="J2912" s="139" t="str">
        <f>VLOOKUP(H2912,Stock_list!A:S,17,FALSE)</f>
        <v>C49SZX20210111DZ</v>
      </c>
      <c r="K2912" s="51" t="str">
        <f>VLOOKUP(H2912,Stock_list!A:T,16,FALSE)</f>
        <v>JPY</v>
      </c>
      <c r="L2912" s="4">
        <v>44490</v>
      </c>
      <c r="M2912" s="132">
        <v>30</v>
      </c>
      <c r="P2912" s="4" t="str">
        <f>VLOOKUP(H2912,Stock_list!A:Y,25,FALSE)</f>
        <v>Yes</v>
      </c>
      <c r="Q2912" s="143"/>
      <c r="T2912" s="144"/>
      <c r="U2912" s="145" t="str">
        <f>VLOOKUP(H2912,Stock_list!A:N,14,FALSE)</f>
        <v>MAR 22</v>
      </c>
    </row>
    <row r="2913" spans="1:21" ht="16.5" customHeight="1">
      <c r="A2913" s="159" t="s">
        <v>2747</v>
      </c>
      <c r="B2913" s="114" t="str">
        <f>VLOOKUP(A2913,'Data pick slip'!B:F,5,FALSE)</f>
        <v>KHJ-MC200-00</v>
      </c>
      <c r="F2913" s="157" t="s">
        <v>1381</v>
      </c>
      <c r="H2913" s="138">
        <v>1320</v>
      </c>
      <c r="I2913" s="139" t="str">
        <f>VLOOKUP(H2913,Stock_list!A:R,18,FALSE)</f>
        <v>恒创兴</v>
      </c>
      <c r="J2913" s="139" t="str">
        <f>VLOOKUP(H2913,Stock_list!A:S,17,FALSE)</f>
        <v>C49SZX20210111DZ</v>
      </c>
      <c r="K2913" s="51" t="str">
        <f>VLOOKUP(H2913,Stock_list!A:T,16,FALSE)</f>
        <v>JPY</v>
      </c>
      <c r="L2913" s="4">
        <v>44490</v>
      </c>
      <c r="M2913" s="132">
        <v>7</v>
      </c>
      <c r="P2913" s="4" t="str">
        <f>VLOOKUP(H2913,Stock_list!A:Y,25,FALSE)</f>
        <v>Yes</v>
      </c>
      <c r="Q2913" s="143"/>
      <c r="T2913" s="144"/>
      <c r="U2913" s="145" t="str">
        <f>VLOOKUP(H2913,Stock_list!A:N,14,FALSE)</f>
        <v>MAR 22</v>
      </c>
    </row>
    <row r="2914" spans="1:21" ht="16.5" customHeight="1">
      <c r="A2914" s="159" t="s">
        <v>2748</v>
      </c>
      <c r="B2914" s="114" t="str">
        <f>VLOOKUP(A2914,'Data pick slip'!B:F,5,FALSE)</f>
        <v>KHJ-MC400-00</v>
      </c>
      <c r="F2914" s="157" t="s">
        <v>1381</v>
      </c>
      <c r="H2914" s="138">
        <v>1320</v>
      </c>
      <c r="I2914" s="139" t="str">
        <f>VLOOKUP(H2914,Stock_list!A:R,18,FALSE)</f>
        <v>恒创兴</v>
      </c>
      <c r="J2914" s="139" t="str">
        <f>VLOOKUP(H2914,Stock_list!A:S,17,FALSE)</f>
        <v>C49SZX20210111DZ</v>
      </c>
      <c r="K2914" s="51" t="str">
        <f>VLOOKUP(H2914,Stock_list!A:T,16,FALSE)</f>
        <v>JPY</v>
      </c>
      <c r="L2914" s="4">
        <v>44490</v>
      </c>
      <c r="M2914" s="132">
        <v>2</v>
      </c>
      <c r="P2914" s="4" t="str">
        <f>VLOOKUP(H2914,Stock_list!A:Y,25,FALSE)</f>
        <v>Yes</v>
      </c>
      <c r="Q2914" s="143"/>
      <c r="T2914" s="144"/>
      <c r="U2914" s="145" t="str">
        <f>VLOOKUP(H2914,Stock_list!A:N,14,FALSE)</f>
        <v>MAR 22</v>
      </c>
    </row>
    <row r="2915" spans="1:21" ht="16.5" customHeight="1">
      <c r="A2915" s="159" t="s">
        <v>2744</v>
      </c>
      <c r="B2915" s="114" t="str">
        <f>VLOOKUP(A2915,'Data pick slip'!B:F,5,FALSE)</f>
        <v>KHJ-MC100-00</v>
      </c>
      <c r="F2915" s="157" t="s">
        <v>1381</v>
      </c>
      <c r="H2915" s="138">
        <v>1321</v>
      </c>
      <c r="I2915" s="139" t="str">
        <f>VLOOKUP(H2915,Stock_list!A:R,18,FALSE)</f>
        <v>华汛</v>
      </c>
      <c r="J2915" s="139" t="str">
        <f>VLOOKUP(H2915,Stock_list!A:S,17,FALSE)</f>
        <v>C49SZX20210109SX</v>
      </c>
      <c r="K2915" s="51" t="str">
        <f>VLOOKUP(H2915,Stock_list!A:T,16,FALSE)</f>
        <v>JPY</v>
      </c>
      <c r="L2915" s="4">
        <v>44340</v>
      </c>
      <c r="M2915" s="132">
        <v>40</v>
      </c>
      <c r="P2915" s="4" t="str">
        <f>VLOOKUP(H2915,Stock_list!A:Y,25,FALSE)</f>
        <v>Yes</v>
      </c>
      <c r="Q2915" s="143"/>
      <c r="T2915" s="144"/>
      <c r="U2915" s="145" t="str">
        <f>VLOOKUP(H2915,Stock_list!A:N,14,FALSE)</f>
        <v>MAY 21</v>
      </c>
    </row>
    <row r="2916" spans="1:21" ht="16.5" customHeight="1">
      <c r="A2916" s="159" t="s">
        <v>2744</v>
      </c>
      <c r="B2916" s="114" t="str">
        <f>VLOOKUP(A2916,'Data pick slip'!B:F,5,FALSE)</f>
        <v>KHJ-MC100-00</v>
      </c>
      <c r="F2916" s="157" t="s">
        <v>2753</v>
      </c>
      <c r="H2916" s="138">
        <v>1322</v>
      </c>
      <c r="I2916" s="139" t="str">
        <f>VLOOKUP(H2916,Stock_list!A:R,18,FALSE)</f>
        <v>蓝泰翔</v>
      </c>
      <c r="J2916" s="139" t="str">
        <f>VLOOKUP(H2916,Stock_list!A:S,17,FALSE)</f>
        <v>C49SZX20210110SS</v>
      </c>
      <c r="K2916" s="51" t="str">
        <f>VLOOKUP(H2916,Stock_list!A:T,16,FALSE)</f>
        <v>RMB</v>
      </c>
      <c r="L2916" s="4">
        <v>44414</v>
      </c>
      <c r="M2916" s="132">
        <v>46</v>
      </c>
      <c r="P2916" s="4" t="str">
        <f>VLOOKUP(H2916,Stock_list!A:Y,25,FALSE)</f>
        <v>Yes</v>
      </c>
      <c r="Q2916" s="143"/>
      <c r="T2916" s="144"/>
      <c r="U2916" s="145" t="str">
        <f>VLOOKUP(H2916,Stock_list!A:N,14,FALSE)</f>
        <v>AUG 21</v>
      </c>
    </row>
    <row r="2917" spans="1:21" ht="16.5" customHeight="1">
      <c r="A2917" s="159" t="s">
        <v>2747</v>
      </c>
      <c r="B2917" s="114" t="str">
        <f>VLOOKUP(A2917,'Data pick slip'!B:F,5,FALSE)</f>
        <v>KHJ-MC200-00</v>
      </c>
      <c r="F2917" s="157" t="s">
        <v>2753</v>
      </c>
      <c r="H2917" s="138">
        <v>1322</v>
      </c>
      <c r="I2917" s="139" t="str">
        <f>VLOOKUP(H2917,Stock_list!A:R,18,FALSE)</f>
        <v>蓝泰翔</v>
      </c>
      <c r="J2917" s="139" t="str">
        <f>VLOOKUP(H2917,Stock_list!A:S,17,FALSE)</f>
        <v>C49SZX20210110SS</v>
      </c>
      <c r="K2917" s="51" t="str">
        <f>VLOOKUP(H2917,Stock_list!A:T,16,FALSE)</f>
        <v>RMB</v>
      </c>
      <c r="L2917" s="290">
        <v>44414</v>
      </c>
      <c r="M2917" s="132">
        <v>6</v>
      </c>
      <c r="P2917" s="4" t="str">
        <f>VLOOKUP(H2917,Stock_list!A:Y,25,FALSE)</f>
        <v>Yes</v>
      </c>
      <c r="Q2917" s="143"/>
      <c r="T2917" s="144"/>
      <c r="U2917" s="145" t="str">
        <f>VLOOKUP(H2917,Stock_list!A:N,14,FALSE)</f>
        <v>AUG 21</v>
      </c>
    </row>
    <row r="2918" spans="1:21" ht="16.5" customHeight="1">
      <c r="A2918" s="159" t="s">
        <v>2744</v>
      </c>
      <c r="B2918" s="114" t="str">
        <f>VLOOKUP(A2918,'Data pick slip'!B:F,5,FALSE)</f>
        <v>KHJ-MC100-00</v>
      </c>
      <c r="F2918" s="157" t="s">
        <v>1381</v>
      </c>
      <c r="H2918" s="138">
        <v>1323</v>
      </c>
      <c r="I2918" s="139" t="str">
        <f>VLOOKUP(H2918,Stock_list!A:R,18,FALSE)</f>
        <v>捷盛达</v>
      </c>
      <c r="J2918" s="139" t="str">
        <f>VLOOKUP(H2918,Stock_list!A:S,17,FALSE)</f>
        <v>C49SZX20210108MZ</v>
      </c>
      <c r="K2918" s="51" t="str">
        <f>VLOOKUP(H2918,Stock_list!A:T,16,FALSE)</f>
        <v>JPY</v>
      </c>
      <c r="L2918" s="4">
        <v>44433</v>
      </c>
      <c r="M2918" s="132">
        <v>75</v>
      </c>
      <c r="P2918" s="4" t="str">
        <f>VLOOKUP(H2918,Stock_list!A:Y,25,FALSE)</f>
        <v>Yes</v>
      </c>
      <c r="Q2918" s="143"/>
      <c r="T2918" s="144"/>
      <c r="U2918" s="145" t="str">
        <f>VLOOKUP(H2918,Stock_list!A:N,14,FALSE)</f>
        <v>AUG 21</v>
      </c>
    </row>
    <row r="2919" spans="1:21" ht="16.5" customHeight="1">
      <c r="A2919" s="159" t="s">
        <v>2747</v>
      </c>
      <c r="B2919" s="114" t="str">
        <f>VLOOKUP(A2919,'Data pick slip'!B:F,5,FALSE)</f>
        <v>KHJ-MC200-00</v>
      </c>
      <c r="F2919" s="157" t="s">
        <v>1381</v>
      </c>
      <c r="H2919" s="138">
        <v>1323</v>
      </c>
      <c r="I2919" s="139" t="str">
        <f>VLOOKUP(H2919,Stock_list!A:R,18,FALSE)</f>
        <v>捷盛达</v>
      </c>
      <c r="J2919" s="139" t="str">
        <f>VLOOKUP(H2919,Stock_list!A:S,17,FALSE)</f>
        <v>C49SZX20210108MZ</v>
      </c>
      <c r="K2919" s="51" t="str">
        <f>VLOOKUP(H2919,Stock_list!A:T,16,FALSE)</f>
        <v>JPY</v>
      </c>
      <c r="L2919" s="4">
        <v>44433</v>
      </c>
      <c r="M2919" s="132">
        <v>5</v>
      </c>
      <c r="P2919" s="4" t="str">
        <f>VLOOKUP(H2919,Stock_list!A:Y,25,FALSE)</f>
        <v>Yes</v>
      </c>
      <c r="Q2919" s="143"/>
      <c r="T2919" s="144"/>
      <c r="U2919" s="145" t="str">
        <f>VLOOKUP(H2919,Stock_list!A:N,14,FALSE)</f>
        <v>AUG 21</v>
      </c>
    </row>
    <row r="2920" spans="1:21" ht="16.5" customHeight="1">
      <c r="A2920" s="159" t="s">
        <v>2744</v>
      </c>
      <c r="B2920" s="114" t="str">
        <f>VLOOKUP(A2920,'Data pick slip'!B:F,5,FALSE)</f>
        <v>KHJ-MC100-00</v>
      </c>
      <c r="F2920" s="157" t="s">
        <v>1381</v>
      </c>
      <c r="H2920" s="138">
        <v>1324</v>
      </c>
      <c r="I2920" s="139" t="str">
        <f>VLOOKUP(H2920,Stock_list!A:R,18,FALSE)</f>
        <v>旭日伟光</v>
      </c>
      <c r="J2920" s="139" t="str">
        <f>VLOOKUP(H2920,Stock_list!A:S,17,FALSE)</f>
        <v>C49SZX20210066JYR1</v>
      </c>
      <c r="K2920" s="51" t="str">
        <f>VLOOKUP(H2920,Stock_list!A:T,16,FALSE)</f>
        <v>JPY</v>
      </c>
      <c r="L2920" s="4">
        <v>44335</v>
      </c>
      <c r="M2920" s="132">
        <v>6</v>
      </c>
      <c r="P2920" s="4" t="str">
        <f>VLOOKUP(H2920,Stock_list!A:Y,25,FALSE)</f>
        <v>Yes</v>
      </c>
      <c r="Q2920" s="143"/>
      <c r="T2920" s="144"/>
      <c r="U2920" s="145" t="str">
        <f>VLOOKUP(H2920,Stock_list!A:N,14,FALSE)</f>
        <v>MAY 21</v>
      </c>
    </row>
    <row r="2921" spans="1:21" ht="16.5" customHeight="1">
      <c r="A2921" s="159" t="s">
        <v>2748</v>
      </c>
      <c r="B2921" s="114" t="str">
        <f>VLOOKUP(A2921,'Data pick slip'!B:F,5,FALSE)</f>
        <v>KHJ-MC400-00</v>
      </c>
      <c r="F2921" s="157" t="s">
        <v>1381</v>
      </c>
      <c r="H2921" s="138">
        <v>1324</v>
      </c>
      <c r="I2921" s="139" t="str">
        <f>VLOOKUP(H2921,Stock_list!A:R,18,FALSE)</f>
        <v>旭日伟光</v>
      </c>
      <c r="J2921" s="139" t="str">
        <f>VLOOKUP(H2921,Stock_list!A:S,17,FALSE)</f>
        <v>C49SZX20210066JYR1</v>
      </c>
      <c r="K2921" s="51" t="str">
        <f>VLOOKUP(H2921,Stock_list!A:T,16,FALSE)</f>
        <v>JPY</v>
      </c>
      <c r="L2921" s="4">
        <v>44335</v>
      </c>
      <c r="M2921" s="132">
        <v>4</v>
      </c>
      <c r="P2921" s="4" t="str">
        <f>VLOOKUP(H2921,Stock_list!A:Y,25,FALSE)</f>
        <v>Yes</v>
      </c>
      <c r="Q2921" s="143"/>
      <c r="T2921" s="144"/>
      <c r="U2921" s="145" t="str">
        <f>VLOOKUP(H2921,Stock_list!A:N,14,FALSE)</f>
        <v>MAY 21</v>
      </c>
    </row>
    <row r="2922" spans="1:21" ht="16.5" customHeight="1">
      <c r="A2922" s="159" t="s">
        <v>2747</v>
      </c>
      <c r="B2922" s="114" t="str">
        <f>VLOOKUP(A2922,'Data pick slip'!B:F,5,FALSE)</f>
        <v>KHJ-MC200-00</v>
      </c>
      <c r="F2922" s="157" t="s">
        <v>2753</v>
      </c>
      <c r="I2922" s="139" t="s">
        <v>3100</v>
      </c>
      <c r="J2922" s="267" t="s">
        <v>3426</v>
      </c>
      <c r="K2922" s="51" t="s">
        <v>1246</v>
      </c>
      <c r="L2922" s="4">
        <v>44299</v>
      </c>
      <c r="M2922" s="132">
        <v>2</v>
      </c>
      <c r="P2922" s="4" t="s">
        <v>291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2744</v>
      </c>
      <c r="B2923" s="114" t="str">
        <f>VLOOKUP(A2923,'Data pick slip'!B:F,5,FALSE)</f>
        <v>KHJ-MC100-00</v>
      </c>
      <c r="F2923" s="157" t="s">
        <v>1381</v>
      </c>
      <c r="H2923" s="138">
        <v>1335</v>
      </c>
      <c r="I2923" s="139" t="str">
        <f>VLOOKUP(H2923,Stock_list!A:R,18,FALSE)</f>
        <v>贝爱婴童</v>
      </c>
      <c r="J2923" s="139" t="str">
        <f>VLOOKUP(H2923,Stock_list!A:S,17,FALSE)</f>
        <v>C49SZX20210112JD</v>
      </c>
      <c r="K2923" s="51" t="str">
        <f>VLOOKUP(H2923,Stock_list!A:T,16,FALSE)</f>
        <v>JPY</v>
      </c>
      <c r="L2923" s="4">
        <v>44350</v>
      </c>
      <c r="M2923" s="132">
        <v>10</v>
      </c>
      <c r="P2923" s="4" t="str">
        <f>VLOOKUP(H2923,Stock_list!A:Y,25,FALSE)</f>
        <v>Yes</v>
      </c>
      <c r="Q2923" s="143"/>
      <c r="T2923" s="144"/>
      <c r="U2923" s="145" t="str">
        <f>VLOOKUP(H2923,Stock_list!A:N,14,FALSE)</f>
        <v>JUN 21</v>
      </c>
    </row>
    <row r="2924" spans="1:21" ht="16.5" customHeight="1">
      <c r="A2924" s="159" t="s">
        <v>2747</v>
      </c>
      <c r="B2924" s="114" t="str">
        <f>VLOOKUP(A2924,'Data pick slip'!B:F,5,FALSE)</f>
        <v>KHJ-MC200-00</v>
      </c>
      <c r="F2924" s="157" t="s">
        <v>1381</v>
      </c>
      <c r="H2924" s="138">
        <v>1335</v>
      </c>
      <c r="I2924" s="139" t="str">
        <f>VLOOKUP(H2924,Stock_list!A:R,18,FALSE)</f>
        <v>贝爱婴童</v>
      </c>
      <c r="J2924" s="139" t="str">
        <f>VLOOKUP(H2924,Stock_list!A:S,17,FALSE)</f>
        <v>C49SZX20210112JD</v>
      </c>
      <c r="K2924" s="51" t="str">
        <f>VLOOKUP(H2924,Stock_list!A:T,16,FALSE)</f>
        <v>JPY</v>
      </c>
      <c r="L2924" s="4">
        <v>44350</v>
      </c>
      <c r="M2924" s="132">
        <v>5</v>
      </c>
      <c r="P2924" s="4" t="str">
        <f>VLOOKUP(H2924,Stock_list!A:Y,25,FALSE)</f>
        <v>Yes</v>
      </c>
      <c r="Q2924" s="143"/>
      <c r="T2924" s="144"/>
      <c r="U2924" s="145" t="str">
        <f>VLOOKUP(H2924,Stock_list!A:N,14,FALSE)</f>
        <v>JUN 21</v>
      </c>
    </row>
    <row r="2925" spans="1:21" ht="16.5" customHeight="1">
      <c r="A2925" s="159" t="s">
        <v>2744</v>
      </c>
      <c r="B2925" s="114" t="str">
        <f>VLOOKUP(A2925,'Data pick slip'!B:F,5,FALSE)</f>
        <v>KHJ-MC100-00</v>
      </c>
      <c r="F2925" s="157" t="s">
        <v>2753</v>
      </c>
      <c r="H2925" s="138">
        <v>1336</v>
      </c>
      <c r="I2925" s="139" t="str">
        <f>VLOOKUP(H2925,Stock_list!A:R,18,FALSE)</f>
        <v>亮瑞</v>
      </c>
      <c r="J2925" s="139" t="str">
        <f>VLOOKUP(H2925,Stock_list!A:S,17,FALSE)</f>
        <v>C49SZX20210115DY</v>
      </c>
      <c r="K2925" s="51" t="str">
        <f>VLOOKUP(H2925,Stock_list!A:T,16,FALSE)</f>
        <v>RMB</v>
      </c>
      <c r="L2925" s="4">
        <v>44368</v>
      </c>
      <c r="M2925" s="132">
        <v>16</v>
      </c>
      <c r="P2925" s="4" t="str">
        <f>VLOOKUP(H2925,Stock_list!A:Y,25,FALSE)</f>
        <v>Yes</v>
      </c>
      <c r="Q2925" s="143"/>
      <c r="T2925" s="144"/>
      <c r="U2925" s="145" t="str">
        <f>VLOOKUP(H2925,Stock_list!A:N,14,FALSE)</f>
        <v>JUN 21</v>
      </c>
    </row>
    <row r="2926" spans="1:21" ht="18.75" customHeight="1">
      <c r="A2926" s="159" t="s">
        <v>2747</v>
      </c>
      <c r="B2926" s="114" t="str">
        <f>VLOOKUP(A2926,'Data pick slip'!B:F,5,FALSE)</f>
        <v>KHJ-MC200-00</v>
      </c>
      <c r="F2926" s="157" t="s">
        <v>2753</v>
      </c>
      <c r="H2926" s="138">
        <v>1336</v>
      </c>
      <c r="I2926" s="139" t="str">
        <f>VLOOKUP(H2926,Stock_list!A:R,18,FALSE)</f>
        <v>亮瑞</v>
      </c>
      <c r="J2926" s="139" t="str">
        <f>VLOOKUP(H2926,Stock_list!A:S,17,FALSE)</f>
        <v>C49SZX20210115DY</v>
      </c>
      <c r="K2926" s="51" t="str">
        <f>VLOOKUP(H2926,Stock_list!A:T,16,FALSE)</f>
        <v>RMB</v>
      </c>
      <c r="L2926" s="4">
        <v>44368</v>
      </c>
      <c r="M2926" s="132">
        <v>4</v>
      </c>
      <c r="P2926" s="4" t="str">
        <f>VLOOKUP(H2926,Stock_list!A:Y,25,FALSE)</f>
        <v>Yes</v>
      </c>
      <c r="Q2926" s="143"/>
      <c r="T2926" s="144"/>
      <c r="U2926" s="145" t="str">
        <f>VLOOKUP(H2926,Stock_list!A:N,14,FALSE)</f>
        <v>JUN 21</v>
      </c>
    </row>
    <row r="2927" spans="1:21" ht="18.75" customHeight="1">
      <c r="A2927" s="159" t="s">
        <v>2744</v>
      </c>
      <c r="B2927" s="114" t="str">
        <f>VLOOKUP(A2927,'Data pick slip'!B:F,5,FALSE)</f>
        <v>KHJ-MC100-00</v>
      </c>
      <c r="F2927" s="157" t="s">
        <v>1381</v>
      </c>
      <c r="H2927" s="138">
        <v>1338</v>
      </c>
      <c r="I2927" s="139" t="str">
        <f>VLOOKUP(H2927,Stock_list!A:R,18,FALSE)</f>
        <v>百纳海</v>
      </c>
      <c r="J2927" s="139" t="str">
        <f>VLOOKUP(H2927,Stock_list!A:S,17,FALSE)</f>
        <v>C49SZX20210119JY</v>
      </c>
      <c r="K2927" s="51" t="str">
        <f>VLOOKUP(H2927,Stock_list!A:T,16,FALSE)</f>
        <v>JPY</v>
      </c>
      <c r="L2927" s="4">
        <v>44488</v>
      </c>
      <c r="M2927" s="132">
        <v>2</v>
      </c>
      <c r="P2927" s="4" t="str">
        <f>VLOOKUP(H2927,Stock_list!A:Y,25,FALSE)</f>
        <v>Yes</v>
      </c>
      <c r="Q2927" s="143"/>
      <c r="T2927" s="144"/>
      <c r="U2927" s="145" t="str">
        <f>VLOOKUP(H2927,Stock_list!A:N,14,FALSE)</f>
        <v>OCT 21</v>
      </c>
    </row>
    <row r="2928" spans="1:21" ht="18.75" customHeight="1">
      <c r="A2928" s="159" t="s">
        <v>2744</v>
      </c>
      <c r="B2928" s="114" t="str">
        <f>VLOOKUP(A2928,'Data pick slip'!B:F,5,FALSE)</f>
        <v>KHJ-MC100-00</v>
      </c>
      <c r="F2928" s="157" t="s">
        <v>1381</v>
      </c>
      <c r="H2928" s="138">
        <v>1338</v>
      </c>
      <c r="I2928" s="139" t="str">
        <f>VLOOKUP(H2928,Stock_list!A:R,18,FALSE)</f>
        <v>百纳海</v>
      </c>
      <c r="J2928" s="139" t="str">
        <f>VLOOKUP(H2928,Stock_list!A:S,17,FALSE)</f>
        <v>C49SZX20210119JY</v>
      </c>
      <c r="K2928" s="51" t="str">
        <f>VLOOKUP(H2928,Stock_list!A:T,16,FALSE)</f>
        <v>JPY</v>
      </c>
      <c r="L2928" s="4">
        <v>44568</v>
      </c>
      <c r="M2928" s="132">
        <v>3</v>
      </c>
      <c r="P2928" s="4" t="str">
        <f>VLOOKUP(H2928,Stock_list!A:Y,25,FALSE)</f>
        <v>Yes</v>
      </c>
      <c r="Q2928" s="143"/>
      <c r="T2928" s="144"/>
      <c r="U2928" s="145" t="str">
        <f>VLOOKUP(H2928,Stock_list!A:N,14,FALSE)</f>
        <v>OCT 21</v>
      </c>
    </row>
    <row r="2929" spans="1:21" ht="16.5" customHeight="1">
      <c r="A2929" s="159" t="s">
        <v>2756</v>
      </c>
      <c r="B2929" s="114" t="str">
        <f>VLOOKUP(A2929,'Data pick slip'!B:F,5,FALSE)</f>
        <v>KLJ-MC200-00</v>
      </c>
      <c r="F2929" s="157" t="s">
        <v>2753</v>
      </c>
      <c r="I2929" s="139" t="s">
        <v>3100</v>
      </c>
      <c r="J2929" s="267" t="s">
        <v>3427</v>
      </c>
      <c r="K2929" s="51" t="s">
        <v>1246</v>
      </c>
      <c r="L2929" s="4">
        <v>44288</v>
      </c>
      <c r="M2929" s="140">
        <v>7</v>
      </c>
      <c r="P2929" s="4" t="s">
        <v>291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2747</v>
      </c>
      <c r="B2930" s="114" t="str">
        <f>VLOOKUP(A2930,'Data pick slip'!B:F,5,FALSE)</f>
        <v>KHJ-MC200-00</v>
      </c>
      <c r="F2930" s="157" t="s">
        <v>2753</v>
      </c>
      <c r="I2930" s="139" t="s">
        <v>3100</v>
      </c>
      <c r="J2930" s="267" t="s">
        <v>3428</v>
      </c>
      <c r="K2930" s="51" t="s">
        <v>1246</v>
      </c>
      <c r="L2930" s="4">
        <v>44288</v>
      </c>
      <c r="M2930" s="140">
        <v>10</v>
      </c>
      <c r="P2930" s="4" t="s">
        <v>291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2757</v>
      </c>
      <c r="B2931" s="114" t="str">
        <f>VLOOKUP(A2931,'Data pick slip'!B:F,5,FALSE)</f>
        <v>KLJ-MC400-00</v>
      </c>
      <c r="F2931" s="157" t="s">
        <v>2753</v>
      </c>
      <c r="I2931" s="139" t="s">
        <v>3100</v>
      </c>
      <c r="J2931" s="269" t="s">
        <v>3429</v>
      </c>
      <c r="K2931" s="51" t="s">
        <v>1246</v>
      </c>
      <c r="L2931" s="4">
        <v>44305</v>
      </c>
      <c r="M2931" s="140">
        <v>3</v>
      </c>
      <c r="P2931" s="4" t="s">
        <v>291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2744</v>
      </c>
      <c r="B2932" s="114" t="str">
        <f>VLOOKUP(A2932,'Data pick slip'!B:F,5,FALSE)</f>
        <v>KHJ-MC100-00</v>
      </c>
      <c r="F2932" s="157" t="s">
        <v>1381</v>
      </c>
      <c r="I2932" s="269" t="s">
        <v>3414</v>
      </c>
      <c r="J2932" s="139" t="s">
        <v>3430</v>
      </c>
      <c r="K2932" s="51" t="s">
        <v>1246</v>
      </c>
      <c r="L2932" s="4">
        <v>44295</v>
      </c>
      <c r="M2932" s="140">
        <v>100</v>
      </c>
      <c r="P2932" s="4" t="s">
        <v>291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2747</v>
      </c>
      <c r="B2933" s="114" t="str">
        <f>VLOOKUP(A2933,'Data pick slip'!B:F,5,FALSE)</f>
        <v>KHJ-MC200-00</v>
      </c>
      <c r="F2933" s="157" t="s">
        <v>1381</v>
      </c>
      <c r="I2933" s="269" t="s">
        <v>3414</v>
      </c>
      <c r="J2933" s="139" t="s">
        <v>3430</v>
      </c>
      <c r="K2933" s="51" t="s">
        <v>1246</v>
      </c>
      <c r="L2933" s="4">
        <v>44295</v>
      </c>
      <c r="M2933" s="140">
        <v>20</v>
      </c>
      <c r="P2933" s="4" t="s">
        <v>291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2759</v>
      </c>
      <c r="B2934" s="114" t="str">
        <f>VLOOKUP(A2934,'Data pick slip'!B:F,5,FALSE)</f>
        <v>KLJ-MC600-00</v>
      </c>
      <c r="F2934" s="157" t="s">
        <v>1381</v>
      </c>
      <c r="I2934" s="269" t="s">
        <v>3414</v>
      </c>
      <c r="J2934" s="139" t="s">
        <v>3430</v>
      </c>
      <c r="K2934" s="51" t="s">
        <v>1246</v>
      </c>
      <c r="L2934" s="4">
        <v>44295</v>
      </c>
      <c r="M2934" s="140">
        <v>1</v>
      </c>
      <c r="P2934" s="4" t="s">
        <v>291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2744</v>
      </c>
      <c r="B2935" s="114" t="str">
        <f>VLOOKUP(A2935,'Data pick slip'!B:F,5,FALSE)</f>
        <v>KHJ-MC100-00</v>
      </c>
      <c r="F2935" s="157" t="s">
        <v>1381</v>
      </c>
      <c r="I2935" s="269" t="s">
        <v>3414</v>
      </c>
      <c r="J2935" s="139" t="s">
        <v>3431</v>
      </c>
      <c r="K2935" s="51" t="s">
        <v>1246</v>
      </c>
      <c r="L2935" s="4">
        <v>44305</v>
      </c>
      <c r="M2935" s="140">
        <v>50</v>
      </c>
      <c r="P2935" s="4" t="s">
        <v>291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2747</v>
      </c>
      <c r="B2936" s="114" t="str">
        <f>VLOOKUP(A2936,'Data pick slip'!B:F,5,FALSE)</f>
        <v>KHJ-MC200-00</v>
      </c>
      <c r="F2936" s="157" t="s">
        <v>1381</v>
      </c>
      <c r="I2936" s="269" t="s">
        <v>3414</v>
      </c>
      <c r="J2936" s="139" t="s">
        <v>3431</v>
      </c>
      <c r="K2936" s="51" t="s">
        <v>1246</v>
      </c>
      <c r="L2936" s="4">
        <v>44305</v>
      </c>
      <c r="M2936" s="140">
        <v>30</v>
      </c>
      <c r="P2936" s="4" t="s">
        <v>291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2744</v>
      </c>
      <c r="B2937" s="114" t="str">
        <f>VLOOKUP(A2937,'Data pick slip'!B:F,5,FALSE)</f>
        <v>KHJ-MC100-00</v>
      </c>
      <c r="F2937" s="157" t="s">
        <v>2862</v>
      </c>
      <c r="H2937" s="138">
        <v>1340</v>
      </c>
      <c r="I2937" s="139" t="str">
        <f>VLOOKUP(H2937,Stock_list!A:R,18,FALSE)</f>
        <v>精德鸿</v>
      </c>
      <c r="J2937" s="139" t="str">
        <f>VLOOKUP(H2937,Stock_list!A:S,17,FALSE)</f>
        <v>C49SZX20210117JY</v>
      </c>
      <c r="K2937" s="51" t="str">
        <f>VLOOKUP(H2937,Stock_list!A:T,16,FALSE)</f>
        <v>JPY</v>
      </c>
      <c r="L2937" s="4">
        <v>44337</v>
      </c>
      <c r="M2937" s="143">
        <v>90</v>
      </c>
      <c r="P2937" s="4" t="str">
        <f>VLOOKUP(H2937,Stock_list!A:Y,25,FALSE)</f>
        <v>Yes</v>
      </c>
      <c r="T2937" s="144"/>
      <c r="U2937" s="145" t="str">
        <f>VLOOKUP(H2937,Stock_list!A:N,14,FALSE)</f>
        <v>MAY 21</v>
      </c>
    </row>
    <row r="2938" spans="1:21" ht="16.5" customHeight="1">
      <c r="A2938" s="159" t="s">
        <v>2747</v>
      </c>
      <c r="B2938" s="114" t="str">
        <f>VLOOKUP(A2938,'Data pick slip'!B:F,5,FALSE)</f>
        <v>KHJ-MC200-00</v>
      </c>
      <c r="F2938" s="157" t="s">
        <v>2862</v>
      </c>
      <c r="H2938" s="138">
        <v>1340</v>
      </c>
      <c r="I2938" s="139" t="str">
        <f>VLOOKUP(H2938,Stock_list!A:R,18,FALSE)</f>
        <v>精德鸿</v>
      </c>
      <c r="J2938" s="139" t="str">
        <f>VLOOKUP(H2938,Stock_list!A:S,17,FALSE)</f>
        <v>C49SZX20210117JY</v>
      </c>
      <c r="K2938" s="51" t="str">
        <f>VLOOKUP(H2938,Stock_list!A:T,16,FALSE)</f>
        <v>JPY</v>
      </c>
      <c r="L2938" s="4">
        <v>44337</v>
      </c>
      <c r="M2938" s="143">
        <v>12</v>
      </c>
      <c r="P2938" s="4" t="str">
        <f>VLOOKUP(H2938,Stock_list!A:Y,25,FALSE)</f>
        <v>Yes</v>
      </c>
      <c r="T2938" s="144"/>
      <c r="U2938" s="145" t="str">
        <f>VLOOKUP(H2938,Stock_list!A:N,14,FALSE)</f>
        <v>MAY 21</v>
      </c>
    </row>
    <row r="2939" spans="1:21" ht="16.5" customHeight="1">
      <c r="A2939" s="159" t="s">
        <v>2748</v>
      </c>
      <c r="B2939" s="114" t="str">
        <f>VLOOKUP(A2939,'Data pick slip'!B:F,5,FALSE)</f>
        <v>KHJ-MC400-00</v>
      </c>
      <c r="F2939" s="157" t="s">
        <v>2862</v>
      </c>
      <c r="H2939" s="138">
        <v>1340</v>
      </c>
      <c r="I2939" s="139" t="str">
        <f>VLOOKUP(H2939,Stock_list!A:R,18,FALSE)</f>
        <v>精德鸿</v>
      </c>
      <c r="J2939" s="139" t="str">
        <f>VLOOKUP(H2939,Stock_list!A:S,17,FALSE)</f>
        <v>C49SZX20210117JY</v>
      </c>
      <c r="K2939" s="51" t="str">
        <f>VLOOKUP(H2939,Stock_list!A:T,16,FALSE)</f>
        <v>JPY</v>
      </c>
      <c r="L2939" s="4">
        <v>44337</v>
      </c>
      <c r="M2939" s="143">
        <v>9</v>
      </c>
      <c r="P2939" s="4" t="str">
        <f>VLOOKUP(H2939,Stock_list!A:Y,25,FALSE)</f>
        <v>Yes</v>
      </c>
      <c r="T2939" s="144"/>
      <c r="U2939" s="145" t="str">
        <f>VLOOKUP(H2939,Stock_list!A:N,14,FALSE)</f>
        <v>MAY 21</v>
      </c>
    </row>
    <row r="2940" spans="1:21" ht="16.5" customHeight="1">
      <c r="A2940" s="159" t="s">
        <v>2749</v>
      </c>
      <c r="B2940" s="114" t="str">
        <f>VLOOKUP(A2940,'Data pick slip'!B:F,5,FALSE)</f>
        <v>KHJ-MC500-00</v>
      </c>
      <c r="F2940" s="157" t="s">
        <v>2862</v>
      </c>
      <c r="H2940" s="138">
        <v>1340</v>
      </c>
      <c r="I2940" s="139" t="str">
        <f>VLOOKUP(H2940,Stock_list!A:R,18,FALSE)</f>
        <v>精德鸿</v>
      </c>
      <c r="J2940" s="139" t="str">
        <f>VLOOKUP(H2940,Stock_list!A:S,17,FALSE)</f>
        <v>C49SZX20210117JY</v>
      </c>
      <c r="K2940" s="51" t="str">
        <f>VLOOKUP(H2940,Stock_list!A:T,16,FALSE)</f>
        <v>JPY</v>
      </c>
      <c r="L2940" s="4">
        <v>44337</v>
      </c>
      <c r="M2940" s="143">
        <v>10</v>
      </c>
      <c r="P2940" s="4" t="str">
        <f>VLOOKUP(H2940,Stock_list!A:Y,25,FALSE)</f>
        <v>Yes</v>
      </c>
      <c r="T2940" s="144"/>
      <c r="U2940" s="145" t="str">
        <f>VLOOKUP(H2940,Stock_list!A:N,14,FALSE)</f>
        <v>MAY 21</v>
      </c>
    </row>
    <row r="2941" spans="1:21" ht="16.5" customHeight="1">
      <c r="A2941" s="159" t="s">
        <v>2750</v>
      </c>
      <c r="B2941" s="114" t="str">
        <f>VLOOKUP(A2941,'Data pick slip'!B:F,5,FALSE)</f>
        <v>KHJ-MC600-00</v>
      </c>
      <c r="F2941" s="157" t="s">
        <v>2862</v>
      </c>
      <c r="H2941" s="138">
        <v>1340</v>
      </c>
      <c r="I2941" s="139" t="str">
        <f>VLOOKUP(H2941,Stock_list!A:R,18,FALSE)</f>
        <v>精德鸿</v>
      </c>
      <c r="J2941" s="139" t="str">
        <f>VLOOKUP(H2941,Stock_list!A:S,17,FALSE)</f>
        <v>C49SZX20210117JY</v>
      </c>
      <c r="K2941" s="51" t="str">
        <f>VLOOKUP(H2941,Stock_list!A:T,16,FALSE)</f>
        <v>JPY</v>
      </c>
      <c r="L2941" s="4">
        <v>44337</v>
      </c>
      <c r="M2941" s="143">
        <v>1</v>
      </c>
      <c r="P2941" s="4" t="str">
        <f>VLOOKUP(H2941,Stock_list!A:Y,25,FALSE)</f>
        <v>Yes</v>
      </c>
      <c r="T2941" s="144"/>
      <c r="U2941" s="145" t="str">
        <f>VLOOKUP(H2941,Stock_list!A:N,14,FALSE)</f>
        <v>MAY 21</v>
      </c>
    </row>
    <row r="2942" spans="1:21" ht="16.5" customHeight="1">
      <c r="A2942" s="159" t="s">
        <v>2744</v>
      </c>
      <c r="B2942" s="114" t="str">
        <f>VLOOKUP(A2942,'Data pick slip'!B:F,5,FALSE)</f>
        <v>KHJ-MC100-00</v>
      </c>
      <c r="F2942" s="157" t="s">
        <v>2862</v>
      </c>
      <c r="H2942" s="138">
        <v>1343</v>
      </c>
      <c r="I2942" s="139" t="str">
        <f>VLOOKUP(H2942,Stock_list!A:R,18,FALSE)</f>
        <v>精德鸿</v>
      </c>
      <c r="J2942" s="139" t="str">
        <f>VLOOKUP(H2942,Stock_list!A:S,17,FALSE)</f>
        <v>C49SZX20210118R1JY</v>
      </c>
      <c r="K2942" s="51" t="str">
        <f>VLOOKUP(H2942,Stock_list!A:T,16,FALSE)</f>
        <v>JPY</v>
      </c>
      <c r="L2942" s="4">
        <v>44748</v>
      </c>
      <c r="M2942" s="132">
        <v>95</v>
      </c>
      <c r="P2942" s="4" t="str">
        <f>VLOOKUP(H2942,Stock_list!A:Y,25,FALSE)</f>
        <v>Yes</v>
      </c>
      <c r="Q2942" s="143"/>
      <c r="T2942" s="144"/>
      <c r="U2942" s="145" t="str">
        <f>VLOOKUP(H2942,Stock_list!A:N,14,FALSE)</f>
        <v>JUL 22</v>
      </c>
    </row>
    <row r="2943" spans="1:21" ht="16.5" customHeight="1">
      <c r="A2943" s="159" t="s">
        <v>2744</v>
      </c>
      <c r="B2943" s="114" t="str">
        <f>VLOOKUP(A2943,'Data pick slip'!B:F,5,FALSE)</f>
        <v>KHJ-MC100-00</v>
      </c>
      <c r="F2943" s="157" t="s">
        <v>2753</v>
      </c>
      <c r="H2943" s="138">
        <v>1343</v>
      </c>
      <c r="I2943" s="139" t="str">
        <f>VLOOKUP(H2943,Stock_list!A:R,18,FALSE)</f>
        <v>精德鸿</v>
      </c>
      <c r="J2943" s="139" t="str">
        <f>VLOOKUP(H2943,Stock_list!A:S,17,FALSE)</f>
        <v>C49SZX20210118R1JY</v>
      </c>
      <c r="K2943" s="51" t="str">
        <f>VLOOKUP(H2943,Stock_list!A:T,16,FALSE)</f>
        <v>JPY</v>
      </c>
      <c r="L2943" s="4">
        <v>44336</v>
      </c>
      <c r="O2943" s="132">
        <f>50-50</f>
        <v>0</v>
      </c>
      <c r="P2943" s="4" t="str">
        <f>VLOOKUP(H2943,Stock_list!A:Y,25,FALSE)</f>
        <v>Yes</v>
      </c>
      <c r="Q2943" s="143"/>
      <c r="T2943" s="144"/>
      <c r="U2943" s="145" t="str">
        <f>VLOOKUP(H2943,Stock_list!A:N,14,FALSE)</f>
        <v>JUL 22</v>
      </c>
    </row>
    <row r="2944" spans="1:21" ht="16.5" customHeight="1">
      <c r="A2944" s="159" t="s">
        <v>2747</v>
      </c>
      <c r="B2944" s="114" t="str">
        <f>VLOOKUP(A2944,'Data pick slip'!B:F,5,FALSE)</f>
        <v>KHJ-MC200-00</v>
      </c>
      <c r="F2944" s="157" t="s">
        <v>1381</v>
      </c>
      <c r="H2944" s="138">
        <v>1343</v>
      </c>
      <c r="I2944" s="139" t="str">
        <f>VLOOKUP(H2944,Stock_list!A:R,18,FALSE)</f>
        <v>精德鸿</v>
      </c>
      <c r="J2944" s="139" t="str">
        <f>VLOOKUP(H2944,Stock_list!A:S,17,FALSE)</f>
        <v>C49SZX20210118R1JY</v>
      </c>
      <c r="K2944" s="51" t="str">
        <f>VLOOKUP(H2944,Stock_list!A:T,16,FALSE)</f>
        <v>JPY</v>
      </c>
      <c r="L2944" s="4">
        <v>44748</v>
      </c>
      <c r="M2944" s="132">
        <v>15</v>
      </c>
      <c r="P2944" s="4" t="str">
        <f>VLOOKUP(H2944,Stock_list!A:Y,25,FALSE)</f>
        <v>Yes</v>
      </c>
      <c r="Q2944" s="143"/>
      <c r="T2944" s="144"/>
      <c r="U2944" s="145" t="str">
        <f>VLOOKUP(H2944,Stock_list!A:N,14,FALSE)</f>
        <v>JUL 22</v>
      </c>
    </row>
    <row r="2945" spans="1:21" ht="16.5" customHeight="1">
      <c r="A2945" s="159" t="s">
        <v>2744</v>
      </c>
      <c r="B2945" s="114" t="str">
        <f>VLOOKUP(A2945,'Data pick slip'!B:F,5,FALSE)</f>
        <v>KHJ-MC100-00</v>
      </c>
      <c r="F2945" s="157" t="s">
        <v>1381</v>
      </c>
      <c r="H2945" s="138">
        <v>1346</v>
      </c>
      <c r="I2945" s="139" t="str">
        <f>VLOOKUP(H2945,Stock_list!A:R,18,FALSE)</f>
        <v>海松微(此相机是C49SZX20210062JY相机）</v>
      </c>
      <c r="J2945" s="139" t="str">
        <f>VLOOKUP(H2945,Stock_list!A:S,17,FALSE)</f>
        <v>C49SZX20210120R1JY</v>
      </c>
      <c r="K2945" s="51" t="str">
        <f>VLOOKUP(H2945,Stock_list!A:T,16,FALSE)</f>
        <v>JPY</v>
      </c>
      <c r="L2945" s="4">
        <v>44428</v>
      </c>
      <c r="M2945" s="132">
        <v>40</v>
      </c>
      <c r="P2945" s="4" t="str">
        <f>VLOOKUP(H2945,Stock_list!A:Y,25,FALSE)</f>
        <v>Yes</v>
      </c>
      <c r="Q2945" s="143"/>
      <c r="T2945" s="144"/>
      <c r="U2945" s="145" t="str">
        <f>VLOOKUP(H2945,Stock_list!A:N,14,FALSE)</f>
        <v>AUG 21</v>
      </c>
    </row>
    <row r="2946" spans="1:21" ht="16.5" customHeight="1">
      <c r="A2946" s="159" t="s">
        <v>2747</v>
      </c>
      <c r="B2946" s="114" t="str">
        <f>VLOOKUP(A2946,'Data pick slip'!B:F,5,FALSE)</f>
        <v>KHJ-MC200-00</v>
      </c>
      <c r="F2946" s="157" t="s">
        <v>1381</v>
      </c>
      <c r="H2946" s="138">
        <v>1346</v>
      </c>
      <c r="I2946" s="139" t="str">
        <f>VLOOKUP(H2946,Stock_list!A:R,18,FALSE)</f>
        <v>海松微(此相机是C49SZX20210062JY相机）</v>
      </c>
      <c r="J2946" s="139" t="str">
        <f>VLOOKUP(H2946,Stock_list!A:S,17,FALSE)</f>
        <v>C49SZX20210120R1JY</v>
      </c>
      <c r="K2946" s="51" t="str">
        <f>VLOOKUP(H2946,Stock_list!A:T,16,FALSE)</f>
        <v>JPY</v>
      </c>
      <c r="L2946" s="4">
        <v>44428</v>
      </c>
      <c r="M2946" s="132">
        <v>10</v>
      </c>
      <c r="P2946" s="4" t="str">
        <f>VLOOKUP(H2946,Stock_list!A:Y,25,FALSE)</f>
        <v>Yes</v>
      </c>
      <c r="Q2946" s="143"/>
      <c r="T2946" s="144"/>
      <c r="U2946" s="145" t="str">
        <f>VLOOKUP(H2946,Stock_list!A:N,14,FALSE)</f>
        <v>AUG 21</v>
      </c>
    </row>
    <row r="2947" spans="1:21" ht="16.5" customHeight="1">
      <c r="A2947" s="159" t="s">
        <v>2744</v>
      </c>
      <c r="B2947" s="114" t="str">
        <f>VLOOKUP(A2947,'Data pick slip'!B:F,5,FALSE)</f>
        <v>KHJ-MC100-00</v>
      </c>
      <c r="F2947" s="157" t="s">
        <v>1381</v>
      </c>
      <c r="I2947" s="269" t="s">
        <v>3414</v>
      </c>
      <c r="J2947" s="139" t="s">
        <v>3432</v>
      </c>
      <c r="K2947" s="51" t="s">
        <v>1246</v>
      </c>
      <c r="L2947" s="4">
        <v>44308</v>
      </c>
      <c r="M2947" s="140">
        <v>50</v>
      </c>
      <c r="P2947" s="4" t="s">
        <v>291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2747</v>
      </c>
      <c r="B2948" s="114" t="str">
        <f>VLOOKUP(A2948,'Data pick slip'!B:F,5,FALSE)</f>
        <v>KHJ-MC200-00</v>
      </c>
      <c r="F2948" s="157" t="s">
        <v>1381</v>
      </c>
      <c r="I2948" s="269" t="s">
        <v>3414</v>
      </c>
      <c r="J2948" s="139" t="s">
        <v>3432</v>
      </c>
      <c r="K2948" s="51" t="s">
        <v>1246</v>
      </c>
      <c r="L2948" s="4">
        <v>44308</v>
      </c>
      <c r="M2948" s="140">
        <v>20</v>
      </c>
      <c r="P2948" s="4" t="s">
        <v>291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2744</v>
      </c>
      <c r="B2949" s="114" t="str">
        <f>VLOOKUP(A2949,'Data pick slip'!B:F,5,FALSE)</f>
        <v>KHJ-MC100-00</v>
      </c>
      <c r="F2949" s="157" t="s">
        <v>1381</v>
      </c>
      <c r="I2949" s="269" t="s">
        <v>3414</v>
      </c>
      <c r="J2949" s="139" t="s">
        <v>3433</v>
      </c>
      <c r="K2949" s="51" t="s">
        <v>1246</v>
      </c>
      <c r="L2949" s="4">
        <v>44312</v>
      </c>
      <c r="M2949" s="140">
        <v>72</v>
      </c>
      <c r="P2949" s="4" t="s">
        <v>291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2747</v>
      </c>
      <c r="B2950" s="114" t="str">
        <f>VLOOKUP(A2950,'Data pick slip'!B:F,5,FALSE)</f>
        <v>KHJ-MC200-00</v>
      </c>
      <c r="F2950" s="157" t="s">
        <v>1381</v>
      </c>
      <c r="I2950" s="269" t="s">
        <v>3414</v>
      </c>
      <c r="J2950" s="139" t="s">
        <v>3433</v>
      </c>
      <c r="K2950" s="51" t="s">
        <v>1246</v>
      </c>
      <c r="L2950" s="4">
        <v>44312</v>
      </c>
      <c r="M2950" s="140">
        <v>34</v>
      </c>
      <c r="P2950" s="4" t="s">
        <v>291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2755</v>
      </c>
      <c r="B2951" s="114" t="str">
        <f>VLOOKUP(A2951,'Data pick slip'!B:F,5,FALSE)</f>
        <v>KLJ-MC100-00</v>
      </c>
      <c r="F2951" s="157" t="s">
        <v>1381</v>
      </c>
      <c r="I2951" s="269" t="s">
        <v>3414</v>
      </c>
      <c r="J2951" s="139" t="s">
        <v>3433</v>
      </c>
      <c r="K2951" s="51" t="s">
        <v>1246</v>
      </c>
      <c r="L2951" s="4">
        <v>44312</v>
      </c>
      <c r="M2951" s="140">
        <v>50</v>
      </c>
      <c r="P2951" s="4" t="s">
        <v>291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2756</v>
      </c>
      <c r="B2952" s="114" t="str">
        <f>VLOOKUP(A2952,'Data pick slip'!B:F,5,FALSE)</f>
        <v>KLJ-MC200-00</v>
      </c>
      <c r="F2952" s="157" t="s">
        <v>1381</v>
      </c>
      <c r="I2952" s="269" t="s">
        <v>3414</v>
      </c>
      <c r="J2952" s="139" t="s">
        <v>3433</v>
      </c>
      <c r="K2952" s="51" t="s">
        <v>1246</v>
      </c>
      <c r="L2952" s="4">
        <v>44312</v>
      </c>
      <c r="M2952" s="140">
        <v>20</v>
      </c>
      <c r="P2952" s="4" t="s">
        <v>291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2757</v>
      </c>
      <c r="B2953" s="114" t="str">
        <f>VLOOKUP(A2953,'Data pick slip'!B:F,5,FALSE)</f>
        <v>KLJ-MC400-00</v>
      </c>
      <c r="F2953" s="157" t="s">
        <v>1381</v>
      </c>
      <c r="I2953" s="269" t="s">
        <v>3414</v>
      </c>
      <c r="J2953" s="139" t="s">
        <v>3433</v>
      </c>
      <c r="K2953" s="51" t="s">
        <v>1246</v>
      </c>
      <c r="L2953" s="4">
        <v>44312</v>
      </c>
      <c r="M2953" s="140">
        <v>18</v>
      </c>
      <c r="P2953" s="4" t="s">
        <v>291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2758</v>
      </c>
      <c r="B2954" s="114" t="str">
        <f>VLOOKUP(A2954,'Data pick slip'!B:F,5,FALSE)</f>
        <v>KLJ-MC500-00</v>
      </c>
      <c r="F2954" s="157" t="s">
        <v>1381</v>
      </c>
      <c r="I2954" s="269" t="s">
        <v>3414</v>
      </c>
      <c r="J2954" s="139" t="s">
        <v>3433</v>
      </c>
      <c r="K2954" s="51" t="s">
        <v>1246</v>
      </c>
      <c r="L2954" s="4">
        <v>44312</v>
      </c>
      <c r="M2954" s="140">
        <v>10</v>
      </c>
      <c r="P2954" s="4" t="s">
        <v>291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2759</v>
      </c>
      <c r="B2955" s="114" t="str">
        <f>VLOOKUP(A2955,'Data pick slip'!B:F,5,FALSE)</f>
        <v>KLJ-MC600-00</v>
      </c>
      <c r="F2955" s="157" t="s">
        <v>1381</v>
      </c>
      <c r="I2955" s="269" t="s">
        <v>3414</v>
      </c>
      <c r="J2955" s="139" t="s">
        <v>3433</v>
      </c>
      <c r="K2955" s="51" t="s">
        <v>1246</v>
      </c>
      <c r="L2955" s="4">
        <v>44312</v>
      </c>
      <c r="M2955" s="140">
        <v>5</v>
      </c>
      <c r="P2955" s="4" t="s">
        <v>291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2744</v>
      </c>
      <c r="B2956" s="114" t="str">
        <f>VLOOKUP(A2956,'Data pick slip'!B:F,5,FALSE)</f>
        <v>KHJ-MC100-00</v>
      </c>
      <c r="F2956" s="157" t="s">
        <v>1381</v>
      </c>
      <c r="H2956" s="138">
        <v>1350</v>
      </c>
      <c r="I2956" s="139" t="str">
        <f>VLOOKUP(H2956,Stock_list!A:R,18,FALSE)</f>
        <v>小婉牛</v>
      </c>
      <c r="J2956" s="139" t="str">
        <f>VLOOKUP(H2956,Stock_list!A:S,17,FALSE)</f>
        <v>C49SZX20210124JL</v>
      </c>
      <c r="K2956" s="51" t="str">
        <f>VLOOKUP(H2956,Stock_list!A:T,16,FALSE)</f>
        <v>JPY</v>
      </c>
      <c r="L2956" s="4">
        <v>44354</v>
      </c>
      <c r="M2956" s="132">
        <v>20</v>
      </c>
      <c r="P2956" s="4" t="str">
        <f>VLOOKUP(H2956,Stock_list!A:Y,25,FALSE)</f>
        <v>Yes</v>
      </c>
      <c r="Q2956" s="143"/>
      <c r="T2956" s="144"/>
      <c r="U2956" s="145" t="str">
        <f>VLOOKUP(H2956,Stock_list!A:N,14,FALSE)</f>
        <v>JUN 21</v>
      </c>
    </row>
    <row r="2957" spans="1:21" ht="16.5" customHeight="1">
      <c r="A2957" s="159" t="s">
        <v>2747</v>
      </c>
      <c r="B2957" s="114" t="str">
        <f>VLOOKUP(A2957,'Data pick slip'!B:F,5,FALSE)</f>
        <v>KHJ-MC200-00</v>
      </c>
      <c r="F2957" s="157" t="s">
        <v>1381</v>
      </c>
      <c r="H2957" s="138">
        <v>1350</v>
      </c>
      <c r="I2957" s="139" t="str">
        <f>VLOOKUP(H2957,Stock_list!A:R,18,FALSE)</f>
        <v>小婉牛</v>
      </c>
      <c r="J2957" s="139" t="str">
        <f>VLOOKUP(H2957,Stock_list!A:S,17,FALSE)</f>
        <v>C49SZX20210124JL</v>
      </c>
      <c r="K2957" s="51" t="str">
        <f>VLOOKUP(H2957,Stock_list!A:T,16,FALSE)</f>
        <v>JPY</v>
      </c>
      <c r="L2957" s="4">
        <v>44354</v>
      </c>
      <c r="M2957" s="132">
        <v>5</v>
      </c>
      <c r="P2957" s="4" t="str">
        <f>VLOOKUP(H2957,Stock_list!A:Y,25,FALSE)</f>
        <v>Yes</v>
      </c>
      <c r="Q2957" s="143"/>
      <c r="T2957" s="144"/>
      <c r="U2957" s="145" t="str">
        <f>VLOOKUP(H2957,Stock_list!A:N,14,FALSE)</f>
        <v>JUN 21</v>
      </c>
    </row>
    <row r="2958" spans="1:21" ht="16.5" customHeight="1">
      <c r="A2958" s="159" t="s">
        <v>2748</v>
      </c>
      <c r="B2958" s="114" t="str">
        <f>VLOOKUP(A2958,'Data pick slip'!B:F,5,FALSE)</f>
        <v>KHJ-MC400-00</v>
      </c>
      <c r="F2958" s="157" t="s">
        <v>1381</v>
      </c>
      <c r="H2958" s="138">
        <v>1350</v>
      </c>
      <c r="I2958" s="139" t="str">
        <f>VLOOKUP(H2958,Stock_list!A:R,18,FALSE)</f>
        <v>小婉牛</v>
      </c>
      <c r="J2958" s="139" t="str">
        <f>VLOOKUP(H2958,Stock_list!A:S,17,FALSE)</f>
        <v>C49SZX20210124JL</v>
      </c>
      <c r="K2958" s="51" t="str">
        <f>VLOOKUP(H2958,Stock_list!A:T,16,FALSE)</f>
        <v>JPY</v>
      </c>
      <c r="L2958" s="4">
        <v>44354</v>
      </c>
      <c r="M2958" s="132">
        <v>2</v>
      </c>
      <c r="P2958" s="4" t="str">
        <f>VLOOKUP(H2958,Stock_list!A:Y,25,FALSE)</f>
        <v>Yes</v>
      </c>
      <c r="Q2958" s="143"/>
      <c r="T2958" s="144"/>
      <c r="U2958" s="145" t="str">
        <f>VLOOKUP(H2958,Stock_list!A:N,14,FALSE)</f>
        <v>JUN 21</v>
      </c>
    </row>
    <row r="2959" spans="1:21" ht="16.5" customHeight="1">
      <c r="A2959" s="159" t="s">
        <v>2744</v>
      </c>
      <c r="B2959" s="114" t="str">
        <f>VLOOKUP(A2959,'Data pick slip'!B:F,5,FALSE)</f>
        <v>KHJ-MC100-00</v>
      </c>
      <c r="F2959" s="157" t="s">
        <v>1381</v>
      </c>
      <c r="H2959" s="138">
        <v>1353</v>
      </c>
      <c r="I2959" s="139" t="str">
        <f>VLOOKUP(H2959,Stock_list!A:R,18,FALSE)</f>
        <v>睿昌</v>
      </c>
      <c r="J2959" s="139" t="str">
        <f>VLOOKUP(H2959,Stock_list!A:S,17,FALSE)</f>
        <v>C49SZX20210132VG</v>
      </c>
      <c r="K2959" s="51" t="str">
        <f>VLOOKUP(H2959,Stock_list!A:T,16,FALSE)</f>
        <v>JPY</v>
      </c>
      <c r="L2959" s="4">
        <v>44571</v>
      </c>
      <c r="M2959" s="140">
        <v>25</v>
      </c>
      <c r="P2959" s="4" t="str">
        <f>VLOOKUP(H2959,Stock_list!A:Y,25,FALSE)</f>
        <v>Yes</v>
      </c>
      <c r="Q2959" s="143"/>
      <c r="T2959" s="144"/>
      <c r="U2959" s="145" t="str">
        <f>VLOOKUP(H2959,Stock_list!A:N,14,FALSE)</f>
        <v>JAN 22</v>
      </c>
    </row>
    <row r="2960" spans="1:21" ht="16.5" customHeight="1">
      <c r="A2960" s="159" t="s">
        <v>2744</v>
      </c>
      <c r="B2960" s="114" t="str">
        <f>VLOOKUP(A2960,'Data pick slip'!B:F,5,FALSE)</f>
        <v>KHJ-MC100-00</v>
      </c>
      <c r="F2960" s="157" t="s">
        <v>2753</v>
      </c>
      <c r="I2960" s="139" t="s">
        <v>3287</v>
      </c>
      <c r="J2960" s="270" t="s">
        <v>3434</v>
      </c>
      <c r="K2960" s="51" t="s">
        <v>1246</v>
      </c>
      <c r="L2960" s="4">
        <v>44316</v>
      </c>
      <c r="M2960" s="140">
        <v>15</v>
      </c>
      <c r="P2960" s="4" t="s">
        <v>291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2750</v>
      </c>
      <c r="B2961" s="114" t="str">
        <f>VLOOKUP(A2961,'Data pick slip'!B:F,5,FALSE)</f>
        <v>KHJ-MC600-00</v>
      </c>
      <c r="F2961" s="157" t="s">
        <v>2753</v>
      </c>
      <c r="I2961" s="139" t="s">
        <v>3100</v>
      </c>
      <c r="J2961" s="139" t="s">
        <v>3435</v>
      </c>
      <c r="K2961" s="51" t="s">
        <v>1246</v>
      </c>
      <c r="L2961" s="4">
        <v>44314</v>
      </c>
      <c r="M2961" s="140">
        <v>1</v>
      </c>
      <c r="P2961" s="4" t="s">
        <v>291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2744</v>
      </c>
      <c r="B2962" s="114" t="str">
        <f>VLOOKUP(A2962,'Data pick slip'!B:F,5,FALSE)</f>
        <v>KHJ-MC100-00</v>
      </c>
      <c r="F2962" s="157" t="s">
        <v>1381</v>
      </c>
      <c r="H2962" s="138">
        <v>1354</v>
      </c>
      <c r="I2962" s="139" t="str">
        <f>VLOOKUP(H2962,Stock_list!A:R,18,FALSE)</f>
        <v>海红天远</v>
      </c>
      <c r="J2962" s="139" t="str">
        <f>VLOOKUP(H2962,Stock_list!A:S,17,FALSE)</f>
        <v>C49SZX20210133EC</v>
      </c>
      <c r="K2962" s="51" t="str">
        <f>VLOOKUP(H2962,Stock_list!A:T,16,FALSE)</f>
        <v>JPY</v>
      </c>
      <c r="L2962" s="4">
        <v>44530</v>
      </c>
      <c r="M2962" s="143">
        <v>200</v>
      </c>
      <c r="P2962" s="4" t="str">
        <f>VLOOKUP(H2962,Stock_list!A:Y,25,FALSE)</f>
        <v>Yes</v>
      </c>
      <c r="T2962" s="144"/>
      <c r="U2962" s="145" t="str">
        <f>VLOOKUP(H2962,Stock_list!A:N,14,FALSE)</f>
        <v>NOV 21</v>
      </c>
    </row>
    <row r="2963" spans="1:21" ht="16.5" customHeight="1">
      <c r="A2963" s="159" t="s">
        <v>2747</v>
      </c>
      <c r="B2963" s="114" t="str">
        <f>VLOOKUP(A2963,'Data pick slip'!B:F,5,FALSE)</f>
        <v>KHJ-MC200-00</v>
      </c>
      <c r="F2963" s="157" t="s">
        <v>1381</v>
      </c>
      <c r="H2963" s="138">
        <v>1354</v>
      </c>
      <c r="I2963" s="139" t="str">
        <f>VLOOKUP(H2963,Stock_list!A:R,18,FALSE)</f>
        <v>海红天远</v>
      </c>
      <c r="J2963" s="139" t="str">
        <f>VLOOKUP(H2963,Stock_list!A:S,17,FALSE)</f>
        <v>C49SZX20210133EC</v>
      </c>
      <c r="K2963" s="51" t="str">
        <f>VLOOKUP(H2963,Stock_list!A:T,16,FALSE)</f>
        <v>JPY</v>
      </c>
      <c r="L2963" s="4">
        <v>44530</v>
      </c>
      <c r="M2963" s="143">
        <v>60</v>
      </c>
      <c r="P2963" s="4" t="str">
        <f>VLOOKUP(H2963,Stock_list!A:Y,25,FALSE)</f>
        <v>Yes</v>
      </c>
      <c r="T2963" s="144"/>
      <c r="U2963" s="145" t="str">
        <f>VLOOKUP(H2963,Stock_list!A:N,14,FALSE)</f>
        <v>NOV 21</v>
      </c>
    </row>
    <row r="2964" spans="1:21" ht="16.5" customHeight="1">
      <c r="A2964" s="159" t="s">
        <v>2748</v>
      </c>
      <c r="B2964" s="114" t="str">
        <f>VLOOKUP(A2964,'Data pick slip'!B:F,5,FALSE)</f>
        <v>KHJ-MC400-00</v>
      </c>
      <c r="F2964" s="157" t="s">
        <v>1381</v>
      </c>
      <c r="H2964" s="138">
        <v>1354</v>
      </c>
      <c r="I2964" s="139" t="str">
        <f>VLOOKUP(H2964,Stock_list!A:R,18,FALSE)</f>
        <v>海红天远</v>
      </c>
      <c r="J2964" s="139" t="str">
        <f>VLOOKUP(H2964,Stock_list!A:S,17,FALSE)</f>
        <v>C49SZX20210133EC</v>
      </c>
      <c r="K2964" s="51" t="str">
        <f>VLOOKUP(H2964,Stock_list!A:T,16,FALSE)</f>
        <v>JPY</v>
      </c>
      <c r="L2964" s="4">
        <v>44530</v>
      </c>
      <c r="M2964" s="143">
        <v>10</v>
      </c>
      <c r="P2964" s="4" t="str">
        <f>VLOOKUP(H2964,Stock_list!A:Y,25,FALSE)</f>
        <v>Yes</v>
      </c>
      <c r="T2964" s="144"/>
      <c r="U2964" s="145" t="str">
        <f>VLOOKUP(H2964,Stock_list!A:N,14,FALSE)</f>
        <v>NOV 21</v>
      </c>
    </row>
    <row r="2965" spans="1:21" ht="16.5" customHeight="1">
      <c r="A2965" s="159" t="s">
        <v>2744</v>
      </c>
      <c r="B2965" s="114" t="str">
        <f>VLOOKUP(A2965,'Data pick slip'!B:F,5,FALSE)</f>
        <v>KHJ-MC100-00</v>
      </c>
      <c r="F2965" s="157" t="s">
        <v>1381</v>
      </c>
      <c r="H2965" s="138">
        <v>1358</v>
      </c>
      <c r="I2965" s="139" t="str">
        <f>VLOOKUP(H2965,Stock_list!A:R,18,FALSE)</f>
        <v>深圳健科</v>
      </c>
      <c r="J2965" s="139" t="str">
        <f>VLOOKUP(H2965,Stock_list!A:S,17,FALSE)</f>
        <v>C49SZX20210122DZ</v>
      </c>
      <c r="K2965" s="51" t="str">
        <f>VLOOKUP(H2965,Stock_list!A:T,16,FALSE)</f>
        <v>JPY</v>
      </c>
      <c r="L2965" s="4">
        <v>44488</v>
      </c>
      <c r="M2965" s="140">
        <v>120</v>
      </c>
      <c r="P2965" s="4" t="str">
        <f>VLOOKUP(H2965,Stock_list!A:Y,25,FALSE)</f>
        <v>Yes</v>
      </c>
      <c r="Q2965" s="143"/>
      <c r="T2965" s="144"/>
      <c r="U2965" s="145" t="str">
        <f>VLOOKUP(H2965,Stock_list!A:N,14,FALSE)</f>
        <v>OCT 21</v>
      </c>
    </row>
    <row r="2966" spans="1:21" ht="16.5" customHeight="1">
      <c r="A2966" s="159" t="s">
        <v>2747</v>
      </c>
      <c r="B2966" s="114" t="str">
        <f>VLOOKUP(A2966,'Data pick slip'!B:F,5,FALSE)</f>
        <v>KHJ-MC200-00</v>
      </c>
      <c r="F2966" s="157" t="s">
        <v>1381</v>
      </c>
      <c r="H2966" s="138">
        <v>1358</v>
      </c>
      <c r="I2966" s="139" t="str">
        <f>VLOOKUP(H2966,Stock_list!A:R,18,FALSE)</f>
        <v>深圳健科</v>
      </c>
      <c r="J2966" s="139" t="str">
        <f>VLOOKUP(H2966,Stock_list!A:S,17,FALSE)</f>
        <v>C49SZX20210122DZ</v>
      </c>
      <c r="K2966" s="51" t="str">
        <f>VLOOKUP(H2966,Stock_list!A:T,16,FALSE)</f>
        <v>JPY</v>
      </c>
      <c r="L2966" s="4">
        <v>44488</v>
      </c>
      <c r="M2966" s="140">
        <v>20</v>
      </c>
      <c r="P2966" s="4" t="str">
        <f>VLOOKUP(H2966,Stock_list!A:Y,25,FALSE)</f>
        <v>Yes</v>
      </c>
      <c r="Q2966" s="143"/>
      <c r="T2966" s="144"/>
      <c r="U2966" s="145" t="str">
        <f>VLOOKUP(H2966,Stock_list!A:N,14,FALSE)</f>
        <v>OCT 21</v>
      </c>
    </row>
    <row r="2967" spans="1:21" ht="16.5" customHeight="1">
      <c r="A2967" s="159" t="s">
        <v>2748</v>
      </c>
      <c r="B2967" s="114" t="str">
        <f>VLOOKUP(A2967,'Data pick slip'!B:F,5,FALSE)</f>
        <v>KHJ-MC400-00</v>
      </c>
      <c r="F2967" s="157" t="s">
        <v>1381</v>
      </c>
      <c r="H2967" s="138">
        <v>1358</v>
      </c>
      <c r="I2967" s="139" t="str">
        <f>VLOOKUP(H2967,Stock_list!A:R,18,FALSE)</f>
        <v>深圳健科</v>
      </c>
      <c r="J2967" s="139" t="str">
        <f>VLOOKUP(H2967,Stock_list!A:S,17,FALSE)</f>
        <v>C49SZX20210122DZ</v>
      </c>
      <c r="K2967" s="51" t="str">
        <f>VLOOKUP(H2967,Stock_list!A:T,16,FALSE)</f>
        <v>JPY</v>
      </c>
      <c r="L2967" s="4">
        <v>44488</v>
      </c>
      <c r="M2967" s="140">
        <v>4</v>
      </c>
      <c r="P2967" s="4" t="str">
        <f>VLOOKUP(H2967,Stock_list!A:Y,25,FALSE)</f>
        <v>Yes</v>
      </c>
      <c r="Q2967" s="143"/>
      <c r="T2967" s="144"/>
      <c r="U2967" s="145" t="str">
        <f>VLOOKUP(H2967,Stock_list!A:N,14,FALSE)</f>
        <v>OCT 21</v>
      </c>
    </row>
    <row r="2968" spans="1:21" ht="16.5" customHeight="1">
      <c r="A2968" s="159" t="s">
        <v>2744</v>
      </c>
      <c r="B2968" s="114" t="str">
        <f>VLOOKUP(A2968,'Data pick slip'!B:F,5,FALSE)</f>
        <v>KHJ-MC100-00</v>
      </c>
      <c r="F2968" s="157" t="s">
        <v>1381</v>
      </c>
      <c r="H2968" s="138">
        <v>1360</v>
      </c>
      <c r="I2968" s="139" t="str">
        <f>VLOOKUP(H2968,Stock_list!A:R,18,FALSE)</f>
        <v>利速达</v>
      </c>
      <c r="J2968" s="139" t="str">
        <f>VLOOKUP(H2968,Stock_list!A:S,17,FALSE)</f>
        <v>C49SZX20210131SX</v>
      </c>
      <c r="K2968" s="51" t="str">
        <f>VLOOKUP(H2968,Stock_list!A:T,16,FALSE)</f>
        <v>JPY</v>
      </c>
      <c r="L2968" s="4">
        <v>44568</v>
      </c>
      <c r="M2968" s="140">
        <v>30</v>
      </c>
      <c r="P2968" s="4" t="str">
        <f>VLOOKUP(H2968,Stock_list!A:Y,25,FALSE)</f>
        <v>Yes</v>
      </c>
      <c r="Q2968" s="143"/>
      <c r="T2968" s="144"/>
      <c r="U2968" s="145" t="str">
        <f>VLOOKUP(H2968,Stock_list!A:N,14,FALSE)</f>
        <v>JAN 22</v>
      </c>
    </row>
    <row r="2969" spans="1:21" ht="16.5" customHeight="1">
      <c r="A2969" s="159" t="s">
        <v>2747</v>
      </c>
      <c r="B2969" s="114" t="str">
        <f>VLOOKUP(A2969,'Data pick slip'!B:F,5,FALSE)</f>
        <v>KHJ-MC200-00</v>
      </c>
      <c r="F2969" s="157" t="s">
        <v>1381</v>
      </c>
      <c r="H2969" s="138">
        <v>1360</v>
      </c>
      <c r="I2969" s="139" t="str">
        <f>VLOOKUP(H2969,Stock_list!A:R,18,FALSE)</f>
        <v>利速达</v>
      </c>
      <c r="J2969" s="139" t="str">
        <f>VLOOKUP(H2969,Stock_list!A:S,17,FALSE)</f>
        <v>C49SZX20210131SX</v>
      </c>
      <c r="K2969" s="51" t="str">
        <f>VLOOKUP(H2969,Stock_list!A:T,16,FALSE)</f>
        <v>JPY</v>
      </c>
      <c r="L2969" s="4">
        <v>44568</v>
      </c>
      <c r="M2969" s="140">
        <v>4</v>
      </c>
      <c r="P2969" s="4" t="str">
        <f>VLOOKUP(H2969,Stock_list!A:Y,25,FALSE)</f>
        <v>Yes</v>
      </c>
      <c r="Q2969" s="143"/>
      <c r="T2969" s="144"/>
      <c r="U2969" s="145" t="str">
        <f>VLOOKUP(H2969,Stock_list!A:N,14,FALSE)</f>
        <v>JAN 22</v>
      </c>
    </row>
    <row r="2970" spans="1:21" ht="16.5" customHeight="1">
      <c r="A2970" s="159" t="s">
        <v>2747</v>
      </c>
      <c r="B2970" s="114" t="str">
        <f>VLOOKUP(A2970,'Data pick slip'!B:F,5,FALSE)</f>
        <v>KHJ-MC200-00</v>
      </c>
      <c r="F2970" s="157" t="s">
        <v>2753</v>
      </c>
      <c r="H2970" s="138">
        <v>1360</v>
      </c>
      <c r="I2970" s="139" t="str">
        <f>VLOOKUP(H2970,Stock_list!A:R,18,FALSE)</f>
        <v>利速达</v>
      </c>
      <c r="J2970" s="139" t="str">
        <f>VLOOKUP(H2970,Stock_list!A:S,17,FALSE)</f>
        <v>C49SZX20210131SX</v>
      </c>
      <c r="K2970" s="51" t="str">
        <f>VLOOKUP(H2970,Stock_list!A:T,16,FALSE)</f>
        <v>JPY</v>
      </c>
      <c r="L2970" s="4">
        <v>44435</v>
      </c>
      <c r="O2970" s="132">
        <f>4-4</f>
        <v>0</v>
      </c>
      <c r="P2970" s="4" t="str">
        <f>VLOOKUP(H2970,Stock_list!A:Y,25,FALSE)</f>
        <v>Yes</v>
      </c>
      <c r="Q2970" s="143"/>
      <c r="T2970" s="144"/>
      <c r="U2970" s="145" t="str">
        <f>VLOOKUP(H2970,Stock_list!A:N,14,FALSE)</f>
        <v>JAN 22</v>
      </c>
    </row>
    <row r="2971" spans="1:21" ht="16.5" customHeight="1">
      <c r="A2971" s="159" t="s">
        <v>2747</v>
      </c>
      <c r="B2971" s="114" t="str">
        <f>VLOOKUP(A2971,'Data pick slip'!B:F,5,FALSE)</f>
        <v>KHJ-MC200-00</v>
      </c>
      <c r="F2971" s="157" t="s">
        <v>1381</v>
      </c>
      <c r="H2971" s="138">
        <v>1351</v>
      </c>
      <c r="I2971" s="139" t="str">
        <f>VLOOKUP(H2971,Stock_list!A:R,18,FALSE)</f>
        <v>四方信达</v>
      </c>
      <c r="J2971" s="139" t="str">
        <f>VLOOKUP(H2971,Stock_list!A:S,17,FALSE)</f>
        <v>C49SZX20210123JY</v>
      </c>
      <c r="K2971" s="51" t="str">
        <f>VLOOKUP(H2971,Stock_list!A:T,16,FALSE)</f>
        <v>JPY</v>
      </c>
      <c r="L2971" s="4">
        <v>44354</v>
      </c>
      <c r="M2971" s="132">
        <v>3</v>
      </c>
      <c r="P2971" s="4" t="str">
        <f>VLOOKUP(H2971,Stock_list!A:Y,25,FALSE)</f>
        <v>Yes</v>
      </c>
      <c r="Q2971" s="143"/>
      <c r="T2971" s="144"/>
      <c r="U2971" s="145" t="str">
        <f>VLOOKUP(H2971,Stock_list!A:N,14,FALSE)</f>
        <v>JUN 21</v>
      </c>
    </row>
    <row r="2972" spans="1:21" ht="16.5" customHeight="1">
      <c r="A2972" s="159" t="s">
        <v>2744</v>
      </c>
      <c r="B2972" s="114" t="str">
        <f>VLOOKUP(A2972,'Data pick slip'!B:F,5,FALSE)</f>
        <v>KHJ-MC100-00</v>
      </c>
      <c r="F2972" s="157" t="s">
        <v>2753</v>
      </c>
      <c r="I2972" s="139" t="s">
        <v>3094</v>
      </c>
      <c r="J2972" s="267" t="s">
        <v>3436</v>
      </c>
      <c r="K2972" s="51" t="s">
        <v>1246</v>
      </c>
      <c r="L2972" s="4">
        <v>44327</v>
      </c>
      <c r="M2972" s="140">
        <v>40</v>
      </c>
      <c r="P2972" s="4" t="s">
        <v>291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2747</v>
      </c>
      <c r="B2973" s="114" t="str">
        <f>VLOOKUP(A2973,'Data pick slip'!B:F,5,FALSE)</f>
        <v>KHJ-MC200-00</v>
      </c>
      <c r="F2973" s="157" t="s">
        <v>2753</v>
      </c>
      <c r="I2973" s="139" t="s">
        <v>3094</v>
      </c>
      <c r="J2973" s="267" t="s">
        <v>3436</v>
      </c>
      <c r="K2973" s="51" t="s">
        <v>1246</v>
      </c>
      <c r="L2973" s="4">
        <v>44327</v>
      </c>
      <c r="M2973" s="140">
        <v>19</v>
      </c>
      <c r="P2973" s="4" t="s">
        <v>291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2749</v>
      </c>
      <c r="B2974" s="114" t="str">
        <f>VLOOKUP(A2974,'Data pick slip'!B:F,5,FALSE)</f>
        <v>KHJ-MC500-00</v>
      </c>
      <c r="F2974" s="157" t="s">
        <v>2753</v>
      </c>
      <c r="I2974" s="139" t="s">
        <v>3094</v>
      </c>
      <c r="J2974" s="267" t="s">
        <v>3436</v>
      </c>
      <c r="K2974" s="51" t="s">
        <v>1246</v>
      </c>
      <c r="L2974" s="4">
        <v>44327</v>
      </c>
      <c r="M2974" s="140">
        <v>1</v>
      </c>
      <c r="P2974" s="4" t="s">
        <v>291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2768</v>
      </c>
      <c r="B2975" s="114" t="str">
        <f>VLOOKUP(A2975,'Data pick slip'!B:F,5,FALSE)</f>
        <v>KHJ-MC100-00</v>
      </c>
      <c r="F2975" s="157" t="s">
        <v>1381</v>
      </c>
      <c r="I2975" s="269" t="s">
        <v>3414</v>
      </c>
      <c r="J2975" s="139" t="s">
        <v>3437</v>
      </c>
      <c r="K2975" s="51" t="s">
        <v>1246</v>
      </c>
      <c r="L2975" s="4">
        <v>44322</v>
      </c>
      <c r="M2975" s="140">
        <v>200</v>
      </c>
      <c r="P2975" s="4" t="s">
        <v>291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2747</v>
      </c>
      <c r="B2976" s="114" t="str">
        <f>VLOOKUP(A2976,'Data pick slip'!B:F,5,FALSE)</f>
        <v>KHJ-MC200-00</v>
      </c>
      <c r="F2976" s="157" t="s">
        <v>1381</v>
      </c>
      <c r="I2976" s="269" t="s">
        <v>3414</v>
      </c>
      <c r="J2976" s="139" t="s">
        <v>3437</v>
      </c>
      <c r="K2976" s="51" t="s">
        <v>1246</v>
      </c>
      <c r="L2976" s="4">
        <v>44322</v>
      </c>
      <c r="M2976" s="140">
        <v>50</v>
      </c>
      <c r="P2976" s="4" t="s">
        <v>291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2748</v>
      </c>
      <c r="B2977" s="114" t="str">
        <f>VLOOKUP(A2977,'Data pick slip'!B:F,5,FALSE)</f>
        <v>KHJ-MC400-00</v>
      </c>
      <c r="F2977" s="157" t="s">
        <v>1381</v>
      </c>
      <c r="I2977" s="269" t="s">
        <v>3414</v>
      </c>
      <c r="J2977" s="139" t="s">
        <v>3437</v>
      </c>
      <c r="K2977" s="51" t="s">
        <v>1246</v>
      </c>
      <c r="L2977" s="4">
        <v>44322</v>
      </c>
      <c r="M2977" s="140">
        <v>10</v>
      </c>
      <c r="P2977" s="4" t="s">
        <v>291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2749</v>
      </c>
      <c r="B2978" s="114" t="str">
        <f>VLOOKUP(A2978,'Data pick slip'!B:F,5,FALSE)</f>
        <v>KHJ-MC500-00</v>
      </c>
      <c r="F2978" s="157" t="s">
        <v>1381</v>
      </c>
      <c r="I2978" s="269" t="s">
        <v>3414</v>
      </c>
      <c r="J2978" s="139" t="s">
        <v>3437</v>
      </c>
      <c r="K2978" s="51" t="s">
        <v>1246</v>
      </c>
      <c r="L2978" s="4">
        <v>44322</v>
      </c>
      <c r="M2978" s="140">
        <v>5</v>
      </c>
      <c r="P2978" s="4" t="s">
        <v>291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2750</v>
      </c>
      <c r="B2979" s="114" t="str">
        <f>VLOOKUP(A2979,'Data pick slip'!B:F,5,FALSE)</f>
        <v>KHJ-MC600-00</v>
      </c>
      <c r="F2979" s="157" t="s">
        <v>1381</v>
      </c>
      <c r="I2979" s="269" t="s">
        <v>3414</v>
      </c>
      <c r="J2979" s="139" t="s">
        <v>3437</v>
      </c>
      <c r="K2979" s="51" t="s">
        <v>1246</v>
      </c>
      <c r="L2979" s="4">
        <v>44322</v>
      </c>
      <c r="M2979" s="140">
        <v>5</v>
      </c>
      <c r="P2979" s="4" t="s">
        <v>291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2751</v>
      </c>
      <c r="B2980" s="114" t="str">
        <f>VLOOKUP(A2980,'Data pick slip'!B:F,5,FALSE)</f>
        <v>KHJ-MC700-00</v>
      </c>
      <c r="F2980" s="157" t="s">
        <v>1381</v>
      </c>
      <c r="I2980" s="269" t="s">
        <v>3414</v>
      </c>
      <c r="J2980" s="139" t="s">
        <v>3437</v>
      </c>
      <c r="K2980" s="51" t="s">
        <v>1246</v>
      </c>
      <c r="L2980" s="4">
        <v>44322</v>
      </c>
      <c r="M2980" s="140">
        <v>2</v>
      </c>
      <c r="P2980" s="4" t="s">
        <v>291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2744</v>
      </c>
      <c r="B2981" s="114" t="str">
        <f>VLOOKUP(A2981,'Data pick slip'!B:F,5,FALSE)</f>
        <v>KHJ-MC100-00</v>
      </c>
      <c r="F2981" s="157" t="s">
        <v>1381</v>
      </c>
      <c r="I2981" s="269" t="s">
        <v>3414</v>
      </c>
      <c r="J2981" s="139" t="s">
        <v>3438</v>
      </c>
      <c r="K2981" s="51" t="s">
        <v>1246</v>
      </c>
      <c r="L2981" s="4">
        <v>44327</v>
      </c>
      <c r="M2981" s="140">
        <v>100</v>
      </c>
      <c r="P2981" s="4" t="s">
        <v>291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2747</v>
      </c>
      <c r="B2982" s="114" t="str">
        <f>VLOOKUP(A2982,'Data pick slip'!B:F,5,FALSE)</f>
        <v>KHJ-MC200-00</v>
      </c>
      <c r="F2982" s="157" t="s">
        <v>1381</v>
      </c>
      <c r="I2982" s="269" t="s">
        <v>3414</v>
      </c>
      <c r="J2982" s="139" t="s">
        <v>3438</v>
      </c>
      <c r="K2982" s="51" t="s">
        <v>1246</v>
      </c>
      <c r="L2982" s="4">
        <v>44327</v>
      </c>
      <c r="M2982" s="140">
        <v>30</v>
      </c>
      <c r="P2982" s="4" t="s">
        <v>291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2751</v>
      </c>
      <c r="B2983" s="114" t="str">
        <f>VLOOKUP(A2983,'Data pick slip'!B:F,5,FALSE)</f>
        <v>KHJ-MC700-00</v>
      </c>
      <c r="F2983" s="157" t="s">
        <v>1381</v>
      </c>
      <c r="I2983" s="269" t="s">
        <v>3414</v>
      </c>
      <c r="J2983" s="139" t="s">
        <v>3438</v>
      </c>
      <c r="K2983" s="51" t="s">
        <v>1246</v>
      </c>
      <c r="L2983" s="4">
        <v>44327</v>
      </c>
      <c r="M2983" s="140">
        <v>3</v>
      </c>
      <c r="P2983" s="4" t="s">
        <v>291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2752</v>
      </c>
      <c r="B2984" s="114" t="str">
        <f>VLOOKUP(A2984,'Data pick slip'!B:F,5,FALSE)</f>
        <v>KHJ-MC800-00</v>
      </c>
      <c r="F2984" s="157" t="s">
        <v>1381</v>
      </c>
      <c r="I2984" s="269" t="s">
        <v>3414</v>
      </c>
      <c r="J2984" s="139" t="s">
        <v>3438</v>
      </c>
      <c r="K2984" s="51" t="s">
        <v>1246</v>
      </c>
      <c r="L2984" s="4">
        <v>44327</v>
      </c>
      <c r="M2984" s="140">
        <v>1</v>
      </c>
      <c r="P2984" s="4" t="s">
        <v>291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2744</v>
      </c>
      <c r="B2985" s="114" t="str">
        <f>VLOOKUP(A2985,'Data pick slip'!B:F,5,FALSE)</f>
        <v>KHJ-MC100-00</v>
      </c>
      <c r="F2985" s="157" t="s">
        <v>2753</v>
      </c>
      <c r="H2985" s="138">
        <v>1365</v>
      </c>
      <c r="I2985" s="139" t="str">
        <f>VLOOKUP(H2985,Stock_list!A:R,18,FALSE)</f>
        <v>东陆</v>
      </c>
      <c r="J2985" s="139" t="str">
        <f>VLOOKUP(H2985,Stock_list!A:S,17,FALSE)</f>
        <v>C49SZX20210145SX</v>
      </c>
      <c r="K2985" s="51" t="str">
        <f>VLOOKUP(H2985,Stock_list!A:T,16,FALSE)</f>
        <v>RMB</v>
      </c>
      <c r="L2985" s="4">
        <v>44337</v>
      </c>
      <c r="M2985" s="140">
        <v>30</v>
      </c>
      <c r="P2985" s="4" t="str">
        <f>VLOOKUP(H2985,Stock_list!A:Y,25,FALSE)</f>
        <v>Yes</v>
      </c>
      <c r="Q2985" s="143"/>
      <c r="T2985" s="144"/>
      <c r="U2985" s="145" t="str">
        <f>VLOOKUP(H2985,Stock_list!A:N,14,FALSE)</f>
        <v>MAY 21</v>
      </c>
    </row>
    <row r="2986" spans="1:21" ht="16.5" customHeight="1">
      <c r="A2986" s="159" t="s">
        <v>2744</v>
      </c>
      <c r="B2986" s="114" t="str">
        <f>VLOOKUP(A2986,'Data pick slip'!B:F,5,FALSE)</f>
        <v>KHJ-MC100-00</v>
      </c>
      <c r="F2986" s="157" t="s">
        <v>1381</v>
      </c>
      <c r="H2986" s="138">
        <v>1366</v>
      </c>
      <c r="I2986" s="139" t="str">
        <f>VLOOKUP(H2986,Stock_list!A:R,18,FALSE)</f>
        <v>锘铧</v>
      </c>
      <c r="J2986" s="139" t="str">
        <f>VLOOKUP(H2986,Stock_list!A:S,17,FALSE)</f>
        <v>C49SZX20210140DZ</v>
      </c>
      <c r="K2986" s="51" t="str">
        <f>VLOOKUP(H2986,Stock_list!A:T,16,FALSE)</f>
        <v>JPY</v>
      </c>
      <c r="L2986" s="4">
        <v>44335</v>
      </c>
      <c r="M2986" s="140">
        <v>50</v>
      </c>
      <c r="P2986" s="4" t="s">
        <v>291</v>
      </c>
      <c r="Q2986" s="143"/>
      <c r="T2986" s="144"/>
      <c r="U2986" s="145" t="str">
        <f>VLOOKUP(H2986,Stock_list!A:N,14,FALSE)</f>
        <v>MAY 21</v>
      </c>
    </row>
    <row r="2987" spans="1:21" ht="16.5" customHeight="1">
      <c r="A2987" s="159" t="s">
        <v>2744</v>
      </c>
      <c r="B2987" s="114" t="str">
        <f>VLOOKUP(A2987,'Data pick slip'!B:F,5,FALSE)</f>
        <v>KHJ-MC100-00</v>
      </c>
      <c r="F2987" s="157" t="s">
        <v>2753</v>
      </c>
      <c r="I2987" s="139" t="s">
        <v>3094</v>
      </c>
      <c r="J2987" s="267" t="s">
        <v>3439</v>
      </c>
      <c r="K2987" s="51" t="s">
        <v>1246</v>
      </c>
      <c r="L2987" s="4">
        <v>44327</v>
      </c>
      <c r="M2987" s="140">
        <v>15</v>
      </c>
      <c r="P2987" s="4" t="s">
        <v>291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2768</v>
      </c>
      <c r="B2988" s="114" t="str">
        <f>VLOOKUP(A2988,'Data pick slip'!B:F,5,FALSE)</f>
        <v>KHJ-MC100-00</v>
      </c>
      <c r="F2988" s="157" t="s">
        <v>1381</v>
      </c>
      <c r="H2988" s="138">
        <v>1369</v>
      </c>
      <c r="I2988" s="139" t="str">
        <f>VLOOKUP(H2988,Stock_list!A:R,18,FALSE)</f>
        <v>格隆</v>
      </c>
      <c r="J2988" s="139" t="str">
        <f>VLOOKUP(H2988,Stock_list!A:S,17,FALSE)</f>
        <v>C49SZX20210149DY</v>
      </c>
      <c r="K2988" s="51" t="str">
        <f>VLOOKUP(H2988,Stock_list!A:T,16,FALSE)</f>
        <v>JPY</v>
      </c>
      <c r="L2988" s="4">
        <v>44363</v>
      </c>
      <c r="M2988" s="132">
        <v>20</v>
      </c>
      <c r="N2988" s="146"/>
      <c r="P2988" s="4" t="str">
        <f>VLOOKUP(H2988,Stock_list!A:Y,25,FALSE)</f>
        <v>Yes</v>
      </c>
      <c r="Q2988" s="143"/>
      <c r="T2988" s="144"/>
      <c r="U2988" s="145" t="str">
        <f>VLOOKUP(H2988,Stock_list!A:N,14,FALSE)</f>
        <v>MAR 22</v>
      </c>
    </row>
    <row r="2989" spans="1:21" ht="16.5" customHeight="1">
      <c r="A2989" s="159" t="s">
        <v>2747</v>
      </c>
      <c r="B2989" s="114" t="str">
        <f>VLOOKUP(A2989,'Data pick slip'!B:F,5,FALSE)</f>
        <v>KHJ-MC200-00</v>
      </c>
      <c r="F2989" s="157" t="s">
        <v>1381</v>
      </c>
      <c r="H2989" s="138">
        <v>1369</v>
      </c>
      <c r="I2989" s="139" t="str">
        <f>VLOOKUP(H2989,Stock_list!A:R,18,FALSE)</f>
        <v>格隆</v>
      </c>
      <c r="J2989" s="139" t="str">
        <f>VLOOKUP(H2989,Stock_list!A:S,17,FALSE)</f>
        <v>C49SZX20210149DY</v>
      </c>
      <c r="K2989" s="51" t="str">
        <f>VLOOKUP(H2989,Stock_list!A:T,16,FALSE)</f>
        <v>JPY</v>
      </c>
      <c r="L2989" s="4">
        <v>44363</v>
      </c>
      <c r="M2989" s="132">
        <v>5</v>
      </c>
      <c r="N2989" s="146"/>
      <c r="P2989" s="4" t="str">
        <f>VLOOKUP(H2989,Stock_list!A:Y,25,FALSE)</f>
        <v>Yes</v>
      </c>
      <c r="Q2989" s="143"/>
      <c r="T2989" s="144"/>
      <c r="U2989" s="145" t="str">
        <f>VLOOKUP(H2989,Stock_list!A:N,14,FALSE)</f>
        <v>MAR 22</v>
      </c>
    </row>
    <row r="2990" spans="1:21" ht="16.5" customHeight="1">
      <c r="A2990" s="159" t="s">
        <v>2748</v>
      </c>
      <c r="B2990" s="114" t="str">
        <f>VLOOKUP(A2990,'Data pick slip'!B:F,5,FALSE)</f>
        <v>KHJ-MC400-00</v>
      </c>
      <c r="F2990" s="157" t="s">
        <v>1381</v>
      </c>
      <c r="H2990" s="138">
        <v>1369</v>
      </c>
      <c r="I2990" s="139" t="str">
        <f>VLOOKUP(H2990,Stock_list!A:R,18,FALSE)</f>
        <v>格隆</v>
      </c>
      <c r="J2990" s="139" t="str">
        <f>VLOOKUP(H2990,Stock_list!A:S,17,FALSE)</f>
        <v>C49SZX20210149DY</v>
      </c>
      <c r="K2990" s="51" t="str">
        <f>VLOOKUP(H2990,Stock_list!A:T,16,FALSE)</f>
        <v>JPY</v>
      </c>
      <c r="L2990" s="4">
        <v>44363</v>
      </c>
      <c r="M2990" s="132">
        <v>2</v>
      </c>
      <c r="N2990" s="146"/>
      <c r="P2990" s="4" t="str">
        <f>VLOOKUP(H2990,Stock_list!A:Y,25,FALSE)</f>
        <v>Yes</v>
      </c>
      <c r="Q2990" s="143"/>
      <c r="T2990" s="144"/>
      <c r="U2990" s="145" t="str">
        <f>VLOOKUP(H2990,Stock_list!A:N,14,FALSE)</f>
        <v>MAR 22</v>
      </c>
    </row>
    <row r="2991" spans="1:21" ht="16.5" customHeight="1">
      <c r="A2991" s="159" t="s">
        <v>2768</v>
      </c>
      <c r="B2991" s="114" t="str">
        <f>VLOOKUP(A2991,'Data pick slip'!B:F,5,FALSE)</f>
        <v>KHJ-MC100-00</v>
      </c>
      <c r="F2991" s="157" t="s">
        <v>2753</v>
      </c>
      <c r="H2991" s="138">
        <v>1369</v>
      </c>
      <c r="I2991" s="139" t="str">
        <f>VLOOKUP(H2991,Stock_list!A:R,18,FALSE)</f>
        <v>格隆</v>
      </c>
      <c r="J2991" s="139" t="str">
        <f>VLOOKUP(H2991,Stock_list!A:S,17,FALSE)</f>
        <v>C49SZX20210149DY</v>
      </c>
      <c r="K2991" s="51" t="str">
        <f>VLOOKUP(H2991,Stock_list!A:T,16,FALSE)</f>
        <v>JPY</v>
      </c>
      <c r="L2991" s="4">
        <v>44377</v>
      </c>
      <c r="O2991" s="132">
        <f>10-10</f>
        <v>0</v>
      </c>
      <c r="P2991" s="4" t="str">
        <f>VLOOKUP(H2991,Stock_list!A:Y,25,FALSE)</f>
        <v>Yes</v>
      </c>
      <c r="Q2991" s="143"/>
      <c r="T2991" s="144"/>
      <c r="U2991" s="145" t="str">
        <f>VLOOKUP(H2991,Stock_list!A:N,14,FALSE)</f>
        <v>MAR 22</v>
      </c>
    </row>
    <row r="2992" spans="1:21" ht="16.5" customHeight="1">
      <c r="A2992" s="159" t="s">
        <v>2768</v>
      </c>
      <c r="B2992" s="114" t="str">
        <f>VLOOKUP(A2992,'Data pick slip'!B:F,5,FALSE)</f>
        <v>KHJ-MC100-00</v>
      </c>
      <c r="F2992" s="157" t="s">
        <v>1381</v>
      </c>
      <c r="H2992" s="138">
        <v>1369</v>
      </c>
      <c r="I2992" s="139" t="str">
        <f>VLOOKUP(H2992,Stock_list!A:R,18,FALSE)</f>
        <v>格隆</v>
      </c>
      <c r="J2992" s="139" t="str">
        <f>VLOOKUP(H2992,Stock_list!A:S,17,FALSE)</f>
        <v>C49SZX20210149DY</v>
      </c>
      <c r="K2992" s="51" t="str">
        <f>VLOOKUP(H2992,Stock_list!A:T,16,FALSE)</f>
        <v>JPY</v>
      </c>
      <c r="L2992" s="4">
        <v>44648</v>
      </c>
      <c r="M2992" s="140">
        <v>30</v>
      </c>
      <c r="P2992" s="4" t="str">
        <f>VLOOKUP(H2992,Stock_list!A:Y,25,FALSE)</f>
        <v>Yes</v>
      </c>
      <c r="Q2992" s="143"/>
      <c r="T2992" s="144"/>
      <c r="U2992" s="145" t="str">
        <f>VLOOKUP(H2992,Stock_list!A:N,14,FALSE)</f>
        <v>MAR 22</v>
      </c>
    </row>
    <row r="2993" spans="1:21" ht="16.5" customHeight="1">
      <c r="A2993" s="159" t="s">
        <v>2750</v>
      </c>
      <c r="B2993" s="114" t="str">
        <f>VLOOKUP(A2993,'Data pick slip'!B:F,5,FALSE)</f>
        <v>KHJ-MC600-00</v>
      </c>
      <c r="F2993" s="157" t="s">
        <v>2753</v>
      </c>
      <c r="I2993" s="139" t="s">
        <v>3094</v>
      </c>
      <c r="J2993" s="270" t="s">
        <v>3440</v>
      </c>
      <c r="K2993" s="51" t="s">
        <v>1246</v>
      </c>
      <c r="L2993" s="4">
        <v>44333</v>
      </c>
      <c r="M2993" s="140">
        <v>1</v>
      </c>
      <c r="P2993" s="4" t="s">
        <v>291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2768</v>
      </c>
      <c r="B2994" s="114" t="str">
        <f>VLOOKUP(A2994,'Data pick slip'!B:F,5,FALSE)</f>
        <v>KHJ-MC100-00</v>
      </c>
      <c r="F2994" s="157" t="s">
        <v>1381</v>
      </c>
      <c r="H2994" s="138">
        <v>1371</v>
      </c>
      <c r="I2994" s="139" t="str">
        <f>VLOOKUP(H2994,Stock_list!A:R,18,FALSE)</f>
        <v>朗迅</v>
      </c>
      <c r="J2994" s="139" t="str">
        <f>VLOOKUP(H2994,Stock_list!A:S,17,FALSE)</f>
        <v>C49SZX20210147DY</v>
      </c>
      <c r="K2994" s="51" t="str">
        <f>VLOOKUP(H2994,Stock_list!A:T,16,FALSE)</f>
        <v>JPY</v>
      </c>
      <c r="L2994" s="4">
        <v>44645</v>
      </c>
      <c r="M2994" s="132">
        <v>30</v>
      </c>
      <c r="P2994" s="4" t="str">
        <f>VLOOKUP(H2994,Stock_list!A:Y,25,FALSE)</f>
        <v>Yes</v>
      </c>
      <c r="Q2994" s="143"/>
      <c r="T2994" s="144"/>
      <c r="U2994" s="145" t="str">
        <f>VLOOKUP(H2994,Stock_list!A:N,14,FALSE)</f>
        <v>NOV 21</v>
      </c>
    </row>
    <row r="2995" spans="1:21" ht="16.5" customHeight="1">
      <c r="A2995" s="159" t="s">
        <v>2747</v>
      </c>
      <c r="B2995" s="114" t="str">
        <f>VLOOKUP(A2995,'Data pick slip'!B:F,5,FALSE)</f>
        <v>KHJ-MC200-00</v>
      </c>
      <c r="F2995" s="157" t="s">
        <v>1381</v>
      </c>
      <c r="H2995" s="138">
        <v>1371</v>
      </c>
      <c r="I2995" s="139" t="str">
        <f>VLOOKUP(H2995,Stock_list!A:R,18,FALSE)</f>
        <v>朗迅</v>
      </c>
      <c r="J2995" s="139" t="str">
        <f>VLOOKUP(H2995,Stock_list!A:S,17,FALSE)</f>
        <v>C49SZX20210147DY</v>
      </c>
      <c r="K2995" s="51" t="str">
        <f>VLOOKUP(H2995,Stock_list!A:T,16,FALSE)</f>
        <v>JPY</v>
      </c>
      <c r="L2995" s="4">
        <v>44645</v>
      </c>
      <c r="M2995" s="132">
        <v>2</v>
      </c>
      <c r="P2995" s="4" t="str">
        <f>VLOOKUP(H2995,Stock_list!A:Y,25,FALSE)</f>
        <v>Yes</v>
      </c>
      <c r="Q2995" s="143"/>
      <c r="T2995" s="144"/>
      <c r="U2995" s="145" t="str">
        <f>VLOOKUP(H2995,Stock_list!A:N,14,FALSE)</f>
        <v>NOV 21</v>
      </c>
    </row>
    <row r="2996" spans="1:21" ht="16.5" customHeight="1">
      <c r="A2996" s="159" t="s">
        <v>2748</v>
      </c>
      <c r="B2996" s="114" t="str">
        <f>VLOOKUP(A2996,'Data pick slip'!B:F,5,FALSE)</f>
        <v>KHJ-MC400-00</v>
      </c>
      <c r="F2996" s="157" t="s">
        <v>1381</v>
      </c>
      <c r="H2996" s="138">
        <v>1371</v>
      </c>
      <c r="I2996" s="139" t="str">
        <f>VLOOKUP(H2996,Stock_list!A:R,18,FALSE)</f>
        <v>朗迅</v>
      </c>
      <c r="J2996" s="139" t="str">
        <f>VLOOKUP(H2996,Stock_list!A:S,17,FALSE)</f>
        <v>C49SZX20210147DY</v>
      </c>
      <c r="K2996" s="51" t="str">
        <f>VLOOKUP(H2996,Stock_list!A:T,16,FALSE)</f>
        <v>JPY</v>
      </c>
      <c r="L2996" s="4">
        <v>44645</v>
      </c>
      <c r="M2996" s="132">
        <v>2</v>
      </c>
      <c r="P2996" s="4" t="str">
        <f>VLOOKUP(H2996,Stock_list!A:Y,25,FALSE)</f>
        <v>Yes</v>
      </c>
      <c r="Q2996" s="143"/>
      <c r="T2996" s="144"/>
      <c r="U2996" s="145" t="str">
        <f>VLOOKUP(H2996,Stock_list!A:N,14,FALSE)</f>
        <v>NOV 21</v>
      </c>
    </row>
    <row r="2997" spans="1:21" ht="16.5" customHeight="1">
      <c r="A2997" s="159" t="s">
        <v>2768</v>
      </c>
      <c r="B2997" s="114" t="str">
        <f>VLOOKUP(A2997,'Data pick slip'!B:F,5,FALSE)</f>
        <v>KHJ-MC100-00</v>
      </c>
      <c r="F2997" s="157" t="s">
        <v>1381</v>
      </c>
      <c r="H2997" s="138">
        <v>1371</v>
      </c>
      <c r="I2997" s="139" t="str">
        <f>VLOOKUP(H2997,Stock_list!A:R,18,FALSE)</f>
        <v>朗迅</v>
      </c>
      <c r="J2997" s="139" t="str">
        <f>VLOOKUP(H2997,Stock_list!A:S,17,FALSE)</f>
        <v>C49SZX20210147DY</v>
      </c>
      <c r="K2997" s="51" t="str">
        <f>VLOOKUP(H2997,Stock_list!A:T,16,FALSE)</f>
        <v>JPY</v>
      </c>
      <c r="L2997" s="4">
        <v>44512</v>
      </c>
      <c r="M2997" s="132">
        <v>20</v>
      </c>
      <c r="P2997" s="4" t="str">
        <f>VLOOKUP(H2997,Stock_list!A:Y,25,FALSE)</f>
        <v>Yes</v>
      </c>
      <c r="Q2997" s="143"/>
      <c r="T2997" s="144"/>
      <c r="U2997" s="145" t="str">
        <f>VLOOKUP(H2997,Stock_list!A:N,14,FALSE)</f>
        <v>NOV 21</v>
      </c>
    </row>
    <row r="2998" spans="1:21" ht="16.5" customHeight="1">
      <c r="A2998" s="159" t="s">
        <v>2768</v>
      </c>
      <c r="B2998" s="114" t="str">
        <f>VLOOKUP(A2998,'Data pick slip'!B:F,5,FALSE)</f>
        <v>KHJ-MC100-00</v>
      </c>
      <c r="F2998" s="157" t="s">
        <v>1381</v>
      </c>
      <c r="H2998" s="138">
        <v>1371</v>
      </c>
      <c r="I2998" s="139" t="str">
        <f>VLOOKUP(H2998,Stock_list!A:R,18,FALSE)</f>
        <v>朗迅</v>
      </c>
      <c r="J2998" s="139" t="str">
        <f>VLOOKUP(H2998,Stock_list!A:S,17,FALSE)</f>
        <v>C49SZX20210147DY</v>
      </c>
      <c r="K2998" s="51" t="str">
        <f>VLOOKUP(H2998,Stock_list!A:T,16,FALSE)</f>
        <v>JPY</v>
      </c>
      <c r="L2998" s="4">
        <v>44512</v>
      </c>
      <c r="M2998" s="132">
        <v>20</v>
      </c>
      <c r="P2998" s="4" t="str">
        <f>VLOOKUP(H2998,Stock_list!A:Y,25,FALSE)</f>
        <v>Yes</v>
      </c>
      <c r="Q2998" s="143"/>
      <c r="T2998" s="144"/>
      <c r="U2998" s="145" t="str">
        <f>VLOOKUP(H2998,Stock_list!A:N,14,FALSE)</f>
        <v>NOV 21</v>
      </c>
    </row>
    <row r="2999" spans="1:21" ht="16.5" customHeight="1">
      <c r="A2999" s="159" t="s">
        <v>2747</v>
      </c>
      <c r="B2999" s="114" t="str">
        <f>VLOOKUP(A2999,'Data pick slip'!B:F,5,FALSE)</f>
        <v>KHJ-MC200-00</v>
      </c>
      <c r="F2999" s="157" t="s">
        <v>1381</v>
      </c>
      <c r="H2999" s="138">
        <v>1371</v>
      </c>
      <c r="I2999" s="139" t="str">
        <f>VLOOKUP(H2999,Stock_list!A:R,18,FALSE)</f>
        <v>朗迅</v>
      </c>
      <c r="J2999" s="139" t="str">
        <f>VLOOKUP(H2999,Stock_list!A:S,17,FALSE)</f>
        <v>C49SZX20210147DY</v>
      </c>
      <c r="K2999" s="51" t="str">
        <f>VLOOKUP(H2999,Stock_list!A:T,16,FALSE)</f>
        <v>JPY</v>
      </c>
      <c r="L2999" s="4">
        <v>44512</v>
      </c>
      <c r="M2999" s="132">
        <v>8</v>
      </c>
      <c r="P2999" s="4" t="str">
        <f>VLOOKUP(H2999,Stock_list!A:Y,25,FALSE)</f>
        <v>Yes</v>
      </c>
      <c r="Q2999" s="143"/>
      <c r="T2999" s="144"/>
      <c r="U2999" s="145" t="str">
        <f>VLOOKUP(H2999,Stock_list!A:N,14,FALSE)</f>
        <v>NOV 21</v>
      </c>
    </row>
    <row r="3000" spans="1:21" ht="16.5" customHeight="1">
      <c r="A3000" s="159" t="s">
        <v>2748</v>
      </c>
      <c r="B3000" s="114" t="str">
        <f>VLOOKUP(A3000,'Data pick slip'!B:F,5,FALSE)</f>
        <v>KHJ-MC400-00</v>
      </c>
      <c r="F3000" s="157" t="s">
        <v>1381</v>
      </c>
      <c r="H3000" s="138">
        <v>1371</v>
      </c>
      <c r="I3000" s="139" t="str">
        <f>VLOOKUP(H3000,Stock_list!A:R,18,FALSE)</f>
        <v>朗迅</v>
      </c>
      <c r="J3000" s="139" t="str">
        <f>VLOOKUP(H3000,Stock_list!A:S,17,FALSE)</f>
        <v>C49SZX20210147DY</v>
      </c>
      <c r="K3000" s="51" t="str">
        <f>VLOOKUP(H3000,Stock_list!A:T,16,FALSE)</f>
        <v>JPY</v>
      </c>
      <c r="L3000" s="4">
        <v>44512</v>
      </c>
      <c r="M3000" s="132">
        <v>2</v>
      </c>
      <c r="P3000" s="4" t="str">
        <f>VLOOKUP(H3000,Stock_list!A:Y,25,FALSE)</f>
        <v>Yes</v>
      </c>
      <c r="Q3000" s="143"/>
      <c r="T3000" s="144"/>
      <c r="U3000" s="145" t="str">
        <f>VLOOKUP(H3000,Stock_list!A:N,14,FALSE)</f>
        <v>NOV 21</v>
      </c>
    </row>
    <row r="3001" spans="1:21" ht="16.5" customHeight="1">
      <c r="A3001" s="159" t="s">
        <v>2768</v>
      </c>
      <c r="B3001" s="114" t="str">
        <f>VLOOKUP(A3001,'Data pick slip'!B:F,5,FALSE)</f>
        <v>KHJ-MC100-00</v>
      </c>
      <c r="F3001" s="157" t="s">
        <v>2753</v>
      </c>
      <c r="H3001" s="138">
        <v>1371</v>
      </c>
      <c r="I3001" s="139" t="str">
        <f>VLOOKUP(H3001,Stock_list!A:R,18,FALSE)</f>
        <v>朗迅</v>
      </c>
      <c r="J3001" s="139" t="str">
        <f>VLOOKUP(H3001,Stock_list!A:S,17,FALSE)</f>
        <v>C49SZX20210147DY</v>
      </c>
      <c r="K3001" s="51" t="str">
        <f>VLOOKUP(H3001,Stock_list!A:T,16,FALSE)</f>
        <v>JPY</v>
      </c>
      <c r="L3001" s="4">
        <v>44512</v>
      </c>
      <c r="M3001" s="132"/>
      <c r="O3001" s="132">
        <f>20-20</f>
        <v>0</v>
      </c>
      <c r="P3001" s="4" t="str">
        <f>VLOOKUP(H3001,Stock_list!A:Y,25,FALSE)</f>
        <v>Yes</v>
      </c>
      <c r="Q3001" s="143"/>
      <c r="T3001" s="144"/>
      <c r="U3001" s="145" t="str">
        <f>VLOOKUP(H3001,Stock_list!A:N,14,FALSE)</f>
        <v>NOV 21</v>
      </c>
    </row>
    <row r="3002" spans="1:21" ht="16.5" customHeight="1">
      <c r="A3002" s="159" t="s">
        <v>2747</v>
      </c>
      <c r="B3002" s="114" t="str">
        <f>VLOOKUP(A3002,'Data pick slip'!B:F,5,FALSE)</f>
        <v>KHJ-MC200-00</v>
      </c>
      <c r="F3002" s="157" t="s">
        <v>2753</v>
      </c>
      <c r="H3002" s="138">
        <v>1371</v>
      </c>
      <c r="I3002" s="139" t="str">
        <f>VLOOKUP(H3002,Stock_list!A:R,18,FALSE)</f>
        <v>朗迅</v>
      </c>
      <c r="J3002" s="139" t="str">
        <f>VLOOKUP(H3002,Stock_list!A:S,17,FALSE)</f>
        <v>C49SZX20210147DY</v>
      </c>
      <c r="K3002" s="51" t="str">
        <f>VLOOKUP(H3002,Stock_list!A:T,16,FALSE)</f>
        <v>JPY</v>
      </c>
      <c r="L3002" s="4">
        <v>44512</v>
      </c>
      <c r="M3002" s="132"/>
      <c r="O3002" s="132">
        <f>8-8</f>
        <v>0</v>
      </c>
      <c r="P3002" s="4" t="str">
        <f>VLOOKUP(H3002,Stock_list!A:Y,25,FALSE)</f>
        <v>Yes</v>
      </c>
      <c r="Q3002" s="143"/>
      <c r="T3002" s="144"/>
      <c r="U3002" s="145" t="str">
        <f>VLOOKUP(H3002,Stock_list!A:N,14,FALSE)</f>
        <v>NOV 21</v>
      </c>
    </row>
    <row r="3003" spans="1:21" ht="16.5" customHeight="1">
      <c r="A3003" s="159" t="s">
        <v>2748</v>
      </c>
      <c r="B3003" s="114" t="str">
        <f>VLOOKUP(A3003,'Data pick slip'!B:F,5,FALSE)</f>
        <v>KHJ-MC400-00</v>
      </c>
      <c r="F3003" s="157" t="s">
        <v>2753</v>
      </c>
      <c r="H3003" s="138">
        <v>1371</v>
      </c>
      <c r="I3003" s="139" t="str">
        <f>VLOOKUP(H3003,Stock_list!A:R,18,FALSE)</f>
        <v>朗迅</v>
      </c>
      <c r="J3003" s="139" t="str">
        <f>VLOOKUP(H3003,Stock_list!A:S,17,FALSE)</f>
        <v>C49SZX20210147DY</v>
      </c>
      <c r="K3003" s="51" t="str">
        <f>VLOOKUP(H3003,Stock_list!A:T,16,FALSE)</f>
        <v>JPY</v>
      </c>
      <c r="L3003" s="4">
        <v>44512</v>
      </c>
      <c r="M3003" s="132"/>
      <c r="O3003" s="132">
        <f>2-2</f>
        <v>0</v>
      </c>
      <c r="P3003" s="4" t="str">
        <f>VLOOKUP(H3003,Stock_list!A:Y,25,FALSE)</f>
        <v>Yes</v>
      </c>
      <c r="Q3003" s="143"/>
      <c r="T3003" s="144"/>
      <c r="U3003" s="145" t="str">
        <f>VLOOKUP(H3003,Stock_list!A:N,14,FALSE)</f>
        <v>NOV 21</v>
      </c>
    </row>
    <row r="3004" spans="1:21" ht="16.5" customHeight="1">
      <c r="A3004" s="159" t="s">
        <v>2768</v>
      </c>
      <c r="B3004" s="114" t="str">
        <f>VLOOKUP(A3004,'Data pick slip'!B:F,5,FALSE)</f>
        <v>KHJ-MC100-00</v>
      </c>
      <c r="F3004" s="157" t="s">
        <v>2753</v>
      </c>
      <c r="H3004" s="138">
        <v>1371</v>
      </c>
      <c r="I3004" s="139" t="str">
        <f>VLOOKUP(H3004,Stock_list!A:R,18,FALSE)</f>
        <v>朗迅</v>
      </c>
      <c r="J3004" s="139" t="str">
        <f>VLOOKUP(H3004,Stock_list!A:S,17,FALSE)</f>
        <v>C49SZX20210147DY</v>
      </c>
      <c r="K3004" s="51" t="str">
        <f>VLOOKUP(H3004,Stock_list!A:T,16,FALSE)</f>
        <v>JPY</v>
      </c>
      <c r="L3004" s="4">
        <v>44524</v>
      </c>
      <c r="M3004" s="132"/>
      <c r="N3004" s="146"/>
      <c r="O3004" s="132">
        <f>30-30</f>
        <v>0</v>
      </c>
      <c r="P3004" s="4" t="str">
        <f>VLOOKUP(H3004,Stock_list!A:Y,25,FALSE)</f>
        <v>Yes</v>
      </c>
      <c r="Q3004" s="143"/>
      <c r="T3004" s="144"/>
      <c r="U3004" s="145" t="str">
        <f>VLOOKUP(H3004,Stock_list!A:N,14,FALSE)</f>
        <v>NOV 21</v>
      </c>
    </row>
    <row r="3005" spans="1:21" ht="16.5" customHeight="1">
      <c r="A3005" s="159" t="s">
        <v>2747</v>
      </c>
      <c r="B3005" s="114" t="str">
        <f>VLOOKUP(A3005,'Data pick slip'!B:F,5,FALSE)</f>
        <v>KHJ-MC200-00</v>
      </c>
      <c r="F3005" s="157" t="s">
        <v>2753</v>
      </c>
      <c r="H3005" s="138">
        <v>1371</v>
      </c>
      <c r="I3005" s="139" t="str">
        <f>VLOOKUP(H3005,Stock_list!A:R,18,FALSE)</f>
        <v>朗迅</v>
      </c>
      <c r="J3005" s="139" t="str">
        <f>VLOOKUP(H3005,Stock_list!A:S,17,FALSE)</f>
        <v>C49SZX20210147DY</v>
      </c>
      <c r="K3005" s="51" t="str">
        <f>VLOOKUP(H3005,Stock_list!A:T,16,FALSE)</f>
        <v>JPY</v>
      </c>
      <c r="L3005" s="4">
        <v>44524</v>
      </c>
      <c r="M3005" s="132"/>
      <c r="N3005" s="146"/>
      <c r="O3005" s="132">
        <f>2-2</f>
        <v>0</v>
      </c>
      <c r="P3005" s="4" t="str">
        <f>VLOOKUP(H3005,Stock_list!A:Y,25,FALSE)</f>
        <v>Yes</v>
      </c>
      <c r="Q3005" s="143"/>
      <c r="T3005" s="144"/>
      <c r="U3005" s="145" t="str">
        <f>VLOOKUP(H3005,Stock_list!A:N,14,FALSE)</f>
        <v>NOV 21</v>
      </c>
    </row>
    <row r="3006" spans="1:21" ht="16.5" customHeight="1">
      <c r="A3006" s="159" t="s">
        <v>2748</v>
      </c>
      <c r="B3006" s="114" t="str">
        <f>VLOOKUP(A3006,'Data pick slip'!B:F,5,FALSE)</f>
        <v>KHJ-MC400-00</v>
      </c>
      <c r="F3006" s="157" t="s">
        <v>2753</v>
      </c>
      <c r="H3006" s="138">
        <v>1371</v>
      </c>
      <c r="I3006" s="139" t="str">
        <f>VLOOKUP(H3006,Stock_list!A:R,18,FALSE)</f>
        <v>朗迅</v>
      </c>
      <c r="J3006" s="139" t="str">
        <f>VLOOKUP(H3006,Stock_list!A:S,17,FALSE)</f>
        <v>C49SZX20210147DY</v>
      </c>
      <c r="K3006" s="51" t="str">
        <f>VLOOKUP(H3006,Stock_list!A:T,16,FALSE)</f>
        <v>JPY</v>
      </c>
      <c r="L3006" s="4">
        <v>44524</v>
      </c>
      <c r="M3006" s="132"/>
      <c r="N3006" s="146"/>
      <c r="O3006" s="132">
        <f>2-2</f>
        <v>0</v>
      </c>
      <c r="P3006" s="4" t="str">
        <f>VLOOKUP(H3006,Stock_list!A:Y,25,FALSE)</f>
        <v>Yes</v>
      </c>
      <c r="Q3006" s="143"/>
      <c r="T3006" s="144"/>
      <c r="U3006" s="145" t="str">
        <f>VLOOKUP(H3006,Stock_list!A:N,14,FALSE)</f>
        <v>NOV 21</v>
      </c>
    </row>
    <row r="3007" spans="1:21" ht="16.5" customHeight="1">
      <c r="A3007" s="159" t="s">
        <v>2768</v>
      </c>
      <c r="B3007" s="114" t="str">
        <f>VLOOKUP(A3007,'Data pick slip'!B:F,5,FALSE)</f>
        <v>KHJ-MC100-00</v>
      </c>
      <c r="F3007" s="157" t="s">
        <v>1381</v>
      </c>
      <c r="H3007" s="138">
        <v>1375</v>
      </c>
      <c r="I3007" s="139" t="str">
        <f>VLOOKUP(H3007,Stock_list!A:R,18,FALSE)</f>
        <v>力通威</v>
      </c>
      <c r="J3007" s="139" t="str">
        <f>VLOOKUP(H3007,Stock_list!A:S,17,FALSE)</f>
        <v>C49SZX20210138JL</v>
      </c>
      <c r="K3007" s="51" t="str">
        <f>VLOOKUP(H3007,Stock_list!A:T,16,FALSE)</f>
        <v>JPY</v>
      </c>
      <c r="L3007" s="4">
        <v>44358</v>
      </c>
      <c r="M3007" s="140">
        <v>25</v>
      </c>
      <c r="P3007" s="4" t="str">
        <f>VLOOKUP(H3007,Stock_list!A:Y,25,FALSE)</f>
        <v>Yes</v>
      </c>
      <c r="Q3007" s="143"/>
      <c r="T3007" s="144"/>
      <c r="U3007" s="145" t="str">
        <f>VLOOKUP(H3007,Stock_list!A:N,14,FALSE)</f>
        <v>JUN 21</v>
      </c>
    </row>
    <row r="3008" spans="1:21" ht="16.5" customHeight="1">
      <c r="A3008" s="159" t="s">
        <v>2747</v>
      </c>
      <c r="B3008" s="114" t="str">
        <f>VLOOKUP(A3008,'Data pick slip'!B:F,5,FALSE)</f>
        <v>KHJ-MC200-00</v>
      </c>
      <c r="F3008" s="157" t="s">
        <v>1381</v>
      </c>
      <c r="H3008" s="138">
        <v>1375</v>
      </c>
      <c r="I3008" s="139" t="str">
        <f>VLOOKUP(H3008,Stock_list!A:R,18,FALSE)</f>
        <v>力通威</v>
      </c>
      <c r="J3008" s="139" t="str">
        <f>VLOOKUP(H3008,Stock_list!A:S,17,FALSE)</f>
        <v>C49SZX20210138JL</v>
      </c>
      <c r="K3008" s="51" t="str">
        <f>VLOOKUP(H3008,Stock_list!A:T,16,FALSE)</f>
        <v>JPY</v>
      </c>
      <c r="L3008" s="4">
        <v>44358</v>
      </c>
      <c r="M3008" s="140">
        <v>5</v>
      </c>
      <c r="P3008" s="4" t="str">
        <f>VLOOKUP(H3008,Stock_list!A:Y,25,FALSE)</f>
        <v>Yes</v>
      </c>
      <c r="Q3008" s="143"/>
      <c r="T3008" s="144"/>
      <c r="U3008" s="145" t="str">
        <f>VLOOKUP(H3008,Stock_list!A:N,14,FALSE)</f>
        <v>JUN 21</v>
      </c>
    </row>
    <row r="3009" spans="1:21" ht="16.5" customHeight="1">
      <c r="A3009" s="159" t="s">
        <v>2748</v>
      </c>
      <c r="B3009" s="114" t="str">
        <f>VLOOKUP(A3009,'Data pick slip'!B:F,5,FALSE)</f>
        <v>KHJ-MC400-00</v>
      </c>
      <c r="F3009" s="157" t="s">
        <v>1381</v>
      </c>
      <c r="H3009" s="138">
        <v>1375</v>
      </c>
      <c r="I3009" s="139" t="str">
        <f>VLOOKUP(H3009,Stock_list!A:R,18,FALSE)</f>
        <v>力通威</v>
      </c>
      <c r="J3009" s="139" t="str">
        <f>VLOOKUP(H3009,Stock_list!A:S,17,FALSE)</f>
        <v>C49SZX20210138JL</v>
      </c>
      <c r="K3009" s="51" t="str">
        <f>VLOOKUP(H3009,Stock_list!A:T,16,FALSE)</f>
        <v>JPY</v>
      </c>
      <c r="L3009" s="4">
        <v>44358</v>
      </c>
      <c r="M3009" s="140">
        <v>1</v>
      </c>
      <c r="P3009" s="4" t="str">
        <f>VLOOKUP(H3009,Stock_list!A:Y,25,FALSE)</f>
        <v>Yes</v>
      </c>
      <c r="Q3009" s="143"/>
      <c r="T3009" s="144"/>
      <c r="U3009" s="145" t="str">
        <f>VLOOKUP(H3009,Stock_list!A:N,14,FALSE)</f>
        <v>JUN 21</v>
      </c>
    </row>
    <row r="3010" spans="1:21" ht="16.5" customHeight="1">
      <c r="A3010" s="159" t="s">
        <v>2747</v>
      </c>
      <c r="B3010" s="114" t="str">
        <f>VLOOKUP(A3010,'Data pick slip'!B:F,5,FALSE)</f>
        <v>KHJ-MC200-00</v>
      </c>
      <c r="F3010" s="157" t="s">
        <v>2753</v>
      </c>
      <c r="I3010" s="139" t="s">
        <v>3094</v>
      </c>
      <c r="J3010" s="267" t="s">
        <v>3441</v>
      </c>
      <c r="K3010" s="51" t="s">
        <v>1246</v>
      </c>
      <c r="L3010" s="4">
        <v>44335</v>
      </c>
      <c r="M3010" s="140">
        <v>5</v>
      </c>
      <c r="P3010" s="4" t="s">
        <v>291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2768</v>
      </c>
      <c r="B3011" s="114" t="str">
        <f>VLOOKUP(A3011,'Data pick slip'!B:F,5,FALSE)</f>
        <v>KHJ-MC100-00</v>
      </c>
      <c r="F3011" s="157" t="s">
        <v>1381</v>
      </c>
      <c r="I3011" s="269" t="s">
        <v>3414</v>
      </c>
      <c r="J3011" s="139" t="s">
        <v>3442</v>
      </c>
      <c r="K3011" s="51" t="s">
        <v>1246</v>
      </c>
      <c r="L3011" s="4">
        <v>44337</v>
      </c>
      <c r="M3011" s="171">
        <v>100</v>
      </c>
      <c r="P3011" s="4" t="s">
        <v>291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2747</v>
      </c>
      <c r="B3012" s="114" t="str">
        <f>VLOOKUP(A3012,'Data pick slip'!B:F,5,FALSE)</f>
        <v>KHJ-MC200-00</v>
      </c>
      <c r="F3012" s="157" t="s">
        <v>1381</v>
      </c>
      <c r="I3012" s="269" t="s">
        <v>3414</v>
      </c>
      <c r="J3012" s="139" t="s">
        <v>3442</v>
      </c>
      <c r="K3012" s="51" t="s">
        <v>1246</v>
      </c>
      <c r="L3012" s="4">
        <v>44337</v>
      </c>
      <c r="M3012" s="171">
        <v>45</v>
      </c>
      <c r="P3012" s="4" t="s">
        <v>291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2748</v>
      </c>
      <c r="B3013" s="114" t="str">
        <f>VLOOKUP(A3013,'Data pick slip'!B:F,5,FALSE)</f>
        <v>KHJ-MC400-00</v>
      </c>
      <c r="F3013" s="157" t="s">
        <v>1381</v>
      </c>
      <c r="I3013" s="269" t="s">
        <v>3414</v>
      </c>
      <c r="J3013" s="139" t="s">
        <v>3442</v>
      </c>
      <c r="K3013" s="51" t="s">
        <v>1246</v>
      </c>
      <c r="L3013" s="4">
        <v>44337</v>
      </c>
      <c r="M3013" s="171">
        <v>6</v>
      </c>
      <c r="P3013" s="4" t="s">
        <v>291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2751</v>
      </c>
      <c r="B3014" s="114" t="str">
        <f>VLOOKUP(A3014,'Data pick slip'!B:F,5,FALSE)</f>
        <v>KHJ-MC700-00</v>
      </c>
      <c r="F3014" s="157" t="s">
        <v>1381</v>
      </c>
      <c r="I3014" s="269" t="s">
        <v>3414</v>
      </c>
      <c r="J3014" s="139" t="s">
        <v>3442</v>
      </c>
      <c r="K3014" s="51" t="s">
        <v>1246</v>
      </c>
      <c r="L3014" s="4">
        <v>44337</v>
      </c>
      <c r="M3014" s="171">
        <v>1</v>
      </c>
      <c r="P3014" s="4" t="s">
        <v>291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2750</v>
      </c>
      <c r="B3015" s="114" t="str">
        <f>VLOOKUP(A3015,'Data pick slip'!B:F,5,FALSE)</f>
        <v>KHJ-MC600-00</v>
      </c>
      <c r="F3015" s="157" t="s">
        <v>2753</v>
      </c>
      <c r="I3015" s="139" t="s">
        <v>3100</v>
      </c>
      <c r="J3015" s="139" t="s">
        <v>3443</v>
      </c>
      <c r="K3015" s="51" t="s">
        <v>1246</v>
      </c>
      <c r="L3015" s="4">
        <v>44337</v>
      </c>
      <c r="M3015" s="140">
        <v>1</v>
      </c>
      <c r="P3015" s="4" t="s">
        <v>291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2751</v>
      </c>
      <c r="B3016" s="114" t="str">
        <f>VLOOKUP(A3016,'Data pick slip'!B:F,5,FALSE)</f>
        <v>KHJ-MC700-00</v>
      </c>
      <c r="F3016" s="157" t="s">
        <v>2753</v>
      </c>
      <c r="I3016" s="139" t="s">
        <v>3100</v>
      </c>
      <c r="J3016" s="267" t="s">
        <v>3444</v>
      </c>
      <c r="K3016" s="51" t="s">
        <v>1246</v>
      </c>
      <c r="L3016" s="4">
        <v>44337</v>
      </c>
      <c r="M3016" s="140">
        <v>1</v>
      </c>
      <c r="P3016" s="4" t="s">
        <v>291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2749</v>
      </c>
      <c r="B3017" s="114" t="str">
        <f>VLOOKUP(A3017,'Data pick slip'!B:F,5,FALSE)</f>
        <v>KHJ-MC500-00</v>
      </c>
      <c r="F3017" s="157" t="s">
        <v>2753</v>
      </c>
      <c r="I3017" s="139" t="s">
        <v>3100</v>
      </c>
      <c r="J3017" s="267" t="s">
        <v>3445</v>
      </c>
      <c r="K3017" s="51" t="s">
        <v>1246</v>
      </c>
      <c r="L3017" s="4">
        <v>44337</v>
      </c>
      <c r="M3017" s="140">
        <v>6</v>
      </c>
      <c r="P3017" s="4" t="s">
        <v>291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2768</v>
      </c>
      <c r="B3018" s="114" t="str">
        <f>VLOOKUP(A3018,'Data pick slip'!B:F,5,FALSE)</f>
        <v>KHJ-MC100-00</v>
      </c>
      <c r="F3018" s="157" t="s">
        <v>1381</v>
      </c>
      <c r="H3018" s="138">
        <v>1376</v>
      </c>
      <c r="I3018" s="139" t="str">
        <f>VLOOKUP(H3018,Stock_list!A:R,18,FALSE)</f>
        <v>莫思特</v>
      </c>
      <c r="J3018" s="139" t="str">
        <f>VLOOKUP(H3018,Stock_list!A:S,17,FALSE)</f>
        <v>C49SZX20210150SX</v>
      </c>
      <c r="K3018" s="51" t="str">
        <f>VLOOKUP(H3018,Stock_list!A:T,16,FALSE)</f>
        <v>JPY</v>
      </c>
      <c r="L3018" s="4">
        <v>44568</v>
      </c>
      <c r="M3018" s="140">
        <v>20</v>
      </c>
      <c r="P3018" s="4" t="str">
        <f>VLOOKUP(H3018,Stock_list!A:Y,25,FALSE)</f>
        <v>Yes</v>
      </c>
      <c r="Q3018" s="143"/>
      <c r="T3018" s="144"/>
      <c r="U3018" s="145" t="str">
        <f>VLOOKUP(H3018,Stock_list!A:N,14,FALSE)</f>
        <v>JAN 22</v>
      </c>
    </row>
    <row r="3019" spans="1:21" ht="16.5" customHeight="1">
      <c r="A3019" s="159" t="s">
        <v>2747</v>
      </c>
      <c r="B3019" s="114" t="str">
        <f>VLOOKUP(A3019,'Data pick slip'!B:F,5,FALSE)</f>
        <v>KHJ-MC200-00</v>
      </c>
      <c r="F3019" s="157" t="s">
        <v>1381</v>
      </c>
      <c r="H3019" s="138">
        <v>1376</v>
      </c>
      <c r="I3019" s="139" t="str">
        <f>VLOOKUP(H3019,Stock_list!A:R,18,FALSE)</f>
        <v>莫思特</v>
      </c>
      <c r="J3019" s="139" t="str">
        <f>VLOOKUP(H3019,Stock_list!A:S,17,FALSE)</f>
        <v>C49SZX20210150SX</v>
      </c>
      <c r="K3019" s="51" t="str">
        <f>VLOOKUP(H3019,Stock_list!A:T,16,FALSE)</f>
        <v>JPY</v>
      </c>
      <c r="L3019" s="4">
        <v>44568</v>
      </c>
      <c r="M3019" s="140">
        <v>5</v>
      </c>
      <c r="P3019" s="4" t="str">
        <f>VLOOKUP(H3019,Stock_list!A:Y,25,FALSE)</f>
        <v>Yes</v>
      </c>
      <c r="Q3019" s="143"/>
      <c r="T3019" s="144"/>
      <c r="U3019" s="145" t="str">
        <f>VLOOKUP(H3019,Stock_list!A:N,14,FALSE)</f>
        <v>JAN 22</v>
      </c>
    </row>
    <row r="3020" spans="1:21" ht="16.5" customHeight="1">
      <c r="A3020" s="159" t="s">
        <v>2768</v>
      </c>
      <c r="B3020" s="114" t="str">
        <f>VLOOKUP(A3020,'Data pick slip'!B:F,5,FALSE)</f>
        <v>KHJ-MC100-00</v>
      </c>
      <c r="F3020" s="157" t="s">
        <v>1381</v>
      </c>
      <c r="H3020" s="138">
        <v>1377</v>
      </c>
      <c r="I3020" s="139" t="str">
        <f>VLOOKUP(H3020,Stock_list!A:R,18,FALSE)</f>
        <v>龙腾共创</v>
      </c>
      <c r="J3020" s="139" t="str">
        <f>VLOOKUP(H3020,Stock_list!A:S,17,FALSE)</f>
        <v>C49SZX20210151SX</v>
      </c>
      <c r="K3020" s="51" t="str">
        <f>VLOOKUP(H3020,Stock_list!A:T,16,FALSE)</f>
        <v>JPY</v>
      </c>
      <c r="L3020" s="286">
        <v>44530</v>
      </c>
      <c r="M3020" s="283">
        <v>20</v>
      </c>
      <c r="P3020" s="4" t="str">
        <f>VLOOKUP(H3020,Stock_list!A:Y,25,FALSE)</f>
        <v>Yes</v>
      </c>
      <c r="Q3020" s="143"/>
      <c r="T3020" s="144"/>
      <c r="U3020" s="145" t="str">
        <f>VLOOKUP(H3020,Stock_list!A:N,14,FALSE)</f>
        <v>NOV 21</v>
      </c>
    </row>
    <row r="3021" spans="1:21" ht="16.5" customHeight="1">
      <c r="A3021" s="159" t="s">
        <v>2747</v>
      </c>
      <c r="B3021" s="114" t="str">
        <f>VLOOKUP(A3021,'Data pick slip'!B:F,5,FALSE)</f>
        <v>KHJ-MC200-00</v>
      </c>
      <c r="F3021" s="157" t="s">
        <v>1381</v>
      </c>
      <c r="H3021" s="138">
        <v>1377</v>
      </c>
      <c r="I3021" s="139" t="str">
        <f>VLOOKUP(H3021,Stock_list!A:R,18,FALSE)</f>
        <v>龙腾共创</v>
      </c>
      <c r="J3021" s="139" t="str">
        <f>VLOOKUP(H3021,Stock_list!A:S,17,FALSE)</f>
        <v>C49SZX20210151SX</v>
      </c>
      <c r="K3021" s="258" t="str">
        <f>VLOOKUP(H3021,Stock_list!A:T,16,FALSE)</f>
        <v>JPY</v>
      </c>
      <c r="L3021" s="286">
        <v>44530</v>
      </c>
      <c r="M3021" s="283">
        <v>20</v>
      </c>
      <c r="P3021" s="4" t="str">
        <f>VLOOKUP(H3021,Stock_list!A:Y,25,FALSE)</f>
        <v>Yes</v>
      </c>
      <c r="Q3021" s="143"/>
      <c r="T3021" s="144"/>
      <c r="U3021" s="145" t="str">
        <f>VLOOKUP(H3021,Stock_list!A:N,14,FALSE)</f>
        <v>NOV 21</v>
      </c>
    </row>
    <row r="3022" spans="1:21" ht="16.5" customHeight="1">
      <c r="A3022" s="159" t="s">
        <v>2744</v>
      </c>
      <c r="B3022" s="114" t="str">
        <f>VLOOKUP(A3022,'Data pick slip'!B:F,5,FALSE)</f>
        <v>KHJ-MC100-00</v>
      </c>
      <c r="F3022" s="157" t="s">
        <v>1381</v>
      </c>
      <c r="H3022" s="138">
        <v>1378</v>
      </c>
      <c r="I3022" s="139" t="str">
        <f>VLOOKUP(H3022,Stock_list!A:R,18,FALSE)</f>
        <v>巨能</v>
      </c>
      <c r="J3022" s="139" t="str">
        <f>VLOOKUP(H3022,Stock_list!A:S,17,FALSE)</f>
        <v>C49SZX20210153MZ</v>
      </c>
      <c r="K3022" s="51" t="str">
        <f>VLOOKUP(H3022,Stock_list!A:T,16,FALSE)</f>
        <v>JPY</v>
      </c>
      <c r="L3022" s="4">
        <v>44370</v>
      </c>
      <c r="M3022" s="132">
        <v>40</v>
      </c>
      <c r="P3022" s="4" t="str">
        <f>VLOOKUP(H3022,Stock_list!A:Y,25,FALSE)</f>
        <v>Yes</v>
      </c>
      <c r="Q3022" s="143"/>
      <c r="T3022" s="144"/>
      <c r="U3022" s="145" t="str">
        <f>VLOOKUP(H3022,Stock_list!A:N,14,FALSE)</f>
        <v>JUN 21</v>
      </c>
    </row>
    <row r="3023" spans="1:21" ht="16.5" customHeight="1">
      <c r="A3023" s="159" t="s">
        <v>2747</v>
      </c>
      <c r="B3023" s="114" t="str">
        <f>VLOOKUP(A3023,'Data pick slip'!B:F,5,FALSE)</f>
        <v>KHJ-MC200-00</v>
      </c>
      <c r="F3023" s="157" t="s">
        <v>1381</v>
      </c>
      <c r="H3023" s="138">
        <v>1378</v>
      </c>
      <c r="I3023" s="139" t="str">
        <f>VLOOKUP(H3023,Stock_list!A:R,18,FALSE)</f>
        <v>巨能</v>
      </c>
      <c r="J3023" s="139" t="str">
        <f>VLOOKUP(H3023,Stock_list!A:S,17,FALSE)</f>
        <v>C49SZX20210153MZ</v>
      </c>
      <c r="K3023" s="51" t="str">
        <f>VLOOKUP(H3023,Stock_list!A:T,16,FALSE)</f>
        <v>JPY</v>
      </c>
      <c r="L3023" s="4">
        <v>44370</v>
      </c>
      <c r="M3023" s="132">
        <v>8</v>
      </c>
      <c r="P3023" s="4" t="str">
        <f>VLOOKUP(H3023,Stock_list!A:Y,25,FALSE)</f>
        <v>Yes</v>
      </c>
      <c r="Q3023" s="143"/>
      <c r="T3023" s="144"/>
      <c r="U3023" s="145" t="str">
        <f>VLOOKUP(H3023,Stock_list!A:N,14,FALSE)</f>
        <v>JUN 21</v>
      </c>
    </row>
    <row r="3024" spans="1:21" ht="16.5" customHeight="1">
      <c r="A3024" s="159" t="s">
        <v>2748</v>
      </c>
      <c r="B3024" s="114" t="str">
        <f>VLOOKUP(A3024,'Data pick slip'!B:F,5,FALSE)</f>
        <v>KHJ-MC400-00</v>
      </c>
      <c r="F3024" s="157" t="s">
        <v>1381</v>
      </c>
      <c r="H3024" s="138">
        <v>1378</v>
      </c>
      <c r="I3024" s="139" t="str">
        <f>VLOOKUP(H3024,Stock_list!A:R,18,FALSE)</f>
        <v>巨能</v>
      </c>
      <c r="J3024" s="139" t="str">
        <f>VLOOKUP(H3024,Stock_list!A:S,17,FALSE)</f>
        <v>C49SZX20210153MZ</v>
      </c>
      <c r="K3024" s="51" t="str">
        <f>VLOOKUP(H3024,Stock_list!A:T,16,FALSE)</f>
        <v>JPY</v>
      </c>
      <c r="L3024" s="4">
        <v>44370</v>
      </c>
      <c r="M3024" s="132">
        <v>2</v>
      </c>
      <c r="P3024" s="4" t="str">
        <f>VLOOKUP(H3024,Stock_list!A:Y,25,FALSE)</f>
        <v>Yes</v>
      </c>
      <c r="Q3024" s="143"/>
      <c r="T3024" s="144"/>
      <c r="U3024" s="145" t="str">
        <f>VLOOKUP(H3024,Stock_list!A:N,14,FALSE)</f>
        <v>JUN 21</v>
      </c>
    </row>
    <row r="3025" spans="1:21" ht="16.5" customHeight="1">
      <c r="A3025" s="159" t="s">
        <v>2749</v>
      </c>
      <c r="B3025" s="114" t="str">
        <f>VLOOKUP(A3025,'Data pick slip'!B:F,5,FALSE)</f>
        <v>KHJ-MC500-00</v>
      </c>
      <c r="F3025" s="157" t="s">
        <v>1381</v>
      </c>
      <c r="H3025" s="138">
        <v>1378</v>
      </c>
      <c r="I3025" s="139" t="str">
        <f>VLOOKUP(H3025,Stock_list!A:R,18,FALSE)</f>
        <v>巨能</v>
      </c>
      <c r="J3025" s="139" t="str">
        <f>VLOOKUP(H3025,Stock_list!A:S,17,FALSE)</f>
        <v>C49SZX20210153MZ</v>
      </c>
      <c r="K3025" s="51" t="str">
        <f>VLOOKUP(H3025,Stock_list!A:T,16,FALSE)</f>
        <v>JPY</v>
      </c>
      <c r="L3025" s="4">
        <v>44370</v>
      </c>
      <c r="M3025" s="132">
        <v>1</v>
      </c>
      <c r="P3025" s="4" t="str">
        <f>VLOOKUP(H3025,Stock_list!A:Y,25,FALSE)</f>
        <v>Yes</v>
      </c>
      <c r="Q3025" s="143"/>
      <c r="T3025" s="144"/>
      <c r="U3025" s="145" t="str">
        <f>VLOOKUP(H3025,Stock_list!A:N,14,FALSE)</f>
        <v>JUN 21</v>
      </c>
    </row>
    <row r="3026" spans="1:21" ht="16.5" customHeight="1">
      <c r="A3026" s="159" t="s">
        <v>2744</v>
      </c>
      <c r="B3026" s="114" t="str">
        <f>VLOOKUP(A3026,'Data pick slip'!B:F,5,FALSE)</f>
        <v>KHJ-MC100-00</v>
      </c>
      <c r="F3026" s="157" t="s">
        <v>1381</v>
      </c>
      <c r="H3026" s="138">
        <v>1379</v>
      </c>
      <c r="I3026" s="139" t="str">
        <f>VLOOKUP(H3026,Stock_list!A:R,18,FALSE)</f>
        <v>巨能</v>
      </c>
      <c r="J3026" s="139" t="str">
        <f>VLOOKUP(H3026,Stock_list!A:S,17,FALSE)</f>
        <v>C49SZX20210154MZ</v>
      </c>
      <c r="K3026" s="51" t="str">
        <f>VLOOKUP(H3026,Stock_list!A:T,16,FALSE)</f>
        <v>JPY</v>
      </c>
      <c r="L3026" s="4">
        <v>44425</v>
      </c>
      <c r="M3026" s="140">
        <v>20</v>
      </c>
      <c r="P3026" s="4" t="str">
        <f>VLOOKUP(H3026,Stock_list!A:Y,25,FALSE)</f>
        <v>Yes</v>
      </c>
      <c r="Q3026" s="143"/>
      <c r="T3026" s="144"/>
      <c r="U3026" s="145" t="str">
        <f>VLOOKUP(H3026,Stock_list!A:N,14,FALSE)</f>
        <v>AUG 21</v>
      </c>
    </row>
    <row r="3027" spans="1:21" ht="16.5" customHeight="1">
      <c r="A3027" s="159" t="s">
        <v>2744</v>
      </c>
      <c r="B3027" s="114" t="str">
        <f>VLOOKUP(A3027,'Data pick slip'!B:F,5,FALSE)</f>
        <v>KHJ-MC100-00</v>
      </c>
      <c r="F3027" s="157" t="s">
        <v>1381</v>
      </c>
      <c r="H3027" s="138">
        <v>1380</v>
      </c>
      <c r="I3027" s="139" t="str">
        <f>VLOOKUP(H3027,Stock_list!A:R,18,FALSE)</f>
        <v>巨能</v>
      </c>
      <c r="J3027" s="139" t="str">
        <f>VLOOKUP(H3027,Stock_list!A:S,17,FALSE)</f>
        <v>C49SZX20210155MZR1</v>
      </c>
      <c r="K3027" s="51" t="str">
        <f>VLOOKUP(H3027,Stock_list!A:T,16,FALSE)</f>
        <v>JPY</v>
      </c>
      <c r="L3027" s="4">
        <v>44672</v>
      </c>
      <c r="M3027" s="132">
        <v>30</v>
      </c>
      <c r="P3027" s="4" t="str">
        <f>VLOOKUP(H3027,Stock_list!A:Y,25,FALSE)</f>
        <v>Yes</v>
      </c>
      <c r="Q3027" s="143"/>
      <c r="T3027" s="144"/>
      <c r="U3027" s="145" t="str">
        <f>VLOOKUP(H3027,Stock_list!A:N,14,FALSE)</f>
        <v>APR 22</v>
      </c>
    </row>
    <row r="3028" spans="1:21" ht="16.5" customHeight="1">
      <c r="A3028" s="159" t="s">
        <v>2747</v>
      </c>
      <c r="B3028" s="114" t="str">
        <f>VLOOKUP(A3028,'Data pick slip'!B:F,5,FALSE)</f>
        <v>KHJ-MC200-00</v>
      </c>
      <c r="F3028" s="157" t="s">
        <v>1381</v>
      </c>
      <c r="H3028" s="138">
        <v>1380</v>
      </c>
      <c r="I3028" s="139" t="str">
        <f>VLOOKUP(H3028,Stock_list!A:R,18,FALSE)</f>
        <v>巨能</v>
      </c>
      <c r="J3028" s="139" t="str">
        <f>VLOOKUP(H3028,Stock_list!A:S,17,FALSE)</f>
        <v>C49SZX20210155MZR1</v>
      </c>
      <c r="K3028" s="51" t="str">
        <f>VLOOKUP(H3028,Stock_list!A:T,16,FALSE)</f>
        <v>JPY</v>
      </c>
      <c r="L3028" s="4">
        <v>44672</v>
      </c>
      <c r="M3028" s="132">
        <v>4</v>
      </c>
      <c r="P3028" s="4" t="str">
        <f>VLOOKUP(H3028,Stock_list!A:Y,25,FALSE)</f>
        <v>Yes</v>
      </c>
      <c r="Q3028" s="143"/>
      <c r="T3028" s="144"/>
      <c r="U3028" s="145" t="str">
        <f>VLOOKUP(H3028,Stock_list!A:N,14,FALSE)</f>
        <v>APR 22</v>
      </c>
    </row>
    <row r="3029" spans="1:21" ht="16.5" customHeight="1">
      <c r="A3029" s="159" t="s">
        <v>2748</v>
      </c>
      <c r="B3029" s="114" t="str">
        <f>VLOOKUP(A3029,'Data pick slip'!B:F,5,FALSE)</f>
        <v>KHJ-MC400-00</v>
      </c>
      <c r="F3029" s="157" t="s">
        <v>1381</v>
      </c>
      <c r="H3029" s="138">
        <v>1380</v>
      </c>
      <c r="I3029" s="139" t="str">
        <f>VLOOKUP(H3029,Stock_list!A:R,18,FALSE)</f>
        <v>巨能</v>
      </c>
      <c r="J3029" s="139" t="str">
        <f>VLOOKUP(H3029,Stock_list!A:S,17,FALSE)</f>
        <v>C49SZX20210155MZR1</v>
      </c>
      <c r="K3029" s="51" t="str">
        <f>VLOOKUP(H3029,Stock_list!A:T,16,FALSE)</f>
        <v>JPY</v>
      </c>
      <c r="L3029" s="4">
        <v>44672</v>
      </c>
      <c r="M3029" s="132">
        <v>1</v>
      </c>
      <c r="P3029" s="4" t="str">
        <f>VLOOKUP(H3029,Stock_list!A:Y,25,FALSE)</f>
        <v>Yes</v>
      </c>
      <c r="Q3029" s="143"/>
      <c r="T3029" s="144"/>
      <c r="U3029" s="145" t="str">
        <f>VLOOKUP(H3029,Stock_list!A:N,14,FALSE)</f>
        <v>APR 22</v>
      </c>
    </row>
    <row r="3030" spans="1:21" ht="16.5" customHeight="1">
      <c r="A3030" s="159" t="s">
        <v>2744</v>
      </c>
      <c r="B3030" s="114" t="str">
        <f>VLOOKUP(A3030,'Data pick slip'!B:F,5,FALSE)</f>
        <v>KHJ-MC100-00</v>
      </c>
      <c r="F3030" s="157" t="s">
        <v>1381</v>
      </c>
      <c r="H3030" s="138">
        <v>1384</v>
      </c>
      <c r="I3030" s="139" t="str">
        <f>VLOOKUP(H3030,Stock_list!A:R,18,FALSE)</f>
        <v>广恒创新（enduser:深圳比尔乔）</v>
      </c>
      <c r="J3030" s="139" t="str">
        <f>VLOOKUP(H3030,Stock_list!A:S,17,FALSE)</f>
        <v>C49SZX20220057DZ</v>
      </c>
      <c r="K3030" s="51" t="str">
        <f>VLOOKUP(H3030,Stock_list!A:T,16,FALSE)</f>
        <v>JPY</v>
      </c>
      <c r="L3030" s="4">
        <v>44377</v>
      </c>
      <c r="M3030" s="140">
        <v>30</v>
      </c>
      <c r="P3030" s="4" t="str">
        <f>VLOOKUP(H3030,Stock_list!A:Y,25,FALSE)</f>
        <v>Yes</v>
      </c>
      <c r="Q3030" s="143"/>
      <c r="T3030" s="144"/>
      <c r="U3030" s="145" t="str">
        <f>VLOOKUP(H3030,Stock_list!A:N,14,FALSE)</f>
        <v>JUL 21</v>
      </c>
    </row>
    <row r="3031" spans="1:21" ht="16.5" customHeight="1">
      <c r="A3031" s="159" t="s">
        <v>2744</v>
      </c>
      <c r="B3031" s="114" t="str">
        <f>VLOOKUP(A3031,'Data pick slip'!B:F,5,FALSE)</f>
        <v>KHJ-MC100-00</v>
      </c>
      <c r="F3031" s="157" t="s">
        <v>1381</v>
      </c>
      <c r="H3031" s="138">
        <v>1384</v>
      </c>
      <c r="I3031" s="139" t="str">
        <f>VLOOKUP(H3031,Stock_list!A:R,18,FALSE)</f>
        <v>广恒创新（enduser:深圳比尔乔）</v>
      </c>
      <c r="J3031" s="139" t="str">
        <f>VLOOKUP(H3031,Stock_list!A:S,17,FALSE)</f>
        <v>C49SZX20220057DZ</v>
      </c>
      <c r="K3031" s="51" t="str">
        <f>VLOOKUP(H3031,Stock_list!A:T,16,FALSE)</f>
        <v>JPY</v>
      </c>
      <c r="L3031" s="4">
        <v>44712</v>
      </c>
      <c r="M3031" s="140">
        <v>20</v>
      </c>
      <c r="P3031" s="4" t="str">
        <f>VLOOKUP(H3031,Stock_list!A:Y,25,FALSE)</f>
        <v>Yes</v>
      </c>
      <c r="Q3031" s="143"/>
      <c r="T3031" s="144"/>
      <c r="U3031" s="145" t="str">
        <f>VLOOKUP(H3031,Stock_list!A:N,14,FALSE)</f>
        <v>JUL 21</v>
      </c>
    </row>
    <row r="3032" spans="1:21" ht="16.5" customHeight="1">
      <c r="A3032" s="159" t="s">
        <v>2768</v>
      </c>
      <c r="B3032" s="114" t="str">
        <f>VLOOKUP(A3032,'Data pick slip'!B:F,5,FALSE)</f>
        <v>KHJ-MC100-00</v>
      </c>
      <c r="F3032" s="157" t="s">
        <v>1381</v>
      </c>
      <c r="H3032" s="138">
        <v>1394</v>
      </c>
      <c r="I3032" s="139" t="str">
        <f>VLOOKUP(H3032,Stock_list!A:R,18,FALSE)</f>
        <v>方案集</v>
      </c>
      <c r="J3032" s="139" t="str">
        <f>VLOOKUP(H3032,Stock_list!A:S,17,FALSE)</f>
        <v>C49SZX20210143DZ</v>
      </c>
      <c r="K3032" s="51" t="str">
        <f>VLOOKUP(H3032,Stock_list!A:T,16,FALSE)</f>
        <v>JPY</v>
      </c>
      <c r="L3032" s="4">
        <v>44572</v>
      </c>
      <c r="M3032" s="140">
        <v>50</v>
      </c>
      <c r="P3032" s="4" t="str">
        <f>VLOOKUP(H3032,Stock_list!A:Y,25,FALSE)</f>
        <v>Yes</v>
      </c>
      <c r="Q3032" s="143"/>
      <c r="T3032" s="144"/>
      <c r="U3032" s="145" t="str">
        <f>VLOOKUP(H3032,Stock_list!A:N,14,FALSE)</f>
        <v>JAN 22</v>
      </c>
    </row>
    <row r="3033" spans="1:21" ht="16.5" customHeight="1">
      <c r="A3033" s="159" t="s">
        <v>2747</v>
      </c>
      <c r="B3033" s="114" t="str">
        <f>VLOOKUP(A3033,'Data pick slip'!B:F,5,FALSE)</f>
        <v>KHJ-MC200-00</v>
      </c>
      <c r="F3033" s="157" t="s">
        <v>1381</v>
      </c>
      <c r="H3033" s="138">
        <v>1394</v>
      </c>
      <c r="I3033" s="139" t="str">
        <f>VLOOKUP(H3033,Stock_list!A:R,18,FALSE)</f>
        <v>方案集</v>
      </c>
      <c r="J3033" s="139" t="str">
        <f>VLOOKUP(H3033,Stock_list!A:S,17,FALSE)</f>
        <v>C49SZX20210143DZ</v>
      </c>
      <c r="K3033" s="51" t="str">
        <f>VLOOKUP(H3033,Stock_list!A:T,16,FALSE)</f>
        <v>JPY</v>
      </c>
      <c r="L3033" s="4">
        <v>44572</v>
      </c>
      <c r="M3033" s="140">
        <v>5</v>
      </c>
      <c r="P3033" s="4" t="str">
        <f>VLOOKUP(H3033,Stock_list!A:Y,25,FALSE)</f>
        <v>Yes</v>
      </c>
      <c r="Q3033" s="143"/>
      <c r="T3033" s="144"/>
      <c r="U3033" s="145" t="str">
        <f>VLOOKUP(H3033,Stock_list!A:N,14,FALSE)</f>
        <v>JAN 22</v>
      </c>
    </row>
    <row r="3034" spans="1:21" ht="16.5" customHeight="1">
      <c r="A3034" s="159" t="s">
        <v>2748</v>
      </c>
      <c r="B3034" s="114" t="str">
        <f>VLOOKUP(A3034,'Data pick slip'!B:F,5,FALSE)</f>
        <v>KHJ-MC400-00</v>
      </c>
      <c r="F3034" s="157" t="s">
        <v>1381</v>
      </c>
      <c r="H3034" s="138">
        <v>1394</v>
      </c>
      <c r="I3034" s="139" t="str">
        <f>VLOOKUP(H3034,Stock_list!A:R,18,FALSE)</f>
        <v>方案集</v>
      </c>
      <c r="J3034" s="139" t="str">
        <f>VLOOKUP(H3034,Stock_list!A:S,17,FALSE)</f>
        <v>C49SZX20210143DZ</v>
      </c>
      <c r="K3034" s="51" t="str">
        <f>VLOOKUP(H3034,Stock_list!A:T,16,FALSE)</f>
        <v>JPY</v>
      </c>
      <c r="L3034" s="4">
        <v>44572</v>
      </c>
      <c r="M3034" s="140">
        <v>2</v>
      </c>
      <c r="P3034" s="4" t="str">
        <f>VLOOKUP(H3034,Stock_list!A:Y,25,FALSE)</f>
        <v>Yes</v>
      </c>
      <c r="Q3034" s="143"/>
      <c r="T3034" s="144"/>
      <c r="U3034" s="145" t="str">
        <f>VLOOKUP(H3034,Stock_list!A:N,14,FALSE)</f>
        <v>JAN 22</v>
      </c>
    </row>
    <row r="3035" spans="1:21" ht="16.5" customHeight="1">
      <c r="A3035" s="159" t="s">
        <v>2750</v>
      </c>
      <c r="B3035" s="114" t="str">
        <f>VLOOKUP(A3035,'Data pick slip'!B:F,5,FALSE)</f>
        <v>KHJ-MC600-00</v>
      </c>
      <c r="F3035" s="157" t="s">
        <v>1381</v>
      </c>
      <c r="H3035" s="138">
        <v>1394</v>
      </c>
      <c r="I3035" s="139" t="str">
        <f>VLOOKUP(H3035,Stock_list!A:R,18,FALSE)</f>
        <v>方案集</v>
      </c>
      <c r="J3035" s="139" t="str">
        <f>VLOOKUP(H3035,Stock_list!A:S,17,FALSE)</f>
        <v>C49SZX20210143DZ</v>
      </c>
      <c r="K3035" s="51" t="str">
        <f>VLOOKUP(H3035,Stock_list!A:T,16,FALSE)</f>
        <v>JPY</v>
      </c>
      <c r="L3035" s="4">
        <v>44572</v>
      </c>
      <c r="M3035" s="140">
        <v>1</v>
      </c>
      <c r="P3035" s="4" t="str">
        <f>VLOOKUP(H3035,Stock_list!A:Y,25,FALSE)</f>
        <v>Yes</v>
      </c>
      <c r="Q3035" s="143"/>
      <c r="T3035" s="144"/>
      <c r="U3035" s="145" t="str">
        <f>VLOOKUP(H3035,Stock_list!A:N,14,FALSE)</f>
        <v>JAN 22</v>
      </c>
    </row>
    <row r="3036" spans="1:21" ht="16.5" customHeight="1">
      <c r="A3036" s="159" t="s">
        <v>2768</v>
      </c>
      <c r="B3036" s="114" t="str">
        <f>VLOOKUP(A3036,'Data pick slip'!B:F,5,FALSE)</f>
        <v>KHJ-MC100-00</v>
      </c>
      <c r="F3036" s="157" t="s">
        <v>1381</v>
      </c>
      <c r="I3036" s="269" t="s">
        <v>3414</v>
      </c>
      <c r="J3036" s="139" t="s">
        <v>3446</v>
      </c>
      <c r="K3036" s="51" t="s">
        <v>1246</v>
      </c>
      <c r="L3036" s="4">
        <v>44341</v>
      </c>
      <c r="M3036" s="140">
        <v>280</v>
      </c>
      <c r="P3036" s="4" t="s">
        <v>291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2749</v>
      </c>
      <c r="B3037" s="114" t="str">
        <f>VLOOKUP(A3037,'Data pick slip'!B:F,5,FALSE)</f>
        <v>KHJ-MC500-00</v>
      </c>
      <c r="F3037" s="157" t="s">
        <v>1381</v>
      </c>
      <c r="I3037" s="269" t="s">
        <v>3414</v>
      </c>
      <c r="J3037" s="139" t="s">
        <v>3446</v>
      </c>
      <c r="K3037" s="51" t="s">
        <v>1246</v>
      </c>
      <c r="L3037" s="4">
        <v>44341</v>
      </c>
      <c r="M3037" s="140">
        <v>10</v>
      </c>
      <c r="P3037" s="4" t="s">
        <v>291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2768</v>
      </c>
      <c r="B3038" s="114" t="str">
        <f>VLOOKUP(A3038,'Data pick slip'!B:F,5,FALSE)</f>
        <v>KHJ-MC100-00</v>
      </c>
      <c r="F3038" s="157" t="s">
        <v>1381</v>
      </c>
      <c r="H3038" s="138">
        <v>1228</v>
      </c>
      <c r="I3038" s="139" t="str">
        <f>VLOOKUP(H3038,Stock_list!A:R,18,FALSE)</f>
        <v>巴科</v>
      </c>
      <c r="J3038" s="139" t="str">
        <f>VLOOKUP(H3038,Stock_list!A:S,17,FALSE)</f>
        <v>C49SZX20210035SX</v>
      </c>
      <c r="K3038" s="51" t="str">
        <f>VLOOKUP(H3038,Stock_list!A:T,16,FALSE)</f>
        <v>JPY</v>
      </c>
      <c r="L3038" s="4">
        <v>44349</v>
      </c>
      <c r="M3038" s="132">
        <v>350</v>
      </c>
      <c r="P3038" s="4" t="str">
        <f>VLOOKUP(H3038,Stock_list!A:Y,25,FALSE)</f>
        <v>Yes</v>
      </c>
      <c r="Q3038" s="143"/>
      <c r="T3038" s="144"/>
      <c r="U3038" s="145" t="str">
        <f>VLOOKUP(H3038,Stock_list!A:N,14,FALSE)</f>
        <v>JUN 21</v>
      </c>
    </row>
    <row r="3039" spans="1:21" ht="16.5" customHeight="1">
      <c r="A3039" s="159" t="s">
        <v>2747</v>
      </c>
      <c r="B3039" s="114" t="str">
        <f>VLOOKUP(A3039,'Data pick slip'!B:F,5,FALSE)</f>
        <v>KHJ-MC200-00</v>
      </c>
      <c r="F3039" s="157" t="s">
        <v>1381</v>
      </c>
      <c r="H3039" s="138">
        <v>1228</v>
      </c>
      <c r="I3039" s="139" t="str">
        <f>VLOOKUP(H3039,Stock_list!A:R,18,FALSE)</f>
        <v>巴科</v>
      </c>
      <c r="J3039" s="139" t="str">
        <f>VLOOKUP(H3039,Stock_list!A:S,17,FALSE)</f>
        <v>C49SZX20210035SX</v>
      </c>
      <c r="K3039" s="51" t="str">
        <f>VLOOKUP(H3039,Stock_list!A:T,16,FALSE)</f>
        <v>JPY</v>
      </c>
      <c r="L3039" s="4">
        <v>44349</v>
      </c>
      <c r="M3039" s="132">
        <v>15</v>
      </c>
      <c r="P3039" s="4" t="str">
        <f>VLOOKUP(H3039,Stock_list!A:Y,25,FALSE)</f>
        <v>Yes</v>
      </c>
      <c r="Q3039" s="143"/>
      <c r="T3039" s="144"/>
      <c r="U3039" s="145" t="str">
        <f>VLOOKUP(H3039,Stock_list!A:N,14,FALSE)</f>
        <v>JUN 21</v>
      </c>
    </row>
    <row r="3040" spans="1:21" ht="16.5" customHeight="1">
      <c r="A3040" s="159" t="s">
        <v>2768</v>
      </c>
      <c r="B3040" s="114" t="str">
        <f>VLOOKUP(A3040,'Data pick slip'!B:F,5,FALSE)</f>
        <v>KHJ-MC100-00</v>
      </c>
      <c r="F3040" s="157" t="s">
        <v>1381</v>
      </c>
      <c r="H3040" s="138">
        <v>1397</v>
      </c>
      <c r="I3040" s="139" t="str">
        <f>VLOOKUP(H3040,Stock_list!A:R,18,FALSE)</f>
        <v>弛瑞</v>
      </c>
      <c r="J3040" s="139" t="str">
        <f>VLOOKUP(H3040,Stock_list!A:S,17,FALSE)</f>
        <v>C49SZX20210158SS</v>
      </c>
      <c r="K3040" s="51" t="str">
        <f>VLOOKUP(H3040,Stock_list!A:T,16,FALSE)</f>
        <v>JPY</v>
      </c>
      <c r="L3040" s="286">
        <v>44512</v>
      </c>
      <c r="M3040" s="288">
        <v>52</v>
      </c>
      <c r="P3040" s="4" t="str">
        <f>VLOOKUP(H3040,Stock_list!A:Y,25,FALSE)</f>
        <v>Yes</v>
      </c>
      <c r="T3040" s="144"/>
      <c r="U3040" s="145" t="str">
        <f>VLOOKUP(H3040,Stock_list!A:N,14,FALSE)</f>
        <v>NOV 21</v>
      </c>
    </row>
    <row r="3041" spans="1:21" ht="16.5" customHeight="1">
      <c r="A3041" s="159" t="s">
        <v>2747</v>
      </c>
      <c r="B3041" s="114" t="str">
        <f>VLOOKUP(A3041,'Data pick slip'!B:F,5,FALSE)</f>
        <v>KHJ-MC200-00</v>
      </c>
      <c r="F3041" s="157" t="s">
        <v>1381</v>
      </c>
      <c r="H3041" s="138">
        <v>1397</v>
      </c>
      <c r="I3041" s="139" t="str">
        <f>VLOOKUP(H3041,Stock_list!A:R,18,FALSE)</f>
        <v>弛瑞</v>
      </c>
      <c r="J3041" s="139" t="str">
        <f>VLOOKUP(H3041,Stock_list!A:S,17,FALSE)</f>
        <v>C49SZX20210158SS</v>
      </c>
      <c r="K3041" s="258" t="str">
        <f>VLOOKUP(H3041,Stock_list!A:T,16,FALSE)</f>
        <v>JPY</v>
      </c>
      <c r="L3041" s="286">
        <v>44512</v>
      </c>
      <c r="M3041" s="288">
        <v>16</v>
      </c>
      <c r="P3041" s="4" t="str">
        <f>VLOOKUP(H3041,Stock_list!A:Y,25,FALSE)</f>
        <v>Yes</v>
      </c>
      <c r="T3041" s="144"/>
      <c r="U3041" s="145" t="str">
        <f>VLOOKUP(H3041,Stock_list!A:N,14,FALSE)</f>
        <v>NOV 21</v>
      </c>
    </row>
    <row r="3042" spans="1:21" ht="16.5" customHeight="1">
      <c r="A3042" s="159" t="s">
        <v>2748</v>
      </c>
      <c r="B3042" s="114" t="str">
        <f>VLOOKUP(A3042,'Data pick slip'!B:F,5,FALSE)</f>
        <v>KHJ-MC400-00</v>
      </c>
      <c r="F3042" s="157" t="s">
        <v>1381</v>
      </c>
      <c r="H3042" s="138">
        <v>1397</v>
      </c>
      <c r="I3042" s="139" t="str">
        <f>VLOOKUP(H3042,Stock_list!A:R,18,FALSE)</f>
        <v>弛瑞</v>
      </c>
      <c r="J3042" s="139" t="str">
        <f>VLOOKUP(H3042,Stock_list!A:S,17,FALSE)</f>
        <v>C49SZX20210158SS</v>
      </c>
      <c r="K3042" s="51" t="str">
        <f>VLOOKUP(H3042,Stock_list!A:T,16,FALSE)</f>
        <v>JPY</v>
      </c>
      <c r="L3042" s="286">
        <v>44512</v>
      </c>
      <c r="M3042" s="288">
        <v>3</v>
      </c>
      <c r="P3042" s="4" t="str">
        <f>VLOOKUP(H3042,Stock_list!A:Y,25,FALSE)</f>
        <v>Yes</v>
      </c>
      <c r="T3042" s="144"/>
      <c r="U3042" s="145" t="str">
        <f>VLOOKUP(H3042,Stock_list!A:N,14,FALSE)</f>
        <v>NOV 21</v>
      </c>
    </row>
    <row r="3043" spans="1:21" ht="16.5" customHeight="1">
      <c r="A3043" s="159" t="s">
        <v>2768</v>
      </c>
      <c r="B3043" s="114" t="str">
        <f>VLOOKUP(A3043,'Data pick slip'!B:F,5,FALSE)</f>
        <v>KHJ-MC100-00</v>
      </c>
      <c r="F3043" s="157" t="s">
        <v>1381</v>
      </c>
      <c r="H3043" s="138">
        <v>1398</v>
      </c>
      <c r="I3043" s="139" t="str">
        <f>VLOOKUP(H3043,Stock_list!A:R,18,FALSE)</f>
        <v>鑫华锋</v>
      </c>
      <c r="J3043" s="139" t="str">
        <f>VLOOKUP(H3043,Stock_list!A:S,17,FALSE)</f>
        <v>C49SZX20210144VG</v>
      </c>
      <c r="K3043" s="51" t="str">
        <f>VLOOKUP(H3043,Stock_list!A:T,16,FALSE)</f>
        <v>JPY</v>
      </c>
      <c r="L3043" s="4">
        <v>44608</v>
      </c>
      <c r="M3043" s="140">
        <v>46</v>
      </c>
      <c r="N3043" s="143"/>
      <c r="P3043" s="4" t="str">
        <f>VLOOKUP(H3043,Stock_list!A:Y,25,FALSE)</f>
        <v>Yes</v>
      </c>
      <c r="T3043" s="144"/>
      <c r="U3043" s="145" t="str">
        <f>VLOOKUP(H3043,Stock_list!A:N,14,FALSE)</f>
        <v>JUL 21</v>
      </c>
    </row>
    <row r="3044" spans="1:21" ht="16.5" customHeight="1">
      <c r="A3044" s="159" t="s">
        <v>2747</v>
      </c>
      <c r="B3044" s="114" t="str">
        <f>VLOOKUP(A3044,'Data pick slip'!B:F,5,FALSE)</f>
        <v>KHJ-MC200-00</v>
      </c>
      <c r="F3044" s="157" t="s">
        <v>1381</v>
      </c>
      <c r="H3044" s="138">
        <v>1398</v>
      </c>
      <c r="I3044" s="139" t="str">
        <f>VLOOKUP(H3044,Stock_list!A:R,18,FALSE)</f>
        <v>鑫华锋</v>
      </c>
      <c r="J3044" s="139" t="str">
        <f>VLOOKUP(H3044,Stock_list!A:S,17,FALSE)</f>
        <v>C49SZX20210144VG</v>
      </c>
      <c r="K3044" s="51" t="str">
        <f>VLOOKUP(H3044,Stock_list!A:T,16,FALSE)</f>
        <v>JPY</v>
      </c>
      <c r="L3044" s="4">
        <v>44608</v>
      </c>
      <c r="M3044" s="140">
        <v>8</v>
      </c>
      <c r="N3044" s="143"/>
      <c r="P3044" s="4" t="str">
        <f>VLOOKUP(H3044,Stock_list!A:Y,25,FALSE)</f>
        <v>Yes</v>
      </c>
      <c r="T3044" s="144"/>
      <c r="U3044" s="145" t="str">
        <f>VLOOKUP(H3044,Stock_list!A:N,14,FALSE)</f>
        <v>JUL 21</v>
      </c>
    </row>
    <row r="3045" spans="1:21" ht="16.5" customHeight="1">
      <c r="A3045" s="159" t="s">
        <v>2748</v>
      </c>
      <c r="B3045" s="114" t="str">
        <f>VLOOKUP(A3045,'Data pick slip'!B:F,5,FALSE)</f>
        <v>KHJ-MC400-00</v>
      </c>
      <c r="F3045" s="157" t="s">
        <v>1381</v>
      </c>
      <c r="H3045" s="138">
        <v>1398</v>
      </c>
      <c r="I3045" s="139" t="str">
        <f>VLOOKUP(H3045,Stock_list!A:R,18,FALSE)</f>
        <v>鑫华锋</v>
      </c>
      <c r="J3045" s="139" t="str">
        <f>VLOOKUP(H3045,Stock_list!A:S,17,FALSE)</f>
        <v>C49SZX20210144VG</v>
      </c>
      <c r="K3045" s="51" t="str">
        <f>VLOOKUP(H3045,Stock_list!A:T,16,FALSE)</f>
        <v>JPY</v>
      </c>
      <c r="L3045" s="4">
        <v>44608</v>
      </c>
      <c r="M3045" s="140">
        <v>1</v>
      </c>
      <c r="N3045" s="143"/>
      <c r="P3045" s="4" t="str">
        <f>VLOOKUP(H3045,Stock_list!A:Y,25,FALSE)</f>
        <v>Yes</v>
      </c>
      <c r="T3045" s="144"/>
      <c r="U3045" s="145" t="str">
        <f>VLOOKUP(H3045,Stock_list!A:N,14,FALSE)</f>
        <v>JUL 21</v>
      </c>
    </row>
    <row r="3046" spans="1:21" ht="16.5" customHeight="1">
      <c r="A3046" s="159" t="s">
        <v>2768</v>
      </c>
      <c r="B3046" s="114" t="str">
        <f>VLOOKUP(A3046,'Data pick slip'!B:F,5,FALSE)</f>
        <v>KHJ-MC100-00</v>
      </c>
      <c r="F3046" s="157" t="s">
        <v>1381</v>
      </c>
      <c r="H3046" s="138">
        <v>1398</v>
      </c>
      <c r="I3046" s="139" t="str">
        <f>VLOOKUP(H3046,Stock_list!A:R,18,FALSE)</f>
        <v>鑫华锋</v>
      </c>
      <c r="J3046" s="139" t="str">
        <f>VLOOKUP(H3046,Stock_list!A:S,17,FALSE)</f>
        <v>C49SZX20210144VG</v>
      </c>
      <c r="K3046" s="51" t="str">
        <f>VLOOKUP(H3046,Stock_list!A:T,16,FALSE)</f>
        <v>JPY</v>
      </c>
      <c r="L3046" s="4">
        <v>44407</v>
      </c>
      <c r="M3046" s="140">
        <v>84</v>
      </c>
      <c r="N3046" s="143"/>
      <c r="P3046" s="4" t="str">
        <f>VLOOKUP(H3046,Stock_list!A:Y,25,FALSE)</f>
        <v>Yes</v>
      </c>
      <c r="T3046" s="144"/>
      <c r="U3046" s="145" t="str">
        <f>VLOOKUP(H3046,Stock_list!A:N,14,FALSE)</f>
        <v>JUL 21</v>
      </c>
    </row>
    <row r="3047" spans="1:21" ht="16.5" customHeight="1">
      <c r="A3047" s="159" t="s">
        <v>2747</v>
      </c>
      <c r="B3047" s="114" t="str">
        <f>VLOOKUP(A3047,'Data pick slip'!B:F,5,FALSE)</f>
        <v>KHJ-MC200-00</v>
      </c>
      <c r="F3047" s="157" t="s">
        <v>1381</v>
      </c>
      <c r="H3047" s="138">
        <v>1398</v>
      </c>
      <c r="I3047" s="139" t="str">
        <f>VLOOKUP(H3047,Stock_list!A:R,18,FALSE)</f>
        <v>鑫华锋</v>
      </c>
      <c r="J3047" s="139" t="str">
        <f>VLOOKUP(H3047,Stock_list!A:S,17,FALSE)</f>
        <v>C49SZX20210144VG</v>
      </c>
      <c r="K3047" s="51" t="str">
        <f>VLOOKUP(H3047,Stock_list!A:T,16,FALSE)</f>
        <v>JPY</v>
      </c>
      <c r="L3047" s="4">
        <v>44407</v>
      </c>
      <c r="M3047" s="140">
        <v>16</v>
      </c>
      <c r="N3047" s="143"/>
      <c r="P3047" s="4" t="str">
        <f>VLOOKUP(H3047,Stock_list!A:Y,25,FALSE)</f>
        <v>Yes</v>
      </c>
      <c r="T3047" s="144"/>
      <c r="U3047" s="145" t="str">
        <f>VLOOKUP(H3047,Stock_list!A:N,14,FALSE)</f>
        <v>JUL 21</v>
      </c>
    </row>
    <row r="3048" spans="1:21" ht="16.5" customHeight="1">
      <c r="A3048" s="159" t="s">
        <v>2748</v>
      </c>
      <c r="B3048" s="114" t="str">
        <f>VLOOKUP(A3048,'Data pick slip'!B:F,5,FALSE)</f>
        <v>KHJ-MC400-00</v>
      </c>
      <c r="F3048" s="157" t="s">
        <v>1381</v>
      </c>
      <c r="H3048" s="138">
        <v>1398</v>
      </c>
      <c r="I3048" s="139" t="str">
        <f>VLOOKUP(H3048,Stock_list!A:R,18,FALSE)</f>
        <v>鑫华锋</v>
      </c>
      <c r="J3048" s="139" t="str">
        <f>VLOOKUP(H3048,Stock_list!A:S,17,FALSE)</f>
        <v>C49SZX20210144VG</v>
      </c>
      <c r="K3048" s="51" t="str">
        <f>VLOOKUP(H3048,Stock_list!A:T,16,FALSE)</f>
        <v>JPY</v>
      </c>
      <c r="L3048" s="4">
        <v>44407</v>
      </c>
      <c r="M3048" s="140">
        <v>1</v>
      </c>
      <c r="N3048" s="143"/>
      <c r="P3048" s="4" t="str">
        <f>VLOOKUP(H3048,Stock_list!A:Y,25,FALSE)</f>
        <v>Yes</v>
      </c>
      <c r="T3048" s="144"/>
      <c r="U3048" s="145" t="str">
        <f>VLOOKUP(H3048,Stock_list!A:N,14,FALSE)</f>
        <v>JUL 21</v>
      </c>
    </row>
    <row r="3049" spans="1:21" ht="16.5" customHeight="1">
      <c r="A3049" s="159" t="s">
        <v>2768</v>
      </c>
      <c r="B3049" s="114" t="str">
        <f>VLOOKUP(A3049,'Data pick slip'!B:F,5,FALSE)</f>
        <v>KHJ-MC100-00</v>
      </c>
      <c r="F3049" s="157" t="s">
        <v>1381</v>
      </c>
      <c r="I3049" s="269" t="s">
        <v>3414</v>
      </c>
      <c r="J3049" s="139" t="s">
        <v>3447</v>
      </c>
      <c r="K3049" s="51" t="s">
        <v>1246</v>
      </c>
      <c r="L3049" s="4">
        <v>44348</v>
      </c>
      <c r="M3049" s="140">
        <v>50</v>
      </c>
      <c r="P3049" s="4" t="s">
        <v>291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2747</v>
      </c>
      <c r="B3050" s="114" t="str">
        <f>VLOOKUP(A3050,'Data pick slip'!B:F,5,FALSE)</f>
        <v>KHJ-MC200-00</v>
      </c>
      <c r="F3050" s="157" t="s">
        <v>1381</v>
      </c>
      <c r="I3050" s="269" t="s">
        <v>3414</v>
      </c>
      <c r="J3050" s="139" t="s">
        <v>3447</v>
      </c>
      <c r="K3050" s="51" t="s">
        <v>1246</v>
      </c>
      <c r="L3050" s="4">
        <v>44348</v>
      </c>
      <c r="M3050" s="140">
        <v>20</v>
      </c>
      <c r="P3050" s="4" t="s">
        <v>291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2750</v>
      </c>
      <c r="B3051" s="114" t="str">
        <f>VLOOKUP(A3051,'Data pick slip'!B:F,5,FALSE)</f>
        <v>KHJ-MC600-00</v>
      </c>
      <c r="F3051" s="157" t="s">
        <v>1381</v>
      </c>
      <c r="I3051" s="269" t="s">
        <v>3414</v>
      </c>
      <c r="J3051" s="139" t="s">
        <v>3447</v>
      </c>
      <c r="K3051" s="51" t="s">
        <v>1246</v>
      </c>
      <c r="L3051" s="4">
        <v>44348</v>
      </c>
      <c r="M3051" s="140">
        <v>2</v>
      </c>
      <c r="P3051" s="4" t="s">
        <v>291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2768</v>
      </c>
      <c r="B3052" s="114" t="str">
        <f>VLOOKUP(A3052,'Data pick slip'!B:F,5,FALSE)</f>
        <v>KHJ-MC100-00</v>
      </c>
      <c r="F3052" s="157" t="s">
        <v>1381</v>
      </c>
      <c r="H3052" s="138">
        <v>1401</v>
      </c>
      <c r="I3052" s="139" t="str">
        <f>VLOOKUP(H3052,Stock_list!A:R,18,FALSE)</f>
        <v>艺通能</v>
      </c>
      <c r="J3052" s="139" t="str">
        <f>VLOOKUP(H3052,Stock_list!A:S,17,FALSE)</f>
        <v>C49SZX20210157SS</v>
      </c>
      <c r="K3052" s="51" t="str">
        <f>VLOOKUP(H3052,Stock_list!A:T,16,FALSE)</f>
        <v>JPY</v>
      </c>
      <c r="L3052" s="286">
        <v>44530</v>
      </c>
      <c r="M3052" s="289">
        <v>20</v>
      </c>
      <c r="N3052" s="143"/>
      <c r="P3052" s="4" t="str">
        <f>VLOOKUP(H3052,Stock_list!A:Y,25,FALSE)</f>
        <v>Yes</v>
      </c>
      <c r="T3052" s="144"/>
      <c r="U3052" s="145" t="str">
        <f>VLOOKUP(H3052,Stock_list!A:N,14,FALSE)</f>
        <v>NOV 21</v>
      </c>
    </row>
    <row r="3053" spans="1:21" ht="16.5" customHeight="1">
      <c r="A3053" s="159" t="s">
        <v>2747</v>
      </c>
      <c r="B3053" s="114" t="str">
        <f>VLOOKUP(A3053,'Data pick slip'!B:F,5,FALSE)</f>
        <v>KHJ-MC200-00</v>
      </c>
      <c r="F3053" s="157" t="s">
        <v>1381</v>
      </c>
      <c r="H3053" s="138">
        <v>1401</v>
      </c>
      <c r="I3053" s="139" t="str">
        <f>VLOOKUP(H3053,Stock_list!A:R,18,FALSE)</f>
        <v>艺通能</v>
      </c>
      <c r="J3053" s="139" t="str">
        <f>VLOOKUP(H3053,Stock_list!A:S,17,FALSE)</f>
        <v>C49SZX20210157SS</v>
      </c>
      <c r="K3053" s="258" t="str">
        <f>VLOOKUP(H3053,Stock_list!A:T,16,FALSE)</f>
        <v>JPY</v>
      </c>
      <c r="L3053" s="286">
        <v>44530</v>
      </c>
      <c r="M3053" s="289">
        <v>2</v>
      </c>
      <c r="N3053" s="143"/>
      <c r="P3053" s="4" t="str">
        <f>VLOOKUP(H3053,Stock_list!A:Y,25,FALSE)</f>
        <v>Yes</v>
      </c>
      <c r="T3053" s="144"/>
      <c r="U3053" s="145" t="str">
        <f>VLOOKUP(H3053,Stock_list!A:N,14,FALSE)</f>
        <v>NOV 21</v>
      </c>
    </row>
    <row r="3054" spans="1:21" ht="16.5" customHeight="1">
      <c r="A3054" s="159" t="s">
        <v>2768</v>
      </c>
      <c r="B3054" s="114" t="str">
        <f>VLOOKUP(A3054,'Data pick slip'!B:F,5,FALSE)</f>
        <v>KHJ-MC100-00</v>
      </c>
      <c r="F3054" s="157" t="s">
        <v>1381</v>
      </c>
      <c r="H3054" s="138">
        <v>1402</v>
      </c>
      <c r="I3054" s="139" t="str">
        <f>VLOOKUP(H3054,Stock_list!A:R,18,FALSE)</f>
        <v>清禾</v>
      </c>
      <c r="J3054" s="139" t="str">
        <f>VLOOKUP(H3054,Stock_list!A:S,17,FALSE)</f>
        <v>C49SZX20220034AY</v>
      </c>
      <c r="K3054" s="51" t="str">
        <f>VLOOKUP(H3054,Stock_list!A:T,16,FALSE)</f>
        <v>RMB</v>
      </c>
      <c r="L3054" s="4">
        <v>44666</v>
      </c>
      <c r="M3054" s="140">
        <v>20</v>
      </c>
      <c r="P3054" s="4" t="str">
        <f>VLOOKUP(H3054,Stock_list!A:Y,25,FALSE)</f>
        <v>Yes</v>
      </c>
      <c r="Q3054" s="143"/>
      <c r="T3054" s="144"/>
      <c r="U3054" s="145" t="str">
        <f>VLOOKUP(H3054,Stock_list!A:N,14,FALSE)</f>
        <v>APR 22</v>
      </c>
    </row>
    <row r="3055" spans="1:21" ht="16.5" customHeight="1">
      <c r="A3055" s="159" t="s">
        <v>2747</v>
      </c>
      <c r="B3055" s="114" t="str">
        <f>VLOOKUP(A3055,'Data pick slip'!B:F,5,FALSE)</f>
        <v>KHJ-MC200-00</v>
      </c>
      <c r="F3055" s="157" t="s">
        <v>1381</v>
      </c>
      <c r="H3055" s="138">
        <v>1402</v>
      </c>
      <c r="I3055" s="139" t="str">
        <f>VLOOKUP(H3055,Stock_list!A:R,18,FALSE)</f>
        <v>清禾</v>
      </c>
      <c r="J3055" s="139" t="str">
        <f>VLOOKUP(H3055,Stock_list!A:S,17,FALSE)</f>
        <v>C49SZX20220034AY</v>
      </c>
      <c r="K3055" s="51" t="str">
        <f>VLOOKUP(H3055,Stock_list!A:T,16,FALSE)</f>
        <v>RMB</v>
      </c>
      <c r="L3055" s="4">
        <v>44666</v>
      </c>
      <c r="M3055" s="140">
        <v>2</v>
      </c>
      <c r="P3055" s="4" t="str">
        <f>VLOOKUP(H3055,Stock_list!A:Y,25,FALSE)</f>
        <v>Yes</v>
      </c>
      <c r="Q3055" s="143"/>
      <c r="T3055" s="144"/>
      <c r="U3055" s="145" t="str">
        <f>VLOOKUP(H3055,Stock_list!A:N,14,FALSE)</f>
        <v>APR 22</v>
      </c>
    </row>
    <row r="3056" spans="1:21" ht="16.5" customHeight="1">
      <c r="A3056" s="159" t="s">
        <v>2768</v>
      </c>
      <c r="B3056" s="114" t="str">
        <f>VLOOKUP(A3056,'Data pick slip'!B:F,5,FALSE)</f>
        <v>KHJ-MC100-00</v>
      </c>
      <c r="F3056" s="157" t="s">
        <v>1381</v>
      </c>
      <c r="H3056" s="138">
        <v>1403</v>
      </c>
      <c r="I3056" s="139" t="str">
        <f>VLOOKUP(H3056,Stock_list!A:R,18,FALSE)</f>
        <v>派勤</v>
      </c>
      <c r="J3056" s="139" t="str">
        <f>VLOOKUP(H3056,Stock_list!A:S,17,FALSE)</f>
        <v>C49SZX20210164SS</v>
      </c>
      <c r="K3056" s="51" t="str">
        <f>VLOOKUP(H3056,Stock_list!A:T,16,FALSE)</f>
        <v>JPY</v>
      </c>
      <c r="L3056" s="286">
        <v>44526</v>
      </c>
      <c r="M3056" s="288">
        <v>112</v>
      </c>
      <c r="P3056" s="4" t="str">
        <f>VLOOKUP(H3056,Stock_list!A:Y,25,FALSE)</f>
        <v>Yes</v>
      </c>
      <c r="Q3056" s="146"/>
      <c r="T3056" s="144"/>
      <c r="U3056" s="145" t="str">
        <f>VLOOKUP(H3056,Stock_list!A:N,14,FALSE)</f>
        <v>NOV 21</v>
      </c>
    </row>
    <row r="3057" spans="1:21" ht="16.5" customHeight="1">
      <c r="A3057" s="159" t="s">
        <v>2747</v>
      </c>
      <c r="B3057" s="114" t="str">
        <f>VLOOKUP(A3057,'Data pick slip'!B:F,5,FALSE)</f>
        <v>KHJ-MC200-00</v>
      </c>
      <c r="F3057" s="157" t="s">
        <v>1381</v>
      </c>
      <c r="H3057" s="138">
        <v>1403</v>
      </c>
      <c r="I3057" s="139" t="str">
        <f>VLOOKUP(H3057,Stock_list!A:R,18,FALSE)</f>
        <v>派勤</v>
      </c>
      <c r="J3057" s="139" t="str">
        <f>VLOOKUP(H3057,Stock_list!A:S,17,FALSE)</f>
        <v>C49SZX20210164SS</v>
      </c>
      <c r="K3057" s="258" t="str">
        <f>VLOOKUP(H3057,Stock_list!A:T,16,FALSE)</f>
        <v>JPY</v>
      </c>
      <c r="L3057" s="286">
        <v>44526</v>
      </c>
      <c r="M3057" s="288">
        <v>16</v>
      </c>
      <c r="P3057" s="4" t="str">
        <f>VLOOKUP(H3057,Stock_list!A:Y,25,FALSE)</f>
        <v>Yes</v>
      </c>
      <c r="Q3057" s="146"/>
      <c r="T3057" s="144"/>
      <c r="U3057" s="145" t="str">
        <f>VLOOKUP(H3057,Stock_list!A:N,14,FALSE)</f>
        <v>NOV 21</v>
      </c>
    </row>
    <row r="3058" spans="1:21" ht="16.5" customHeight="1">
      <c r="A3058" s="159" t="s">
        <v>2748</v>
      </c>
      <c r="B3058" s="114" t="str">
        <f>VLOOKUP(A3058,'Data pick slip'!B:F,5,FALSE)</f>
        <v>KHJ-MC400-00</v>
      </c>
      <c r="F3058" s="157" t="s">
        <v>1381</v>
      </c>
      <c r="H3058" s="138">
        <v>1403</v>
      </c>
      <c r="I3058" s="139" t="str">
        <f>VLOOKUP(H3058,Stock_list!A:R,18,FALSE)</f>
        <v>派勤</v>
      </c>
      <c r="J3058" s="139" t="str">
        <f>VLOOKUP(H3058,Stock_list!A:S,17,FALSE)</f>
        <v>C49SZX20210164SS</v>
      </c>
      <c r="K3058" s="51" t="str">
        <f>VLOOKUP(H3058,Stock_list!A:T,16,FALSE)</f>
        <v>JPY</v>
      </c>
      <c r="L3058" s="286">
        <v>44526</v>
      </c>
      <c r="M3058" s="288">
        <v>4</v>
      </c>
      <c r="P3058" s="4" t="str">
        <f>VLOOKUP(H3058,Stock_list!A:Y,25,FALSE)</f>
        <v>Yes</v>
      </c>
      <c r="Q3058" s="146"/>
      <c r="T3058" s="144"/>
      <c r="U3058" s="145" t="str">
        <f>VLOOKUP(H3058,Stock_list!A:N,14,FALSE)</f>
        <v>NOV 21</v>
      </c>
    </row>
    <row r="3059" spans="1:21" ht="16.5" customHeight="1">
      <c r="A3059" s="159" t="s">
        <v>2749</v>
      </c>
      <c r="B3059" s="114" t="str">
        <f>VLOOKUP(A3059,'Data pick slip'!B:F,5,FALSE)</f>
        <v>KHJ-MC500-00</v>
      </c>
      <c r="F3059" s="157" t="s">
        <v>1381</v>
      </c>
      <c r="H3059" s="138">
        <v>1403</v>
      </c>
      <c r="I3059" s="139" t="str">
        <f>VLOOKUP(H3059,Stock_list!A:R,18,FALSE)</f>
        <v>派勤</v>
      </c>
      <c r="J3059" s="139" t="str">
        <f>VLOOKUP(H3059,Stock_list!A:S,17,FALSE)</f>
        <v>C49SZX20210164SS</v>
      </c>
      <c r="K3059" s="51" t="str">
        <f>VLOOKUP(H3059,Stock_list!A:T,16,FALSE)</f>
        <v>JPY</v>
      </c>
      <c r="L3059" s="4">
        <v>44526</v>
      </c>
      <c r="M3059" s="143">
        <v>3</v>
      </c>
      <c r="P3059" s="4" t="str">
        <f>VLOOKUP(H3059,Stock_list!A:Y,25,FALSE)</f>
        <v>Yes</v>
      </c>
      <c r="Q3059" s="146"/>
      <c r="T3059" s="144"/>
      <c r="U3059" s="145" t="str">
        <f>VLOOKUP(H3059,Stock_list!A:N,14,FALSE)</f>
        <v>NOV 21</v>
      </c>
    </row>
    <row r="3060" spans="1:21" ht="16.5" customHeight="1">
      <c r="A3060" s="159" t="s">
        <v>2750</v>
      </c>
      <c r="B3060" s="114" t="str">
        <f>VLOOKUP(A3060,'Data pick slip'!B:F,5,FALSE)</f>
        <v>KHJ-MC600-00</v>
      </c>
      <c r="F3060" s="157" t="s">
        <v>1381</v>
      </c>
      <c r="H3060" s="138">
        <v>1403</v>
      </c>
      <c r="I3060" s="139" t="str">
        <f>VLOOKUP(H3060,Stock_list!A:R,18,FALSE)</f>
        <v>派勤</v>
      </c>
      <c r="J3060" s="139" t="str">
        <f>VLOOKUP(H3060,Stock_list!A:S,17,FALSE)</f>
        <v>C49SZX20210164SS</v>
      </c>
      <c r="K3060" s="51" t="str">
        <f>VLOOKUP(H3060,Stock_list!A:T,16,FALSE)</f>
        <v>JPY</v>
      </c>
      <c r="L3060" s="4">
        <v>44526</v>
      </c>
      <c r="M3060" s="143">
        <v>2</v>
      </c>
      <c r="P3060" s="4" t="str">
        <f>VLOOKUP(H3060,Stock_list!A:Y,25,FALSE)</f>
        <v>Yes</v>
      </c>
      <c r="Q3060" s="146"/>
      <c r="T3060" s="144"/>
      <c r="U3060" s="145" t="str">
        <f>VLOOKUP(H3060,Stock_list!A:N,14,FALSE)</f>
        <v>NOV 21</v>
      </c>
    </row>
    <row r="3061" spans="1:21" ht="16.5" customHeight="1">
      <c r="A3061" s="159" t="s">
        <v>2768</v>
      </c>
      <c r="B3061" s="114" t="str">
        <f>VLOOKUP(A3061,'Data pick slip'!B:F,5,FALSE)</f>
        <v>KHJ-MC100-00</v>
      </c>
      <c r="F3061" s="157" t="s">
        <v>2753</v>
      </c>
      <c r="H3061" s="138">
        <v>1403</v>
      </c>
      <c r="I3061" s="139" t="str">
        <f>VLOOKUP(H3061,Stock_list!A:R,18,FALSE)</f>
        <v>派勤</v>
      </c>
      <c r="J3061" s="139" t="str">
        <f>VLOOKUP(H3061,Stock_list!A:S,17,FALSE)</f>
        <v>C49SZX20210164SS</v>
      </c>
      <c r="K3061" s="51" t="str">
        <f>VLOOKUP(H3061,Stock_list!A:T,16,FALSE)</f>
        <v>JPY</v>
      </c>
      <c r="L3061" s="4">
        <v>44357</v>
      </c>
      <c r="O3061" s="132">
        <f>40-40</f>
        <v>0</v>
      </c>
      <c r="P3061" s="4" t="str">
        <f>VLOOKUP(H3061,Stock_list!A:Y,25,FALSE)</f>
        <v>Yes</v>
      </c>
      <c r="Q3061" s="143"/>
      <c r="T3061" s="144"/>
      <c r="U3061" s="145" t="str">
        <f>VLOOKUP(H3061,Stock_list!A:N,14,FALSE)</f>
        <v>NOV 21</v>
      </c>
    </row>
    <row r="3062" spans="1:21" ht="16.5" customHeight="1">
      <c r="A3062" s="159" t="s">
        <v>2747</v>
      </c>
      <c r="B3062" s="114" t="str">
        <f>VLOOKUP(A3062,'Data pick slip'!B:F,5,FALSE)</f>
        <v>KHJ-MC200-00</v>
      </c>
      <c r="F3062" s="157" t="s">
        <v>2753</v>
      </c>
      <c r="H3062" s="138">
        <v>1403</v>
      </c>
      <c r="I3062" s="139" t="str">
        <f>VLOOKUP(H3062,Stock_list!A:R,18,FALSE)</f>
        <v>派勤</v>
      </c>
      <c r="J3062" s="139" t="str">
        <f>VLOOKUP(H3062,Stock_list!A:S,17,FALSE)</f>
        <v>C49SZX20210164SS</v>
      </c>
      <c r="K3062" s="51" t="str">
        <f>VLOOKUP(H3062,Stock_list!A:T,16,FALSE)</f>
        <v>JPY</v>
      </c>
      <c r="L3062" s="4">
        <v>44357</v>
      </c>
      <c r="O3062" s="132">
        <f>10-10</f>
        <v>0</v>
      </c>
      <c r="P3062" s="4" t="str">
        <f>VLOOKUP(H3062,Stock_list!A:Y,25,FALSE)</f>
        <v>Yes</v>
      </c>
      <c r="Q3062" s="143"/>
      <c r="T3062" s="144"/>
      <c r="U3062" s="145" t="str">
        <f>VLOOKUP(H3062,Stock_list!A:N,14,FALSE)</f>
        <v>NOV 21</v>
      </c>
    </row>
    <row r="3063" spans="1:21" ht="16.5" customHeight="1">
      <c r="A3063" s="159" t="s">
        <v>2748</v>
      </c>
      <c r="B3063" s="114" t="str">
        <f>VLOOKUP(A3063,'Data pick slip'!B:F,5,FALSE)</f>
        <v>KHJ-MC400-00</v>
      </c>
      <c r="F3063" s="157" t="s">
        <v>2753</v>
      </c>
      <c r="H3063" s="138">
        <v>1403</v>
      </c>
      <c r="I3063" s="139" t="str">
        <f>VLOOKUP(H3063,Stock_list!A:R,18,FALSE)</f>
        <v>派勤</v>
      </c>
      <c r="J3063" s="139" t="str">
        <f>VLOOKUP(H3063,Stock_list!A:S,17,FALSE)</f>
        <v>C49SZX20210164SS</v>
      </c>
      <c r="K3063" s="51" t="str">
        <f>VLOOKUP(H3063,Stock_list!A:T,16,FALSE)</f>
        <v>JPY</v>
      </c>
      <c r="L3063" s="4">
        <v>44357</v>
      </c>
      <c r="O3063" s="132">
        <f>3-3</f>
        <v>0</v>
      </c>
      <c r="P3063" s="4" t="str">
        <f>VLOOKUP(H3063,Stock_list!A:Y,25,FALSE)</f>
        <v>Yes</v>
      </c>
      <c r="Q3063" s="143"/>
      <c r="T3063" s="144"/>
      <c r="U3063" s="145" t="str">
        <f>VLOOKUP(H3063,Stock_list!A:N,14,FALSE)</f>
        <v>NOV 21</v>
      </c>
    </row>
    <row r="3064" spans="1:21" ht="16.5" customHeight="1">
      <c r="A3064" s="159" t="s">
        <v>2749</v>
      </c>
      <c r="B3064" s="114" t="str">
        <f>VLOOKUP(A3064,'Data pick slip'!B:F,5,FALSE)</f>
        <v>KHJ-MC500-00</v>
      </c>
      <c r="F3064" s="157" t="s">
        <v>2753</v>
      </c>
      <c r="H3064" s="138">
        <v>1403</v>
      </c>
      <c r="I3064" s="139" t="str">
        <f>VLOOKUP(H3064,Stock_list!A:R,18,FALSE)</f>
        <v>派勤</v>
      </c>
      <c r="J3064" s="139" t="str">
        <f>VLOOKUP(H3064,Stock_list!A:S,17,FALSE)</f>
        <v>C49SZX20210164SS</v>
      </c>
      <c r="K3064" s="51" t="str">
        <f>VLOOKUP(H3064,Stock_list!A:T,16,FALSE)</f>
        <v>JPY</v>
      </c>
      <c r="L3064" s="4">
        <v>44357</v>
      </c>
      <c r="O3064" s="132">
        <f>3-3</f>
        <v>0</v>
      </c>
      <c r="P3064" s="4" t="str">
        <f>VLOOKUP(H3064,Stock_list!A:Y,25,FALSE)</f>
        <v>Yes</v>
      </c>
      <c r="Q3064" s="143"/>
      <c r="T3064" s="144"/>
      <c r="U3064" s="145" t="str">
        <f>VLOOKUP(H3064,Stock_list!A:N,14,FALSE)</f>
        <v>NOV 21</v>
      </c>
    </row>
    <row r="3065" spans="1:21" ht="16.5" customHeight="1">
      <c r="A3065" s="159" t="s">
        <v>2750</v>
      </c>
      <c r="B3065" s="114" t="str">
        <f>VLOOKUP(A3065,'Data pick slip'!B:F,5,FALSE)</f>
        <v>KHJ-MC600-00</v>
      </c>
      <c r="F3065" s="157" t="s">
        <v>2753</v>
      </c>
      <c r="H3065" s="138">
        <v>1403</v>
      </c>
      <c r="I3065" s="139" t="str">
        <f>VLOOKUP(H3065,Stock_list!A:R,18,FALSE)</f>
        <v>派勤</v>
      </c>
      <c r="J3065" s="139" t="str">
        <f>VLOOKUP(H3065,Stock_list!A:S,17,FALSE)</f>
        <v>C49SZX20210164SS</v>
      </c>
      <c r="K3065" s="51" t="str">
        <f>VLOOKUP(H3065,Stock_list!A:T,16,FALSE)</f>
        <v>JPY</v>
      </c>
      <c r="L3065" s="4">
        <v>44357</v>
      </c>
      <c r="O3065" s="132">
        <f>2-2</f>
        <v>0</v>
      </c>
      <c r="P3065" s="4" t="str">
        <f>VLOOKUP(H3065,Stock_list!A:Y,25,FALSE)</f>
        <v>Yes</v>
      </c>
      <c r="Q3065" s="143"/>
      <c r="T3065" s="144"/>
      <c r="U3065" s="145" t="str">
        <f>VLOOKUP(H3065,Stock_list!A:N,14,FALSE)</f>
        <v>NOV 21</v>
      </c>
    </row>
    <row r="3066" spans="1:21" ht="16.5" customHeight="1">
      <c r="A3066" s="159" t="s">
        <v>2748</v>
      </c>
      <c r="B3066" s="114" t="str">
        <f>VLOOKUP(A3066,'Data pick slip'!B:F,5,FALSE)</f>
        <v>KHJ-MC400-00</v>
      </c>
      <c r="F3066" s="157" t="s">
        <v>2753</v>
      </c>
      <c r="I3066" s="139" t="s">
        <v>3094</v>
      </c>
      <c r="J3066" s="267" t="s">
        <v>3448</v>
      </c>
      <c r="K3066" s="51" t="s">
        <v>1246</v>
      </c>
      <c r="L3066" s="4">
        <v>44344</v>
      </c>
      <c r="M3066" s="140">
        <v>2</v>
      </c>
      <c r="P3066" s="4" t="s">
        <v>291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2747</v>
      </c>
      <c r="B3067" s="114" t="str">
        <f>VLOOKUP(A3067,'Data pick slip'!B:F,5,FALSE)</f>
        <v>KHJ-MC200-00</v>
      </c>
      <c r="F3067" s="157" t="s">
        <v>2753</v>
      </c>
      <c r="I3067" s="139" t="s">
        <v>3100</v>
      </c>
      <c r="J3067" s="267" t="s">
        <v>3449</v>
      </c>
      <c r="K3067" s="51" t="s">
        <v>1246</v>
      </c>
      <c r="L3067" s="4">
        <v>44340</v>
      </c>
      <c r="M3067" s="140">
        <v>2</v>
      </c>
      <c r="P3067" s="4" t="s">
        <v>291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2748</v>
      </c>
      <c r="B3068" s="114" t="str">
        <f>VLOOKUP(A3068,'Data pick slip'!B:F,5,FALSE)</f>
        <v>KHJ-MC400-00</v>
      </c>
      <c r="F3068" s="157" t="s">
        <v>2753</v>
      </c>
      <c r="I3068" s="139" t="s">
        <v>3100</v>
      </c>
      <c r="J3068" s="267" t="s">
        <v>3449</v>
      </c>
      <c r="K3068" s="51" t="s">
        <v>1246</v>
      </c>
      <c r="L3068" s="4">
        <v>44340</v>
      </c>
      <c r="M3068" s="140">
        <v>2</v>
      </c>
      <c r="P3068" s="4" t="s">
        <v>291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2748</v>
      </c>
      <c r="B3069" s="114" t="str">
        <f>VLOOKUP(A3069,'Data pick slip'!B:F,5,FALSE)</f>
        <v>KHJ-MC400-00</v>
      </c>
      <c r="F3069" s="157" t="s">
        <v>2753</v>
      </c>
      <c r="I3069" s="139" t="s">
        <v>3100</v>
      </c>
      <c r="J3069" s="267" t="s">
        <v>3450</v>
      </c>
      <c r="K3069" s="51" t="s">
        <v>1246</v>
      </c>
      <c r="L3069" s="4">
        <v>44347</v>
      </c>
      <c r="M3069" s="140">
        <v>2</v>
      </c>
      <c r="P3069" s="4" t="s">
        <v>291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2754</v>
      </c>
      <c r="B3070" s="114" t="str">
        <f>VLOOKUP(A3070,'Data pick slip'!B:F,5,FALSE)</f>
        <v>KLJ-MCN00-20</v>
      </c>
      <c r="F3070" s="157" t="s">
        <v>2753</v>
      </c>
      <c r="H3070" s="138">
        <v>1406</v>
      </c>
      <c r="I3070" s="139" t="str">
        <f>VLOOKUP(H3070,Stock_list!A:R,18,FALSE)</f>
        <v>比泰利</v>
      </c>
      <c r="J3070" s="139" t="str">
        <f>VLOOKUP(H3070,Stock_list!A:S,17,FALSE)</f>
        <v>C49SZX20210141DZ</v>
      </c>
      <c r="K3070" s="51" t="str">
        <f>VLOOKUP(H3070,Stock_list!A:T,16,FALSE)</f>
        <v>JPY</v>
      </c>
      <c r="L3070" s="4">
        <v>44530</v>
      </c>
      <c r="M3070" s="132">
        <v>2</v>
      </c>
      <c r="P3070" s="4" t="str">
        <f>VLOOKUP(H3070,Stock_list!A:Y,25,FALSE)</f>
        <v>Yes</v>
      </c>
      <c r="Q3070" s="143"/>
      <c r="S3070" s="268" t="s">
        <v>2778</v>
      </c>
      <c r="T3070" s="266" t="s">
        <v>3451</v>
      </c>
      <c r="U3070" s="145" t="str">
        <f>VLOOKUP(H3070,Stock_list!A:N,14,FALSE)</f>
        <v>NOV 21</v>
      </c>
    </row>
    <row r="3071" spans="1:21" ht="16.5" customHeight="1">
      <c r="A3071" s="159" t="s">
        <v>2768</v>
      </c>
      <c r="B3071" s="114" t="str">
        <f>VLOOKUP(A3071,'Data pick slip'!B:F,5,FALSE)</f>
        <v>KHJ-MC100-00</v>
      </c>
      <c r="F3071" s="157" t="s">
        <v>1381</v>
      </c>
      <c r="H3071" s="138">
        <v>1406</v>
      </c>
      <c r="I3071" s="139" t="str">
        <f>VLOOKUP(H3071,Stock_list!A:R,18,FALSE)</f>
        <v>比泰利</v>
      </c>
      <c r="J3071" s="139" t="str">
        <f>VLOOKUP(H3071,Stock_list!A:S,17,FALSE)</f>
        <v>C49SZX20210141DZ</v>
      </c>
      <c r="K3071" s="51" t="str">
        <f>VLOOKUP(H3071,Stock_list!A:T,16,FALSE)</f>
        <v>JPY</v>
      </c>
      <c r="L3071" s="286">
        <v>44530</v>
      </c>
      <c r="M3071" s="283">
        <v>200</v>
      </c>
      <c r="P3071" s="4" t="str">
        <f>VLOOKUP(H3071,Stock_list!A:Y,25,FALSE)</f>
        <v>Yes</v>
      </c>
      <c r="Q3071" s="143"/>
      <c r="T3071" s="144"/>
      <c r="U3071" s="145" t="str">
        <f>VLOOKUP(H3071,Stock_list!A:N,14,FALSE)</f>
        <v>NOV 21</v>
      </c>
    </row>
    <row r="3072" spans="1:21" ht="16.5" customHeight="1">
      <c r="A3072" s="159" t="s">
        <v>2747</v>
      </c>
      <c r="B3072" s="114" t="str">
        <f>VLOOKUP(A3072,'Data pick slip'!B:F,5,FALSE)</f>
        <v>KHJ-MC200-00</v>
      </c>
      <c r="F3072" s="157" t="s">
        <v>1381</v>
      </c>
      <c r="H3072" s="138">
        <v>1406</v>
      </c>
      <c r="I3072" s="139" t="str">
        <f>VLOOKUP(H3072,Stock_list!A:R,18,FALSE)</f>
        <v>比泰利</v>
      </c>
      <c r="J3072" s="139" t="str">
        <f>VLOOKUP(H3072,Stock_list!A:S,17,FALSE)</f>
        <v>C49SZX20210141DZ</v>
      </c>
      <c r="K3072" s="258" t="str">
        <f>VLOOKUP(H3072,Stock_list!A:T,16,FALSE)</f>
        <v>JPY</v>
      </c>
      <c r="L3072" s="286">
        <v>44530</v>
      </c>
      <c r="M3072" s="283">
        <v>40</v>
      </c>
      <c r="P3072" s="4" t="str">
        <f>VLOOKUP(H3072,Stock_list!A:Y,25,FALSE)</f>
        <v>Yes</v>
      </c>
      <c r="Q3072" s="143"/>
      <c r="T3072" s="144"/>
      <c r="U3072" s="145" t="str">
        <f>VLOOKUP(H3072,Stock_list!A:N,14,FALSE)</f>
        <v>NOV 21</v>
      </c>
    </row>
    <row r="3073" spans="1:21" ht="16.5" customHeight="1">
      <c r="A3073" s="159" t="s">
        <v>2748</v>
      </c>
      <c r="B3073" s="114" t="str">
        <f>VLOOKUP(A3073,'Data pick slip'!B:F,5,FALSE)</f>
        <v>KHJ-MC400-00</v>
      </c>
      <c r="F3073" s="157" t="s">
        <v>1381</v>
      </c>
      <c r="H3073" s="138">
        <v>1406</v>
      </c>
      <c r="I3073" s="139" t="str">
        <f>VLOOKUP(H3073,Stock_list!A:R,18,FALSE)</f>
        <v>比泰利</v>
      </c>
      <c r="J3073" s="139" t="str">
        <f>VLOOKUP(H3073,Stock_list!A:S,17,FALSE)</f>
        <v>C49SZX20210141DZ</v>
      </c>
      <c r="K3073" s="51" t="str">
        <f>VLOOKUP(H3073,Stock_list!A:T,16,FALSE)</f>
        <v>JPY</v>
      </c>
      <c r="L3073" s="286">
        <v>44530</v>
      </c>
      <c r="M3073" s="283">
        <v>12</v>
      </c>
      <c r="P3073" s="4" t="str">
        <f>VLOOKUP(H3073,Stock_list!A:Y,25,FALSE)</f>
        <v>Yes</v>
      </c>
      <c r="Q3073" s="143"/>
      <c r="T3073" s="144"/>
      <c r="U3073" s="145" t="str">
        <f>VLOOKUP(H3073,Stock_list!A:N,14,FALSE)</f>
        <v>NOV 21</v>
      </c>
    </row>
    <row r="3074" spans="1:21" ht="16.5" customHeight="1">
      <c r="A3074" s="159" t="s">
        <v>2749</v>
      </c>
      <c r="B3074" s="114" t="str">
        <f>VLOOKUP(A3074,'Data pick slip'!B:F,5,FALSE)</f>
        <v>KHJ-MC500-00</v>
      </c>
      <c r="F3074" s="157" t="s">
        <v>1381</v>
      </c>
      <c r="H3074" s="138">
        <v>1406</v>
      </c>
      <c r="I3074" s="139" t="str">
        <f>VLOOKUP(H3074,Stock_list!A:R,18,FALSE)</f>
        <v>比泰利</v>
      </c>
      <c r="J3074" s="139" t="str">
        <f>VLOOKUP(H3074,Stock_list!A:S,17,FALSE)</f>
        <v>C49SZX20210141DZ</v>
      </c>
      <c r="K3074" s="51" t="str">
        <f>VLOOKUP(H3074,Stock_list!A:T,16,FALSE)</f>
        <v>JPY</v>
      </c>
      <c r="L3074" s="4">
        <v>44530</v>
      </c>
      <c r="M3074" s="132">
        <v>2</v>
      </c>
      <c r="P3074" s="4" t="str">
        <f>VLOOKUP(H3074,Stock_list!A:Y,25,FALSE)</f>
        <v>Yes</v>
      </c>
      <c r="Q3074" s="143"/>
      <c r="T3074" s="144"/>
      <c r="U3074" s="145" t="str">
        <f>VLOOKUP(H3074,Stock_list!A:N,14,FALSE)</f>
        <v>NOV 21</v>
      </c>
    </row>
    <row r="3075" spans="1:21" ht="16.5" customHeight="1">
      <c r="A3075" s="159" t="s">
        <v>2750</v>
      </c>
      <c r="B3075" s="114" t="str">
        <f>VLOOKUP(A3075,'Data pick slip'!B:F,5,FALSE)</f>
        <v>KHJ-MC600-00</v>
      </c>
      <c r="F3075" s="157" t="s">
        <v>1381</v>
      </c>
      <c r="H3075" s="138">
        <v>1406</v>
      </c>
      <c r="I3075" s="139" t="str">
        <f>VLOOKUP(H3075,Stock_list!A:R,18,FALSE)</f>
        <v>比泰利</v>
      </c>
      <c r="J3075" s="139" t="str">
        <f>VLOOKUP(H3075,Stock_list!A:S,17,FALSE)</f>
        <v>C49SZX20210141DZ</v>
      </c>
      <c r="K3075" s="51" t="str">
        <f>VLOOKUP(H3075,Stock_list!A:T,16,FALSE)</f>
        <v>JPY</v>
      </c>
      <c r="L3075" s="4">
        <v>44530</v>
      </c>
      <c r="M3075" s="132">
        <v>1</v>
      </c>
      <c r="P3075" s="4" t="str">
        <f>VLOOKUP(H3075,Stock_list!A:Y,25,FALSE)</f>
        <v>Yes</v>
      </c>
      <c r="Q3075" s="143"/>
      <c r="T3075" s="144"/>
      <c r="U3075" s="145" t="str">
        <f>VLOOKUP(H3075,Stock_list!A:N,14,FALSE)</f>
        <v>NOV 21</v>
      </c>
    </row>
    <row r="3076" spans="1:21" ht="16.5" customHeight="1">
      <c r="A3076" s="159" t="s">
        <v>2751</v>
      </c>
      <c r="B3076" s="114" t="str">
        <f>VLOOKUP(A3076,'Data pick slip'!B:F,5,FALSE)</f>
        <v>KHJ-MC700-00</v>
      </c>
      <c r="F3076" s="157" t="s">
        <v>1381</v>
      </c>
      <c r="H3076" s="138">
        <v>1406</v>
      </c>
      <c r="I3076" s="139" t="str">
        <f>VLOOKUP(H3076,Stock_list!A:R,18,FALSE)</f>
        <v>比泰利</v>
      </c>
      <c r="J3076" s="139" t="str">
        <f>VLOOKUP(H3076,Stock_list!A:S,17,FALSE)</f>
        <v>C49SZX20210141DZ</v>
      </c>
      <c r="K3076" s="51" t="str">
        <f>VLOOKUP(H3076,Stock_list!A:T,16,FALSE)</f>
        <v>JPY</v>
      </c>
      <c r="L3076" s="4">
        <v>44530</v>
      </c>
      <c r="M3076" s="132">
        <v>1</v>
      </c>
      <c r="P3076" s="4" t="str">
        <f>VLOOKUP(H3076,Stock_list!A:Y,25,FALSE)</f>
        <v>Yes</v>
      </c>
      <c r="Q3076" s="143"/>
      <c r="T3076" s="144"/>
      <c r="U3076" s="145" t="str">
        <f>VLOOKUP(H3076,Stock_list!A:N,14,FALSE)</f>
        <v>NOV 21</v>
      </c>
    </row>
    <row r="3077" spans="1:21" ht="16.5" customHeight="1">
      <c r="A3077" s="159" t="s">
        <v>2752</v>
      </c>
      <c r="B3077" s="114" t="str">
        <f>VLOOKUP(A3077,'Data pick slip'!B:F,5,FALSE)</f>
        <v>KHJ-MC800-00</v>
      </c>
      <c r="F3077" s="157" t="s">
        <v>1381</v>
      </c>
      <c r="H3077" s="138">
        <v>1406</v>
      </c>
      <c r="I3077" s="139" t="str">
        <f>VLOOKUP(H3077,Stock_list!A:R,18,FALSE)</f>
        <v>比泰利</v>
      </c>
      <c r="J3077" s="139" t="str">
        <f>VLOOKUP(H3077,Stock_list!A:S,17,FALSE)</f>
        <v>C49SZX20210141DZ</v>
      </c>
      <c r="K3077" s="51" t="str">
        <f>VLOOKUP(H3077,Stock_list!A:T,16,FALSE)</f>
        <v>JPY</v>
      </c>
      <c r="L3077" s="4">
        <v>44530</v>
      </c>
      <c r="M3077" s="132">
        <v>1</v>
      </c>
      <c r="P3077" s="4" t="str">
        <f>VLOOKUP(H3077,Stock_list!A:Y,25,FALSE)</f>
        <v>Yes</v>
      </c>
      <c r="Q3077" s="143"/>
      <c r="T3077" s="144"/>
      <c r="U3077" s="145" t="str">
        <f>VLOOKUP(H3077,Stock_list!A:N,14,FALSE)</f>
        <v>NOV 21</v>
      </c>
    </row>
    <row r="3078" spans="1:21" ht="16.5" customHeight="1">
      <c r="A3078" s="159" t="s">
        <v>2768</v>
      </c>
      <c r="B3078" s="114" t="str">
        <f>VLOOKUP(A3078,'Data pick slip'!B:F,5,FALSE)</f>
        <v>KHJ-MC100-00</v>
      </c>
      <c r="F3078" s="157" t="s">
        <v>2753</v>
      </c>
      <c r="I3078" s="139" t="s">
        <v>3100</v>
      </c>
      <c r="J3078" s="267" t="s">
        <v>3452</v>
      </c>
      <c r="K3078" s="51" t="s">
        <v>1246</v>
      </c>
      <c r="L3078" s="4">
        <v>44350</v>
      </c>
      <c r="M3078" s="140">
        <v>30</v>
      </c>
      <c r="P3078" s="4" t="s">
        <v>291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2749</v>
      </c>
      <c r="B3079" s="114" t="str">
        <f>VLOOKUP(A3079,'Data pick slip'!B:F,5,FALSE)</f>
        <v>KHJ-MC500-00</v>
      </c>
      <c r="F3079" s="157" t="s">
        <v>2753</v>
      </c>
      <c r="I3079" s="139" t="s">
        <v>3453</v>
      </c>
      <c r="J3079" s="267" t="s">
        <v>3454</v>
      </c>
      <c r="K3079" s="51" t="s">
        <v>1246</v>
      </c>
      <c r="L3079" s="4">
        <v>44357</v>
      </c>
      <c r="M3079" s="140">
        <v>1</v>
      </c>
      <c r="P3079" s="4" t="s">
        <v>291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2744</v>
      </c>
      <c r="B3080" s="114" t="str">
        <f>VLOOKUP(A3080,'Data pick slip'!B:F,5,FALSE)</f>
        <v>KHJ-MC100-00</v>
      </c>
      <c r="F3080" s="157" t="s">
        <v>2753</v>
      </c>
      <c r="I3080" s="139" t="s">
        <v>3291</v>
      </c>
      <c r="J3080" s="139" t="s">
        <v>3455</v>
      </c>
      <c r="K3080" s="51" t="s">
        <v>1246</v>
      </c>
      <c r="L3080" s="4">
        <v>44357</v>
      </c>
      <c r="M3080" s="140">
        <v>30</v>
      </c>
      <c r="P3080" s="4" t="s">
        <v>291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2768</v>
      </c>
      <c r="B3081" s="114" t="str">
        <f>VLOOKUP(A3081,'Data pick slip'!B:F,5,FALSE)</f>
        <v>KHJ-MC100-00</v>
      </c>
      <c r="F3081" s="157" t="s">
        <v>1381</v>
      </c>
      <c r="H3081" s="138">
        <v>1408</v>
      </c>
      <c r="I3081" s="139" t="str">
        <f>VLOOKUP(H3081,Stock_list!A:R,18,FALSE)</f>
        <v>晨鑫达</v>
      </c>
      <c r="J3081" s="139" t="str">
        <f>VLOOKUP(H3081,Stock_list!A:S,17,FALSE)</f>
        <v>C49SZX20210166SX</v>
      </c>
      <c r="K3081" s="51" t="str">
        <f>VLOOKUP(H3081,Stock_list!A:T,16,FALSE)</f>
        <v>JPY</v>
      </c>
      <c r="L3081" s="4">
        <v>44645</v>
      </c>
      <c r="M3081" s="132">
        <v>80</v>
      </c>
      <c r="P3081" s="4" t="str">
        <f>VLOOKUP(H3081,Stock_list!A:Y,25,FALSE)</f>
        <v>Yes</v>
      </c>
      <c r="Q3081" s="143"/>
      <c r="T3081" s="144"/>
      <c r="U3081" s="145" t="str">
        <f>VLOOKUP(H3081,Stock_list!A:N,14,FALSE)</f>
        <v>MAR 22</v>
      </c>
    </row>
    <row r="3082" spans="1:21" ht="16.5" customHeight="1">
      <c r="A3082" s="159" t="s">
        <v>2747</v>
      </c>
      <c r="B3082" s="114" t="str">
        <f>VLOOKUP(A3082,'Data pick slip'!B:F,5,FALSE)</f>
        <v>KHJ-MC200-00</v>
      </c>
      <c r="F3082" s="157" t="s">
        <v>1381</v>
      </c>
      <c r="H3082" s="138">
        <v>1408</v>
      </c>
      <c r="I3082" s="139" t="str">
        <f>VLOOKUP(H3082,Stock_list!A:R,18,FALSE)</f>
        <v>晨鑫达</v>
      </c>
      <c r="J3082" s="139" t="str">
        <f>VLOOKUP(H3082,Stock_list!A:S,17,FALSE)</f>
        <v>C49SZX20210166SX</v>
      </c>
      <c r="K3082" s="51" t="str">
        <f>VLOOKUP(H3082,Stock_list!A:T,16,FALSE)</f>
        <v>JPY</v>
      </c>
      <c r="L3082" s="4">
        <v>44645</v>
      </c>
      <c r="M3082" s="132">
        <v>14</v>
      </c>
      <c r="P3082" s="4" t="str">
        <f>VLOOKUP(H3082,Stock_list!A:Y,25,FALSE)</f>
        <v>Yes</v>
      </c>
      <c r="Q3082" s="143"/>
      <c r="T3082" s="144"/>
      <c r="U3082" s="145" t="str">
        <f>VLOOKUP(H3082,Stock_list!A:N,14,FALSE)</f>
        <v>MAR 22</v>
      </c>
    </row>
    <row r="3083" spans="1:21" ht="16.5" customHeight="1">
      <c r="A3083" s="159" t="s">
        <v>2749</v>
      </c>
      <c r="B3083" s="114" t="str">
        <f>VLOOKUP(A3083,'Data pick slip'!B:F,5,FALSE)</f>
        <v>KHJ-MC500-00</v>
      </c>
      <c r="F3083" s="157" t="s">
        <v>1381</v>
      </c>
      <c r="H3083" s="138">
        <v>1408</v>
      </c>
      <c r="I3083" s="139" t="str">
        <f>VLOOKUP(H3083,Stock_list!A:R,18,FALSE)</f>
        <v>晨鑫达</v>
      </c>
      <c r="J3083" s="139" t="str">
        <f>VLOOKUP(H3083,Stock_list!A:S,17,FALSE)</f>
        <v>C49SZX20210166SX</v>
      </c>
      <c r="K3083" s="51" t="str">
        <f>VLOOKUP(H3083,Stock_list!A:T,16,FALSE)</f>
        <v>JPY</v>
      </c>
      <c r="L3083" s="4">
        <v>44645</v>
      </c>
      <c r="M3083" s="132">
        <v>4</v>
      </c>
      <c r="P3083" s="4" t="str">
        <f>VLOOKUP(H3083,Stock_list!A:Y,25,FALSE)</f>
        <v>Yes</v>
      </c>
      <c r="Q3083" s="143"/>
      <c r="T3083" s="144"/>
      <c r="U3083" s="145" t="str">
        <f>VLOOKUP(H3083,Stock_list!A:N,14,FALSE)</f>
        <v>MAR 22</v>
      </c>
    </row>
    <row r="3084" spans="1:21" ht="16.5" customHeight="1">
      <c r="A3084" s="159" t="s">
        <v>2750</v>
      </c>
      <c r="B3084" s="114" t="str">
        <f>VLOOKUP(A3084,'Data pick slip'!B:F,5,FALSE)</f>
        <v>KHJ-MC600-00</v>
      </c>
      <c r="F3084" s="157" t="s">
        <v>1381</v>
      </c>
      <c r="H3084" s="138">
        <v>1408</v>
      </c>
      <c r="I3084" s="139" t="str">
        <f>VLOOKUP(H3084,Stock_list!A:R,18,FALSE)</f>
        <v>晨鑫达</v>
      </c>
      <c r="J3084" s="139" t="str">
        <f>VLOOKUP(H3084,Stock_list!A:S,17,FALSE)</f>
        <v>C49SZX20210166SX</v>
      </c>
      <c r="K3084" s="51" t="str">
        <f>VLOOKUP(H3084,Stock_list!A:T,16,FALSE)</f>
        <v>JPY</v>
      </c>
      <c r="L3084" s="4">
        <v>44645</v>
      </c>
      <c r="M3084" s="132">
        <v>2</v>
      </c>
      <c r="P3084" s="4" t="str">
        <f>VLOOKUP(H3084,Stock_list!A:Y,25,FALSE)</f>
        <v>Yes</v>
      </c>
      <c r="Q3084" s="143"/>
      <c r="T3084" s="144"/>
      <c r="U3084" s="145" t="str">
        <f>VLOOKUP(H3084,Stock_list!A:N,14,FALSE)</f>
        <v>MAR 22</v>
      </c>
    </row>
    <row r="3085" spans="1:21" ht="16.5" customHeight="1">
      <c r="A3085" s="159" t="s">
        <v>2768</v>
      </c>
      <c r="B3085" s="114" t="str">
        <f>VLOOKUP(A3085,'Data pick slip'!B:F,5,FALSE)</f>
        <v>KHJ-MC100-00</v>
      </c>
      <c r="F3085" s="157" t="s">
        <v>1381</v>
      </c>
      <c r="H3085" s="138">
        <v>1411</v>
      </c>
      <c r="I3085" s="139" t="str">
        <f>VLOOKUP(H3085,Stock_list!A:R,18,FALSE)</f>
        <v>众华</v>
      </c>
      <c r="J3085" s="139" t="str">
        <f>VLOOKUP(H3085,Stock_list!A:S,17,FALSE)</f>
        <v>C49SZX20210167MW</v>
      </c>
      <c r="K3085" s="51" t="str">
        <f>VLOOKUP(H3085,Stock_list!A:T,16,FALSE)</f>
        <v>JPY</v>
      </c>
      <c r="L3085" s="4">
        <v>44571</v>
      </c>
      <c r="M3085" s="140">
        <v>15</v>
      </c>
      <c r="P3085" s="4" t="str">
        <f>VLOOKUP(H3085,Stock_list!A:Y,25,FALSE)</f>
        <v>Yes</v>
      </c>
      <c r="Q3085" s="143"/>
      <c r="T3085" s="144"/>
      <c r="U3085" s="145" t="str">
        <f>VLOOKUP(H3085,Stock_list!A:N,14,FALSE)</f>
        <v>JAN 22</v>
      </c>
    </row>
    <row r="3086" spans="1:21" ht="16.5" customHeight="1">
      <c r="A3086" s="159" t="s">
        <v>2747</v>
      </c>
      <c r="B3086" s="114" t="str">
        <f>VLOOKUP(A3086,'Data pick slip'!B:F,5,FALSE)</f>
        <v>KHJ-MC200-00</v>
      </c>
      <c r="F3086" s="157" t="s">
        <v>1381</v>
      </c>
      <c r="H3086" s="138">
        <v>1411</v>
      </c>
      <c r="I3086" s="139" t="str">
        <f>VLOOKUP(H3086,Stock_list!A:R,18,FALSE)</f>
        <v>众华</v>
      </c>
      <c r="J3086" s="139" t="str">
        <f>VLOOKUP(H3086,Stock_list!A:S,17,FALSE)</f>
        <v>C49SZX20210167MW</v>
      </c>
      <c r="K3086" s="51" t="str">
        <f>VLOOKUP(H3086,Stock_list!A:T,16,FALSE)</f>
        <v>JPY</v>
      </c>
      <c r="L3086" s="4">
        <v>44571</v>
      </c>
      <c r="M3086" s="140">
        <v>4</v>
      </c>
      <c r="P3086" s="4" t="str">
        <f>VLOOKUP(H3086,Stock_list!A:Y,25,FALSE)</f>
        <v>Yes</v>
      </c>
      <c r="Q3086" s="143"/>
      <c r="T3086" s="144"/>
      <c r="U3086" s="145" t="str">
        <f>VLOOKUP(H3086,Stock_list!A:N,14,FALSE)</f>
        <v>JAN 22</v>
      </c>
    </row>
    <row r="3087" spans="1:21" ht="16.5" customHeight="1">
      <c r="A3087" s="159" t="s">
        <v>2748</v>
      </c>
      <c r="B3087" s="114" t="str">
        <f>VLOOKUP(A3087,'Data pick slip'!B:F,5,FALSE)</f>
        <v>KHJ-MC400-00</v>
      </c>
      <c r="F3087" s="157" t="s">
        <v>1381</v>
      </c>
      <c r="H3087" s="138">
        <v>1411</v>
      </c>
      <c r="I3087" s="139" t="str">
        <f>VLOOKUP(H3087,Stock_list!A:R,18,FALSE)</f>
        <v>众华</v>
      </c>
      <c r="J3087" s="139" t="str">
        <f>VLOOKUP(H3087,Stock_list!A:S,17,FALSE)</f>
        <v>C49SZX20210167MW</v>
      </c>
      <c r="K3087" s="51" t="str">
        <f>VLOOKUP(H3087,Stock_list!A:T,16,FALSE)</f>
        <v>JPY</v>
      </c>
      <c r="L3087" s="4">
        <v>44571</v>
      </c>
      <c r="M3087" s="140">
        <v>1</v>
      </c>
      <c r="P3087" s="4" t="str">
        <f>VLOOKUP(H3087,Stock_list!A:Y,25,FALSE)</f>
        <v>Yes</v>
      </c>
      <c r="Q3087" s="143"/>
      <c r="T3087" s="144"/>
      <c r="U3087" s="145" t="str">
        <f>VLOOKUP(H3087,Stock_list!A:N,14,FALSE)</f>
        <v>JAN 22</v>
      </c>
    </row>
    <row r="3088" spans="1:21" ht="16.5" customHeight="1">
      <c r="A3088" s="159" t="s">
        <v>2768</v>
      </c>
      <c r="B3088" s="114" t="str">
        <f>VLOOKUP(A3088,'Data pick slip'!B:F,5,FALSE)</f>
        <v>KHJ-MC100-00</v>
      </c>
      <c r="F3088" s="157" t="s">
        <v>1381</v>
      </c>
      <c r="H3088" s="138">
        <v>1412</v>
      </c>
      <c r="I3088" s="139" t="str">
        <f>VLOOKUP(H3088,Stock_list!A:R,18,FALSE)</f>
        <v>伟盛贸易(富洛）/晶科</v>
      </c>
      <c r="J3088" s="139" t="str">
        <f>VLOOKUP(H3088,Stock_list!A:S,17,FALSE)</f>
        <v>C49SZX20210095JL</v>
      </c>
      <c r="K3088" s="51" t="str">
        <f>VLOOKUP(H3088,Stock_list!A:T,16,FALSE)</f>
        <v>JPY</v>
      </c>
      <c r="L3088" s="4">
        <v>44379</v>
      </c>
      <c r="M3088" s="140">
        <v>60</v>
      </c>
      <c r="P3088" s="4" t="str">
        <f>VLOOKUP(H3088,Stock_list!A:Y,25,FALSE)</f>
        <v>Yes</v>
      </c>
      <c r="Q3088" s="143"/>
      <c r="T3088" s="144"/>
      <c r="U3088" s="145" t="str">
        <f>VLOOKUP(H3088,Stock_list!A:N,14,FALSE)</f>
        <v>JUL 21</v>
      </c>
    </row>
    <row r="3089" spans="1:21" ht="16.5" customHeight="1">
      <c r="A3089" s="159" t="s">
        <v>2747</v>
      </c>
      <c r="B3089" s="114" t="str">
        <f>VLOOKUP(A3089,'Data pick slip'!B:F,5,FALSE)</f>
        <v>KHJ-MC200-00</v>
      </c>
      <c r="F3089" s="157" t="s">
        <v>1381</v>
      </c>
      <c r="H3089" s="138">
        <v>1412</v>
      </c>
      <c r="I3089" s="139" t="str">
        <f>VLOOKUP(H3089,Stock_list!A:R,18,FALSE)</f>
        <v>伟盛贸易(富洛）/晶科</v>
      </c>
      <c r="J3089" s="139" t="str">
        <f>VLOOKUP(H3089,Stock_list!A:S,17,FALSE)</f>
        <v>C49SZX20210095JL</v>
      </c>
      <c r="K3089" s="51" t="str">
        <f>VLOOKUP(H3089,Stock_list!A:T,16,FALSE)</f>
        <v>JPY</v>
      </c>
      <c r="L3089" s="4">
        <v>44379</v>
      </c>
      <c r="M3089" s="140">
        <v>20</v>
      </c>
      <c r="P3089" s="4" t="str">
        <f>VLOOKUP(H3089,Stock_list!A:Y,25,FALSE)</f>
        <v>Yes</v>
      </c>
      <c r="Q3089" s="143"/>
      <c r="T3089" s="144"/>
      <c r="U3089" s="145" t="str">
        <f>VLOOKUP(H3089,Stock_list!A:N,14,FALSE)</f>
        <v>JUL 21</v>
      </c>
    </row>
    <row r="3090" spans="1:21" ht="16.5" customHeight="1">
      <c r="A3090" s="159" t="s">
        <v>2748</v>
      </c>
      <c r="B3090" s="114" t="str">
        <f>VLOOKUP(A3090,'Data pick slip'!B:F,5,FALSE)</f>
        <v>KHJ-MC400-00</v>
      </c>
      <c r="F3090" s="157" t="s">
        <v>1381</v>
      </c>
      <c r="H3090" s="138">
        <v>1412</v>
      </c>
      <c r="I3090" s="139" t="str">
        <f>VLOOKUP(H3090,Stock_list!A:R,18,FALSE)</f>
        <v>伟盛贸易(富洛）/晶科</v>
      </c>
      <c r="J3090" s="139" t="str">
        <f>VLOOKUP(H3090,Stock_list!A:S,17,FALSE)</f>
        <v>C49SZX20210095JL</v>
      </c>
      <c r="K3090" s="51" t="str">
        <f>VLOOKUP(H3090,Stock_list!A:T,16,FALSE)</f>
        <v>JPY</v>
      </c>
      <c r="L3090" s="4">
        <v>44379</v>
      </c>
      <c r="M3090" s="140">
        <v>4</v>
      </c>
      <c r="P3090" s="4" t="str">
        <f>VLOOKUP(H3090,Stock_list!A:Y,25,FALSE)</f>
        <v>Yes</v>
      </c>
      <c r="Q3090" s="143"/>
      <c r="T3090" s="144"/>
      <c r="U3090" s="145" t="str">
        <f>VLOOKUP(H3090,Stock_list!A:N,14,FALSE)</f>
        <v>JUL 21</v>
      </c>
    </row>
    <row r="3091" spans="1:21" ht="16.5" customHeight="1">
      <c r="A3091" s="159" t="s">
        <v>2749</v>
      </c>
      <c r="B3091" s="114" t="str">
        <f>VLOOKUP(A3091,'Data pick slip'!B:F,5,FALSE)</f>
        <v>KHJ-MC500-00</v>
      </c>
      <c r="F3091" s="157" t="s">
        <v>1381</v>
      </c>
      <c r="H3091" s="138">
        <v>1412</v>
      </c>
      <c r="I3091" s="139" t="str">
        <f>VLOOKUP(H3091,Stock_list!A:R,18,FALSE)</f>
        <v>伟盛贸易(富洛）/晶科</v>
      </c>
      <c r="J3091" s="139" t="str">
        <f>VLOOKUP(H3091,Stock_list!A:S,17,FALSE)</f>
        <v>C49SZX20210095JL</v>
      </c>
      <c r="K3091" s="51" t="str">
        <f>VLOOKUP(H3091,Stock_list!A:T,16,FALSE)</f>
        <v>JPY</v>
      </c>
      <c r="L3091" s="4">
        <v>44379</v>
      </c>
      <c r="M3091" s="140">
        <v>4</v>
      </c>
      <c r="P3091" s="4" t="str">
        <f>VLOOKUP(H3091,Stock_list!A:Y,25,FALSE)</f>
        <v>Yes</v>
      </c>
      <c r="Q3091" s="143"/>
      <c r="T3091" s="144"/>
      <c r="U3091" s="145" t="str">
        <f>VLOOKUP(H3091,Stock_list!A:N,14,FALSE)</f>
        <v>JUL 21</v>
      </c>
    </row>
    <row r="3092" spans="1:21" ht="16.5" customHeight="1">
      <c r="A3092" s="159" t="s">
        <v>2768</v>
      </c>
      <c r="B3092" s="114" t="str">
        <f>VLOOKUP(A3092,'Data pick slip'!B:F,5,FALSE)</f>
        <v>KHJ-MC100-00</v>
      </c>
      <c r="F3092" s="157" t="s">
        <v>1381</v>
      </c>
      <c r="H3092" s="138">
        <v>1414</v>
      </c>
      <c r="I3092" s="139" t="str">
        <f>VLOOKUP(H3092,Stock_list!A:R,18,FALSE)</f>
        <v>鸿通宇</v>
      </c>
      <c r="J3092" s="139" t="str">
        <f>VLOOKUP(H3092,Stock_list!A:S,17,FALSE)</f>
        <v>C49SZX20210170DZ</v>
      </c>
      <c r="K3092" s="51" t="str">
        <f>VLOOKUP(H3092,Stock_list!A:T,16,FALSE)</f>
        <v>JPY</v>
      </c>
      <c r="L3092" s="4">
        <v>44580</v>
      </c>
      <c r="M3092" s="140">
        <v>130</v>
      </c>
      <c r="P3092" s="4" t="str">
        <f>VLOOKUP(H3092,Stock_list!A:Y,25,FALSE)</f>
        <v>Yes</v>
      </c>
      <c r="Q3092" s="143"/>
      <c r="T3092" s="144"/>
      <c r="U3092" s="145" t="str">
        <f>VLOOKUP(H3092,Stock_list!A:N,14,FALSE)</f>
        <v>JAN 22</v>
      </c>
    </row>
    <row r="3093" spans="1:21" ht="16.5" customHeight="1">
      <c r="A3093" s="159" t="s">
        <v>2747</v>
      </c>
      <c r="B3093" s="114" t="str">
        <f>VLOOKUP(A3093,'Data pick slip'!B:F,5,FALSE)</f>
        <v>KHJ-MC200-00</v>
      </c>
      <c r="F3093" s="157" t="s">
        <v>1381</v>
      </c>
      <c r="H3093" s="138">
        <v>1414</v>
      </c>
      <c r="I3093" s="139" t="str">
        <f>VLOOKUP(H3093,Stock_list!A:R,18,FALSE)</f>
        <v>鸿通宇</v>
      </c>
      <c r="J3093" s="139" t="str">
        <f>VLOOKUP(H3093,Stock_list!A:S,17,FALSE)</f>
        <v>C49SZX20210170DZ</v>
      </c>
      <c r="K3093" s="51" t="str">
        <f>VLOOKUP(H3093,Stock_list!A:T,16,FALSE)</f>
        <v>JPY</v>
      </c>
      <c r="L3093" s="4">
        <v>44580</v>
      </c>
      <c r="M3093" s="140">
        <v>12</v>
      </c>
      <c r="P3093" s="4" t="str">
        <f>VLOOKUP(H3093,Stock_list!A:Y,25,FALSE)</f>
        <v>Yes</v>
      </c>
      <c r="Q3093" s="143"/>
      <c r="T3093" s="144"/>
      <c r="U3093" s="145" t="str">
        <f>VLOOKUP(H3093,Stock_list!A:N,14,FALSE)</f>
        <v>JAN 22</v>
      </c>
    </row>
    <row r="3094" spans="1:21" ht="16.5" customHeight="1">
      <c r="A3094" s="159" t="s">
        <v>2748</v>
      </c>
      <c r="B3094" s="114" t="str">
        <f>VLOOKUP(A3094,'Data pick slip'!B:F,5,FALSE)</f>
        <v>KHJ-MC400-00</v>
      </c>
      <c r="F3094" s="157" t="s">
        <v>1381</v>
      </c>
      <c r="H3094" s="138">
        <v>1414</v>
      </c>
      <c r="I3094" s="139" t="str">
        <f>VLOOKUP(H3094,Stock_list!A:R,18,FALSE)</f>
        <v>鸿通宇</v>
      </c>
      <c r="J3094" s="139" t="str">
        <f>VLOOKUP(H3094,Stock_list!A:S,17,FALSE)</f>
        <v>C49SZX20210170DZ</v>
      </c>
      <c r="K3094" s="51" t="str">
        <f>VLOOKUP(H3094,Stock_list!A:T,16,FALSE)</f>
        <v>JPY</v>
      </c>
      <c r="L3094" s="4">
        <v>44580</v>
      </c>
      <c r="M3094" s="140">
        <v>2</v>
      </c>
      <c r="P3094" s="4" t="str">
        <f>VLOOKUP(H3094,Stock_list!A:Y,25,FALSE)</f>
        <v>Yes</v>
      </c>
      <c r="Q3094" s="143"/>
      <c r="T3094" s="144"/>
      <c r="U3094" s="145" t="str">
        <f>VLOOKUP(H3094,Stock_list!A:N,14,FALSE)</f>
        <v>JAN 22</v>
      </c>
    </row>
    <row r="3095" spans="1:21" ht="16.5" customHeight="1">
      <c r="A3095" s="159" t="s">
        <v>2749</v>
      </c>
      <c r="B3095" s="114" t="str">
        <f>VLOOKUP(A3095,'Data pick slip'!B:F,5,FALSE)</f>
        <v>KHJ-MC500-00</v>
      </c>
      <c r="F3095" s="157" t="s">
        <v>1381</v>
      </c>
      <c r="H3095" s="138">
        <v>1414</v>
      </c>
      <c r="I3095" s="139" t="str">
        <f>VLOOKUP(H3095,Stock_list!A:R,18,FALSE)</f>
        <v>鸿通宇</v>
      </c>
      <c r="J3095" s="139" t="str">
        <f>VLOOKUP(H3095,Stock_list!A:S,17,FALSE)</f>
        <v>C49SZX20210170DZ</v>
      </c>
      <c r="K3095" s="51" t="str">
        <f>VLOOKUP(H3095,Stock_list!A:T,16,FALSE)</f>
        <v>JPY</v>
      </c>
      <c r="L3095" s="4">
        <v>44580</v>
      </c>
      <c r="M3095" s="140">
        <v>2</v>
      </c>
      <c r="P3095" s="4" t="str">
        <f>VLOOKUP(H3095,Stock_list!A:Y,25,FALSE)</f>
        <v>Yes</v>
      </c>
      <c r="Q3095" s="143"/>
      <c r="T3095" s="144"/>
      <c r="U3095" s="145" t="str">
        <f>VLOOKUP(H3095,Stock_list!A:N,14,FALSE)</f>
        <v>JAN 22</v>
      </c>
    </row>
    <row r="3096" spans="1:21" ht="16.5" customHeight="1">
      <c r="A3096" s="159" t="s">
        <v>2768</v>
      </c>
      <c r="B3096" s="114" t="str">
        <f>VLOOKUP(A3096,'Data pick slip'!B:F,5,FALSE)</f>
        <v>KHJ-MC100-00</v>
      </c>
      <c r="F3096" s="157" t="s">
        <v>1381</v>
      </c>
      <c r="H3096" s="138">
        <v>1419</v>
      </c>
      <c r="I3096" s="139" t="str">
        <f>VLOOKUP(H3096,Stock_list!A:R,18,FALSE)</f>
        <v>太美亚</v>
      </c>
      <c r="J3096" s="139" t="str">
        <f>VLOOKUP(H3096,Stock_list!A:S,17,FALSE)</f>
        <v>C49SZX20210152SX</v>
      </c>
      <c r="K3096" s="51" t="str">
        <f>VLOOKUP(H3096,Stock_list!A:T,16,FALSE)</f>
        <v>JPY</v>
      </c>
      <c r="L3096" s="4">
        <v>44439</v>
      </c>
      <c r="M3096" s="132">
        <v>56</v>
      </c>
      <c r="N3096" s="146"/>
      <c r="P3096" s="4" t="str">
        <f>VLOOKUP(H3096,Stock_list!A:Y,25,FALSE)</f>
        <v>Yes</v>
      </c>
      <c r="Q3096" s="143"/>
      <c r="T3096" s="144"/>
      <c r="U3096" s="145" t="str">
        <f>VLOOKUP(H3096,Stock_list!A:N,14,FALSE)</f>
        <v>AUG 21</v>
      </c>
    </row>
    <row r="3097" spans="1:21" ht="16.5" customHeight="1">
      <c r="A3097" s="159" t="s">
        <v>2747</v>
      </c>
      <c r="B3097" s="114" t="str">
        <f>VLOOKUP(A3097,'Data pick slip'!B:F,5,FALSE)</f>
        <v>KHJ-MC200-00</v>
      </c>
      <c r="F3097" s="157" t="s">
        <v>1381</v>
      </c>
      <c r="H3097" s="138">
        <v>1419</v>
      </c>
      <c r="I3097" s="139" t="str">
        <f>VLOOKUP(H3097,Stock_list!A:R,18,FALSE)</f>
        <v>太美亚</v>
      </c>
      <c r="J3097" s="139" t="str">
        <f>VLOOKUP(H3097,Stock_list!A:S,17,FALSE)</f>
        <v>C49SZX20210152SX</v>
      </c>
      <c r="K3097" s="51" t="str">
        <f>VLOOKUP(H3097,Stock_list!A:T,16,FALSE)</f>
        <v>JPY</v>
      </c>
      <c r="L3097" s="4">
        <v>44439</v>
      </c>
      <c r="M3097" s="132">
        <v>11</v>
      </c>
      <c r="N3097" s="146"/>
      <c r="P3097" s="4" t="str">
        <f>VLOOKUP(H3097,Stock_list!A:Y,25,FALSE)</f>
        <v>Yes</v>
      </c>
      <c r="Q3097" s="143"/>
      <c r="T3097" s="144"/>
      <c r="U3097" s="145" t="str">
        <f>VLOOKUP(H3097,Stock_list!A:N,14,FALSE)</f>
        <v>AUG 21</v>
      </c>
    </row>
    <row r="3098" spans="1:21" ht="16.5" customHeight="1">
      <c r="A3098" s="159" t="s">
        <v>2748</v>
      </c>
      <c r="B3098" s="114" t="str">
        <f>VLOOKUP(A3098,'Data pick slip'!B:F,5,FALSE)</f>
        <v>KHJ-MC400-00</v>
      </c>
      <c r="F3098" s="157" t="s">
        <v>1381</v>
      </c>
      <c r="H3098" s="138">
        <v>1419</v>
      </c>
      <c r="I3098" s="139" t="str">
        <f>VLOOKUP(H3098,Stock_list!A:R,18,FALSE)</f>
        <v>太美亚</v>
      </c>
      <c r="J3098" s="139" t="str">
        <f>VLOOKUP(H3098,Stock_list!A:S,17,FALSE)</f>
        <v>C49SZX20210152SX</v>
      </c>
      <c r="K3098" s="51" t="str">
        <f>VLOOKUP(H3098,Stock_list!A:T,16,FALSE)</f>
        <v>JPY</v>
      </c>
      <c r="L3098" s="4">
        <v>44439</v>
      </c>
      <c r="M3098" s="132">
        <v>3</v>
      </c>
      <c r="N3098" s="146"/>
      <c r="P3098" s="4" t="str">
        <f>VLOOKUP(H3098,Stock_list!A:Y,25,FALSE)</f>
        <v>Yes</v>
      </c>
      <c r="Q3098" s="143"/>
      <c r="T3098" s="144"/>
      <c r="U3098" s="145" t="str">
        <f>VLOOKUP(H3098,Stock_list!A:N,14,FALSE)</f>
        <v>AUG 21</v>
      </c>
    </row>
    <row r="3099" spans="1:21" ht="16.5" customHeight="1">
      <c r="A3099" s="159" t="s">
        <v>2768</v>
      </c>
      <c r="B3099" s="114" t="str">
        <f>VLOOKUP(A3099,'Data pick slip'!B:F,5,FALSE)</f>
        <v>KHJ-MC100-00</v>
      </c>
      <c r="F3099" s="157" t="s">
        <v>1381</v>
      </c>
      <c r="H3099" s="138">
        <v>1419</v>
      </c>
      <c r="I3099" s="139" t="str">
        <f>VLOOKUP(H3099,Stock_list!A:R,18,FALSE)</f>
        <v>太美亚</v>
      </c>
      <c r="J3099" s="139" t="str">
        <f>VLOOKUP(H3099,Stock_list!A:S,17,FALSE)</f>
        <v>C49SZX20210152SX</v>
      </c>
      <c r="K3099" s="51" t="str">
        <f>VLOOKUP(H3099,Stock_list!A:T,16,FALSE)</f>
        <v>JPY</v>
      </c>
      <c r="L3099" s="4">
        <v>44558</v>
      </c>
      <c r="M3099" s="140">
        <v>28</v>
      </c>
      <c r="P3099" s="4" t="str">
        <f>VLOOKUP(H3099,Stock_list!A:Y,25,FALSE)</f>
        <v>Yes</v>
      </c>
      <c r="Q3099" s="143"/>
      <c r="T3099" s="144"/>
      <c r="U3099" s="145" t="str">
        <f>VLOOKUP(H3099,Stock_list!A:N,14,FALSE)</f>
        <v>AUG 21</v>
      </c>
    </row>
    <row r="3100" spans="1:21" ht="16.5" customHeight="1">
      <c r="A3100" s="159" t="s">
        <v>2747</v>
      </c>
      <c r="B3100" s="114" t="str">
        <f>VLOOKUP(A3100,'Data pick slip'!B:F,5,FALSE)</f>
        <v>KHJ-MC200-00</v>
      </c>
      <c r="F3100" s="157" t="s">
        <v>1381</v>
      </c>
      <c r="H3100" s="138">
        <v>1419</v>
      </c>
      <c r="I3100" s="139" t="str">
        <f>VLOOKUP(H3100,Stock_list!A:R,18,FALSE)</f>
        <v>太美亚</v>
      </c>
      <c r="J3100" s="139" t="str">
        <f>VLOOKUP(H3100,Stock_list!A:S,17,FALSE)</f>
        <v>C49SZX20210152SX</v>
      </c>
      <c r="K3100" s="51" t="str">
        <f>VLOOKUP(H3100,Stock_list!A:T,16,FALSE)</f>
        <v>JPY</v>
      </c>
      <c r="L3100" s="4">
        <v>44558</v>
      </c>
      <c r="M3100" s="140">
        <v>5</v>
      </c>
      <c r="P3100" s="4" t="str">
        <f>VLOOKUP(H3100,Stock_list!A:Y,25,FALSE)</f>
        <v>Yes</v>
      </c>
      <c r="Q3100" s="143"/>
      <c r="T3100" s="144"/>
      <c r="U3100" s="145" t="str">
        <f>VLOOKUP(H3100,Stock_list!A:N,14,FALSE)</f>
        <v>AUG 21</v>
      </c>
    </row>
    <row r="3101" spans="1:21" ht="16.5" customHeight="1">
      <c r="A3101" s="159" t="s">
        <v>2748</v>
      </c>
      <c r="B3101" s="114" t="str">
        <f>VLOOKUP(A3101,'Data pick slip'!B:F,5,FALSE)</f>
        <v>KHJ-MC400-00</v>
      </c>
      <c r="F3101" s="157" t="s">
        <v>1381</v>
      </c>
      <c r="H3101" s="138">
        <v>1419</v>
      </c>
      <c r="I3101" s="139" t="str">
        <f>VLOOKUP(H3101,Stock_list!A:R,18,FALSE)</f>
        <v>太美亚</v>
      </c>
      <c r="J3101" s="139" t="str">
        <f>VLOOKUP(H3101,Stock_list!A:S,17,FALSE)</f>
        <v>C49SZX20210152SX</v>
      </c>
      <c r="K3101" s="51" t="str">
        <f>VLOOKUP(H3101,Stock_list!A:T,16,FALSE)</f>
        <v>JPY</v>
      </c>
      <c r="L3101" s="4">
        <v>44558</v>
      </c>
      <c r="M3101" s="140">
        <v>2</v>
      </c>
      <c r="P3101" s="4" t="str">
        <f>VLOOKUP(H3101,Stock_list!A:Y,25,FALSE)</f>
        <v>Yes</v>
      </c>
      <c r="Q3101" s="143"/>
      <c r="T3101" s="144"/>
      <c r="U3101" s="145" t="str">
        <f>VLOOKUP(H3101,Stock_list!A:N,14,FALSE)</f>
        <v>AUG 21</v>
      </c>
    </row>
    <row r="3102" spans="1:21" ht="16.5" customHeight="1">
      <c r="A3102" s="159" t="s">
        <v>2768</v>
      </c>
      <c r="B3102" s="114" t="str">
        <f>VLOOKUP(A3102,'Data pick slip'!B:F,5,FALSE)</f>
        <v>KHJ-MC100-00</v>
      </c>
      <c r="F3102" s="157" t="s">
        <v>1381</v>
      </c>
      <c r="H3102" s="138">
        <v>1419</v>
      </c>
      <c r="I3102" s="139" t="str">
        <f>VLOOKUP(H3102,Stock_list!A:R,18,FALSE)</f>
        <v>太美亚</v>
      </c>
      <c r="J3102" s="139" t="str">
        <f>VLOOKUP(H3102,Stock_list!A:S,17,FALSE)</f>
        <v>C49SZX20210152SX</v>
      </c>
      <c r="K3102" s="51" t="str">
        <f>VLOOKUP(H3102,Stock_list!A:T,16,FALSE)</f>
        <v>JPY</v>
      </c>
      <c r="L3102" s="4">
        <v>44511</v>
      </c>
      <c r="M3102" s="140">
        <v>28</v>
      </c>
      <c r="P3102" s="4" t="str">
        <f>VLOOKUP(H3102,Stock_list!A:Y,25,FALSE)</f>
        <v>Yes</v>
      </c>
      <c r="Q3102" s="143"/>
      <c r="T3102" s="144"/>
      <c r="U3102" s="145" t="str">
        <f>VLOOKUP(H3102,Stock_list!A:N,14,FALSE)</f>
        <v>AUG 21</v>
      </c>
    </row>
    <row r="3103" spans="1:21" ht="16.5" customHeight="1">
      <c r="A3103" s="159" t="s">
        <v>2747</v>
      </c>
      <c r="B3103" s="114" t="str">
        <f>VLOOKUP(A3103,'Data pick slip'!B:F,5,FALSE)</f>
        <v>KHJ-MC200-00</v>
      </c>
      <c r="F3103" s="157" t="s">
        <v>1381</v>
      </c>
      <c r="H3103" s="138">
        <v>1419</v>
      </c>
      <c r="I3103" s="139" t="str">
        <f>VLOOKUP(H3103,Stock_list!A:R,18,FALSE)</f>
        <v>太美亚</v>
      </c>
      <c r="J3103" s="139" t="str">
        <f>VLOOKUP(H3103,Stock_list!A:S,17,FALSE)</f>
        <v>C49SZX20210152SX</v>
      </c>
      <c r="K3103" s="51" t="str">
        <f>VLOOKUP(H3103,Stock_list!A:T,16,FALSE)</f>
        <v>JPY</v>
      </c>
      <c r="L3103" s="4">
        <v>44511</v>
      </c>
      <c r="M3103" s="140">
        <v>5</v>
      </c>
      <c r="P3103" s="4" t="str">
        <f>VLOOKUP(H3103,Stock_list!A:Y,25,FALSE)</f>
        <v>Yes</v>
      </c>
      <c r="Q3103" s="143"/>
      <c r="T3103" s="144"/>
      <c r="U3103" s="145" t="str">
        <f>VLOOKUP(H3103,Stock_list!A:N,14,FALSE)</f>
        <v>AUG 21</v>
      </c>
    </row>
    <row r="3104" spans="1:21" ht="16.5" customHeight="1">
      <c r="A3104" s="159" t="s">
        <v>2748</v>
      </c>
      <c r="B3104" s="114" t="str">
        <f>VLOOKUP(A3104,'Data pick slip'!B:F,5,FALSE)</f>
        <v>KHJ-MC400-00</v>
      </c>
      <c r="F3104" s="157" t="s">
        <v>1381</v>
      </c>
      <c r="H3104" s="138">
        <v>1419</v>
      </c>
      <c r="I3104" s="139" t="str">
        <f>VLOOKUP(H3104,Stock_list!A:R,18,FALSE)</f>
        <v>太美亚</v>
      </c>
      <c r="J3104" s="139" t="str">
        <f>VLOOKUP(H3104,Stock_list!A:S,17,FALSE)</f>
        <v>C49SZX20210152SX</v>
      </c>
      <c r="K3104" s="51" t="str">
        <f>VLOOKUP(H3104,Stock_list!A:T,16,FALSE)</f>
        <v>JPY</v>
      </c>
      <c r="L3104" s="4">
        <v>44511</v>
      </c>
      <c r="M3104" s="140">
        <v>2</v>
      </c>
      <c r="P3104" s="4" t="str">
        <f>VLOOKUP(H3104,Stock_list!A:Y,25,FALSE)</f>
        <v>Yes</v>
      </c>
      <c r="Q3104" s="143"/>
      <c r="T3104" s="144"/>
      <c r="U3104" s="145" t="str">
        <f>VLOOKUP(H3104,Stock_list!A:N,14,FALSE)</f>
        <v>AUG 21</v>
      </c>
    </row>
    <row r="3105" spans="1:21" ht="16.5" customHeight="1">
      <c r="A3105" s="159" t="s">
        <v>2768</v>
      </c>
      <c r="B3105" s="114" t="str">
        <f>VLOOKUP(A3105,'Data pick slip'!B:F,5,FALSE)</f>
        <v>KHJ-MC100-00</v>
      </c>
      <c r="F3105" s="157" t="s">
        <v>2753</v>
      </c>
      <c r="H3105" s="138">
        <v>1419</v>
      </c>
      <c r="I3105" s="139" t="str">
        <f>VLOOKUP(H3105,Stock_list!A:R,18,FALSE)</f>
        <v>太美亚</v>
      </c>
      <c r="J3105" s="139" t="str">
        <f>VLOOKUP(H3105,Stock_list!A:S,17,FALSE)</f>
        <v>C49SZX20210152SX</v>
      </c>
      <c r="K3105" s="51" t="str">
        <f>VLOOKUP(H3105,Stock_list!A:T,16,FALSE)</f>
        <v>JPY</v>
      </c>
      <c r="L3105" s="4">
        <v>44511</v>
      </c>
      <c r="O3105" s="132">
        <f>28-28</f>
        <v>0</v>
      </c>
      <c r="P3105" s="4" t="str">
        <f>VLOOKUP(H3105,Stock_list!A:Y,25,FALSE)</f>
        <v>Yes</v>
      </c>
      <c r="Q3105" s="143"/>
      <c r="T3105" s="144"/>
      <c r="U3105" s="145" t="str">
        <f>VLOOKUP(H3105,Stock_list!A:N,14,FALSE)</f>
        <v>AUG 21</v>
      </c>
    </row>
    <row r="3106" spans="1:21" ht="16.5" customHeight="1">
      <c r="A3106" s="159" t="s">
        <v>2747</v>
      </c>
      <c r="B3106" s="114" t="str">
        <f>VLOOKUP(A3106,'Data pick slip'!B:F,5,FALSE)</f>
        <v>KHJ-MC200-00</v>
      </c>
      <c r="F3106" s="157" t="s">
        <v>2753</v>
      </c>
      <c r="H3106" s="138">
        <v>1419</v>
      </c>
      <c r="I3106" s="139" t="str">
        <f>VLOOKUP(H3106,Stock_list!A:R,18,FALSE)</f>
        <v>太美亚</v>
      </c>
      <c r="J3106" s="139" t="str">
        <f>VLOOKUP(H3106,Stock_list!A:S,17,FALSE)</f>
        <v>C49SZX20210152SX</v>
      </c>
      <c r="K3106" s="51" t="str">
        <f>VLOOKUP(H3106,Stock_list!A:T,16,FALSE)</f>
        <v>JPY</v>
      </c>
      <c r="L3106" s="4">
        <v>44511</v>
      </c>
      <c r="O3106" s="132">
        <f>5-5</f>
        <v>0</v>
      </c>
      <c r="P3106" s="4" t="str">
        <f>VLOOKUP(H3106,Stock_list!A:Y,25,FALSE)</f>
        <v>Yes</v>
      </c>
      <c r="Q3106" s="143"/>
      <c r="T3106" s="144"/>
      <c r="U3106" s="145" t="str">
        <f>VLOOKUP(H3106,Stock_list!A:N,14,FALSE)</f>
        <v>AUG 21</v>
      </c>
    </row>
    <row r="3107" spans="1:21" ht="16.5" customHeight="1">
      <c r="A3107" s="159" t="s">
        <v>2748</v>
      </c>
      <c r="B3107" s="114" t="str">
        <f>VLOOKUP(A3107,'Data pick slip'!B:F,5,FALSE)</f>
        <v>KHJ-MC400-00</v>
      </c>
      <c r="F3107" s="157" t="s">
        <v>2753</v>
      </c>
      <c r="H3107" s="138">
        <v>1419</v>
      </c>
      <c r="I3107" s="139" t="str">
        <f>VLOOKUP(H3107,Stock_list!A:R,18,FALSE)</f>
        <v>太美亚</v>
      </c>
      <c r="J3107" s="139" t="str">
        <f>VLOOKUP(H3107,Stock_list!A:S,17,FALSE)</f>
        <v>C49SZX20210152SX</v>
      </c>
      <c r="K3107" s="51" t="str">
        <f>VLOOKUP(H3107,Stock_list!A:T,16,FALSE)</f>
        <v>JPY</v>
      </c>
      <c r="L3107" s="4">
        <v>44511</v>
      </c>
      <c r="O3107" s="132">
        <f>2-2</f>
        <v>0</v>
      </c>
      <c r="P3107" s="4" t="str">
        <f>VLOOKUP(H3107,Stock_list!A:Y,25,FALSE)</f>
        <v>Yes</v>
      </c>
      <c r="Q3107" s="143"/>
      <c r="T3107" s="144"/>
      <c r="U3107" s="145" t="str">
        <f>VLOOKUP(H3107,Stock_list!A:N,14,FALSE)</f>
        <v>AUG 21</v>
      </c>
    </row>
    <row r="3108" spans="1:21" ht="16.5" customHeight="1">
      <c r="A3108" s="159" t="s">
        <v>2768</v>
      </c>
      <c r="B3108" s="114" t="str">
        <f>VLOOKUP(A3108,'Data pick slip'!B:F,5,FALSE)</f>
        <v>KHJ-MC100-00</v>
      </c>
      <c r="F3108" s="157" t="s">
        <v>1381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2768</v>
      </c>
      <c r="B3109" s="114" t="str">
        <f>VLOOKUP(A3109,'Data pick slip'!B:F,5,FALSE)</f>
        <v>KHJ-MC100-00</v>
      </c>
      <c r="F3109" s="157" t="s">
        <v>2753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2747</v>
      </c>
      <c r="B3110" s="114" t="str">
        <f>VLOOKUP(A3110,'Data pick slip'!B:F,5,FALSE)</f>
        <v>KHJ-MC200-00</v>
      </c>
      <c r="F3110" s="157" t="s">
        <v>1381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2748</v>
      </c>
      <c r="B3111" s="114" t="str">
        <f>VLOOKUP(A3111,'Data pick slip'!B:F,5,FALSE)</f>
        <v>KHJ-MC400-00</v>
      </c>
      <c r="F3111" s="157" t="s">
        <v>1381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2768</v>
      </c>
      <c r="B3112" s="114" t="str">
        <f>VLOOKUP(A3112,'Data pick slip'!B:F,5,FALSE)</f>
        <v>KHJ-MC100-00</v>
      </c>
      <c r="E3112" s="160" t="s">
        <v>3456</v>
      </c>
      <c r="F3112" s="157" t="s">
        <v>1381</v>
      </c>
      <c r="I3112" s="139" t="s">
        <v>2854</v>
      </c>
      <c r="J3112" s="267" t="s">
        <v>3457</v>
      </c>
      <c r="K3112" s="51" t="s">
        <v>3003</v>
      </c>
      <c r="L3112" s="4">
        <v>44356</v>
      </c>
      <c r="M3112" s="140">
        <v>2</v>
      </c>
      <c r="P3112" s="4" t="s">
        <v>291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2768</v>
      </c>
      <c r="B3113" s="114" t="str">
        <f>VLOOKUP(A3113,'Data pick slip'!B:F,5,FALSE)</f>
        <v>KHJ-MC100-00</v>
      </c>
      <c r="F3113" s="157" t="s">
        <v>1381</v>
      </c>
      <c r="I3113" s="269" t="s">
        <v>3414</v>
      </c>
      <c r="J3113" s="139" t="s">
        <v>3458</v>
      </c>
      <c r="K3113" s="51" t="s">
        <v>1246</v>
      </c>
      <c r="L3113" s="4">
        <v>44369</v>
      </c>
      <c r="M3113" s="140">
        <v>60</v>
      </c>
      <c r="P3113" s="4" t="s">
        <v>291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2750</v>
      </c>
      <c r="B3114" s="114" t="str">
        <f>VLOOKUP(A3114,'Data pick slip'!B:F,5,FALSE)</f>
        <v>KHJ-MC600-00</v>
      </c>
      <c r="F3114" s="157" t="s">
        <v>1381</v>
      </c>
      <c r="I3114" s="269" t="s">
        <v>3414</v>
      </c>
      <c r="J3114" s="139" t="s">
        <v>3458</v>
      </c>
      <c r="K3114" s="51" t="s">
        <v>1246</v>
      </c>
      <c r="L3114" s="4">
        <v>44369</v>
      </c>
      <c r="M3114" s="140">
        <v>4</v>
      </c>
      <c r="P3114" s="4" t="s">
        <v>291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2751</v>
      </c>
      <c r="B3115" s="114" t="str">
        <f>VLOOKUP(A3115,'Data pick slip'!B:F,5,FALSE)</f>
        <v>KHJ-MC700-00</v>
      </c>
      <c r="F3115" s="157" t="s">
        <v>1381</v>
      </c>
      <c r="I3115" s="269" t="s">
        <v>3414</v>
      </c>
      <c r="J3115" s="139" t="s">
        <v>3458</v>
      </c>
      <c r="K3115" s="51" t="s">
        <v>1246</v>
      </c>
      <c r="L3115" s="4">
        <v>44369</v>
      </c>
      <c r="M3115" s="140">
        <v>2</v>
      </c>
      <c r="P3115" s="4" t="s">
        <v>291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2768</v>
      </c>
      <c r="B3116" s="114" t="str">
        <f>VLOOKUP(A3116,'Data pick slip'!B:F,5,FALSE)</f>
        <v>KHJ-MC100-00</v>
      </c>
      <c r="F3116" s="157" t="s">
        <v>2753</v>
      </c>
      <c r="H3116" s="138">
        <v>1434</v>
      </c>
      <c r="I3116" s="139" t="str">
        <f>VLOOKUP(H3116,Stock_list!A:R,18,FALSE)</f>
        <v>科华/End user 美斯特</v>
      </c>
      <c r="J3116" s="139" t="str">
        <f>VLOOKUP(H3116,Stock_list!A:S,17,FALSE)</f>
        <v>C49SZX20210172EC</v>
      </c>
      <c r="K3116" s="51" t="str">
        <f>VLOOKUP(H3116,Stock_list!A:T,16,FALSE)</f>
        <v>RMB</v>
      </c>
      <c r="L3116" s="4">
        <v>44512</v>
      </c>
      <c r="M3116" s="132">
        <v>30</v>
      </c>
      <c r="P3116" s="4" t="str">
        <f>VLOOKUP(H3116,Stock_list!A:Y,25,FALSE)</f>
        <v>Yes</v>
      </c>
      <c r="Q3116" s="143"/>
      <c r="T3116" s="144"/>
      <c r="U3116" s="145" t="str">
        <f>VLOOKUP(H3116,Stock_list!A:N,14,FALSE)</f>
        <v>NOV 21</v>
      </c>
    </row>
    <row r="3117" spans="1:21" ht="16.5" customHeight="1">
      <c r="A3117" s="159" t="s">
        <v>2747</v>
      </c>
      <c r="B3117" s="114" t="str">
        <f>VLOOKUP(A3117,'Data pick slip'!B:F,5,FALSE)</f>
        <v>KHJ-MC200-00</v>
      </c>
      <c r="F3117" s="157" t="s">
        <v>2753</v>
      </c>
      <c r="H3117" s="138">
        <v>1434</v>
      </c>
      <c r="I3117" s="139" t="str">
        <f>VLOOKUP(H3117,Stock_list!A:R,18,FALSE)</f>
        <v>科华/End user 美斯特</v>
      </c>
      <c r="J3117" s="139" t="str">
        <f>VLOOKUP(H3117,Stock_list!A:S,17,FALSE)</f>
        <v>C49SZX20210172EC</v>
      </c>
      <c r="K3117" s="51" t="str">
        <f>VLOOKUP(H3117,Stock_list!A:T,16,FALSE)</f>
        <v>RMB</v>
      </c>
      <c r="L3117" s="4">
        <v>44512</v>
      </c>
      <c r="M3117" s="132">
        <v>2</v>
      </c>
      <c r="P3117" s="4" t="str">
        <f>VLOOKUP(H3117,Stock_list!A:Y,25,FALSE)</f>
        <v>Yes</v>
      </c>
      <c r="Q3117" s="143"/>
      <c r="T3117" s="144"/>
      <c r="U3117" s="145" t="str">
        <f>VLOOKUP(H3117,Stock_list!A:N,14,FALSE)</f>
        <v>NOV 21</v>
      </c>
    </row>
    <row r="3118" spans="1:21" ht="16.5" customHeight="1">
      <c r="A3118" s="159" t="s">
        <v>2748</v>
      </c>
      <c r="B3118" s="114" t="str">
        <f>VLOOKUP(A3118,'Data pick slip'!B:F,5,FALSE)</f>
        <v>KHJ-MC400-00</v>
      </c>
      <c r="F3118" s="157" t="s">
        <v>2753</v>
      </c>
      <c r="H3118" s="138">
        <v>1434</v>
      </c>
      <c r="I3118" s="139" t="str">
        <f>VLOOKUP(H3118,Stock_list!A:R,18,FALSE)</f>
        <v>科华/End user 美斯特</v>
      </c>
      <c r="J3118" s="139" t="str">
        <f>VLOOKUP(H3118,Stock_list!A:S,17,FALSE)</f>
        <v>C49SZX20210172EC</v>
      </c>
      <c r="K3118" s="51" t="str">
        <f>VLOOKUP(H3118,Stock_list!A:T,16,FALSE)</f>
        <v>RMB</v>
      </c>
      <c r="L3118" s="4">
        <v>44512</v>
      </c>
      <c r="M3118" s="132">
        <v>1</v>
      </c>
      <c r="P3118" s="4" t="str">
        <f>VLOOKUP(H3118,Stock_list!A:Y,25,FALSE)</f>
        <v>Yes</v>
      </c>
      <c r="Q3118" s="143"/>
      <c r="T3118" s="144"/>
      <c r="U3118" s="145" t="str">
        <f>VLOOKUP(H3118,Stock_list!A:N,14,FALSE)</f>
        <v>NOV 21</v>
      </c>
    </row>
    <row r="3119" spans="1:21" ht="16.5" customHeight="1">
      <c r="A3119" s="159" t="s">
        <v>2744</v>
      </c>
      <c r="B3119" s="114" t="str">
        <f>VLOOKUP(A3119,'Data pick slip'!B:F,5,FALSE)</f>
        <v>KHJ-MC100-00</v>
      </c>
      <c r="F3119" s="157" t="s">
        <v>2753</v>
      </c>
      <c r="I3119" s="139" t="s">
        <v>3094</v>
      </c>
      <c r="J3119" s="270" t="s">
        <v>3459</v>
      </c>
      <c r="K3119" s="51" t="s">
        <v>1246</v>
      </c>
      <c r="L3119" s="4">
        <v>44369</v>
      </c>
      <c r="M3119" s="140">
        <v>2</v>
      </c>
      <c r="P3119" s="4" t="s">
        <v>291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2768</v>
      </c>
      <c r="B3120" s="114" t="str">
        <f>VLOOKUP(A3120,'Data pick slip'!B:F,5,FALSE)</f>
        <v>KHJ-MC100-00</v>
      </c>
      <c r="F3120" s="157" t="s">
        <v>1381</v>
      </c>
      <c r="H3120" s="138">
        <v>1435</v>
      </c>
      <c r="I3120" s="139" t="str">
        <f>VLOOKUP(H3120,Stock_list!A:R,18,FALSE)</f>
        <v>三丽（End user:东莞长志）</v>
      </c>
      <c r="J3120" s="139" t="str">
        <f>VLOOKUP(H3120,Stock_list!A:S,17,FALSE)</f>
        <v>C49SZX20210173AY</v>
      </c>
      <c r="K3120" s="51" t="str">
        <f>VLOOKUP(H3120,Stock_list!A:T,16,FALSE)</f>
        <v>JPY</v>
      </c>
      <c r="L3120" s="4">
        <v>44782</v>
      </c>
      <c r="M3120" s="132">
        <v>14</v>
      </c>
      <c r="P3120" s="4" t="str">
        <f>VLOOKUP(H3120,Stock_list!A:Y,25,FALSE)</f>
        <v>Yes</v>
      </c>
      <c r="Q3120" s="143"/>
      <c r="T3120" s="144"/>
      <c r="U3120" s="145" t="str">
        <f>VLOOKUP(H3120,Stock_list!A:N,14,FALSE)</f>
        <v>AUG 22</v>
      </c>
    </row>
    <row r="3121" spans="1:21" ht="16.5" customHeight="1">
      <c r="A3121" s="159" t="s">
        <v>2747</v>
      </c>
      <c r="B3121" s="114" t="str">
        <f>VLOOKUP(A3121,'Data pick slip'!B:F,5,FALSE)</f>
        <v>KHJ-MC200-00</v>
      </c>
      <c r="F3121" s="157" t="s">
        <v>1381</v>
      </c>
      <c r="H3121" s="138">
        <v>1435</v>
      </c>
      <c r="I3121" s="139" t="str">
        <f>VLOOKUP(H3121,Stock_list!A:R,18,FALSE)</f>
        <v>三丽（End user:东莞长志）</v>
      </c>
      <c r="J3121" s="139" t="str">
        <f>VLOOKUP(H3121,Stock_list!A:S,17,FALSE)</f>
        <v>C49SZX20210173AY</v>
      </c>
      <c r="K3121" s="51" t="str">
        <f>VLOOKUP(H3121,Stock_list!A:T,16,FALSE)</f>
        <v>JPY</v>
      </c>
      <c r="L3121" s="4">
        <v>44782</v>
      </c>
      <c r="M3121" s="132">
        <v>18</v>
      </c>
      <c r="P3121" s="4" t="str">
        <f>VLOOKUP(H3121,Stock_list!A:Y,25,FALSE)</f>
        <v>Yes</v>
      </c>
      <c r="Q3121" s="143"/>
      <c r="T3121" s="144"/>
      <c r="U3121" s="145" t="str">
        <f>VLOOKUP(H3121,Stock_list!A:N,14,FALSE)</f>
        <v>AUG 22</v>
      </c>
    </row>
    <row r="3122" spans="1:21" ht="16.5" customHeight="1">
      <c r="A3122" s="159" t="s">
        <v>2748</v>
      </c>
      <c r="B3122" s="114" t="str">
        <f>VLOOKUP(A3122,'Data pick slip'!B:F,5,FALSE)</f>
        <v>KHJ-MC400-00</v>
      </c>
      <c r="F3122" s="157" t="s">
        <v>1381</v>
      </c>
      <c r="H3122" s="138">
        <v>1435</v>
      </c>
      <c r="I3122" s="139" t="str">
        <f>VLOOKUP(H3122,Stock_list!A:R,18,FALSE)</f>
        <v>三丽（End user:东莞长志）</v>
      </c>
      <c r="J3122" s="139" t="str">
        <f>VLOOKUP(H3122,Stock_list!A:S,17,FALSE)</f>
        <v>C49SZX20210173AY</v>
      </c>
      <c r="K3122" s="51" t="str">
        <f>VLOOKUP(H3122,Stock_list!A:T,16,FALSE)</f>
        <v>JPY</v>
      </c>
      <c r="L3122" s="4">
        <v>44782</v>
      </c>
      <c r="M3122" s="132">
        <v>2</v>
      </c>
      <c r="P3122" s="4" t="str">
        <f>VLOOKUP(H3122,Stock_list!A:Y,25,FALSE)</f>
        <v>Yes</v>
      </c>
      <c r="Q3122" s="143"/>
      <c r="T3122" s="144"/>
      <c r="U3122" s="145" t="str">
        <f>VLOOKUP(H3122,Stock_list!A:N,14,FALSE)</f>
        <v>AUG 22</v>
      </c>
    </row>
    <row r="3123" spans="1:21" ht="16.5" customHeight="1">
      <c r="A3123" s="159" t="s">
        <v>2751</v>
      </c>
      <c r="B3123" s="114" t="str">
        <f>VLOOKUP(A3123,'Data pick slip'!B:F,5,FALSE)</f>
        <v>KHJ-MC700-00</v>
      </c>
      <c r="F3123" s="157" t="s">
        <v>2753</v>
      </c>
      <c r="I3123" s="139" t="s">
        <v>3100</v>
      </c>
      <c r="J3123" s="267" t="s">
        <v>3460</v>
      </c>
      <c r="K3123" s="51" t="s">
        <v>1246</v>
      </c>
      <c r="L3123" s="4">
        <v>44371</v>
      </c>
      <c r="M3123" s="140">
        <v>1</v>
      </c>
      <c r="P3123" s="4" t="s">
        <v>291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2768</v>
      </c>
      <c r="B3124" s="114" t="str">
        <f>VLOOKUP(A3124,'Data pick slip'!B:F,5,FALSE)</f>
        <v>KHJ-MC100-00</v>
      </c>
      <c r="F3124" s="157" t="s">
        <v>1381</v>
      </c>
      <c r="H3124" s="138">
        <v>1439</v>
      </c>
      <c r="I3124" s="139" t="str">
        <f>VLOOKUP(H3124,Stock_list!A:R,18,FALSE)</f>
        <v>海松微</v>
      </c>
      <c r="J3124" s="139" t="str">
        <f>VLOOKUP(H3124,Stock_list!A:S,17,FALSE)</f>
        <v>C49SZX20210130R1JY</v>
      </c>
      <c r="K3124" s="51" t="str">
        <f>VLOOKUP(H3124,Stock_list!A:T,16,FALSE)</f>
        <v>JPY</v>
      </c>
      <c r="L3124" s="4">
        <v>44672</v>
      </c>
      <c r="M3124" s="132">
        <v>57</v>
      </c>
      <c r="P3124" s="4" t="str">
        <f>VLOOKUP(H3124,Stock_list!A:Y,25,FALSE)</f>
        <v>Yes</v>
      </c>
      <c r="Q3124" s="143"/>
      <c r="T3124" s="144"/>
      <c r="U3124" s="145" t="str">
        <f>VLOOKUP(H3124,Stock_list!A:N,14,FALSE)</f>
        <v>APR 22</v>
      </c>
    </row>
    <row r="3125" spans="1:21" ht="16.5" customHeight="1">
      <c r="A3125" s="159" t="s">
        <v>2747</v>
      </c>
      <c r="B3125" s="114" t="str">
        <f>VLOOKUP(A3125,'Data pick slip'!B:F,5,FALSE)</f>
        <v>KHJ-MC200-00</v>
      </c>
      <c r="F3125" s="157" t="s">
        <v>1381</v>
      </c>
      <c r="H3125" s="138">
        <v>1439</v>
      </c>
      <c r="I3125" s="139" t="str">
        <f>VLOOKUP(H3125,Stock_list!A:R,18,FALSE)</f>
        <v>海松微</v>
      </c>
      <c r="J3125" s="139" t="str">
        <f>VLOOKUP(H3125,Stock_list!A:S,17,FALSE)</f>
        <v>C49SZX20210130R1JY</v>
      </c>
      <c r="K3125" s="51" t="str">
        <f>VLOOKUP(H3125,Stock_list!A:T,16,FALSE)</f>
        <v>JPY</v>
      </c>
      <c r="L3125" s="4">
        <v>44672</v>
      </c>
      <c r="M3125" s="132">
        <v>20</v>
      </c>
      <c r="P3125" s="4" t="str">
        <f>VLOOKUP(H3125,Stock_list!A:Y,25,FALSE)</f>
        <v>Yes</v>
      </c>
      <c r="Q3125" s="143"/>
      <c r="T3125" s="144"/>
      <c r="U3125" s="145" t="str">
        <f>VLOOKUP(H3125,Stock_list!A:N,14,FALSE)</f>
        <v>APR 22</v>
      </c>
    </row>
    <row r="3126" spans="1:21" ht="16.5" customHeight="1">
      <c r="A3126" s="159" t="s">
        <v>2748</v>
      </c>
      <c r="B3126" s="114" t="str">
        <f>VLOOKUP(A3126,'Data pick slip'!B:F,5,FALSE)</f>
        <v>KHJ-MC400-00</v>
      </c>
      <c r="F3126" s="157" t="s">
        <v>1381</v>
      </c>
      <c r="H3126" s="138">
        <v>1439</v>
      </c>
      <c r="I3126" s="139" t="str">
        <f>VLOOKUP(H3126,Stock_list!A:R,18,FALSE)</f>
        <v>海松微</v>
      </c>
      <c r="J3126" s="139" t="str">
        <f>VLOOKUP(H3126,Stock_list!A:S,17,FALSE)</f>
        <v>C49SZX20210130R1JY</v>
      </c>
      <c r="K3126" s="51" t="str">
        <f>VLOOKUP(H3126,Stock_list!A:T,16,FALSE)</f>
        <v>JPY</v>
      </c>
      <c r="L3126" s="4">
        <v>44672</v>
      </c>
      <c r="M3126" s="132">
        <v>7</v>
      </c>
      <c r="P3126" s="4" t="str">
        <f>VLOOKUP(H3126,Stock_list!A:Y,25,FALSE)</f>
        <v>Yes</v>
      </c>
      <c r="Q3126" s="143"/>
      <c r="T3126" s="144"/>
      <c r="U3126" s="145" t="str">
        <f>VLOOKUP(H3126,Stock_list!A:N,14,FALSE)</f>
        <v>APR 22</v>
      </c>
    </row>
    <row r="3127" spans="1:21" ht="16.5" customHeight="1">
      <c r="A3127" s="159" t="s">
        <v>2768</v>
      </c>
      <c r="B3127" s="114" t="str">
        <f>VLOOKUP(A3127,'Data pick slip'!B:F,5,FALSE)</f>
        <v>KHJ-MC100-00</v>
      </c>
      <c r="F3127" s="157" t="s">
        <v>1381</v>
      </c>
      <c r="H3127" s="138">
        <v>1442</v>
      </c>
      <c r="I3127" s="139" t="str">
        <f>VLOOKUP(H3127,Stock_list!A:R,18,FALSE)</f>
        <v>建航</v>
      </c>
      <c r="J3127" s="139" t="str">
        <f>VLOOKUP(H3127,Stock_list!A:S,17,FALSE)</f>
        <v>C49SZX20210176R1JY</v>
      </c>
      <c r="K3127" s="51" t="str">
        <f>VLOOKUP(H3127,Stock_list!A:T,16,FALSE)</f>
        <v>JPY</v>
      </c>
      <c r="L3127" s="4">
        <v>44741</v>
      </c>
      <c r="M3127" s="140">
        <v>50</v>
      </c>
      <c r="P3127" s="4" t="str">
        <f>VLOOKUP(H3127,Stock_list!A:Y,25,FALSE)</f>
        <v>Yes</v>
      </c>
      <c r="Q3127" s="143"/>
      <c r="T3127" s="144"/>
      <c r="U3127" s="145" t="str">
        <f>VLOOKUP(H3127,Stock_list!A:N,14,FALSE)</f>
        <v>JAN 22</v>
      </c>
    </row>
    <row r="3128" spans="1:21" ht="16.5" customHeight="1">
      <c r="A3128" s="159" t="s">
        <v>2747</v>
      </c>
      <c r="B3128" s="114" t="str">
        <f>VLOOKUP(A3128,'Data pick slip'!B:F,5,FALSE)</f>
        <v>KHJ-MC200-00</v>
      </c>
      <c r="F3128" s="157" t="s">
        <v>1381</v>
      </c>
      <c r="H3128" s="138">
        <v>1442</v>
      </c>
      <c r="I3128" s="139" t="str">
        <f>VLOOKUP(H3128,Stock_list!A:R,18,FALSE)</f>
        <v>建航</v>
      </c>
      <c r="J3128" s="139" t="str">
        <f>VLOOKUP(H3128,Stock_list!A:S,17,FALSE)</f>
        <v>C49SZX20210176R1JY</v>
      </c>
      <c r="K3128" s="51" t="str">
        <f>VLOOKUP(H3128,Stock_list!A:T,16,FALSE)</f>
        <v>JPY</v>
      </c>
      <c r="L3128" s="4">
        <v>44586</v>
      </c>
      <c r="M3128" s="140">
        <v>10</v>
      </c>
      <c r="P3128" s="4" t="str">
        <f>VLOOKUP(H3128,Stock_list!A:Y,25,FALSE)</f>
        <v>Yes</v>
      </c>
      <c r="Q3128" s="143"/>
      <c r="T3128" s="144"/>
      <c r="U3128" s="145" t="str">
        <f>VLOOKUP(H3128,Stock_list!A:N,14,FALSE)</f>
        <v>JAN 22</v>
      </c>
    </row>
    <row r="3129" spans="1:21" ht="16.5" customHeight="1">
      <c r="A3129" s="159" t="s">
        <v>2750</v>
      </c>
      <c r="B3129" s="114" t="str">
        <f>VLOOKUP(A3129,'Data pick slip'!B:F,5,FALSE)</f>
        <v>KHJ-MC600-00</v>
      </c>
      <c r="F3129" s="157" t="s">
        <v>1381</v>
      </c>
      <c r="H3129" s="138">
        <v>1442</v>
      </c>
      <c r="I3129" s="139" t="str">
        <f>VLOOKUP(H3129,Stock_list!A:R,18,FALSE)</f>
        <v>建航</v>
      </c>
      <c r="J3129" s="139" t="str">
        <f>VLOOKUP(H3129,Stock_list!A:S,17,FALSE)</f>
        <v>C49SZX20210176R1JY</v>
      </c>
      <c r="K3129" s="51" t="str">
        <f>VLOOKUP(H3129,Stock_list!A:T,16,FALSE)</f>
        <v>JPY</v>
      </c>
      <c r="L3129" s="4">
        <v>44586</v>
      </c>
      <c r="M3129" s="140">
        <v>1</v>
      </c>
      <c r="P3129" s="4" t="str">
        <f>VLOOKUP(H3129,Stock_list!A:Y,25,FALSE)</f>
        <v>Yes</v>
      </c>
      <c r="Q3129" s="143"/>
      <c r="T3129" s="144"/>
      <c r="U3129" s="145" t="str">
        <f>VLOOKUP(H3129,Stock_list!A:N,14,FALSE)</f>
        <v>JAN 22</v>
      </c>
    </row>
    <row r="3130" spans="1:21" ht="16.5" customHeight="1">
      <c r="A3130" s="159" t="s">
        <v>2768</v>
      </c>
      <c r="B3130" s="114" t="str">
        <f>VLOOKUP(A3130,'Data pick slip'!B:F,5,FALSE)</f>
        <v>KHJ-MC100-00</v>
      </c>
      <c r="F3130" s="157" t="s">
        <v>1381</v>
      </c>
      <c r="H3130" s="138">
        <v>1445</v>
      </c>
      <c r="I3130" s="139" t="str">
        <f>VLOOKUP(H3130,Stock_list!A:R,18,FALSE)</f>
        <v>乐凡电子</v>
      </c>
      <c r="J3130" s="139" t="str">
        <f>VLOOKUP(H3130,Stock_list!A:S,17,FALSE)</f>
        <v>C49SZX20210177SS</v>
      </c>
      <c r="K3130" s="51" t="str">
        <f>VLOOKUP(H3130,Stock_list!A:T,16,FALSE)</f>
        <v>JPY</v>
      </c>
      <c r="L3130" s="4">
        <v>44665</v>
      </c>
      <c r="M3130" s="140">
        <v>40</v>
      </c>
      <c r="P3130" s="4" t="str">
        <f>VLOOKUP(H3130,Stock_list!A:Y,25,FALSE)</f>
        <v>Yes</v>
      </c>
      <c r="Q3130" s="143"/>
      <c r="T3130" s="144"/>
      <c r="U3130" s="145" t="str">
        <f>VLOOKUP(H3130,Stock_list!A:N,14,FALSE)</f>
        <v>APR 22</v>
      </c>
    </row>
    <row r="3131" spans="1:21" ht="16.5" customHeight="1">
      <c r="A3131" s="159" t="s">
        <v>2747</v>
      </c>
      <c r="B3131" s="114" t="str">
        <f>VLOOKUP(A3131,'Data pick slip'!B:F,5,FALSE)</f>
        <v>KHJ-MC200-00</v>
      </c>
      <c r="F3131" s="157" t="s">
        <v>1381</v>
      </c>
      <c r="H3131" s="138">
        <v>1445</v>
      </c>
      <c r="I3131" s="139" t="str">
        <f>VLOOKUP(H3131,Stock_list!A:R,18,FALSE)</f>
        <v>乐凡电子</v>
      </c>
      <c r="J3131" s="139" t="str">
        <f>VLOOKUP(H3131,Stock_list!A:S,17,FALSE)</f>
        <v>C49SZX20210177SS</v>
      </c>
      <c r="K3131" s="51" t="str">
        <f>VLOOKUP(H3131,Stock_list!A:T,16,FALSE)</f>
        <v>JPY</v>
      </c>
      <c r="L3131" s="4">
        <v>44665</v>
      </c>
      <c r="M3131" s="140">
        <v>8</v>
      </c>
      <c r="P3131" s="4" t="str">
        <f>VLOOKUP(H3131,Stock_list!A:Y,25,FALSE)</f>
        <v>Yes</v>
      </c>
      <c r="Q3131" s="143"/>
      <c r="T3131" s="144"/>
      <c r="U3131" s="145" t="str">
        <f>VLOOKUP(H3131,Stock_list!A:N,14,FALSE)</f>
        <v>APR 22</v>
      </c>
    </row>
    <row r="3132" spans="1:21" ht="16.5" customHeight="1">
      <c r="A3132" s="159" t="s">
        <v>2748</v>
      </c>
      <c r="B3132" s="114" t="str">
        <f>VLOOKUP(A3132,'Data pick slip'!B:F,5,FALSE)</f>
        <v>KHJ-MC400-00</v>
      </c>
      <c r="F3132" s="157" t="s">
        <v>1381</v>
      </c>
      <c r="H3132" s="138">
        <v>1445</v>
      </c>
      <c r="I3132" s="139" t="str">
        <f>VLOOKUP(H3132,Stock_list!A:R,18,FALSE)</f>
        <v>乐凡电子</v>
      </c>
      <c r="J3132" s="139" t="str">
        <f>VLOOKUP(H3132,Stock_list!A:S,17,FALSE)</f>
        <v>C49SZX20210177SS</v>
      </c>
      <c r="K3132" s="51" t="str">
        <f>VLOOKUP(H3132,Stock_list!A:T,16,FALSE)</f>
        <v>JPY</v>
      </c>
      <c r="L3132" s="4">
        <v>44665</v>
      </c>
      <c r="M3132" s="140">
        <v>8</v>
      </c>
      <c r="P3132" s="4" t="str">
        <f>VLOOKUP(H3132,Stock_list!A:Y,25,FALSE)</f>
        <v>Yes</v>
      </c>
      <c r="Q3132" s="143"/>
      <c r="T3132" s="144"/>
      <c r="U3132" s="145" t="str">
        <f>VLOOKUP(H3132,Stock_list!A:N,14,FALSE)</f>
        <v>APR 22</v>
      </c>
    </row>
    <row r="3133" spans="1:21" ht="16.5" customHeight="1">
      <c r="A3133" s="159" t="s">
        <v>2748</v>
      </c>
      <c r="B3133" s="114" t="str">
        <f>VLOOKUP(A3133,'Data pick slip'!B:F,5,FALSE)</f>
        <v>KHJ-MC400-00</v>
      </c>
      <c r="F3133" s="157" t="s">
        <v>2753</v>
      </c>
      <c r="I3133" s="139" t="s">
        <v>3094</v>
      </c>
      <c r="J3133" s="270" t="s">
        <v>3461</v>
      </c>
      <c r="K3133" s="51" t="s">
        <v>1246</v>
      </c>
      <c r="L3133" s="4">
        <v>44382</v>
      </c>
      <c r="M3133" s="140">
        <v>2</v>
      </c>
      <c r="P3133" s="4" t="s">
        <v>291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2749</v>
      </c>
      <c r="B3134" s="114" t="str">
        <f>VLOOKUP(A3134,'Data pick slip'!B:F,5,FALSE)</f>
        <v>KHJ-MC500-00</v>
      </c>
      <c r="F3134" s="157" t="s">
        <v>2753</v>
      </c>
      <c r="I3134" s="139" t="s">
        <v>3094</v>
      </c>
      <c r="J3134" s="270" t="s">
        <v>3462</v>
      </c>
      <c r="K3134" s="51" t="s">
        <v>1246</v>
      </c>
      <c r="L3134" s="4">
        <v>44382</v>
      </c>
      <c r="M3134" s="140">
        <v>2</v>
      </c>
      <c r="P3134" s="4" t="s">
        <v>291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2750</v>
      </c>
      <c r="B3135" s="114" t="str">
        <f>VLOOKUP(A3135,'Data pick slip'!B:F,5,FALSE)</f>
        <v>KHJ-MC600-00</v>
      </c>
      <c r="F3135" s="157" t="s">
        <v>2753</v>
      </c>
      <c r="I3135" s="139" t="s">
        <v>3094</v>
      </c>
      <c r="J3135" s="270" t="s">
        <v>3462</v>
      </c>
      <c r="K3135" s="51" t="s">
        <v>1246</v>
      </c>
      <c r="L3135" s="4">
        <v>44382</v>
      </c>
      <c r="M3135" s="140">
        <v>1</v>
      </c>
      <c r="P3135" s="4" t="s">
        <v>291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2747</v>
      </c>
      <c r="B3136" s="114" t="str">
        <f>VLOOKUP(A3136,'Data pick slip'!B:F,5,FALSE)</f>
        <v>KHJ-MC200-00</v>
      </c>
      <c r="F3136" s="157" t="s">
        <v>2753</v>
      </c>
      <c r="I3136" s="139" t="s">
        <v>3100</v>
      </c>
      <c r="J3136" s="270" t="s">
        <v>3463</v>
      </c>
      <c r="K3136" s="51" t="s">
        <v>1246</v>
      </c>
      <c r="L3136" s="4">
        <v>44379</v>
      </c>
      <c r="M3136" s="140">
        <v>20</v>
      </c>
      <c r="P3136" s="4" t="s">
        <v>291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2750</v>
      </c>
      <c r="B3137" s="114" t="str">
        <f>VLOOKUP(A3137,'Data pick slip'!B:F,5,FALSE)</f>
        <v>KHJ-MC600-00</v>
      </c>
      <c r="F3137" s="157" t="s">
        <v>2753</v>
      </c>
      <c r="I3137" s="139" t="s">
        <v>3100</v>
      </c>
      <c r="J3137" s="267" t="s">
        <v>3464</v>
      </c>
      <c r="K3137" s="51" t="s">
        <v>1246</v>
      </c>
      <c r="L3137" s="4">
        <v>44383</v>
      </c>
      <c r="M3137" s="140">
        <v>1</v>
      </c>
      <c r="P3137" s="4" t="s">
        <v>291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2751</v>
      </c>
      <c r="B3138" s="114" t="str">
        <f>VLOOKUP(A3138,'Data pick slip'!B:F,5,FALSE)</f>
        <v>KHJ-MC700-00</v>
      </c>
      <c r="F3138" s="157" t="s">
        <v>2753</v>
      </c>
      <c r="I3138" s="139" t="s">
        <v>3094</v>
      </c>
      <c r="J3138" s="270" t="s">
        <v>3465</v>
      </c>
      <c r="K3138" s="51" t="s">
        <v>1246</v>
      </c>
      <c r="L3138" s="4">
        <v>44370</v>
      </c>
      <c r="M3138" s="140">
        <v>1</v>
      </c>
      <c r="P3138" s="4" t="s">
        <v>291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2744</v>
      </c>
      <c r="B3139" s="114" t="str">
        <f>VLOOKUP(A3139,'Data pick slip'!B:F,5,FALSE)</f>
        <v>KHJ-MC100-00</v>
      </c>
      <c r="F3139" s="157" t="s">
        <v>2753</v>
      </c>
      <c r="H3139" s="138">
        <v>1459</v>
      </c>
      <c r="I3139" s="139" t="str">
        <f>VLOOKUP(H3139,Stock_list!A:R,18,FALSE)</f>
        <v>力侬</v>
      </c>
      <c r="J3139" s="139" t="str">
        <f>VLOOKUP(H3139,Stock_list!A:S,17,FALSE)</f>
        <v>C49SZX20210139DZ</v>
      </c>
      <c r="K3139" s="51" t="str">
        <f>VLOOKUP(H3139,Stock_list!A:T,16,FALSE)</f>
        <v>RMB</v>
      </c>
      <c r="L3139" s="4">
        <v>44643</v>
      </c>
      <c r="M3139" s="140">
        <v>20</v>
      </c>
      <c r="P3139" s="4" t="str">
        <f>VLOOKUP(H3139,Stock_list!A:Y,25,FALSE)</f>
        <v>Yes</v>
      </c>
      <c r="Q3139" s="143"/>
      <c r="T3139" s="144"/>
      <c r="U3139" s="145" t="str">
        <f>VLOOKUP(H3139,Stock_list!A:N,14,FALSE)</f>
        <v>MAR 22</v>
      </c>
    </row>
    <row r="3140" spans="1:21" ht="16.5" customHeight="1">
      <c r="A3140" s="159" t="s">
        <v>2744</v>
      </c>
      <c r="B3140" s="114" t="str">
        <f>VLOOKUP(A3140,'Data pick slip'!B:F,5,FALSE)</f>
        <v>KHJ-MC100-00</v>
      </c>
      <c r="F3140" s="157" t="s">
        <v>2753</v>
      </c>
      <c r="I3140" s="139" t="s">
        <v>3291</v>
      </c>
      <c r="J3140" s="269" t="s">
        <v>3466</v>
      </c>
      <c r="K3140" s="51" t="s">
        <v>1246</v>
      </c>
      <c r="L3140" s="4">
        <v>44403</v>
      </c>
      <c r="M3140" s="140">
        <v>70</v>
      </c>
      <c r="P3140" s="4" t="s">
        <v>291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2747</v>
      </c>
      <c r="B3141" s="114" t="str">
        <f>VLOOKUP(A3141,'Data pick slip'!B:F,5,FALSE)</f>
        <v>KHJ-MC200-00</v>
      </c>
      <c r="F3141" s="157" t="s">
        <v>2753</v>
      </c>
      <c r="I3141" s="139" t="s">
        <v>3291</v>
      </c>
      <c r="J3141" s="269" t="s">
        <v>3466</v>
      </c>
      <c r="K3141" s="51" t="s">
        <v>1246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2749</v>
      </c>
      <c r="B3142" s="114" t="str">
        <f>VLOOKUP(A3142,'Data pick slip'!B:F,5,FALSE)</f>
        <v>KHJ-MC500-00</v>
      </c>
      <c r="F3142" s="157" t="s">
        <v>2753</v>
      </c>
      <c r="I3142" s="139" t="s">
        <v>3291</v>
      </c>
      <c r="J3142" s="269" t="s">
        <v>3466</v>
      </c>
      <c r="K3142" s="51" t="s">
        <v>1246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2751</v>
      </c>
      <c r="B3143" s="114" t="str">
        <f>VLOOKUP(A3143,'Data pick slip'!B:F,5,FALSE)</f>
        <v>KHJ-MC700-00</v>
      </c>
      <c r="F3143" s="157" t="s">
        <v>1381</v>
      </c>
      <c r="I3143" s="139" t="s">
        <v>3100</v>
      </c>
      <c r="J3143" s="267" t="s">
        <v>3467</v>
      </c>
      <c r="K3143" s="51" t="s">
        <v>1246</v>
      </c>
      <c r="L3143" s="4">
        <v>44403</v>
      </c>
      <c r="M3143" s="140">
        <v>1</v>
      </c>
      <c r="P3143" s="4" t="s">
        <v>291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2751</v>
      </c>
      <c r="B3144" s="114" t="str">
        <f>VLOOKUP(A3144,'Data pick slip'!B:F,5,FALSE)</f>
        <v>KHJ-MC700-00</v>
      </c>
      <c r="F3144" s="157" t="s">
        <v>2753</v>
      </c>
      <c r="I3144" s="139" t="s">
        <v>3100</v>
      </c>
      <c r="J3144" s="267" t="s">
        <v>3468</v>
      </c>
      <c r="K3144" s="51" t="s">
        <v>1246</v>
      </c>
      <c r="L3144" s="4">
        <v>44403</v>
      </c>
      <c r="M3144" s="140">
        <v>1</v>
      </c>
      <c r="P3144" s="4" t="s">
        <v>291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2768</v>
      </c>
      <c r="B3145" s="114" t="str">
        <f>VLOOKUP(A3145,'Data pick slip'!B:F,5,FALSE)</f>
        <v>KHJ-MC100-00</v>
      </c>
      <c r="F3145" s="157" t="s">
        <v>1381</v>
      </c>
      <c r="H3145" s="138">
        <v>1465</v>
      </c>
      <c r="I3145" s="139" t="str">
        <f>VLOOKUP(H3145,Stock_list!A:R,18,FALSE)</f>
        <v>长沙健科</v>
      </c>
      <c r="J3145" s="139" t="str">
        <f>VLOOKUP(H3145,Stock_list!A:S,17,FALSE)</f>
        <v>C49SZX20210184DZ</v>
      </c>
      <c r="K3145" s="51" t="str">
        <f>VLOOKUP(H3145,Stock_list!A:T,16,FALSE)</f>
        <v>JPY</v>
      </c>
      <c r="L3145" s="4">
        <v>44510</v>
      </c>
      <c r="M3145" s="132">
        <v>90</v>
      </c>
      <c r="P3145" s="4" t="str">
        <f>VLOOKUP(H3145,Stock_list!A:Y,25,FALSE)</f>
        <v>Yes</v>
      </c>
      <c r="Q3145" s="143"/>
      <c r="T3145" s="144"/>
      <c r="U3145" s="145" t="str">
        <f>VLOOKUP(H3145,Stock_list!A:N,14,FALSE)</f>
        <v>NOV 21</v>
      </c>
    </row>
    <row r="3146" spans="1:21" ht="16.5" customHeight="1">
      <c r="A3146" s="159" t="s">
        <v>2747</v>
      </c>
      <c r="B3146" s="114" t="str">
        <f>VLOOKUP(A3146,'Data pick slip'!B:F,5,FALSE)</f>
        <v>KHJ-MC200-00</v>
      </c>
      <c r="F3146" s="157" t="s">
        <v>1381</v>
      </c>
      <c r="H3146" s="138">
        <v>1465</v>
      </c>
      <c r="I3146" s="139" t="str">
        <f>VLOOKUP(H3146,Stock_list!A:R,18,FALSE)</f>
        <v>长沙健科</v>
      </c>
      <c r="J3146" s="139" t="str">
        <f>VLOOKUP(H3146,Stock_list!A:S,17,FALSE)</f>
        <v>C49SZX20210184DZ</v>
      </c>
      <c r="K3146" s="51" t="str">
        <f>VLOOKUP(H3146,Stock_list!A:T,16,FALSE)</f>
        <v>JPY</v>
      </c>
      <c r="L3146" s="4">
        <v>44510</v>
      </c>
      <c r="M3146" s="132">
        <v>12</v>
      </c>
      <c r="P3146" s="4" t="str">
        <f>VLOOKUP(H3146,Stock_list!A:Y,25,FALSE)</f>
        <v>Yes</v>
      </c>
      <c r="Q3146" s="143"/>
      <c r="T3146" s="144"/>
      <c r="U3146" s="145" t="str">
        <f>VLOOKUP(H3146,Stock_list!A:N,14,FALSE)</f>
        <v>NOV 21</v>
      </c>
    </row>
    <row r="3147" spans="1:21" ht="16.5" customHeight="1">
      <c r="A3147" s="159" t="s">
        <v>2768</v>
      </c>
      <c r="B3147" s="114" t="str">
        <f>VLOOKUP(A3147,'Data pick slip'!B:F,5,FALSE)</f>
        <v>KHJ-MC100-00</v>
      </c>
      <c r="F3147" s="157" t="s">
        <v>1381</v>
      </c>
      <c r="H3147" s="138">
        <v>1467</v>
      </c>
      <c r="I3147" s="139" t="str">
        <f>VLOOKUP(H3147,Stock_list!A:R,18,FALSE)</f>
        <v>恒业信</v>
      </c>
      <c r="J3147" s="139" t="str">
        <f>VLOOKUP(H3147,Stock_list!A:S,17,FALSE)</f>
        <v>C49SZX20210186SS</v>
      </c>
      <c r="K3147" s="51" t="str">
        <f>VLOOKUP(H3147,Stock_list!A:T,16,FALSE)</f>
        <v>JPY</v>
      </c>
      <c r="L3147" s="4">
        <v>44532</v>
      </c>
      <c r="M3147" s="140">
        <v>33</v>
      </c>
      <c r="P3147" s="4" t="str">
        <f>VLOOKUP(H3147,Stock_list!A:Y,25,FALSE)</f>
        <v>Yes</v>
      </c>
      <c r="Q3147" s="143"/>
      <c r="T3147" s="144"/>
      <c r="U3147" s="145" t="str">
        <f>VLOOKUP(H3147,Stock_list!A:N,14,FALSE)</f>
        <v>DEC 21</v>
      </c>
    </row>
    <row r="3148" spans="1:21" ht="16.5" customHeight="1">
      <c r="A3148" s="159" t="s">
        <v>2747</v>
      </c>
      <c r="B3148" s="114" t="str">
        <f>VLOOKUP(A3148,'Data pick slip'!B:F,5,FALSE)</f>
        <v>KHJ-MC200-00</v>
      </c>
      <c r="F3148" s="157" t="s">
        <v>1381</v>
      </c>
      <c r="H3148" s="138">
        <v>1467</v>
      </c>
      <c r="I3148" s="139" t="str">
        <f>VLOOKUP(H3148,Stock_list!A:R,18,FALSE)</f>
        <v>恒业信</v>
      </c>
      <c r="J3148" s="139" t="str">
        <f>VLOOKUP(H3148,Stock_list!A:S,17,FALSE)</f>
        <v>C49SZX20210186SS</v>
      </c>
      <c r="K3148" s="51" t="str">
        <f>VLOOKUP(H3148,Stock_list!A:T,16,FALSE)</f>
        <v>JPY</v>
      </c>
      <c r="L3148" s="4">
        <v>44532</v>
      </c>
      <c r="M3148" s="140">
        <v>10</v>
      </c>
      <c r="P3148" s="4" t="str">
        <f>VLOOKUP(H3148,Stock_list!A:Y,25,FALSE)</f>
        <v>Yes</v>
      </c>
      <c r="Q3148" s="143"/>
      <c r="T3148" s="144"/>
      <c r="U3148" s="145" t="str">
        <f>VLOOKUP(H3148,Stock_list!A:N,14,FALSE)</f>
        <v>DEC 21</v>
      </c>
    </row>
    <row r="3149" spans="1:21" ht="16.5" customHeight="1">
      <c r="A3149" s="159" t="s">
        <v>2768</v>
      </c>
      <c r="B3149" s="114" t="str">
        <f>VLOOKUP(A3149,'Data pick slip'!B:F,5,FALSE)</f>
        <v>KHJ-MC100-00</v>
      </c>
      <c r="F3149" s="157" t="s">
        <v>1381</v>
      </c>
      <c r="H3149" s="138">
        <v>1468</v>
      </c>
      <c r="I3149" s="139" t="str">
        <f>VLOOKUP(H3149,Stock_list!A:R,18,FALSE)</f>
        <v>宝捷信</v>
      </c>
      <c r="J3149" s="139" t="str">
        <f>VLOOKUP(H3149,Stock_list!A:S,17,FALSE)</f>
        <v>C49SZX20210185DZ</v>
      </c>
      <c r="K3149" s="51" t="str">
        <f>VLOOKUP(H3149,Stock_list!A:T,16,FALSE)</f>
        <v>JPY</v>
      </c>
      <c r="L3149" s="4">
        <v>44648</v>
      </c>
      <c r="M3149" s="140">
        <v>60</v>
      </c>
      <c r="P3149" s="4" t="str">
        <f>VLOOKUP(H3149,Stock_list!A:Y,25,FALSE)</f>
        <v>Yes</v>
      </c>
      <c r="Q3149" s="143"/>
      <c r="T3149" s="144"/>
      <c r="U3149" s="145" t="str">
        <f>VLOOKUP(H3149,Stock_list!A:N,14,FALSE)</f>
        <v>MAR 22</v>
      </c>
    </row>
    <row r="3150" spans="1:21" ht="16.5" customHeight="1">
      <c r="A3150" s="159" t="s">
        <v>2747</v>
      </c>
      <c r="B3150" s="114" t="str">
        <f>VLOOKUP(A3150,'Data pick slip'!B:F,5,FALSE)</f>
        <v>KHJ-MC200-00</v>
      </c>
      <c r="F3150" s="157" t="s">
        <v>1381</v>
      </c>
      <c r="H3150" s="138">
        <v>1468</v>
      </c>
      <c r="I3150" s="139" t="str">
        <f>VLOOKUP(H3150,Stock_list!A:R,18,FALSE)</f>
        <v>宝捷信</v>
      </c>
      <c r="J3150" s="139" t="str">
        <f>VLOOKUP(H3150,Stock_list!A:S,17,FALSE)</f>
        <v>C49SZX20210185DZ</v>
      </c>
      <c r="K3150" s="51" t="str">
        <f>VLOOKUP(H3150,Stock_list!A:T,16,FALSE)</f>
        <v>JPY</v>
      </c>
      <c r="L3150" s="4">
        <v>44648</v>
      </c>
      <c r="M3150" s="140">
        <v>20</v>
      </c>
      <c r="P3150" s="4" t="str">
        <f>VLOOKUP(H3150,Stock_list!A:Y,25,FALSE)</f>
        <v>Yes</v>
      </c>
      <c r="Q3150" s="143"/>
      <c r="T3150" s="144"/>
      <c r="U3150" s="145" t="str">
        <f>VLOOKUP(H3150,Stock_list!A:N,14,FALSE)</f>
        <v>MAR 22</v>
      </c>
    </row>
    <row r="3151" spans="1:21" ht="16.5" customHeight="1">
      <c r="A3151" s="159" t="s">
        <v>2748</v>
      </c>
      <c r="B3151" s="114" t="str">
        <f>VLOOKUP(A3151,'Data pick slip'!B:F,5,FALSE)</f>
        <v>KHJ-MC400-00</v>
      </c>
      <c r="F3151" s="157" t="s">
        <v>1381</v>
      </c>
      <c r="H3151" s="138">
        <v>1468</v>
      </c>
      <c r="I3151" s="139" t="str">
        <f>VLOOKUP(H3151,Stock_list!A:R,18,FALSE)</f>
        <v>宝捷信</v>
      </c>
      <c r="J3151" s="139" t="str">
        <f>VLOOKUP(H3151,Stock_list!A:S,17,FALSE)</f>
        <v>C49SZX20210185DZ</v>
      </c>
      <c r="K3151" s="51" t="str">
        <f>VLOOKUP(H3151,Stock_list!A:T,16,FALSE)</f>
        <v>JPY</v>
      </c>
      <c r="L3151" s="4">
        <v>44648</v>
      </c>
      <c r="M3151" s="140">
        <v>5</v>
      </c>
      <c r="P3151" s="4" t="str">
        <f>VLOOKUP(H3151,Stock_list!A:Y,25,FALSE)</f>
        <v>Yes</v>
      </c>
      <c r="Q3151" s="143"/>
      <c r="T3151" s="144"/>
      <c r="U3151" s="145" t="str">
        <f>VLOOKUP(H3151,Stock_list!A:N,14,FALSE)</f>
        <v>MAR 22</v>
      </c>
    </row>
    <row r="3152" spans="1:21" ht="16.5" customHeight="1">
      <c r="A3152" s="159" t="s">
        <v>2749</v>
      </c>
      <c r="B3152" s="114" t="str">
        <f>VLOOKUP(A3152,'Data pick slip'!B:F,5,FALSE)</f>
        <v>KHJ-MC500-00</v>
      </c>
      <c r="F3152" s="157" t="s">
        <v>1381</v>
      </c>
      <c r="H3152" s="138">
        <v>1468</v>
      </c>
      <c r="I3152" s="139" t="str">
        <f>VLOOKUP(H3152,Stock_list!A:R,18,FALSE)</f>
        <v>宝捷信</v>
      </c>
      <c r="J3152" s="139" t="str">
        <f>VLOOKUP(H3152,Stock_list!A:S,17,FALSE)</f>
        <v>C49SZX20210185DZ</v>
      </c>
      <c r="K3152" s="51" t="str">
        <f>VLOOKUP(H3152,Stock_list!A:T,16,FALSE)</f>
        <v>JPY</v>
      </c>
      <c r="L3152" s="4">
        <v>44648</v>
      </c>
      <c r="M3152" s="140">
        <v>2</v>
      </c>
      <c r="P3152" s="4" t="str">
        <f>VLOOKUP(H3152,Stock_list!A:Y,25,FALSE)</f>
        <v>Yes</v>
      </c>
      <c r="Q3152" s="143"/>
      <c r="T3152" s="144"/>
      <c r="U3152" s="145" t="str">
        <f>VLOOKUP(H3152,Stock_list!A:N,14,FALSE)</f>
        <v>MAR 22</v>
      </c>
    </row>
    <row r="3153" spans="1:21" ht="16.5" customHeight="1">
      <c r="A3153" s="159" t="s">
        <v>2768</v>
      </c>
      <c r="B3153" s="114" t="str">
        <f>VLOOKUP(A3153,'Data pick slip'!B:F,5,FALSE)</f>
        <v>KHJ-MC100-00</v>
      </c>
      <c r="F3153" s="157" t="s">
        <v>1381</v>
      </c>
      <c r="H3153" s="138">
        <v>1468</v>
      </c>
      <c r="I3153" s="139" t="str">
        <f>VLOOKUP(H3153,Stock_list!A:R,18,FALSE)</f>
        <v>宝捷信</v>
      </c>
      <c r="J3153" s="139" t="str">
        <f>VLOOKUP(H3153,Stock_list!A:S,17,FALSE)</f>
        <v>C49SZX20210185DZ</v>
      </c>
      <c r="K3153" s="51" t="str">
        <f>VLOOKUP(H3153,Stock_list!A:T,16,FALSE)</f>
        <v>JPY</v>
      </c>
      <c r="L3153" s="290">
        <v>44671</v>
      </c>
      <c r="M3153" s="140">
        <v>160</v>
      </c>
      <c r="P3153" s="4" t="str">
        <f>VLOOKUP(H3153,Stock_list!A:Y,25,FALSE)</f>
        <v>Yes</v>
      </c>
      <c r="Q3153" s="143"/>
      <c r="T3153" s="144"/>
      <c r="U3153" s="145" t="str">
        <f>VLOOKUP(H3153,Stock_list!A:N,14,FALSE)</f>
        <v>MAR 22</v>
      </c>
    </row>
    <row r="3154" spans="1:21" ht="16.5" customHeight="1">
      <c r="A3154" s="159" t="s">
        <v>2747</v>
      </c>
      <c r="B3154" s="114" t="str">
        <f>VLOOKUP(A3154,'Data pick slip'!B:F,5,FALSE)</f>
        <v>KHJ-MC200-00</v>
      </c>
      <c r="F3154" s="157" t="s">
        <v>1381</v>
      </c>
      <c r="H3154" s="138">
        <v>1468</v>
      </c>
      <c r="I3154" s="139" t="str">
        <f>VLOOKUP(H3154,Stock_list!A:R,18,FALSE)</f>
        <v>宝捷信</v>
      </c>
      <c r="J3154" s="139" t="str">
        <f>VLOOKUP(H3154,Stock_list!A:S,17,FALSE)</f>
        <v>C49SZX20210185DZ</v>
      </c>
      <c r="K3154" s="51" t="str">
        <f>VLOOKUP(H3154,Stock_list!A:T,16,FALSE)</f>
        <v>JPY</v>
      </c>
      <c r="L3154" s="290">
        <v>44671</v>
      </c>
      <c r="M3154" s="140">
        <v>56</v>
      </c>
      <c r="P3154" s="4" t="str">
        <f>VLOOKUP(H3154,Stock_list!A:Y,25,FALSE)</f>
        <v>Yes</v>
      </c>
      <c r="Q3154" s="143"/>
      <c r="T3154" s="144"/>
      <c r="U3154" s="145" t="str">
        <f>VLOOKUP(H3154,Stock_list!A:N,14,FALSE)</f>
        <v>MAR 22</v>
      </c>
    </row>
    <row r="3155" spans="1:21" ht="16.5" customHeight="1">
      <c r="A3155" s="159" t="s">
        <v>2748</v>
      </c>
      <c r="B3155" s="114" t="str">
        <f>VLOOKUP(A3155,'Data pick slip'!B:F,5,FALSE)</f>
        <v>KHJ-MC400-00</v>
      </c>
      <c r="F3155" s="157" t="s">
        <v>1381</v>
      </c>
      <c r="H3155" s="138">
        <v>1468</v>
      </c>
      <c r="I3155" s="139" t="str">
        <f>VLOOKUP(H3155,Stock_list!A:R,18,FALSE)</f>
        <v>宝捷信</v>
      </c>
      <c r="J3155" s="139" t="str">
        <f>VLOOKUP(H3155,Stock_list!A:S,17,FALSE)</f>
        <v>C49SZX20210185DZ</v>
      </c>
      <c r="K3155" s="51" t="str">
        <f>VLOOKUP(H3155,Stock_list!A:T,16,FALSE)</f>
        <v>JPY</v>
      </c>
      <c r="L3155" s="290">
        <v>44671</v>
      </c>
      <c r="M3155" s="140">
        <v>5</v>
      </c>
      <c r="P3155" s="4" t="str">
        <f>VLOOKUP(H3155,Stock_list!A:Y,25,FALSE)</f>
        <v>Yes</v>
      </c>
      <c r="Q3155" s="143"/>
      <c r="T3155" s="144"/>
      <c r="U3155" s="145" t="str">
        <f>VLOOKUP(H3155,Stock_list!A:N,14,FALSE)</f>
        <v>MAR 22</v>
      </c>
    </row>
    <row r="3156" spans="1:21" ht="16.5" customHeight="1">
      <c r="A3156" s="159" t="s">
        <v>2768</v>
      </c>
      <c r="B3156" s="114" t="str">
        <f>VLOOKUP(A3156,'Data pick slip'!B:F,5,FALSE)</f>
        <v>KHJ-MC100-00</v>
      </c>
      <c r="F3156" s="157" t="s">
        <v>1381</v>
      </c>
      <c r="H3156" s="138">
        <v>1381</v>
      </c>
      <c r="I3156" s="139" t="str">
        <f>VLOOKUP(H3156,Stock_list!A:R,18,FALSE)</f>
        <v>巨能</v>
      </c>
      <c r="J3156" s="139" t="str">
        <f>VLOOKUP(H3156,Stock_list!A:S,17,FALSE)</f>
        <v>C49SZX20210182MZ</v>
      </c>
      <c r="K3156" s="51" t="str">
        <f>VLOOKUP(H3156,Stock_list!A:T,16,FALSE)</f>
        <v>JPY</v>
      </c>
      <c r="L3156" s="4">
        <v>44672</v>
      </c>
      <c r="M3156" s="132">
        <v>30</v>
      </c>
      <c r="P3156" s="4" t="str">
        <f>VLOOKUP(H3156,Stock_list!A:Y,25,FALSE)</f>
        <v>Yes</v>
      </c>
      <c r="Q3156" s="143"/>
      <c r="T3156" s="144"/>
      <c r="U3156" s="145" t="str">
        <f>VLOOKUP(H3156,Stock_list!A:N,14,FALSE)</f>
        <v>APR 22</v>
      </c>
    </row>
    <row r="3157" spans="1:21" ht="16.5" customHeight="1">
      <c r="A3157" s="159" t="s">
        <v>2747</v>
      </c>
      <c r="B3157" s="114" t="str">
        <f>VLOOKUP(A3157,'Data pick slip'!B:F,5,FALSE)</f>
        <v>KHJ-MC200-00</v>
      </c>
      <c r="F3157" s="157" t="s">
        <v>1381</v>
      </c>
      <c r="H3157" s="138">
        <v>1381</v>
      </c>
      <c r="I3157" s="139" t="str">
        <f>VLOOKUP(H3157,Stock_list!A:R,18,FALSE)</f>
        <v>巨能</v>
      </c>
      <c r="J3157" s="139" t="str">
        <f>VLOOKUP(H3157,Stock_list!A:S,17,FALSE)</f>
        <v>C49SZX20210182MZ</v>
      </c>
      <c r="K3157" s="51" t="str">
        <f>VLOOKUP(H3157,Stock_list!A:T,16,FALSE)</f>
        <v>JPY</v>
      </c>
      <c r="L3157" s="4">
        <v>44672</v>
      </c>
      <c r="M3157" s="132">
        <v>4</v>
      </c>
      <c r="P3157" s="4" t="str">
        <f>VLOOKUP(H3157,Stock_list!A:Y,25,FALSE)</f>
        <v>Yes</v>
      </c>
      <c r="Q3157" s="143"/>
      <c r="T3157" s="144"/>
      <c r="U3157" s="145" t="str">
        <f>VLOOKUP(H3157,Stock_list!A:N,14,FALSE)</f>
        <v>APR 22</v>
      </c>
    </row>
    <row r="3158" spans="1:21" ht="16.5" customHeight="1">
      <c r="A3158" s="159" t="s">
        <v>2748</v>
      </c>
      <c r="B3158" s="114" t="str">
        <f>VLOOKUP(A3158,'Data pick slip'!B:F,5,FALSE)</f>
        <v>KHJ-MC400-00</v>
      </c>
      <c r="F3158" s="157" t="s">
        <v>1381</v>
      </c>
      <c r="H3158" s="138">
        <v>1381</v>
      </c>
      <c r="I3158" s="139" t="str">
        <f>VLOOKUP(H3158,Stock_list!A:R,18,FALSE)</f>
        <v>巨能</v>
      </c>
      <c r="J3158" s="139" t="str">
        <f>VLOOKUP(H3158,Stock_list!A:S,17,FALSE)</f>
        <v>C49SZX20210182MZ</v>
      </c>
      <c r="K3158" s="51" t="str">
        <f>VLOOKUP(H3158,Stock_list!A:T,16,FALSE)</f>
        <v>JPY</v>
      </c>
      <c r="L3158" s="4">
        <v>44672</v>
      </c>
      <c r="M3158" s="132">
        <v>1</v>
      </c>
      <c r="P3158" s="4" t="str">
        <f>VLOOKUP(H3158,Stock_list!A:Y,25,FALSE)</f>
        <v>Yes</v>
      </c>
      <c r="Q3158" s="143"/>
      <c r="T3158" s="144"/>
      <c r="U3158" s="145" t="str">
        <f>VLOOKUP(H3158,Stock_list!A:N,14,FALSE)</f>
        <v>APR 22</v>
      </c>
    </row>
    <row r="3159" spans="1:21" ht="16.5" customHeight="1">
      <c r="A3159" s="159" t="s">
        <v>2768</v>
      </c>
      <c r="B3159" s="114" t="str">
        <f>VLOOKUP(A3159,'Data pick slip'!B:F,5,FALSE)</f>
        <v>KHJ-MC100-00</v>
      </c>
      <c r="F3159" s="157" t="s">
        <v>1381</v>
      </c>
      <c r="H3159" s="138">
        <v>1381</v>
      </c>
      <c r="I3159" s="139" t="str">
        <f>VLOOKUP(H3159,Stock_list!A:R,18,FALSE)</f>
        <v>巨能</v>
      </c>
      <c r="J3159" s="139" t="str">
        <f>VLOOKUP(H3159,Stock_list!A:S,17,FALSE)</f>
        <v>C49SZX20210182MZ</v>
      </c>
      <c r="K3159" s="51" t="str">
        <f>VLOOKUP(H3159,Stock_list!A:T,16,FALSE)</f>
        <v>JPY</v>
      </c>
      <c r="L3159" s="4">
        <v>44650</v>
      </c>
      <c r="M3159" s="140">
        <v>30</v>
      </c>
      <c r="P3159" s="4" t="str">
        <f>VLOOKUP(H3159,Stock_list!A:Y,25,FALSE)</f>
        <v>Yes</v>
      </c>
      <c r="Q3159" s="143"/>
      <c r="T3159" s="144"/>
      <c r="U3159" s="145" t="str">
        <f>VLOOKUP(H3159,Stock_list!A:N,14,FALSE)</f>
        <v>APR 22</v>
      </c>
    </row>
    <row r="3160" spans="1:21" ht="16.5" customHeight="1">
      <c r="A3160" s="159" t="s">
        <v>2747</v>
      </c>
      <c r="B3160" s="114" t="str">
        <f>VLOOKUP(A3160,'Data pick slip'!B:F,5,FALSE)</f>
        <v>KHJ-MC200-00</v>
      </c>
      <c r="F3160" s="157" t="s">
        <v>1381</v>
      </c>
      <c r="H3160" s="138">
        <v>1381</v>
      </c>
      <c r="I3160" s="139" t="str">
        <f>VLOOKUP(H3160,Stock_list!A:R,18,FALSE)</f>
        <v>巨能</v>
      </c>
      <c r="J3160" s="139" t="str">
        <f>VLOOKUP(H3160,Stock_list!A:S,17,FALSE)</f>
        <v>C49SZX20210182MZ</v>
      </c>
      <c r="K3160" s="51" t="str">
        <f>VLOOKUP(H3160,Stock_list!A:T,16,FALSE)</f>
        <v>JPY</v>
      </c>
      <c r="L3160" s="4">
        <v>44650</v>
      </c>
      <c r="M3160" s="140">
        <v>4</v>
      </c>
      <c r="P3160" s="4" t="str">
        <f>VLOOKUP(H3160,Stock_list!A:Y,25,FALSE)</f>
        <v>Yes</v>
      </c>
      <c r="Q3160" s="143"/>
      <c r="T3160" s="144"/>
      <c r="U3160" s="145" t="str">
        <f>VLOOKUP(H3160,Stock_list!A:N,14,FALSE)</f>
        <v>APR 22</v>
      </c>
    </row>
    <row r="3161" spans="1:21" ht="16.5" customHeight="1">
      <c r="A3161" s="159" t="s">
        <v>2748</v>
      </c>
      <c r="B3161" s="114" t="str">
        <f>VLOOKUP(A3161,'Data pick slip'!B:F,5,FALSE)</f>
        <v>KHJ-MC400-00</v>
      </c>
      <c r="F3161" s="157" t="s">
        <v>1381</v>
      </c>
      <c r="H3161" s="138">
        <v>1381</v>
      </c>
      <c r="I3161" s="139" t="str">
        <f>VLOOKUP(H3161,Stock_list!A:R,18,FALSE)</f>
        <v>巨能</v>
      </c>
      <c r="J3161" s="139" t="str">
        <f>VLOOKUP(H3161,Stock_list!A:S,17,FALSE)</f>
        <v>C49SZX20210182MZ</v>
      </c>
      <c r="K3161" s="51" t="str">
        <f>VLOOKUP(H3161,Stock_list!A:T,16,FALSE)</f>
        <v>JPY</v>
      </c>
      <c r="L3161" s="4">
        <v>44650</v>
      </c>
      <c r="M3161" s="140">
        <v>1</v>
      </c>
      <c r="P3161" s="4" t="str">
        <f>VLOOKUP(H3161,Stock_list!A:Y,25,FALSE)</f>
        <v>Yes</v>
      </c>
      <c r="Q3161" s="143"/>
      <c r="T3161" s="144"/>
      <c r="U3161" s="145" t="str">
        <f>VLOOKUP(H3161,Stock_list!A:N,14,FALSE)</f>
        <v>APR 22</v>
      </c>
    </row>
    <row r="3162" spans="1:21" ht="16.5" customHeight="1">
      <c r="A3162" s="159" t="s">
        <v>2749</v>
      </c>
      <c r="B3162" s="114" t="str">
        <f>VLOOKUP(A3162,'Data pick slip'!B:F,5,FALSE)</f>
        <v>KHJ-MC500-00</v>
      </c>
      <c r="F3162" s="157" t="s">
        <v>1381</v>
      </c>
      <c r="H3162" s="138">
        <v>1381</v>
      </c>
      <c r="I3162" s="139" t="str">
        <f>VLOOKUP(H3162,Stock_list!A:R,18,FALSE)</f>
        <v>巨能</v>
      </c>
      <c r="J3162" s="139" t="str">
        <f>VLOOKUP(H3162,Stock_list!A:S,17,FALSE)</f>
        <v>C49SZX20210182MZ</v>
      </c>
      <c r="K3162" s="51" t="str">
        <f>VLOOKUP(H3162,Stock_list!A:T,16,FALSE)</f>
        <v>JPY</v>
      </c>
      <c r="L3162" s="4">
        <v>44650</v>
      </c>
      <c r="M3162" s="140">
        <v>1</v>
      </c>
      <c r="P3162" s="4" t="str">
        <f>VLOOKUP(H3162,Stock_list!A:Y,25,FALSE)</f>
        <v>Yes</v>
      </c>
      <c r="Q3162" s="143"/>
      <c r="T3162" s="144"/>
      <c r="U3162" s="145" t="str">
        <f>VLOOKUP(H3162,Stock_list!A:N,14,FALSE)</f>
        <v>APR 22</v>
      </c>
    </row>
    <row r="3163" spans="1:21" ht="16.5" customHeight="1">
      <c r="A3163" s="159" t="s">
        <v>2768</v>
      </c>
      <c r="B3163" s="114" t="str">
        <f>VLOOKUP(A3163,'Data pick slip'!B:F,5,FALSE)</f>
        <v>KHJ-MC100-00</v>
      </c>
      <c r="F3163" s="157" t="s">
        <v>2753</v>
      </c>
      <c r="H3163" s="138">
        <v>1188</v>
      </c>
      <c r="I3163" s="139" t="str">
        <f>VLOOKUP(H3163,Stock_list!A:R,18,FALSE)</f>
        <v>海星</v>
      </c>
      <c r="J3163" s="139" t="str">
        <f>VLOOKUP(H3163,Stock_list!A:S,17,FALSE)</f>
        <v>C49SZX20210156DZ</v>
      </c>
      <c r="K3163" s="51" t="str">
        <f>VLOOKUP(H3163,Stock_list!A:T,16,FALSE)</f>
        <v>RMB</v>
      </c>
      <c r="L3163" s="4">
        <v>44376</v>
      </c>
      <c r="M3163" s="140">
        <v>150</v>
      </c>
      <c r="P3163" s="4" t="str">
        <f>VLOOKUP(H3163,Stock_list!A:Y,25,FALSE)</f>
        <v>Yes</v>
      </c>
      <c r="Q3163" s="143"/>
      <c r="T3163" s="144"/>
      <c r="U3163" s="145" t="str">
        <f>VLOOKUP(H3163,Stock_list!A:N,14,FALSE)</f>
        <v>JUN 21</v>
      </c>
    </row>
    <row r="3164" spans="1:21" ht="16.5" customHeight="1">
      <c r="A3164" s="159" t="s">
        <v>2747</v>
      </c>
      <c r="B3164" s="114" t="str">
        <f>VLOOKUP(A3164,'Data pick slip'!B:F,5,FALSE)</f>
        <v>KHJ-MC200-00</v>
      </c>
      <c r="F3164" s="157" t="s">
        <v>2753</v>
      </c>
      <c r="H3164" s="138">
        <v>1188</v>
      </c>
      <c r="I3164" s="139" t="str">
        <f>VLOOKUP(H3164,Stock_list!A:R,18,FALSE)</f>
        <v>海星</v>
      </c>
      <c r="J3164" s="139" t="str">
        <f>VLOOKUP(H3164,Stock_list!A:S,17,FALSE)</f>
        <v>C49SZX20210156DZ</v>
      </c>
      <c r="K3164" s="51" t="str">
        <f>VLOOKUP(H3164,Stock_list!A:T,16,FALSE)</f>
        <v>RMB</v>
      </c>
      <c r="L3164" s="4">
        <v>44376</v>
      </c>
      <c r="M3164" s="140">
        <v>8</v>
      </c>
      <c r="P3164" s="4" t="str">
        <f>VLOOKUP(H3164,Stock_list!A:Y,25,FALSE)</f>
        <v>Yes</v>
      </c>
      <c r="Q3164" s="143"/>
      <c r="T3164" s="144"/>
      <c r="U3164" s="145" t="str">
        <f>VLOOKUP(H3164,Stock_list!A:N,14,FALSE)</f>
        <v>JUN 21</v>
      </c>
    </row>
    <row r="3165" spans="1:21" ht="16.5" customHeight="1">
      <c r="A3165" s="159" t="s">
        <v>2747</v>
      </c>
      <c r="B3165" s="114" t="str">
        <f>VLOOKUP(A3165,'Data pick slip'!B:F,5,FALSE)</f>
        <v>KHJ-MC200-00</v>
      </c>
      <c r="F3165" s="157" t="s">
        <v>1381</v>
      </c>
      <c r="I3165" s="296" t="s">
        <v>3469</v>
      </c>
      <c r="J3165" s="297" t="s">
        <v>3470</v>
      </c>
      <c r="K3165" s="261" t="s">
        <v>1246</v>
      </c>
      <c r="L3165" s="298">
        <v>44418</v>
      </c>
      <c r="M3165" s="299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2755</v>
      </c>
      <c r="B3166" s="114" t="str">
        <f>VLOOKUP(A3166,'Data pick slip'!B:F,5,FALSE)</f>
        <v>KLJ-MC100-00</v>
      </c>
      <c r="F3166" s="157" t="s">
        <v>1381</v>
      </c>
      <c r="I3166" s="269" t="s">
        <v>3414</v>
      </c>
      <c r="J3166" s="139" t="s">
        <v>3471</v>
      </c>
      <c r="K3166" s="51" t="s">
        <v>1246</v>
      </c>
      <c r="L3166" s="4">
        <v>44413</v>
      </c>
      <c r="M3166" s="140">
        <v>80</v>
      </c>
      <c r="P3166" s="4" t="s">
        <v>291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2756</v>
      </c>
      <c r="B3167" s="114" t="str">
        <f>VLOOKUP(A3167,'Data pick slip'!B:F,5,FALSE)</f>
        <v>KLJ-MC200-00</v>
      </c>
      <c r="F3167" s="157" t="s">
        <v>1381</v>
      </c>
      <c r="I3167" s="269" t="s">
        <v>3414</v>
      </c>
      <c r="J3167" s="139" t="s">
        <v>3471</v>
      </c>
      <c r="K3167" s="51" t="s">
        <v>1246</v>
      </c>
      <c r="L3167" s="4">
        <v>44413</v>
      </c>
      <c r="M3167" s="140">
        <v>15</v>
      </c>
      <c r="P3167" s="4" t="s">
        <v>291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2757</v>
      </c>
      <c r="B3168" s="114" t="str">
        <f>VLOOKUP(A3168,'Data pick slip'!B:F,5,FALSE)</f>
        <v>KLJ-MC400-00</v>
      </c>
      <c r="F3168" s="157" t="s">
        <v>1381</v>
      </c>
      <c r="I3168" s="269" t="s">
        <v>3414</v>
      </c>
      <c r="J3168" s="139" t="s">
        <v>3471</v>
      </c>
      <c r="K3168" s="51" t="s">
        <v>1246</v>
      </c>
      <c r="L3168" s="4">
        <v>44413</v>
      </c>
      <c r="M3168" s="140">
        <v>5</v>
      </c>
      <c r="P3168" s="4" t="s">
        <v>291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2758</v>
      </c>
      <c r="B3169" s="114" t="str">
        <f>VLOOKUP(A3169,'Data pick slip'!B:F,5,FALSE)</f>
        <v>KLJ-MC500-00</v>
      </c>
      <c r="F3169" s="157" t="s">
        <v>1381</v>
      </c>
      <c r="I3169" s="269" t="s">
        <v>3414</v>
      </c>
      <c r="J3169" s="139" t="s">
        <v>3471</v>
      </c>
      <c r="K3169" s="51" t="s">
        <v>1246</v>
      </c>
      <c r="L3169" s="4">
        <v>44413</v>
      </c>
      <c r="M3169" s="140">
        <v>2</v>
      </c>
      <c r="P3169" s="4" t="s">
        <v>291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2759</v>
      </c>
      <c r="B3170" s="114" t="str">
        <f>VLOOKUP(A3170,'Data pick slip'!B:F,5,FALSE)</f>
        <v>KLJ-MC600-00</v>
      </c>
      <c r="F3170" s="157" t="s">
        <v>1381</v>
      </c>
      <c r="I3170" s="269" t="s">
        <v>3414</v>
      </c>
      <c r="J3170" s="139" t="s">
        <v>3471</v>
      </c>
      <c r="K3170" s="51" t="s">
        <v>1246</v>
      </c>
      <c r="L3170" s="4">
        <v>44413</v>
      </c>
      <c r="M3170" s="140">
        <v>2</v>
      </c>
      <c r="P3170" s="4" t="s">
        <v>291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2768</v>
      </c>
      <c r="B3171" s="114" t="str">
        <f>VLOOKUP(A3171,'Data pick slip'!B:F,5,FALSE)</f>
        <v>KHJ-MC100-00</v>
      </c>
      <c r="F3171" s="157" t="s">
        <v>1381</v>
      </c>
      <c r="I3171" s="139" t="s">
        <v>2854</v>
      </c>
      <c r="J3171" s="270" t="s">
        <v>3472</v>
      </c>
      <c r="K3171" s="51" t="s">
        <v>3003</v>
      </c>
      <c r="L3171" s="4">
        <v>44421</v>
      </c>
      <c r="M3171" s="140">
        <v>1</v>
      </c>
      <c r="P3171" s="4" t="s">
        <v>291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2768</v>
      </c>
      <c r="B3172" s="114" t="str">
        <f>VLOOKUP(A3172,'Data pick slip'!B:F,5,FALSE)</f>
        <v>KHJ-MC100-00</v>
      </c>
      <c r="F3172" s="157" t="s">
        <v>2753</v>
      </c>
      <c r="I3172" s="139" t="s">
        <v>3094</v>
      </c>
      <c r="J3172" s="270" t="s">
        <v>3473</v>
      </c>
      <c r="K3172" s="51" t="s">
        <v>1246</v>
      </c>
      <c r="L3172" s="4">
        <v>44421</v>
      </c>
      <c r="M3172" s="140">
        <v>15</v>
      </c>
      <c r="P3172" s="4" t="s">
        <v>291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2755</v>
      </c>
      <c r="B3173" s="114" t="str">
        <f>VLOOKUP(A3173,'Data pick slip'!B:F,5,FALSE)</f>
        <v>KLJ-MC100-00</v>
      </c>
      <c r="F3173" s="157" t="s">
        <v>2753</v>
      </c>
      <c r="H3173" s="138">
        <v>1436</v>
      </c>
      <c r="I3173" s="139" t="str">
        <f>VLOOKUP(H3173,Stock_list!A:R,18,FALSE)</f>
        <v>拓新伟业</v>
      </c>
      <c r="J3173" s="139" t="str">
        <f>VLOOKUP(H3173,Stock_list!A:S,17,FALSE)</f>
        <v>C49SZX20210175SX</v>
      </c>
      <c r="K3173" s="51" t="str">
        <f>VLOOKUP(H3173,Stock_list!A:T,16,FALSE)</f>
        <v>RMB</v>
      </c>
      <c r="L3173" s="4">
        <v>44434</v>
      </c>
      <c r="M3173" s="140">
        <v>84</v>
      </c>
      <c r="P3173" s="4" t="str">
        <f>VLOOKUP(H3173,Stock_list!A:Y,25,FALSE)</f>
        <v>Yes</v>
      </c>
      <c r="Q3173" s="143"/>
      <c r="T3173" s="144"/>
      <c r="U3173" s="145" t="str">
        <f>VLOOKUP(H3173,Stock_list!A:N,14,FALSE)</f>
        <v>AUG 21</v>
      </c>
    </row>
    <row r="3174" spans="1:21" ht="16.5" customHeight="1">
      <c r="A3174" s="159" t="s">
        <v>2768</v>
      </c>
      <c r="B3174" s="114" t="str">
        <f>VLOOKUP(A3174,'Data pick slip'!B:F,5,FALSE)</f>
        <v>KHJ-MC100-00</v>
      </c>
      <c r="F3174" s="157" t="s">
        <v>1381</v>
      </c>
      <c r="H3174" s="138">
        <v>1470</v>
      </c>
      <c r="I3174" s="139" t="str">
        <f>VLOOKUP(H3174,Stock_list!A:R,18,FALSE)</f>
        <v>盈通恒翼</v>
      </c>
      <c r="J3174" s="139" t="str">
        <f>VLOOKUP(H3174,Stock_list!A:S,17,FALSE)</f>
        <v>C49SZX20210187SS</v>
      </c>
      <c r="K3174" s="51" t="str">
        <f>VLOOKUP(H3174,Stock_list!A:T,16,FALSE)</f>
        <v>JPY</v>
      </c>
      <c r="L3174" s="4">
        <v>44659</v>
      </c>
      <c r="M3174" s="140">
        <v>40</v>
      </c>
      <c r="P3174" s="4" t="str">
        <f>VLOOKUP(H3174,Stock_list!A:Y,25,FALSE)</f>
        <v>Yes</v>
      </c>
      <c r="Q3174" s="143"/>
      <c r="T3174" s="144"/>
      <c r="U3174" s="145" t="str">
        <f>VLOOKUP(H3174,Stock_list!A:N,14,FALSE)</f>
        <v>APR 22</v>
      </c>
    </row>
    <row r="3175" spans="1:21" ht="16.5" customHeight="1">
      <c r="A3175" s="159" t="s">
        <v>2768</v>
      </c>
      <c r="B3175" s="114" t="str">
        <f>VLOOKUP(A3175,'Data pick slip'!B:F,5,FALSE)</f>
        <v>KHJ-MC100-00</v>
      </c>
      <c r="F3175" s="157" t="s">
        <v>1381</v>
      </c>
      <c r="H3175" s="138">
        <v>1474</v>
      </c>
      <c r="I3175" s="139" t="str">
        <f>VLOOKUP(H3175,Stock_list!A:R,18,FALSE)</f>
        <v>长沙健科</v>
      </c>
      <c r="J3175" s="139" t="str">
        <f>VLOOKUP(H3175,Stock_list!A:S,17,FALSE)</f>
        <v>C49SZX20210189DZ</v>
      </c>
      <c r="K3175" s="51" t="str">
        <f>VLOOKUP(H3175,Stock_list!A:T,16,FALSE)</f>
        <v>JPY</v>
      </c>
      <c r="L3175" s="4">
        <v>44620</v>
      </c>
      <c r="M3175" s="140">
        <v>5</v>
      </c>
      <c r="P3175" s="4" t="str">
        <f>VLOOKUP(H3175,Stock_list!A:Y,25,FALSE)</f>
        <v>Yes</v>
      </c>
      <c r="Q3175" s="143"/>
      <c r="T3175" s="144"/>
      <c r="U3175" s="145" t="str">
        <f>VLOOKUP(H3175,Stock_list!A:N,14,FALSE)</f>
        <v>FEB 22</v>
      </c>
    </row>
    <row r="3176" spans="1:21" ht="16.5" customHeight="1">
      <c r="A3176" s="159" t="s">
        <v>2747</v>
      </c>
      <c r="B3176" s="114" t="str">
        <f>VLOOKUP(A3176,'Data pick slip'!B:F,5,FALSE)</f>
        <v>KHJ-MC200-00</v>
      </c>
      <c r="F3176" s="157" t="s">
        <v>2753</v>
      </c>
      <c r="I3176" s="139" t="s">
        <v>3291</v>
      </c>
      <c r="J3176" s="269" t="s">
        <v>3474</v>
      </c>
      <c r="K3176" s="51" t="s">
        <v>1246</v>
      </c>
      <c r="L3176" s="4">
        <v>44453</v>
      </c>
      <c r="M3176" s="140">
        <v>15</v>
      </c>
      <c r="P3176" s="4" t="s">
        <v>291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2768</v>
      </c>
      <c r="B3177" s="114" t="str">
        <f>VLOOKUP(A3177,'Data pick slip'!B:F,5,FALSE)</f>
        <v>KHJ-MC100-00</v>
      </c>
      <c r="F3177" s="157" t="s">
        <v>1381</v>
      </c>
      <c r="H3177" s="138">
        <v>1475</v>
      </c>
      <c r="I3177" s="139" t="str">
        <f>VLOOKUP(H3177,Stock_list!A:R,18,FALSE)</f>
        <v>穗晖</v>
      </c>
      <c r="J3177" s="139" t="str">
        <f>VLOOKUP(H3177,Stock_list!A:S,17,FALSE)</f>
        <v>C49SZX20210191DY</v>
      </c>
      <c r="K3177" s="51" t="str">
        <f>VLOOKUP(H3177,Stock_list!A:T,16,FALSE)</f>
        <v>JPY</v>
      </c>
      <c r="L3177" s="4">
        <v>44580</v>
      </c>
      <c r="M3177" s="140">
        <v>20</v>
      </c>
      <c r="P3177" s="4" t="str">
        <f>VLOOKUP(H3177,Stock_list!A:Y,25,FALSE)</f>
        <v>Yes</v>
      </c>
      <c r="Q3177" s="143"/>
      <c r="T3177" s="144"/>
      <c r="U3177" s="145" t="str">
        <f>VLOOKUP(H3177,Stock_list!A:N,14,FALSE)</f>
        <v>JAN 22</v>
      </c>
    </row>
    <row r="3178" spans="1:21" ht="16.5" customHeight="1">
      <c r="A3178" s="159" t="s">
        <v>2750</v>
      </c>
      <c r="B3178" s="114" t="str">
        <f>VLOOKUP(A3178,'Data pick slip'!B:F,5,FALSE)</f>
        <v>KHJ-MC600-00</v>
      </c>
      <c r="F3178" s="157" t="s">
        <v>1381</v>
      </c>
      <c r="I3178" s="139" t="s">
        <v>2854</v>
      </c>
      <c r="J3178" s="270" t="s">
        <v>3475</v>
      </c>
      <c r="K3178" s="51" t="s">
        <v>3003</v>
      </c>
      <c r="L3178" s="4">
        <v>44455</v>
      </c>
      <c r="M3178" s="140">
        <v>1</v>
      </c>
      <c r="P3178" s="4" t="s">
        <v>291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2744</v>
      </c>
      <c r="B3179" s="114" t="str">
        <f>VLOOKUP(A3179,'Data pick slip'!B:F,5,FALSE)</f>
        <v>KHJ-MC100-00</v>
      </c>
      <c r="F3179" s="157" t="s">
        <v>1381</v>
      </c>
      <c r="I3179" s="269" t="s">
        <v>3414</v>
      </c>
      <c r="J3179" s="139" t="s">
        <v>3476</v>
      </c>
      <c r="K3179" s="51" t="s">
        <v>1246</v>
      </c>
      <c r="L3179" s="4">
        <v>44455</v>
      </c>
      <c r="M3179" s="140">
        <v>50</v>
      </c>
      <c r="P3179" s="4" t="s">
        <v>291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2749</v>
      </c>
      <c r="B3180" s="114" t="str">
        <f>VLOOKUP(A3180,'Data pick slip'!B:F,5,FALSE)</f>
        <v>KHJ-MC500-00</v>
      </c>
      <c r="F3180" s="157" t="s">
        <v>1381</v>
      </c>
      <c r="I3180" s="269" t="s">
        <v>3414</v>
      </c>
      <c r="J3180" s="139" t="s">
        <v>3476</v>
      </c>
      <c r="K3180" s="51" t="s">
        <v>1246</v>
      </c>
      <c r="L3180" s="4">
        <v>44455</v>
      </c>
      <c r="M3180" s="140">
        <v>5</v>
      </c>
      <c r="P3180" s="4" t="s">
        <v>291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2755</v>
      </c>
      <c r="B3181" s="114" t="str">
        <f>VLOOKUP(A3181,'Data pick slip'!B:F,5,FALSE)</f>
        <v>KLJ-MC100-00</v>
      </c>
      <c r="F3181" s="157" t="s">
        <v>1381</v>
      </c>
      <c r="I3181" s="269" t="s">
        <v>3414</v>
      </c>
      <c r="J3181" s="139" t="s">
        <v>3476</v>
      </c>
      <c r="K3181" s="51" t="s">
        <v>1246</v>
      </c>
      <c r="L3181" s="4">
        <v>44455</v>
      </c>
      <c r="M3181" s="140">
        <v>20</v>
      </c>
      <c r="P3181" s="4" t="s">
        <v>291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2756</v>
      </c>
      <c r="B3182" s="114" t="str">
        <f>VLOOKUP(A3182,'Data pick slip'!B:F,5,FALSE)</f>
        <v>KLJ-MC200-00</v>
      </c>
      <c r="F3182" s="157" t="s">
        <v>1381</v>
      </c>
      <c r="I3182" s="269" t="s">
        <v>3414</v>
      </c>
      <c r="J3182" s="139" t="s">
        <v>3476</v>
      </c>
      <c r="K3182" s="51" t="s">
        <v>1246</v>
      </c>
      <c r="L3182" s="4">
        <v>44455</v>
      </c>
      <c r="M3182" s="140">
        <v>20</v>
      </c>
      <c r="P3182" s="4" t="s">
        <v>291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2768</v>
      </c>
      <c r="B3183" s="114" t="str">
        <f>VLOOKUP(A3183,'Data pick slip'!B:F,5,FALSE)</f>
        <v>KHJ-MC100-00</v>
      </c>
      <c r="F3183" s="157" t="s">
        <v>1381</v>
      </c>
      <c r="H3183" s="138">
        <v>1477</v>
      </c>
      <c r="I3183" s="139" t="str">
        <f>VLOOKUP(H3183,Stock_list!A:R,18,FALSE)</f>
        <v>正讯</v>
      </c>
      <c r="J3183" s="139" t="str">
        <f>VLOOKUP(H3183,Stock_list!A:S,17,FALSE)</f>
        <v>C49SZX20210192SX</v>
      </c>
      <c r="K3183" s="51" t="str">
        <f>VLOOKUP(H3183,Stock_list!A:T,16,FALSE)</f>
        <v>JPY</v>
      </c>
      <c r="L3183" s="4">
        <v>44669</v>
      </c>
      <c r="M3183" s="140">
        <v>100</v>
      </c>
      <c r="P3183" s="4" t="str">
        <f>VLOOKUP(H3183,Stock_list!A:Y,25,FALSE)</f>
        <v>Yes</v>
      </c>
      <c r="Q3183" s="143"/>
      <c r="T3183" s="144"/>
      <c r="U3183" s="145" t="str">
        <f>VLOOKUP(H3183,Stock_list!A:N,14,FALSE)</f>
        <v>APR 22</v>
      </c>
    </row>
    <row r="3184" spans="1:21" ht="16.5" customHeight="1">
      <c r="A3184" s="159" t="s">
        <v>2747</v>
      </c>
      <c r="B3184" s="114" t="str">
        <f>VLOOKUP(A3184,'Data pick slip'!B:F,5,FALSE)</f>
        <v>KHJ-MC200-00</v>
      </c>
      <c r="F3184" s="157" t="s">
        <v>1381</v>
      </c>
      <c r="H3184" s="138">
        <v>1477</v>
      </c>
      <c r="I3184" s="139" t="str">
        <f>VLOOKUP(H3184,Stock_list!A:R,18,FALSE)</f>
        <v>正讯</v>
      </c>
      <c r="J3184" s="139" t="str">
        <f>VLOOKUP(H3184,Stock_list!A:S,17,FALSE)</f>
        <v>C49SZX20210192SX</v>
      </c>
      <c r="K3184" s="51" t="str">
        <f>VLOOKUP(H3184,Stock_list!A:T,16,FALSE)</f>
        <v>JPY</v>
      </c>
      <c r="L3184" s="4">
        <v>44669</v>
      </c>
      <c r="M3184" s="140">
        <v>28</v>
      </c>
      <c r="P3184" s="4" t="str">
        <f>VLOOKUP(H3184,Stock_list!A:Y,25,FALSE)</f>
        <v>Yes</v>
      </c>
      <c r="Q3184" s="143"/>
      <c r="T3184" s="144"/>
      <c r="U3184" s="145" t="str">
        <f>VLOOKUP(H3184,Stock_list!A:N,14,FALSE)</f>
        <v>APR 22</v>
      </c>
    </row>
    <row r="3185" spans="1:21" ht="16.5" customHeight="1">
      <c r="A3185" s="159" t="s">
        <v>2748</v>
      </c>
      <c r="B3185" s="114" t="str">
        <f>VLOOKUP(A3185,'Data pick slip'!B:F,5,FALSE)</f>
        <v>KHJ-MC400-00</v>
      </c>
      <c r="F3185" s="157" t="s">
        <v>1381</v>
      </c>
      <c r="H3185" s="138">
        <v>1477</v>
      </c>
      <c r="I3185" s="139" t="str">
        <f>VLOOKUP(H3185,Stock_list!A:R,18,FALSE)</f>
        <v>正讯</v>
      </c>
      <c r="J3185" s="139" t="str">
        <f>VLOOKUP(H3185,Stock_list!A:S,17,FALSE)</f>
        <v>C49SZX20210192SX</v>
      </c>
      <c r="K3185" s="51" t="str">
        <f>VLOOKUP(H3185,Stock_list!A:T,16,FALSE)</f>
        <v>JPY</v>
      </c>
      <c r="L3185" s="4">
        <v>44669</v>
      </c>
      <c r="M3185" s="140">
        <v>2</v>
      </c>
      <c r="P3185" s="4" t="str">
        <f>VLOOKUP(H3185,Stock_list!A:Y,25,FALSE)</f>
        <v>Yes</v>
      </c>
      <c r="Q3185" s="143"/>
      <c r="T3185" s="144"/>
      <c r="U3185" s="145" t="str">
        <f>VLOOKUP(H3185,Stock_list!A:N,14,FALSE)</f>
        <v>APR 22</v>
      </c>
    </row>
    <row r="3186" spans="1:21" ht="16.5" customHeight="1">
      <c r="A3186" s="159" t="s">
        <v>2768</v>
      </c>
      <c r="B3186" s="114" t="str">
        <f>VLOOKUP(A3186,'Data pick slip'!B:F,5,FALSE)</f>
        <v>KHJ-MC100-00</v>
      </c>
      <c r="F3186" s="157" t="s">
        <v>2753</v>
      </c>
      <c r="I3186" s="139" t="s">
        <v>3100</v>
      </c>
      <c r="J3186" s="267" t="s">
        <v>3477</v>
      </c>
      <c r="K3186" s="51" t="s">
        <v>1246</v>
      </c>
      <c r="L3186" s="4">
        <v>44461</v>
      </c>
      <c r="M3186" s="140">
        <v>20</v>
      </c>
      <c r="P3186" s="4" t="s">
        <v>291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2747</v>
      </c>
      <c r="B3187" s="114" t="str">
        <f>VLOOKUP(A3187,'Data pick slip'!B:F,5,FALSE)</f>
        <v>KHJ-MC200-00</v>
      </c>
      <c r="F3187" s="157" t="s">
        <v>2753</v>
      </c>
      <c r="I3187" s="139" t="s">
        <v>3100</v>
      </c>
      <c r="J3187" s="267" t="s">
        <v>3477</v>
      </c>
      <c r="K3187" s="51" t="s">
        <v>1246</v>
      </c>
      <c r="L3187" s="4">
        <v>44461</v>
      </c>
      <c r="M3187" s="140">
        <v>5</v>
      </c>
      <c r="P3187" s="4" t="s">
        <v>291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2755</v>
      </c>
      <c r="B3188" s="114" t="str">
        <f>VLOOKUP(A3188,'Data pick slip'!B:F,5,FALSE)</f>
        <v>KLJ-MC100-00</v>
      </c>
      <c r="F3188" s="157" t="s">
        <v>1381</v>
      </c>
      <c r="H3188" s="138">
        <v>1479</v>
      </c>
      <c r="I3188" s="139" t="str">
        <f>VLOOKUP(H3188,Stock_list!A:R,18,FALSE)</f>
        <v>锐诚</v>
      </c>
      <c r="J3188" s="139" t="str">
        <f>VLOOKUP(H3188,Stock_list!A:S,17,FALSE)</f>
        <v>C49SZX20210193SX</v>
      </c>
      <c r="K3188" s="51" t="str">
        <f>VLOOKUP(H3188,Stock_list!A:T,16,FALSE)</f>
        <v>JPY</v>
      </c>
      <c r="L3188" s="4">
        <v>44481</v>
      </c>
      <c r="M3188" s="143">
        <v>20</v>
      </c>
      <c r="P3188" s="4" t="str">
        <f>VLOOKUP(H3188,Stock_list!A:Y,25,FALSE)</f>
        <v>Yes</v>
      </c>
      <c r="T3188" s="144"/>
      <c r="U3188" s="145" t="str">
        <f>VLOOKUP(H3188,Stock_list!A:N,14,FALSE)</f>
        <v>OCT 21</v>
      </c>
    </row>
    <row r="3189" spans="1:21" ht="16.5" customHeight="1">
      <c r="A3189" s="159" t="s">
        <v>2756</v>
      </c>
      <c r="B3189" s="114" t="str">
        <f>VLOOKUP(A3189,'Data pick slip'!B:F,5,FALSE)</f>
        <v>KLJ-MC200-00</v>
      </c>
      <c r="F3189" s="157" t="s">
        <v>1381</v>
      </c>
      <c r="H3189" s="138">
        <v>1479</v>
      </c>
      <c r="I3189" s="139" t="str">
        <f>VLOOKUP(H3189,Stock_list!A:R,18,FALSE)</f>
        <v>锐诚</v>
      </c>
      <c r="J3189" s="139" t="str">
        <f>VLOOKUP(H3189,Stock_list!A:S,17,FALSE)</f>
        <v>C49SZX20210193SX</v>
      </c>
      <c r="K3189" s="51" t="str">
        <f>VLOOKUP(H3189,Stock_list!A:T,16,FALSE)</f>
        <v>JPY</v>
      </c>
      <c r="L3189" s="4">
        <v>44481</v>
      </c>
      <c r="M3189" s="143">
        <v>5</v>
      </c>
      <c r="P3189" s="4" t="str">
        <f>VLOOKUP(H3189,Stock_list!A:Y,25,FALSE)</f>
        <v>Yes</v>
      </c>
      <c r="T3189" s="144"/>
      <c r="U3189" s="145" t="str">
        <f>VLOOKUP(H3189,Stock_list!A:N,14,FALSE)</f>
        <v>OCT 21</v>
      </c>
    </row>
    <row r="3190" spans="1:21" ht="16.5" customHeight="1">
      <c r="A3190" s="159" t="s">
        <v>2758</v>
      </c>
      <c r="B3190" s="114" t="str">
        <f>VLOOKUP(A3190,'Data pick slip'!B:F,5,FALSE)</f>
        <v>KLJ-MC500-00</v>
      </c>
      <c r="F3190" s="157" t="s">
        <v>1381</v>
      </c>
      <c r="H3190" s="138">
        <v>1479</v>
      </c>
      <c r="I3190" s="139" t="str">
        <f>VLOOKUP(H3190,Stock_list!A:R,18,FALSE)</f>
        <v>锐诚</v>
      </c>
      <c r="J3190" s="139" t="str">
        <f>VLOOKUP(H3190,Stock_list!A:S,17,FALSE)</f>
        <v>C49SZX20210193SX</v>
      </c>
      <c r="K3190" s="51" t="str">
        <f>VLOOKUP(H3190,Stock_list!A:T,16,FALSE)</f>
        <v>JPY</v>
      </c>
      <c r="L3190" s="4">
        <v>44481</v>
      </c>
      <c r="M3190" s="143">
        <v>1</v>
      </c>
      <c r="P3190" s="4" t="str">
        <f>VLOOKUP(H3190,Stock_list!A:Y,25,FALSE)</f>
        <v>Yes</v>
      </c>
      <c r="T3190" s="144"/>
      <c r="U3190" s="145" t="str">
        <f>VLOOKUP(H3190,Stock_list!A:N,14,FALSE)</f>
        <v>OCT 21</v>
      </c>
    </row>
    <row r="3191" spans="1:21" ht="16.5" customHeight="1">
      <c r="A3191" s="159" t="s">
        <v>2768</v>
      </c>
      <c r="B3191" s="114" t="str">
        <f>VLOOKUP(A3191,'Data pick slip'!B:F,5,FALSE)</f>
        <v>KHJ-MC100-00</v>
      </c>
      <c r="F3191" s="157" t="s">
        <v>2753</v>
      </c>
      <c r="I3191" s="139" t="s">
        <v>3100</v>
      </c>
      <c r="J3191" s="267" t="s">
        <v>3478</v>
      </c>
      <c r="K3191" s="51" t="s">
        <v>1246</v>
      </c>
      <c r="L3191" s="4">
        <v>44461</v>
      </c>
      <c r="M3191" s="140">
        <v>30</v>
      </c>
      <c r="P3191" s="4" t="s">
        <v>291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2768</v>
      </c>
      <c r="B3192" s="114" t="str">
        <f>VLOOKUP(A3192,'Data pick slip'!B:F,5,FALSE)</f>
        <v>KHJ-MC100-00</v>
      </c>
      <c r="F3192" s="157" t="s">
        <v>1381</v>
      </c>
      <c r="H3192" s="138">
        <v>1480</v>
      </c>
      <c r="I3192" s="139" t="str">
        <f>VLOOKUP(H3192,Stock_list!A:R,18,FALSE)</f>
        <v>宇翔</v>
      </c>
      <c r="J3192" s="139" t="str">
        <f>VLOOKUP(H3192,Stock_list!A:S,17,FALSE)</f>
        <v>C49SZX20220082MX</v>
      </c>
      <c r="K3192" s="51" t="str">
        <f>VLOOKUP(H3192,Stock_list!A:T,16,FALSE)</f>
        <v>JPY</v>
      </c>
      <c r="L3192" s="4"/>
      <c r="N3192" s="143">
        <v>60</v>
      </c>
      <c r="P3192" s="4" t="str">
        <f>VLOOKUP(H3192,Stock_list!A:Y,25,FALSE)</f>
        <v>Yes</v>
      </c>
      <c r="T3192" s="144"/>
      <c r="U3192" s="145" t="str">
        <f>VLOOKUP(H3192,Stock_list!A:N,14,FALSE)</f>
        <v>MAY 23</v>
      </c>
    </row>
    <row r="3193" spans="1:21" ht="16.5" customHeight="1">
      <c r="A3193" s="159" t="s">
        <v>2747</v>
      </c>
      <c r="B3193" s="114" t="str">
        <f>VLOOKUP(A3193,'Data pick slip'!B:F,5,FALSE)</f>
        <v>KHJ-MC200-00</v>
      </c>
      <c r="F3193" s="157" t="s">
        <v>1381</v>
      </c>
      <c r="H3193" s="138">
        <v>1480</v>
      </c>
      <c r="I3193" s="139" t="str">
        <f>VLOOKUP(H3193,Stock_list!A:R,18,FALSE)</f>
        <v>宇翔</v>
      </c>
      <c r="J3193" s="139" t="str">
        <f>VLOOKUP(H3193,Stock_list!A:S,17,FALSE)</f>
        <v>C49SZX20220082MX</v>
      </c>
      <c r="K3193" s="51" t="str">
        <f>VLOOKUP(H3193,Stock_list!A:T,16,FALSE)</f>
        <v>JPY</v>
      </c>
      <c r="L3193" s="4"/>
      <c r="N3193" s="143">
        <v>11</v>
      </c>
      <c r="P3193" s="4" t="str">
        <f>VLOOKUP(H3193,Stock_list!A:Y,25,FALSE)</f>
        <v>Yes</v>
      </c>
      <c r="T3193" s="144"/>
      <c r="U3193" s="145" t="str">
        <f>VLOOKUP(H3193,Stock_list!A:N,14,FALSE)</f>
        <v>MAY 23</v>
      </c>
    </row>
    <row r="3194" spans="1:21" ht="16.5" customHeight="1">
      <c r="A3194" s="159" t="s">
        <v>2748</v>
      </c>
      <c r="B3194" s="114" t="str">
        <f>VLOOKUP(A3194,'Data pick slip'!B:F,5,FALSE)</f>
        <v>KHJ-MC400-00</v>
      </c>
      <c r="F3194" s="157" t="s">
        <v>1381</v>
      </c>
      <c r="H3194" s="138">
        <v>1480</v>
      </c>
      <c r="I3194" s="139" t="str">
        <f>VLOOKUP(H3194,Stock_list!A:R,18,FALSE)</f>
        <v>宇翔</v>
      </c>
      <c r="J3194" s="139" t="str">
        <f>VLOOKUP(H3194,Stock_list!A:S,17,FALSE)</f>
        <v>C49SZX20220082MX</v>
      </c>
      <c r="K3194" s="51" t="str">
        <f>VLOOKUP(H3194,Stock_list!A:T,16,FALSE)</f>
        <v>JPY</v>
      </c>
      <c r="L3194" s="4"/>
      <c r="N3194" s="143">
        <v>4</v>
      </c>
      <c r="P3194" s="4" t="str">
        <f>VLOOKUP(H3194,Stock_list!A:Y,25,FALSE)</f>
        <v>Yes</v>
      </c>
      <c r="T3194" s="144"/>
      <c r="U3194" s="145" t="str">
        <f>VLOOKUP(H3194,Stock_list!A:N,14,FALSE)</f>
        <v>MAY 23</v>
      </c>
    </row>
    <row r="3195" spans="1:21" ht="16.5" customHeight="1">
      <c r="A3195" s="159" t="s">
        <v>2749</v>
      </c>
      <c r="B3195" s="114" t="str">
        <f>VLOOKUP(A3195,'Data pick slip'!B:F,5,FALSE)</f>
        <v>KHJ-MC500-00</v>
      </c>
      <c r="F3195" s="157" t="s">
        <v>1381</v>
      </c>
      <c r="H3195" s="138">
        <v>1480</v>
      </c>
      <c r="I3195" s="139" t="str">
        <f>VLOOKUP(H3195,Stock_list!A:R,18,FALSE)</f>
        <v>宇翔</v>
      </c>
      <c r="J3195" s="139" t="str">
        <f>VLOOKUP(H3195,Stock_list!A:S,17,FALSE)</f>
        <v>C49SZX20220082MX</v>
      </c>
      <c r="K3195" s="51" t="str">
        <f>VLOOKUP(H3195,Stock_list!A:T,16,FALSE)</f>
        <v>JPY</v>
      </c>
      <c r="L3195" s="4"/>
      <c r="N3195" s="143">
        <v>1</v>
      </c>
      <c r="P3195" s="4" t="str">
        <f>VLOOKUP(H3195,Stock_list!A:Y,25,FALSE)</f>
        <v>Yes</v>
      </c>
      <c r="T3195" s="144"/>
      <c r="U3195" s="145" t="str">
        <f>VLOOKUP(H3195,Stock_list!A:N,14,FALSE)</f>
        <v>MAY 23</v>
      </c>
    </row>
    <row r="3196" spans="1:21" ht="16.5" customHeight="1">
      <c r="A3196" s="159" t="s">
        <v>2768</v>
      </c>
      <c r="B3196" s="114" t="str">
        <f>VLOOKUP(A3196,'Data pick slip'!B:F,5,FALSE)</f>
        <v>KHJ-MC100-00</v>
      </c>
      <c r="F3196" s="157" t="s">
        <v>2753</v>
      </c>
      <c r="H3196" s="138">
        <v>1482</v>
      </c>
      <c r="I3196" s="139" t="str">
        <f>VLOOKUP(H3196,Stock_list!A:R,18,FALSE)</f>
        <v>派诺</v>
      </c>
      <c r="J3196" s="139" t="str">
        <f>VLOOKUP(H3196,Stock_list!A:S,17,FALSE)</f>
        <v>C49SZX20210196MZ</v>
      </c>
      <c r="K3196" s="51" t="str">
        <f>VLOOKUP(H3196,Stock_list!A:T,16,FALSE)</f>
        <v>RMB</v>
      </c>
      <c r="L3196" s="4">
        <v>44608</v>
      </c>
      <c r="M3196" s="140">
        <v>8</v>
      </c>
      <c r="N3196" s="143"/>
      <c r="P3196" s="4" t="str">
        <f>VLOOKUP(H3196,Stock_list!A:Y,25,FALSE)</f>
        <v>Yes</v>
      </c>
      <c r="T3196" s="144"/>
      <c r="U3196" s="145" t="str">
        <f>VLOOKUP(H3196,Stock_list!A:N,14,FALSE)</f>
        <v>FEB 22</v>
      </c>
    </row>
    <row r="3197" spans="1:21" ht="16.5" customHeight="1">
      <c r="A3197" s="159" t="s">
        <v>2750</v>
      </c>
      <c r="B3197" s="114" t="str">
        <f>VLOOKUP(A3197,'Data pick slip'!B:F,5,FALSE)</f>
        <v>KHJ-MC600-00</v>
      </c>
      <c r="F3197" s="157" t="s">
        <v>2753</v>
      </c>
      <c r="H3197" s="138">
        <v>1482</v>
      </c>
      <c r="I3197" s="139" t="str">
        <f>VLOOKUP(H3197,Stock_list!A:R,18,FALSE)</f>
        <v>派诺</v>
      </c>
      <c r="J3197" s="139" t="str">
        <f>VLOOKUP(H3197,Stock_list!A:S,17,FALSE)</f>
        <v>C49SZX20210196MZ</v>
      </c>
      <c r="K3197" s="51" t="str">
        <f>VLOOKUP(H3197,Stock_list!A:T,16,FALSE)</f>
        <v>RMB</v>
      </c>
      <c r="L3197" s="4">
        <v>44608</v>
      </c>
      <c r="M3197" s="140">
        <v>1</v>
      </c>
      <c r="N3197" s="143"/>
      <c r="P3197" s="4" t="str">
        <f>VLOOKUP(H3197,Stock_list!A:Y,25,FALSE)</f>
        <v>Yes</v>
      </c>
      <c r="T3197" s="144"/>
      <c r="U3197" s="145" t="str">
        <f>VLOOKUP(H3197,Stock_list!A:N,14,FALSE)</f>
        <v>FEB 22</v>
      </c>
    </row>
    <row r="3198" spans="1:21" ht="16.5" customHeight="1">
      <c r="A3198" s="159" t="s">
        <v>2768</v>
      </c>
      <c r="B3198" s="114" t="str">
        <f>VLOOKUP(A3198,'Data pick slip'!B:F,5,FALSE)</f>
        <v>KHJ-MC100-00</v>
      </c>
      <c r="F3198" s="157" t="s">
        <v>2753</v>
      </c>
      <c r="H3198" s="138">
        <v>1482</v>
      </c>
      <c r="I3198" s="139" t="str">
        <f>VLOOKUP(H3198,Stock_list!A:R,18,FALSE)</f>
        <v>派诺</v>
      </c>
      <c r="J3198" s="139" t="str">
        <f>VLOOKUP(H3198,Stock_list!A:S,17,FALSE)</f>
        <v>C49SZX20210196MZ</v>
      </c>
      <c r="K3198" s="51" t="str">
        <f>VLOOKUP(H3198,Stock_list!A:T,16,FALSE)</f>
        <v>RMB</v>
      </c>
      <c r="L3198" s="4">
        <v>44477</v>
      </c>
      <c r="M3198" s="140">
        <v>10</v>
      </c>
      <c r="N3198" s="143"/>
      <c r="P3198" s="4" t="str">
        <f>VLOOKUP(H3198,Stock_list!A:Y,25,FALSE)</f>
        <v>Yes</v>
      </c>
      <c r="T3198" s="144"/>
      <c r="U3198" s="145" t="str">
        <f>VLOOKUP(H3198,Stock_list!A:N,14,FALSE)</f>
        <v>FEB 22</v>
      </c>
    </row>
    <row r="3199" spans="1:21" ht="16.5" customHeight="1">
      <c r="A3199" s="159" t="s">
        <v>2747</v>
      </c>
      <c r="B3199" s="114" t="str">
        <f>VLOOKUP(A3199,'Data pick slip'!B:F,5,FALSE)</f>
        <v>KHJ-MC200-00</v>
      </c>
      <c r="F3199" s="157" t="s">
        <v>2753</v>
      </c>
      <c r="H3199" s="138">
        <v>1482</v>
      </c>
      <c r="I3199" s="139" t="str">
        <f>VLOOKUP(H3199,Stock_list!A:R,18,FALSE)</f>
        <v>派诺</v>
      </c>
      <c r="J3199" s="139" t="str">
        <f>VLOOKUP(H3199,Stock_list!A:S,17,FALSE)</f>
        <v>C49SZX20210196MZ</v>
      </c>
      <c r="K3199" s="51" t="str">
        <f>VLOOKUP(H3199,Stock_list!A:T,16,FALSE)</f>
        <v>RMB</v>
      </c>
      <c r="L3199" s="4">
        <v>44477</v>
      </c>
      <c r="M3199" s="140">
        <v>20</v>
      </c>
      <c r="N3199" s="143"/>
      <c r="P3199" s="4" t="str">
        <f>VLOOKUP(H3199,Stock_list!A:Y,25,FALSE)</f>
        <v>Yes</v>
      </c>
      <c r="T3199" s="144"/>
      <c r="U3199" s="145" t="str">
        <f>VLOOKUP(H3199,Stock_list!A:N,14,FALSE)</f>
        <v>FEB 22</v>
      </c>
    </row>
    <row r="3200" spans="1:21" ht="16.5" customHeight="1">
      <c r="A3200" s="159" t="s">
        <v>2768</v>
      </c>
      <c r="B3200" s="114" t="str">
        <f>VLOOKUP(A3200,'Data pick slip'!B:F,5,FALSE)</f>
        <v>KHJ-MC100-00</v>
      </c>
      <c r="F3200" s="157" t="s">
        <v>1381</v>
      </c>
      <c r="H3200" s="138">
        <v>1483</v>
      </c>
      <c r="I3200" s="139" t="str">
        <f>VLOOKUP(H3200,Stock_list!A:R,18,FALSE)</f>
        <v>汇海通达</v>
      </c>
      <c r="J3200" s="139" t="str">
        <f>VLOOKUP(H3200,Stock_list!A:S,17,FALSE)</f>
        <v>C49SZX20210198DZ</v>
      </c>
      <c r="K3200" s="51" t="str">
        <f>VLOOKUP(H3200,Stock_list!A:T,16,FALSE)</f>
        <v>JPY</v>
      </c>
      <c r="L3200" s="4">
        <v>44732</v>
      </c>
      <c r="M3200" s="140">
        <v>5</v>
      </c>
      <c r="P3200" s="4" t="str">
        <f>VLOOKUP(H3200,Stock_list!A:Y,25,FALSE)</f>
        <v>Yes</v>
      </c>
      <c r="Q3200" s="143"/>
      <c r="T3200" s="144"/>
      <c r="U3200" s="145" t="str">
        <f>VLOOKUP(H3200,Stock_list!A:N,14,FALSE)</f>
        <v>JUN 22</v>
      </c>
    </row>
    <row r="3201" spans="1:21" ht="16.5" customHeight="1">
      <c r="A3201" s="159" t="s">
        <v>2747</v>
      </c>
      <c r="B3201" s="114" t="str">
        <f>VLOOKUP(A3201,'Data pick slip'!B:F,5,FALSE)</f>
        <v>KHJ-MC200-00</v>
      </c>
      <c r="F3201" s="157" t="s">
        <v>1381</v>
      </c>
      <c r="H3201" s="138">
        <v>1483</v>
      </c>
      <c r="I3201" s="139" t="str">
        <f>VLOOKUP(H3201,Stock_list!A:R,18,FALSE)</f>
        <v>汇海通达</v>
      </c>
      <c r="J3201" s="139" t="str">
        <f>VLOOKUP(H3201,Stock_list!A:S,17,FALSE)</f>
        <v>C49SZX20210198DZ</v>
      </c>
      <c r="K3201" s="51" t="str">
        <f>VLOOKUP(H3201,Stock_list!A:T,16,FALSE)</f>
        <v>JPY</v>
      </c>
      <c r="L3201" s="4">
        <v>44732</v>
      </c>
      <c r="M3201" s="140">
        <v>2</v>
      </c>
      <c r="P3201" s="4" t="str">
        <f>VLOOKUP(H3201,Stock_list!A:Y,25,FALSE)</f>
        <v>Yes</v>
      </c>
      <c r="Q3201" s="143"/>
      <c r="T3201" s="144"/>
      <c r="U3201" s="145" t="str">
        <f>VLOOKUP(H3201,Stock_list!A:N,14,FALSE)</f>
        <v>JUN 22</v>
      </c>
    </row>
    <row r="3202" spans="1:21" ht="16.5" customHeight="1">
      <c r="A3202" s="159" t="s">
        <v>2751</v>
      </c>
      <c r="B3202" s="114" t="str">
        <f>VLOOKUP(A3202,'Data pick slip'!B:F,5,FALSE)</f>
        <v>KHJ-MC700-00</v>
      </c>
      <c r="F3202" s="157" t="s">
        <v>2753</v>
      </c>
      <c r="I3202" s="139" t="s">
        <v>3094</v>
      </c>
      <c r="J3202" s="270" t="s">
        <v>3479</v>
      </c>
      <c r="K3202" s="51" t="s">
        <v>1246</v>
      </c>
      <c r="L3202" s="4">
        <v>44487</v>
      </c>
      <c r="M3202" s="140">
        <v>2</v>
      </c>
      <c r="P3202" s="4" t="s">
        <v>291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2768</v>
      </c>
      <c r="B3203" s="114" t="str">
        <f>VLOOKUP(A3203,'Data pick slip'!B:F,5,FALSE)</f>
        <v>KHJ-MC100-00</v>
      </c>
      <c r="F3203" s="157" t="s">
        <v>2753</v>
      </c>
      <c r="H3203" s="138">
        <v>1484</v>
      </c>
      <c r="I3203" s="139" t="str">
        <f>VLOOKUP(H3203,Stock_list!A:R,18,FALSE)</f>
        <v>高华（End user:龙高）</v>
      </c>
      <c r="J3203" s="139" t="str">
        <f>VLOOKUP(H3203,Stock_list!A:S,17,FALSE)</f>
        <v>C49SZX20210197JY</v>
      </c>
      <c r="K3203" s="51" t="str">
        <f>VLOOKUP(H3203,Stock_list!A:T,16,FALSE)</f>
        <v>RMB</v>
      </c>
      <c r="L3203" s="4">
        <v>44629</v>
      </c>
      <c r="M3203" s="132">
        <v>10</v>
      </c>
      <c r="P3203" s="4" t="str">
        <f>VLOOKUP(H3203,Stock_list!A:Y,25,FALSE)</f>
        <v>Yes</v>
      </c>
      <c r="Q3203" s="143"/>
      <c r="T3203" s="144"/>
      <c r="U3203" s="145" t="str">
        <f>VLOOKUP(H3203,Stock_list!A:N,14,FALSE)</f>
        <v>MAR 22</v>
      </c>
    </row>
    <row r="3204" spans="1:21" ht="16.5" customHeight="1">
      <c r="A3204" s="159" t="s">
        <v>2747</v>
      </c>
      <c r="B3204" s="114" t="str">
        <f>VLOOKUP(A3204,'Data pick slip'!B:F,5,FALSE)</f>
        <v>KHJ-MC200-00</v>
      </c>
      <c r="F3204" s="157" t="s">
        <v>2753</v>
      </c>
      <c r="H3204" s="138">
        <v>1484</v>
      </c>
      <c r="I3204" s="139" t="str">
        <f>VLOOKUP(H3204,Stock_list!A:R,18,FALSE)</f>
        <v>高华（End user:龙高）</v>
      </c>
      <c r="J3204" s="139" t="str">
        <f>VLOOKUP(H3204,Stock_list!A:S,17,FALSE)</f>
        <v>C49SZX20210197JY</v>
      </c>
      <c r="K3204" s="51" t="str">
        <f>VLOOKUP(H3204,Stock_list!A:T,16,FALSE)</f>
        <v>RMB</v>
      </c>
      <c r="L3204" s="4">
        <v>44629</v>
      </c>
      <c r="M3204" s="132">
        <v>3</v>
      </c>
      <c r="P3204" s="4" t="str">
        <f>VLOOKUP(H3204,Stock_list!A:Y,25,FALSE)</f>
        <v>Yes</v>
      </c>
      <c r="Q3204" s="143"/>
      <c r="T3204" s="144"/>
      <c r="U3204" s="145" t="str">
        <f>VLOOKUP(H3204,Stock_list!A:N,14,FALSE)</f>
        <v>MAR 22</v>
      </c>
    </row>
    <row r="3205" spans="1:21" ht="16.5" customHeight="1">
      <c r="A3205" s="159" t="s">
        <v>2748</v>
      </c>
      <c r="B3205" s="114" t="str">
        <f>VLOOKUP(A3205,'Data pick slip'!B:F,5,FALSE)</f>
        <v>KHJ-MC400-00</v>
      </c>
      <c r="F3205" s="157" t="s">
        <v>2753</v>
      </c>
      <c r="H3205" s="138">
        <v>1484</v>
      </c>
      <c r="I3205" s="139" t="str">
        <f>VLOOKUP(H3205,Stock_list!A:R,18,FALSE)</f>
        <v>高华（End user:龙高）</v>
      </c>
      <c r="J3205" s="139" t="str">
        <f>VLOOKUP(H3205,Stock_list!A:S,17,FALSE)</f>
        <v>C49SZX20210197JY</v>
      </c>
      <c r="K3205" s="51" t="str">
        <f>VLOOKUP(H3205,Stock_list!A:T,16,FALSE)</f>
        <v>RMB</v>
      </c>
      <c r="L3205" s="4">
        <v>44629</v>
      </c>
      <c r="M3205" s="132">
        <v>1</v>
      </c>
      <c r="P3205" s="4" t="str">
        <f>VLOOKUP(H3205,Stock_list!A:Y,25,FALSE)</f>
        <v>Yes</v>
      </c>
      <c r="Q3205" s="143"/>
      <c r="T3205" s="144"/>
      <c r="U3205" s="145" t="str">
        <f>VLOOKUP(H3205,Stock_list!A:N,14,FALSE)</f>
        <v>MAR 22</v>
      </c>
    </row>
    <row r="3206" spans="1:21" ht="16.5" customHeight="1">
      <c r="A3206" s="159" t="s">
        <v>2749</v>
      </c>
      <c r="B3206" s="114" t="str">
        <f>VLOOKUP(A3206,'Data pick slip'!B:F,5,FALSE)</f>
        <v>KHJ-MC500-00</v>
      </c>
      <c r="F3206" s="157" t="s">
        <v>2753</v>
      </c>
      <c r="H3206" s="138">
        <v>1484</v>
      </c>
      <c r="I3206" s="139" t="str">
        <f>VLOOKUP(H3206,Stock_list!A:R,18,FALSE)</f>
        <v>高华（End user:龙高）</v>
      </c>
      <c r="J3206" s="139" t="str">
        <f>VLOOKUP(H3206,Stock_list!A:S,17,FALSE)</f>
        <v>C49SZX20210197JY</v>
      </c>
      <c r="K3206" s="51" t="str">
        <f>VLOOKUP(H3206,Stock_list!A:T,16,FALSE)</f>
        <v>RMB</v>
      </c>
      <c r="L3206" s="4">
        <v>44629</v>
      </c>
      <c r="M3206" s="132">
        <v>1</v>
      </c>
      <c r="P3206" s="4" t="str">
        <f>VLOOKUP(H3206,Stock_list!A:Y,25,FALSE)</f>
        <v>Yes</v>
      </c>
      <c r="Q3206" s="143"/>
      <c r="T3206" s="144"/>
      <c r="U3206" s="145" t="str">
        <f>VLOOKUP(H3206,Stock_list!A:N,14,FALSE)</f>
        <v>MAR 22</v>
      </c>
    </row>
    <row r="3207" spans="1:21" ht="16.5" customHeight="1">
      <c r="A3207" s="159" t="s">
        <v>2768</v>
      </c>
      <c r="B3207" s="114" t="str">
        <f>VLOOKUP(A3207,'Data pick slip'!B:F,5,FALSE)</f>
        <v>KHJ-MC100-00</v>
      </c>
      <c r="F3207" s="157" t="s">
        <v>1381</v>
      </c>
      <c r="H3207" s="138">
        <v>1485</v>
      </c>
      <c r="I3207" s="139" t="str">
        <f>VLOOKUP(H3207,Stock_list!A:R,18,FALSE)</f>
        <v>力通威</v>
      </c>
      <c r="J3207" s="139" t="str">
        <f>VLOOKUP(H3207,Stock_list!A:S,17,FALSE)</f>
        <v>C49SZX20210195JL</v>
      </c>
      <c r="K3207" s="51" t="str">
        <f>VLOOKUP(H3207,Stock_list!A:T,16,FALSE)</f>
        <v>JPY</v>
      </c>
      <c r="L3207" s="4">
        <v>44501</v>
      </c>
      <c r="M3207" s="143">
        <v>24</v>
      </c>
      <c r="P3207" s="4" t="str">
        <f>VLOOKUP(H3207,Stock_list!A:Y,25,FALSE)</f>
        <v>Yes</v>
      </c>
      <c r="Q3207" s="143"/>
      <c r="T3207" s="144"/>
      <c r="U3207" s="145" t="str">
        <f>VLOOKUP(H3207,Stock_list!A:N,14,FALSE)</f>
        <v>NOV 21</v>
      </c>
    </row>
    <row r="3208" spans="1:21" ht="16.5" customHeight="1">
      <c r="A3208" s="159" t="s">
        <v>2747</v>
      </c>
      <c r="B3208" s="114" t="str">
        <f>VLOOKUP(A3208,'Data pick slip'!B:F,5,FALSE)</f>
        <v>KHJ-MC200-00</v>
      </c>
      <c r="F3208" s="157" t="s">
        <v>1381</v>
      </c>
      <c r="H3208" s="138">
        <v>1485</v>
      </c>
      <c r="I3208" s="139" t="str">
        <f>VLOOKUP(H3208,Stock_list!A:R,18,FALSE)</f>
        <v>力通威</v>
      </c>
      <c r="J3208" s="139" t="str">
        <f>VLOOKUP(H3208,Stock_list!A:S,17,FALSE)</f>
        <v>C49SZX20210195JL</v>
      </c>
      <c r="K3208" s="51" t="str">
        <f>VLOOKUP(H3208,Stock_list!A:T,16,FALSE)</f>
        <v>JPY</v>
      </c>
      <c r="L3208" s="4">
        <v>44501</v>
      </c>
      <c r="M3208" s="143">
        <v>10</v>
      </c>
      <c r="P3208" s="4" t="str">
        <f>VLOOKUP(H3208,Stock_list!A:Y,25,FALSE)</f>
        <v>Yes</v>
      </c>
      <c r="Q3208" s="143"/>
      <c r="T3208" s="144"/>
      <c r="U3208" s="145" t="str">
        <f>VLOOKUP(H3208,Stock_list!A:N,14,FALSE)</f>
        <v>NOV 21</v>
      </c>
    </row>
    <row r="3209" spans="1:21" ht="16.5" customHeight="1">
      <c r="A3209" s="159" t="s">
        <v>2768</v>
      </c>
      <c r="B3209" s="114" t="str">
        <f>VLOOKUP(A3209,'Data pick slip'!B:F,5,FALSE)</f>
        <v>KHJ-MC100-00</v>
      </c>
      <c r="F3209" s="157" t="s">
        <v>1381</v>
      </c>
      <c r="H3209" s="138">
        <v>1486</v>
      </c>
      <c r="I3209" s="139" t="str">
        <f>VLOOKUP(H3209,Stock_list!A:R,18,FALSE)</f>
        <v>恒磊</v>
      </c>
      <c r="J3209" s="139" t="str">
        <f>VLOOKUP(H3209,Stock_list!A:S,17,FALSE)</f>
        <v>C49SZX20210180SX</v>
      </c>
      <c r="K3209" s="51" t="str">
        <f>VLOOKUP(H3209,Stock_list!A:T,16,FALSE)</f>
        <v>JPY</v>
      </c>
      <c r="L3209" s="4">
        <v>44670</v>
      </c>
      <c r="M3209" s="140">
        <v>40</v>
      </c>
      <c r="P3209" s="4" t="str">
        <f>VLOOKUP(H3209,Stock_list!A:Y,25,FALSE)</f>
        <v>Yes</v>
      </c>
      <c r="Q3209" s="143"/>
      <c r="T3209" s="144"/>
      <c r="U3209" s="145" t="str">
        <f>VLOOKUP(H3209,Stock_list!A:N,14,FALSE)</f>
        <v>APR 22</v>
      </c>
    </row>
    <row r="3210" spans="1:21" ht="16.5" customHeight="1">
      <c r="A3210" s="159" t="s">
        <v>2768</v>
      </c>
      <c r="B3210" s="114" t="str">
        <f>VLOOKUP(A3210,'Data pick slip'!B:F,5,FALSE)</f>
        <v>KHJ-MC100-00</v>
      </c>
      <c r="F3210" s="157" t="s">
        <v>1381</v>
      </c>
      <c r="H3210" s="138">
        <v>1487</v>
      </c>
      <c r="I3210" s="139" t="str">
        <f>VLOOKUP(H3210,Stock_list!A:R,18,FALSE)</f>
        <v>英拓邦（End user:深圳傲尔）</v>
      </c>
      <c r="J3210" s="139" t="str">
        <f>VLOOKUP(H3210,Stock_list!A:S,17,FALSE)</f>
        <v>C49SZX20210200JY</v>
      </c>
      <c r="K3210" s="51" t="str">
        <f>VLOOKUP(H3210,Stock_list!A:T,16,FALSE)</f>
        <v>JPY</v>
      </c>
      <c r="L3210" s="4">
        <v>44663</v>
      </c>
      <c r="M3210" s="140">
        <v>166</v>
      </c>
      <c r="P3210" s="4" t="str">
        <f>VLOOKUP(H3210,Stock_list!A:Y,25,FALSE)</f>
        <v>Yes</v>
      </c>
      <c r="Q3210" s="143"/>
      <c r="T3210" s="144"/>
      <c r="U3210" s="145" t="str">
        <f>VLOOKUP(H3210,Stock_list!A:N,14,FALSE)</f>
        <v>MAR 22</v>
      </c>
    </row>
    <row r="3211" spans="1:21" ht="16.5" customHeight="1">
      <c r="A3211" s="159" t="s">
        <v>2747</v>
      </c>
      <c r="B3211" s="114" t="str">
        <f>VLOOKUP(A3211,'Data pick slip'!B:F,5,FALSE)</f>
        <v>KHJ-MC200-00</v>
      </c>
      <c r="F3211" s="157" t="s">
        <v>1381</v>
      </c>
      <c r="H3211" s="138">
        <v>1487</v>
      </c>
      <c r="I3211" s="139" t="str">
        <f>VLOOKUP(H3211,Stock_list!A:R,18,FALSE)</f>
        <v>英拓邦（End user:深圳傲尔）</v>
      </c>
      <c r="J3211" s="139" t="str">
        <f>VLOOKUP(H3211,Stock_list!A:S,17,FALSE)</f>
        <v>C49SZX20210200JY</v>
      </c>
      <c r="K3211" s="51" t="str">
        <f>VLOOKUP(H3211,Stock_list!A:T,16,FALSE)</f>
        <v>JPY</v>
      </c>
      <c r="L3211" s="4">
        <v>44663</v>
      </c>
      <c r="M3211" s="140">
        <v>27</v>
      </c>
      <c r="P3211" s="4" t="str">
        <f>VLOOKUP(H3211,Stock_list!A:Y,25,FALSE)</f>
        <v>Yes</v>
      </c>
      <c r="Q3211" s="143"/>
      <c r="T3211" s="144"/>
      <c r="U3211" s="145" t="str">
        <f>VLOOKUP(H3211,Stock_list!A:N,14,FALSE)</f>
        <v>MAR 22</v>
      </c>
    </row>
    <row r="3212" spans="1:21" ht="16.5" customHeight="1">
      <c r="A3212" s="159" t="s">
        <v>2748</v>
      </c>
      <c r="B3212" s="114" t="str">
        <f>VLOOKUP(A3212,'Data pick slip'!B:F,5,FALSE)</f>
        <v>KHJ-MC400-00</v>
      </c>
      <c r="F3212" s="157" t="s">
        <v>1381</v>
      </c>
      <c r="H3212" s="138">
        <v>1487</v>
      </c>
      <c r="I3212" s="139" t="str">
        <f>VLOOKUP(H3212,Stock_list!A:R,18,FALSE)</f>
        <v>英拓邦（End user:深圳傲尔）</v>
      </c>
      <c r="J3212" s="139" t="str">
        <f>VLOOKUP(H3212,Stock_list!A:S,17,FALSE)</f>
        <v>C49SZX20210200JY</v>
      </c>
      <c r="K3212" s="51" t="str">
        <f>VLOOKUP(H3212,Stock_list!A:T,16,FALSE)</f>
        <v>JPY</v>
      </c>
      <c r="L3212" s="4">
        <v>44663</v>
      </c>
      <c r="M3212" s="140">
        <v>4</v>
      </c>
      <c r="P3212" s="4" t="str">
        <f>VLOOKUP(H3212,Stock_list!A:Y,25,FALSE)</f>
        <v>Yes</v>
      </c>
      <c r="Q3212" s="143"/>
      <c r="T3212" s="144"/>
      <c r="U3212" s="145" t="str">
        <f>VLOOKUP(H3212,Stock_list!A:N,14,FALSE)</f>
        <v>MAR 22</v>
      </c>
    </row>
    <row r="3213" spans="1:21" ht="16.5" customHeight="1">
      <c r="A3213" s="159" t="s">
        <v>2749</v>
      </c>
      <c r="B3213" s="114" t="str">
        <f>VLOOKUP(A3213,'Data pick slip'!B:F,5,FALSE)</f>
        <v>KHJ-MC500-00</v>
      </c>
      <c r="F3213" s="157" t="s">
        <v>1381</v>
      </c>
      <c r="H3213" s="138">
        <v>1487</v>
      </c>
      <c r="I3213" s="139" t="str">
        <f>VLOOKUP(H3213,Stock_list!A:R,18,FALSE)</f>
        <v>英拓邦（End user:深圳傲尔）</v>
      </c>
      <c r="J3213" s="139" t="str">
        <f>VLOOKUP(H3213,Stock_list!A:S,17,FALSE)</f>
        <v>C49SZX20210200JY</v>
      </c>
      <c r="K3213" s="51" t="str">
        <f>VLOOKUP(H3213,Stock_list!A:T,16,FALSE)</f>
        <v>JPY</v>
      </c>
      <c r="L3213" s="4">
        <v>44663</v>
      </c>
      <c r="M3213" s="140">
        <v>2</v>
      </c>
      <c r="P3213" s="4" t="str">
        <f>VLOOKUP(H3213,Stock_list!A:Y,25,FALSE)</f>
        <v>Yes</v>
      </c>
      <c r="Q3213" s="143"/>
      <c r="T3213" s="144"/>
      <c r="U3213" s="145" t="str">
        <f>VLOOKUP(H3213,Stock_list!A:N,14,FALSE)</f>
        <v>MAR 22</v>
      </c>
    </row>
    <row r="3214" spans="1:21" ht="16.5" customHeight="1">
      <c r="A3214" s="159" t="s">
        <v>2750</v>
      </c>
      <c r="B3214" s="114" t="str">
        <f>VLOOKUP(A3214,'Data pick slip'!B:F,5,FALSE)</f>
        <v>KHJ-MC600-00</v>
      </c>
      <c r="F3214" s="157" t="s">
        <v>1381</v>
      </c>
      <c r="H3214" s="138">
        <v>1487</v>
      </c>
      <c r="I3214" s="139" t="str">
        <f>VLOOKUP(H3214,Stock_list!A:R,18,FALSE)</f>
        <v>英拓邦（End user:深圳傲尔）</v>
      </c>
      <c r="J3214" s="139" t="str">
        <f>VLOOKUP(H3214,Stock_list!A:S,17,FALSE)</f>
        <v>C49SZX20210200JY</v>
      </c>
      <c r="K3214" s="51" t="str">
        <f>VLOOKUP(H3214,Stock_list!A:T,16,FALSE)</f>
        <v>JPY</v>
      </c>
      <c r="L3214" s="4">
        <v>44663</v>
      </c>
      <c r="M3214" s="140">
        <v>1</v>
      </c>
      <c r="P3214" s="4" t="str">
        <f>VLOOKUP(H3214,Stock_list!A:Y,25,FALSE)</f>
        <v>Yes</v>
      </c>
      <c r="Q3214" s="143"/>
      <c r="T3214" s="144"/>
      <c r="U3214" s="145" t="str">
        <f>VLOOKUP(H3214,Stock_list!A:N,14,FALSE)</f>
        <v>MAR 22</v>
      </c>
    </row>
    <row r="3215" spans="1:21" ht="16.5" customHeight="1">
      <c r="A3215" s="159" t="s">
        <v>2768</v>
      </c>
      <c r="B3215" s="114" t="str">
        <f>VLOOKUP(A3215,'Data pick slip'!B:F,5,FALSE)</f>
        <v>KHJ-MC100-00</v>
      </c>
      <c r="F3215" s="157" t="s">
        <v>1381</v>
      </c>
      <c r="H3215" s="138">
        <v>1487</v>
      </c>
      <c r="I3215" s="139" t="str">
        <f>VLOOKUP(H3215,Stock_list!A:R,18,FALSE)</f>
        <v>英拓邦（End user:深圳傲尔）</v>
      </c>
      <c r="J3215" s="139" t="str">
        <f>VLOOKUP(H3215,Stock_list!A:S,17,FALSE)</f>
        <v>C49SZX20210200JY</v>
      </c>
      <c r="K3215" s="51" t="str">
        <f>VLOOKUP(H3215,Stock_list!A:T,16,FALSE)</f>
        <v>JPY</v>
      </c>
      <c r="L3215" s="4">
        <v>44642</v>
      </c>
      <c r="M3215" s="140">
        <v>97</v>
      </c>
      <c r="P3215" s="4" t="str">
        <f>VLOOKUP(H3215,Stock_list!A:Y,25,FALSE)</f>
        <v>Yes</v>
      </c>
      <c r="Q3215" s="143"/>
      <c r="T3215" s="144"/>
      <c r="U3215" s="145" t="str">
        <f>VLOOKUP(H3215,Stock_list!A:N,14,FALSE)</f>
        <v>MAR 22</v>
      </c>
    </row>
    <row r="3216" spans="1:21" ht="16.5" customHeight="1">
      <c r="A3216" s="159" t="s">
        <v>2747</v>
      </c>
      <c r="B3216" s="114" t="str">
        <f>VLOOKUP(A3216,'Data pick slip'!B:F,5,FALSE)</f>
        <v>KHJ-MC200-00</v>
      </c>
      <c r="F3216" s="157" t="s">
        <v>1381</v>
      </c>
      <c r="H3216" s="138">
        <v>1487</v>
      </c>
      <c r="I3216" s="139" t="str">
        <f>VLOOKUP(H3216,Stock_list!A:R,18,FALSE)</f>
        <v>英拓邦（End user:深圳傲尔）</v>
      </c>
      <c r="J3216" s="139" t="str">
        <f>VLOOKUP(H3216,Stock_list!A:S,17,FALSE)</f>
        <v>C49SZX20210200JY</v>
      </c>
      <c r="K3216" s="51" t="str">
        <f>VLOOKUP(H3216,Stock_list!A:T,16,FALSE)</f>
        <v>JPY</v>
      </c>
      <c r="L3216" s="4">
        <v>44642</v>
      </c>
      <c r="M3216" s="140">
        <v>8</v>
      </c>
      <c r="P3216" s="4" t="str">
        <f>VLOOKUP(H3216,Stock_list!A:Y,25,FALSE)</f>
        <v>Yes</v>
      </c>
      <c r="Q3216" s="143"/>
      <c r="T3216" s="144"/>
      <c r="U3216" s="145" t="str">
        <f>VLOOKUP(H3216,Stock_list!A:N,14,FALSE)</f>
        <v>MAR 22</v>
      </c>
    </row>
    <row r="3217" spans="1:21" ht="16.5" customHeight="1">
      <c r="A3217" s="159" t="s">
        <v>2748</v>
      </c>
      <c r="B3217" s="114" t="str">
        <f>VLOOKUP(A3217,'Data pick slip'!B:F,5,FALSE)</f>
        <v>KHJ-MC400-00</v>
      </c>
      <c r="F3217" s="157" t="s">
        <v>1381</v>
      </c>
      <c r="H3217" s="138">
        <v>1487</v>
      </c>
      <c r="I3217" s="139" t="str">
        <f>VLOOKUP(H3217,Stock_list!A:R,18,FALSE)</f>
        <v>英拓邦（End user:深圳傲尔）</v>
      </c>
      <c r="J3217" s="139" t="str">
        <f>VLOOKUP(H3217,Stock_list!A:S,17,FALSE)</f>
        <v>C49SZX20210200JY</v>
      </c>
      <c r="K3217" s="51" t="str">
        <f>VLOOKUP(H3217,Stock_list!A:T,16,FALSE)</f>
        <v>JPY</v>
      </c>
      <c r="L3217" s="4">
        <v>44642</v>
      </c>
      <c r="M3217" s="140">
        <v>2</v>
      </c>
      <c r="P3217" s="4" t="str">
        <f>VLOOKUP(H3217,Stock_list!A:Y,25,FALSE)</f>
        <v>Yes</v>
      </c>
      <c r="Q3217" s="143"/>
      <c r="T3217" s="144"/>
      <c r="U3217" s="145" t="str">
        <f>VLOOKUP(H3217,Stock_list!A:N,14,FALSE)</f>
        <v>MAR 22</v>
      </c>
    </row>
    <row r="3218" spans="1:21" ht="16.5" customHeight="1">
      <c r="A3218" s="159" t="s">
        <v>2768</v>
      </c>
      <c r="B3218" s="114" t="str">
        <f>VLOOKUP(A3218,'Data pick slip'!B:F,5,FALSE)</f>
        <v>KHJ-MC100-00</v>
      </c>
      <c r="F3218" s="157" t="s">
        <v>1381</v>
      </c>
      <c r="H3218" s="138">
        <v>1455</v>
      </c>
      <c r="I3218" s="139" t="str">
        <f>VLOOKUP(H3218,Stock_list!A:R,18,FALSE)</f>
        <v>新明海</v>
      </c>
      <c r="J3218" s="139" t="str">
        <f>VLOOKUP(H3218,Stock_list!A:S,17,FALSE)</f>
        <v>C49SZX20210160EC</v>
      </c>
      <c r="K3218" s="51" t="str">
        <f>VLOOKUP(H3218,Stock_list!A:T,16,FALSE)</f>
        <v>JPY</v>
      </c>
      <c r="L3218" s="4">
        <v>44498</v>
      </c>
      <c r="M3218" s="140">
        <v>60</v>
      </c>
      <c r="P3218" s="4" t="str">
        <f>VLOOKUP(H3218,Stock_list!A:Y,25,FALSE)</f>
        <v>Yes</v>
      </c>
      <c r="Q3218" s="143"/>
      <c r="T3218" s="144"/>
      <c r="U3218" s="145" t="str">
        <f>VLOOKUP(H3218,Stock_list!A:N,14,FALSE)</f>
        <v>OCT 21</v>
      </c>
    </row>
    <row r="3219" spans="1:21" ht="16.5" customHeight="1">
      <c r="A3219" s="159" t="s">
        <v>2747</v>
      </c>
      <c r="B3219" s="114" t="str">
        <f>VLOOKUP(A3219,'Data pick slip'!B:F,5,FALSE)</f>
        <v>KHJ-MC200-00</v>
      </c>
      <c r="F3219" s="157" t="s">
        <v>1381</v>
      </c>
      <c r="H3219" s="138">
        <v>1455</v>
      </c>
      <c r="I3219" s="139" t="str">
        <f>VLOOKUP(H3219,Stock_list!A:R,18,FALSE)</f>
        <v>新明海</v>
      </c>
      <c r="J3219" s="139" t="str">
        <f>VLOOKUP(H3219,Stock_list!A:S,17,FALSE)</f>
        <v>C49SZX20210160EC</v>
      </c>
      <c r="K3219" s="51" t="str">
        <f>VLOOKUP(H3219,Stock_list!A:T,16,FALSE)</f>
        <v>JPY</v>
      </c>
      <c r="L3219" s="4">
        <v>44498</v>
      </c>
      <c r="M3219" s="140">
        <v>10</v>
      </c>
      <c r="P3219" s="4" t="str">
        <f>VLOOKUP(H3219,Stock_list!A:Y,25,FALSE)</f>
        <v>Yes</v>
      </c>
      <c r="Q3219" s="143"/>
      <c r="T3219" s="144"/>
      <c r="U3219" s="145" t="str">
        <f>VLOOKUP(H3219,Stock_list!A:N,14,FALSE)</f>
        <v>OCT 21</v>
      </c>
    </row>
    <row r="3220" spans="1:21" ht="16.5" customHeight="1">
      <c r="A3220" s="159" t="s">
        <v>2748</v>
      </c>
      <c r="B3220" s="114" t="str">
        <f>VLOOKUP(A3220,'Data pick slip'!B:F,5,FALSE)</f>
        <v>KHJ-MC400-00</v>
      </c>
      <c r="F3220" s="157" t="s">
        <v>1381</v>
      </c>
      <c r="H3220" s="138">
        <v>1455</v>
      </c>
      <c r="I3220" s="139" t="str">
        <f>VLOOKUP(H3220,Stock_list!A:R,18,FALSE)</f>
        <v>新明海</v>
      </c>
      <c r="J3220" s="139" t="str">
        <f>VLOOKUP(H3220,Stock_list!A:S,17,FALSE)</f>
        <v>C49SZX20210160EC</v>
      </c>
      <c r="K3220" s="51" t="str">
        <f>VLOOKUP(H3220,Stock_list!A:T,16,FALSE)</f>
        <v>JPY</v>
      </c>
      <c r="L3220" s="4">
        <v>44498</v>
      </c>
      <c r="M3220" s="140">
        <v>10</v>
      </c>
      <c r="N3220" s="132" t="s">
        <v>3480</v>
      </c>
      <c r="P3220" s="4" t="str">
        <f>VLOOKUP(H3220,Stock_list!A:Y,25,FALSE)</f>
        <v>Yes</v>
      </c>
      <c r="Q3220" s="143"/>
      <c r="T3220" s="144"/>
      <c r="U3220" s="145" t="str">
        <f>VLOOKUP(H3220,Stock_list!A:N,14,FALSE)</f>
        <v>OCT 21</v>
      </c>
    </row>
    <row r="3221" spans="1:21" ht="16.5" customHeight="1">
      <c r="A3221" s="159" t="s">
        <v>2768</v>
      </c>
      <c r="B3221" s="114" t="str">
        <f>VLOOKUP(A3221,'Data pick slip'!B:F,5,FALSE)</f>
        <v>KHJ-MC100-00</v>
      </c>
      <c r="F3221" s="157" t="s">
        <v>1381</v>
      </c>
      <c r="H3221" s="138">
        <v>1455</v>
      </c>
      <c r="I3221" s="139" t="str">
        <f>VLOOKUP(H3221,Stock_list!A:R,18,FALSE)</f>
        <v>新明海</v>
      </c>
      <c r="J3221" s="139" t="str">
        <f>VLOOKUP(H3221,Stock_list!A:S,17,FALSE)</f>
        <v>C49SZX20210160EC</v>
      </c>
      <c r="K3221" s="51" t="str">
        <f>VLOOKUP(H3221,Stock_list!A:T,16,FALSE)</f>
        <v>JPY</v>
      </c>
      <c r="L3221" s="4">
        <v>44531</v>
      </c>
      <c r="M3221" s="132">
        <v>140</v>
      </c>
      <c r="P3221" s="4" t="str">
        <f>VLOOKUP(H3221,Stock_list!A:Y,25,FALSE)</f>
        <v>Yes</v>
      </c>
      <c r="Q3221" s="143"/>
      <c r="T3221" s="144"/>
      <c r="U3221" s="145" t="str">
        <f>VLOOKUP(H3221,Stock_list!A:N,14,FALSE)</f>
        <v>OCT 21</v>
      </c>
    </row>
    <row r="3222" spans="1:21" ht="16.5" customHeight="1">
      <c r="A3222" s="159" t="s">
        <v>2747</v>
      </c>
      <c r="B3222" s="114" t="str">
        <f>VLOOKUP(A3222,'Data pick slip'!B:F,5,FALSE)</f>
        <v>KHJ-MC200-00</v>
      </c>
      <c r="F3222" s="157" t="s">
        <v>1381</v>
      </c>
      <c r="H3222" s="138">
        <v>1455</v>
      </c>
      <c r="I3222" s="139" t="str">
        <f>VLOOKUP(H3222,Stock_list!A:R,18,FALSE)</f>
        <v>新明海</v>
      </c>
      <c r="J3222" s="139" t="str">
        <f>VLOOKUP(H3222,Stock_list!A:S,17,FALSE)</f>
        <v>C49SZX20210160EC</v>
      </c>
      <c r="K3222" s="51" t="str">
        <f>VLOOKUP(H3222,Stock_list!A:T,16,FALSE)</f>
        <v>JPY</v>
      </c>
      <c r="L3222" s="4">
        <v>44531</v>
      </c>
      <c r="M3222" s="132">
        <v>20</v>
      </c>
      <c r="P3222" s="4" t="str">
        <f>VLOOKUP(H3222,Stock_list!A:Y,25,FALSE)</f>
        <v>Yes</v>
      </c>
      <c r="Q3222" s="143"/>
      <c r="T3222" s="144"/>
      <c r="U3222" s="145" t="str">
        <f>VLOOKUP(H3222,Stock_list!A:N,14,FALSE)</f>
        <v>OCT 21</v>
      </c>
    </row>
    <row r="3223" spans="1:21" ht="16.5" customHeight="1">
      <c r="A3223" s="159" t="s">
        <v>2748</v>
      </c>
      <c r="B3223" s="114" t="str">
        <f>VLOOKUP(A3223,'Data pick slip'!B:F,5,FALSE)</f>
        <v>KHJ-MC400-00</v>
      </c>
      <c r="F3223" s="157" t="s">
        <v>1381</v>
      </c>
      <c r="H3223" s="138">
        <v>1455</v>
      </c>
      <c r="I3223" s="139" t="str">
        <f>VLOOKUP(H3223,Stock_list!A:R,18,FALSE)</f>
        <v>新明海</v>
      </c>
      <c r="J3223" s="139" t="str">
        <f>VLOOKUP(H3223,Stock_list!A:S,17,FALSE)</f>
        <v>C49SZX20210160EC</v>
      </c>
      <c r="K3223" s="51" t="str">
        <f>VLOOKUP(H3223,Stock_list!A:T,16,FALSE)</f>
        <v>JPY</v>
      </c>
      <c r="L3223" s="4">
        <v>44531</v>
      </c>
      <c r="M3223" s="132">
        <v>10</v>
      </c>
      <c r="P3223" s="4" t="str">
        <f>VLOOKUP(H3223,Stock_list!A:Y,25,FALSE)</f>
        <v>Yes</v>
      </c>
      <c r="Q3223" s="143"/>
      <c r="T3223" s="144"/>
      <c r="U3223" s="145" t="str">
        <f>VLOOKUP(H3223,Stock_list!A:N,14,FALSE)</f>
        <v>OCT 21</v>
      </c>
    </row>
    <row r="3224" spans="1:21" ht="16.5" customHeight="1">
      <c r="A3224" s="159" t="s">
        <v>2768</v>
      </c>
      <c r="B3224" s="114" t="str">
        <f>VLOOKUP(A3224,'Data pick slip'!B:F,5,FALSE)</f>
        <v>KHJ-MC100-00</v>
      </c>
      <c r="F3224" s="157" t="s">
        <v>1381</v>
      </c>
      <c r="H3224" s="138">
        <v>1492</v>
      </c>
      <c r="I3224" s="139" t="str">
        <f>VLOOKUP(H3224,Stock_list!A:R,18,FALSE)</f>
        <v>旭协（End user 驰电）</v>
      </c>
      <c r="J3224" s="139" t="str">
        <f>VLOOKUP(H3224,Stock_list!A:S,17,FALSE)</f>
        <v>C49SZX20210194SQ</v>
      </c>
      <c r="K3224" s="51" t="str">
        <f>VLOOKUP(H3224,Stock_list!A:T,16,FALSE)</f>
        <v>JPY</v>
      </c>
      <c r="L3224" s="4">
        <v>44662</v>
      </c>
      <c r="M3224" s="140">
        <v>40</v>
      </c>
      <c r="N3224" s="143"/>
      <c r="P3224" s="4" t="str">
        <f>VLOOKUP(H3224,Stock_list!A:Y,25,FALSE)</f>
        <v>Yes</v>
      </c>
      <c r="T3224" s="144"/>
      <c r="U3224" s="145" t="str">
        <f>VLOOKUP(H3224,Stock_list!A:N,14,FALSE)</f>
        <v>APR 22</v>
      </c>
    </row>
    <row r="3225" spans="1:21" ht="16.5" customHeight="1">
      <c r="A3225" s="159" t="s">
        <v>2747</v>
      </c>
      <c r="B3225" s="114" t="str">
        <f>VLOOKUP(A3225,'Data pick slip'!B:F,5,FALSE)</f>
        <v>KHJ-MC200-00</v>
      </c>
      <c r="F3225" s="157" t="s">
        <v>1381</v>
      </c>
      <c r="H3225" s="138">
        <v>1492</v>
      </c>
      <c r="I3225" s="139" t="str">
        <f>VLOOKUP(H3225,Stock_list!A:R,18,FALSE)</f>
        <v>旭协（End user 驰电）</v>
      </c>
      <c r="J3225" s="139" t="str">
        <f>VLOOKUP(H3225,Stock_list!A:S,17,FALSE)</f>
        <v>C49SZX20210194SQ</v>
      </c>
      <c r="K3225" s="51" t="str">
        <f>VLOOKUP(H3225,Stock_list!A:T,16,FALSE)</f>
        <v>JPY</v>
      </c>
      <c r="L3225" s="4">
        <v>44662</v>
      </c>
      <c r="M3225" s="140">
        <v>1</v>
      </c>
      <c r="N3225" s="143"/>
      <c r="P3225" s="4" t="str">
        <f>VLOOKUP(H3225,Stock_list!A:Y,25,FALSE)</f>
        <v>Yes</v>
      </c>
      <c r="T3225" s="144"/>
      <c r="U3225" s="145" t="str">
        <f>VLOOKUP(H3225,Stock_list!A:N,14,FALSE)</f>
        <v>APR 22</v>
      </c>
    </row>
    <row r="3226" spans="1:21" ht="16.5" customHeight="1">
      <c r="A3226" s="159" t="s">
        <v>2748</v>
      </c>
      <c r="B3226" s="114" t="str">
        <f>VLOOKUP(A3226,'Data pick slip'!B:F,5,FALSE)</f>
        <v>KHJ-MC400-00</v>
      </c>
      <c r="F3226" s="157" t="s">
        <v>1381</v>
      </c>
      <c r="H3226" s="138">
        <v>1492</v>
      </c>
      <c r="I3226" s="139" t="str">
        <f>VLOOKUP(H3226,Stock_list!A:R,18,FALSE)</f>
        <v>旭协（End user 驰电）</v>
      </c>
      <c r="J3226" s="139" t="str">
        <f>VLOOKUP(H3226,Stock_list!A:S,17,FALSE)</f>
        <v>C49SZX20210194SQ</v>
      </c>
      <c r="K3226" s="51" t="str">
        <f>VLOOKUP(H3226,Stock_list!A:T,16,FALSE)</f>
        <v>JPY</v>
      </c>
      <c r="L3226" s="4">
        <v>44662</v>
      </c>
      <c r="M3226" s="140">
        <v>1</v>
      </c>
      <c r="N3226" s="143"/>
      <c r="P3226" s="4" t="str">
        <f>VLOOKUP(H3226,Stock_list!A:Y,25,FALSE)</f>
        <v>Yes</v>
      </c>
      <c r="T3226" s="144"/>
      <c r="U3226" s="145" t="str">
        <f>VLOOKUP(H3226,Stock_list!A:N,14,FALSE)</f>
        <v>APR 22</v>
      </c>
    </row>
    <row r="3227" spans="1:21" ht="16.5" customHeight="1">
      <c r="A3227" s="159" t="s">
        <v>2749</v>
      </c>
      <c r="B3227" s="114" t="str">
        <f>VLOOKUP(A3227,'Data pick slip'!B:F,5,FALSE)</f>
        <v>KHJ-MC500-00</v>
      </c>
      <c r="F3227" s="157" t="s">
        <v>1381</v>
      </c>
      <c r="H3227" s="138">
        <v>1492</v>
      </c>
      <c r="I3227" s="139" t="str">
        <f>VLOOKUP(H3227,Stock_list!A:R,18,FALSE)</f>
        <v>旭协（End user 驰电）</v>
      </c>
      <c r="J3227" s="139" t="str">
        <f>VLOOKUP(H3227,Stock_list!A:S,17,FALSE)</f>
        <v>C49SZX20210194SQ</v>
      </c>
      <c r="K3227" s="51" t="str">
        <f>VLOOKUP(H3227,Stock_list!A:T,16,FALSE)</f>
        <v>JPY</v>
      </c>
      <c r="L3227" s="4">
        <v>44662</v>
      </c>
      <c r="M3227" s="140">
        <v>1</v>
      </c>
      <c r="N3227" s="143"/>
      <c r="P3227" s="4" t="str">
        <f>VLOOKUP(H3227,Stock_list!A:Y,25,FALSE)</f>
        <v>Yes</v>
      </c>
      <c r="T3227" s="144"/>
      <c r="U3227" s="145" t="str">
        <f>VLOOKUP(H3227,Stock_list!A:N,14,FALSE)</f>
        <v>APR 22</v>
      </c>
    </row>
    <row r="3228" spans="1:21" ht="16.5" customHeight="1">
      <c r="A3228" s="159" t="s">
        <v>2768</v>
      </c>
      <c r="B3228" s="114" t="str">
        <f>VLOOKUP(A3228,'Data pick slip'!B:F,5,FALSE)</f>
        <v>KHJ-MC100-00</v>
      </c>
      <c r="F3228" s="157" t="s">
        <v>2753</v>
      </c>
      <c r="H3228" s="138">
        <v>1492</v>
      </c>
      <c r="I3228" s="139" t="str">
        <f>VLOOKUP(H3228,Stock_list!A:R,18,FALSE)</f>
        <v>旭协（End user 驰电）</v>
      </c>
      <c r="J3228" s="139" t="str">
        <f>VLOOKUP(H3228,Stock_list!A:S,17,FALSE)</f>
        <v>C49SZX20210194SQ</v>
      </c>
      <c r="K3228" s="51" t="str">
        <f>VLOOKUP(H3228,Stock_list!A:T,16,FALSE)</f>
        <v>JPY</v>
      </c>
      <c r="L3228" s="4">
        <v>44509</v>
      </c>
      <c r="N3228" s="143"/>
      <c r="O3228" s="132">
        <f>30-30</f>
        <v>0</v>
      </c>
      <c r="P3228" s="4" t="str">
        <f>VLOOKUP(H3228,Stock_list!A:Y,25,FALSE)</f>
        <v>Yes</v>
      </c>
      <c r="T3228" s="144"/>
      <c r="U3228" s="145" t="str">
        <f>VLOOKUP(H3228,Stock_list!A:N,14,FALSE)</f>
        <v>APR 22</v>
      </c>
    </row>
    <row r="3229" spans="1:21" ht="16.5" customHeight="1">
      <c r="A3229" s="159" t="s">
        <v>2747</v>
      </c>
      <c r="B3229" s="114" t="str">
        <f>VLOOKUP(A3229,'Data pick slip'!B:F,5,FALSE)</f>
        <v>KHJ-MC200-00</v>
      </c>
      <c r="F3229" s="157" t="s">
        <v>2753</v>
      </c>
      <c r="H3229" s="138">
        <v>1492</v>
      </c>
      <c r="I3229" s="139" t="str">
        <f>VLOOKUP(H3229,Stock_list!A:R,18,FALSE)</f>
        <v>旭协（End user 驰电）</v>
      </c>
      <c r="J3229" s="139" t="str">
        <f>VLOOKUP(H3229,Stock_list!A:S,17,FALSE)</f>
        <v>C49SZX20210194SQ</v>
      </c>
      <c r="K3229" s="51" t="str">
        <f>VLOOKUP(H3229,Stock_list!A:T,16,FALSE)</f>
        <v>JPY</v>
      </c>
      <c r="L3229" s="4">
        <v>44509</v>
      </c>
      <c r="N3229" s="143"/>
      <c r="O3229" s="132">
        <f>1-1</f>
        <v>0</v>
      </c>
      <c r="P3229" s="4" t="str">
        <f>VLOOKUP(H3229,Stock_list!A:Y,25,FALSE)</f>
        <v>Yes</v>
      </c>
      <c r="T3229" s="144"/>
      <c r="U3229" s="145" t="str">
        <f>VLOOKUP(H3229,Stock_list!A:N,14,FALSE)</f>
        <v>APR 22</v>
      </c>
    </row>
    <row r="3230" spans="1:21" ht="16.5" customHeight="1">
      <c r="A3230" s="159" t="s">
        <v>2748</v>
      </c>
      <c r="B3230" s="114" t="str">
        <f>VLOOKUP(A3230,'Data pick slip'!B:F,5,FALSE)</f>
        <v>KHJ-MC400-00</v>
      </c>
      <c r="F3230" s="157" t="s">
        <v>2753</v>
      </c>
      <c r="H3230" s="138">
        <v>1492</v>
      </c>
      <c r="I3230" s="139" t="str">
        <f>VLOOKUP(H3230,Stock_list!A:R,18,FALSE)</f>
        <v>旭协（End user 驰电）</v>
      </c>
      <c r="J3230" s="139" t="str">
        <f>VLOOKUP(H3230,Stock_list!A:S,17,FALSE)</f>
        <v>C49SZX20210194SQ</v>
      </c>
      <c r="K3230" s="51" t="str">
        <f>VLOOKUP(H3230,Stock_list!A:T,16,FALSE)</f>
        <v>JPY</v>
      </c>
      <c r="L3230" s="4">
        <v>44509</v>
      </c>
      <c r="N3230" s="143"/>
      <c r="O3230" s="132">
        <f>1-1</f>
        <v>0</v>
      </c>
      <c r="P3230" s="4" t="str">
        <f>VLOOKUP(H3230,Stock_list!A:Y,25,FALSE)</f>
        <v>Yes</v>
      </c>
      <c r="T3230" s="144"/>
      <c r="U3230" s="145" t="str">
        <f>VLOOKUP(H3230,Stock_list!A:N,14,FALSE)</f>
        <v>APR 22</v>
      </c>
    </row>
    <row r="3231" spans="1:21" ht="16.5" customHeight="1">
      <c r="A3231" s="159" t="s">
        <v>2749</v>
      </c>
      <c r="B3231" s="114" t="str">
        <f>VLOOKUP(A3231,'Data pick slip'!B:F,5,FALSE)</f>
        <v>KHJ-MC500-00</v>
      </c>
      <c r="F3231" s="157" t="s">
        <v>2753</v>
      </c>
      <c r="H3231" s="138">
        <v>1492</v>
      </c>
      <c r="I3231" s="139" t="str">
        <f>VLOOKUP(H3231,Stock_list!A:R,18,FALSE)</f>
        <v>旭协（End user 驰电）</v>
      </c>
      <c r="J3231" s="139" t="str">
        <f>VLOOKUP(H3231,Stock_list!A:S,17,FALSE)</f>
        <v>C49SZX20210194SQ</v>
      </c>
      <c r="K3231" s="51" t="str">
        <f>VLOOKUP(H3231,Stock_list!A:T,16,FALSE)</f>
        <v>JPY</v>
      </c>
      <c r="L3231" s="4">
        <v>44509</v>
      </c>
      <c r="N3231" s="143"/>
      <c r="O3231" s="132">
        <f>1-1</f>
        <v>0</v>
      </c>
      <c r="P3231" s="4" t="str">
        <f>VLOOKUP(H3231,Stock_list!A:Y,25,FALSE)</f>
        <v>Yes</v>
      </c>
      <c r="T3231" s="144"/>
      <c r="U3231" s="145" t="str">
        <f>VLOOKUP(H3231,Stock_list!A:N,14,FALSE)</f>
        <v>APR 22</v>
      </c>
    </row>
    <row r="3232" spans="1:21" ht="16.5" customHeight="1">
      <c r="A3232" s="159" t="s">
        <v>2744</v>
      </c>
      <c r="B3232" s="114" t="str">
        <f>VLOOKUP(A3232,'Data pick slip'!B:F,5,FALSE)</f>
        <v>KHJ-MC100-00</v>
      </c>
      <c r="F3232" s="157" t="s">
        <v>2753</v>
      </c>
      <c r="I3232" s="139" t="s">
        <v>3094</v>
      </c>
      <c r="J3232" s="267" t="s">
        <v>3481</v>
      </c>
      <c r="K3232" s="51" t="s">
        <v>1246</v>
      </c>
      <c r="L3232" s="4">
        <v>44496</v>
      </c>
      <c r="M3232" s="140">
        <v>20</v>
      </c>
      <c r="P3232" s="4" t="s">
        <v>291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2747</v>
      </c>
      <c r="B3233" s="114" t="str">
        <f>VLOOKUP(A3233,'Data pick slip'!B:F,5,FALSE)</f>
        <v>KHJ-MC200-00</v>
      </c>
      <c r="F3233" s="157" t="s">
        <v>2753</v>
      </c>
      <c r="I3233" s="139" t="s">
        <v>3094</v>
      </c>
      <c r="J3233" s="267" t="s">
        <v>3481</v>
      </c>
      <c r="K3233" s="51" t="s">
        <v>1246</v>
      </c>
      <c r="L3233" s="4">
        <v>44496</v>
      </c>
      <c r="M3233" s="140">
        <v>10</v>
      </c>
      <c r="P3233" s="4" t="s">
        <v>291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2750</v>
      </c>
      <c r="B3234" s="114" t="str">
        <f>VLOOKUP(A3234,'Data pick slip'!B:F,5,FALSE)</f>
        <v>KHJ-MC600-00</v>
      </c>
      <c r="F3234" s="157" t="s">
        <v>2753</v>
      </c>
      <c r="I3234" s="139" t="s">
        <v>3094</v>
      </c>
      <c r="J3234" s="267" t="s">
        <v>3481</v>
      </c>
      <c r="K3234" s="51" t="s">
        <v>1246</v>
      </c>
      <c r="L3234" s="4">
        <v>44496</v>
      </c>
      <c r="M3234" s="140">
        <v>1</v>
      </c>
      <c r="P3234" s="4" t="s">
        <v>291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2747</v>
      </c>
      <c r="B3235" s="114" t="str">
        <f>VLOOKUP(A3235,'Data pick slip'!B:F,5,FALSE)</f>
        <v>KHJ-MC200-00</v>
      </c>
      <c r="F3235" s="157" t="s">
        <v>2753</v>
      </c>
      <c r="I3235" s="139" t="s">
        <v>3094</v>
      </c>
      <c r="J3235" s="270" t="s">
        <v>3482</v>
      </c>
      <c r="K3235" s="51" t="s">
        <v>1246</v>
      </c>
      <c r="L3235" s="4">
        <v>44497</v>
      </c>
      <c r="M3235" s="140">
        <v>1</v>
      </c>
      <c r="P3235" s="4" t="s">
        <v>291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2748</v>
      </c>
      <c r="B3236" s="114" t="str">
        <f>VLOOKUP(A3236,'Data pick slip'!B:F,5,FALSE)</f>
        <v>KHJ-MC400-00</v>
      </c>
      <c r="F3236" s="157" t="s">
        <v>2753</v>
      </c>
      <c r="I3236" s="139" t="s">
        <v>3094</v>
      </c>
      <c r="J3236" s="267" t="s">
        <v>3483</v>
      </c>
      <c r="K3236" s="51" t="s">
        <v>1246</v>
      </c>
      <c r="L3236" s="4">
        <v>44497</v>
      </c>
      <c r="M3236" s="140">
        <v>2</v>
      </c>
      <c r="P3236" s="4" t="s">
        <v>291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2744</v>
      </c>
      <c r="B3237" s="114" t="str">
        <f>VLOOKUP(A3237,'Data pick slip'!B:F,5,FALSE)</f>
        <v>KHJ-MC100-00</v>
      </c>
      <c r="F3237" s="157" t="s">
        <v>1381</v>
      </c>
      <c r="I3237" s="139" t="s">
        <v>3016</v>
      </c>
      <c r="J3237" s="139" t="s">
        <v>3484</v>
      </c>
      <c r="K3237" s="51" t="s">
        <v>1246</v>
      </c>
      <c r="L3237" s="4">
        <v>44509</v>
      </c>
      <c r="M3237" s="308">
        <v>48</v>
      </c>
      <c r="P3237" s="4" t="s">
        <v>291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2747</v>
      </c>
      <c r="B3238" s="114" t="str">
        <f>VLOOKUP(A3238,'Data pick slip'!B:F,5,FALSE)</f>
        <v>KHJ-MC200-00</v>
      </c>
      <c r="F3238" s="157" t="s">
        <v>1381</v>
      </c>
      <c r="I3238" s="139" t="s">
        <v>3016</v>
      </c>
      <c r="J3238" s="139" t="s">
        <v>3484</v>
      </c>
      <c r="K3238" s="51" t="s">
        <v>1246</v>
      </c>
      <c r="L3238" s="4">
        <v>44509</v>
      </c>
      <c r="M3238" s="308">
        <v>10</v>
      </c>
      <c r="P3238" s="4" t="s">
        <v>291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2748</v>
      </c>
      <c r="B3239" s="114" t="str">
        <f>VLOOKUP(A3239,'Data pick slip'!B:F,5,FALSE)</f>
        <v>KHJ-MC400-00</v>
      </c>
      <c r="F3239" s="157" t="s">
        <v>1381</v>
      </c>
      <c r="I3239" s="139" t="s">
        <v>3016</v>
      </c>
      <c r="J3239" s="139" t="s">
        <v>3484</v>
      </c>
      <c r="K3239" s="51" t="s">
        <v>1246</v>
      </c>
      <c r="L3239" s="4">
        <v>44509</v>
      </c>
      <c r="M3239" s="308">
        <v>10</v>
      </c>
      <c r="P3239" s="4" t="s">
        <v>291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2749</v>
      </c>
      <c r="B3240" s="114" t="str">
        <f>VLOOKUP(A3240,'Data pick slip'!B:F,5,FALSE)</f>
        <v>KHJ-MC500-00</v>
      </c>
      <c r="F3240" s="157" t="s">
        <v>1381</v>
      </c>
      <c r="I3240" s="139" t="s">
        <v>3016</v>
      </c>
      <c r="J3240" s="139" t="s">
        <v>3484</v>
      </c>
      <c r="K3240" s="51" t="s">
        <v>1246</v>
      </c>
      <c r="L3240" s="4">
        <v>44509</v>
      </c>
      <c r="M3240" s="308">
        <v>5</v>
      </c>
      <c r="P3240" s="4" t="s">
        <v>291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2750</v>
      </c>
      <c r="B3241" s="114" t="str">
        <f>VLOOKUP(A3241,'Data pick slip'!B:F,5,FALSE)</f>
        <v>KHJ-MC600-00</v>
      </c>
      <c r="F3241" s="157" t="s">
        <v>1381</v>
      </c>
      <c r="I3241" s="139" t="s">
        <v>3016</v>
      </c>
      <c r="J3241" s="139" t="s">
        <v>3484</v>
      </c>
      <c r="K3241" s="51" t="s">
        <v>1246</v>
      </c>
      <c r="L3241" s="4">
        <v>44509</v>
      </c>
      <c r="M3241" s="308">
        <v>9</v>
      </c>
      <c r="P3241" s="4" t="s">
        <v>291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2751</v>
      </c>
      <c r="B3242" s="114" t="str">
        <f>VLOOKUP(A3242,'Data pick slip'!B:F,5,FALSE)</f>
        <v>KHJ-MC700-00</v>
      </c>
      <c r="F3242" s="157" t="s">
        <v>1381</v>
      </c>
      <c r="I3242" s="139" t="s">
        <v>3016</v>
      </c>
      <c r="J3242" s="139" t="s">
        <v>3484</v>
      </c>
      <c r="K3242" s="51" t="s">
        <v>1246</v>
      </c>
      <c r="L3242" s="4">
        <v>44509</v>
      </c>
      <c r="M3242" s="308">
        <v>1</v>
      </c>
      <c r="P3242" s="4" t="s">
        <v>291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2744</v>
      </c>
      <c r="B3243" s="114" t="str">
        <f>VLOOKUP(A3243,'Data pick slip'!B:F,5,FALSE)</f>
        <v>KHJ-MC100-00</v>
      </c>
      <c r="F3243" s="157" t="s">
        <v>2753</v>
      </c>
      <c r="H3243" s="138">
        <v>1495</v>
      </c>
      <c r="I3243" s="139" t="str">
        <f>VLOOKUP(H3243,Stock_list!A:R,18,FALSE)</f>
        <v>湖北奕宏</v>
      </c>
      <c r="J3243" s="139" t="str">
        <f>VLOOKUP(H3243,Stock_list!A:S,17,FALSE)</f>
        <v>C49SZX20210199R1SX</v>
      </c>
      <c r="K3243" s="51" t="str">
        <f>VLOOKUP(H3243,Stock_list!A:T,16,FALSE)</f>
        <v>RMB</v>
      </c>
      <c r="L3243" s="4">
        <v>44532</v>
      </c>
      <c r="M3243" s="132">
        <v>60</v>
      </c>
      <c r="P3243" s="4" t="str">
        <f>VLOOKUP(H3243,Stock_list!A:Y,25,FALSE)</f>
        <v>Yes</v>
      </c>
      <c r="Q3243" s="143"/>
      <c r="T3243" s="144"/>
      <c r="U3243" s="145" t="str">
        <f>VLOOKUP(H3243,Stock_list!A:N,14,FALSE)</f>
        <v>DEC 21</v>
      </c>
    </row>
    <row r="3244" spans="1:21" ht="16.5" customHeight="1">
      <c r="A3244" s="159" t="s">
        <v>2747</v>
      </c>
      <c r="B3244" s="114" t="str">
        <f>VLOOKUP(A3244,'Data pick slip'!B:F,5,FALSE)</f>
        <v>KHJ-MC200-00</v>
      </c>
      <c r="F3244" s="157" t="s">
        <v>2753</v>
      </c>
      <c r="H3244" s="138">
        <v>1495</v>
      </c>
      <c r="I3244" s="139" t="str">
        <f>VLOOKUP(H3244,Stock_list!A:R,18,FALSE)</f>
        <v>湖北奕宏</v>
      </c>
      <c r="J3244" s="139" t="str">
        <f>VLOOKUP(H3244,Stock_list!A:S,17,FALSE)</f>
        <v>C49SZX20210199R1SX</v>
      </c>
      <c r="K3244" s="51" t="str">
        <f>VLOOKUP(H3244,Stock_list!A:T,16,FALSE)</f>
        <v>RMB</v>
      </c>
      <c r="L3244" s="4">
        <v>44532</v>
      </c>
      <c r="M3244" s="132">
        <v>48</v>
      </c>
      <c r="P3244" s="4" t="str">
        <f>VLOOKUP(H3244,Stock_list!A:Y,25,FALSE)</f>
        <v>Yes</v>
      </c>
      <c r="Q3244" s="143"/>
      <c r="T3244" s="144"/>
      <c r="U3244" s="145" t="str">
        <f>VLOOKUP(H3244,Stock_list!A:N,14,FALSE)</f>
        <v>DEC 21</v>
      </c>
    </row>
    <row r="3245" spans="1:21" ht="16.5" customHeight="1">
      <c r="A3245" s="159" t="s">
        <v>2748</v>
      </c>
      <c r="B3245" s="114" t="str">
        <f>VLOOKUP(A3245,'Data pick slip'!B:F,5,FALSE)</f>
        <v>KHJ-MC400-00</v>
      </c>
      <c r="F3245" s="157" t="s">
        <v>2753</v>
      </c>
      <c r="H3245" s="138">
        <v>1495</v>
      </c>
      <c r="I3245" s="139" t="str">
        <f>VLOOKUP(H3245,Stock_list!A:R,18,FALSE)</f>
        <v>湖北奕宏</v>
      </c>
      <c r="J3245" s="139" t="str">
        <f>VLOOKUP(H3245,Stock_list!A:S,17,FALSE)</f>
        <v>C49SZX20210199R1SX</v>
      </c>
      <c r="K3245" s="51" t="str">
        <f>VLOOKUP(H3245,Stock_list!A:T,16,FALSE)</f>
        <v>RMB</v>
      </c>
      <c r="L3245" s="4">
        <v>44532</v>
      </c>
      <c r="M3245" s="132">
        <v>24</v>
      </c>
      <c r="P3245" s="4" t="str">
        <f>VLOOKUP(H3245,Stock_list!A:Y,25,FALSE)</f>
        <v>Yes</v>
      </c>
      <c r="Q3245" s="143"/>
      <c r="T3245" s="144"/>
      <c r="U3245" s="145" t="str">
        <f>VLOOKUP(H3245,Stock_list!A:N,14,FALSE)</f>
        <v>DEC 21</v>
      </c>
    </row>
    <row r="3246" spans="1:21" ht="16.5" customHeight="1">
      <c r="A3246" s="159" t="s">
        <v>2749</v>
      </c>
      <c r="B3246" s="114" t="str">
        <f>VLOOKUP(A3246,'Data pick slip'!B:F,5,FALSE)</f>
        <v>KHJ-MC500-00</v>
      </c>
      <c r="F3246" s="157" t="s">
        <v>2753</v>
      </c>
      <c r="H3246" s="138">
        <v>1495</v>
      </c>
      <c r="I3246" s="139" t="str">
        <f>VLOOKUP(H3246,Stock_list!A:R,18,FALSE)</f>
        <v>湖北奕宏</v>
      </c>
      <c r="J3246" s="139" t="str">
        <f>VLOOKUP(H3246,Stock_list!A:S,17,FALSE)</f>
        <v>C49SZX20210199R1SX</v>
      </c>
      <c r="K3246" s="51" t="str">
        <f>VLOOKUP(H3246,Stock_list!A:T,16,FALSE)</f>
        <v>RMB</v>
      </c>
      <c r="L3246" s="4">
        <v>44532</v>
      </c>
      <c r="M3246" s="132">
        <v>12</v>
      </c>
      <c r="P3246" s="4" t="str">
        <f>VLOOKUP(H3246,Stock_list!A:Y,25,FALSE)</f>
        <v>Yes</v>
      </c>
      <c r="Q3246" s="143"/>
      <c r="T3246" s="144"/>
      <c r="U3246" s="145" t="str">
        <f>VLOOKUP(H3246,Stock_list!A:N,14,FALSE)</f>
        <v>DEC 21</v>
      </c>
    </row>
    <row r="3247" spans="1:21" ht="16.5" customHeight="1">
      <c r="A3247" s="159" t="s">
        <v>2750</v>
      </c>
      <c r="B3247" s="114" t="str">
        <f>VLOOKUP(A3247,'Data pick slip'!B:F,5,FALSE)</f>
        <v>KHJ-MC600-00</v>
      </c>
      <c r="F3247" s="157" t="s">
        <v>2753</v>
      </c>
      <c r="H3247" s="138">
        <v>1495</v>
      </c>
      <c r="I3247" s="139" t="str">
        <f>VLOOKUP(H3247,Stock_list!A:R,18,FALSE)</f>
        <v>湖北奕宏</v>
      </c>
      <c r="J3247" s="139" t="str">
        <f>VLOOKUP(H3247,Stock_list!A:S,17,FALSE)</f>
        <v>C49SZX20210199R1SX</v>
      </c>
      <c r="K3247" s="51" t="str">
        <f>VLOOKUP(H3247,Stock_list!A:T,16,FALSE)</f>
        <v>RMB</v>
      </c>
      <c r="L3247" s="4">
        <v>44532</v>
      </c>
      <c r="M3247" s="132">
        <v>4</v>
      </c>
      <c r="P3247" s="4" t="str">
        <f>VLOOKUP(H3247,Stock_list!A:Y,25,FALSE)</f>
        <v>Yes</v>
      </c>
      <c r="Q3247" s="143"/>
      <c r="T3247" s="144"/>
      <c r="U3247" s="145" t="str">
        <f>VLOOKUP(H3247,Stock_list!A:N,14,FALSE)</f>
        <v>DEC 21</v>
      </c>
    </row>
    <row r="3248" spans="1:21" ht="16.5" customHeight="1">
      <c r="A3248" s="159" t="s">
        <v>2744</v>
      </c>
      <c r="B3248" s="114" t="str">
        <f>VLOOKUP(A3248,'Data pick slip'!B:F,5,FALSE)</f>
        <v>KHJ-MC100-00</v>
      </c>
      <c r="F3248" s="157" t="s">
        <v>1381</v>
      </c>
      <c r="H3248" s="138">
        <v>1497</v>
      </c>
      <c r="I3248" s="139" t="str">
        <f>VLOOKUP(H3248,Stock_list!A:R,18,FALSE)</f>
        <v>领德创</v>
      </c>
      <c r="J3248" s="139" t="str">
        <f>VLOOKUP(H3248,Stock_list!A:S,17,FALSE)</f>
        <v>C49SZX20210203EC</v>
      </c>
      <c r="K3248" s="51" t="str">
        <f>VLOOKUP(H3248,Stock_list!A:T,16,FALSE)</f>
        <v>JPY</v>
      </c>
      <c r="L3248" s="4">
        <v>44617</v>
      </c>
      <c r="M3248" s="132">
        <v>100</v>
      </c>
      <c r="P3248" s="4" t="str">
        <f>VLOOKUP(H3248,Stock_list!A:Y,25,FALSE)</f>
        <v>Yes</v>
      </c>
      <c r="Q3248" s="143"/>
      <c r="T3248" s="144"/>
      <c r="U3248" s="145" t="str">
        <f>VLOOKUP(H3248,Stock_list!A:N,14,FALSE)</f>
        <v>FEB 22</v>
      </c>
    </row>
    <row r="3249" spans="1:21" ht="16.5" customHeight="1">
      <c r="A3249" s="159" t="s">
        <v>2747</v>
      </c>
      <c r="B3249" s="114" t="str">
        <f>VLOOKUP(A3249,'Data pick slip'!B:F,5,FALSE)</f>
        <v>KHJ-MC200-00</v>
      </c>
      <c r="F3249" s="157" t="s">
        <v>1381</v>
      </c>
      <c r="H3249" s="138">
        <v>1497</v>
      </c>
      <c r="I3249" s="139" t="str">
        <f>VLOOKUP(H3249,Stock_list!A:R,18,FALSE)</f>
        <v>领德创</v>
      </c>
      <c r="J3249" s="139" t="str">
        <f>VLOOKUP(H3249,Stock_list!A:S,17,FALSE)</f>
        <v>C49SZX20210203EC</v>
      </c>
      <c r="K3249" s="51" t="str">
        <f>VLOOKUP(H3249,Stock_list!A:T,16,FALSE)</f>
        <v>JPY</v>
      </c>
      <c r="L3249" s="4">
        <v>44617</v>
      </c>
      <c r="M3249" s="132">
        <v>6</v>
      </c>
      <c r="P3249" s="4" t="str">
        <f>VLOOKUP(H3249,Stock_list!A:Y,25,FALSE)</f>
        <v>Yes</v>
      </c>
      <c r="Q3249" s="143"/>
      <c r="T3249" s="144"/>
      <c r="U3249" s="145" t="str">
        <f>VLOOKUP(H3249,Stock_list!A:N,14,FALSE)</f>
        <v>FEB 22</v>
      </c>
    </row>
    <row r="3250" spans="1:21" ht="16.5" customHeight="1">
      <c r="A3250" s="159" t="s">
        <v>2748</v>
      </c>
      <c r="B3250" s="114" t="str">
        <f>VLOOKUP(A3250,'Data pick slip'!B:F,5,FALSE)</f>
        <v>KHJ-MC400-00</v>
      </c>
      <c r="F3250" s="157" t="s">
        <v>1381</v>
      </c>
      <c r="H3250" s="138">
        <v>1497</v>
      </c>
      <c r="I3250" s="139" t="str">
        <f>VLOOKUP(H3250,Stock_list!A:R,18,FALSE)</f>
        <v>领德创</v>
      </c>
      <c r="J3250" s="139" t="str">
        <f>VLOOKUP(H3250,Stock_list!A:S,17,FALSE)</f>
        <v>C49SZX20210203EC</v>
      </c>
      <c r="K3250" s="51" t="str">
        <f>VLOOKUP(H3250,Stock_list!A:T,16,FALSE)</f>
        <v>JPY</v>
      </c>
      <c r="L3250" s="4">
        <v>44617</v>
      </c>
      <c r="M3250" s="132">
        <v>2</v>
      </c>
      <c r="P3250" s="4" t="str">
        <f>VLOOKUP(H3250,Stock_list!A:Y,25,FALSE)</f>
        <v>Yes</v>
      </c>
      <c r="Q3250" s="143"/>
      <c r="T3250" s="144"/>
      <c r="U3250" s="145" t="str">
        <f>VLOOKUP(H3250,Stock_list!A:N,14,FALSE)</f>
        <v>FEB 22</v>
      </c>
    </row>
    <row r="3251" spans="1:21" ht="16.5" customHeight="1">
      <c r="A3251" s="159" t="s">
        <v>2749</v>
      </c>
      <c r="B3251" s="114" t="str">
        <f>VLOOKUP(A3251,'Data pick slip'!B:F,5,FALSE)</f>
        <v>KHJ-MC500-00</v>
      </c>
      <c r="F3251" s="157" t="s">
        <v>1381</v>
      </c>
      <c r="H3251" s="138">
        <v>1497</v>
      </c>
      <c r="I3251" s="139" t="str">
        <f>VLOOKUP(H3251,Stock_list!A:R,18,FALSE)</f>
        <v>领德创</v>
      </c>
      <c r="J3251" s="139" t="str">
        <f>VLOOKUP(H3251,Stock_list!A:S,17,FALSE)</f>
        <v>C49SZX20210203EC</v>
      </c>
      <c r="K3251" s="51" t="str">
        <f>VLOOKUP(H3251,Stock_list!A:T,16,FALSE)</f>
        <v>JPY</v>
      </c>
      <c r="L3251" s="4">
        <v>44617</v>
      </c>
      <c r="M3251" s="132">
        <v>1</v>
      </c>
      <c r="P3251" s="4" t="str">
        <f>VLOOKUP(H3251,Stock_list!A:Y,25,FALSE)</f>
        <v>Yes</v>
      </c>
      <c r="Q3251" s="143"/>
      <c r="T3251" s="144"/>
      <c r="U3251" s="145" t="str">
        <f>VLOOKUP(H3251,Stock_list!A:N,14,FALSE)</f>
        <v>FEB 22</v>
      </c>
    </row>
    <row r="3252" spans="1:21" ht="16.5" customHeight="1">
      <c r="A3252" s="159" t="s">
        <v>2744</v>
      </c>
      <c r="B3252" s="114" t="str">
        <f>VLOOKUP(A3252,'Data pick slip'!B:F,5,FALSE)</f>
        <v>KHJ-MC100-00</v>
      </c>
      <c r="F3252" s="157" t="s">
        <v>2753</v>
      </c>
      <c r="H3252" s="138">
        <v>1501</v>
      </c>
      <c r="I3252" s="139" t="str">
        <f>VLOOKUP(H3252,Stock_list!A:R,18,FALSE)</f>
        <v>嘉力达</v>
      </c>
      <c r="J3252" s="139" t="str">
        <f>VLOOKUP(H3252,Stock_list!A:S,17,FALSE)</f>
        <v>C49SZX20210204SS</v>
      </c>
      <c r="K3252" s="51" t="str">
        <f>VLOOKUP(H3252,Stock_list!A:T,16,FALSE)</f>
        <v>RMB</v>
      </c>
      <c r="L3252" s="4">
        <v>44543</v>
      </c>
      <c r="M3252" s="143">
        <v>40</v>
      </c>
      <c r="P3252" s="4" t="str">
        <f>VLOOKUP(H3252,Stock_list!A:Y,25,FALSE)</f>
        <v>Yes</v>
      </c>
      <c r="T3252" s="144"/>
      <c r="U3252" s="145" t="str">
        <f>VLOOKUP(H3252,Stock_list!A:N,14,FALSE)</f>
        <v>DEC 21</v>
      </c>
    </row>
    <row r="3253" spans="1:21" ht="16.5" customHeight="1">
      <c r="A3253" s="159" t="s">
        <v>2747</v>
      </c>
      <c r="B3253" s="114" t="str">
        <f>VLOOKUP(A3253,'Data pick slip'!B:F,5,FALSE)</f>
        <v>KHJ-MC200-00</v>
      </c>
      <c r="F3253" s="157" t="s">
        <v>2753</v>
      </c>
      <c r="H3253" s="138">
        <v>1501</v>
      </c>
      <c r="I3253" s="139" t="str">
        <f>VLOOKUP(H3253,Stock_list!A:R,18,FALSE)</f>
        <v>嘉力达</v>
      </c>
      <c r="J3253" s="139" t="str">
        <f>VLOOKUP(H3253,Stock_list!A:S,17,FALSE)</f>
        <v>C49SZX20210204SS</v>
      </c>
      <c r="K3253" s="51" t="str">
        <f>VLOOKUP(H3253,Stock_list!A:T,16,FALSE)</f>
        <v>RMB</v>
      </c>
      <c r="L3253" s="4">
        <v>44543</v>
      </c>
      <c r="M3253" s="143">
        <v>10</v>
      </c>
      <c r="P3253" s="4" t="str">
        <f>VLOOKUP(H3253,Stock_list!A:Y,25,FALSE)</f>
        <v>Yes</v>
      </c>
      <c r="T3253" s="144"/>
      <c r="U3253" s="145" t="str">
        <f>VLOOKUP(H3253,Stock_list!A:N,14,FALSE)</f>
        <v>DEC 21</v>
      </c>
    </row>
    <row r="3254" spans="1:21" ht="16.5" customHeight="1">
      <c r="A3254" s="159" t="s">
        <v>2748</v>
      </c>
      <c r="B3254" s="114" t="str">
        <f>VLOOKUP(A3254,'Data pick slip'!B:F,5,FALSE)</f>
        <v>KHJ-MC400-00</v>
      </c>
      <c r="F3254" s="157" t="s">
        <v>2753</v>
      </c>
      <c r="H3254" s="138">
        <v>1501</v>
      </c>
      <c r="I3254" s="139" t="str">
        <f>VLOOKUP(H3254,Stock_list!A:R,18,FALSE)</f>
        <v>嘉力达</v>
      </c>
      <c r="J3254" s="139" t="str">
        <f>VLOOKUP(H3254,Stock_list!A:S,17,FALSE)</f>
        <v>C49SZX20210204SS</v>
      </c>
      <c r="K3254" s="51" t="str">
        <f>VLOOKUP(H3254,Stock_list!A:T,16,FALSE)</f>
        <v>RMB</v>
      </c>
      <c r="L3254" s="4">
        <v>44543</v>
      </c>
      <c r="M3254" s="143">
        <v>2</v>
      </c>
      <c r="P3254" s="4" t="str">
        <f>VLOOKUP(H3254,Stock_list!A:Y,25,FALSE)</f>
        <v>Yes</v>
      </c>
      <c r="T3254" s="144"/>
      <c r="U3254" s="145" t="str">
        <f>VLOOKUP(H3254,Stock_list!A:N,14,FALSE)</f>
        <v>DEC 21</v>
      </c>
    </row>
    <row r="3255" spans="1:21" ht="16.5" customHeight="1">
      <c r="A3255" s="159" t="s">
        <v>2751</v>
      </c>
      <c r="B3255" s="114" t="str">
        <f>VLOOKUP(A3255,'Data pick slip'!B:F,5,FALSE)</f>
        <v>KHJ-MC700-00</v>
      </c>
      <c r="F3255" s="157" t="s">
        <v>2753</v>
      </c>
      <c r="I3255" s="139" t="s">
        <v>3094</v>
      </c>
      <c r="J3255" s="270" t="s">
        <v>3485</v>
      </c>
      <c r="K3255" s="51" t="s">
        <v>1246</v>
      </c>
      <c r="L3255" s="4">
        <v>44498</v>
      </c>
      <c r="M3255" s="140">
        <v>1</v>
      </c>
      <c r="P3255" s="4" t="s">
        <v>291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2744</v>
      </c>
      <c r="B3256" s="114" t="str">
        <f>VLOOKUP(A3256,'Data pick slip'!B:F,5,FALSE)</f>
        <v>KHJ-MC100-00</v>
      </c>
      <c r="F3256" s="157" t="s">
        <v>2762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2747</v>
      </c>
      <c r="B3257" s="114" t="str">
        <f>VLOOKUP(A3257,'Data pick slip'!B:F,5,FALSE)</f>
        <v>KHJ-MC200-00</v>
      </c>
      <c r="F3257" s="157" t="s">
        <v>2762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2744</v>
      </c>
      <c r="B3258" s="114" t="str">
        <f>VLOOKUP(A3258,'Data pick slip'!B:F,5,FALSE)</f>
        <v>KHJ-MC100-00</v>
      </c>
      <c r="F3258" s="157" t="s">
        <v>1381</v>
      </c>
      <c r="I3258" s="139" t="s">
        <v>3016</v>
      </c>
      <c r="J3258" s="139" t="s">
        <v>3486</v>
      </c>
      <c r="K3258" s="51" t="s">
        <v>1246</v>
      </c>
      <c r="L3258" s="4">
        <v>44529</v>
      </c>
      <c r="M3258" s="308">
        <v>70</v>
      </c>
      <c r="P3258" s="4" t="s">
        <v>291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2748</v>
      </c>
      <c r="B3259" s="114" t="str">
        <f>VLOOKUP(A3259,'Data pick slip'!B:F,5,FALSE)</f>
        <v>KHJ-MC400-00</v>
      </c>
      <c r="F3259" s="157" t="s">
        <v>1381</v>
      </c>
      <c r="I3259" s="139" t="s">
        <v>3016</v>
      </c>
      <c r="J3259" s="139" t="s">
        <v>3486</v>
      </c>
      <c r="K3259" s="51" t="s">
        <v>1246</v>
      </c>
      <c r="L3259" s="4">
        <v>44529</v>
      </c>
      <c r="M3259" s="308">
        <v>20</v>
      </c>
      <c r="P3259" s="4" t="s">
        <v>291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2749</v>
      </c>
      <c r="B3260" s="114" t="str">
        <f>VLOOKUP(A3260,'Data pick slip'!B:F,5,FALSE)</f>
        <v>KHJ-MC500-00</v>
      </c>
      <c r="F3260" s="157" t="s">
        <v>1381</v>
      </c>
      <c r="I3260" s="139" t="s">
        <v>3016</v>
      </c>
      <c r="J3260" s="139" t="s">
        <v>3486</v>
      </c>
      <c r="K3260" s="51" t="s">
        <v>1246</v>
      </c>
      <c r="L3260" s="4">
        <v>44529</v>
      </c>
      <c r="M3260" s="308">
        <f>20+13</f>
        <v>33</v>
      </c>
      <c r="P3260" s="4" t="s">
        <v>291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2750</v>
      </c>
      <c r="B3261" s="114" t="str">
        <f>VLOOKUP(A3261,'Data pick slip'!B:F,5,FALSE)</f>
        <v>KHJ-MC600-00</v>
      </c>
      <c r="F3261" s="157" t="s">
        <v>1381</v>
      </c>
      <c r="I3261" s="139" t="s">
        <v>3016</v>
      </c>
      <c r="J3261" s="139" t="s">
        <v>3486</v>
      </c>
      <c r="K3261" s="51" t="s">
        <v>1246</v>
      </c>
      <c r="L3261" s="4">
        <v>44529</v>
      </c>
      <c r="M3261" s="308">
        <v>5</v>
      </c>
      <c r="P3261" s="4" t="s">
        <v>291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2751</v>
      </c>
      <c r="B3262" s="114" t="str">
        <f>VLOOKUP(A3262,'Data pick slip'!B:F,5,FALSE)</f>
        <v>KHJ-MC700-00</v>
      </c>
      <c r="F3262" s="157" t="s">
        <v>1381</v>
      </c>
      <c r="I3262" s="139" t="s">
        <v>3016</v>
      </c>
      <c r="J3262" s="139" t="s">
        <v>3486</v>
      </c>
      <c r="K3262" s="51" t="s">
        <v>1246</v>
      </c>
      <c r="L3262" s="4">
        <v>44529</v>
      </c>
      <c r="M3262" s="308">
        <v>1</v>
      </c>
      <c r="P3262" s="4" t="s">
        <v>291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2752</v>
      </c>
      <c r="B3263" s="114" t="str">
        <f>VLOOKUP(A3263,'Data pick slip'!B:F,5,FALSE)</f>
        <v>KHJ-MC800-00</v>
      </c>
      <c r="F3263" s="157" t="s">
        <v>1381</v>
      </c>
      <c r="I3263" s="139" t="s">
        <v>3016</v>
      </c>
      <c r="J3263" s="139" t="s">
        <v>3486</v>
      </c>
      <c r="K3263" s="51" t="s">
        <v>1246</v>
      </c>
      <c r="L3263" s="4">
        <v>44529</v>
      </c>
      <c r="M3263" s="308">
        <v>1</v>
      </c>
      <c r="P3263" s="4" t="s">
        <v>291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2744</v>
      </c>
      <c r="B3264" s="114" t="str">
        <f>VLOOKUP(A3264,'Data pick slip'!B:F,5,FALSE)</f>
        <v>KHJ-MC100-00</v>
      </c>
      <c r="F3264" s="157" t="s">
        <v>1381</v>
      </c>
      <c r="H3264" s="138">
        <v>1504</v>
      </c>
      <c r="I3264" s="139" t="str">
        <f>VLOOKUP(H3264,Stock_list!A:R,18,FALSE)</f>
        <v>河南融创</v>
      </c>
      <c r="J3264" s="139" t="str">
        <f>VLOOKUP(H3264,Stock_list!A:S,17,FALSE)</f>
        <v>C49SZX20210103MZ</v>
      </c>
      <c r="K3264" s="51" t="str">
        <f>VLOOKUP(H3264,Stock_list!A:T,16,FALSE)</f>
        <v>JPY</v>
      </c>
      <c r="L3264" s="4">
        <v>44701</v>
      </c>
      <c r="M3264" s="132">
        <v>80</v>
      </c>
      <c r="P3264" s="4" t="str">
        <f>VLOOKUP(H3264,Stock_list!A:Y,25,FALSE)</f>
        <v>Yes</v>
      </c>
      <c r="Q3264" s="143"/>
      <c r="T3264" s="144"/>
      <c r="U3264" s="145" t="str">
        <f>VLOOKUP(H3264,Stock_list!A:N,14,FALSE)</f>
        <v>MAY 22</v>
      </c>
    </row>
    <row r="3265" spans="1:21" ht="16.5" customHeight="1">
      <c r="A3265" s="159" t="s">
        <v>2747</v>
      </c>
      <c r="B3265" s="114" t="str">
        <f>VLOOKUP(A3265,'Data pick slip'!B:F,5,FALSE)</f>
        <v>KHJ-MC200-00</v>
      </c>
      <c r="F3265" s="157" t="s">
        <v>1381</v>
      </c>
      <c r="H3265" s="138">
        <v>1504</v>
      </c>
      <c r="I3265" s="139" t="str">
        <f>VLOOKUP(H3265,Stock_list!A:R,18,FALSE)</f>
        <v>河南融创</v>
      </c>
      <c r="J3265" s="139" t="str">
        <f>VLOOKUP(H3265,Stock_list!A:S,17,FALSE)</f>
        <v>C49SZX20210103MZ</v>
      </c>
      <c r="K3265" s="51" t="str">
        <f>VLOOKUP(H3265,Stock_list!A:T,16,FALSE)</f>
        <v>JPY</v>
      </c>
      <c r="L3265" s="4">
        <v>44701</v>
      </c>
      <c r="M3265" s="132">
        <v>20</v>
      </c>
      <c r="P3265" s="4" t="str">
        <f>VLOOKUP(H3265,Stock_list!A:Y,25,FALSE)</f>
        <v>Yes</v>
      </c>
      <c r="Q3265" s="143"/>
      <c r="T3265" s="144"/>
      <c r="U3265" s="145" t="str">
        <f>VLOOKUP(H3265,Stock_list!A:N,14,FALSE)</f>
        <v>MAY 22</v>
      </c>
    </row>
    <row r="3266" spans="1:21" ht="16.5" customHeight="1">
      <c r="A3266" s="159" t="s">
        <v>2748</v>
      </c>
      <c r="B3266" s="114" t="str">
        <f>VLOOKUP(A3266,'Data pick slip'!B:F,5,FALSE)</f>
        <v>KHJ-MC400-00</v>
      </c>
      <c r="F3266" s="157" t="s">
        <v>1381</v>
      </c>
      <c r="H3266" s="138">
        <v>1504</v>
      </c>
      <c r="I3266" s="139" t="str">
        <f>VLOOKUP(H3266,Stock_list!A:R,18,FALSE)</f>
        <v>河南融创</v>
      </c>
      <c r="J3266" s="139" t="str">
        <f>VLOOKUP(H3266,Stock_list!A:S,17,FALSE)</f>
        <v>C49SZX20210103MZ</v>
      </c>
      <c r="K3266" s="51" t="str">
        <f>VLOOKUP(H3266,Stock_list!A:T,16,FALSE)</f>
        <v>JPY</v>
      </c>
      <c r="L3266" s="4">
        <v>44701</v>
      </c>
      <c r="M3266" s="132">
        <v>3</v>
      </c>
      <c r="P3266" s="4" t="str">
        <f>VLOOKUP(H3266,Stock_list!A:Y,25,FALSE)</f>
        <v>Yes</v>
      </c>
      <c r="Q3266" s="143"/>
      <c r="T3266" s="144"/>
      <c r="U3266" s="145" t="str">
        <f>VLOOKUP(H3266,Stock_list!A:N,14,FALSE)</f>
        <v>MAY 22</v>
      </c>
    </row>
    <row r="3267" spans="1:21" ht="16.5" customHeight="1">
      <c r="A3267" s="159" t="s">
        <v>2749</v>
      </c>
      <c r="B3267" s="114" t="str">
        <f>VLOOKUP(A3267,'Data pick slip'!B:F,5,FALSE)</f>
        <v>KHJ-MC500-00</v>
      </c>
      <c r="F3267" s="157" t="s">
        <v>1381</v>
      </c>
      <c r="H3267" s="138">
        <v>1504</v>
      </c>
      <c r="I3267" s="139" t="str">
        <f>VLOOKUP(H3267,Stock_list!A:R,18,FALSE)</f>
        <v>河南融创</v>
      </c>
      <c r="J3267" s="139" t="str">
        <f>VLOOKUP(H3267,Stock_list!A:S,17,FALSE)</f>
        <v>C49SZX20210103MZ</v>
      </c>
      <c r="K3267" s="51" t="str">
        <f>VLOOKUP(H3267,Stock_list!A:T,16,FALSE)</f>
        <v>JPY</v>
      </c>
      <c r="L3267" s="4">
        <v>44701</v>
      </c>
      <c r="M3267" s="132">
        <v>2</v>
      </c>
      <c r="P3267" s="4" t="str">
        <f>VLOOKUP(H3267,Stock_list!A:Y,25,FALSE)</f>
        <v>Yes</v>
      </c>
      <c r="Q3267" s="143"/>
      <c r="T3267" s="144"/>
      <c r="U3267" s="145" t="str">
        <f>VLOOKUP(H3267,Stock_list!A:N,14,FALSE)</f>
        <v>MAY 22</v>
      </c>
    </row>
    <row r="3268" spans="1:21" ht="16.5" customHeight="1">
      <c r="A3268" s="159" t="s">
        <v>2750</v>
      </c>
      <c r="B3268" s="114" t="str">
        <f>VLOOKUP(A3268,'Data pick slip'!B:F,5,FALSE)</f>
        <v>KHJ-MC600-00</v>
      </c>
      <c r="F3268" s="157" t="s">
        <v>1381</v>
      </c>
      <c r="H3268" s="138">
        <v>1504</v>
      </c>
      <c r="I3268" s="139" t="str">
        <f>VLOOKUP(H3268,Stock_list!A:R,18,FALSE)</f>
        <v>河南融创</v>
      </c>
      <c r="J3268" s="139" t="str">
        <f>VLOOKUP(H3268,Stock_list!A:S,17,FALSE)</f>
        <v>C49SZX20210103MZ</v>
      </c>
      <c r="K3268" s="51" t="str">
        <f>VLOOKUP(H3268,Stock_list!A:T,16,FALSE)</f>
        <v>JPY</v>
      </c>
      <c r="L3268" s="4">
        <v>44701</v>
      </c>
      <c r="M3268" s="132">
        <v>2</v>
      </c>
      <c r="P3268" s="4" t="str">
        <f>VLOOKUP(H3268,Stock_list!A:Y,25,FALSE)</f>
        <v>Yes</v>
      </c>
      <c r="Q3268" s="143"/>
      <c r="T3268" s="144"/>
      <c r="U3268" s="145" t="str">
        <f>VLOOKUP(H3268,Stock_list!A:N,14,FALSE)</f>
        <v>MAY 22</v>
      </c>
    </row>
    <row r="3269" spans="1:21" ht="16.5" customHeight="1">
      <c r="A3269" s="159" t="s">
        <v>2744</v>
      </c>
      <c r="B3269" s="114" t="str">
        <f>VLOOKUP(A3269,'Data pick slip'!B:F,5,FALSE)</f>
        <v>KHJ-MC100-00</v>
      </c>
      <c r="F3269" s="157" t="s">
        <v>1381</v>
      </c>
      <c r="H3269" s="138">
        <v>1504</v>
      </c>
      <c r="I3269" s="139" t="str">
        <f>VLOOKUP(H3269,Stock_list!A:R,18,FALSE)</f>
        <v>河南融创</v>
      </c>
      <c r="J3269" s="139" t="str">
        <f>VLOOKUP(H3269,Stock_list!A:S,17,FALSE)</f>
        <v>C49SZX20210103MZ</v>
      </c>
      <c r="K3269" s="51" t="str">
        <f>VLOOKUP(H3269,Stock_list!A:T,16,FALSE)</f>
        <v>JPY</v>
      </c>
      <c r="L3269" s="4">
        <v>44642</v>
      </c>
      <c r="M3269" s="132">
        <v>80</v>
      </c>
      <c r="P3269" s="4" t="str">
        <f>VLOOKUP(H3269,Stock_list!A:Y,25,FALSE)</f>
        <v>Yes</v>
      </c>
      <c r="Q3269" s="143"/>
      <c r="T3269" s="144"/>
      <c r="U3269" s="145" t="str">
        <f>VLOOKUP(H3269,Stock_list!A:N,14,FALSE)</f>
        <v>MAY 22</v>
      </c>
    </row>
    <row r="3270" spans="1:21" ht="16.5" customHeight="1">
      <c r="A3270" s="159" t="s">
        <v>2747</v>
      </c>
      <c r="B3270" s="114" t="str">
        <f>VLOOKUP(A3270,'Data pick slip'!B:F,5,FALSE)</f>
        <v>KHJ-MC200-00</v>
      </c>
      <c r="F3270" s="157" t="s">
        <v>1381</v>
      </c>
      <c r="H3270" s="138">
        <v>1504</v>
      </c>
      <c r="I3270" s="139" t="str">
        <f>VLOOKUP(H3270,Stock_list!A:R,18,FALSE)</f>
        <v>河南融创</v>
      </c>
      <c r="J3270" s="139" t="str">
        <f>VLOOKUP(H3270,Stock_list!A:S,17,FALSE)</f>
        <v>C49SZX20210103MZ</v>
      </c>
      <c r="K3270" s="51" t="str">
        <f>VLOOKUP(H3270,Stock_list!A:T,16,FALSE)</f>
        <v>JPY</v>
      </c>
      <c r="L3270" s="4">
        <v>44642</v>
      </c>
      <c r="M3270" s="132">
        <v>20</v>
      </c>
      <c r="P3270" s="4" t="str">
        <f>VLOOKUP(H3270,Stock_list!A:Y,25,FALSE)</f>
        <v>Yes</v>
      </c>
      <c r="Q3270" s="143"/>
      <c r="T3270" s="144"/>
      <c r="U3270" s="145" t="str">
        <f>VLOOKUP(H3270,Stock_list!A:N,14,FALSE)</f>
        <v>MAY 22</v>
      </c>
    </row>
    <row r="3271" spans="1:21" ht="16.5" customHeight="1">
      <c r="A3271" s="159" t="s">
        <v>2748</v>
      </c>
      <c r="B3271" s="114" t="str">
        <f>VLOOKUP(A3271,'Data pick slip'!B:F,5,FALSE)</f>
        <v>KHJ-MC400-00</v>
      </c>
      <c r="F3271" s="157" t="s">
        <v>1381</v>
      </c>
      <c r="H3271" s="138">
        <v>1504</v>
      </c>
      <c r="I3271" s="139" t="str">
        <f>VLOOKUP(H3271,Stock_list!A:R,18,FALSE)</f>
        <v>河南融创</v>
      </c>
      <c r="J3271" s="139" t="str">
        <f>VLOOKUP(H3271,Stock_list!A:S,17,FALSE)</f>
        <v>C49SZX20210103MZ</v>
      </c>
      <c r="K3271" s="51" t="str">
        <f>VLOOKUP(H3271,Stock_list!A:T,16,FALSE)</f>
        <v>JPY</v>
      </c>
      <c r="L3271" s="4">
        <v>44642</v>
      </c>
      <c r="M3271" s="140">
        <v>3</v>
      </c>
      <c r="P3271" s="4" t="str">
        <f>VLOOKUP(H3271,Stock_list!A:Y,25,FALSE)</f>
        <v>Yes</v>
      </c>
      <c r="Q3271" s="143"/>
      <c r="T3271" s="144"/>
      <c r="U3271" s="145" t="str">
        <f>VLOOKUP(H3271,Stock_list!A:N,14,FALSE)</f>
        <v>MAY 22</v>
      </c>
    </row>
    <row r="3272" spans="1:21" ht="16.5" customHeight="1">
      <c r="A3272" s="159" t="s">
        <v>2749</v>
      </c>
      <c r="B3272" s="114" t="str">
        <f>VLOOKUP(A3272,'Data pick slip'!B:F,5,FALSE)</f>
        <v>KHJ-MC500-00</v>
      </c>
      <c r="F3272" s="157" t="s">
        <v>1381</v>
      </c>
      <c r="H3272" s="138">
        <v>1504</v>
      </c>
      <c r="I3272" s="139" t="str">
        <f>VLOOKUP(H3272,Stock_list!A:R,18,FALSE)</f>
        <v>河南融创</v>
      </c>
      <c r="J3272" s="139" t="str">
        <f>VLOOKUP(H3272,Stock_list!A:S,17,FALSE)</f>
        <v>C49SZX20210103MZ</v>
      </c>
      <c r="K3272" s="51" t="str">
        <f>VLOOKUP(H3272,Stock_list!A:T,16,FALSE)</f>
        <v>JPY</v>
      </c>
      <c r="L3272" s="4">
        <v>44642</v>
      </c>
      <c r="M3272" s="140">
        <v>2</v>
      </c>
      <c r="P3272" s="4" t="str">
        <f>VLOOKUP(H3272,Stock_list!A:Y,25,FALSE)</f>
        <v>Yes</v>
      </c>
      <c r="Q3272" s="143"/>
      <c r="T3272" s="144"/>
      <c r="U3272" s="145" t="str">
        <f>VLOOKUP(H3272,Stock_list!A:N,14,FALSE)</f>
        <v>MAY 22</v>
      </c>
    </row>
    <row r="3273" spans="1:21" ht="16.5" customHeight="1">
      <c r="A3273" s="159" t="s">
        <v>2750</v>
      </c>
      <c r="B3273" s="114" t="str">
        <f>VLOOKUP(A3273,'Data pick slip'!B:F,5,FALSE)</f>
        <v>KHJ-MC600-00</v>
      </c>
      <c r="F3273" s="157" t="s">
        <v>1381</v>
      </c>
      <c r="H3273" s="138">
        <v>1504</v>
      </c>
      <c r="I3273" s="139" t="str">
        <f>VLOOKUP(H3273,Stock_list!A:R,18,FALSE)</f>
        <v>河南融创</v>
      </c>
      <c r="J3273" s="139" t="str">
        <f>VLOOKUP(H3273,Stock_list!A:S,17,FALSE)</f>
        <v>C49SZX20210103MZ</v>
      </c>
      <c r="K3273" s="51" t="str">
        <f>VLOOKUP(H3273,Stock_list!A:T,16,FALSE)</f>
        <v>JPY</v>
      </c>
      <c r="L3273" s="4">
        <v>44642</v>
      </c>
      <c r="M3273" s="140">
        <v>2</v>
      </c>
      <c r="P3273" s="4" t="str">
        <f>VLOOKUP(H3273,Stock_list!A:Y,25,FALSE)</f>
        <v>Yes</v>
      </c>
      <c r="Q3273" s="143"/>
      <c r="T3273" s="144"/>
      <c r="U3273" s="145" t="str">
        <f>VLOOKUP(H3273,Stock_list!A:N,14,FALSE)</f>
        <v>MAY 22</v>
      </c>
    </row>
    <row r="3274" spans="1:21" ht="16.5" customHeight="1">
      <c r="A3274" s="159" t="s">
        <v>2744</v>
      </c>
      <c r="B3274" s="114" t="str">
        <f>VLOOKUP(A3274,'Data pick slip'!B:F,5,FALSE)</f>
        <v>KHJ-MC100-00</v>
      </c>
      <c r="F3274" s="157" t="s">
        <v>1381</v>
      </c>
      <c r="H3274" s="138">
        <v>1508</v>
      </c>
      <c r="I3274" s="139" t="str">
        <f>VLOOKUP(H3274,Stock_list!A:R,18,FALSE)</f>
        <v>海凌科达</v>
      </c>
      <c r="J3274" s="139" t="str">
        <f>VLOOKUP(H3274,Stock_list!A:S,17,FALSE)</f>
        <v>C49SZX20210207JY</v>
      </c>
      <c r="K3274" s="51" t="str">
        <f>VLOOKUP(H3274,Stock_list!A:T,16,FALSE)</f>
        <v>JPY</v>
      </c>
      <c r="L3274" s="4">
        <v>44691</v>
      </c>
      <c r="M3274" s="132">
        <v>15</v>
      </c>
      <c r="P3274" s="4" t="str">
        <f>VLOOKUP(H3274,Stock_list!A:Y,25,FALSE)</f>
        <v>Yes</v>
      </c>
      <c r="Q3274" s="143"/>
      <c r="T3274" s="144"/>
      <c r="U3274" s="145" t="str">
        <f>VLOOKUP(H3274,Stock_list!A:N,14,FALSE)</f>
        <v>MAY 22</v>
      </c>
    </row>
    <row r="3275" spans="1:21" ht="16.5" customHeight="1">
      <c r="A3275" s="159" t="s">
        <v>2748</v>
      </c>
      <c r="B3275" s="114" t="str">
        <f>VLOOKUP(A3275,'Data pick slip'!B:F,5,FALSE)</f>
        <v>KHJ-MC400-00</v>
      </c>
      <c r="F3275" s="157" t="s">
        <v>1381</v>
      </c>
      <c r="H3275" s="138">
        <v>1508</v>
      </c>
      <c r="I3275" s="139" t="str">
        <f>VLOOKUP(H3275,Stock_list!A:R,18,FALSE)</f>
        <v>海凌科达</v>
      </c>
      <c r="J3275" s="139" t="str">
        <f>VLOOKUP(H3275,Stock_list!A:S,17,FALSE)</f>
        <v>C49SZX20210207JY</v>
      </c>
      <c r="K3275" s="51" t="str">
        <f>VLOOKUP(H3275,Stock_list!A:T,16,FALSE)</f>
        <v>JPY</v>
      </c>
      <c r="L3275" s="4">
        <v>44691</v>
      </c>
      <c r="M3275" s="132">
        <v>2</v>
      </c>
      <c r="P3275" s="4" t="str">
        <f>VLOOKUP(H3275,Stock_list!A:Y,25,FALSE)</f>
        <v>Yes</v>
      </c>
      <c r="Q3275" s="143"/>
      <c r="T3275" s="144"/>
      <c r="U3275" s="145" t="str">
        <f>VLOOKUP(H3275,Stock_list!A:N,14,FALSE)</f>
        <v>MAY 22</v>
      </c>
    </row>
    <row r="3276" spans="1:21" ht="16.5" customHeight="1">
      <c r="A3276" s="159" t="s">
        <v>2751</v>
      </c>
      <c r="B3276" s="114" t="str">
        <f>VLOOKUP(A3276,'Data pick slip'!B:F,5,FALSE)</f>
        <v>KHJ-MC700-00</v>
      </c>
      <c r="F3276" s="157" t="s">
        <v>1381</v>
      </c>
      <c r="H3276" s="138">
        <v>1508</v>
      </c>
      <c r="I3276" s="139" t="str">
        <f>VLOOKUP(H3276,Stock_list!A:R,18,FALSE)</f>
        <v>海凌科达</v>
      </c>
      <c r="J3276" s="139" t="str">
        <f>VLOOKUP(H3276,Stock_list!A:S,17,FALSE)</f>
        <v>C49SZX20210207JY</v>
      </c>
      <c r="K3276" s="51" t="str">
        <f>VLOOKUP(H3276,Stock_list!A:T,16,FALSE)</f>
        <v>JPY</v>
      </c>
      <c r="L3276" s="4">
        <v>44691</v>
      </c>
      <c r="M3276" s="132">
        <v>1</v>
      </c>
      <c r="P3276" s="4" t="str">
        <f>VLOOKUP(H3276,Stock_list!A:Y,25,FALSE)</f>
        <v>Yes</v>
      </c>
      <c r="Q3276" s="143"/>
      <c r="T3276" s="144"/>
      <c r="U3276" s="145" t="str">
        <f>VLOOKUP(H3276,Stock_list!A:N,14,FALSE)</f>
        <v>MAY 22</v>
      </c>
    </row>
    <row r="3277" spans="1:21" ht="16.5" customHeight="1">
      <c r="A3277" s="159" t="s">
        <v>2747</v>
      </c>
      <c r="B3277" s="114" t="str">
        <f>VLOOKUP(A3277,'Data pick slip'!B:F,5,FALSE)</f>
        <v>KHJ-MC200-00</v>
      </c>
      <c r="F3277" s="157" t="s">
        <v>1381</v>
      </c>
      <c r="H3277" s="138">
        <v>1510</v>
      </c>
      <c r="I3277" s="139" t="str">
        <f>VLOOKUP(H3277,Stock_list!A:R,18,FALSE)</f>
        <v>维益</v>
      </c>
      <c r="J3277" s="139" t="str">
        <f>VLOOKUP(H3277,Stock_list!A:S,17,FALSE)</f>
        <v>C49SZX20210213SS</v>
      </c>
      <c r="K3277" s="51" t="str">
        <f>VLOOKUP(H3277,Stock_list!A:T,16,FALSE)</f>
        <v>JPY</v>
      </c>
      <c r="L3277" s="4">
        <v>44660</v>
      </c>
      <c r="M3277" s="132">
        <v>2</v>
      </c>
      <c r="P3277" s="4" t="str">
        <f>VLOOKUP(H3277,Stock_list!A:Y,25,FALSE)</f>
        <v>Yes</v>
      </c>
      <c r="Q3277" s="143"/>
      <c r="T3277" s="144"/>
      <c r="U3277" s="145" t="str">
        <f>VLOOKUP(H3277,Stock_list!A:N,14,FALSE)</f>
        <v>APR 22</v>
      </c>
    </row>
    <row r="3278" spans="1:21" ht="16.5" customHeight="1">
      <c r="A3278" s="159" t="s">
        <v>2748</v>
      </c>
      <c r="B3278" s="114" t="str">
        <f>VLOOKUP(A3278,'Data pick slip'!B:F,5,FALSE)</f>
        <v>KHJ-MC400-00</v>
      </c>
      <c r="F3278" s="157" t="s">
        <v>1381</v>
      </c>
      <c r="H3278" s="138">
        <v>1510</v>
      </c>
      <c r="I3278" s="139" t="str">
        <f>VLOOKUP(H3278,Stock_list!A:R,18,FALSE)</f>
        <v>维益</v>
      </c>
      <c r="J3278" s="139" t="str">
        <f>VLOOKUP(H3278,Stock_list!A:S,17,FALSE)</f>
        <v>C49SZX20210213SS</v>
      </c>
      <c r="K3278" s="51" t="str">
        <f>VLOOKUP(H3278,Stock_list!A:T,16,FALSE)</f>
        <v>JPY</v>
      </c>
      <c r="L3278" s="4">
        <v>44660</v>
      </c>
      <c r="M3278" s="132">
        <v>2</v>
      </c>
      <c r="P3278" s="4" t="str">
        <f>VLOOKUP(H3278,Stock_list!A:Y,25,FALSE)</f>
        <v>Yes</v>
      </c>
      <c r="Q3278" s="143"/>
      <c r="T3278" s="144"/>
      <c r="U3278" s="145" t="str">
        <f>VLOOKUP(H3278,Stock_list!A:N,14,FALSE)</f>
        <v>APR 22</v>
      </c>
    </row>
    <row r="3279" spans="1:21" ht="16.5" customHeight="1">
      <c r="A3279" s="159" t="s">
        <v>2749</v>
      </c>
      <c r="B3279" s="114" t="str">
        <f>VLOOKUP(A3279,'Data pick slip'!B:F,5,FALSE)</f>
        <v>KHJ-MC500-00</v>
      </c>
      <c r="F3279" s="157" t="s">
        <v>1381</v>
      </c>
      <c r="H3279" s="138">
        <v>1510</v>
      </c>
      <c r="I3279" s="139" t="str">
        <f>VLOOKUP(H3279,Stock_list!A:R,18,FALSE)</f>
        <v>维益</v>
      </c>
      <c r="J3279" s="139" t="str">
        <f>VLOOKUP(H3279,Stock_list!A:S,17,FALSE)</f>
        <v>C49SZX20210213SS</v>
      </c>
      <c r="K3279" s="51" t="str">
        <f>VLOOKUP(H3279,Stock_list!A:T,16,FALSE)</f>
        <v>JPY</v>
      </c>
      <c r="L3279" s="4">
        <v>44660</v>
      </c>
      <c r="M3279" s="132">
        <v>1</v>
      </c>
      <c r="P3279" s="4" t="str">
        <f>VLOOKUP(H3279,Stock_list!A:Y,25,FALSE)</f>
        <v>Yes</v>
      </c>
      <c r="Q3279" s="143"/>
      <c r="T3279" s="144"/>
      <c r="U3279" s="145" t="str">
        <f>VLOOKUP(H3279,Stock_list!A:N,14,FALSE)</f>
        <v>APR 22</v>
      </c>
    </row>
    <row r="3280" spans="1:21" ht="16.5" customHeight="1">
      <c r="A3280" s="159" t="s">
        <v>2750</v>
      </c>
      <c r="B3280" s="114" t="str">
        <f>VLOOKUP(A3280,'Data pick slip'!B:F,5,FALSE)</f>
        <v>KHJ-MC600-00</v>
      </c>
      <c r="F3280" s="157" t="s">
        <v>1381</v>
      </c>
      <c r="H3280" s="138">
        <v>1510</v>
      </c>
      <c r="I3280" s="139" t="str">
        <f>VLOOKUP(H3280,Stock_list!A:R,18,FALSE)</f>
        <v>维益</v>
      </c>
      <c r="J3280" s="139" t="str">
        <f>VLOOKUP(H3280,Stock_list!A:S,17,FALSE)</f>
        <v>C49SZX20210213SS</v>
      </c>
      <c r="K3280" s="51" t="str">
        <f>VLOOKUP(H3280,Stock_list!A:T,16,FALSE)</f>
        <v>JPY</v>
      </c>
      <c r="L3280" s="4">
        <v>44660</v>
      </c>
      <c r="M3280" s="132">
        <v>1</v>
      </c>
      <c r="P3280" s="4" t="str">
        <f>VLOOKUP(H3280,Stock_list!A:Y,25,FALSE)</f>
        <v>Yes</v>
      </c>
      <c r="Q3280" s="143"/>
      <c r="T3280" s="144"/>
      <c r="U3280" s="145" t="str">
        <f>VLOOKUP(H3280,Stock_list!A:N,14,FALSE)</f>
        <v>APR 22</v>
      </c>
    </row>
    <row r="3281" spans="1:21" ht="16.5" customHeight="1">
      <c r="A3281" s="159" t="s">
        <v>2744</v>
      </c>
      <c r="B3281" s="114" t="str">
        <f>VLOOKUP(A3281,'Data pick slip'!B:F,5,FALSE)</f>
        <v>KHJ-MC100-00</v>
      </c>
      <c r="F3281" s="157" t="s">
        <v>2753</v>
      </c>
      <c r="H3281" s="138">
        <v>1511</v>
      </c>
      <c r="I3281" s="139" t="str">
        <f>VLOOKUP(H3281,Stock_list!A:R,18,FALSE)</f>
        <v>骏孚</v>
      </c>
      <c r="J3281" s="139" t="str">
        <f>VLOOKUP(H3281,Stock_list!A:S,17,FALSE)</f>
        <v>C49SZX20210214EC</v>
      </c>
      <c r="K3281" s="51" t="str">
        <f>VLOOKUP(H3281,Stock_list!A:T,16,FALSE)</f>
        <v>RMB</v>
      </c>
      <c r="L3281" s="4">
        <v>44539</v>
      </c>
      <c r="M3281" s="143">
        <v>163</v>
      </c>
      <c r="P3281" s="4" t="str">
        <f>VLOOKUP(H3281,Stock_list!A:Y,25,FALSE)</f>
        <v>Yes</v>
      </c>
      <c r="T3281" s="144"/>
      <c r="U3281" s="145" t="str">
        <f>VLOOKUP(H3281,Stock_list!A:N,14,FALSE)</f>
        <v>DEC 21</v>
      </c>
    </row>
    <row r="3282" spans="1:21" ht="16.5" customHeight="1">
      <c r="A3282" s="159" t="s">
        <v>2747</v>
      </c>
      <c r="B3282" s="114" t="str">
        <f>VLOOKUP(A3282,'Data pick slip'!B:F,5,FALSE)</f>
        <v>KHJ-MC200-00</v>
      </c>
      <c r="F3282" s="157" t="s">
        <v>2753</v>
      </c>
      <c r="H3282" s="138">
        <v>1511</v>
      </c>
      <c r="I3282" s="139" t="str">
        <f>VLOOKUP(H3282,Stock_list!A:R,18,FALSE)</f>
        <v>骏孚</v>
      </c>
      <c r="J3282" s="139" t="str">
        <f>VLOOKUP(H3282,Stock_list!A:S,17,FALSE)</f>
        <v>C49SZX20210214EC</v>
      </c>
      <c r="K3282" s="51" t="str">
        <f>VLOOKUP(H3282,Stock_list!A:T,16,FALSE)</f>
        <v>RMB</v>
      </c>
      <c r="L3282" s="4">
        <v>44539</v>
      </c>
      <c r="M3282" s="143">
        <v>15</v>
      </c>
      <c r="P3282" s="4" t="str">
        <f>VLOOKUP(H3282,Stock_list!A:Y,25,FALSE)</f>
        <v>Yes</v>
      </c>
      <c r="T3282" s="144"/>
      <c r="U3282" s="145" t="str">
        <f>VLOOKUP(H3282,Stock_list!A:N,14,FALSE)</f>
        <v>DEC 21</v>
      </c>
    </row>
    <row r="3283" spans="1:21" ht="16.5" customHeight="1">
      <c r="A3283" s="159" t="s">
        <v>2748</v>
      </c>
      <c r="B3283" s="114" t="str">
        <f>VLOOKUP(A3283,'Data pick slip'!B:F,5,FALSE)</f>
        <v>KHJ-MC400-00</v>
      </c>
      <c r="F3283" s="157" t="s">
        <v>2753</v>
      </c>
      <c r="H3283" s="138">
        <v>1511</v>
      </c>
      <c r="I3283" s="139" t="str">
        <f>VLOOKUP(H3283,Stock_list!A:R,18,FALSE)</f>
        <v>骏孚</v>
      </c>
      <c r="J3283" s="139" t="str">
        <f>VLOOKUP(H3283,Stock_list!A:S,17,FALSE)</f>
        <v>C49SZX20210214EC</v>
      </c>
      <c r="K3283" s="51" t="str">
        <f>VLOOKUP(H3283,Stock_list!A:T,16,FALSE)</f>
        <v>RMB</v>
      </c>
      <c r="L3283" s="4">
        <v>44539</v>
      </c>
      <c r="M3283" s="143">
        <v>5</v>
      </c>
      <c r="P3283" s="4" t="str">
        <f>VLOOKUP(H3283,Stock_list!A:Y,25,FALSE)</f>
        <v>Yes</v>
      </c>
      <c r="T3283" s="144"/>
      <c r="U3283" s="145" t="str">
        <f>VLOOKUP(H3283,Stock_list!A:N,14,FALSE)</f>
        <v>DEC 21</v>
      </c>
    </row>
    <row r="3284" spans="1:21" ht="16.5" customHeight="1">
      <c r="A3284" s="159" t="s">
        <v>2744</v>
      </c>
      <c r="B3284" s="114" t="str">
        <f>VLOOKUP(A3284,'Data pick slip'!B:F,5,FALSE)</f>
        <v>KHJ-MC100-00</v>
      </c>
      <c r="F3284" s="157" t="s">
        <v>2753</v>
      </c>
      <c r="H3284" s="138">
        <v>1512</v>
      </c>
      <c r="I3284" s="139" t="str">
        <f>VLOOKUP(H3284,Stock_list!A:R,18,FALSE)</f>
        <v>勃旭</v>
      </c>
      <c r="J3284" s="139" t="str">
        <f>VLOOKUP(H3284,Stock_list!A:S,17,FALSE)</f>
        <v>C49SZX20210216AY</v>
      </c>
      <c r="K3284" s="51" t="str">
        <f>VLOOKUP(H3284,Stock_list!A:T,16,FALSE)</f>
        <v>RMB</v>
      </c>
      <c r="L3284" s="4">
        <v>44616</v>
      </c>
      <c r="M3284" s="140">
        <v>20</v>
      </c>
      <c r="P3284" s="4" t="str">
        <f>VLOOKUP(H3284,Stock_list!A:Y,25,FALSE)</f>
        <v>Yes</v>
      </c>
      <c r="Q3284" s="143"/>
      <c r="T3284" s="144"/>
      <c r="U3284" s="145" t="str">
        <f>VLOOKUP(H3284,Stock_list!A:N,14,FALSE)</f>
        <v>FEB 22</v>
      </c>
    </row>
    <row r="3285" spans="1:21" ht="16.5" customHeight="1">
      <c r="A3285" s="159" t="s">
        <v>2747</v>
      </c>
      <c r="B3285" s="114" t="str">
        <f>VLOOKUP(A3285,'Data pick slip'!B:F,5,FALSE)</f>
        <v>KHJ-MC200-00</v>
      </c>
      <c r="F3285" s="157" t="s">
        <v>2753</v>
      </c>
      <c r="H3285" s="138">
        <v>1512</v>
      </c>
      <c r="I3285" s="139" t="str">
        <f>VLOOKUP(H3285,Stock_list!A:R,18,FALSE)</f>
        <v>勃旭</v>
      </c>
      <c r="J3285" s="139" t="str">
        <f>VLOOKUP(H3285,Stock_list!A:S,17,FALSE)</f>
        <v>C49SZX20210216AY</v>
      </c>
      <c r="K3285" s="51" t="str">
        <f>VLOOKUP(H3285,Stock_list!A:T,16,FALSE)</f>
        <v>RMB</v>
      </c>
      <c r="L3285" s="4">
        <v>44616</v>
      </c>
      <c r="M3285" s="140">
        <v>4</v>
      </c>
      <c r="P3285" s="4" t="str">
        <f>VLOOKUP(H3285,Stock_list!A:Y,25,FALSE)</f>
        <v>Yes</v>
      </c>
      <c r="Q3285" s="143"/>
      <c r="T3285" s="144"/>
      <c r="U3285" s="145" t="str">
        <f>VLOOKUP(H3285,Stock_list!A:N,14,FALSE)</f>
        <v>FEB 22</v>
      </c>
    </row>
    <row r="3286" spans="1:21" ht="16.5" customHeight="1">
      <c r="A3286" s="159" t="s">
        <v>2744</v>
      </c>
      <c r="B3286" s="114" t="str">
        <f>VLOOKUP(A3286,'Data pick slip'!B:F,5,FALSE)</f>
        <v>KHJ-MC100-00</v>
      </c>
      <c r="F3286" s="157" t="s">
        <v>2753</v>
      </c>
      <c r="H3286" s="138">
        <v>1512</v>
      </c>
      <c r="I3286" s="139" t="str">
        <f>VLOOKUP(H3286,Stock_list!A:R,18,FALSE)</f>
        <v>勃旭</v>
      </c>
      <c r="J3286" s="139" t="str">
        <f>VLOOKUP(H3286,Stock_list!A:S,17,FALSE)</f>
        <v>C49SZX20210216AY</v>
      </c>
      <c r="K3286" s="51" t="str">
        <f>VLOOKUP(H3286,Stock_list!A:T,16,FALSE)</f>
        <v>RMB</v>
      </c>
      <c r="L3286" s="4">
        <v>44583</v>
      </c>
      <c r="M3286" s="140">
        <v>20</v>
      </c>
      <c r="P3286" s="4" t="str">
        <f>VLOOKUP(H3286,Stock_list!A:Y,25,FALSE)</f>
        <v>Yes</v>
      </c>
      <c r="Q3286" s="143"/>
      <c r="T3286" s="144"/>
      <c r="U3286" s="145" t="str">
        <f>VLOOKUP(H3286,Stock_list!A:N,14,FALSE)</f>
        <v>FEB 22</v>
      </c>
    </row>
    <row r="3287" spans="1:21" ht="16.5" customHeight="1">
      <c r="A3287" s="159" t="s">
        <v>2747</v>
      </c>
      <c r="B3287" s="114" t="str">
        <f>VLOOKUP(A3287,'Data pick slip'!B:F,5,FALSE)</f>
        <v>KHJ-MC200-00</v>
      </c>
      <c r="F3287" s="157" t="s">
        <v>2753</v>
      </c>
      <c r="H3287" s="138">
        <v>1512</v>
      </c>
      <c r="I3287" s="139" t="str">
        <f>VLOOKUP(H3287,Stock_list!A:R,18,FALSE)</f>
        <v>勃旭</v>
      </c>
      <c r="J3287" s="139" t="str">
        <f>VLOOKUP(H3287,Stock_list!A:S,17,FALSE)</f>
        <v>C49SZX20210216AY</v>
      </c>
      <c r="K3287" s="51" t="str">
        <f>VLOOKUP(H3287,Stock_list!A:T,16,FALSE)</f>
        <v>RMB</v>
      </c>
      <c r="L3287" s="4">
        <v>44583</v>
      </c>
      <c r="M3287" s="140">
        <v>4</v>
      </c>
      <c r="P3287" s="4" t="str">
        <f>VLOOKUP(H3287,Stock_list!A:Y,25,FALSE)</f>
        <v>Yes</v>
      </c>
      <c r="Q3287" s="143"/>
      <c r="T3287" s="144"/>
      <c r="U3287" s="145" t="str">
        <f>VLOOKUP(H3287,Stock_list!A:N,14,FALSE)</f>
        <v>FEB 22</v>
      </c>
    </row>
    <row r="3288" spans="1:21" ht="16.5" customHeight="1">
      <c r="A3288" s="159" t="s">
        <v>2747</v>
      </c>
      <c r="B3288" s="114" t="str">
        <f>VLOOKUP(A3288,'Data pick slip'!B:F,5,FALSE)</f>
        <v>KHJ-MC200-00</v>
      </c>
      <c r="F3288" s="157" t="s">
        <v>2753</v>
      </c>
      <c r="I3288" s="139" t="s">
        <v>3100</v>
      </c>
      <c r="J3288" s="267" t="s">
        <v>3487</v>
      </c>
      <c r="K3288" s="51" t="s">
        <v>1246</v>
      </c>
      <c r="L3288" s="4">
        <v>44539</v>
      </c>
      <c r="M3288" s="140">
        <v>1</v>
      </c>
      <c r="P3288" s="4" t="s">
        <v>291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2755</v>
      </c>
      <c r="B3289" s="114" t="str">
        <f>VLOOKUP(A3289,'Data pick slip'!B:F,5,FALSE)</f>
        <v>KLJ-MC100-00</v>
      </c>
      <c r="F3289" s="157" t="s">
        <v>2862</v>
      </c>
      <c r="H3289" s="138">
        <v>1514</v>
      </c>
      <c r="I3289" s="139" t="str">
        <f>VLOOKUP(H3289,Stock_list!A:R,18,FALSE)</f>
        <v>魔乐视</v>
      </c>
      <c r="J3289" s="139" t="str">
        <f>VLOOKUP(H3289,Stock_list!A:S,17,FALSE)</f>
        <v>C49SZX20210206MZ</v>
      </c>
      <c r="K3289" s="51" t="str">
        <f>VLOOKUP(H3289,Stock_list!A:T,16,FALSE)</f>
        <v>JPY</v>
      </c>
      <c r="L3289" s="4">
        <v>44670</v>
      </c>
      <c r="M3289" s="143">
        <v>160</v>
      </c>
      <c r="P3289" s="4" t="str">
        <f>VLOOKUP(H3289,Stock_list!A:Y,25,FALSE)</f>
        <v>Yes</v>
      </c>
      <c r="T3289" s="144"/>
      <c r="U3289" s="145" t="str">
        <f>VLOOKUP(H3289,Stock_list!A:N,14,FALSE)</f>
        <v>APR 22</v>
      </c>
    </row>
    <row r="3290" spans="1:21" ht="16.5" customHeight="1">
      <c r="A3290" s="159" t="s">
        <v>2757</v>
      </c>
      <c r="B3290" s="114" t="str">
        <f>VLOOKUP(A3290,'Data pick slip'!B:F,5,FALSE)</f>
        <v>KLJ-MC400-00</v>
      </c>
      <c r="F3290" s="157" t="s">
        <v>2862</v>
      </c>
      <c r="H3290" s="138">
        <v>1514</v>
      </c>
      <c r="I3290" s="139" t="str">
        <f>VLOOKUP(H3290,Stock_list!A:R,18,FALSE)</f>
        <v>魔乐视</v>
      </c>
      <c r="J3290" s="139" t="str">
        <f>VLOOKUP(H3290,Stock_list!A:S,17,FALSE)</f>
        <v>C49SZX20210206MZ</v>
      </c>
      <c r="K3290" s="51" t="str">
        <f>VLOOKUP(H3290,Stock_list!A:T,16,FALSE)</f>
        <v>JPY</v>
      </c>
      <c r="L3290" s="4">
        <v>44670</v>
      </c>
      <c r="M3290" s="143">
        <v>10</v>
      </c>
      <c r="P3290" s="4" t="str">
        <f>VLOOKUP(H3290,Stock_list!A:Y,25,FALSE)</f>
        <v>Yes</v>
      </c>
      <c r="T3290" s="144"/>
      <c r="U3290" s="145" t="str">
        <f>VLOOKUP(H3290,Stock_list!A:N,14,FALSE)</f>
        <v>APR 22</v>
      </c>
    </row>
    <row r="3291" spans="1:21" ht="16.5" customHeight="1">
      <c r="A3291" s="159" t="s">
        <v>2758</v>
      </c>
      <c r="B3291" s="114" t="str">
        <f>VLOOKUP(A3291,'Data pick slip'!B:F,5,FALSE)</f>
        <v>KLJ-MC500-00</v>
      </c>
      <c r="F3291" s="157" t="s">
        <v>2862</v>
      </c>
      <c r="H3291" s="138">
        <v>1514</v>
      </c>
      <c r="I3291" s="139" t="str">
        <f>VLOOKUP(H3291,Stock_list!A:R,18,FALSE)</f>
        <v>魔乐视</v>
      </c>
      <c r="J3291" s="139" t="str">
        <f>VLOOKUP(H3291,Stock_list!A:S,17,FALSE)</f>
        <v>C49SZX20210206MZ</v>
      </c>
      <c r="K3291" s="51" t="str">
        <f>VLOOKUP(H3291,Stock_list!A:T,16,FALSE)</f>
        <v>JPY</v>
      </c>
      <c r="L3291" s="4">
        <v>44670</v>
      </c>
      <c r="M3291" s="143">
        <v>2</v>
      </c>
      <c r="P3291" s="4" t="str">
        <f>VLOOKUP(H3291,Stock_list!A:Y,25,FALSE)</f>
        <v>Yes</v>
      </c>
      <c r="T3291" s="144"/>
      <c r="U3291" s="145" t="str">
        <f>VLOOKUP(H3291,Stock_list!A:N,14,FALSE)</f>
        <v>APR 22</v>
      </c>
    </row>
    <row r="3292" spans="1:21" ht="16.5" customHeight="1">
      <c r="A3292" s="159" t="s">
        <v>2759</v>
      </c>
      <c r="B3292" s="114" t="str">
        <f>VLOOKUP(A3292,'Data pick slip'!B:F,5,FALSE)</f>
        <v>KLJ-MC600-00</v>
      </c>
      <c r="F3292" s="157" t="s">
        <v>2862</v>
      </c>
      <c r="H3292" s="138">
        <v>1514</v>
      </c>
      <c r="I3292" s="139" t="str">
        <f>VLOOKUP(H3292,Stock_list!A:R,18,FALSE)</f>
        <v>魔乐视</v>
      </c>
      <c r="J3292" s="139" t="str">
        <f>VLOOKUP(H3292,Stock_list!A:S,17,FALSE)</f>
        <v>C49SZX20210206MZ</v>
      </c>
      <c r="K3292" s="51" t="str">
        <f>VLOOKUP(H3292,Stock_list!A:T,16,FALSE)</f>
        <v>JPY</v>
      </c>
      <c r="L3292" s="4">
        <v>44670</v>
      </c>
      <c r="M3292" s="143">
        <v>2</v>
      </c>
      <c r="P3292" s="4" t="str">
        <f>VLOOKUP(H3292,Stock_list!A:Y,25,FALSE)</f>
        <v>Yes</v>
      </c>
      <c r="T3292" s="144"/>
      <c r="U3292" s="145" t="str">
        <f>VLOOKUP(H3292,Stock_list!A:N,14,FALSE)</f>
        <v>APR 22</v>
      </c>
    </row>
    <row r="3293" spans="1:21" ht="16.5" customHeight="1">
      <c r="A3293" s="159" t="s">
        <v>2755</v>
      </c>
      <c r="B3293" s="114" t="str">
        <f>VLOOKUP(A3293,'Data pick slip'!B:F,5,FALSE)</f>
        <v>KLJ-MC100-00</v>
      </c>
      <c r="F3293" s="157" t="s">
        <v>2862</v>
      </c>
      <c r="H3293" s="138">
        <v>1518</v>
      </c>
      <c r="I3293" s="139" t="str">
        <f>VLOOKUP(H3293,Stock_list!A:R,18,FALSE)</f>
        <v>魔乐视</v>
      </c>
      <c r="J3293" s="139" t="str">
        <f>VLOOKUP(H3293,Stock_list!A:S,17,FALSE)</f>
        <v>C49SZX20210215MZ</v>
      </c>
      <c r="K3293" s="51" t="str">
        <f>VLOOKUP(H3293,Stock_list!A:T,16,FALSE)</f>
        <v>JPY</v>
      </c>
      <c r="L3293" s="4">
        <v>44843</v>
      </c>
      <c r="M3293" s="140">
        <v>160</v>
      </c>
      <c r="N3293" s="143"/>
      <c r="P3293" s="4" t="str">
        <f>VLOOKUP(H3293,Stock_list!A:Y,25,FALSE)</f>
        <v>Yes</v>
      </c>
      <c r="T3293" s="144"/>
      <c r="U3293" s="145" t="str">
        <f>VLOOKUP(H3293,Stock_list!A:N,14,FALSE)</f>
        <v>SEP 22</v>
      </c>
    </row>
    <row r="3294" spans="1:21" ht="16.5" customHeight="1">
      <c r="A3294" s="159" t="s">
        <v>2757</v>
      </c>
      <c r="B3294" s="114" t="str">
        <f>VLOOKUP(A3294,'Data pick slip'!B:F,5,FALSE)</f>
        <v>KLJ-MC400-00</v>
      </c>
      <c r="F3294" s="157" t="s">
        <v>2862</v>
      </c>
      <c r="H3294" s="138">
        <v>1518</v>
      </c>
      <c r="I3294" s="139" t="str">
        <f>VLOOKUP(H3294,Stock_list!A:R,18,FALSE)</f>
        <v>魔乐视</v>
      </c>
      <c r="J3294" s="139" t="str">
        <f>VLOOKUP(H3294,Stock_list!A:S,17,FALSE)</f>
        <v>C49SZX20210215MZ</v>
      </c>
      <c r="K3294" s="51" t="str">
        <f>VLOOKUP(H3294,Stock_list!A:T,16,FALSE)</f>
        <v>JPY</v>
      </c>
      <c r="L3294" s="4">
        <v>44843</v>
      </c>
      <c r="M3294" s="140">
        <v>10</v>
      </c>
      <c r="N3294" s="143"/>
      <c r="P3294" s="4" t="str">
        <f>VLOOKUP(H3294,Stock_list!A:Y,25,FALSE)</f>
        <v>Yes</v>
      </c>
      <c r="T3294" s="144"/>
      <c r="U3294" s="145" t="str">
        <f>VLOOKUP(H3294,Stock_list!A:N,14,FALSE)</f>
        <v>SEP 22</v>
      </c>
    </row>
    <row r="3295" spans="1:21" ht="16.5" customHeight="1">
      <c r="A3295" s="159" t="s">
        <v>2758</v>
      </c>
      <c r="B3295" s="114" t="str">
        <f>VLOOKUP(A3295,'Data pick slip'!B:F,5,FALSE)</f>
        <v>KLJ-MC500-00</v>
      </c>
      <c r="F3295" s="157" t="s">
        <v>2862</v>
      </c>
      <c r="H3295" s="138">
        <v>1518</v>
      </c>
      <c r="I3295" s="139" t="str">
        <f>VLOOKUP(H3295,Stock_list!A:R,18,FALSE)</f>
        <v>魔乐视</v>
      </c>
      <c r="J3295" s="139" t="str">
        <f>VLOOKUP(H3295,Stock_list!A:S,17,FALSE)</f>
        <v>C49SZX20210215MZ</v>
      </c>
      <c r="K3295" s="51" t="str">
        <f>VLOOKUP(H3295,Stock_list!A:T,16,FALSE)</f>
        <v>JPY</v>
      </c>
      <c r="L3295" s="4">
        <v>44843</v>
      </c>
      <c r="M3295" s="140">
        <v>2</v>
      </c>
      <c r="N3295" s="143"/>
      <c r="P3295" s="4" t="str">
        <f>VLOOKUP(H3295,Stock_list!A:Y,25,FALSE)</f>
        <v>Yes</v>
      </c>
      <c r="T3295" s="144"/>
      <c r="U3295" s="145" t="str">
        <f>VLOOKUP(H3295,Stock_list!A:N,14,FALSE)</f>
        <v>SEP 22</v>
      </c>
    </row>
    <row r="3296" spans="1:21" ht="16.5" customHeight="1">
      <c r="A3296" s="159" t="s">
        <v>2759</v>
      </c>
      <c r="B3296" s="114" t="str">
        <f>VLOOKUP(A3296,'Data pick slip'!B:F,5,FALSE)</f>
        <v>KLJ-MC600-00</v>
      </c>
      <c r="F3296" s="157" t="s">
        <v>2862</v>
      </c>
      <c r="H3296" s="138">
        <v>1518</v>
      </c>
      <c r="I3296" s="139" t="str">
        <f>VLOOKUP(H3296,Stock_list!A:R,18,FALSE)</f>
        <v>魔乐视</v>
      </c>
      <c r="J3296" s="139" t="str">
        <f>VLOOKUP(H3296,Stock_list!A:S,17,FALSE)</f>
        <v>C49SZX20210215MZ</v>
      </c>
      <c r="K3296" s="51" t="str">
        <f>VLOOKUP(H3296,Stock_list!A:T,16,FALSE)</f>
        <v>JPY</v>
      </c>
      <c r="L3296" s="4">
        <v>44843</v>
      </c>
      <c r="M3296" s="140">
        <v>1</v>
      </c>
      <c r="N3296" s="143"/>
      <c r="P3296" s="4" t="str">
        <f>VLOOKUP(H3296,Stock_list!A:Y,25,FALSE)</f>
        <v>Yes</v>
      </c>
      <c r="T3296" s="144"/>
      <c r="U3296" s="145" t="str">
        <f>VLOOKUP(H3296,Stock_list!A:N,14,FALSE)</f>
        <v>SEP 22</v>
      </c>
    </row>
    <row r="3297" spans="1:21" ht="21" customHeight="1">
      <c r="A3297" s="159" t="s">
        <v>2757</v>
      </c>
      <c r="B3297" s="114" t="str">
        <f>VLOOKUP(A3297,'Data pick slip'!B:F,5,FALSE)</f>
        <v>KLJ-MC400-00</v>
      </c>
      <c r="F3297" s="157" t="s">
        <v>2753</v>
      </c>
      <c r="I3297" s="139" t="s">
        <v>3094</v>
      </c>
      <c r="J3297" s="270" t="s">
        <v>3488</v>
      </c>
      <c r="K3297" s="51" t="s">
        <v>1246</v>
      </c>
      <c r="L3297" s="4">
        <v>44544</v>
      </c>
      <c r="M3297" s="140">
        <v>15</v>
      </c>
      <c r="P3297" s="4" t="s">
        <v>291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2749</v>
      </c>
      <c r="B3298" s="114" t="str">
        <f>VLOOKUP(A3298,'Data pick slip'!B:F,5,FALSE)</f>
        <v>KHJ-MC500-00</v>
      </c>
      <c r="F3298" s="157" t="s">
        <v>2753</v>
      </c>
      <c r="I3298" s="139" t="s">
        <v>3287</v>
      </c>
      <c r="J3298" s="267" t="s">
        <v>3489</v>
      </c>
      <c r="K3298" s="51" t="s">
        <v>1246</v>
      </c>
      <c r="L3298" s="4">
        <v>44547</v>
      </c>
      <c r="M3298" s="140">
        <v>4</v>
      </c>
      <c r="P3298" s="4" t="s">
        <v>291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2744</v>
      </c>
      <c r="B3299" s="114" t="str">
        <f>VLOOKUP(A3299,'Data pick slip'!B:F,5,FALSE)</f>
        <v>KHJ-MC100-00</v>
      </c>
      <c r="F3299" s="157" t="s">
        <v>2753</v>
      </c>
      <c r="I3299" s="139" t="s">
        <v>3100</v>
      </c>
      <c r="J3299" s="139" t="s">
        <v>3490</v>
      </c>
      <c r="K3299" s="51" t="s">
        <v>1246</v>
      </c>
      <c r="L3299" s="4">
        <v>44547</v>
      </c>
      <c r="M3299" s="140">
        <v>18</v>
      </c>
      <c r="P3299" s="4" t="s">
        <v>291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2747</v>
      </c>
      <c r="B3300" s="114" t="str">
        <f>VLOOKUP(A3300,'Data pick slip'!B:F,5,FALSE)</f>
        <v>KHJ-MC200-00</v>
      </c>
      <c r="F3300" s="157" t="s">
        <v>2753</v>
      </c>
      <c r="I3300" s="139" t="s">
        <v>3491</v>
      </c>
      <c r="J3300" s="267" t="s">
        <v>3492</v>
      </c>
      <c r="K3300" s="51" t="s">
        <v>36</v>
      </c>
      <c r="L3300" s="4">
        <v>44547</v>
      </c>
      <c r="M3300" s="140">
        <v>10</v>
      </c>
      <c r="P3300" s="4" t="s">
        <v>291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2748</v>
      </c>
      <c r="B3301" s="114" t="str">
        <f>VLOOKUP(A3301,'Data pick slip'!B:F,5,FALSE)</f>
        <v>KHJ-MC400-00</v>
      </c>
      <c r="F3301" s="157" t="s">
        <v>2753</v>
      </c>
      <c r="I3301" s="139" t="s">
        <v>3491</v>
      </c>
      <c r="J3301" s="139" t="s">
        <v>3490</v>
      </c>
      <c r="K3301" s="51" t="s">
        <v>36</v>
      </c>
      <c r="L3301" s="4">
        <v>44547</v>
      </c>
      <c r="M3301" s="140">
        <v>1</v>
      </c>
      <c r="P3301" s="4" t="s">
        <v>291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2744</v>
      </c>
      <c r="B3302" s="114" t="str">
        <f>VLOOKUP(A3302,'Data pick slip'!B:F,5,FALSE)</f>
        <v>KHJ-MC100-00</v>
      </c>
      <c r="F3302" s="157" t="s">
        <v>1381</v>
      </c>
      <c r="H3302" s="138">
        <v>1523</v>
      </c>
      <c r="I3302" s="139" t="str">
        <f>VLOOKUP(H3302,Stock_list!A:R,18,FALSE)</f>
        <v>赛美达</v>
      </c>
      <c r="J3302" s="139" t="str">
        <f>VLOOKUP(H3302,Stock_list!A:S,17,FALSE)</f>
        <v>C49SZX20210220SX</v>
      </c>
      <c r="K3302" s="51" t="str">
        <f>VLOOKUP(H3302,Stock_list!A:T,16,FALSE)</f>
        <v>JPY</v>
      </c>
      <c r="L3302" s="4">
        <v>44776</v>
      </c>
      <c r="M3302" s="132">
        <v>52</v>
      </c>
      <c r="P3302" s="4" t="str">
        <f>VLOOKUP(H3302,Stock_list!A:Y,25,FALSE)</f>
        <v>Yes</v>
      </c>
      <c r="Q3302" s="143"/>
      <c r="T3302" s="144"/>
      <c r="U3302" s="145" t="str">
        <f>VLOOKUP(H3302,Stock_list!A:N,14,FALSE)</f>
        <v>AUG 22</v>
      </c>
    </row>
    <row r="3303" spans="1:21" ht="16.5" customHeight="1">
      <c r="A3303" s="159" t="s">
        <v>2747</v>
      </c>
      <c r="B3303" s="114" t="str">
        <f>VLOOKUP(A3303,'Data pick slip'!B:F,5,FALSE)</f>
        <v>KHJ-MC200-00</v>
      </c>
      <c r="F3303" s="157" t="s">
        <v>1381</v>
      </c>
      <c r="H3303" s="138">
        <v>1523</v>
      </c>
      <c r="I3303" s="139" t="str">
        <f>VLOOKUP(H3303,Stock_list!A:R,18,FALSE)</f>
        <v>赛美达</v>
      </c>
      <c r="J3303" s="139" t="str">
        <f>VLOOKUP(H3303,Stock_list!A:S,17,FALSE)</f>
        <v>C49SZX20210220SX</v>
      </c>
      <c r="K3303" s="51" t="str">
        <f>VLOOKUP(H3303,Stock_list!A:T,16,FALSE)</f>
        <v>JPY</v>
      </c>
      <c r="L3303" s="4">
        <v>44776</v>
      </c>
      <c r="M3303" s="132">
        <v>15</v>
      </c>
      <c r="P3303" s="4" t="str">
        <f>VLOOKUP(H3303,Stock_list!A:Y,25,FALSE)</f>
        <v>Yes</v>
      </c>
      <c r="Q3303" s="143"/>
      <c r="T3303" s="144"/>
      <c r="U3303" s="145" t="str">
        <f>VLOOKUP(H3303,Stock_list!A:N,14,FALSE)</f>
        <v>AUG 22</v>
      </c>
    </row>
    <row r="3304" spans="1:21" ht="16.5" customHeight="1">
      <c r="A3304" s="159" t="s">
        <v>2748</v>
      </c>
      <c r="B3304" s="114" t="str">
        <f>VLOOKUP(A3304,'Data pick slip'!B:F,5,FALSE)</f>
        <v>KHJ-MC400-00</v>
      </c>
      <c r="F3304" s="157" t="s">
        <v>1381</v>
      </c>
      <c r="H3304" s="138">
        <v>1523</v>
      </c>
      <c r="I3304" s="139" t="str">
        <f>VLOOKUP(H3304,Stock_list!A:R,18,FALSE)</f>
        <v>赛美达</v>
      </c>
      <c r="J3304" s="139" t="str">
        <f>VLOOKUP(H3304,Stock_list!A:S,17,FALSE)</f>
        <v>C49SZX20210220SX</v>
      </c>
      <c r="K3304" s="51" t="str">
        <f>VLOOKUP(H3304,Stock_list!A:T,16,FALSE)</f>
        <v>JPY</v>
      </c>
      <c r="L3304" s="4">
        <v>44776</v>
      </c>
      <c r="M3304" s="132">
        <v>2</v>
      </c>
      <c r="P3304" s="4" t="str">
        <f>VLOOKUP(H3304,Stock_list!A:Y,25,FALSE)</f>
        <v>Yes</v>
      </c>
      <c r="Q3304" s="143"/>
      <c r="T3304" s="144"/>
      <c r="U3304" s="145" t="str">
        <f>VLOOKUP(H3304,Stock_list!A:N,14,FALSE)</f>
        <v>AUG 22</v>
      </c>
    </row>
    <row r="3305" spans="1:21" ht="16.5" customHeight="1">
      <c r="A3305" s="159" t="s">
        <v>2749</v>
      </c>
      <c r="B3305" s="114" t="str">
        <f>VLOOKUP(A3305,'Data pick slip'!B:F,5,FALSE)</f>
        <v>KHJ-MC500-00</v>
      </c>
      <c r="F3305" s="157" t="s">
        <v>1381</v>
      </c>
      <c r="H3305" s="138">
        <v>1523</v>
      </c>
      <c r="I3305" s="139" t="str">
        <f>VLOOKUP(H3305,Stock_list!A:R,18,FALSE)</f>
        <v>赛美达</v>
      </c>
      <c r="J3305" s="139" t="str">
        <f>VLOOKUP(H3305,Stock_list!A:S,17,FALSE)</f>
        <v>C49SZX20210220SX</v>
      </c>
      <c r="K3305" s="51" t="str">
        <f>VLOOKUP(H3305,Stock_list!A:T,16,FALSE)</f>
        <v>JPY</v>
      </c>
      <c r="L3305" s="4">
        <v>44776</v>
      </c>
      <c r="M3305" s="132">
        <v>1</v>
      </c>
      <c r="P3305" s="4" t="str">
        <f>VLOOKUP(H3305,Stock_list!A:Y,25,FALSE)</f>
        <v>Yes</v>
      </c>
      <c r="Q3305" s="143"/>
      <c r="T3305" s="144"/>
      <c r="U3305" s="145" t="str">
        <f>VLOOKUP(H3305,Stock_list!A:N,14,FALSE)</f>
        <v>AUG 22</v>
      </c>
    </row>
    <row r="3306" spans="1:21" ht="16.5" customHeight="1">
      <c r="A3306" s="159" t="s">
        <v>2744</v>
      </c>
      <c r="B3306" s="114" t="str">
        <f>VLOOKUP(A3306,'Data pick slip'!B:F,5,FALSE)</f>
        <v>KHJ-MC100-00</v>
      </c>
      <c r="F3306" s="157" t="s">
        <v>1381</v>
      </c>
      <c r="H3306" s="138">
        <v>1525</v>
      </c>
      <c r="I3306" s="139" t="str">
        <f>VLOOKUP(H3306,Stock_list!A:R,18,FALSE)</f>
        <v>微克（end user：蓝极光）</v>
      </c>
      <c r="J3306" s="139" t="str">
        <f>VLOOKUP(H3306,Stock_list!A:S,17,FALSE)</f>
        <v>C49SZX20220030SS</v>
      </c>
      <c r="K3306" s="51" t="str">
        <f>VLOOKUP(H3306,Stock_list!A:T,16,FALSE)</f>
        <v>JPY</v>
      </c>
      <c r="L3306" s="4">
        <v>44712</v>
      </c>
      <c r="M3306" s="140">
        <v>120</v>
      </c>
      <c r="P3306" s="4" t="str">
        <f>VLOOKUP(H3306,Stock_list!A:Y,25,FALSE)</f>
        <v>Yes</v>
      </c>
      <c r="Q3306" s="143"/>
      <c r="T3306" s="144"/>
      <c r="U3306" s="145" t="str">
        <f>VLOOKUP(H3306,Stock_list!A:N,14,FALSE)</f>
        <v>MAY 22</v>
      </c>
    </row>
    <row r="3307" spans="1:21" ht="16.5" customHeight="1">
      <c r="A3307" s="159" t="s">
        <v>2744</v>
      </c>
      <c r="B3307" s="114" t="str">
        <f>VLOOKUP(A3307,'Data pick slip'!B:F,5,FALSE)</f>
        <v>KHJ-MC100-00</v>
      </c>
      <c r="F3307" s="157" t="s">
        <v>1381</v>
      </c>
      <c r="I3307" s="269" t="s">
        <v>3414</v>
      </c>
      <c r="J3307" s="139" t="s">
        <v>3493</v>
      </c>
      <c r="K3307" s="51" t="s">
        <v>1246</v>
      </c>
      <c r="L3307" s="4">
        <v>44558</v>
      </c>
      <c r="M3307" s="140">
        <v>3</v>
      </c>
      <c r="P3307" s="4" t="s">
        <v>291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2755</v>
      </c>
      <c r="B3308" s="114" t="str">
        <f>VLOOKUP(A3308,'Data pick slip'!B:F,5,FALSE)</f>
        <v>KLJ-MC100-00</v>
      </c>
      <c r="F3308" s="157" t="s">
        <v>2753</v>
      </c>
      <c r="H3308" s="138">
        <v>1529</v>
      </c>
      <c r="I3308" s="139" t="str">
        <f>VLOOKUP(H3308,Stock_list!A:R,18,FALSE)</f>
        <v>湖南新亚胜</v>
      </c>
      <c r="J3308" s="139" t="str">
        <f>VLOOKUP(H3308,Stock_list!A:S,17,FALSE)</f>
        <v>C49SZX20210210DZ</v>
      </c>
      <c r="K3308" s="51" t="str">
        <f>VLOOKUP(H3308,Stock_list!A:T,16,FALSE)</f>
        <v>RMB</v>
      </c>
      <c r="L3308" s="4">
        <v>44629</v>
      </c>
      <c r="M3308" s="140">
        <v>20</v>
      </c>
      <c r="P3308" s="4" t="str">
        <f>VLOOKUP(H3308,Stock_list!A:Y,25,FALSE)</f>
        <v>Yes</v>
      </c>
      <c r="Q3308" s="143"/>
      <c r="T3308" s="144"/>
      <c r="U3308" s="145" t="str">
        <f>VLOOKUP(H3308,Stock_list!A:N,14,FALSE)</f>
        <v>MAR 22</v>
      </c>
    </row>
    <row r="3309" spans="1:21" ht="16.5" customHeight="1">
      <c r="A3309" s="159" t="s">
        <v>2755</v>
      </c>
      <c r="B3309" s="114" t="str">
        <f>VLOOKUP(A3309,'Data pick slip'!B:F,5,FALSE)</f>
        <v>KLJ-MC100-00</v>
      </c>
      <c r="F3309" s="157" t="s">
        <v>1381</v>
      </c>
      <c r="H3309" s="138">
        <v>1531</v>
      </c>
      <c r="I3309" s="139" t="str">
        <f>VLOOKUP(H3309,Stock_list!A:R,18,FALSE)</f>
        <v>东莞鸿楠</v>
      </c>
      <c r="J3309" s="139" t="str">
        <f>VLOOKUP(H3309,Stock_list!A:S,17,FALSE)</f>
        <v>C49SZX20210223MZR1</v>
      </c>
      <c r="K3309" s="51" t="str">
        <f>VLOOKUP(H3309,Stock_list!A:T,16,FALSE)</f>
        <v>JPY</v>
      </c>
      <c r="L3309" s="4"/>
      <c r="N3309" s="132">
        <f>300-30</f>
        <v>270</v>
      </c>
      <c r="P3309" s="4" t="str">
        <f>VLOOKUP(H3309,Stock_list!A:Y,25,FALSE)</f>
        <v>Yes</v>
      </c>
      <c r="Q3309" s="143"/>
      <c r="T3309" s="144"/>
      <c r="U3309" s="145" t="str">
        <f>VLOOKUP(H3309,Stock_list!A:N,14,FALSE)</f>
        <v>FEB 22</v>
      </c>
    </row>
    <row r="3310" spans="1:21" ht="16.5" customHeight="1">
      <c r="A3310" s="159" t="s">
        <v>2756</v>
      </c>
      <c r="B3310" s="114" t="str">
        <f>VLOOKUP(A3310,'Data pick slip'!B:F,5,FALSE)</f>
        <v>KLJ-MC200-00</v>
      </c>
      <c r="F3310" s="157" t="s">
        <v>1381</v>
      </c>
      <c r="H3310" s="138">
        <v>1531</v>
      </c>
      <c r="I3310" s="139" t="str">
        <f>VLOOKUP(H3310,Stock_list!A:R,18,FALSE)</f>
        <v>东莞鸿楠</v>
      </c>
      <c r="J3310" s="139" t="str">
        <f>VLOOKUP(H3310,Stock_list!A:S,17,FALSE)</f>
        <v>C49SZX20210223MZR1</v>
      </c>
      <c r="K3310" s="51" t="str">
        <f>VLOOKUP(H3310,Stock_list!A:T,16,FALSE)</f>
        <v>JPY</v>
      </c>
      <c r="L3310" s="4"/>
      <c r="N3310" s="132">
        <v>20</v>
      </c>
      <c r="P3310" s="4" t="str">
        <f>VLOOKUP(H3310,Stock_list!A:Y,25,FALSE)</f>
        <v>Yes</v>
      </c>
      <c r="Q3310" s="143"/>
      <c r="T3310" s="144"/>
      <c r="U3310" s="145" t="str">
        <f>VLOOKUP(H3310,Stock_list!A:N,14,FALSE)</f>
        <v>FEB 22</v>
      </c>
    </row>
    <row r="3311" spans="1:21" ht="16.5" customHeight="1">
      <c r="A3311" s="159" t="s">
        <v>2755</v>
      </c>
      <c r="B3311" s="114" t="str">
        <f>VLOOKUP(A3311,'Data pick slip'!B:F,5,FALSE)</f>
        <v>KLJ-MC100-00</v>
      </c>
      <c r="F3311" s="157" t="s">
        <v>1381</v>
      </c>
      <c r="H3311" s="138">
        <v>1531</v>
      </c>
      <c r="I3311" s="139" t="str">
        <f>VLOOKUP(H3311,Stock_list!A:R,18,FALSE)</f>
        <v>东莞鸿楠</v>
      </c>
      <c r="J3311" s="139" t="str">
        <f>VLOOKUP(H3311,Stock_list!A:S,17,FALSE)</f>
        <v>C49SZX20210223MZR1</v>
      </c>
      <c r="K3311" s="51" t="str">
        <f>VLOOKUP(H3311,Stock_list!A:T,16,FALSE)</f>
        <v>JPY</v>
      </c>
      <c r="L3311" s="4">
        <v>44613</v>
      </c>
      <c r="M3311" s="140">
        <v>30</v>
      </c>
      <c r="P3311" s="4" t="str">
        <f>VLOOKUP(H3311,Stock_list!A:Y,25,FALSE)</f>
        <v>Yes</v>
      </c>
      <c r="Q3311" s="143"/>
      <c r="T3311" s="144"/>
      <c r="U3311" s="145" t="str">
        <f>VLOOKUP(H3311,Stock_list!A:N,14,FALSE)</f>
        <v>FEB 22</v>
      </c>
    </row>
    <row r="3312" spans="1:21" ht="16.5" customHeight="1">
      <c r="A3312" s="159" t="s">
        <v>2756</v>
      </c>
      <c r="B3312" s="114" t="str">
        <f>VLOOKUP(A3312,'Data pick slip'!B:F,5,FALSE)</f>
        <v>KLJ-MC200-00</v>
      </c>
      <c r="F3312" s="157" t="s">
        <v>1381</v>
      </c>
      <c r="H3312" s="138">
        <v>1531</v>
      </c>
      <c r="I3312" s="139" t="str">
        <f>VLOOKUP(H3312,Stock_list!A:R,18,FALSE)</f>
        <v>东莞鸿楠</v>
      </c>
      <c r="J3312" s="139" t="str">
        <f>VLOOKUP(H3312,Stock_list!A:S,17,FALSE)</f>
        <v>C49SZX20210223MZR1</v>
      </c>
      <c r="K3312" s="51" t="str">
        <f>VLOOKUP(H3312,Stock_list!A:T,16,FALSE)</f>
        <v>JPY</v>
      </c>
      <c r="L3312" s="4">
        <v>44613</v>
      </c>
      <c r="M3312" s="140">
        <v>10</v>
      </c>
      <c r="P3312" s="4" t="str">
        <f>VLOOKUP(H3312,Stock_list!A:Y,25,FALSE)</f>
        <v>Yes</v>
      </c>
      <c r="Q3312" s="143"/>
      <c r="T3312" s="144"/>
      <c r="U3312" s="145" t="str">
        <f>VLOOKUP(H3312,Stock_list!A:N,14,FALSE)</f>
        <v>FEB 22</v>
      </c>
    </row>
    <row r="3313" spans="1:21" ht="16.5" customHeight="1">
      <c r="A3313" s="159" t="s">
        <v>2757</v>
      </c>
      <c r="B3313" s="114" t="str">
        <f>VLOOKUP(A3313,'Data pick slip'!B:F,5,FALSE)</f>
        <v>KLJ-MC400-00</v>
      </c>
      <c r="F3313" s="157" t="s">
        <v>1381</v>
      </c>
      <c r="H3313" s="138">
        <v>1531</v>
      </c>
      <c r="I3313" s="139" t="str">
        <f>VLOOKUP(H3313,Stock_list!A:R,18,FALSE)</f>
        <v>东莞鸿楠</v>
      </c>
      <c r="J3313" s="139" t="str">
        <f>VLOOKUP(H3313,Stock_list!A:S,17,FALSE)</f>
        <v>C49SZX20210223MZR1</v>
      </c>
      <c r="K3313" s="51" t="str">
        <f>VLOOKUP(H3313,Stock_list!A:T,16,FALSE)</f>
        <v>JPY</v>
      </c>
      <c r="L3313" s="4">
        <v>44575</v>
      </c>
      <c r="M3313" s="140">
        <v>10</v>
      </c>
      <c r="P3313" s="4" t="str">
        <f>VLOOKUP(H3313,Stock_list!A:Y,25,FALSE)</f>
        <v>Yes</v>
      </c>
      <c r="Q3313" s="143"/>
      <c r="T3313" s="144"/>
      <c r="U3313" s="145" t="str">
        <f>VLOOKUP(H3313,Stock_list!A:N,14,FALSE)</f>
        <v>FEB 22</v>
      </c>
    </row>
    <row r="3314" spans="1:21" ht="16.5" customHeight="1">
      <c r="A3314" s="159" t="s">
        <v>2756</v>
      </c>
      <c r="B3314" s="114" t="str">
        <f>VLOOKUP(A3314,'Data pick slip'!B:F,5,FALSE)</f>
        <v>KLJ-MC200-00</v>
      </c>
      <c r="F3314" s="157" t="s">
        <v>2753</v>
      </c>
      <c r="H3314" s="138">
        <v>1540</v>
      </c>
      <c r="I3314" s="139" t="str">
        <f>VLOOKUP(H3314,Stock_list!A:R,18,FALSE)</f>
        <v>深圳快宇</v>
      </c>
      <c r="J3314" s="139" t="str">
        <f>VLOOKUP(H3314,Stock_list!A:S,17,FALSE)</f>
        <v>C49SZX20210222JL</v>
      </c>
      <c r="K3314" s="51" t="str">
        <f>VLOOKUP(H3314,Stock_list!A:T,16,FALSE)</f>
        <v>RMB</v>
      </c>
      <c r="L3314" s="4">
        <v>44574</v>
      </c>
      <c r="M3314" s="140">
        <v>16</v>
      </c>
      <c r="P3314" s="4" t="str">
        <f>VLOOKUP(H3314,Stock_list!A:Y,25,FALSE)</f>
        <v>Yes</v>
      </c>
      <c r="Q3314" s="143"/>
      <c r="T3314" s="144"/>
      <c r="U3314" s="145" t="str">
        <f>VLOOKUP(H3314,Stock_list!A:N,14,FALSE)</f>
        <v>JAN 22</v>
      </c>
    </row>
    <row r="3315" spans="1:21" ht="16.5" customHeight="1">
      <c r="A3315" s="159" t="s">
        <v>2744</v>
      </c>
      <c r="B3315" s="114" t="str">
        <f>VLOOKUP(A3315,'Data pick slip'!B:F,5,FALSE)</f>
        <v>KHJ-MC100-00</v>
      </c>
      <c r="F3315" s="157" t="s">
        <v>2753</v>
      </c>
      <c r="I3315" s="139" t="s">
        <v>3106</v>
      </c>
      <c r="J3315" s="139" t="s">
        <v>3494</v>
      </c>
      <c r="K3315" s="51" t="s">
        <v>1246</v>
      </c>
      <c r="L3315" s="4">
        <v>44617</v>
      </c>
      <c r="O3315" s="132">
        <f>4-4</f>
        <v>0</v>
      </c>
      <c r="P3315" s="4" t="s">
        <v>291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2744</v>
      </c>
      <c r="B3316" s="114" t="str">
        <f>VLOOKUP(A3316,'Data pick slip'!B:F,5,FALSE)</f>
        <v>KHJ-MC100-00</v>
      </c>
      <c r="F3316" s="157" t="s">
        <v>2753</v>
      </c>
      <c r="I3316" s="139" t="s">
        <v>3100</v>
      </c>
      <c r="J3316" s="309" t="s">
        <v>3495</v>
      </c>
      <c r="K3316" s="51" t="s">
        <v>1246</v>
      </c>
      <c r="L3316" s="4">
        <v>44565</v>
      </c>
      <c r="M3316" s="140">
        <v>2</v>
      </c>
      <c r="P3316" s="4" t="s">
        <v>291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2744</v>
      </c>
      <c r="B3317" s="114" t="str">
        <f>VLOOKUP(A3317,'Data pick slip'!B:F,5,FALSE)</f>
        <v>KHJ-MC100-00</v>
      </c>
      <c r="F3317" s="157" t="s">
        <v>2753</v>
      </c>
      <c r="I3317" s="139" t="s">
        <v>3100</v>
      </c>
      <c r="J3317" s="309" t="s">
        <v>3496</v>
      </c>
      <c r="K3317" s="51" t="s">
        <v>1246</v>
      </c>
      <c r="L3317" s="4">
        <v>44565</v>
      </c>
      <c r="M3317" s="140">
        <v>10</v>
      </c>
      <c r="P3317" s="4" t="s">
        <v>291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2755</v>
      </c>
      <c r="B3318" s="114" t="str">
        <f>VLOOKUP(A3318,'Data pick slip'!B:F,5,FALSE)</f>
        <v>KLJ-MC100-00</v>
      </c>
      <c r="F3318" s="157" t="s">
        <v>2753</v>
      </c>
      <c r="H3318" s="138">
        <v>1541</v>
      </c>
      <c r="I3318" s="139" t="str">
        <f>VLOOKUP(H3318,Stock_list!A:R,18,FALSE)</f>
        <v>深圳世达威</v>
      </c>
      <c r="J3318" s="139" t="str">
        <f>VLOOKUP(H3318,Stock_list!A:S,17,FALSE)</f>
        <v>C49SZX20220001SS</v>
      </c>
      <c r="K3318" s="51" t="str">
        <f>VLOOKUP(H3318,Stock_list!A:T,16,FALSE)</f>
        <v>RMB</v>
      </c>
      <c r="L3318" s="4">
        <v>44625</v>
      </c>
      <c r="M3318" s="140">
        <v>16</v>
      </c>
      <c r="P3318" s="4" t="str">
        <f>VLOOKUP(H3318,Stock_list!A:Y,25,FALSE)</f>
        <v>Yes</v>
      </c>
      <c r="Q3318" s="143"/>
      <c r="T3318" s="144"/>
      <c r="U3318" s="145">
        <f>VLOOKUP(H3318,Stock_list!A:N,14,FALSE)</f>
        <v>0</v>
      </c>
    </row>
    <row r="3319" spans="1:21" ht="16.5" customHeight="1">
      <c r="A3319" s="159" t="s">
        <v>2744</v>
      </c>
      <c r="B3319" s="114" t="str">
        <f>VLOOKUP(A3319,'Data pick slip'!B:F,5,FALSE)</f>
        <v>KHJ-MC100-00</v>
      </c>
      <c r="F3319" s="157" t="s">
        <v>1381</v>
      </c>
      <c r="H3319" s="138">
        <v>1542</v>
      </c>
      <c r="I3319" s="139" t="str">
        <f>VLOOKUP(H3319,Stock_list!A:R,18,FALSE)</f>
        <v>恒泰创新</v>
      </c>
      <c r="J3319" s="139" t="str">
        <f>VLOOKUP(H3319,Stock_list!A:S,17,FALSE)</f>
        <v>C49SZX20220004EC</v>
      </c>
      <c r="K3319" s="51" t="str">
        <f>VLOOKUP(H3319,Stock_list!A:T,16,FALSE)</f>
        <v>JPY</v>
      </c>
      <c r="L3319" s="4">
        <v>44823</v>
      </c>
      <c r="M3319" s="140">
        <v>53</v>
      </c>
      <c r="P3319" s="4" t="str">
        <f>VLOOKUP(H3319,Stock_list!A:Y,25,FALSE)</f>
        <v>Yes</v>
      </c>
      <c r="Q3319" s="143"/>
      <c r="T3319" s="144"/>
      <c r="U3319" s="145" t="str">
        <f>VLOOKUP(H3319,Stock_list!A:N,14,FALSE)</f>
        <v>SEP 22</v>
      </c>
    </row>
    <row r="3320" spans="1:21" ht="16.5" customHeight="1">
      <c r="A3320" s="159" t="s">
        <v>2747</v>
      </c>
      <c r="B3320" s="114" t="str">
        <f>VLOOKUP(A3320,'Data pick slip'!B:F,5,FALSE)</f>
        <v>KHJ-MC200-00</v>
      </c>
      <c r="F3320" s="157" t="s">
        <v>1381</v>
      </c>
      <c r="H3320" s="138">
        <v>1542</v>
      </c>
      <c r="I3320" s="139" t="str">
        <f>VLOOKUP(H3320,Stock_list!A:R,18,FALSE)</f>
        <v>恒泰创新</v>
      </c>
      <c r="J3320" s="139" t="str">
        <f>VLOOKUP(H3320,Stock_list!A:S,17,FALSE)</f>
        <v>C49SZX20220004EC</v>
      </c>
      <c r="K3320" s="51" t="str">
        <f>VLOOKUP(H3320,Stock_list!A:T,16,FALSE)</f>
        <v>JPY</v>
      </c>
      <c r="L3320" s="4">
        <v>44823</v>
      </c>
      <c r="M3320" s="140">
        <v>10</v>
      </c>
      <c r="P3320" s="4" t="str">
        <f>VLOOKUP(H3320,Stock_list!A:Y,25,FALSE)</f>
        <v>Yes</v>
      </c>
      <c r="Q3320" s="143"/>
      <c r="T3320" s="144"/>
      <c r="U3320" s="145" t="str">
        <f>VLOOKUP(H3320,Stock_list!A:N,14,FALSE)</f>
        <v>SEP 22</v>
      </c>
    </row>
    <row r="3321" spans="1:21" ht="16.5" customHeight="1">
      <c r="A3321" s="159" t="s">
        <v>2748</v>
      </c>
      <c r="B3321" s="114" t="str">
        <f>VLOOKUP(A3321,'Data pick slip'!B:F,5,FALSE)</f>
        <v>KHJ-MC400-00</v>
      </c>
      <c r="F3321" s="157" t="s">
        <v>1381</v>
      </c>
      <c r="H3321" s="138">
        <v>1542</v>
      </c>
      <c r="I3321" s="139" t="str">
        <f>VLOOKUP(H3321,Stock_list!A:R,18,FALSE)</f>
        <v>恒泰创新</v>
      </c>
      <c r="J3321" s="139" t="str">
        <f>VLOOKUP(H3321,Stock_list!A:S,17,FALSE)</f>
        <v>C49SZX20220004EC</v>
      </c>
      <c r="K3321" s="51" t="str">
        <f>VLOOKUP(H3321,Stock_list!A:T,16,FALSE)</f>
        <v>JPY</v>
      </c>
      <c r="L3321" s="4">
        <v>44823</v>
      </c>
      <c r="M3321" s="140">
        <v>5</v>
      </c>
      <c r="P3321" s="4" t="str">
        <f>VLOOKUP(H3321,Stock_list!A:Y,25,FALSE)</f>
        <v>Yes</v>
      </c>
      <c r="Q3321" s="143"/>
      <c r="T3321" s="144"/>
      <c r="U3321" s="145" t="str">
        <f>VLOOKUP(H3321,Stock_list!A:N,14,FALSE)</f>
        <v>SEP 22</v>
      </c>
    </row>
    <row r="3322" spans="1:21" ht="16.5" customHeight="1">
      <c r="A3322" s="159" t="s">
        <v>2755</v>
      </c>
      <c r="B3322" s="114" t="str">
        <f>VLOOKUP(A3322,'Data pick slip'!B:F,5,FALSE)</f>
        <v>KLJ-MC100-00</v>
      </c>
      <c r="F3322" s="157" t="s">
        <v>2753</v>
      </c>
      <c r="H3322" s="138">
        <v>1543</v>
      </c>
      <c r="I3322" s="139" t="str">
        <f>VLOOKUP(H3322,Stock_list!A:R,18,FALSE)</f>
        <v>龙大光电</v>
      </c>
      <c r="J3322" s="139" t="str">
        <f>VLOOKUP(H3322,Stock_list!A:S,17,FALSE)</f>
        <v>C49SZX20220005SS</v>
      </c>
      <c r="K3322" s="51" t="str">
        <f>VLOOKUP(H3322,Stock_list!A:T,16,FALSE)</f>
        <v>RMB</v>
      </c>
      <c r="L3322" s="4">
        <v>44614</v>
      </c>
      <c r="M3322" s="140">
        <v>100</v>
      </c>
      <c r="P3322" s="4" t="str">
        <f>VLOOKUP(H3322,Stock_list!A:Y,25,FALSE)</f>
        <v>Yes</v>
      </c>
      <c r="Q3322" s="143"/>
      <c r="T3322" s="144"/>
      <c r="U3322" s="145" t="str">
        <f>VLOOKUP(H3322,Stock_list!A:N,14,FALSE)</f>
        <v>FEB 22</v>
      </c>
    </row>
    <row r="3323" spans="1:21" ht="16.5" customHeight="1">
      <c r="A3323" s="159" t="s">
        <v>2750</v>
      </c>
      <c r="B3323" s="114" t="str">
        <f>VLOOKUP(A3323,'Data pick slip'!B:F,5,FALSE)</f>
        <v>KHJ-MC600-00</v>
      </c>
      <c r="F3323" s="157" t="s">
        <v>2753</v>
      </c>
      <c r="I3323" s="139" t="s">
        <v>3116</v>
      </c>
      <c r="J3323" s="270" t="s">
        <v>3497</v>
      </c>
      <c r="K3323" s="51" t="s">
        <v>1246</v>
      </c>
      <c r="L3323" s="4">
        <v>44574</v>
      </c>
      <c r="M3323" s="140">
        <v>2</v>
      </c>
      <c r="P3323" s="4" t="s">
        <v>291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2744</v>
      </c>
      <c r="B3324" s="114" t="str">
        <f>VLOOKUP(A3324,'Data pick slip'!B:F,5,FALSE)</f>
        <v>KHJ-MC100-00</v>
      </c>
      <c r="F3324" s="157" t="s">
        <v>1381</v>
      </c>
      <c r="H3324" s="138">
        <v>1556</v>
      </c>
      <c r="I3324" s="139" t="str">
        <f>VLOOKUP(H3324,Stock_list!A:R,18,FALSE)</f>
        <v>渝溢三甲</v>
      </c>
      <c r="J3324" s="139" t="str">
        <f>VLOOKUP(H3324,Stock_list!A:S,17,FALSE)</f>
        <v>C49SZX20220002BX</v>
      </c>
      <c r="K3324" s="51" t="str">
        <f>VLOOKUP(H3324,Stock_list!A:T,16,FALSE)</f>
        <v>JPY</v>
      </c>
      <c r="L3324" s="4">
        <v>44606</v>
      </c>
      <c r="M3324" s="140">
        <v>4</v>
      </c>
      <c r="P3324" s="4" t="str">
        <f>VLOOKUP(H3324,Stock_list!A:Y,25,FALSE)</f>
        <v>Yes</v>
      </c>
      <c r="Q3324" s="143"/>
      <c r="T3324" s="144"/>
      <c r="U3324" s="145" t="str">
        <f>VLOOKUP(H3324,Stock_list!A:N,14,FALSE)</f>
        <v>FEB 22</v>
      </c>
    </row>
    <row r="3325" spans="1:21" ht="16.5" customHeight="1">
      <c r="A3325" s="159" t="s">
        <v>2744</v>
      </c>
      <c r="B3325" s="114" t="str">
        <f>VLOOKUP(A3325,'Data pick slip'!B:F,5,FALSE)</f>
        <v>KHJ-MC100-00</v>
      </c>
      <c r="F3325" s="157" t="s">
        <v>1381</v>
      </c>
      <c r="H3325" s="138">
        <v>1558</v>
      </c>
      <c r="I3325" s="139" t="str">
        <f>VLOOKUP(H3325,Stock_list!A:R,18,FALSE)</f>
        <v>达锂</v>
      </c>
      <c r="J3325" s="139" t="str">
        <f>VLOOKUP(H3325,Stock_list!A:S,17,FALSE)</f>
        <v>C49SZX20220010SQ</v>
      </c>
      <c r="K3325" s="51" t="str">
        <f>VLOOKUP(H3325,Stock_list!A:T,16,FALSE)</f>
        <v>JPY</v>
      </c>
      <c r="L3325" s="4">
        <v>44659</v>
      </c>
      <c r="M3325" s="132">
        <v>101</v>
      </c>
      <c r="P3325" s="4" t="str">
        <f>VLOOKUP(H3325,Stock_list!A:Y,25,FALSE)</f>
        <v>Yes</v>
      </c>
      <c r="Q3325" s="143"/>
      <c r="T3325" s="144"/>
      <c r="U3325" s="145" t="str">
        <f>VLOOKUP(H3325,Stock_list!A:N,14,FALSE)</f>
        <v>APR 22</v>
      </c>
    </row>
    <row r="3326" spans="1:21" ht="16.5" customHeight="1">
      <c r="A3326" s="159" t="s">
        <v>2747</v>
      </c>
      <c r="B3326" s="114" t="str">
        <f>VLOOKUP(A3326,'Data pick slip'!B:F,5,FALSE)</f>
        <v>KHJ-MC200-00</v>
      </c>
      <c r="F3326" s="157" t="s">
        <v>1381</v>
      </c>
      <c r="H3326" s="138">
        <v>1558</v>
      </c>
      <c r="I3326" s="139" t="str">
        <f>VLOOKUP(H3326,Stock_list!A:R,18,FALSE)</f>
        <v>达锂</v>
      </c>
      <c r="J3326" s="139" t="str">
        <f>VLOOKUP(H3326,Stock_list!A:S,17,FALSE)</f>
        <v>C49SZX20220010SQ</v>
      </c>
      <c r="K3326" s="51" t="str">
        <f>VLOOKUP(H3326,Stock_list!A:T,16,FALSE)</f>
        <v>JPY</v>
      </c>
      <c r="L3326" s="4">
        <v>44659</v>
      </c>
      <c r="M3326" s="132">
        <v>20</v>
      </c>
      <c r="P3326" s="4" t="str">
        <f>VLOOKUP(H3326,Stock_list!A:Y,25,FALSE)</f>
        <v>Yes</v>
      </c>
      <c r="Q3326" s="143"/>
      <c r="T3326" s="144"/>
      <c r="U3326" s="145" t="str">
        <f>VLOOKUP(H3326,Stock_list!A:N,14,FALSE)</f>
        <v>APR 22</v>
      </c>
    </row>
    <row r="3327" spans="1:21" ht="16.5" customHeight="1">
      <c r="A3327" s="159" t="s">
        <v>2748</v>
      </c>
      <c r="B3327" s="114" t="str">
        <f>VLOOKUP(A3327,'Data pick slip'!B:F,5,FALSE)</f>
        <v>KHJ-MC400-00</v>
      </c>
      <c r="F3327" s="157" t="s">
        <v>1381</v>
      </c>
      <c r="H3327" s="138">
        <v>1558</v>
      </c>
      <c r="I3327" s="139" t="str">
        <f>VLOOKUP(H3327,Stock_list!A:R,18,FALSE)</f>
        <v>达锂</v>
      </c>
      <c r="J3327" s="139" t="str">
        <f>VLOOKUP(H3327,Stock_list!A:S,17,FALSE)</f>
        <v>C49SZX20220010SQ</v>
      </c>
      <c r="K3327" s="51" t="str">
        <f>VLOOKUP(H3327,Stock_list!A:T,16,FALSE)</f>
        <v>JPY</v>
      </c>
      <c r="L3327" s="4">
        <v>44659</v>
      </c>
      <c r="M3327" s="132">
        <v>5</v>
      </c>
      <c r="P3327" s="4" t="str">
        <f>VLOOKUP(H3327,Stock_list!A:Y,25,FALSE)</f>
        <v>Yes</v>
      </c>
      <c r="Q3327" s="143"/>
      <c r="T3327" s="144"/>
      <c r="U3327" s="145" t="str">
        <f>VLOOKUP(H3327,Stock_list!A:N,14,FALSE)</f>
        <v>APR 22</v>
      </c>
    </row>
    <row r="3328" spans="1:21" ht="16.5" customHeight="1">
      <c r="A3328" s="159" t="s">
        <v>2749</v>
      </c>
      <c r="B3328" s="114" t="str">
        <f>VLOOKUP(A3328,'Data pick slip'!B:F,5,FALSE)</f>
        <v>KHJ-MC500-00</v>
      </c>
      <c r="F3328" s="157" t="s">
        <v>1381</v>
      </c>
      <c r="H3328" s="138">
        <v>1558</v>
      </c>
      <c r="I3328" s="139" t="str">
        <f>VLOOKUP(H3328,Stock_list!A:R,18,FALSE)</f>
        <v>达锂</v>
      </c>
      <c r="J3328" s="139" t="str">
        <f>VLOOKUP(H3328,Stock_list!A:S,17,FALSE)</f>
        <v>C49SZX20220010SQ</v>
      </c>
      <c r="K3328" s="51" t="str">
        <f>VLOOKUP(H3328,Stock_list!A:T,16,FALSE)</f>
        <v>JPY</v>
      </c>
      <c r="L3328" s="4">
        <v>44659</v>
      </c>
      <c r="M3328" s="132">
        <v>2</v>
      </c>
      <c r="P3328" s="4" t="str">
        <f>VLOOKUP(H3328,Stock_list!A:Y,25,FALSE)</f>
        <v>Yes</v>
      </c>
      <c r="Q3328" s="143"/>
      <c r="T3328" s="144"/>
      <c r="U3328" s="145" t="str">
        <f>VLOOKUP(H3328,Stock_list!A:N,14,FALSE)</f>
        <v>APR 22</v>
      </c>
    </row>
    <row r="3329" spans="1:21" ht="16.5" customHeight="1">
      <c r="A3329" s="159" t="s">
        <v>2750</v>
      </c>
      <c r="B3329" s="114" t="str">
        <f>VLOOKUP(A3329,'Data pick slip'!B:F,5,FALSE)</f>
        <v>KHJ-MC600-00</v>
      </c>
      <c r="F3329" s="157" t="s">
        <v>1381</v>
      </c>
      <c r="H3329" s="138">
        <v>1558</v>
      </c>
      <c r="I3329" s="139" t="str">
        <f>VLOOKUP(H3329,Stock_list!A:R,18,FALSE)</f>
        <v>达锂</v>
      </c>
      <c r="J3329" s="139" t="str">
        <f>VLOOKUP(H3329,Stock_list!A:S,17,FALSE)</f>
        <v>C49SZX20220010SQ</v>
      </c>
      <c r="K3329" s="51" t="str">
        <f>VLOOKUP(H3329,Stock_list!A:T,16,FALSE)</f>
        <v>JPY</v>
      </c>
      <c r="L3329" s="4">
        <v>44659</v>
      </c>
      <c r="M3329" s="132">
        <v>1</v>
      </c>
      <c r="P3329" s="4" t="str">
        <f>VLOOKUP(H3329,Stock_list!A:Y,25,FALSE)</f>
        <v>Yes</v>
      </c>
      <c r="Q3329" s="143"/>
      <c r="T3329" s="144"/>
      <c r="U3329" s="145" t="str">
        <f>VLOOKUP(H3329,Stock_list!A:N,14,FALSE)</f>
        <v>APR 22</v>
      </c>
    </row>
    <row r="3330" spans="1:21" ht="16.5" customHeight="1">
      <c r="A3330" s="159" t="s">
        <v>2744</v>
      </c>
      <c r="B3330" s="114" t="str">
        <f>VLOOKUP(A3330,'Data pick slip'!B:F,5,FALSE)</f>
        <v>KHJ-MC100-00</v>
      </c>
      <c r="F3330" s="157" t="s">
        <v>2753</v>
      </c>
      <c r="I3330" s="139" t="s">
        <v>3094</v>
      </c>
      <c r="J3330" s="270" t="s">
        <v>3498</v>
      </c>
      <c r="K3330" s="51" t="s">
        <v>1246</v>
      </c>
      <c r="L3330" s="4">
        <v>44582</v>
      </c>
      <c r="M3330" s="140">
        <v>3</v>
      </c>
      <c r="P3330" s="4" t="s">
        <v>291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2747</v>
      </c>
      <c r="B3331" s="114" t="str">
        <f>VLOOKUP(A3331,'Data pick slip'!B:F,5,FALSE)</f>
        <v>KHJ-MC200-00</v>
      </c>
      <c r="F3331" s="157" t="s">
        <v>2753</v>
      </c>
      <c r="I3331" s="139" t="s">
        <v>3094</v>
      </c>
      <c r="J3331" s="270" t="s">
        <v>3498</v>
      </c>
      <c r="K3331" s="51" t="s">
        <v>1246</v>
      </c>
      <c r="L3331" s="4">
        <v>44582</v>
      </c>
      <c r="M3331" s="140">
        <v>3</v>
      </c>
      <c r="P3331" s="4" t="s">
        <v>291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2744</v>
      </c>
      <c r="B3332" s="114" t="str">
        <f>VLOOKUP(A3332,'Data pick slip'!B:F,5,FALSE)</f>
        <v>KHJ-MC100-00</v>
      </c>
      <c r="F3332" s="157" t="s">
        <v>1381</v>
      </c>
      <c r="H3332" s="138">
        <v>1561</v>
      </c>
      <c r="I3332" s="139" t="str">
        <f>VLOOKUP(H3332,Stock_list!A:R,18,FALSE)</f>
        <v>海红天远</v>
      </c>
      <c r="J3332" s="139" t="str">
        <f>VLOOKUP(H3332,Stock_list!A:S,17,FALSE)</f>
        <v>C49SZX20220003EC</v>
      </c>
      <c r="K3332" s="51" t="str">
        <f>VLOOKUP(H3332,Stock_list!A:T,16,FALSE)</f>
        <v>JPY</v>
      </c>
      <c r="L3332" s="4">
        <v>44691</v>
      </c>
      <c r="M3332" s="132">
        <v>400</v>
      </c>
      <c r="P3332" s="4" t="str">
        <f>VLOOKUP(H3332,Stock_list!A:Y,25,FALSE)</f>
        <v>Yes</v>
      </c>
      <c r="Q3332" s="143"/>
      <c r="T3332" s="144"/>
      <c r="U3332" s="145" t="str">
        <f>VLOOKUP(H3332,Stock_list!A:N,14,FALSE)</f>
        <v>MAY 22</v>
      </c>
    </row>
    <row r="3333" spans="1:21" ht="16.5" customHeight="1">
      <c r="A3333" s="159" t="s">
        <v>2747</v>
      </c>
      <c r="B3333" s="114" t="str">
        <f>VLOOKUP(A3333,'Data pick slip'!B:F,5,FALSE)</f>
        <v>KHJ-MC200-00</v>
      </c>
      <c r="F3333" s="157" t="s">
        <v>1381</v>
      </c>
      <c r="H3333" s="138">
        <v>1561</v>
      </c>
      <c r="I3333" s="139" t="str">
        <f>VLOOKUP(H3333,Stock_list!A:R,18,FALSE)</f>
        <v>海红天远</v>
      </c>
      <c r="J3333" s="139" t="str">
        <f>VLOOKUP(H3333,Stock_list!A:S,17,FALSE)</f>
        <v>C49SZX20220003EC</v>
      </c>
      <c r="K3333" s="51" t="str">
        <f>VLOOKUP(H3333,Stock_list!A:T,16,FALSE)</f>
        <v>JPY</v>
      </c>
      <c r="L3333" s="4">
        <v>44691</v>
      </c>
      <c r="M3333" s="132">
        <v>80</v>
      </c>
      <c r="P3333" s="4" t="str">
        <f>VLOOKUP(H3333,Stock_list!A:Y,25,FALSE)</f>
        <v>Yes</v>
      </c>
      <c r="Q3333" s="143"/>
      <c r="T3333" s="144"/>
      <c r="U3333" s="145" t="str">
        <f>VLOOKUP(H3333,Stock_list!A:N,14,FALSE)</f>
        <v>MAY 22</v>
      </c>
    </row>
    <row r="3334" spans="1:21" ht="16.5" customHeight="1">
      <c r="A3334" s="159" t="s">
        <v>2749</v>
      </c>
      <c r="B3334" s="114" t="str">
        <f>VLOOKUP(A3334,'Data pick slip'!B:F,5,FALSE)</f>
        <v>KHJ-MC500-00</v>
      </c>
      <c r="F3334" s="157" t="s">
        <v>1381</v>
      </c>
      <c r="H3334" s="138">
        <v>1561</v>
      </c>
      <c r="I3334" s="139" t="str">
        <f>VLOOKUP(H3334,Stock_list!A:R,18,FALSE)</f>
        <v>海红天远</v>
      </c>
      <c r="J3334" s="139" t="str">
        <f>VLOOKUP(H3334,Stock_list!A:S,17,FALSE)</f>
        <v>C49SZX20220003EC</v>
      </c>
      <c r="K3334" s="51" t="str">
        <f>VLOOKUP(H3334,Stock_list!A:T,16,FALSE)</f>
        <v>JPY</v>
      </c>
      <c r="L3334" s="4">
        <v>44691</v>
      </c>
      <c r="M3334" s="132">
        <v>4</v>
      </c>
      <c r="P3334" s="4" t="str">
        <f>VLOOKUP(H3334,Stock_list!A:Y,25,FALSE)</f>
        <v>Yes</v>
      </c>
      <c r="Q3334" s="143"/>
      <c r="T3334" s="144"/>
      <c r="U3334" s="145" t="str">
        <f>VLOOKUP(H3334,Stock_list!A:N,14,FALSE)</f>
        <v>MAY 22</v>
      </c>
    </row>
    <row r="3335" spans="1:21" ht="16.5" customHeight="1">
      <c r="A3335" s="159" t="s">
        <v>2750</v>
      </c>
      <c r="B3335" s="114" t="str">
        <f>VLOOKUP(A3335,'Data pick slip'!B:F,5,FALSE)</f>
        <v>KHJ-MC600-00</v>
      </c>
      <c r="F3335" s="157" t="s">
        <v>1381</v>
      </c>
      <c r="H3335" s="138">
        <v>1561</v>
      </c>
      <c r="I3335" s="139" t="str">
        <f>VLOOKUP(H3335,Stock_list!A:R,18,FALSE)</f>
        <v>海红天远</v>
      </c>
      <c r="J3335" s="139" t="str">
        <f>VLOOKUP(H3335,Stock_list!A:S,17,FALSE)</f>
        <v>C49SZX20220003EC</v>
      </c>
      <c r="K3335" s="51" t="str">
        <f>VLOOKUP(H3335,Stock_list!A:T,16,FALSE)</f>
        <v>JPY</v>
      </c>
      <c r="L3335" s="4">
        <v>44691</v>
      </c>
      <c r="M3335" s="132">
        <v>4</v>
      </c>
      <c r="P3335" s="4" t="str">
        <f>VLOOKUP(H3335,Stock_list!A:Y,25,FALSE)</f>
        <v>Yes</v>
      </c>
      <c r="Q3335" s="143"/>
      <c r="T3335" s="144"/>
      <c r="U3335" s="145" t="str">
        <f>VLOOKUP(H3335,Stock_list!A:N,14,FALSE)</f>
        <v>MAY 22</v>
      </c>
    </row>
    <row r="3336" spans="1:21" ht="16.5" customHeight="1">
      <c r="A3336" s="159" t="s">
        <v>2751</v>
      </c>
      <c r="B3336" s="114" t="str">
        <f>VLOOKUP(A3336,'Data pick slip'!B:F,5,FALSE)</f>
        <v>KHJ-MC700-00</v>
      </c>
      <c r="F3336" s="157" t="s">
        <v>1381</v>
      </c>
      <c r="H3336" s="138">
        <v>1561</v>
      </c>
      <c r="I3336" s="139" t="str">
        <f>VLOOKUP(H3336,Stock_list!A:R,18,FALSE)</f>
        <v>海红天远</v>
      </c>
      <c r="J3336" s="139" t="str">
        <f>VLOOKUP(H3336,Stock_list!A:S,17,FALSE)</f>
        <v>C49SZX20220003EC</v>
      </c>
      <c r="K3336" s="51" t="str">
        <f>VLOOKUP(H3336,Stock_list!A:T,16,FALSE)</f>
        <v>JPY</v>
      </c>
      <c r="L3336" s="4">
        <v>44691</v>
      </c>
      <c r="M3336" s="132">
        <v>4</v>
      </c>
      <c r="P3336" s="4" t="str">
        <f>VLOOKUP(H3336,Stock_list!A:Y,25,FALSE)</f>
        <v>Yes</v>
      </c>
      <c r="Q3336" s="143"/>
      <c r="T3336" s="144"/>
      <c r="U3336" s="145" t="str">
        <f>VLOOKUP(H3336,Stock_list!A:N,14,FALSE)</f>
        <v>MAY 22</v>
      </c>
    </row>
    <row r="3337" spans="1:21" ht="16.5" customHeight="1">
      <c r="A3337" s="159" t="s">
        <v>2748</v>
      </c>
      <c r="B3337" s="114" t="str">
        <f>VLOOKUP(A3337,'Data pick slip'!B:F,5,FALSE)</f>
        <v>KHJ-MC400-00</v>
      </c>
      <c r="F3337" s="157" t="s">
        <v>2753</v>
      </c>
      <c r="I3337" s="139" t="s">
        <v>3100</v>
      </c>
      <c r="J3337" s="267" t="s">
        <v>3499</v>
      </c>
      <c r="K3337" s="51" t="s">
        <v>1246</v>
      </c>
      <c r="L3337" s="4">
        <v>44586</v>
      </c>
      <c r="M3337" s="140">
        <v>4</v>
      </c>
      <c r="P3337" s="4" t="s">
        <v>291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2744</v>
      </c>
      <c r="B3338" s="114" t="str">
        <f>VLOOKUP(A3338,'Data pick slip'!B:F,5,FALSE)</f>
        <v>KHJ-MC100-00</v>
      </c>
      <c r="F3338" s="157" t="s">
        <v>1381</v>
      </c>
      <c r="H3338" s="138">
        <v>1567</v>
      </c>
      <c r="I3338" s="139" t="str">
        <f>VLOOKUP(H3338,Stock_list!A:R,18,FALSE)</f>
        <v>捷舜诚</v>
      </c>
      <c r="J3338" s="139" t="str">
        <f>VLOOKUP(H3338,Stock_list!A:S,17,FALSE)</f>
        <v>C49SZX20220014JL</v>
      </c>
      <c r="K3338" s="51" t="str">
        <f>VLOOKUP(H3338,Stock_list!A:T,16,FALSE)</f>
        <v>JPY</v>
      </c>
      <c r="L3338" s="4">
        <v>44616</v>
      </c>
      <c r="M3338" s="140">
        <v>40</v>
      </c>
      <c r="P3338" s="4" t="str">
        <f>VLOOKUP(H3338,Stock_list!A:Y,25,FALSE)</f>
        <v>Yes</v>
      </c>
      <c r="Q3338" s="143"/>
      <c r="T3338" s="144"/>
      <c r="U3338" s="145" t="str">
        <f>VLOOKUP(H3338,Stock_list!A:N,14,FALSE)</f>
        <v>FEB 22</v>
      </c>
    </row>
    <row r="3339" spans="1:21" ht="16.5" customHeight="1">
      <c r="A3339" s="159" t="s">
        <v>2744</v>
      </c>
      <c r="B3339" s="114" t="str">
        <f>VLOOKUP(A3339,'Data pick slip'!B:F,5,FALSE)</f>
        <v>KHJ-MC100-00</v>
      </c>
      <c r="F3339" s="157" t="s">
        <v>1381</v>
      </c>
      <c r="H3339" s="138">
        <v>1567</v>
      </c>
      <c r="I3339" s="139" t="str">
        <f>VLOOKUP(H3339,Stock_list!A:R,18,FALSE)</f>
        <v>捷舜诚</v>
      </c>
      <c r="J3339" s="139" t="str">
        <f>VLOOKUP(H3339,Stock_list!A:S,17,FALSE)</f>
        <v>C49SZX20220014JL</v>
      </c>
      <c r="K3339" s="51" t="str">
        <f>VLOOKUP(H3339,Stock_list!A:T,16,FALSE)</f>
        <v>JPY</v>
      </c>
      <c r="L3339" s="4">
        <v>44672</v>
      </c>
      <c r="M3339" s="140">
        <v>40</v>
      </c>
      <c r="P3339" s="4" t="str">
        <f>VLOOKUP(H3339,Stock_list!A:Y,25,FALSE)</f>
        <v>Yes</v>
      </c>
      <c r="Q3339" s="143"/>
      <c r="T3339" s="144"/>
      <c r="U3339" s="145" t="str">
        <f>VLOOKUP(H3339,Stock_list!A:N,14,FALSE)</f>
        <v>FEB 22</v>
      </c>
    </row>
    <row r="3340" spans="1:21" ht="16.5" customHeight="1">
      <c r="A3340" s="159" t="s">
        <v>2744</v>
      </c>
      <c r="B3340" s="114" t="str">
        <f>VLOOKUP(A3340,'Data pick slip'!B:F,5,FALSE)</f>
        <v>KHJ-MC100-00</v>
      </c>
      <c r="F3340" s="157" t="s">
        <v>1381</v>
      </c>
      <c r="H3340" s="138">
        <v>1574</v>
      </c>
      <c r="I3340" s="139" t="str">
        <f>VLOOKUP(H3340,Stock_list!A:R,18,FALSE)</f>
        <v>普德新星</v>
      </c>
      <c r="J3340" s="139" t="str">
        <f>VLOOKUP(H3340,Stock_list!A:S,17,FALSE)</f>
        <v>C49SZX20220015SX</v>
      </c>
      <c r="K3340" s="51" t="str">
        <f>VLOOKUP(H3340,Stock_list!A:T,16,FALSE)</f>
        <v>JPY</v>
      </c>
      <c r="L3340" s="4">
        <v>44691</v>
      </c>
      <c r="M3340" s="140">
        <v>280</v>
      </c>
      <c r="P3340" s="4" t="str">
        <f>VLOOKUP(H3340,Stock_list!A:Y,25,FALSE)</f>
        <v>Yes</v>
      </c>
      <c r="Q3340" s="143"/>
      <c r="T3340" s="144"/>
      <c r="U3340" s="145" t="str">
        <f>VLOOKUP(H3340,Stock_list!A:N,14,FALSE)</f>
        <v>MAY 22</v>
      </c>
    </row>
    <row r="3341" spans="1:21" ht="16.5" customHeight="1">
      <c r="A3341" s="159" t="s">
        <v>2747</v>
      </c>
      <c r="B3341" s="114" t="str">
        <f>VLOOKUP(A3341,'Data pick slip'!B:F,5,FALSE)</f>
        <v>KHJ-MC200-00</v>
      </c>
      <c r="F3341" s="157" t="s">
        <v>1381</v>
      </c>
      <c r="H3341" s="138">
        <v>1574</v>
      </c>
      <c r="I3341" s="139" t="str">
        <f>VLOOKUP(H3341,Stock_list!A:R,18,FALSE)</f>
        <v>普德新星</v>
      </c>
      <c r="J3341" s="139" t="str">
        <f>VLOOKUP(H3341,Stock_list!A:S,17,FALSE)</f>
        <v>C49SZX20220015SX</v>
      </c>
      <c r="K3341" s="51" t="str">
        <f>VLOOKUP(H3341,Stock_list!A:T,16,FALSE)</f>
        <v>JPY</v>
      </c>
      <c r="L3341" s="4">
        <v>44691</v>
      </c>
      <c r="M3341" s="140">
        <v>45</v>
      </c>
      <c r="P3341" s="4" t="str">
        <f>VLOOKUP(H3341,Stock_list!A:Y,25,FALSE)</f>
        <v>Yes</v>
      </c>
      <c r="Q3341" s="143"/>
      <c r="T3341" s="144"/>
      <c r="U3341" s="145" t="str">
        <f>VLOOKUP(H3341,Stock_list!A:N,14,FALSE)</f>
        <v>MAY 22</v>
      </c>
    </row>
    <row r="3342" spans="1:21" ht="16.5" customHeight="1">
      <c r="A3342" s="159" t="s">
        <v>2748</v>
      </c>
      <c r="B3342" s="114" t="str">
        <f>VLOOKUP(A3342,'Data pick slip'!B:F,5,FALSE)</f>
        <v>KHJ-MC400-00</v>
      </c>
      <c r="F3342" s="157" t="s">
        <v>1381</v>
      </c>
      <c r="H3342" s="138">
        <v>1574</v>
      </c>
      <c r="I3342" s="139" t="str">
        <f>VLOOKUP(H3342,Stock_list!A:R,18,FALSE)</f>
        <v>普德新星</v>
      </c>
      <c r="J3342" s="139" t="str">
        <f>VLOOKUP(H3342,Stock_list!A:S,17,FALSE)</f>
        <v>C49SZX20220015SX</v>
      </c>
      <c r="K3342" s="51" t="str">
        <f>VLOOKUP(H3342,Stock_list!A:T,16,FALSE)</f>
        <v>JPY</v>
      </c>
      <c r="L3342" s="4">
        <v>44691</v>
      </c>
      <c r="M3342" s="140">
        <v>6</v>
      </c>
      <c r="P3342" s="4" t="str">
        <f>VLOOKUP(H3342,Stock_list!A:Y,25,FALSE)</f>
        <v>Yes</v>
      </c>
      <c r="Q3342" s="143"/>
      <c r="T3342" s="144"/>
      <c r="U3342" s="145" t="str">
        <f>VLOOKUP(H3342,Stock_list!A:N,14,FALSE)</f>
        <v>MAY 22</v>
      </c>
    </row>
    <row r="3343" spans="1:21" ht="16.5" customHeight="1">
      <c r="A3343" s="159" t="s">
        <v>2749</v>
      </c>
      <c r="B3343" s="114" t="str">
        <f>VLOOKUP(A3343,'Data pick slip'!B:F,5,FALSE)</f>
        <v>KHJ-MC500-00</v>
      </c>
      <c r="F3343" s="157" t="s">
        <v>1381</v>
      </c>
      <c r="H3343" s="138">
        <v>1574</v>
      </c>
      <c r="I3343" s="139" t="str">
        <f>VLOOKUP(H3343,Stock_list!A:R,18,FALSE)</f>
        <v>普德新星</v>
      </c>
      <c r="J3343" s="139" t="str">
        <f>VLOOKUP(H3343,Stock_list!A:S,17,FALSE)</f>
        <v>C49SZX20220015SX</v>
      </c>
      <c r="K3343" s="51" t="str">
        <f>VLOOKUP(H3343,Stock_list!A:T,16,FALSE)</f>
        <v>JPY</v>
      </c>
      <c r="L3343" s="4">
        <v>44691</v>
      </c>
      <c r="M3343" s="140">
        <v>2</v>
      </c>
      <c r="P3343" s="4" t="str">
        <f>VLOOKUP(H3343,Stock_list!A:Y,25,FALSE)</f>
        <v>Yes</v>
      </c>
      <c r="Q3343" s="143"/>
      <c r="T3343" s="144"/>
      <c r="U3343" s="145" t="str">
        <f>VLOOKUP(H3343,Stock_list!A:N,14,FALSE)</f>
        <v>MAY 22</v>
      </c>
    </row>
    <row r="3344" spans="1:21" ht="16.5" customHeight="1">
      <c r="A3344" s="159" t="s">
        <v>2744</v>
      </c>
      <c r="B3344" s="114" t="str">
        <f>VLOOKUP(A3344,'Data pick slip'!B:F,5,FALSE)</f>
        <v>KHJ-MC100-00</v>
      </c>
      <c r="F3344" s="157" t="s">
        <v>2753</v>
      </c>
      <c r="H3344" s="138">
        <v>1578</v>
      </c>
      <c r="I3344" s="139" t="str">
        <f>VLOOKUP(H3344,Stock_list!A:R,18,FALSE)</f>
        <v>昌大</v>
      </c>
      <c r="J3344" s="139" t="str">
        <f>VLOOKUP(H3344,Stock_list!A:S,17,FALSE)</f>
        <v>C49SZX20220011DZ</v>
      </c>
      <c r="K3344" s="51" t="str">
        <f>VLOOKUP(H3344,Stock_list!A:T,16,FALSE)</f>
        <v>RMB</v>
      </c>
      <c r="L3344" s="290">
        <v>44677</v>
      </c>
      <c r="M3344" s="140">
        <v>10</v>
      </c>
      <c r="P3344" s="4" t="str">
        <f>VLOOKUP(H3344,Stock_list!A:Y,25,FALSE)</f>
        <v>Yes</v>
      </c>
      <c r="Q3344" s="143"/>
      <c r="T3344" s="144"/>
      <c r="U3344" s="145" t="str">
        <f>VLOOKUP(H3344,Stock_list!A:N,14,FALSE)</f>
        <v>APR 22</v>
      </c>
    </row>
    <row r="3345" spans="1:21" ht="16.5" customHeight="1">
      <c r="A3345" s="159" t="s">
        <v>2744</v>
      </c>
      <c r="B3345" s="114" t="str">
        <f>VLOOKUP(A3345,'Data pick slip'!B:F,5,FALSE)</f>
        <v>KHJ-MC100-00</v>
      </c>
      <c r="F3345" s="157" t="s">
        <v>2753</v>
      </c>
      <c r="H3345" s="138">
        <v>1569</v>
      </c>
      <c r="I3345" s="139" t="str">
        <f>VLOOKUP(H3345,Stock_list!A:R,18,FALSE)</f>
        <v>奕东(End user:湖北奕宏)</v>
      </c>
      <c r="J3345" s="139" t="str">
        <f>VLOOKUP(H3345,Stock_list!A:S,17,FALSE)</f>
        <v>C49SZX20220012SX</v>
      </c>
      <c r="K3345" s="51" t="str">
        <f>VLOOKUP(H3345,Stock_list!A:T,16,FALSE)</f>
        <v>RMB</v>
      </c>
      <c r="L3345" s="4">
        <v>44669</v>
      </c>
      <c r="M3345" s="132">
        <v>20</v>
      </c>
      <c r="P3345" s="4" t="str">
        <f>VLOOKUP(H3345,Stock_list!A:Y,25,FALSE)</f>
        <v>Yes</v>
      </c>
      <c r="Q3345" s="143"/>
      <c r="T3345" s="144"/>
      <c r="U3345" s="145" t="str">
        <f>VLOOKUP(H3345,Stock_list!A:N,14,FALSE)</f>
        <v>APR 22</v>
      </c>
    </row>
    <row r="3346" spans="1:21" ht="16.5" customHeight="1">
      <c r="A3346" s="159" t="s">
        <v>2747</v>
      </c>
      <c r="B3346" s="114" t="str">
        <f>VLOOKUP(A3346,'Data pick slip'!B:F,5,FALSE)</f>
        <v>KHJ-MC200-00</v>
      </c>
      <c r="F3346" s="157" t="s">
        <v>2753</v>
      </c>
      <c r="H3346" s="138">
        <v>1569</v>
      </c>
      <c r="I3346" s="139" t="str">
        <f>VLOOKUP(H3346,Stock_list!A:R,18,FALSE)</f>
        <v>奕东(End user:湖北奕宏)</v>
      </c>
      <c r="J3346" s="139" t="str">
        <f>VLOOKUP(H3346,Stock_list!A:S,17,FALSE)</f>
        <v>C49SZX20220012SX</v>
      </c>
      <c r="K3346" s="51" t="str">
        <f>VLOOKUP(H3346,Stock_list!A:T,16,FALSE)</f>
        <v>RMB</v>
      </c>
      <c r="L3346" s="4">
        <v>44669</v>
      </c>
      <c r="M3346" s="132">
        <v>20</v>
      </c>
      <c r="P3346" s="4" t="str">
        <f>VLOOKUP(H3346,Stock_list!A:Y,25,FALSE)</f>
        <v>Yes</v>
      </c>
      <c r="Q3346" s="143"/>
      <c r="T3346" s="144"/>
      <c r="U3346" s="145" t="str">
        <f>VLOOKUP(H3346,Stock_list!A:N,14,FALSE)</f>
        <v>APR 22</v>
      </c>
    </row>
    <row r="3347" spans="1:21" ht="16.5" customHeight="1">
      <c r="A3347" s="159" t="s">
        <v>2748</v>
      </c>
      <c r="B3347" s="114" t="str">
        <f>VLOOKUP(A3347,'Data pick slip'!B:F,5,FALSE)</f>
        <v>KHJ-MC400-00</v>
      </c>
      <c r="F3347" s="157" t="s">
        <v>2753</v>
      </c>
      <c r="H3347" s="138">
        <v>1569</v>
      </c>
      <c r="I3347" s="139" t="str">
        <f>VLOOKUP(H3347,Stock_list!A:R,18,FALSE)</f>
        <v>奕东(End user:湖北奕宏)</v>
      </c>
      <c r="J3347" s="139" t="str">
        <f>VLOOKUP(H3347,Stock_list!A:S,17,FALSE)</f>
        <v>C49SZX20220012SX</v>
      </c>
      <c r="K3347" s="51" t="str">
        <f>VLOOKUP(H3347,Stock_list!A:T,16,FALSE)</f>
        <v>RMB</v>
      </c>
      <c r="L3347" s="4">
        <v>44669</v>
      </c>
      <c r="M3347" s="132">
        <v>12</v>
      </c>
      <c r="P3347" s="4" t="str">
        <f>VLOOKUP(H3347,Stock_list!A:Y,25,FALSE)</f>
        <v>Yes</v>
      </c>
      <c r="Q3347" s="143"/>
      <c r="T3347" s="144"/>
      <c r="U3347" s="145" t="str">
        <f>VLOOKUP(H3347,Stock_list!A:N,14,FALSE)</f>
        <v>APR 22</v>
      </c>
    </row>
    <row r="3348" spans="1:21" ht="16.5" customHeight="1">
      <c r="A3348" s="159" t="s">
        <v>2749</v>
      </c>
      <c r="B3348" s="114" t="str">
        <f>VLOOKUP(A3348,'Data pick slip'!B:F,5,FALSE)</f>
        <v>KHJ-MC500-00</v>
      </c>
      <c r="F3348" s="157" t="s">
        <v>2753</v>
      </c>
      <c r="H3348" s="138">
        <v>1569</v>
      </c>
      <c r="I3348" s="139" t="str">
        <f>VLOOKUP(H3348,Stock_list!A:R,18,FALSE)</f>
        <v>奕东(End user:湖北奕宏)</v>
      </c>
      <c r="J3348" s="139" t="str">
        <f>VLOOKUP(H3348,Stock_list!A:S,17,FALSE)</f>
        <v>C49SZX20220012SX</v>
      </c>
      <c r="K3348" s="51" t="str">
        <f>VLOOKUP(H3348,Stock_list!A:T,16,FALSE)</f>
        <v>RMB</v>
      </c>
      <c r="L3348" s="4">
        <v>44669</v>
      </c>
      <c r="M3348" s="132">
        <v>12</v>
      </c>
      <c r="P3348" s="4" t="str">
        <f>VLOOKUP(H3348,Stock_list!A:Y,25,FALSE)</f>
        <v>Yes</v>
      </c>
      <c r="Q3348" s="143"/>
      <c r="T3348" s="144"/>
      <c r="U3348" s="145" t="str">
        <f>VLOOKUP(H3348,Stock_list!A:N,14,FALSE)</f>
        <v>APR 22</v>
      </c>
    </row>
    <row r="3349" spans="1:21" ht="16.5" customHeight="1">
      <c r="A3349" s="159" t="s">
        <v>2750</v>
      </c>
      <c r="B3349" s="114" t="str">
        <f>VLOOKUP(A3349,'Data pick slip'!B:F,5,FALSE)</f>
        <v>KHJ-MC600-00</v>
      </c>
      <c r="F3349" s="157" t="s">
        <v>2753</v>
      </c>
      <c r="H3349" s="138">
        <v>1569</v>
      </c>
      <c r="I3349" s="139" t="str">
        <f>VLOOKUP(H3349,Stock_list!A:R,18,FALSE)</f>
        <v>奕东(End user:湖北奕宏)</v>
      </c>
      <c r="J3349" s="139" t="str">
        <f>VLOOKUP(H3349,Stock_list!A:S,17,FALSE)</f>
        <v>C49SZX20220012SX</v>
      </c>
      <c r="K3349" s="51" t="str">
        <f>VLOOKUP(H3349,Stock_list!A:T,16,FALSE)</f>
        <v>RMB</v>
      </c>
      <c r="L3349" s="4">
        <v>44669</v>
      </c>
      <c r="M3349" s="132">
        <v>10</v>
      </c>
      <c r="P3349" s="4" t="str">
        <f>VLOOKUP(H3349,Stock_list!A:Y,25,FALSE)</f>
        <v>Yes</v>
      </c>
      <c r="Q3349" s="143"/>
      <c r="T3349" s="144"/>
      <c r="U3349" s="145" t="str">
        <f>VLOOKUP(H3349,Stock_list!A:N,14,FALSE)</f>
        <v>APR 22</v>
      </c>
    </row>
    <row r="3350" spans="1:21" ht="16.5" customHeight="1">
      <c r="A3350" s="159" t="s">
        <v>2751</v>
      </c>
      <c r="B3350" s="114" t="str">
        <f>VLOOKUP(A3350,'Data pick slip'!B:F,5,FALSE)</f>
        <v>KHJ-MC700-00</v>
      </c>
      <c r="F3350" s="157" t="s">
        <v>2753</v>
      </c>
      <c r="H3350" s="138">
        <v>1569</v>
      </c>
      <c r="I3350" s="139" t="str">
        <f>VLOOKUP(H3350,Stock_list!A:R,18,FALSE)</f>
        <v>奕东(End user:湖北奕宏)</v>
      </c>
      <c r="J3350" s="139" t="str">
        <f>VLOOKUP(H3350,Stock_list!A:S,17,FALSE)</f>
        <v>C49SZX20220012SX</v>
      </c>
      <c r="K3350" s="51" t="str">
        <f>VLOOKUP(H3350,Stock_list!A:T,16,FALSE)</f>
        <v>RMB</v>
      </c>
      <c r="L3350" s="4">
        <v>44669</v>
      </c>
      <c r="M3350" s="132">
        <v>10</v>
      </c>
      <c r="P3350" s="4" t="str">
        <f>VLOOKUP(H3350,Stock_list!A:Y,25,FALSE)</f>
        <v>Yes</v>
      </c>
      <c r="Q3350" s="143"/>
      <c r="T3350" s="144"/>
      <c r="U3350" s="145" t="str">
        <f>VLOOKUP(H3350,Stock_list!A:N,14,FALSE)</f>
        <v>APR 22</v>
      </c>
    </row>
    <row r="3351" spans="1:21" ht="16.5" customHeight="1">
      <c r="A3351" s="159" t="s">
        <v>2752</v>
      </c>
      <c r="B3351" s="114" t="str">
        <f>VLOOKUP(A3351,'Data pick slip'!B:F,5,FALSE)</f>
        <v>KHJ-MC800-00</v>
      </c>
      <c r="F3351" s="157" t="s">
        <v>2753</v>
      </c>
      <c r="H3351" s="138">
        <v>1569</v>
      </c>
      <c r="I3351" s="139" t="str">
        <f>VLOOKUP(H3351,Stock_list!A:R,18,FALSE)</f>
        <v>奕东(End user:湖北奕宏)</v>
      </c>
      <c r="J3351" s="139" t="str">
        <f>VLOOKUP(H3351,Stock_list!A:S,17,FALSE)</f>
        <v>C49SZX20220012SX</v>
      </c>
      <c r="K3351" s="51" t="str">
        <f>VLOOKUP(H3351,Stock_list!A:T,16,FALSE)</f>
        <v>RMB</v>
      </c>
      <c r="L3351" s="4">
        <v>44669</v>
      </c>
      <c r="M3351" s="132">
        <v>10</v>
      </c>
      <c r="P3351" s="4" t="str">
        <f>VLOOKUP(H3351,Stock_list!A:Y,25,FALSE)</f>
        <v>Yes</v>
      </c>
      <c r="Q3351" s="143"/>
      <c r="T3351" s="144"/>
      <c r="U3351" s="145" t="str">
        <f>VLOOKUP(H3351,Stock_list!A:N,14,FALSE)</f>
        <v>APR 22</v>
      </c>
    </row>
    <row r="3352" spans="1:21" ht="16.5" customHeight="1">
      <c r="A3352" s="159" t="s">
        <v>2744</v>
      </c>
      <c r="B3352" s="114" t="str">
        <f>VLOOKUP(A3352,'Data pick slip'!B:F,5,FALSE)</f>
        <v>KHJ-MC100-00</v>
      </c>
      <c r="F3352" s="157" t="s">
        <v>1381</v>
      </c>
      <c r="I3352" s="139" t="s">
        <v>3100</v>
      </c>
      <c r="J3352" s="139" t="s">
        <v>3500</v>
      </c>
      <c r="K3352" s="51" t="s">
        <v>1246</v>
      </c>
      <c r="L3352" s="4">
        <v>44606</v>
      </c>
      <c r="M3352" s="140">
        <v>50</v>
      </c>
      <c r="P3352" s="4" t="s">
        <v>291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2750</v>
      </c>
      <c r="B3353" s="114" t="str">
        <f>VLOOKUP(A3353,'Data pick slip'!B:F,5,FALSE)</f>
        <v>KHJ-MC600-00</v>
      </c>
      <c r="F3353" s="157" t="s">
        <v>1381</v>
      </c>
      <c r="H3353" s="138">
        <v>1580</v>
      </c>
      <c r="I3353" s="139" t="str">
        <f>VLOOKUP(H3353,Stock_list!A:R,18,FALSE)</f>
        <v>伯莱科</v>
      </c>
      <c r="J3353" s="139" t="str">
        <f>VLOOKUP(H3353,Stock_list!A:S,17,FALSE)</f>
        <v>C49SZX20220016JL</v>
      </c>
      <c r="K3353" s="51" t="str">
        <f>VLOOKUP(H3353,Stock_list!A:T,16,FALSE)</f>
        <v>JPY</v>
      </c>
      <c r="L3353" s="4">
        <v>44725</v>
      </c>
      <c r="M3353" s="140">
        <v>1</v>
      </c>
      <c r="P3353" s="4" t="str">
        <f>VLOOKUP(H3353,Stock_list!A:Y,25,FALSE)</f>
        <v>Yes</v>
      </c>
      <c r="Q3353" s="143"/>
      <c r="T3353" s="144"/>
      <c r="U3353" s="145" t="str">
        <f>VLOOKUP(H3353,Stock_list!A:N,14,FALSE)</f>
        <v>JUN 22</v>
      </c>
    </row>
    <row r="3354" spans="1:21" ht="16.5" customHeight="1">
      <c r="A3354" s="159" t="s">
        <v>2744</v>
      </c>
      <c r="B3354" s="114" t="str">
        <f>VLOOKUP(A3354,'Data pick slip'!B:F,5,FALSE)</f>
        <v>KHJ-MC100-00</v>
      </c>
      <c r="F3354" s="157" t="s">
        <v>1381</v>
      </c>
      <c r="H3354" s="138">
        <v>1581</v>
      </c>
      <c r="I3354" s="139" t="str">
        <f>VLOOKUP(H3354,Stock_list!A:R,18,FALSE)</f>
        <v>岚新</v>
      </c>
      <c r="J3354" s="139" t="str">
        <f>VLOOKUP(H3354,Stock_list!A:S,17,FALSE)</f>
        <v>C49SZX20220018SX</v>
      </c>
      <c r="K3354" s="51" t="str">
        <f>VLOOKUP(H3354,Stock_list!A:T,16,FALSE)</f>
        <v>JPY</v>
      </c>
      <c r="L3354" s="4">
        <v>44699</v>
      </c>
      <c r="M3354" s="140">
        <v>40</v>
      </c>
      <c r="P3354" s="4" t="str">
        <f>VLOOKUP(H3354,Stock_list!A:Y,25,FALSE)</f>
        <v>Yes</v>
      </c>
      <c r="Q3354" s="143"/>
      <c r="T3354" s="144"/>
      <c r="U3354" s="145" t="str">
        <f>VLOOKUP(H3354,Stock_list!A:N,14,FALSE)</f>
        <v>MAY 22</v>
      </c>
    </row>
    <row r="3355" spans="1:21" ht="16.5" customHeight="1">
      <c r="A3355" s="159" t="s">
        <v>2747</v>
      </c>
      <c r="B3355" s="114" t="str">
        <f>VLOOKUP(A3355,'Data pick slip'!B:F,5,FALSE)</f>
        <v>KHJ-MC200-00</v>
      </c>
      <c r="F3355" s="157" t="s">
        <v>1381</v>
      </c>
      <c r="H3355" s="138">
        <v>1581</v>
      </c>
      <c r="I3355" s="139" t="str">
        <f>VLOOKUP(H3355,Stock_list!A:R,18,FALSE)</f>
        <v>岚新</v>
      </c>
      <c r="J3355" s="139" t="str">
        <f>VLOOKUP(H3355,Stock_list!A:S,17,FALSE)</f>
        <v>C49SZX20220018SX</v>
      </c>
      <c r="K3355" s="51" t="str">
        <f>VLOOKUP(H3355,Stock_list!A:T,16,FALSE)</f>
        <v>JPY</v>
      </c>
      <c r="L3355" s="4">
        <v>44699</v>
      </c>
      <c r="M3355" s="140">
        <v>4</v>
      </c>
      <c r="P3355" s="4" t="str">
        <f>VLOOKUP(H3355,Stock_list!A:Y,25,FALSE)</f>
        <v>Yes</v>
      </c>
      <c r="Q3355" s="143"/>
      <c r="T3355" s="144"/>
      <c r="U3355" s="145" t="str">
        <f>VLOOKUP(H3355,Stock_list!A:N,14,FALSE)</f>
        <v>MAY 22</v>
      </c>
    </row>
    <row r="3356" spans="1:21" ht="16.5" customHeight="1">
      <c r="A3356" s="159" t="s">
        <v>2748</v>
      </c>
      <c r="B3356" s="114" t="str">
        <f>VLOOKUP(A3356,'Data pick slip'!B:F,5,FALSE)</f>
        <v>KHJ-MC400-00</v>
      </c>
      <c r="F3356" s="157" t="s">
        <v>1381</v>
      </c>
      <c r="H3356" s="138">
        <v>1581</v>
      </c>
      <c r="I3356" s="139" t="str">
        <f>VLOOKUP(H3356,Stock_list!A:R,18,FALSE)</f>
        <v>岚新</v>
      </c>
      <c r="J3356" s="139" t="str">
        <f>VLOOKUP(H3356,Stock_list!A:S,17,FALSE)</f>
        <v>C49SZX20220018SX</v>
      </c>
      <c r="K3356" s="51" t="str">
        <f>VLOOKUP(H3356,Stock_list!A:T,16,FALSE)</f>
        <v>JPY</v>
      </c>
      <c r="L3356" s="4">
        <v>44699</v>
      </c>
      <c r="M3356" s="140">
        <v>2</v>
      </c>
      <c r="P3356" s="4" t="str">
        <f>VLOOKUP(H3356,Stock_list!A:Y,25,FALSE)</f>
        <v>Yes</v>
      </c>
      <c r="Q3356" s="143"/>
      <c r="T3356" s="144"/>
      <c r="U3356" s="145" t="str">
        <f>VLOOKUP(H3356,Stock_list!A:N,14,FALSE)</f>
        <v>MAY 22</v>
      </c>
    </row>
    <row r="3357" spans="1:21" ht="16.5" customHeight="1">
      <c r="A3357" s="159" t="s">
        <v>2744</v>
      </c>
      <c r="B3357" s="114" t="str">
        <f>VLOOKUP(A3357,'Data pick slip'!B:F,5,FALSE)</f>
        <v>KHJ-MC100-00</v>
      </c>
      <c r="F3357" s="157" t="s">
        <v>1381</v>
      </c>
      <c r="I3357" s="269" t="s">
        <v>3414</v>
      </c>
      <c r="J3357" s="139" t="s">
        <v>3501</v>
      </c>
      <c r="K3357" s="51" t="s">
        <v>1246</v>
      </c>
      <c r="L3357" s="4">
        <v>44607</v>
      </c>
      <c r="M3357" s="140">
        <v>90</v>
      </c>
      <c r="P3357" s="4" t="s">
        <v>291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2748</v>
      </c>
      <c r="B3358" s="114" t="str">
        <f>VLOOKUP(A3358,'Data pick slip'!B:F,5,FALSE)</f>
        <v>KHJ-MC400-00</v>
      </c>
      <c r="F3358" s="157" t="s">
        <v>1381</v>
      </c>
      <c r="I3358" s="269" t="s">
        <v>3414</v>
      </c>
      <c r="J3358" s="139" t="s">
        <v>3501</v>
      </c>
      <c r="K3358" s="51" t="s">
        <v>1246</v>
      </c>
      <c r="L3358" s="4">
        <v>44607</v>
      </c>
      <c r="M3358" s="140">
        <v>10</v>
      </c>
      <c r="P3358" s="4" t="s">
        <v>291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2755</v>
      </c>
      <c r="B3359" s="114" t="str">
        <f>VLOOKUP(A3359,'Data pick slip'!B:F,5,FALSE)</f>
        <v>KLJ-MC100-00</v>
      </c>
      <c r="F3359" s="157" t="s">
        <v>1381</v>
      </c>
      <c r="I3359" s="269" t="s">
        <v>3414</v>
      </c>
      <c r="J3359" s="139" t="s">
        <v>3501</v>
      </c>
      <c r="K3359" s="51" t="s">
        <v>1246</v>
      </c>
      <c r="L3359" s="4">
        <v>44607</v>
      </c>
      <c r="M3359" s="140">
        <v>60</v>
      </c>
      <c r="P3359" s="4" t="s">
        <v>291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2744</v>
      </c>
      <c r="B3360" s="114" t="str">
        <f>VLOOKUP(A3360,'Data pick slip'!B:F,5,FALSE)</f>
        <v>KHJ-MC100-00</v>
      </c>
      <c r="F3360" s="157" t="s">
        <v>1381</v>
      </c>
      <c r="H3360" s="138">
        <v>1583</v>
      </c>
      <c r="I3360" s="139" t="str">
        <f>VLOOKUP(H3360,Stock_list!A:R,18,FALSE)</f>
        <v>弛瑞</v>
      </c>
      <c r="J3360" s="139" t="str">
        <f>VLOOKUP(H3360,Stock_list!A:S,17,FALSE)</f>
        <v>C49SZX20220020R1SS</v>
      </c>
      <c r="K3360" s="51" t="str">
        <f>VLOOKUP(H3360,Stock_list!A:T,16,FALSE)</f>
        <v>JPY</v>
      </c>
      <c r="L3360" s="4">
        <v>44746</v>
      </c>
      <c r="M3360" s="132">
        <v>35</v>
      </c>
      <c r="P3360" s="4" t="str">
        <f>VLOOKUP(H3360,Stock_list!A:Y,25,FALSE)</f>
        <v>Yes</v>
      </c>
      <c r="Q3360" s="143"/>
      <c r="T3360" s="144"/>
      <c r="U3360" s="145"/>
    </row>
    <row r="3361" spans="1:21" ht="16.5" customHeight="1">
      <c r="A3361" s="159" t="s">
        <v>2747</v>
      </c>
      <c r="B3361" s="114" t="str">
        <f>VLOOKUP(A3361,'Data pick slip'!B:F,5,FALSE)</f>
        <v>KHJ-MC200-00</v>
      </c>
      <c r="F3361" s="157" t="s">
        <v>1381</v>
      </c>
      <c r="H3361" s="138">
        <v>1583</v>
      </c>
      <c r="I3361" s="139" t="str">
        <f>VLOOKUP(H3361,Stock_list!A:R,18,FALSE)</f>
        <v>弛瑞</v>
      </c>
      <c r="J3361" s="139" t="str">
        <f>VLOOKUP(H3361,Stock_list!A:S,17,FALSE)</f>
        <v>C49SZX20220020R1SS</v>
      </c>
      <c r="K3361" s="51" t="str">
        <f>VLOOKUP(H3361,Stock_list!A:T,16,FALSE)</f>
        <v>JPY</v>
      </c>
      <c r="L3361" s="4">
        <v>44746</v>
      </c>
      <c r="M3361" s="132">
        <v>10</v>
      </c>
      <c r="P3361" s="4" t="str">
        <f>VLOOKUP(H3361,Stock_list!A:Y,25,FALSE)</f>
        <v>Yes</v>
      </c>
      <c r="Q3361" s="143"/>
      <c r="T3361" s="144"/>
      <c r="U3361" s="145"/>
    </row>
    <row r="3362" spans="1:21" ht="16.5" customHeight="1">
      <c r="A3362" s="159" t="s">
        <v>2748</v>
      </c>
      <c r="B3362" s="114" t="str">
        <f>VLOOKUP(A3362,'Data pick slip'!B:F,5,FALSE)</f>
        <v>KHJ-MC400-00</v>
      </c>
      <c r="F3362" s="157" t="s">
        <v>1381</v>
      </c>
      <c r="H3362" s="138">
        <v>1583</v>
      </c>
      <c r="I3362" s="139" t="str">
        <f>VLOOKUP(H3362,Stock_list!A:R,18,FALSE)</f>
        <v>弛瑞</v>
      </c>
      <c r="J3362" s="139" t="str">
        <f>VLOOKUP(H3362,Stock_list!A:S,17,FALSE)</f>
        <v>C49SZX20220020R1SS</v>
      </c>
      <c r="K3362" s="51" t="str">
        <f>VLOOKUP(H3362,Stock_list!A:T,16,FALSE)</f>
        <v>JPY</v>
      </c>
      <c r="L3362" s="4">
        <v>44746</v>
      </c>
      <c r="M3362" s="132">
        <v>2</v>
      </c>
      <c r="P3362" s="4" t="str">
        <f>VLOOKUP(H3362,Stock_list!A:Y,25,FALSE)</f>
        <v>Yes</v>
      </c>
      <c r="Q3362" s="143"/>
      <c r="T3362" s="144"/>
      <c r="U3362" s="145"/>
    </row>
    <row r="3363" spans="1:21" ht="16.5" customHeight="1">
      <c r="A3363" s="159" t="s">
        <v>2749</v>
      </c>
      <c r="B3363" s="114" t="str">
        <f>VLOOKUP(A3363,'Data pick slip'!B:F,5,FALSE)</f>
        <v>KHJ-MC500-00</v>
      </c>
      <c r="F3363" s="157" t="s">
        <v>1381</v>
      </c>
      <c r="H3363" s="138">
        <v>1583</v>
      </c>
      <c r="I3363" s="139" t="str">
        <f>VLOOKUP(H3363,Stock_list!A:R,18,FALSE)</f>
        <v>弛瑞</v>
      </c>
      <c r="J3363" s="139" t="str">
        <f>VLOOKUP(H3363,Stock_list!A:S,17,FALSE)</f>
        <v>C49SZX20220020R1SS</v>
      </c>
      <c r="K3363" s="51" t="str">
        <f>VLOOKUP(H3363,Stock_list!A:T,16,FALSE)</f>
        <v>JPY</v>
      </c>
      <c r="L3363" s="4">
        <v>44746</v>
      </c>
      <c r="M3363" s="132">
        <v>1</v>
      </c>
      <c r="P3363" s="4" t="str">
        <f>VLOOKUP(H3363,Stock_list!A:Y,25,FALSE)</f>
        <v>Yes</v>
      </c>
      <c r="Q3363" s="143"/>
      <c r="T3363" s="144"/>
      <c r="U3363" s="145"/>
    </row>
    <row r="3364" spans="1:21" ht="16.5" customHeight="1">
      <c r="A3364" s="159" t="s">
        <v>2744</v>
      </c>
      <c r="B3364" s="114" t="str">
        <f>VLOOKUP(A3364,'Data pick slip'!B:F,5,FALSE)</f>
        <v>KHJ-MC100-00</v>
      </c>
      <c r="F3364" s="157" t="s">
        <v>1381</v>
      </c>
      <c r="H3364" s="138">
        <v>1585</v>
      </c>
      <c r="I3364" s="139" t="str">
        <f>VLOOKUP(H3364,Stock_list!A:R,18,FALSE)</f>
        <v>朗特</v>
      </c>
      <c r="J3364" s="139" t="str">
        <f>VLOOKUP(H3364,Stock_list!A:S,17,FALSE)</f>
        <v>C49SZX20220013DZ</v>
      </c>
      <c r="K3364" s="51" t="str">
        <f>VLOOKUP(H3364,Stock_list!A:T,16,FALSE)</f>
        <v>JPY</v>
      </c>
      <c r="L3364" s="4">
        <v>44692</v>
      </c>
      <c r="M3364" s="140">
        <f>300+47</f>
        <v>347</v>
      </c>
      <c r="P3364" s="4" t="str">
        <f>VLOOKUP(H3364,Stock_list!A:Y,25,FALSE)</f>
        <v>Yes</v>
      </c>
      <c r="Q3364" s="143"/>
      <c r="T3364" s="144"/>
      <c r="U3364" s="145" t="str">
        <f>VLOOKUP(H3364,Stock_list!A:N,14,FALSE)</f>
        <v>MAY 22</v>
      </c>
    </row>
    <row r="3365" spans="1:21" ht="16.5" customHeight="1">
      <c r="A3365" s="159" t="s">
        <v>2747</v>
      </c>
      <c r="B3365" s="114" t="str">
        <f>VLOOKUP(A3365,'Data pick slip'!B:F,5,FALSE)</f>
        <v>KHJ-MC200-00</v>
      </c>
      <c r="F3365" s="157" t="s">
        <v>1381</v>
      </c>
      <c r="H3365" s="138">
        <v>1585</v>
      </c>
      <c r="I3365" s="139" t="str">
        <f>VLOOKUP(H3365,Stock_list!A:R,18,FALSE)</f>
        <v>朗特</v>
      </c>
      <c r="J3365" s="139" t="str">
        <f>VLOOKUP(H3365,Stock_list!A:S,17,FALSE)</f>
        <v>C49SZX20220013DZ</v>
      </c>
      <c r="K3365" s="51" t="str">
        <f>VLOOKUP(H3365,Stock_list!A:T,16,FALSE)</f>
        <v>JPY</v>
      </c>
      <c r="L3365" s="4">
        <v>44692</v>
      </c>
      <c r="M3365" s="140">
        <f>100+50</f>
        <v>150</v>
      </c>
      <c r="P3365" s="4" t="str">
        <f>VLOOKUP(H3365,Stock_list!A:Y,25,FALSE)</f>
        <v>Yes</v>
      </c>
      <c r="Q3365" s="143"/>
      <c r="T3365" s="144"/>
      <c r="U3365" s="145" t="str">
        <f>VLOOKUP(H3365,Stock_list!A:N,14,FALSE)</f>
        <v>MAY 22</v>
      </c>
    </row>
    <row r="3366" spans="1:21" ht="16.5" customHeight="1">
      <c r="A3366" s="159" t="s">
        <v>2748</v>
      </c>
      <c r="B3366" s="114" t="str">
        <f>VLOOKUP(A3366,'Data pick slip'!B:F,5,FALSE)</f>
        <v>KHJ-MC400-00</v>
      </c>
      <c r="F3366" s="157" t="s">
        <v>1381</v>
      </c>
      <c r="H3366" s="138">
        <v>1585</v>
      </c>
      <c r="I3366" s="139" t="str">
        <f>VLOOKUP(H3366,Stock_list!A:R,18,FALSE)</f>
        <v>朗特</v>
      </c>
      <c r="J3366" s="139" t="str">
        <f>VLOOKUP(H3366,Stock_list!A:S,17,FALSE)</f>
        <v>C49SZX20220013DZ</v>
      </c>
      <c r="K3366" s="51" t="str">
        <f>VLOOKUP(H3366,Stock_list!A:T,16,FALSE)</f>
        <v>JPY</v>
      </c>
      <c r="L3366" s="4">
        <v>44692</v>
      </c>
      <c r="M3366" s="140">
        <v>40</v>
      </c>
      <c r="P3366" s="4" t="str">
        <f>VLOOKUP(H3366,Stock_list!A:Y,25,FALSE)</f>
        <v>Yes</v>
      </c>
      <c r="Q3366" s="143"/>
      <c r="T3366" s="144"/>
      <c r="U3366" s="145" t="str">
        <f>VLOOKUP(H3366,Stock_list!A:N,14,FALSE)</f>
        <v>MAY 22</v>
      </c>
    </row>
    <row r="3367" spans="1:21" ht="16.5" customHeight="1">
      <c r="A3367" s="159" t="s">
        <v>2749</v>
      </c>
      <c r="B3367" s="114" t="str">
        <f>VLOOKUP(A3367,'Data pick slip'!B:F,5,FALSE)</f>
        <v>KHJ-MC500-00</v>
      </c>
      <c r="F3367" s="157" t="s">
        <v>1381</v>
      </c>
      <c r="H3367" s="138">
        <v>1585</v>
      </c>
      <c r="I3367" s="139" t="str">
        <f>VLOOKUP(H3367,Stock_list!A:R,18,FALSE)</f>
        <v>朗特</v>
      </c>
      <c r="J3367" s="139" t="str">
        <f>VLOOKUP(H3367,Stock_list!A:S,17,FALSE)</f>
        <v>C49SZX20220013DZ</v>
      </c>
      <c r="K3367" s="51" t="str">
        <f>VLOOKUP(H3367,Stock_list!A:T,16,FALSE)</f>
        <v>JPY</v>
      </c>
      <c r="L3367" s="4">
        <v>44692</v>
      </c>
      <c r="M3367" s="140">
        <v>13</v>
      </c>
      <c r="P3367" s="4" t="str">
        <f>VLOOKUP(H3367,Stock_list!A:Y,25,FALSE)</f>
        <v>Yes</v>
      </c>
      <c r="Q3367" s="143"/>
      <c r="T3367" s="144"/>
      <c r="U3367" s="145" t="str">
        <f>VLOOKUP(H3367,Stock_list!A:N,14,FALSE)</f>
        <v>MAY 22</v>
      </c>
    </row>
    <row r="3368" spans="1:21" ht="16.5" customHeight="1">
      <c r="A3368" s="159" t="s">
        <v>2750</v>
      </c>
      <c r="B3368" s="114" t="str">
        <f>VLOOKUP(A3368,'Data pick slip'!B:F,5,FALSE)</f>
        <v>KHJ-MC600-00</v>
      </c>
      <c r="F3368" s="157" t="s">
        <v>1381</v>
      </c>
      <c r="H3368" s="138">
        <v>1585</v>
      </c>
      <c r="I3368" s="139" t="str">
        <f>VLOOKUP(H3368,Stock_list!A:R,18,FALSE)</f>
        <v>朗特</v>
      </c>
      <c r="J3368" s="139" t="str">
        <f>VLOOKUP(H3368,Stock_list!A:S,17,FALSE)</f>
        <v>C49SZX20220013DZ</v>
      </c>
      <c r="K3368" s="51" t="str">
        <f>VLOOKUP(H3368,Stock_list!A:T,16,FALSE)</f>
        <v>JPY</v>
      </c>
      <c r="L3368" s="4">
        <v>44692</v>
      </c>
      <c r="M3368" s="140">
        <v>7</v>
      </c>
      <c r="P3368" s="4" t="str">
        <f>VLOOKUP(H3368,Stock_list!A:Y,25,FALSE)</f>
        <v>Yes</v>
      </c>
      <c r="Q3368" s="143"/>
      <c r="T3368" s="144"/>
      <c r="U3368" s="145" t="str">
        <f>VLOOKUP(H3368,Stock_list!A:N,14,FALSE)</f>
        <v>MAY 22</v>
      </c>
    </row>
    <row r="3369" spans="1:21" ht="25.5" customHeight="1">
      <c r="A3369" s="159" t="s">
        <v>2748</v>
      </c>
      <c r="B3369" s="114" t="str">
        <f>VLOOKUP(A3369,'Data pick slip'!B:F,5,FALSE)</f>
        <v>KHJ-MC400-00</v>
      </c>
      <c r="F3369" s="157" t="s">
        <v>2753</v>
      </c>
      <c r="I3369" s="139" t="s">
        <v>3100</v>
      </c>
      <c r="J3369" s="267" t="s">
        <v>3502</v>
      </c>
      <c r="K3369" s="51" t="s">
        <v>1246</v>
      </c>
      <c r="L3369" s="4">
        <v>44616</v>
      </c>
      <c r="M3369" s="140">
        <v>3</v>
      </c>
      <c r="P3369" s="4" t="s">
        <v>291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2744</v>
      </c>
      <c r="B3370" s="114" t="str">
        <f>VLOOKUP(A3370,'Data pick slip'!B:F,5,FALSE)</f>
        <v>KHJ-MC100-00</v>
      </c>
      <c r="F3370" s="157" t="s">
        <v>1381</v>
      </c>
      <c r="H3370" s="138">
        <v>1597</v>
      </c>
      <c r="I3370" s="139" t="str">
        <f>VLOOKUP(H3370,Stock_list!A:R,18,FALSE)</f>
        <v>钧溢电子</v>
      </c>
      <c r="J3370" s="139" t="str">
        <f>VLOOKUP(H3370,Stock_list!A:S,17,FALSE)</f>
        <v>C49SZX20220021SS</v>
      </c>
      <c r="K3370" s="51" t="str">
        <f>VLOOKUP(H3370,Stock_list!A:T,16,FALSE)</f>
        <v>JPY</v>
      </c>
      <c r="L3370" s="4">
        <v>44725</v>
      </c>
      <c r="M3370" s="140">
        <v>42</v>
      </c>
      <c r="P3370" s="4" t="str">
        <f>VLOOKUP(H3370,Stock_list!A:Y,25,FALSE)</f>
        <v>Yes</v>
      </c>
      <c r="Q3370" s="143"/>
      <c r="T3370" s="144"/>
      <c r="U3370" s="145" t="str">
        <f>VLOOKUP(H3370,Stock_list!A:N,14,FALSE)</f>
        <v>JUN 22</v>
      </c>
    </row>
    <row r="3371" spans="1:21" ht="16.5" customHeight="1">
      <c r="A3371" s="159" t="s">
        <v>2748</v>
      </c>
      <c r="B3371" s="114" t="str">
        <f>VLOOKUP(A3371,'Data pick slip'!B:F,5,FALSE)</f>
        <v>KHJ-MC400-00</v>
      </c>
      <c r="F3371" s="157" t="s">
        <v>1381</v>
      </c>
      <c r="H3371" s="138">
        <v>1597</v>
      </c>
      <c r="I3371" s="139" t="str">
        <f>VLOOKUP(H3371,Stock_list!A:R,18,FALSE)</f>
        <v>钧溢电子</v>
      </c>
      <c r="J3371" s="139" t="str">
        <f>VLOOKUP(H3371,Stock_list!A:S,17,FALSE)</f>
        <v>C49SZX20220021SS</v>
      </c>
      <c r="K3371" s="51" t="str">
        <f>VLOOKUP(H3371,Stock_list!A:T,16,FALSE)</f>
        <v>JPY</v>
      </c>
      <c r="L3371" s="4">
        <v>44725</v>
      </c>
      <c r="M3371" s="140">
        <v>2</v>
      </c>
      <c r="P3371" s="4" t="str">
        <f>VLOOKUP(H3371,Stock_list!A:Y,25,FALSE)</f>
        <v>Yes</v>
      </c>
      <c r="Q3371" s="143"/>
      <c r="T3371" s="144"/>
      <c r="U3371" s="145" t="str">
        <f>VLOOKUP(H3371,Stock_list!A:N,14,FALSE)</f>
        <v>JUN 22</v>
      </c>
    </row>
    <row r="3372" spans="1:21" ht="16.5" customHeight="1">
      <c r="A3372" s="159" t="s">
        <v>2755</v>
      </c>
      <c r="B3372" s="114" t="str">
        <f>VLOOKUP(A3372,'Data pick slip'!B:F,5,FALSE)</f>
        <v>KLJ-MC100-00</v>
      </c>
      <c r="F3372" s="157" t="s">
        <v>2753</v>
      </c>
      <c r="H3372" s="138">
        <v>1598</v>
      </c>
      <c r="I3372" s="139" t="str">
        <f>VLOOKUP(H3372,Stock_list!A:R,18,FALSE)</f>
        <v>拓新伟业</v>
      </c>
      <c r="J3372" s="139" t="str">
        <f>VLOOKUP(H3372,Stock_list!A:S,17,FALSE)</f>
        <v>C49SZX20220023SX</v>
      </c>
      <c r="K3372" s="51" t="str">
        <f>VLOOKUP(H3372,Stock_list!A:T,16,FALSE)</f>
        <v>RMB</v>
      </c>
      <c r="L3372" s="4">
        <v>44625</v>
      </c>
      <c r="M3372" s="140">
        <v>4</v>
      </c>
      <c r="P3372" s="4" t="str">
        <f>VLOOKUP(H3372,Stock_list!A:Y,25,FALSE)</f>
        <v>Yes</v>
      </c>
      <c r="Q3372" s="143"/>
      <c r="T3372" s="144"/>
      <c r="U3372" s="145" t="str">
        <f>VLOOKUP(H3372,Stock_list!A:N,14,FALSE)</f>
        <v>MAR 22</v>
      </c>
    </row>
    <row r="3373" spans="1:21" ht="16.5" customHeight="1">
      <c r="A3373" s="159" t="s">
        <v>2755</v>
      </c>
      <c r="B3373" s="114" t="str">
        <f>VLOOKUP(A3373,'Data pick slip'!B:F,5,FALSE)</f>
        <v>KLJ-MC100-00</v>
      </c>
      <c r="F3373" s="157" t="s">
        <v>2753</v>
      </c>
      <c r="H3373" s="138">
        <v>1598</v>
      </c>
      <c r="I3373" s="139" t="str">
        <f>VLOOKUP(H3373,Stock_list!A:R,18,FALSE)</f>
        <v>拓新伟业</v>
      </c>
      <c r="J3373" s="139" t="str">
        <f>VLOOKUP(H3373,Stock_list!A:S,17,FALSE)</f>
        <v>C49SZX20220023SX</v>
      </c>
      <c r="K3373" s="51" t="str">
        <f>VLOOKUP(H3373,Stock_list!A:T,16,FALSE)</f>
        <v>RMB</v>
      </c>
      <c r="L3373" s="4">
        <v>44638</v>
      </c>
      <c r="M3373" s="140">
        <v>21</v>
      </c>
      <c r="P3373" s="4" t="str">
        <f>VLOOKUP(H3373,Stock_list!A:Y,25,FALSE)</f>
        <v>Yes</v>
      </c>
      <c r="Q3373" s="143"/>
      <c r="T3373" s="144"/>
      <c r="U3373" s="145" t="str">
        <f>VLOOKUP(H3373,Stock_list!A:N,14,FALSE)</f>
        <v>MAR 22</v>
      </c>
    </row>
    <row r="3374" spans="1:21" ht="16.5" customHeight="1">
      <c r="A3374" s="159" t="s">
        <v>2756</v>
      </c>
      <c r="B3374" s="114" t="str">
        <f>VLOOKUP(A3374,'Data pick slip'!B:F,5,FALSE)</f>
        <v>KLJ-MC200-00</v>
      </c>
      <c r="F3374" s="157" t="s">
        <v>2753</v>
      </c>
      <c r="H3374" s="138">
        <v>1598</v>
      </c>
      <c r="I3374" s="139" t="str">
        <f>VLOOKUP(H3374,Stock_list!A:R,18,FALSE)</f>
        <v>拓新伟业</v>
      </c>
      <c r="J3374" s="139" t="str">
        <f>VLOOKUP(H3374,Stock_list!A:S,17,FALSE)</f>
        <v>C49SZX20220023SX</v>
      </c>
      <c r="K3374" s="51" t="str">
        <f>VLOOKUP(H3374,Stock_list!A:T,16,FALSE)</f>
        <v>RMB</v>
      </c>
      <c r="L3374" s="4">
        <v>44638</v>
      </c>
      <c r="M3374" s="140">
        <v>6</v>
      </c>
      <c r="P3374" s="4" t="str">
        <f>VLOOKUP(H3374,Stock_list!A:Y,25,FALSE)</f>
        <v>Yes</v>
      </c>
      <c r="Q3374" s="143"/>
      <c r="T3374" s="144"/>
      <c r="U3374" s="145" t="str">
        <f>VLOOKUP(H3374,Stock_list!A:N,14,FALSE)</f>
        <v>MAR 22</v>
      </c>
    </row>
    <row r="3375" spans="1:21" ht="16.5" customHeight="1">
      <c r="A3375" s="159" t="s">
        <v>2757</v>
      </c>
      <c r="B3375" s="114" t="str">
        <f>VLOOKUP(A3375,'Data pick slip'!B:F,5,FALSE)</f>
        <v>KLJ-MC400-00</v>
      </c>
      <c r="F3375" s="157" t="s">
        <v>2753</v>
      </c>
      <c r="H3375" s="138">
        <v>1598</v>
      </c>
      <c r="I3375" s="139" t="str">
        <f>VLOOKUP(H3375,Stock_list!A:R,18,FALSE)</f>
        <v>拓新伟业</v>
      </c>
      <c r="J3375" s="139" t="str">
        <f>VLOOKUP(H3375,Stock_list!A:S,17,FALSE)</f>
        <v>C49SZX20220023SX</v>
      </c>
      <c r="K3375" s="51" t="str">
        <f>VLOOKUP(H3375,Stock_list!A:T,16,FALSE)</f>
        <v>RMB</v>
      </c>
      <c r="L3375" s="4">
        <v>44638</v>
      </c>
      <c r="M3375" s="140">
        <v>2</v>
      </c>
      <c r="P3375" s="4" t="str">
        <f>VLOOKUP(H3375,Stock_list!A:Y,25,FALSE)</f>
        <v>Yes</v>
      </c>
      <c r="Q3375" s="143"/>
      <c r="T3375" s="144"/>
      <c r="U3375" s="145" t="str">
        <f>VLOOKUP(H3375,Stock_list!A:N,14,FALSE)</f>
        <v>MAR 22</v>
      </c>
    </row>
    <row r="3376" spans="1:21" ht="16.5" customHeight="1">
      <c r="A3376" s="159" t="s">
        <v>2744</v>
      </c>
      <c r="B3376" s="114" t="str">
        <f>VLOOKUP(A3376,'Data pick slip'!B:F,5,FALSE)</f>
        <v>KHJ-MC100-00</v>
      </c>
      <c r="F3376" s="157" t="s">
        <v>2753</v>
      </c>
      <c r="I3376" s="139" t="s">
        <v>3094</v>
      </c>
      <c r="J3376" s="267" t="s">
        <v>3503</v>
      </c>
      <c r="K3376" s="51" t="s">
        <v>1246</v>
      </c>
      <c r="L3376" s="4">
        <v>44621</v>
      </c>
      <c r="M3376" s="140">
        <v>1</v>
      </c>
      <c r="P3376" s="4" t="s">
        <v>291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2744</v>
      </c>
      <c r="B3377" s="114" t="str">
        <f>VLOOKUP(A3377,'Data pick slip'!B:F,5,FALSE)</f>
        <v>KHJ-MC100-00</v>
      </c>
      <c r="F3377" s="157" t="s">
        <v>1381</v>
      </c>
      <c r="H3377" s="138">
        <v>1599</v>
      </c>
      <c r="I3377" s="139" t="str">
        <f>VLOOKUP(H3377,Stock_list!A:R,18,FALSE)</f>
        <v>英特莱</v>
      </c>
      <c r="J3377" s="139" t="str">
        <f>VLOOKUP(H3377,Stock_list!A:S,17,FALSE)</f>
        <v>C49SZX20220017JL</v>
      </c>
      <c r="K3377" s="51" t="str">
        <f>VLOOKUP(H3377,Stock_list!A:T,16,FALSE)</f>
        <v>JPY</v>
      </c>
      <c r="L3377" s="4">
        <v>44644</v>
      </c>
      <c r="M3377" s="140">
        <v>20</v>
      </c>
      <c r="P3377" s="4" t="str">
        <f>VLOOKUP(H3377,Stock_list!A:Y,25,FALSE)</f>
        <v>Yes</v>
      </c>
      <c r="Q3377" s="143"/>
      <c r="T3377" s="144"/>
      <c r="U3377" s="145" t="str">
        <f>VLOOKUP(H3377,Stock_list!A:N,14,FALSE)</f>
        <v>MAR 22</v>
      </c>
    </row>
    <row r="3378" spans="1:21" ht="16.5" customHeight="1">
      <c r="A3378" s="159" t="s">
        <v>2747</v>
      </c>
      <c r="B3378" s="114" t="str">
        <f>VLOOKUP(A3378,'Data pick slip'!B:F,5,FALSE)</f>
        <v>KHJ-MC200-00</v>
      </c>
      <c r="F3378" s="157" t="s">
        <v>1381</v>
      </c>
      <c r="H3378" s="138">
        <v>1599</v>
      </c>
      <c r="I3378" s="139" t="str">
        <f>VLOOKUP(H3378,Stock_list!A:R,18,FALSE)</f>
        <v>英特莱</v>
      </c>
      <c r="J3378" s="139" t="str">
        <f>VLOOKUP(H3378,Stock_list!A:S,17,FALSE)</f>
        <v>C49SZX20220017JL</v>
      </c>
      <c r="K3378" s="51" t="str">
        <f>VLOOKUP(H3378,Stock_list!A:T,16,FALSE)</f>
        <v>JPY</v>
      </c>
      <c r="L3378" s="4">
        <v>44644</v>
      </c>
      <c r="M3378" s="140">
        <v>3</v>
      </c>
      <c r="P3378" s="4" t="str">
        <f>VLOOKUP(H3378,Stock_list!A:Y,25,FALSE)</f>
        <v>Yes</v>
      </c>
      <c r="Q3378" s="143"/>
      <c r="T3378" s="144"/>
      <c r="U3378" s="145" t="str">
        <f>VLOOKUP(H3378,Stock_list!A:N,14,FALSE)</f>
        <v>MAR 22</v>
      </c>
    </row>
    <row r="3379" spans="1:21" ht="16.5" customHeight="1">
      <c r="A3379" s="159" t="s">
        <v>2744</v>
      </c>
      <c r="B3379" s="114" t="str">
        <f>VLOOKUP(A3379,'Data pick slip'!B:F,5,FALSE)</f>
        <v>KHJ-MC100-00</v>
      </c>
      <c r="F3379" s="157" t="s">
        <v>1381</v>
      </c>
      <c r="H3379" s="138">
        <v>1600</v>
      </c>
      <c r="I3379" s="139" t="str">
        <f>VLOOKUP(H3379,Stock_list!A:R,18,FALSE)</f>
        <v>友艺</v>
      </c>
      <c r="J3379" s="139" t="str">
        <f>VLOOKUP(H3379,Stock_list!A:S,17,FALSE)</f>
        <v>C49SZX20220024VC</v>
      </c>
      <c r="K3379" s="51" t="str">
        <f>VLOOKUP(H3379,Stock_list!A:T,16,FALSE)</f>
        <v>JPY</v>
      </c>
      <c r="L3379" s="4">
        <v>44748</v>
      </c>
      <c r="M3379" s="132">
        <v>100</v>
      </c>
      <c r="P3379" s="4" t="str">
        <f>VLOOKUP(H3379,Stock_list!A:Y,25,FALSE)</f>
        <v>Yes</v>
      </c>
      <c r="Q3379" s="143"/>
      <c r="T3379" s="144"/>
      <c r="U3379" s="145" t="str">
        <f>VLOOKUP(H3379,Stock_list!A:N,14,FALSE)</f>
        <v>JUL 22</v>
      </c>
    </row>
    <row r="3380" spans="1:21" ht="16.5" customHeight="1">
      <c r="A3380" s="159" t="s">
        <v>2747</v>
      </c>
      <c r="B3380" s="114" t="str">
        <f>VLOOKUP(A3380,'Data pick slip'!B:F,5,FALSE)</f>
        <v>KHJ-MC200-00</v>
      </c>
      <c r="F3380" s="157" t="s">
        <v>1381</v>
      </c>
      <c r="H3380" s="138">
        <v>1600</v>
      </c>
      <c r="I3380" s="139" t="str">
        <f>VLOOKUP(H3380,Stock_list!A:R,18,FALSE)</f>
        <v>友艺</v>
      </c>
      <c r="J3380" s="139" t="str">
        <f>VLOOKUP(H3380,Stock_list!A:S,17,FALSE)</f>
        <v>C49SZX20220024VC</v>
      </c>
      <c r="K3380" s="51" t="str">
        <f>VLOOKUP(H3380,Stock_list!A:T,16,FALSE)</f>
        <v>JPY</v>
      </c>
      <c r="L3380" s="4">
        <v>44748</v>
      </c>
      <c r="M3380" s="132">
        <v>6</v>
      </c>
      <c r="P3380" s="4" t="str">
        <f>VLOOKUP(H3380,Stock_list!A:Y,25,FALSE)</f>
        <v>Yes</v>
      </c>
      <c r="Q3380" s="143"/>
      <c r="T3380" s="144"/>
      <c r="U3380" s="145" t="str">
        <f>VLOOKUP(H3380,Stock_list!A:N,14,FALSE)</f>
        <v>JUL 22</v>
      </c>
    </row>
    <row r="3381" spans="1:21" ht="16.5" customHeight="1">
      <c r="A3381" s="159" t="s">
        <v>2744</v>
      </c>
      <c r="B3381" s="114" t="str">
        <f>VLOOKUP(A3381,'Data pick slip'!B:F,5,FALSE)</f>
        <v>KHJ-MC100-00</v>
      </c>
      <c r="F3381" s="157" t="s">
        <v>1381</v>
      </c>
      <c r="H3381" s="138">
        <v>1601</v>
      </c>
      <c r="I3381" s="139" t="str">
        <f>VLOOKUP(H3381,Stock_list!A:R,18,FALSE)</f>
        <v>骏仁达</v>
      </c>
      <c r="J3381" s="139" t="str">
        <f>VLOOKUP(H3381,Stock_list!A:S,17,FALSE)</f>
        <v>C49SZX20220026SX</v>
      </c>
      <c r="K3381" s="51" t="str">
        <f>VLOOKUP(H3381,Stock_list!A:T,16,FALSE)</f>
        <v>JPY</v>
      </c>
      <c r="L3381" s="4">
        <v>44729</v>
      </c>
      <c r="M3381" s="132">
        <v>59</v>
      </c>
      <c r="P3381" s="4" t="str">
        <f>VLOOKUP(H3381,Stock_list!A:Y,25,FALSE)</f>
        <v>Yes</v>
      </c>
      <c r="Q3381" s="143"/>
      <c r="T3381" s="144"/>
      <c r="U3381" s="145" t="str">
        <f>VLOOKUP(H3381,Stock_list!A:N,14,FALSE)</f>
        <v>JUN 22</v>
      </c>
    </row>
    <row r="3382" spans="1:21" ht="16.5" customHeight="1">
      <c r="A3382" s="159" t="s">
        <v>2747</v>
      </c>
      <c r="B3382" s="114" t="str">
        <f>VLOOKUP(A3382,'Data pick slip'!B:F,5,FALSE)</f>
        <v>KHJ-MC200-00</v>
      </c>
      <c r="F3382" s="157" t="s">
        <v>1381</v>
      </c>
      <c r="H3382" s="138">
        <v>1601</v>
      </c>
      <c r="I3382" s="139" t="str">
        <f>VLOOKUP(H3382,Stock_list!A:R,18,FALSE)</f>
        <v>骏仁达</v>
      </c>
      <c r="J3382" s="139" t="str">
        <f>VLOOKUP(H3382,Stock_list!A:S,17,FALSE)</f>
        <v>C49SZX20220026SX</v>
      </c>
      <c r="K3382" s="51" t="str">
        <f>VLOOKUP(H3382,Stock_list!A:T,16,FALSE)</f>
        <v>JPY</v>
      </c>
      <c r="L3382" s="4">
        <v>44729</v>
      </c>
      <c r="M3382" s="132">
        <v>20</v>
      </c>
      <c r="P3382" s="4" t="str">
        <f>VLOOKUP(H3382,Stock_list!A:Y,25,FALSE)</f>
        <v>Yes</v>
      </c>
      <c r="Q3382" s="143"/>
      <c r="T3382" s="144"/>
      <c r="U3382" s="145" t="str">
        <f>VLOOKUP(H3382,Stock_list!A:N,14,FALSE)</f>
        <v>JUN 22</v>
      </c>
    </row>
    <row r="3383" spans="1:21" ht="16.5" customHeight="1">
      <c r="A3383" s="159" t="s">
        <v>2748</v>
      </c>
      <c r="B3383" s="114" t="str">
        <f>VLOOKUP(A3383,'Data pick slip'!B:F,5,FALSE)</f>
        <v>KHJ-MC400-00</v>
      </c>
      <c r="F3383" s="157" t="s">
        <v>1381</v>
      </c>
      <c r="H3383" s="138">
        <v>1601</v>
      </c>
      <c r="I3383" s="139" t="str">
        <f>VLOOKUP(H3383,Stock_list!A:R,18,FALSE)</f>
        <v>骏仁达</v>
      </c>
      <c r="J3383" s="139" t="str">
        <f>VLOOKUP(H3383,Stock_list!A:S,17,FALSE)</f>
        <v>C49SZX20220026SX</v>
      </c>
      <c r="K3383" s="51" t="str">
        <f>VLOOKUP(H3383,Stock_list!A:T,16,FALSE)</f>
        <v>JPY</v>
      </c>
      <c r="L3383" s="4">
        <v>44729</v>
      </c>
      <c r="M3383" s="132">
        <v>10</v>
      </c>
      <c r="P3383" s="4" t="str">
        <f>VLOOKUP(H3383,Stock_list!A:Y,25,FALSE)</f>
        <v>Yes</v>
      </c>
      <c r="Q3383" s="143"/>
      <c r="T3383" s="144"/>
      <c r="U3383" s="145" t="str">
        <f>VLOOKUP(H3383,Stock_list!A:N,14,FALSE)</f>
        <v>JUN 22</v>
      </c>
    </row>
    <row r="3384" spans="1:21" ht="16.5" customHeight="1">
      <c r="A3384" s="159" t="s">
        <v>2749</v>
      </c>
      <c r="B3384" s="114" t="str">
        <f>VLOOKUP(A3384,'Data pick slip'!B:F,5,FALSE)</f>
        <v>KHJ-MC500-00</v>
      </c>
      <c r="F3384" s="157" t="s">
        <v>1381</v>
      </c>
      <c r="H3384" s="138">
        <v>1601</v>
      </c>
      <c r="I3384" s="139" t="str">
        <f>VLOOKUP(H3384,Stock_list!A:R,18,FALSE)</f>
        <v>骏仁达</v>
      </c>
      <c r="J3384" s="139" t="str">
        <f>VLOOKUP(H3384,Stock_list!A:S,17,FALSE)</f>
        <v>C49SZX20220026SX</v>
      </c>
      <c r="K3384" s="51" t="str">
        <f>VLOOKUP(H3384,Stock_list!A:T,16,FALSE)</f>
        <v>JPY</v>
      </c>
      <c r="L3384" s="4">
        <v>44729</v>
      </c>
      <c r="M3384" s="132">
        <v>4</v>
      </c>
      <c r="P3384" s="4" t="str">
        <f>VLOOKUP(H3384,Stock_list!A:Y,25,FALSE)</f>
        <v>Yes</v>
      </c>
      <c r="Q3384" s="143"/>
      <c r="T3384" s="144"/>
      <c r="U3384" s="145" t="str">
        <f>VLOOKUP(H3384,Stock_list!A:N,14,FALSE)</f>
        <v>JUN 22</v>
      </c>
    </row>
    <row r="3385" spans="1:21" ht="16.5" customHeight="1">
      <c r="A3385" s="159" t="s">
        <v>2751</v>
      </c>
      <c r="B3385" s="114" t="str">
        <f>VLOOKUP(A3385,'Data pick slip'!B:F,5,FALSE)</f>
        <v>KHJ-MC700-00</v>
      </c>
      <c r="F3385" s="157" t="s">
        <v>1381</v>
      </c>
      <c r="H3385" s="138">
        <v>1601</v>
      </c>
      <c r="I3385" s="139" t="str">
        <f>VLOOKUP(H3385,Stock_list!A:R,18,FALSE)</f>
        <v>骏仁达</v>
      </c>
      <c r="J3385" s="139" t="str">
        <f>VLOOKUP(H3385,Stock_list!A:S,17,FALSE)</f>
        <v>C49SZX20220026SX</v>
      </c>
      <c r="K3385" s="51" t="str">
        <f>VLOOKUP(H3385,Stock_list!A:T,16,FALSE)</f>
        <v>JPY</v>
      </c>
      <c r="L3385" s="4">
        <v>44729</v>
      </c>
      <c r="M3385" s="132">
        <v>1</v>
      </c>
      <c r="P3385" s="4" t="str">
        <f>VLOOKUP(H3385,Stock_list!A:Y,25,FALSE)</f>
        <v>Yes</v>
      </c>
      <c r="Q3385" s="143"/>
      <c r="T3385" s="144"/>
      <c r="U3385" s="145" t="str">
        <f>VLOOKUP(H3385,Stock_list!A:N,14,FALSE)</f>
        <v>JUN 22</v>
      </c>
    </row>
    <row r="3386" spans="1:21" ht="16.5" customHeight="1">
      <c r="A3386" s="159" t="s">
        <v>2744</v>
      </c>
      <c r="B3386" s="114" t="str">
        <f>VLOOKUP(A3386,'Data pick slip'!B:F,5,FALSE)</f>
        <v>KHJ-MC100-00</v>
      </c>
      <c r="F3386" s="157" t="s">
        <v>1381</v>
      </c>
      <c r="H3386" s="138">
        <v>1606</v>
      </c>
      <c r="I3386" s="139" t="str">
        <f>VLOOKUP(H3386,Stock_list!A:R,18,FALSE)</f>
        <v>通达科信</v>
      </c>
      <c r="J3386" s="139" t="str">
        <f>VLOOKUP(H3386,Stock_list!A:S,17,FALSE)</f>
        <v>C49SZX20220028R1SX</v>
      </c>
      <c r="K3386" s="51" t="str">
        <f>VLOOKUP(H3386,Stock_list!A:T,16,FALSE)</f>
        <v>JPY</v>
      </c>
      <c r="L3386" s="4">
        <v>44735</v>
      </c>
      <c r="M3386" s="140">
        <v>110</v>
      </c>
      <c r="P3386" s="4" t="str">
        <f>VLOOKUP(H3386,Stock_list!A:Y,25,FALSE)</f>
        <v>Yes</v>
      </c>
      <c r="Q3386" s="143"/>
      <c r="T3386" s="144"/>
      <c r="U3386" s="145" t="str">
        <f>VLOOKUP(H3386,Stock_list!A:N,14,FALSE)</f>
        <v>JUN 22</v>
      </c>
    </row>
    <row r="3387" spans="1:21" ht="16.5" customHeight="1">
      <c r="A3387" s="159" t="s">
        <v>2747</v>
      </c>
      <c r="B3387" s="114" t="str">
        <f>VLOOKUP(A3387,'Data pick slip'!B:F,5,FALSE)</f>
        <v>KHJ-MC200-00</v>
      </c>
      <c r="F3387" s="157" t="s">
        <v>1381</v>
      </c>
      <c r="H3387" s="138">
        <v>1606</v>
      </c>
      <c r="I3387" s="139" t="str">
        <f>VLOOKUP(H3387,Stock_list!A:R,18,FALSE)</f>
        <v>通达科信</v>
      </c>
      <c r="J3387" s="139" t="str">
        <f>VLOOKUP(H3387,Stock_list!A:S,17,FALSE)</f>
        <v>C49SZX20220028R1SX</v>
      </c>
      <c r="K3387" s="51" t="str">
        <f>VLOOKUP(H3387,Stock_list!A:T,16,FALSE)</f>
        <v>JPY</v>
      </c>
      <c r="L3387" s="4">
        <v>44735</v>
      </c>
      <c r="M3387" s="140">
        <v>20</v>
      </c>
      <c r="P3387" s="4" t="str">
        <f>VLOOKUP(H3387,Stock_list!A:Y,25,FALSE)</f>
        <v>Yes</v>
      </c>
      <c r="Q3387" s="143"/>
      <c r="T3387" s="144"/>
      <c r="U3387" s="145" t="str">
        <f>VLOOKUP(H3387,Stock_list!A:N,14,FALSE)</f>
        <v>JUN 22</v>
      </c>
    </row>
    <row r="3388" spans="1:21" ht="16.5" customHeight="1">
      <c r="A3388" s="159" t="s">
        <v>2748</v>
      </c>
      <c r="B3388" s="114" t="str">
        <f>VLOOKUP(A3388,'Data pick slip'!B:F,5,FALSE)</f>
        <v>KHJ-MC400-00</v>
      </c>
      <c r="F3388" s="157" t="s">
        <v>1381</v>
      </c>
      <c r="H3388" s="138">
        <v>1606</v>
      </c>
      <c r="I3388" s="139" t="str">
        <f>VLOOKUP(H3388,Stock_list!A:R,18,FALSE)</f>
        <v>通达科信</v>
      </c>
      <c r="J3388" s="139" t="str">
        <f>VLOOKUP(H3388,Stock_list!A:S,17,FALSE)</f>
        <v>C49SZX20220028R1SX</v>
      </c>
      <c r="K3388" s="51" t="str">
        <f>VLOOKUP(H3388,Stock_list!A:T,16,FALSE)</f>
        <v>JPY</v>
      </c>
      <c r="L3388" s="4">
        <v>44735</v>
      </c>
      <c r="M3388" s="140">
        <v>6</v>
      </c>
      <c r="P3388" s="4" t="str">
        <f>VLOOKUP(H3388,Stock_list!A:Y,25,FALSE)</f>
        <v>Yes</v>
      </c>
      <c r="Q3388" s="143"/>
      <c r="T3388" s="144"/>
      <c r="U3388" s="145" t="str">
        <f>VLOOKUP(H3388,Stock_list!A:N,14,FALSE)</f>
        <v>JUN 22</v>
      </c>
    </row>
    <row r="3389" spans="1:21" ht="16.5" customHeight="1">
      <c r="A3389" s="159" t="s">
        <v>2768</v>
      </c>
      <c r="B3389" s="114" t="str">
        <f>VLOOKUP(A3389,'Data pick slip'!B:F,5,FALSE)</f>
        <v>KHJ-MC100-00</v>
      </c>
      <c r="F3389" s="157" t="s">
        <v>1381</v>
      </c>
      <c r="H3389" s="138">
        <v>1382</v>
      </c>
      <c r="I3389" s="139" t="str">
        <f>VLOOKUP(H3389,Stock_list!A:R,18,FALSE)</f>
        <v>巨能</v>
      </c>
      <c r="J3389" s="139" t="str">
        <f>VLOOKUP(H3389,Stock_list!A:S,17,FALSE)</f>
        <v>C49SZX20210155MZR1</v>
      </c>
      <c r="K3389" s="51" t="str">
        <f>VLOOKUP(H3389,Stock_list!A:T,16,FALSE)</f>
        <v>JPY</v>
      </c>
      <c r="L3389" s="4">
        <v>44650</v>
      </c>
      <c r="M3389" s="140">
        <v>30</v>
      </c>
      <c r="P3389" s="4" t="str">
        <f>VLOOKUP(H3389,Stock_list!A:Y,25,FALSE)</f>
        <v>Yes</v>
      </c>
      <c r="Q3389" s="143"/>
      <c r="T3389" s="144"/>
      <c r="U3389" s="145" t="str">
        <f>VLOOKUP(H3389,Stock_list!A:N,14,FALSE)</f>
        <v>MAR 22</v>
      </c>
    </row>
    <row r="3390" spans="1:21" ht="16.5" customHeight="1">
      <c r="A3390" s="159" t="s">
        <v>2747</v>
      </c>
      <c r="B3390" s="114" t="str">
        <f>VLOOKUP(A3390,'Data pick slip'!B:F,5,FALSE)</f>
        <v>KHJ-MC200-00</v>
      </c>
      <c r="F3390" s="157" t="s">
        <v>1381</v>
      </c>
      <c r="H3390" s="138">
        <v>1382</v>
      </c>
      <c r="I3390" s="139" t="str">
        <f>VLOOKUP(H3390,Stock_list!A:R,18,FALSE)</f>
        <v>巨能</v>
      </c>
      <c r="J3390" s="139" t="str">
        <f>VLOOKUP(H3390,Stock_list!A:S,17,FALSE)</f>
        <v>C49SZX20210155MZR1</v>
      </c>
      <c r="K3390" s="51" t="str">
        <f>VLOOKUP(H3390,Stock_list!A:T,16,FALSE)</f>
        <v>JPY</v>
      </c>
      <c r="L3390" s="4">
        <v>44650</v>
      </c>
      <c r="M3390" s="140">
        <v>4</v>
      </c>
      <c r="P3390" s="4" t="str">
        <f>VLOOKUP(H3390,Stock_list!A:Y,25,FALSE)</f>
        <v>Yes</v>
      </c>
      <c r="Q3390" s="143"/>
      <c r="T3390" s="144"/>
      <c r="U3390" s="145" t="str">
        <f>VLOOKUP(H3390,Stock_list!A:N,14,FALSE)</f>
        <v>MAR 22</v>
      </c>
    </row>
    <row r="3391" spans="1:21" ht="16.5" customHeight="1">
      <c r="A3391" s="159" t="s">
        <v>2748</v>
      </c>
      <c r="B3391" s="114" t="str">
        <f>VLOOKUP(A3391,'Data pick slip'!B:F,5,FALSE)</f>
        <v>KHJ-MC400-00</v>
      </c>
      <c r="F3391" s="157" t="s">
        <v>1381</v>
      </c>
      <c r="H3391" s="138">
        <v>1382</v>
      </c>
      <c r="I3391" s="139" t="str">
        <f>VLOOKUP(H3391,Stock_list!A:R,18,FALSE)</f>
        <v>巨能</v>
      </c>
      <c r="J3391" s="139" t="str">
        <f>VLOOKUP(H3391,Stock_list!A:S,17,FALSE)</f>
        <v>C49SZX20210155MZR1</v>
      </c>
      <c r="K3391" s="51" t="str">
        <f>VLOOKUP(H3391,Stock_list!A:T,16,FALSE)</f>
        <v>JPY</v>
      </c>
      <c r="L3391" s="4">
        <v>44650</v>
      </c>
      <c r="M3391" s="140">
        <v>1</v>
      </c>
      <c r="P3391" s="4" t="str">
        <f>VLOOKUP(H3391,Stock_list!A:Y,25,FALSE)</f>
        <v>Yes</v>
      </c>
      <c r="Q3391" s="143"/>
      <c r="T3391" s="144"/>
      <c r="U3391" s="145" t="str">
        <f>VLOOKUP(H3391,Stock_list!A:N,14,FALSE)</f>
        <v>MAR 22</v>
      </c>
    </row>
    <row r="3392" spans="1:21" ht="16.5" customHeight="1">
      <c r="A3392" s="159" t="s">
        <v>2749</v>
      </c>
      <c r="B3392" s="114" t="str">
        <f>VLOOKUP(A3392,'Data pick slip'!B:F,5,FALSE)</f>
        <v>KHJ-MC500-00</v>
      </c>
      <c r="F3392" s="157" t="s">
        <v>1381</v>
      </c>
      <c r="H3392" s="138">
        <v>1382</v>
      </c>
      <c r="I3392" s="139" t="str">
        <f>VLOOKUP(H3392,Stock_list!A:R,18,FALSE)</f>
        <v>巨能</v>
      </c>
      <c r="J3392" s="139" t="str">
        <f>VLOOKUP(H3392,Stock_list!A:S,17,FALSE)</f>
        <v>C49SZX20210155MZR1</v>
      </c>
      <c r="K3392" s="51" t="str">
        <f>VLOOKUP(H3392,Stock_list!A:T,16,FALSE)</f>
        <v>JPY</v>
      </c>
      <c r="L3392" s="4">
        <v>44650</v>
      </c>
      <c r="M3392" s="140">
        <v>1</v>
      </c>
      <c r="P3392" s="4" t="str">
        <f>VLOOKUP(H3392,Stock_list!A:Y,25,FALSE)</f>
        <v>Yes</v>
      </c>
      <c r="Q3392" s="143"/>
      <c r="T3392" s="144"/>
      <c r="U3392" s="145" t="str">
        <f>VLOOKUP(H3392,Stock_list!A:N,14,FALSE)</f>
        <v>MAR 22</v>
      </c>
    </row>
    <row r="3393" spans="1:21" ht="24" customHeight="1">
      <c r="A3393" s="159" t="s">
        <v>2749</v>
      </c>
      <c r="B3393" s="114" t="str">
        <f>VLOOKUP(A3393,'Data pick slip'!B:F,5,FALSE)</f>
        <v>KHJ-MC500-00</v>
      </c>
      <c r="F3393" s="157" t="s">
        <v>2753</v>
      </c>
      <c r="I3393" s="139" t="s">
        <v>3100</v>
      </c>
      <c r="J3393" s="139" t="s">
        <v>3504</v>
      </c>
      <c r="K3393" s="51" t="s">
        <v>1246</v>
      </c>
      <c r="L3393" s="4">
        <v>44627</v>
      </c>
      <c r="M3393" s="140">
        <v>1</v>
      </c>
      <c r="P3393" s="4" t="s">
        <v>291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2750</v>
      </c>
      <c r="B3394" s="114" t="str">
        <f>VLOOKUP(A3394,'Data pick slip'!B:F,5,FALSE)</f>
        <v>KHJ-MC600-00</v>
      </c>
      <c r="F3394" s="157" t="s">
        <v>2753</v>
      </c>
      <c r="I3394" s="139" t="s">
        <v>3100</v>
      </c>
      <c r="J3394" s="139" t="s">
        <v>3504</v>
      </c>
      <c r="K3394" s="51" t="s">
        <v>1246</v>
      </c>
      <c r="L3394" s="4">
        <v>44627</v>
      </c>
      <c r="M3394" s="140">
        <v>1</v>
      </c>
      <c r="P3394" s="4" t="s">
        <v>291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2768</v>
      </c>
      <c r="B3395" s="114" t="str">
        <f>VLOOKUP(A3395,'Data pick slip'!B:F,5,FALSE)</f>
        <v>KHJ-MC100-00</v>
      </c>
      <c r="F3395" s="157" t="s">
        <v>2753</v>
      </c>
      <c r="I3395" s="139" t="s">
        <v>3094</v>
      </c>
      <c r="J3395" s="270" t="s">
        <v>3505</v>
      </c>
      <c r="K3395" s="51" t="s">
        <v>1246</v>
      </c>
      <c r="L3395" s="4">
        <v>44629</v>
      </c>
      <c r="M3395" s="140">
        <v>20</v>
      </c>
      <c r="P3395" s="4" t="s">
        <v>291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2768</v>
      </c>
      <c r="B3396" s="114" t="str">
        <f>VLOOKUP(A3396,'Data pick slip'!B:F,5,FALSE)</f>
        <v>KHJ-MC100-00</v>
      </c>
      <c r="F3396" s="157" t="s">
        <v>1381</v>
      </c>
      <c r="H3396" s="138">
        <v>1608</v>
      </c>
      <c r="I3396" s="269" t="s">
        <v>3414</v>
      </c>
      <c r="J3396" s="139" t="s">
        <v>3506</v>
      </c>
      <c r="K3396" s="51" t="s">
        <v>1246</v>
      </c>
      <c r="L3396" s="4">
        <v>44614</v>
      </c>
      <c r="M3396" s="140">
        <v>23</v>
      </c>
      <c r="P3396" s="4" t="s">
        <v>291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2747</v>
      </c>
      <c r="B3397" s="114" t="str">
        <f>VLOOKUP(A3397,'Data pick slip'!B:F,5,FALSE)</f>
        <v>KHJ-MC200-00</v>
      </c>
      <c r="F3397" s="157" t="s">
        <v>1381</v>
      </c>
      <c r="H3397" s="138">
        <v>1608</v>
      </c>
      <c r="I3397" s="269" t="s">
        <v>3414</v>
      </c>
      <c r="J3397" s="139" t="s">
        <v>3506</v>
      </c>
      <c r="K3397" s="51" t="s">
        <v>1246</v>
      </c>
      <c r="L3397" s="4">
        <v>44614</v>
      </c>
      <c r="M3397" s="140">
        <v>10</v>
      </c>
      <c r="P3397" s="4" t="s">
        <v>291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2744</v>
      </c>
      <c r="B3398" s="114" t="str">
        <f>VLOOKUP(A3398,'Data pick slip'!B:F,5,FALSE)</f>
        <v>KHJ-MC100-00</v>
      </c>
      <c r="F3398" s="157" t="s">
        <v>2753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2747</v>
      </c>
      <c r="B3399" s="114" t="str">
        <f>VLOOKUP(A3399,'Data pick slip'!B:F,5,FALSE)</f>
        <v>KHJ-MC200-00</v>
      </c>
      <c r="F3399" s="157" t="s">
        <v>2753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2748</v>
      </c>
      <c r="B3400" s="114" t="str">
        <f>VLOOKUP(A3400,'Data pick slip'!B:F,5,FALSE)</f>
        <v>KHJ-MC400-00</v>
      </c>
      <c r="F3400" s="157" t="s">
        <v>2753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2747</v>
      </c>
      <c r="B3401" s="114" t="str">
        <f>VLOOKUP(A3401,'Data pick slip'!B:F,5,FALSE)</f>
        <v>KHJ-MC200-00</v>
      </c>
      <c r="F3401" s="157" t="s">
        <v>2753</v>
      </c>
      <c r="I3401" s="139" t="s">
        <v>3116</v>
      </c>
      <c r="J3401" s="270" t="s">
        <v>3507</v>
      </c>
      <c r="K3401" s="51" t="s">
        <v>1246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2768</v>
      </c>
      <c r="B3402" s="114" t="str">
        <f>VLOOKUP(A3402,'Data pick slip'!B:F,5,FALSE)</f>
        <v>KHJ-MC100-00</v>
      </c>
      <c r="F3402" s="157" t="s">
        <v>2753</v>
      </c>
      <c r="H3402" s="138">
        <v>1618</v>
      </c>
      <c r="I3402" s="139" t="str">
        <f>VLOOKUP(H3402,Stock_list!A:R,18,FALSE)</f>
        <v>创舰</v>
      </c>
      <c r="J3402" s="139" t="str">
        <f>VLOOKUP(H3402,Stock_list!A:S,17,FALSE)</f>
        <v>C49SZX20220025AY</v>
      </c>
      <c r="K3402" s="51" t="str">
        <f>VLOOKUP(H3402,Stock_list!A:T,16,FALSE)</f>
        <v>RMB</v>
      </c>
      <c r="L3402" s="4">
        <v>44711</v>
      </c>
      <c r="M3402" s="140">
        <v>30</v>
      </c>
      <c r="P3402" s="4" t="str">
        <f>VLOOKUP(H3402,Stock_list!A:Y,25,FALSE)</f>
        <v>Yes</v>
      </c>
      <c r="Q3402" s="143"/>
      <c r="T3402" s="144"/>
      <c r="U3402" s="145">
        <f>VLOOKUP(H3402,Stock_list!A:N,14,FALSE)</f>
        <v>0</v>
      </c>
    </row>
    <row r="3403" spans="1:21" ht="16.5" customHeight="1">
      <c r="A3403" s="159" t="s">
        <v>2747</v>
      </c>
      <c r="B3403" s="114" t="str">
        <f>VLOOKUP(A3403,'Data pick slip'!B:F,5,FALSE)</f>
        <v>KHJ-MC200-00</v>
      </c>
      <c r="F3403" s="157" t="s">
        <v>2753</v>
      </c>
      <c r="H3403" s="138">
        <v>1618</v>
      </c>
      <c r="I3403" s="139" t="str">
        <f>VLOOKUP(H3403,Stock_list!A:R,18,FALSE)</f>
        <v>创舰</v>
      </c>
      <c r="J3403" s="139" t="str">
        <f>VLOOKUP(H3403,Stock_list!A:S,17,FALSE)</f>
        <v>C49SZX20220025AY</v>
      </c>
      <c r="K3403" s="51" t="str">
        <f>VLOOKUP(H3403,Stock_list!A:T,16,FALSE)</f>
        <v>RMB</v>
      </c>
      <c r="L3403" s="4">
        <v>44711</v>
      </c>
      <c r="M3403" s="140">
        <v>5</v>
      </c>
      <c r="P3403" s="4" t="str">
        <f>VLOOKUP(H3403,Stock_list!A:Y,25,FALSE)</f>
        <v>Yes</v>
      </c>
      <c r="Q3403" s="143"/>
      <c r="T3403" s="144"/>
      <c r="U3403" s="145">
        <f>VLOOKUP(H3403,Stock_list!A:N,14,FALSE)</f>
        <v>0</v>
      </c>
    </row>
    <row r="3404" spans="1:21" ht="16.5" customHeight="1">
      <c r="A3404" s="159" t="s">
        <v>2744</v>
      </c>
      <c r="B3404" s="114" t="str">
        <f>VLOOKUP(A3404,'Data pick slip'!B:F,5,FALSE)</f>
        <v>KHJ-MC100-00</v>
      </c>
      <c r="F3404" s="157" t="s">
        <v>1381</v>
      </c>
      <c r="H3404" s="138">
        <v>1625</v>
      </c>
      <c r="I3404" s="139" t="str">
        <f>VLOOKUP(H3404,Stock_list!A:R,18,FALSE)</f>
        <v>中润互联</v>
      </c>
      <c r="J3404" s="139" t="str">
        <f>VLOOKUP(H3404,Stock_list!A:S,17,FALSE)</f>
        <v>C49SZX20220035R1SS</v>
      </c>
      <c r="K3404" s="51" t="str">
        <f>VLOOKUP(H3404,Stock_list!A:T,16,FALSE)</f>
        <v>JPY</v>
      </c>
      <c r="L3404" s="4">
        <v>44767</v>
      </c>
      <c r="M3404" s="140">
        <v>157</v>
      </c>
      <c r="P3404" s="4" t="str">
        <f>VLOOKUP(H3404,Stock_list!A:Y,25,FALSE)</f>
        <v>Yes</v>
      </c>
      <c r="Q3404" s="143"/>
      <c r="T3404" s="144"/>
      <c r="U3404" s="145" t="str">
        <f>VLOOKUP(H3404,Stock_list!A:N,14,FALSE)</f>
        <v>JUL 22</v>
      </c>
    </row>
    <row r="3405" spans="1:21" ht="16.5" customHeight="1">
      <c r="A3405" s="159" t="s">
        <v>2747</v>
      </c>
      <c r="B3405" s="114" t="str">
        <f>VLOOKUP(A3405,'Data pick slip'!B:F,5,FALSE)</f>
        <v>KHJ-MC200-00</v>
      </c>
      <c r="F3405" s="157" t="s">
        <v>1381</v>
      </c>
      <c r="H3405" s="138">
        <v>1625</v>
      </c>
      <c r="I3405" s="139" t="str">
        <f>VLOOKUP(H3405,Stock_list!A:R,18,FALSE)</f>
        <v>中润互联</v>
      </c>
      <c r="J3405" s="139" t="str">
        <f>VLOOKUP(H3405,Stock_list!A:S,17,FALSE)</f>
        <v>C49SZX20220035R1SS</v>
      </c>
      <c r="K3405" s="51" t="str">
        <f>VLOOKUP(H3405,Stock_list!A:T,16,FALSE)</f>
        <v>JPY</v>
      </c>
      <c r="L3405" s="4">
        <v>44767</v>
      </c>
      <c r="M3405" s="140">
        <v>30</v>
      </c>
      <c r="P3405" s="4" t="str">
        <f>VLOOKUP(H3405,Stock_list!A:Y,25,FALSE)</f>
        <v>Yes</v>
      </c>
      <c r="Q3405" s="143"/>
      <c r="T3405" s="144"/>
      <c r="U3405" s="145" t="str">
        <f>VLOOKUP(H3405,Stock_list!A:N,14,FALSE)</f>
        <v>JUL 22</v>
      </c>
    </row>
    <row r="3406" spans="1:21" ht="16.5" customHeight="1">
      <c r="A3406" s="159" t="s">
        <v>2748</v>
      </c>
      <c r="B3406" s="114" t="str">
        <f>VLOOKUP(A3406,'Data pick slip'!B:F,5,FALSE)</f>
        <v>KHJ-MC400-00</v>
      </c>
      <c r="F3406" s="157" t="s">
        <v>1381</v>
      </c>
      <c r="H3406" s="138">
        <v>1625</v>
      </c>
      <c r="I3406" s="139" t="str">
        <f>VLOOKUP(H3406,Stock_list!A:R,18,FALSE)</f>
        <v>中润互联</v>
      </c>
      <c r="J3406" s="139" t="str">
        <f>VLOOKUP(H3406,Stock_list!A:S,17,FALSE)</f>
        <v>C49SZX20220035R1SS</v>
      </c>
      <c r="K3406" s="51" t="str">
        <f>VLOOKUP(H3406,Stock_list!A:T,16,FALSE)</f>
        <v>JPY</v>
      </c>
      <c r="L3406" s="4">
        <v>44767</v>
      </c>
      <c r="M3406" s="140">
        <v>5</v>
      </c>
      <c r="P3406" s="4" t="str">
        <f>VLOOKUP(H3406,Stock_list!A:Y,25,FALSE)</f>
        <v>Yes</v>
      </c>
      <c r="Q3406" s="143"/>
      <c r="T3406" s="144"/>
      <c r="U3406" s="145" t="str">
        <f>VLOOKUP(H3406,Stock_list!A:N,14,FALSE)</f>
        <v>JUL 22</v>
      </c>
    </row>
    <row r="3407" spans="1:21" ht="16.5" customHeight="1">
      <c r="A3407" s="159" t="s">
        <v>2749</v>
      </c>
      <c r="B3407" s="114" t="str">
        <f>VLOOKUP(A3407,'Data pick slip'!B:F,5,FALSE)</f>
        <v>KHJ-MC500-00</v>
      </c>
      <c r="F3407" s="157" t="s">
        <v>1381</v>
      </c>
      <c r="H3407" s="138">
        <v>1625</v>
      </c>
      <c r="I3407" s="139" t="str">
        <f>VLOOKUP(H3407,Stock_list!A:R,18,FALSE)</f>
        <v>中润互联</v>
      </c>
      <c r="J3407" s="139" t="str">
        <f>VLOOKUP(H3407,Stock_list!A:S,17,FALSE)</f>
        <v>C49SZX20220035R1SS</v>
      </c>
      <c r="K3407" s="51" t="str">
        <f>VLOOKUP(H3407,Stock_list!A:T,16,FALSE)</f>
        <v>JPY</v>
      </c>
      <c r="L3407" s="4">
        <v>44767</v>
      </c>
      <c r="M3407" s="140">
        <v>2</v>
      </c>
      <c r="P3407" s="4" t="str">
        <f>VLOOKUP(H3407,Stock_list!A:Y,25,FALSE)</f>
        <v>Yes</v>
      </c>
      <c r="Q3407" s="143"/>
      <c r="T3407" s="144"/>
      <c r="U3407" s="145" t="str">
        <f>VLOOKUP(H3407,Stock_list!A:N,14,FALSE)</f>
        <v>JUL 22</v>
      </c>
    </row>
    <row r="3408" spans="1:21" ht="16.5" customHeight="1">
      <c r="A3408" s="159" t="s">
        <v>2750</v>
      </c>
      <c r="B3408" s="114" t="str">
        <f>VLOOKUP(A3408,'Data pick slip'!B:F,5,FALSE)</f>
        <v>KHJ-MC600-00</v>
      </c>
      <c r="F3408" s="157" t="s">
        <v>1381</v>
      </c>
      <c r="H3408" s="138">
        <v>1625</v>
      </c>
      <c r="I3408" s="139" t="str">
        <f>VLOOKUP(H3408,Stock_list!A:R,18,FALSE)</f>
        <v>中润互联</v>
      </c>
      <c r="J3408" s="139" t="str">
        <f>VLOOKUP(H3408,Stock_list!A:S,17,FALSE)</f>
        <v>C49SZX20220035R1SS</v>
      </c>
      <c r="K3408" s="51" t="str">
        <f>VLOOKUP(H3408,Stock_list!A:T,16,FALSE)</f>
        <v>JPY</v>
      </c>
      <c r="L3408" s="4">
        <v>44767</v>
      </c>
      <c r="M3408" s="140">
        <v>2</v>
      </c>
      <c r="P3408" s="4" t="str">
        <f>VLOOKUP(H3408,Stock_list!A:Y,25,FALSE)</f>
        <v>Yes</v>
      </c>
      <c r="Q3408" s="143"/>
      <c r="T3408" s="144"/>
      <c r="U3408" s="145" t="str">
        <f>VLOOKUP(H3408,Stock_list!A:N,14,FALSE)</f>
        <v>JUL 22</v>
      </c>
    </row>
    <row r="3409" spans="1:21" ht="16.5" customHeight="1">
      <c r="A3409" s="159" t="s">
        <v>2751</v>
      </c>
      <c r="B3409" s="114" t="str">
        <f>VLOOKUP(A3409,'Data pick slip'!B:F,5,FALSE)</f>
        <v>KHJ-MC700-00</v>
      </c>
      <c r="F3409" s="157" t="s">
        <v>1381</v>
      </c>
      <c r="H3409" s="138">
        <v>1625</v>
      </c>
      <c r="I3409" s="139" t="str">
        <f>VLOOKUP(H3409,Stock_list!A:R,18,FALSE)</f>
        <v>中润互联</v>
      </c>
      <c r="J3409" s="139" t="str">
        <f>VLOOKUP(H3409,Stock_list!A:S,17,FALSE)</f>
        <v>C49SZX20220035R1SS</v>
      </c>
      <c r="K3409" s="51" t="str">
        <f>VLOOKUP(H3409,Stock_list!A:T,16,FALSE)</f>
        <v>JPY</v>
      </c>
      <c r="L3409" s="4">
        <v>44767</v>
      </c>
      <c r="M3409" s="140">
        <v>1</v>
      </c>
      <c r="P3409" s="4" t="str">
        <f>VLOOKUP(H3409,Stock_list!A:Y,25,FALSE)</f>
        <v>Yes</v>
      </c>
      <c r="Q3409" s="143"/>
      <c r="T3409" s="144"/>
      <c r="U3409" s="145" t="str">
        <f>VLOOKUP(H3409,Stock_list!A:N,14,FALSE)</f>
        <v>JUL 22</v>
      </c>
    </row>
    <row r="3410" spans="1:21" ht="16.5" customHeight="1">
      <c r="A3410" s="159" t="s">
        <v>2744</v>
      </c>
      <c r="B3410" s="114" t="str">
        <f>VLOOKUP(A3410,'Data pick slip'!B:F,5,FALSE)</f>
        <v>KHJ-MC100-00</v>
      </c>
      <c r="F3410" s="157" t="s">
        <v>1381</v>
      </c>
      <c r="H3410" s="138">
        <v>1630</v>
      </c>
      <c r="I3410" s="139" t="str">
        <f>VLOOKUP(H3410,Stock_list!A:R,18,FALSE)</f>
        <v>泰鑫荣</v>
      </c>
      <c r="J3410" s="139" t="str">
        <f>VLOOKUP(H3410,Stock_list!A:S,17,FALSE)</f>
        <v>C49SZX20220036SS</v>
      </c>
      <c r="K3410" s="51" t="str">
        <f>VLOOKUP(H3410,Stock_list!A:T,16,FALSE)</f>
        <v>JPY</v>
      </c>
      <c r="L3410" s="4">
        <v>44775</v>
      </c>
      <c r="M3410" s="140">
        <v>25</v>
      </c>
      <c r="P3410" s="4" t="str">
        <f>VLOOKUP(H3410,Stock_list!A:Y,25,FALSE)</f>
        <v>Yes</v>
      </c>
      <c r="Q3410" s="143"/>
      <c r="T3410" s="144"/>
      <c r="U3410" s="145" t="str">
        <f>VLOOKUP(H3410,Stock_list!A:N,14,FALSE)</f>
        <v>AUG 22</v>
      </c>
    </row>
    <row r="3411" spans="1:21" ht="16.5" customHeight="1">
      <c r="A3411" s="159" t="s">
        <v>2747</v>
      </c>
      <c r="B3411" s="114" t="str">
        <f>VLOOKUP(A3411,'Data pick slip'!B:F,5,FALSE)</f>
        <v>KHJ-MC200-00</v>
      </c>
      <c r="F3411" s="157" t="s">
        <v>1381</v>
      </c>
      <c r="H3411" s="138">
        <v>1630</v>
      </c>
      <c r="I3411" s="139" t="str">
        <f>VLOOKUP(H3411,Stock_list!A:R,18,FALSE)</f>
        <v>泰鑫荣</v>
      </c>
      <c r="J3411" s="139" t="str">
        <f>VLOOKUP(H3411,Stock_list!A:S,17,FALSE)</f>
        <v>C49SZX20220036SS</v>
      </c>
      <c r="K3411" s="51" t="str">
        <f>VLOOKUP(H3411,Stock_list!A:T,16,FALSE)</f>
        <v>JPY</v>
      </c>
      <c r="L3411" s="4">
        <v>44775</v>
      </c>
      <c r="M3411" s="140">
        <v>5</v>
      </c>
      <c r="P3411" s="4" t="str">
        <f>VLOOKUP(H3411,Stock_list!A:Y,25,FALSE)</f>
        <v>Yes</v>
      </c>
      <c r="Q3411" s="143"/>
      <c r="T3411" s="144"/>
      <c r="U3411" s="145" t="str">
        <f>VLOOKUP(H3411,Stock_list!A:N,14,FALSE)</f>
        <v>AUG 22</v>
      </c>
    </row>
    <row r="3412" spans="1:21" ht="16.5" customHeight="1">
      <c r="A3412" s="159" t="s">
        <v>2744</v>
      </c>
      <c r="B3412" s="114" t="str">
        <f>VLOOKUP(A3412,'Data pick slip'!B:F,5,FALSE)</f>
        <v>KHJ-MC100-00</v>
      </c>
      <c r="F3412" s="157" t="s">
        <v>1381</v>
      </c>
      <c r="H3412" s="138">
        <v>1633</v>
      </c>
      <c r="I3412" s="139" t="str">
        <f>VLOOKUP(H3412,Stock_list!A:R,18,FALSE)</f>
        <v>和创永泰</v>
      </c>
      <c r="J3412" s="139" t="str">
        <f>VLOOKUP(H3412,Stock_list!A:S,17,FALSE)</f>
        <v>C49SZX20220038JY</v>
      </c>
      <c r="K3412" s="51" t="str">
        <f>VLOOKUP(H3412,Stock_list!A:T,16,FALSE)</f>
        <v>RMB</v>
      </c>
      <c r="L3412" s="4">
        <v>44712</v>
      </c>
      <c r="M3412" s="132">
        <v>20</v>
      </c>
      <c r="P3412" s="4" t="str">
        <f>VLOOKUP(H3412,Stock_list!A:Y,25,FALSE)</f>
        <v>Yes</v>
      </c>
      <c r="Q3412" s="143"/>
      <c r="T3412" s="144"/>
      <c r="U3412" s="145" t="str">
        <f>VLOOKUP(H3412,Stock_list!A:N,14,FALSE)</f>
        <v>JUN 22</v>
      </c>
    </row>
    <row r="3413" spans="1:21" ht="16.5" customHeight="1">
      <c r="A3413" s="159" t="s">
        <v>2747</v>
      </c>
      <c r="B3413" s="114" t="str">
        <f>VLOOKUP(A3413,'Data pick slip'!B:F,5,FALSE)</f>
        <v>KHJ-MC200-00</v>
      </c>
      <c r="F3413" s="157" t="s">
        <v>1381</v>
      </c>
      <c r="H3413" s="138">
        <v>1633</v>
      </c>
      <c r="I3413" s="139" t="str">
        <f>VLOOKUP(H3413,Stock_list!A:R,18,FALSE)</f>
        <v>和创永泰</v>
      </c>
      <c r="J3413" s="139" t="str">
        <f>VLOOKUP(H3413,Stock_list!A:S,17,FALSE)</f>
        <v>C49SZX20220038JY</v>
      </c>
      <c r="K3413" s="51" t="str">
        <f>VLOOKUP(H3413,Stock_list!A:T,16,FALSE)</f>
        <v>RMB</v>
      </c>
      <c r="L3413" s="4">
        <v>44712</v>
      </c>
      <c r="M3413" s="132">
        <v>5</v>
      </c>
      <c r="P3413" s="4" t="str">
        <f>VLOOKUP(H3413,Stock_list!A:Y,25,FALSE)</f>
        <v>Yes</v>
      </c>
      <c r="Q3413" s="143"/>
      <c r="T3413" s="144"/>
      <c r="U3413" s="145" t="str">
        <f>VLOOKUP(H3413,Stock_list!A:N,14,FALSE)</f>
        <v>JUN 22</v>
      </c>
    </row>
    <row r="3414" spans="1:21" ht="16.5" customHeight="1">
      <c r="A3414" s="159" t="s">
        <v>2748</v>
      </c>
      <c r="B3414" s="114" t="str">
        <f>VLOOKUP(A3414,'Data pick slip'!B:F,5,FALSE)</f>
        <v>KHJ-MC400-00</v>
      </c>
      <c r="F3414" s="157" t="s">
        <v>1381</v>
      </c>
      <c r="H3414" s="138">
        <v>1633</v>
      </c>
      <c r="I3414" s="139" t="str">
        <f>VLOOKUP(H3414,Stock_list!A:R,18,FALSE)</f>
        <v>和创永泰</v>
      </c>
      <c r="J3414" s="139" t="str">
        <f>VLOOKUP(H3414,Stock_list!A:S,17,FALSE)</f>
        <v>C49SZX20220038JY</v>
      </c>
      <c r="K3414" s="51" t="str">
        <f>VLOOKUP(H3414,Stock_list!A:T,16,FALSE)</f>
        <v>RMB</v>
      </c>
      <c r="L3414" s="4">
        <v>44712</v>
      </c>
      <c r="M3414" s="132">
        <v>3</v>
      </c>
      <c r="P3414" s="4" t="str">
        <f>VLOOKUP(H3414,Stock_list!A:Y,25,FALSE)</f>
        <v>Yes</v>
      </c>
      <c r="Q3414" s="143"/>
      <c r="T3414" s="144"/>
      <c r="U3414" s="145" t="str">
        <f>VLOOKUP(H3414,Stock_list!A:N,14,FALSE)</f>
        <v>JUN 22</v>
      </c>
    </row>
    <row r="3415" spans="1:21" ht="16.5" customHeight="1">
      <c r="A3415" s="159" t="s">
        <v>2744</v>
      </c>
      <c r="B3415" s="114" t="str">
        <f>VLOOKUP(A3415,'Data pick slip'!B:F,5,FALSE)</f>
        <v>KHJ-MC100-00</v>
      </c>
      <c r="F3415" s="157" t="s">
        <v>2753</v>
      </c>
      <c r="H3415" s="138">
        <v>1634</v>
      </c>
      <c r="I3415" s="139" t="str">
        <f>VLOOKUP(H3415,Stock_list!A:R,18,FALSE)</f>
        <v>顺禾</v>
      </c>
      <c r="J3415" s="139" t="str">
        <f>VLOOKUP(H3415,Stock_list!A:S,17,FALSE)</f>
        <v>C49SZX20220039JY</v>
      </c>
      <c r="K3415" s="51" t="str">
        <f>VLOOKUP(H3415,Stock_list!A:T,16,FALSE)</f>
        <v>RMB</v>
      </c>
      <c r="L3415" s="4">
        <v>44676</v>
      </c>
      <c r="M3415" s="140">
        <v>30</v>
      </c>
      <c r="P3415" s="4" t="str">
        <f>VLOOKUP(H3415,Stock_list!A:Y,25,FALSE)</f>
        <v>Yes</v>
      </c>
      <c r="Q3415" s="143"/>
      <c r="T3415" s="144"/>
      <c r="U3415" s="145" t="str">
        <f>VLOOKUP(H3415,Stock_list!A:N,14,FALSE)</f>
        <v>APR 22</v>
      </c>
    </row>
    <row r="3416" spans="1:21" ht="16.5" customHeight="1">
      <c r="A3416" s="159" t="s">
        <v>2747</v>
      </c>
      <c r="B3416" s="114" t="str">
        <f>VLOOKUP(A3416,'Data pick slip'!B:F,5,FALSE)</f>
        <v>KHJ-MC200-00</v>
      </c>
      <c r="F3416" s="157" t="s">
        <v>2753</v>
      </c>
      <c r="H3416" s="138">
        <v>1634</v>
      </c>
      <c r="I3416" s="139" t="str">
        <f>VLOOKUP(H3416,Stock_list!A:R,18,FALSE)</f>
        <v>顺禾</v>
      </c>
      <c r="J3416" s="139" t="str">
        <f>VLOOKUP(H3416,Stock_list!A:S,17,FALSE)</f>
        <v>C49SZX20220039JY</v>
      </c>
      <c r="K3416" s="51" t="str">
        <f>VLOOKUP(H3416,Stock_list!A:T,16,FALSE)</f>
        <v>RMB</v>
      </c>
      <c r="L3416" s="4">
        <v>44676</v>
      </c>
      <c r="M3416" s="140">
        <v>3</v>
      </c>
      <c r="P3416" s="4" t="str">
        <f>VLOOKUP(H3416,Stock_list!A:Y,25,FALSE)</f>
        <v>Yes</v>
      </c>
      <c r="Q3416" s="143"/>
      <c r="T3416" s="144"/>
      <c r="U3416" s="145" t="str">
        <f>VLOOKUP(H3416,Stock_list!A:N,14,FALSE)</f>
        <v>APR 22</v>
      </c>
    </row>
    <row r="3417" spans="1:21" ht="16.5" customHeight="1">
      <c r="A3417" s="159" t="s">
        <v>2749</v>
      </c>
      <c r="B3417" s="114" t="str">
        <f>VLOOKUP(A3417,'Data pick slip'!B:F,5,FALSE)</f>
        <v>KHJ-MC500-00</v>
      </c>
      <c r="F3417" s="157" t="s">
        <v>2753</v>
      </c>
      <c r="I3417" s="139" t="s">
        <v>3100</v>
      </c>
      <c r="J3417" s="267" t="s">
        <v>3508</v>
      </c>
      <c r="K3417" s="51" t="s">
        <v>1246</v>
      </c>
      <c r="L3417" s="4">
        <v>44646</v>
      </c>
      <c r="M3417" s="140">
        <v>3</v>
      </c>
      <c r="P3417" s="4" t="s">
        <v>291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2750</v>
      </c>
      <c r="B3418" s="114" t="str">
        <f>VLOOKUP(A3418,'Data pick slip'!B:F,5,FALSE)</f>
        <v>KHJ-MC600-00</v>
      </c>
      <c r="F3418" s="157" t="s">
        <v>2753</v>
      </c>
      <c r="I3418" s="139" t="s">
        <v>3100</v>
      </c>
      <c r="J3418" s="267" t="s">
        <v>3508</v>
      </c>
      <c r="K3418" s="51" t="s">
        <v>1246</v>
      </c>
      <c r="L3418" s="4">
        <v>44646</v>
      </c>
      <c r="M3418" s="140">
        <v>1</v>
      </c>
      <c r="P3418" s="4" t="s">
        <v>291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2744</v>
      </c>
      <c r="B3419" s="114" t="str">
        <f>VLOOKUP(A3419,'Data pick slip'!B:F,5,FALSE)</f>
        <v>KHJ-MC100-00</v>
      </c>
      <c r="F3419" s="157" t="s">
        <v>1381</v>
      </c>
      <c r="I3419" s="269" t="s">
        <v>3414</v>
      </c>
      <c r="J3419" s="139" t="s">
        <v>3509</v>
      </c>
      <c r="K3419" s="51" t="s">
        <v>1246</v>
      </c>
      <c r="L3419" s="4">
        <v>44642</v>
      </c>
      <c r="M3419" s="140">
        <v>20</v>
      </c>
      <c r="P3419" s="4" t="s">
        <v>291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2747</v>
      </c>
      <c r="B3420" s="114" t="str">
        <f>VLOOKUP(A3420,'Data pick slip'!B:F,5,FALSE)</f>
        <v>KHJ-MC200-00</v>
      </c>
      <c r="F3420" s="157" t="s">
        <v>1381</v>
      </c>
      <c r="I3420" s="269" t="s">
        <v>3414</v>
      </c>
      <c r="J3420" s="139" t="s">
        <v>3509</v>
      </c>
      <c r="K3420" s="51" t="s">
        <v>1246</v>
      </c>
      <c r="L3420" s="4">
        <v>44642</v>
      </c>
      <c r="M3420" s="140">
        <v>15</v>
      </c>
      <c r="P3420" s="4" t="s">
        <v>291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2748</v>
      </c>
      <c r="B3421" s="114" t="str">
        <f>VLOOKUP(A3421,'Data pick slip'!B:F,5,FALSE)</f>
        <v>KHJ-MC400-00</v>
      </c>
      <c r="F3421" s="157" t="s">
        <v>1381</v>
      </c>
      <c r="I3421" s="269" t="s">
        <v>3414</v>
      </c>
      <c r="J3421" s="139" t="s">
        <v>3509</v>
      </c>
      <c r="K3421" s="51" t="s">
        <v>1246</v>
      </c>
      <c r="L3421" s="4">
        <v>44642</v>
      </c>
      <c r="M3421" s="140">
        <v>10</v>
      </c>
      <c r="P3421" s="4" t="s">
        <v>291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2750</v>
      </c>
      <c r="B3422" s="114" t="str">
        <f>VLOOKUP(A3422,'Data pick slip'!B:F,5,FALSE)</f>
        <v>KHJ-MC600-00</v>
      </c>
      <c r="F3422" s="157" t="s">
        <v>1381</v>
      </c>
      <c r="I3422" s="269" t="s">
        <v>3414</v>
      </c>
      <c r="J3422" s="139" t="s">
        <v>3509</v>
      </c>
      <c r="K3422" s="51" t="s">
        <v>1246</v>
      </c>
      <c r="L3422" s="4">
        <v>44642</v>
      </c>
      <c r="M3422" s="140">
        <v>2</v>
      </c>
      <c r="P3422" s="4" t="s">
        <v>291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2751</v>
      </c>
      <c r="B3423" s="114" t="str">
        <f>VLOOKUP(A3423,'Data pick slip'!B:F,5,FALSE)</f>
        <v>KHJ-MC700-00</v>
      </c>
      <c r="F3423" s="157" t="s">
        <v>1381</v>
      </c>
      <c r="I3423" s="269" t="s">
        <v>3414</v>
      </c>
      <c r="J3423" s="139" t="s">
        <v>3509</v>
      </c>
      <c r="K3423" s="51" t="s">
        <v>1246</v>
      </c>
      <c r="L3423" s="4">
        <v>44642</v>
      </c>
      <c r="M3423" s="140">
        <v>1</v>
      </c>
      <c r="P3423" s="4" t="s">
        <v>291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2744</v>
      </c>
      <c r="B3424" s="114" t="str">
        <f>VLOOKUP(A3424,'Data pick slip'!B:F,5,FALSE)</f>
        <v>KHJ-MC100-00</v>
      </c>
      <c r="F3424" s="157" t="s">
        <v>1381</v>
      </c>
      <c r="H3424" s="138">
        <v>1635</v>
      </c>
      <c r="I3424" s="139" t="str">
        <f>VLOOKUP(H3424,Stock_list!A:R,18,FALSE)</f>
        <v>华富快捷</v>
      </c>
      <c r="J3424" s="139" t="str">
        <f>VLOOKUP(H3424,Stock_list!A:S,17,FALSE)</f>
        <v>C49SZX20220041SQ</v>
      </c>
      <c r="K3424" s="51" t="str">
        <f>VLOOKUP(H3424,Stock_list!A:T,16,FALSE)</f>
        <v>JPY</v>
      </c>
      <c r="L3424" s="4">
        <v>44706</v>
      </c>
      <c r="M3424" s="132">
        <v>30</v>
      </c>
      <c r="P3424" s="4" t="str">
        <f>VLOOKUP(H3424,Stock_list!A:Y,25,FALSE)</f>
        <v>Yes</v>
      </c>
      <c r="Q3424" s="143"/>
      <c r="T3424" s="144"/>
      <c r="U3424" s="145" t="str">
        <f>VLOOKUP(H3424,Stock_list!A:N,14,FALSE)</f>
        <v>MAY 22</v>
      </c>
    </row>
    <row r="3425" spans="1:21" ht="16.5" customHeight="1">
      <c r="A3425" s="159" t="s">
        <v>2747</v>
      </c>
      <c r="B3425" s="114" t="str">
        <f>VLOOKUP(A3425,'Data pick slip'!B:F,5,FALSE)</f>
        <v>KHJ-MC200-00</v>
      </c>
      <c r="F3425" s="157" t="s">
        <v>1381</v>
      </c>
      <c r="H3425" s="138">
        <v>1635</v>
      </c>
      <c r="I3425" s="139" t="str">
        <f>VLOOKUP(H3425,Stock_list!A:R,18,FALSE)</f>
        <v>华富快捷</v>
      </c>
      <c r="J3425" s="139" t="str">
        <f>VLOOKUP(H3425,Stock_list!A:S,17,FALSE)</f>
        <v>C49SZX20220041SQ</v>
      </c>
      <c r="K3425" s="51" t="str">
        <f>VLOOKUP(H3425,Stock_list!A:T,16,FALSE)</f>
        <v>JPY</v>
      </c>
      <c r="L3425" s="4">
        <v>44706</v>
      </c>
      <c r="M3425" s="132">
        <v>10</v>
      </c>
      <c r="P3425" s="4" t="str">
        <f>VLOOKUP(H3425,Stock_list!A:Y,25,FALSE)</f>
        <v>Yes</v>
      </c>
      <c r="Q3425" s="143"/>
      <c r="T3425" s="144"/>
      <c r="U3425" s="145" t="str">
        <f>VLOOKUP(H3425,Stock_list!A:N,14,FALSE)</f>
        <v>MAY 22</v>
      </c>
    </row>
    <row r="3426" spans="1:21" ht="16.5" customHeight="1">
      <c r="A3426" s="159" t="s">
        <v>2748</v>
      </c>
      <c r="B3426" s="114" t="str">
        <f>VLOOKUP(A3426,'Data pick slip'!B:F,5,FALSE)</f>
        <v>KHJ-MC400-00</v>
      </c>
      <c r="F3426" s="157" t="s">
        <v>1381</v>
      </c>
      <c r="H3426" s="138">
        <v>1635</v>
      </c>
      <c r="I3426" s="139" t="str">
        <f>VLOOKUP(H3426,Stock_list!A:R,18,FALSE)</f>
        <v>华富快捷</v>
      </c>
      <c r="J3426" s="139" t="str">
        <f>VLOOKUP(H3426,Stock_list!A:S,17,FALSE)</f>
        <v>C49SZX20220041SQ</v>
      </c>
      <c r="K3426" s="51" t="str">
        <f>VLOOKUP(H3426,Stock_list!A:T,16,FALSE)</f>
        <v>JPY</v>
      </c>
      <c r="L3426" s="4">
        <v>44706</v>
      </c>
      <c r="M3426" s="132">
        <v>3</v>
      </c>
      <c r="P3426" s="4" t="str">
        <f>VLOOKUP(H3426,Stock_list!A:Y,25,FALSE)</f>
        <v>Yes</v>
      </c>
      <c r="Q3426" s="143"/>
      <c r="T3426" s="144"/>
      <c r="U3426" s="145" t="str">
        <f>VLOOKUP(H3426,Stock_list!A:N,14,FALSE)</f>
        <v>MAY 22</v>
      </c>
    </row>
    <row r="3427" spans="1:21" ht="16.5" customHeight="1">
      <c r="A3427" s="159" t="s">
        <v>2744</v>
      </c>
      <c r="B3427" s="114" t="str">
        <f>VLOOKUP(A3427,'Data pick slip'!B:F,5,FALSE)</f>
        <v>KHJ-MC100-00</v>
      </c>
      <c r="F3427" s="157" t="s">
        <v>2753</v>
      </c>
      <c r="H3427" s="138">
        <v>1636</v>
      </c>
      <c r="I3427" s="139" t="str">
        <f>VLOOKUP(H3427,Stock_list!A:R,18,FALSE)</f>
        <v>有泽</v>
      </c>
      <c r="J3427" s="139" t="str">
        <f>VLOOKUP(H3427,Stock_list!A:S,17,FALSE)</f>
        <v>C49SZX20220043SQ</v>
      </c>
      <c r="K3427" s="51" t="str">
        <f>VLOOKUP(H3427,Stock_list!A:T,16,FALSE)</f>
        <v>RMB</v>
      </c>
      <c r="L3427" s="4">
        <v>44679</v>
      </c>
      <c r="M3427" s="132">
        <v>35</v>
      </c>
      <c r="P3427" s="4" t="str">
        <f>VLOOKUP(H3427,Stock_list!A:Y,25,FALSE)</f>
        <v>Yes</v>
      </c>
      <c r="Q3427" s="143"/>
      <c r="T3427" s="144"/>
      <c r="U3427" s="145" t="str">
        <f>VLOOKUP(H3427,Stock_list!A:N,14,FALSE)</f>
        <v>APR 22</v>
      </c>
    </row>
    <row r="3428" spans="1:21" ht="16.5" customHeight="1">
      <c r="A3428" s="159" t="s">
        <v>2747</v>
      </c>
      <c r="B3428" s="114" t="str">
        <f>VLOOKUP(A3428,'Data pick slip'!B:F,5,FALSE)</f>
        <v>KHJ-MC200-00</v>
      </c>
      <c r="F3428" s="157" t="s">
        <v>2753</v>
      </c>
      <c r="H3428" s="138">
        <v>1636</v>
      </c>
      <c r="I3428" s="139" t="str">
        <f>VLOOKUP(H3428,Stock_list!A:R,18,FALSE)</f>
        <v>有泽</v>
      </c>
      <c r="J3428" s="139" t="str">
        <f>VLOOKUP(H3428,Stock_list!A:S,17,FALSE)</f>
        <v>C49SZX20220043SQ</v>
      </c>
      <c r="K3428" s="51" t="str">
        <f>VLOOKUP(H3428,Stock_list!A:T,16,FALSE)</f>
        <v>RMB</v>
      </c>
      <c r="L3428" s="4">
        <v>44679</v>
      </c>
      <c r="M3428" s="132">
        <v>4</v>
      </c>
      <c r="P3428" s="4" t="str">
        <f>VLOOKUP(H3428,Stock_list!A:Y,25,FALSE)</f>
        <v>Yes</v>
      </c>
      <c r="Q3428" s="143"/>
      <c r="T3428" s="144"/>
      <c r="U3428" s="145" t="str">
        <f>VLOOKUP(H3428,Stock_list!A:N,14,FALSE)</f>
        <v>APR 22</v>
      </c>
    </row>
    <row r="3429" spans="1:21" ht="16.5" customHeight="1">
      <c r="A3429" s="159" t="s">
        <v>2748</v>
      </c>
      <c r="B3429" s="114" t="str">
        <f>VLOOKUP(A3429,'Data pick slip'!B:F,5,FALSE)</f>
        <v>KHJ-MC400-00</v>
      </c>
      <c r="F3429" s="157" t="s">
        <v>2753</v>
      </c>
      <c r="H3429" s="138">
        <v>1636</v>
      </c>
      <c r="I3429" s="139" t="str">
        <f>VLOOKUP(H3429,Stock_list!A:R,18,FALSE)</f>
        <v>有泽</v>
      </c>
      <c r="J3429" s="139" t="str">
        <f>VLOOKUP(H3429,Stock_list!A:S,17,FALSE)</f>
        <v>C49SZX20220043SQ</v>
      </c>
      <c r="K3429" s="51" t="str">
        <f>VLOOKUP(H3429,Stock_list!A:T,16,FALSE)</f>
        <v>RMB</v>
      </c>
      <c r="L3429" s="4">
        <v>44679</v>
      </c>
      <c r="M3429" s="132">
        <v>2</v>
      </c>
      <c r="P3429" s="4" t="str">
        <f>VLOOKUP(H3429,Stock_list!A:Y,25,FALSE)</f>
        <v>Yes</v>
      </c>
      <c r="Q3429" s="143"/>
      <c r="T3429" s="144"/>
      <c r="U3429" s="145" t="str">
        <f>VLOOKUP(H3429,Stock_list!A:N,14,FALSE)</f>
        <v>APR 22</v>
      </c>
    </row>
    <row r="3430" spans="1:21" ht="16.5" customHeight="1">
      <c r="A3430" s="159" t="s">
        <v>2744</v>
      </c>
      <c r="B3430" s="114" t="str">
        <f>VLOOKUP(A3430,'Data pick slip'!B:F,5,FALSE)</f>
        <v>KHJ-MC100-00</v>
      </c>
      <c r="F3430" s="157" t="s">
        <v>1381</v>
      </c>
      <c r="H3430" s="138">
        <v>1637</v>
      </c>
      <c r="I3430" s="139" t="str">
        <f>VLOOKUP(H3430,Stock_list!A:R,18,FALSE)</f>
        <v>恒磊</v>
      </c>
      <c r="J3430" s="139" t="str">
        <f>VLOOKUP(H3430,Stock_list!A:S,17,FALSE)</f>
        <v>C49SZX20220045SX</v>
      </c>
      <c r="K3430" s="51" t="str">
        <f>VLOOKUP(H3430,Stock_list!A:T,16,FALSE)</f>
        <v>JPY</v>
      </c>
      <c r="L3430" s="4">
        <v>44713</v>
      </c>
      <c r="M3430" s="132">
        <v>20</v>
      </c>
      <c r="P3430" s="4" t="str">
        <f>VLOOKUP(H3430,Stock_list!A:Y,25,FALSE)</f>
        <v>Yes</v>
      </c>
      <c r="Q3430" s="143"/>
      <c r="T3430" s="144"/>
      <c r="U3430" s="145" t="str">
        <f>VLOOKUP(H3430,Stock_list!A:N,14,FALSE)</f>
        <v>JUN 22</v>
      </c>
    </row>
    <row r="3431" spans="1:21" ht="16.5" customHeight="1">
      <c r="A3431" s="159" t="s">
        <v>2747</v>
      </c>
      <c r="B3431" s="114" t="str">
        <f>VLOOKUP(A3431,'Data pick slip'!B:F,5,FALSE)</f>
        <v>KHJ-MC200-00</v>
      </c>
      <c r="F3431" s="157" t="s">
        <v>1381</v>
      </c>
      <c r="H3431" s="138">
        <v>1637</v>
      </c>
      <c r="I3431" s="139" t="str">
        <f>VLOOKUP(H3431,Stock_list!A:R,18,FALSE)</f>
        <v>恒磊</v>
      </c>
      <c r="J3431" s="139" t="str">
        <f>VLOOKUP(H3431,Stock_list!A:S,17,FALSE)</f>
        <v>C49SZX20220045SX</v>
      </c>
      <c r="K3431" s="51" t="str">
        <f>VLOOKUP(H3431,Stock_list!A:T,16,FALSE)</f>
        <v>JPY</v>
      </c>
      <c r="L3431" s="4">
        <v>44713</v>
      </c>
      <c r="M3431" s="132">
        <v>12</v>
      </c>
      <c r="P3431" s="4" t="str">
        <f>VLOOKUP(H3431,Stock_list!A:Y,25,FALSE)</f>
        <v>Yes</v>
      </c>
      <c r="Q3431" s="143"/>
      <c r="T3431" s="144"/>
      <c r="U3431" s="145" t="str">
        <f>VLOOKUP(H3431,Stock_list!A:N,14,FALSE)</f>
        <v>JUN 22</v>
      </c>
    </row>
    <row r="3432" spans="1:21" ht="16.5" customHeight="1">
      <c r="A3432" s="159" t="s">
        <v>2748</v>
      </c>
      <c r="B3432" s="114" t="str">
        <f>VLOOKUP(A3432,'Data pick slip'!B:F,5,FALSE)</f>
        <v>KHJ-MC400-00</v>
      </c>
      <c r="F3432" s="157" t="s">
        <v>1381</v>
      </c>
      <c r="H3432" s="138">
        <v>1637</v>
      </c>
      <c r="I3432" s="139" t="str">
        <f>VLOOKUP(H3432,Stock_list!A:R,18,FALSE)</f>
        <v>恒磊</v>
      </c>
      <c r="J3432" s="139" t="str">
        <f>VLOOKUP(H3432,Stock_list!A:S,17,FALSE)</f>
        <v>C49SZX20220045SX</v>
      </c>
      <c r="K3432" s="51" t="str">
        <f>VLOOKUP(H3432,Stock_list!A:T,16,FALSE)</f>
        <v>JPY</v>
      </c>
      <c r="L3432" s="4">
        <v>44713</v>
      </c>
      <c r="M3432" s="132">
        <v>2</v>
      </c>
      <c r="P3432" s="4" t="str">
        <f>VLOOKUP(H3432,Stock_list!A:Y,25,FALSE)</f>
        <v>Yes</v>
      </c>
      <c r="Q3432" s="143"/>
      <c r="T3432" s="144"/>
      <c r="U3432" s="145" t="str">
        <f>VLOOKUP(H3432,Stock_list!A:N,14,FALSE)</f>
        <v>JUN 22</v>
      </c>
    </row>
    <row r="3433" spans="1:21" ht="16.5" customHeight="1">
      <c r="A3433" s="159" t="s">
        <v>2744</v>
      </c>
      <c r="B3433" s="114" t="str">
        <f>VLOOKUP(A3433,'Data pick slip'!B:F,5,FALSE)</f>
        <v>KHJ-MC100-00</v>
      </c>
      <c r="F3433" s="157" t="s">
        <v>1381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2747</v>
      </c>
      <c r="B3434" s="114" t="str">
        <f>VLOOKUP(A3434,'Data pick slip'!B:F,5,FALSE)</f>
        <v>KHJ-MC200-00</v>
      </c>
      <c r="F3434" s="157" t="s">
        <v>1381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2748</v>
      </c>
      <c r="B3435" s="114" t="str">
        <f>VLOOKUP(A3435,'Data pick slip'!B:F,5,FALSE)</f>
        <v>KHJ-MC400-00</v>
      </c>
      <c r="F3435" s="157" t="s">
        <v>1381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2749</v>
      </c>
      <c r="B3436" s="114" t="str">
        <f>VLOOKUP(A3436,'Data pick slip'!B:F,5,FALSE)</f>
        <v>KHJ-MC500-00</v>
      </c>
      <c r="F3436" s="157" t="s">
        <v>1381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2744</v>
      </c>
      <c r="B3437" s="114" t="str">
        <f>VLOOKUP(A3437,'Data pick slip'!B:F,5,FALSE)</f>
        <v>KHJ-MC100-00</v>
      </c>
      <c r="F3437" s="157" t="s">
        <v>2753</v>
      </c>
      <c r="I3437" s="139" t="s">
        <v>3094</v>
      </c>
      <c r="J3437" s="139" t="s">
        <v>3510</v>
      </c>
      <c r="K3437" s="51" t="s">
        <v>1246</v>
      </c>
      <c r="L3437" s="4">
        <v>44670</v>
      </c>
      <c r="M3437" s="140">
        <v>41</v>
      </c>
      <c r="P3437" s="4" t="s">
        <v>291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2744</v>
      </c>
      <c r="B3438" s="114" t="str">
        <f>VLOOKUP(A3438,'Data pick slip'!B:F,5,FALSE)</f>
        <v>KHJ-MC100-00</v>
      </c>
      <c r="F3438" s="157" t="s">
        <v>2753</v>
      </c>
      <c r="I3438" s="139" t="s">
        <v>3094</v>
      </c>
      <c r="J3438" s="267" t="s">
        <v>3511</v>
      </c>
      <c r="K3438" s="51" t="s">
        <v>1246</v>
      </c>
      <c r="L3438" s="4">
        <v>44670</v>
      </c>
      <c r="M3438" s="140">
        <v>50</v>
      </c>
      <c r="P3438" s="4" t="s">
        <v>291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2744</v>
      </c>
      <c r="B3439" s="114" t="str">
        <f>VLOOKUP(A3439,'Data pick slip'!B:F,5,FALSE)</f>
        <v>KHJ-MC100-00</v>
      </c>
      <c r="F3439" s="157" t="s">
        <v>1381</v>
      </c>
      <c r="I3439" s="269" t="s">
        <v>3414</v>
      </c>
      <c r="J3439" s="139" t="s">
        <v>3512</v>
      </c>
      <c r="K3439" s="51" t="s">
        <v>1246</v>
      </c>
      <c r="L3439" s="4">
        <v>44657</v>
      </c>
      <c r="M3439" s="140">
        <v>30</v>
      </c>
      <c r="P3439" s="4" t="s">
        <v>291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2747</v>
      </c>
      <c r="B3440" s="114" t="str">
        <f>VLOOKUP(A3440,'Data pick slip'!B:F,5,FALSE)</f>
        <v>KHJ-MC200-00</v>
      </c>
      <c r="F3440" s="157" t="s">
        <v>1381</v>
      </c>
      <c r="I3440" s="269" t="s">
        <v>3414</v>
      </c>
      <c r="J3440" s="139" t="s">
        <v>3512</v>
      </c>
      <c r="K3440" s="51" t="s">
        <v>1246</v>
      </c>
      <c r="L3440" s="4">
        <v>44657</v>
      </c>
      <c r="M3440" s="140">
        <v>20</v>
      </c>
      <c r="P3440" s="4" t="s">
        <v>291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2744</v>
      </c>
      <c r="B3441" s="114" t="str">
        <f>VLOOKUP(A3441,'Data pick slip'!B:F,5,FALSE)</f>
        <v>KHJ-MC100-00</v>
      </c>
      <c r="F3441" s="157" t="s">
        <v>1381</v>
      </c>
      <c r="I3441" s="269" t="s">
        <v>3414</v>
      </c>
      <c r="J3441" s="139" t="s">
        <v>3513</v>
      </c>
      <c r="K3441" s="51" t="s">
        <v>1246</v>
      </c>
      <c r="L3441" s="4">
        <v>44669</v>
      </c>
      <c r="M3441" s="140">
        <v>340</v>
      </c>
      <c r="P3441" s="4" t="s">
        <v>291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2757</v>
      </c>
      <c r="B3442" s="114" t="str">
        <f>VLOOKUP(A3442,'Data pick slip'!B:F,5,FALSE)</f>
        <v>KLJ-MC400-00</v>
      </c>
      <c r="F3442" s="157" t="s">
        <v>1381</v>
      </c>
      <c r="I3442" s="269" t="s">
        <v>3414</v>
      </c>
      <c r="J3442" s="139" t="s">
        <v>3513</v>
      </c>
      <c r="K3442" s="51" t="s">
        <v>1246</v>
      </c>
      <c r="L3442" s="4">
        <v>44669</v>
      </c>
      <c r="M3442" s="140">
        <v>14</v>
      </c>
      <c r="P3442" s="4" t="s">
        <v>291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2751</v>
      </c>
      <c r="B3443" s="114" t="str">
        <f>VLOOKUP(A3443,'Data pick slip'!B:F,5,FALSE)</f>
        <v>KHJ-MC700-00</v>
      </c>
      <c r="F3443" s="157" t="s">
        <v>1381</v>
      </c>
      <c r="I3443" s="269" t="s">
        <v>3414</v>
      </c>
      <c r="J3443" s="139" t="s">
        <v>3513</v>
      </c>
      <c r="K3443" s="51" t="s">
        <v>1246</v>
      </c>
      <c r="L3443" s="4">
        <v>44669</v>
      </c>
      <c r="M3443" s="140">
        <v>4</v>
      </c>
      <c r="P3443" s="4" t="s">
        <v>291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2752</v>
      </c>
      <c r="B3444" s="114" t="str">
        <f>VLOOKUP(A3444,'Data pick slip'!B:F,5,FALSE)</f>
        <v>KHJ-MC800-00</v>
      </c>
      <c r="F3444" s="157" t="s">
        <v>1381</v>
      </c>
      <c r="I3444" s="269" t="s">
        <v>3414</v>
      </c>
      <c r="J3444" s="139" t="s">
        <v>3513</v>
      </c>
      <c r="K3444" s="51" t="s">
        <v>1246</v>
      </c>
      <c r="L3444" s="4">
        <v>44669</v>
      </c>
      <c r="M3444" s="140">
        <v>2</v>
      </c>
      <c r="P3444" s="4" t="s">
        <v>291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2755</v>
      </c>
      <c r="B3445" s="114" t="str">
        <f>VLOOKUP(A3445,'Data pick slip'!B:F,5,FALSE)</f>
        <v>KLJ-MC100-00</v>
      </c>
      <c r="F3445" s="157" t="s">
        <v>1381</v>
      </c>
      <c r="H3445" s="138">
        <v>1643</v>
      </c>
      <c r="I3445" s="139" t="str">
        <f>VLOOKUP(H3445,Stock_list!A:R,18,FALSE)</f>
        <v>快宇</v>
      </c>
      <c r="J3445" s="139" t="str">
        <f>VLOOKUP(H3445,Stock_list!A:S,17,FALSE)</f>
        <v>C49SZX20220046JL</v>
      </c>
      <c r="K3445" s="51" t="str">
        <f>VLOOKUP(H3445,Stock_list!A:T,16,FALSE)</f>
        <v>JPY</v>
      </c>
      <c r="L3445" s="4">
        <v>44726</v>
      </c>
      <c r="M3445" s="140">
        <v>13</v>
      </c>
      <c r="P3445" s="4" t="str">
        <f>VLOOKUP(H3445,Stock_list!A:Y,25,FALSE)</f>
        <v>Yes</v>
      </c>
      <c r="Q3445" s="143"/>
      <c r="T3445" s="144"/>
      <c r="U3445" s="145" t="str">
        <f>VLOOKUP(H3445,Stock_list!A:N,14,FALSE)</f>
        <v>JUN 22</v>
      </c>
    </row>
    <row r="3446" spans="1:21" ht="16.5" customHeight="1">
      <c r="A3446" s="159" t="s">
        <v>2755</v>
      </c>
      <c r="B3446" s="114" t="str">
        <f>VLOOKUP(A3446,'Data pick slip'!B:F,5,FALSE)</f>
        <v>KLJ-MC100-00</v>
      </c>
      <c r="F3446" s="157" t="s">
        <v>1381</v>
      </c>
      <c r="H3446" s="138">
        <v>1643</v>
      </c>
      <c r="I3446" s="139" t="str">
        <f>VLOOKUP(H3446,Stock_list!A:R,18,FALSE)</f>
        <v>快宇</v>
      </c>
      <c r="J3446" s="139" t="str">
        <f>VLOOKUP(H3446,Stock_list!A:S,17,FALSE)</f>
        <v>C49SZX20220046JL</v>
      </c>
      <c r="K3446" s="51" t="str">
        <f>VLOOKUP(H3446,Stock_list!A:T,16,FALSE)</f>
        <v>JPY</v>
      </c>
      <c r="L3446" s="4">
        <v>44785</v>
      </c>
      <c r="M3446" s="140">
        <v>12</v>
      </c>
      <c r="P3446" s="4" t="str">
        <f>VLOOKUP(H3446,Stock_list!A:Y,25,FALSE)</f>
        <v>Yes</v>
      </c>
      <c r="Q3446" s="143"/>
      <c r="T3446" s="144"/>
      <c r="U3446" s="145" t="str">
        <f>VLOOKUP(H3446,Stock_list!A:N,14,FALSE)</f>
        <v>JUN 22</v>
      </c>
    </row>
    <row r="3447" spans="1:21" ht="16.5" customHeight="1">
      <c r="A3447" s="159" t="s">
        <v>2755</v>
      </c>
      <c r="B3447" s="114" t="str">
        <f>VLOOKUP(A3447,'Data pick slip'!B:F,5,FALSE)</f>
        <v>KLJ-MC100-00</v>
      </c>
      <c r="F3447" s="157" t="s">
        <v>2762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2747</v>
      </c>
      <c r="B3448" s="114" t="str">
        <f>VLOOKUP(A3448,'Data pick slip'!B:F,5,FALSE)</f>
        <v>KHJ-MC200-00</v>
      </c>
      <c r="F3448" s="157" t="s">
        <v>2773</v>
      </c>
      <c r="H3448" s="138">
        <v>1651</v>
      </c>
      <c r="I3448" s="139" t="str">
        <f>VLOOKUP(H3448,Stock_list!A:R,18,FALSE)</f>
        <v>志华鑫</v>
      </c>
      <c r="J3448" s="139" t="str">
        <f>VLOOKUP(H3448,Stock_list!A:S,17,FALSE)</f>
        <v>C49SZX20220048SX</v>
      </c>
      <c r="K3448" s="51" t="str">
        <f>VLOOKUP(H3448,Stock_list!A:T,16,FALSE)</f>
        <v>RMB</v>
      </c>
      <c r="L3448" s="4">
        <v>44714</v>
      </c>
      <c r="M3448" s="140">
        <v>2</v>
      </c>
      <c r="P3448" s="4" t="str">
        <f>VLOOKUP(H3448,Stock_list!A:Y,25,FALSE)</f>
        <v>Yes</v>
      </c>
      <c r="Q3448" s="143"/>
      <c r="T3448" s="144"/>
      <c r="U3448" s="145" t="str">
        <f>VLOOKUP(H3448,Stock_list!A:N,14,FALSE)</f>
        <v>JUN 22</v>
      </c>
    </row>
    <row r="3449" spans="1:21" ht="16.5" customHeight="1">
      <c r="A3449" s="159" t="s">
        <v>2748</v>
      </c>
      <c r="B3449" s="114" t="str">
        <f>VLOOKUP(A3449,'Data pick slip'!B:F,5,FALSE)</f>
        <v>KHJ-MC400-00</v>
      </c>
      <c r="F3449" s="157" t="s">
        <v>2773</v>
      </c>
      <c r="H3449" s="138">
        <v>1651</v>
      </c>
      <c r="I3449" s="139" t="str">
        <f>VLOOKUP(H3449,Stock_list!A:R,18,FALSE)</f>
        <v>志华鑫</v>
      </c>
      <c r="J3449" s="139" t="str">
        <f>VLOOKUP(H3449,Stock_list!A:S,17,FALSE)</f>
        <v>C49SZX20220048SX</v>
      </c>
      <c r="K3449" s="51" t="str">
        <f>VLOOKUP(H3449,Stock_list!A:T,16,FALSE)</f>
        <v>RMB</v>
      </c>
      <c r="L3449" s="4">
        <v>44714</v>
      </c>
      <c r="M3449" s="140">
        <v>2</v>
      </c>
      <c r="P3449" s="4" t="str">
        <f>VLOOKUP(H3449,Stock_list!A:Y,25,FALSE)</f>
        <v>Yes</v>
      </c>
      <c r="Q3449" s="143"/>
      <c r="T3449" s="144"/>
      <c r="U3449" s="145" t="str">
        <f>VLOOKUP(H3449,Stock_list!A:N,14,FALSE)</f>
        <v>JUN 22</v>
      </c>
    </row>
    <row r="3450" spans="1:21" ht="16.5" customHeight="1">
      <c r="A3450" s="159" t="s">
        <v>2744</v>
      </c>
      <c r="B3450" s="114" t="str">
        <f>VLOOKUP(A3450,'Data pick slip'!B:F,5,FALSE)</f>
        <v>KHJ-MC100-00</v>
      </c>
      <c r="F3450" s="157" t="s">
        <v>1381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2747</v>
      </c>
      <c r="B3451" s="114" t="str">
        <f>VLOOKUP(A3451,'Data pick slip'!B:F,5,FALSE)</f>
        <v>KHJ-MC200-00</v>
      </c>
      <c r="F3451" s="157" t="s">
        <v>1381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2748</v>
      </c>
      <c r="B3452" s="114" t="str">
        <f>VLOOKUP(A3452,'Data pick slip'!B:F,5,FALSE)</f>
        <v>KHJ-MC400-00</v>
      </c>
      <c r="F3452" s="157" t="s">
        <v>1381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2749</v>
      </c>
      <c r="B3453" s="114" t="str">
        <f>VLOOKUP(A3453,'Data pick slip'!B:F,5,FALSE)</f>
        <v>KHJ-MC500-00</v>
      </c>
      <c r="F3453" s="157" t="s">
        <v>1381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2750</v>
      </c>
      <c r="B3454" s="114" t="str">
        <f>VLOOKUP(A3454,'Data pick slip'!B:F,5,FALSE)</f>
        <v>KHJ-MC600-00</v>
      </c>
      <c r="F3454" s="157" t="s">
        <v>1381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2754</v>
      </c>
      <c r="B3455" s="114" t="str">
        <f>VLOOKUP(A3455,'Data pick slip'!B:F,5,FALSE)</f>
        <v>KLJ-MCN00-20</v>
      </c>
      <c r="F3455" s="157" t="s">
        <v>2773</v>
      </c>
      <c r="H3455" s="138">
        <v>1656</v>
      </c>
      <c r="I3455" s="139" t="str">
        <f>VLOOKUP(H3455,Stock_list!A:R,18,FALSE)</f>
        <v>康佳</v>
      </c>
      <c r="J3455" s="139" t="str">
        <f>VLOOKUP(H3455,Stock_list!A:S,17,FALSE)</f>
        <v>SNFPC-CG-2022-008</v>
      </c>
      <c r="K3455" s="51" t="str">
        <f>VLOOKUP(H3455,Stock_list!A:T,16,FALSE)</f>
        <v>RMB</v>
      </c>
      <c r="L3455" s="4"/>
      <c r="N3455" s="132">
        <v>2</v>
      </c>
      <c r="P3455" s="4" t="str">
        <f>VLOOKUP(H3455,Stock_list!A:Y,25,FALSE)</f>
        <v>Yes</v>
      </c>
      <c r="T3455" s="144"/>
      <c r="U3455" s="145"/>
    </row>
    <row r="3456" spans="1:21" ht="16.5" customHeight="1">
      <c r="A3456" s="159" t="s">
        <v>2744</v>
      </c>
      <c r="B3456" s="114" t="str">
        <f>VLOOKUP(A3456,'Data pick slip'!B:F,5,FALSE)</f>
        <v>KHJ-MC100-00</v>
      </c>
      <c r="F3456" s="157" t="s">
        <v>2773</v>
      </c>
      <c r="H3456" s="138">
        <v>1656</v>
      </c>
      <c r="I3456" s="139" t="str">
        <f>VLOOKUP(H3456,Stock_list!A:R,18,FALSE)</f>
        <v>康佳</v>
      </c>
      <c r="J3456" s="139" t="str">
        <f>VLOOKUP(H3456,Stock_list!A:S,17,FALSE)</f>
        <v>SNFPC-CG-2022-008</v>
      </c>
      <c r="K3456" s="51" t="str">
        <f>VLOOKUP(H3456,Stock_list!A:T,16,FALSE)</f>
        <v>RMB</v>
      </c>
      <c r="L3456" s="4"/>
      <c r="N3456" s="132">
        <v>80</v>
      </c>
      <c r="P3456" s="4" t="str">
        <f>VLOOKUP(H3456,Stock_list!A:Y,25,FALSE)</f>
        <v>Yes</v>
      </c>
      <c r="T3456" s="144"/>
      <c r="U3456" s="145"/>
    </row>
    <row r="3457" spans="1:21" ht="16.5" customHeight="1">
      <c r="A3457" s="159" t="s">
        <v>2747</v>
      </c>
      <c r="B3457" s="114" t="str">
        <f>VLOOKUP(A3457,'Data pick slip'!B:F,5,FALSE)</f>
        <v>KHJ-MC200-00</v>
      </c>
      <c r="F3457" s="157" t="s">
        <v>2773</v>
      </c>
      <c r="H3457" s="138">
        <v>1656</v>
      </c>
      <c r="I3457" s="139" t="str">
        <f>VLOOKUP(H3457,Stock_list!A:R,18,FALSE)</f>
        <v>康佳</v>
      </c>
      <c r="J3457" s="139" t="str">
        <f>VLOOKUP(H3457,Stock_list!A:S,17,FALSE)</f>
        <v>SNFPC-CG-2022-008</v>
      </c>
      <c r="K3457" s="51" t="str">
        <f>VLOOKUP(H3457,Stock_list!A:T,16,FALSE)</f>
        <v>RMB</v>
      </c>
      <c r="L3457" s="4"/>
      <c r="N3457" s="132">
        <v>20</v>
      </c>
      <c r="P3457" s="4" t="str">
        <f>VLOOKUP(H3457,Stock_list!A:Y,25,FALSE)</f>
        <v>Yes</v>
      </c>
      <c r="T3457" s="144"/>
      <c r="U3457" s="145"/>
    </row>
    <row r="3458" spans="1:21" ht="16.5" customHeight="1">
      <c r="A3458" s="159" t="s">
        <v>2748</v>
      </c>
      <c r="B3458" s="114" t="str">
        <f>VLOOKUP(A3458,'Data pick slip'!B:F,5,FALSE)</f>
        <v>KHJ-MC400-00</v>
      </c>
      <c r="F3458" s="157" t="s">
        <v>2773</v>
      </c>
      <c r="H3458" s="138">
        <v>1656</v>
      </c>
      <c r="I3458" s="139" t="str">
        <f>VLOOKUP(H3458,Stock_list!A:R,18,FALSE)</f>
        <v>康佳</v>
      </c>
      <c r="J3458" s="139" t="str">
        <f>VLOOKUP(H3458,Stock_list!A:S,17,FALSE)</f>
        <v>SNFPC-CG-2022-008</v>
      </c>
      <c r="K3458" s="51" t="str">
        <f>VLOOKUP(H3458,Stock_list!A:T,16,FALSE)</f>
        <v>RMB</v>
      </c>
      <c r="L3458" s="4"/>
      <c r="N3458" s="132">
        <v>10</v>
      </c>
      <c r="P3458" s="4" t="str">
        <f>VLOOKUP(H3458,Stock_list!A:Y,25,FALSE)</f>
        <v>Yes</v>
      </c>
      <c r="T3458" s="144"/>
      <c r="U3458" s="145"/>
    </row>
    <row r="3459" spans="1:21" ht="16.5" customHeight="1">
      <c r="A3459" s="159" t="s">
        <v>2749</v>
      </c>
      <c r="B3459" s="114" t="str">
        <f>VLOOKUP(A3459,'Data pick slip'!B:F,5,FALSE)</f>
        <v>KHJ-MC500-00</v>
      </c>
      <c r="F3459" s="157" t="s">
        <v>2773</v>
      </c>
      <c r="H3459" s="138">
        <v>1656</v>
      </c>
      <c r="I3459" s="139" t="str">
        <f>VLOOKUP(H3459,Stock_list!A:R,18,FALSE)</f>
        <v>康佳</v>
      </c>
      <c r="J3459" s="139" t="str">
        <f>VLOOKUP(H3459,Stock_list!A:S,17,FALSE)</f>
        <v>SNFPC-CG-2022-008</v>
      </c>
      <c r="K3459" s="51" t="str">
        <f>VLOOKUP(H3459,Stock_list!A:T,16,FALSE)</f>
        <v>RMB</v>
      </c>
      <c r="L3459" s="4"/>
      <c r="N3459" s="132">
        <v>2</v>
      </c>
      <c r="P3459" s="4" t="str">
        <f>VLOOKUP(H3459,Stock_list!A:Y,25,FALSE)</f>
        <v>Yes</v>
      </c>
      <c r="T3459" s="144"/>
      <c r="U3459" s="145"/>
    </row>
    <row r="3460" spans="1:21" ht="16.5" customHeight="1">
      <c r="A3460" s="159" t="s">
        <v>2750</v>
      </c>
      <c r="B3460" s="114" t="str">
        <f>VLOOKUP(A3460,'Data pick slip'!B:F,5,FALSE)</f>
        <v>KHJ-MC600-00</v>
      </c>
      <c r="F3460" s="157" t="s">
        <v>2773</v>
      </c>
      <c r="H3460" s="138">
        <v>1656</v>
      </c>
      <c r="I3460" s="139" t="str">
        <f>VLOOKUP(H3460,Stock_list!A:R,18,FALSE)</f>
        <v>康佳</v>
      </c>
      <c r="J3460" s="139" t="str">
        <f>VLOOKUP(H3460,Stock_list!A:S,17,FALSE)</f>
        <v>SNFPC-CG-2022-008</v>
      </c>
      <c r="K3460" s="51" t="str">
        <f>VLOOKUP(H3460,Stock_list!A:T,16,FALSE)</f>
        <v>RMB</v>
      </c>
      <c r="L3460" s="4"/>
      <c r="N3460" s="132">
        <v>1</v>
      </c>
      <c r="P3460" s="4" t="str">
        <f>VLOOKUP(H3460,Stock_list!A:Y,25,FALSE)</f>
        <v>Yes</v>
      </c>
      <c r="T3460" s="144"/>
      <c r="U3460" s="145"/>
    </row>
    <row r="3461" spans="1:21" ht="16.5" customHeight="1">
      <c r="A3461" s="159" t="s">
        <v>2751</v>
      </c>
      <c r="B3461" s="114" t="str">
        <f>VLOOKUP(A3461,'Data pick slip'!B:F,5,FALSE)</f>
        <v>KHJ-MC700-00</v>
      </c>
      <c r="F3461" s="157" t="s">
        <v>2773</v>
      </c>
      <c r="H3461" s="138">
        <v>1656</v>
      </c>
      <c r="I3461" s="139" t="str">
        <f>VLOOKUP(H3461,Stock_list!A:R,18,FALSE)</f>
        <v>康佳</v>
      </c>
      <c r="J3461" s="139" t="str">
        <f>VLOOKUP(H3461,Stock_list!A:S,17,FALSE)</f>
        <v>SNFPC-CG-2022-008</v>
      </c>
      <c r="K3461" s="51" t="str">
        <f>VLOOKUP(H3461,Stock_list!A:T,16,FALSE)</f>
        <v>RMB</v>
      </c>
      <c r="L3461" s="4"/>
      <c r="N3461" s="132">
        <v>1</v>
      </c>
      <c r="P3461" s="4" t="str">
        <f>VLOOKUP(H3461,Stock_list!A:Y,25,FALSE)</f>
        <v>Yes</v>
      </c>
      <c r="T3461" s="144"/>
      <c r="U3461" s="145"/>
    </row>
    <row r="3462" spans="1:21" ht="16.5" customHeight="1">
      <c r="A3462" s="159" t="s">
        <v>2749</v>
      </c>
      <c r="B3462" s="114" t="str">
        <f>VLOOKUP(A3462,'Data pick slip'!B:F,5,FALSE)</f>
        <v>KHJ-MC500-00</v>
      </c>
      <c r="F3462" s="157" t="s">
        <v>2753</v>
      </c>
      <c r="I3462" s="139" t="s">
        <v>3094</v>
      </c>
      <c r="J3462" s="270" t="s">
        <v>3514</v>
      </c>
      <c r="K3462" s="51" t="s">
        <v>1246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2747</v>
      </c>
      <c r="B3463" s="114" t="str">
        <f>VLOOKUP(A3463,'Data pick slip'!B:F,5,FALSE)</f>
        <v>KHJ-MC200-00</v>
      </c>
      <c r="F3463" s="157" t="s">
        <v>2753</v>
      </c>
      <c r="I3463" s="139" t="s">
        <v>3116</v>
      </c>
      <c r="J3463" s="139" t="s">
        <v>3515</v>
      </c>
      <c r="K3463" s="51" t="s">
        <v>1246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2744</v>
      </c>
      <c r="B3464" s="114" t="str">
        <f>VLOOKUP(A3464,'Data pick slip'!B:F,5,FALSE)</f>
        <v>KHJ-MC100-00</v>
      </c>
      <c r="F3464" s="157" t="s">
        <v>1381</v>
      </c>
      <c r="H3464" s="138">
        <v>1275</v>
      </c>
      <c r="I3464" s="139" t="str">
        <f>VLOOKUP(H3464,Stock_list!A:R,18,FALSE)</f>
        <v>鹏鑫达（end user：晶昌鸿业）</v>
      </c>
      <c r="J3464" s="139" t="str">
        <f>VLOOKUP(H3464,Stock_list!A:S,17,FALSE)</f>
        <v>C49SZX20210086JL</v>
      </c>
      <c r="K3464" s="51" t="str">
        <f>VLOOKUP(H3464,Stock_list!A:T,16,FALSE)</f>
        <v>JPY</v>
      </c>
      <c r="L3464" s="4">
        <v>44690</v>
      </c>
      <c r="M3464" s="140">
        <v>40</v>
      </c>
      <c r="P3464" s="4" t="str">
        <f>VLOOKUP(H3464,Stock_list!A:Y,25,FALSE)</f>
        <v>Yes</v>
      </c>
      <c r="Q3464" s="143"/>
      <c r="T3464" s="144"/>
      <c r="U3464" s="145" t="str">
        <f>VLOOKUP(H3464,Stock_list!A:N,14,FALSE)</f>
        <v>APR 22</v>
      </c>
    </row>
    <row r="3465" spans="1:21" ht="16.5" customHeight="1">
      <c r="A3465" s="159" t="s">
        <v>2747</v>
      </c>
      <c r="B3465" s="114" t="str">
        <f>VLOOKUP(A3465,'Data pick slip'!B:F,5,FALSE)</f>
        <v>KHJ-MC200-00</v>
      </c>
      <c r="F3465" s="157" t="s">
        <v>1381</v>
      </c>
      <c r="I3465" s="139" t="s">
        <v>2854</v>
      </c>
      <c r="J3465" s="267" t="s">
        <v>3516</v>
      </c>
      <c r="K3465" s="51" t="s">
        <v>3003</v>
      </c>
      <c r="L3465" s="4">
        <v>44691</v>
      </c>
      <c r="M3465" s="140">
        <v>3</v>
      </c>
      <c r="P3465" s="4" t="s">
        <v>291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2744</v>
      </c>
      <c r="B3466" s="114" t="str">
        <f>VLOOKUP(A3466,'Data pick slip'!B:F,5,FALSE)</f>
        <v>KHJ-MC100-00</v>
      </c>
      <c r="F3466" s="157" t="s">
        <v>1381</v>
      </c>
      <c r="H3466" s="138">
        <v>1666</v>
      </c>
      <c r="I3466" s="139" t="str">
        <f>VLOOKUP(H3466,Stock_list!A:R,18,FALSE)</f>
        <v>利速达</v>
      </c>
      <c r="J3466" s="139" t="str">
        <f>VLOOKUP(H3466,Stock_list!A:S,17,FALSE)</f>
        <v>C49SZX20220055SX</v>
      </c>
      <c r="K3466" s="51" t="str">
        <f>VLOOKUP(H3466,Stock_list!A:T,16,FALSE)</f>
        <v>JPY</v>
      </c>
      <c r="L3466" s="4">
        <v>44737</v>
      </c>
      <c r="M3466" s="327">
        <v>41</v>
      </c>
      <c r="P3466" s="4" t="str">
        <f>VLOOKUP(H3466,Stock_list!A:Y,25,FALSE)</f>
        <v>Yes</v>
      </c>
      <c r="Q3466" s="143"/>
      <c r="T3466" s="144"/>
      <c r="U3466" s="145" t="str">
        <f>VLOOKUP(H3466,Stock_list!A:N,14,FALSE)</f>
        <v>SEP 22</v>
      </c>
    </row>
    <row r="3467" spans="1:21" ht="16.5" customHeight="1">
      <c r="A3467" s="159" t="s">
        <v>2747</v>
      </c>
      <c r="B3467" s="114" t="str">
        <f>VLOOKUP(A3467,'Data pick slip'!B:F,5,FALSE)</f>
        <v>KHJ-MC200-00</v>
      </c>
      <c r="F3467" s="157" t="s">
        <v>1381</v>
      </c>
      <c r="H3467" s="138">
        <v>1666</v>
      </c>
      <c r="I3467" s="139" t="str">
        <f>VLOOKUP(H3467,Stock_list!A:R,18,FALSE)</f>
        <v>利速达</v>
      </c>
      <c r="J3467" s="139" t="str">
        <f>VLOOKUP(H3467,Stock_list!A:S,17,FALSE)</f>
        <v>C49SZX20220055SX</v>
      </c>
      <c r="K3467" s="51" t="str">
        <f>VLOOKUP(H3467,Stock_list!A:T,16,FALSE)</f>
        <v>JPY</v>
      </c>
      <c r="L3467" s="4">
        <v>44737</v>
      </c>
      <c r="M3467" s="327">
        <v>15</v>
      </c>
      <c r="P3467" s="4" t="str">
        <f>VLOOKUP(H3467,Stock_list!A:Y,25,FALSE)</f>
        <v>Yes</v>
      </c>
      <c r="Q3467" s="143"/>
      <c r="T3467" s="144"/>
      <c r="U3467" s="145" t="str">
        <f>VLOOKUP(H3467,Stock_list!A:N,14,FALSE)</f>
        <v>SEP 22</v>
      </c>
    </row>
    <row r="3468" spans="1:21" ht="16.5" customHeight="1">
      <c r="A3468" s="159" t="s">
        <v>2748</v>
      </c>
      <c r="B3468" s="114" t="str">
        <f>VLOOKUP(A3468,'Data pick slip'!B:F,5,FALSE)</f>
        <v>KHJ-MC400-00</v>
      </c>
      <c r="F3468" s="157" t="s">
        <v>1381</v>
      </c>
      <c r="H3468" s="138">
        <v>1666</v>
      </c>
      <c r="I3468" s="139" t="str">
        <f>VLOOKUP(H3468,Stock_list!A:R,18,FALSE)</f>
        <v>利速达</v>
      </c>
      <c r="J3468" s="139" t="str">
        <f>VLOOKUP(H3468,Stock_list!A:S,17,FALSE)</f>
        <v>C49SZX20220055SX</v>
      </c>
      <c r="K3468" s="51" t="str">
        <f>VLOOKUP(H3468,Stock_list!A:T,16,FALSE)</f>
        <v>JPY</v>
      </c>
      <c r="L3468" s="4">
        <v>44737</v>
      </c>
      <c r="M3468" s="327">
        <v>4</v>
      </c>
      <c r="P3468" s="4" t="str">
        <f>VLOOKUP(H3468,Stock_list!A:Y,25,FALSE)</f>
        <v>Yes</v>
      </c>
      <c r="Q3468" s="143"/>
      <c r="T3468" s="144"/>
      <c r="U3468" s="145" t="str">
        <f>VLOOKUP(H3468,Stock_list!A:N,14,FALSE)</f>
        <v>SEP 22</v>
      </c>
    </row>
    <row r="3469" spans="1:21" ht="16.5" customHeight="1">
      <c r="A3469" s="159" t="s">
        <v>2744</v>
      </c>
      <c r="B3469" s="114" t="str">
        <f>VLOOKUP(A3469,'Data pick slip'!B:F,5,FALSE)</f>
        <v>KHJ-MC100-00</v>
      </c>
      <c r="F3469" s="157" t="s">
        <v>1381</v>
      </c>
      <c r="H3469" s="138">
        <v>1667</v>
      </c>
      <c r="I3469" s="139" t="str">
        <f>VLOOKUP(H3469,Stock_list!A:R,18,FALSE)</f>
        <v>鑫天泰</v>
      </c>
      <c r="J3469" s="139" t="str">
        <f>VLOOKUP(H3469,Stock_list!A:S,17,FALSE)</f>
        <v>C49SZX20220056EC</v>
      </c>
      <c r="K3469" s="51" t="str">
        <f>VLOOKUP(H3469,Stock_list!A:T,16,FALSE)</f>
        <v>JPY</v>
      </c>
      <c r="L3469" s="4">
        <v>44727</v>
      </c>
      <c r="M3469" s="132">
        <v>50</v>
      </c>
      <c r="P3469" s="4" t="str">
        <f>VLOOKUP(H3469,Stock_list!A:Y,25,FALSE)</f>
        <v>Yes</v>
      </c>
      <c r="Q3469" s="143"/>
      <c r="T3469" s="144"/>
      <c r="U3469" s="145" t="str">
        <f>VLOOKUP(H3469,Stock_list!A:N,14,FALSE)</f>
        <v>JUN 22</v>
      </c>
    </row>
    <row r="3470" spans="1:21" ht="16.5" customHeight="1">
      <c r="A3470" s="159" t="s">
        <v>2747</v>
      </c>
      <c r="B3470" s="114" t="str">
        <f>VLOOKUP(A3470,'Data pick slip'!B:F,5,FALSE)</f>
        <v>KHJ-MC200-00</v>
      </c>
      <c r="F3470" s="157" t="s">
        <v>1381</v>
      </c>
      <c r="H3470" s="138">
        <v>1667</v>
      </c>
      <c r="I3470" s="139" t="str">
        <f>VLOOKUP(H3470,Stock_list!A:R,18,FALSE)</f>
        <v>鑫天泰</v>
      </c>
      <c r="J3470" s="139" t="str">
        <f>VLOOKUP(H3470,Stock_list!A:S,17,FALSE)</f>
        <v>C49SZX20220056EC</v>
      </c>
      <c r="K3470" s="51" t="str">
        <f>VLOOKUP(H3470,Stock_list!A:T,16,FALSE)</f>
        <v>JPY</v>
      </c>
      <c r="L3470" s="4">
        <v>44727</v>
      </c>
      <c r="M3470" s="132">
        <v>10</v>
      </c>
      <c r="P3470" s="4" t="str">
        <f>VLOOKUP(H3470,Stock_list!A:Y,25,FALSE)</f>
        <v>Yes</v>
      </c>
      <c r="Q3470" s="143"/>
      <c r="T3470" s="144"/>
      <c r="U3470" s="145" t="str">
        <f>VLOOKUP(H3470,Stock_list!A:N,14,FALSE)</f>
        <v>JUN 22</v>
      </c>
    </row>
    <row r="3471" spans="1:21" ht="16.5" customHeight="1">
      <c r="A3471" s="159" t="s">
        <v>2748</v>
      </c>
      <c r="B3471" s="114" t="str">
        <f>VLOOKUP(A3471,'Data pick slip'!B:F,5,FALSE)</f>
        <v>KHJ-MC400-00</v>
      </c>
      <c r="F3471" s="157" t="s">
        <v>1381</v>
      </c>
      <c r="H3471" s="138">
        <v>1667</v>
      </c>
      <c r="I3471" s="139" t="str">
        <f>VLOOKUP(H3471,Stock_list!A:R,18,FALSE)</f>
        <v>鑫天泰</v>
      </c>
      <c r="J3471" s="139" t="str">
        <f>VLOOKUP(H3471,Stock_list!A:S,17,FALSE)</f>
        <v>C49SZX20220056EC</v>
      </c>
      <c r="K3471" s="51" t="str">
        <f>VLOOKUP(H3471,Stock_list!A:T,16,FALSE)</f>
        <v>JPY</v>
      </c>
      <c r="L3471" s="4">
        <v>44727</v>
      </c>
      <c r="M3471" s="132">
        <v>2</v>
      </c>
      <c r="P3471" s="4" t="str">
        <f>VLOOKUP(H3471,Stock_list!A:Y,25,FALSE)</f>
        <v>Yes</v>
      </c>
      <c r="Q3471" s="143"/>
      <c r="T3471" s="144"/>
      <c r="U3471" s="145" t="str">
        <f>VLOOKUP(H3471,Stock_list!A:N,14,FALSE)</f>
        <v>JUN 22</v>
      </c>
    </row>
    <row r="3472" spans="1:21" ht="16.5" customHeight="1">
      <c r="A3472" s="159" t="s">
        <v>2744</v>
      </c>
      <c r="B3472" s="114" t="str">
        <f>VLOOKUP(A3472,'Data pick slip'!B:F,5,FALSE)</f>
        <v>KHJ-MC100-00</v>
      </c>
      <c r="F3472" s="157" t="s">
        <v>1381</v>
      </c>
      <c r="I3472" s="269" t="s">
        <v>3414</v>
      </c>
      <c r="J3472" s="139" t="s">
        <v>3517</v>
      </c>
      <c r="K3472" s="51" t="s">
        <v>1246</v>
      </c>
      <c r="L3472" s="4">
        <v>44692</v>
      </c>
      <c r="M3472" s="321">
        <v>410</v>
      </c>
      <c r="P3472" s="4" t="s">
        <v>291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2747</v>
      </c>
      <c r="B3473" s="114" t="str">
        <f>VLOOKUP(A3473,'Data pick slip'!B:F,5,FALSE)</f>
        <v>KHJ-MC200-00</v>
      </c>
      <c r="F3473" s="157" t="s">
        <v>1381</v>
      </c>
      <c r="I3473" s="269" t="s">
        <v>3414</v>
      </c>
      <c r="J3473" s="139" t="s">
        <v>3517</v>
      </c>
      <c r="K3473" s="51" t="s">
        <v>1246</v>
      </c>
      <c r="L3473" s="4">
        <v>44692</v>
      </c>
      <c r="M3473" s="321">
        <v>110</v>
      </c>
      <c r="P3473" s="4" t="s">
        <v>291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2748</v>
      </c>
      <c r="B3474" s="114" t="str">
        <f>VLOOKUP(A3474,'Data pick slip'!B:F,5,FALSE)</f>
        <v>KHJ-MC400-00</v>
      </c>
      <c r="F3474" s="157" t="s">
        <v>1381</v>
      </c>
      <c r="I3474" s="269" t="s">
        <v>3414</v>
      </c>
      <c r="J3474" s="139" t="s">
        <v>3517</v>
      </c>
      <c r="K3474" s="51" t="s">
        <v>1246</v>
      </c>
      <c r="L3474" s="4">
        <v>44692</v>
      </c>
      <c r="M3474" s="321">
        <v>10</v>
      </c>
      <c r="P3474" s="4" t="s">
        <v>291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2751</v>
      </c>
      <c r="B3475" s="114" t="str">
        <f>VLOOKUP(A3475,'Data pick slip'!B:F,5,FALSE)</f>
        <v>KHJ-MC700-00</v>
      </c>
      <c r="F3475" s="157" t="s">
        <v>1381</v>
      </c>
      <c r="I3475" s="269" t="s">
        <v>3414</v>
      </c>
      <c r="J3475" s="139" t="s">
        <v>3517</v>
      </c>
      <c r="K3475" s="51" t="s">
        <v>1246</v>
      </c>
      <c r="L3475" s="4">
        <v>44692</v>
      </c>
      <c r="M3475" s="321">
        <v>5</v>
      </c>
      <c r="P3475" s="4" t="s">
        <v>291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2744</v>
      </c>
      <c r="B3476" s="114" t="str">
        <f>VLOOKUP(A3476,'Data pick slip'!B:F,5,FALSE)</f>
        <v>KHJ-MC100-00</v>
      </c>
      <c r="F3476" s="157" t="s">
        <v>1381</v>
      </c>
      <c r="I3476" s="269" t="s">
        <v>3414</v>
      </c>
      <c r="J3476" s="139" t="s">
        <v>3518</v>
      </c>
      <c r="K3476" s="51" t="s">
        <v>1246</v>
      </c>
      <c r="L3476" s="4">
        <v>44695</v>
      </c>
      <c r="M3476" s="321">
        <v>140</v>
      </c>
      <c r="P3476" s="4" t="s">
        <v>291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2747</v>
      </c>
      <c r="B3477" s="114" t="str">
        <f>VLOOKUP(A3477,'Data pick slip'!B:F,5,FALSE)</f>
        <v>KHJ-MC200-00</v>
      </c>
      <c r="F3477" s="157" t="s">
        <v>1381</v>
      </c>
      <c r="I3477" s="269" t="s">
        <v>3414</v>
      </c>
      <c r="J3477" s="139" t="s">
        <v>3518</v>
      </c>
      <c r="K3477" s="51" t="s">
        <v>1246</v>
      </c>
      <c r="L3477" s="4">
        <v>44695</v>
      </c>
      <c r="M3477" s="321">
        <v>36</v>
      </c>
      <c r="P3477" s="4" t="s">
        <v>291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2748</v>
      </c>
      <c r="B3478" s="114" t="str">
        <f>VLOOKUP(A3478,'Data pick slip'!B:F,5,FALSE)</f>
        <v>KHJ-MC400-00</v>
      </c>
      <c r="F3478" s="157" t="s">
        <v>1381</v>
      </c>
      <c r="I3478" s="269" t="s">
        <v>3414</v>
      </c>
      <c r="J3478" s="139" t="s">
        <v>3518</v>
      </c>
      <c r="K3478" s="51" t="s">
        <v>1246</v>
      </c>
      <c r="L3478" s="4">
        <v>44695</v>
      </c>
      <c r="M3478" s="321">
        <v>4</v>
      </c>
      <c r="P3478" s="4" t="s">
        <v>291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2755</v>
      </c>
      <c r="B3479" s="114" t="str">
        <f>VLOOKUP(A3479,'Data pick slip'!B:F,5,FALSE)</f>
        <v>KLJ-MC100-00</v>
      </c>
      <c r="F3479" s="157" t="s">
        <v>1381</v>
      </c>
      <c r="I3479" s="269" t="s">
        <v>3414</v>
      </c>
      <c r="J3479" s="139" t="s">
        <v>3518</v>
      </c>
      <c r="K3479" s="51" t="s">
        <v>1246</v>
      </c>
      <c r="L3479" s="4">
        <v>44695</v>
      </c>
      <c r="M3479" s="321">
        <v>20</v>
      </c>
      <c r="P3479" s="4" t="s">
        <v>291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2744</v>
      </c>
      <c r="B3480" s="114" t="str">
        <f>VLOOKUP(A3480,'Data pick slip'!B:F,5,FALSE)</f>
        <v>KHJ-MC100-00</v>
      </c>
      <c r="F3480" s="157" t="s">
        <v>1381</v>
      </c>
      <c r="I3480" s="269" t="s">
        <v>3414</v>
      </c>
      <c r="J3480" s="139" t="s">
        <v>3519</v>
      </c>
      <c r="K3480" s="51" t="s">
        <v>1246</v>
      </c>
      <c r="L3480" s="4">
        <v>44701</v>
      </c>
      <c r="M3480" s="321">
        <v>180</v>
      </c>
      <c r="P3480" s="4" t="s">
        <v>291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2747</v>
      </c>
      <c r="B3481" s="114" t="str">
        <f>VLOOKUP(A3481,'Data pick slip'!B:F,5,FALSE)</f>
        <v>KHJ-MC200-00</v>
      </c>
      <c r="F3481" s="157" t="s">
        <v>1381</v>
      </c>
      <c r="I3481" s="269" t="s">
        <v>3414</v>
      </c>
      <c r="J3481" s="139" t="s">
        <v>3519</v>
      </c>
      <c r="K3481" s="51" t="s">
        <v>1246</v>
      </c>
      <c r="L3481" s="4">
        <v>44701</v>
      </c>
      <c r="M3481" s="321">
        <v>30</v>
      </c>
      <c r="P3481" s="4" t="s">
        <v>291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2748</v>
      </c>
      <c r="B3482" s="114" t="str">
        <f>VLOOKUP(A3482,'Data pick slip'!B:F,5,FALSE)</f>
        <v>KHJ-MC400-00</v>
      </c>
      <c r="F3482" s="157" t="s">
        <v>1381</v>
      </c>
      <c r="I3482" s="269" t="s">
        <v>3414</v>
      </c>
      <c r="J3482" s="139" t="s">
        <v>3519</v>
      </c>
      <c r="K3482" s="51" t="s">
        <v>1246</v>
      </c>
      <c r="L3482" s="4">
        <v>44701</v>
      </c>
      <c r="M3482" s="321">
        <v>8</v>
      </c>
      <c r="P3482" s="4" t="s">
        <v>291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2750</v>
      </c>
      <c r="B3483" s="114" t="str">
        <f>VLOOKUP(A3483,'Data pick slip'!B:F,5,FALSE)</f>
        <v>KHJ-MC600-00</v>
      </c>
      <c r="F3483" s="157" t="s">
        <v>1381</v>
      </c>
      <c r="I3483" s="269" t="s">
        <v>3414</v>
      </c>
      <c r="J3483" s="139" t="s">
        <v>3519</v>
      </c>
      <c r="K3483" s="51" t="s">
        <v>1246</v>
      </c>
      <c r="L3483" s="4">
        <v>44701</v>
      </c>
      <c r="M3483" s="321">
        <v>10</v>
      </c>
      <c r="P3483" s="4" t="s">
        <v>291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2751</v>
      </c>
      <c r="B3484" s="114" t="str">
        <f>VLOOKUP(A3484,'Data pick slip'!B:F,5,FALSE)</f>
        <v>KHJ-MC700-00</v>
      </c>
      <c r="F3484" s="157" t="s">
        <v>1381</v>
      </c>
      <c r="I3484" s="269" t="s">
        <v>3414</v>
      </c>
      <c r="J3484" s="139" t="s">
        <v>3519</v>
      </c>
      <c r="K3484" s="51" t="s">
        <v>1246</v>
      </c>
      <c r="L3484" s="4">
        <v>44701</v>
      </c>
      <c r="M3484" s="171">
        <v>2</v>
      </c>
      <c r="P3484" s="4" t="s">
        <v>291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2744</v>
      </c>
      <c r="B3485" s="114" t="str">
        <f>VLOOKUP(A3485,'Data pick slip'!B:F,5,FALSE)</f>
        <v>KHJ-MC100-00</v>
      </c>
      <c r="F3485" s="157" t="s">
        <v>2753</v>
      </c>
      <c r="I3485" s="139" t="s">
        <v>3106</v>
      </c>
      <c r="J3485" s="139" t="s">
        <v>3520</v>
      </c>
      <c r="K3485" s="51" t="s">
        <v>1246</v>
      </c>
      <c r="L3485" s="4">
        <v>44705</v>
      </c>
      <c r="M3485" s="140">
        <v>350</v>
      </c>
      <c r="P3485" s="4" t="s">
        <v>291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2747</v>
      </c>
      <c r="B3486" s="114" t="str">
        <f>VLOOKUP(A3486,'Data pick slip'!B:F,5,FALSE)</f>
        <v>KHJ-MC200-00</v>
      </c>
      <c r="F3486" s="157" t="s">
        <v>2753</v>
      </c>
      <c r="I3486" s="139" t="s">
        <v>3106</v>
      </c>
      <c r="J3486" s="139" t="s">
        <v>3520</v>
      </c>
      <c r="K3486" s="51" t="s">
        <v>1246</v>
      </c>
      <c r="L3486" s="4">
        <v>44705</v>
      </c>
      <c r="M3486" s="140">
        <v>180</v>
      </c>
      <c r="P3486" s="4" t="s">
        <v>291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2748</v>
      </c>
      <c r="B3487" s="114" t="str">
        <f>VLOOKUP(A3487,'Data pick slip'!B:F,5,FALSE)</f>
        <v>KHJ-MC400-00</v>
      </c>
      <c r="F3487" s="157" t="s">
        <v>2753</v>
      </c>
      <c r="I3487" s="139" t="s">
        <v>3106</v>
      </c>
      <c r="J3487" s="139" t="s">
        <v>3520</v>
      </c>
      <c r="K3487" s="51" t="s">
        <v>1246</v>
      </c>
      <c r="L3487" s="4">
        <v>44705</v>
      </c>
      <c r="M3487" s="140">
        <v>30</v>
      </c>
      <c r="P3487" s="4" t="s">
        <v>291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2749</v>
      </c>
      <c r="B3488" s="114" t="str">
        <f>VLOOKUP(A3488,'Data pick slip'!B:F,5,FALSE)</f>
        <v>KHJ-MC500-00</v>
      </c>
      <c r="F3488" s="157" t="s">
        <v>2753</v>
      </c>
      <c r="I3488" s="139" t="s">
        <v>3106</v>
      </c>
      <c r="J3488" s="139" t="s">
        <v>3520</v>
      </c>
      <c r="K3488" s="51" t="s">
        <v>1246</v>
      </c>
      <c r="L3488" s="4">
        <v>44705</v>
      </c>
      <c r="M3488" s="140">
        <v>25</v>
      </c>
      <c r="P3488" s="4" t="s">
        <v>291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2750</v>
      </c>
      <c r="B3489" s="114" t="str">
        <f>VLOOKUP(A3489,'Data pick slip'!B:F,5,FALSE)</f>
        <v>KHJ-MC600-00</v>
      </c>
      <c r="F3489" s="157" t="s">
        <v>2753</v>
      </c>
      <c r="I3489" s="139" t="s">
        <v>3106</v>
      </c>
      <c r="J3489" s="139" t="s">
        <v>3520</v>
      </c>
      <c r="K3489" s="51" t="s">
        <v>1246</v>
      </c>
      <c r="L3489" s="4">
        <v>44705</v>
      </c>
      <c r="M3489" s="140">
        <v>15</v>
      </c>
      <c r="P3489" s="4" t="s">
        <v>291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2751</v>
      </c>
      <c r="B3490" s="114" t="str">
        <f>VLOOKUP(A3490,'Data pick slip'!B:F,5,FALSE)</f>
        <v>KHJ-MC700-00</v>
      </c>
      <c r="F3490" s="157" t="s">
        <v>2753</v>
      </c>
      <c r="I3490" s="139" t="s">
        <v>3106</v>
      </c>
      <c r="J3490" s="139" t="s">
        <v>3520</v>
      </c>
      <c r="K3490" s="51" t="s">
        <v>1246</v>
      </c>
      <c r="L3490" s="4">
        <v>44705</v>
      </c>
      <c r="M3490" s="140">
        <v>5</v>
      </c>
      <c r="P3490" s="4" t="s">
        <v>291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2756</v>
      </c>
      <c r="B3491" s="114" t="str">
        <f>VLOOKUP(A3491,'Data pick slip'!B:F,5,FALSE)</f>
        <v>KLJ-MC200-00</v>
      </c>
      <c r="F3491" s="157" t="s">
        <v>2753</v>
      </c>
      <c r="I3491" s="139" t="s">
        <v>3106</v>
      </c>
      <c r="J3491" s="139" t="s">
        <v>3520</v>
      </c>
      <c r="K3491" s="51" t="s">
        <v>1246</v>
      </c>
      <c r="L3491" s="4">
        <v>44705</v>
      </c>
      <c r="M3491" s="140">
        <v>10</v>
      </c>
      <c r="P3491" s="4" t="s">
        <v>291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2744</v>
      </c>
      <c r="B3492" s="114" t="str">
        <f>VLOOKUP(A3492,'Data pick slip'!B:F,5,FALSE)</f>
        <v>KHJ-MC100-00</v>
      </c>
      <c r="F3492" s="157" t="s">
        <v>1381</v>
      </c>
      <c r="H3492" s="138">
        <v>1672</v>
      </c>
      <c r="I3492" s="139" t="str">
        <f>VLOOKUP(H3492,Stock_list!A:R,18,FALSE)</f>
        <v>方案集</v>
      </c>
      <c r="J3492" s="139" t="str">
        <f>VLOOKUP(H3492,Stock_list!A:S,17,FALSE)</f>
        <v>C49SZX20220060DZ</v>
      </c>
      <c r="K3492" s="51" t="str">
        <f>VLOOKUP(H3492,Stock_list!A:T,16,FALSE)</f>
        <v>JPY</v>
      </c>
      <c r="L3492" s="4">
        <v>44755</v>
      </c>
      <c r="M3492" s="143">
        <v>60</v>
      </c>
      <c r="P3492" s="4" t="str">
        <f>VLOOKUP(H3492,Stock_list!A:Y,25,FALSE)</f>
        <v>Yes</v>
      </c>
      <c r="T3492" s="144"/>
      <c r="U3492" s="145" t="str">
        <f>VLOOKUP(H3492,Stock_list!A:N,14,FALSE)</f>
        <v>JUL 22</v>
      </c>
    </row>
    <row r="3493" spans="1:21" ht="16.5" customHeight="1">
      <c r="A3493" s="159" t="s">
        <v>2747</v>
      </c>
      <c r="B3493" s="114" t="str">
        <f>VLOOKUP(A3493,'Data pick slip'!B:F,5,FALSE)</f>
        <v>KHJ-MC200-00</v>
      </c>
      <c r="F3493" s="157" t="s">
        <v>1381</v>
      </c>
      <c r="H3493" s="138">
        <v>1672</v>
      </c>
      <c r="I3493" s="139" t="str">
        <f>VLOOKUP(H3493,Stock_list!A:R,18,FALSE)</f>
        <v>方案集</v>
      </c>
      <c r="J3493" s="139" t="str">
        <f>VLOOKUP(H3493,Stock_list!A:S,17,FALSE)</f>
        <v>C49SZX20220060DZ</v>
      </c>
      <c r="K3493" s="51" t="str">
        <f>VLOOKUP(H3493,Stock_list!A:T,16,FALSE)</f>
        <v>JPY</v>
      </c>
      <c r="L3493" s="4">
        <v>44755</v>
      </c>
      <c r="M3493" s="143">
        <v>5</v>
      </c>
      <c r="P3493" s="4" t="str">
        <f>VLOOKUP(H3493,Stock_list!A:Y,25,FALSE)</f>
        <v>Yes</v>
      </c>
      <c r="T3493" s="144"/>
      <c r="U3493" s="145" t="str">
        <f>VLOOKUP(H3493,Stock_list!A:N,14,FALSE)</f>
        <v>JUL 22</v>
      </c>
    </row>
    <row r="3494" spans="1:21" ht="16.5" customHeight="1">
      <c r="A3494" s="159" t="s">
        <v>2748</v>
      </c>
      <c r="B3494" s="114" t="str">
        <f>VLOOKUP(A3494,'Data pick slip'!B:F,5,FALSE)</f>
        <v>KHJ-MC400-00</v>
      </c>
      <c r="F3494" s="157" t="s">
        <v>1381</v>
      </c>
      <c r="H3494" s="138">
        <v>1672</v>
      </c>
      <c r="I3494" s="139" t="str">
        <f>VLOOKUP(H3494,Stock_list!A:R,18,FALSE)</f>
        <v>方案集</v>
      </c>
      <c r="J3494" s="139" t="str">
        <f>VLOOKUP(H3494,Stock_list!A:S,17,FALSE)</f>
        <v>C49SZX20220060DZ</v>
      </c>
      <c r="K3494" s="51" t="str">
        <f>VLOOKUP(H3494,Stock_list!A:T,16,FALSE)</f>
        <v>JPY</v>
      </c>
      <c r="L3494" s="4">
        <v>44755</v>
      </c>
      <c r="M3494" s="143">
        <v>4</v>
      </c>
      <c r="P3494" s="4" t="str">
        <f>VLOOKUP(H3494,Stock_list!A:Y,25,FALSE)</f>
        <v>Yes</v>
      </c>
      <c r="T3494" s="144"/>
      <c r="U3494" s="145" t="str">
        <f>VLOOKUP(H3494,Stock_list!A:N,14,FALSE)</f>
        <v>JUL 22</v>
      </c>
    </row>
    <row r="3495" spans="1:21" ht="16.5" customHeight="1">
      <c r="A3495" s="159" t="s">
        <v>2744</v>
      </c>
      <c r="B3495" s="114" t="str">
        <f>VLOOKUP(A3495,'Data pick slip'!B:F,5,FALSE)</f>
        <v>KHJ-MC100-00</v>
      </c>
      <c r="F3495" s="157" t="s">
        <v>2753</v>
      </c>
      <c r="H3495" s="138">
        <v>1674</v>
      </c>
      <c r="I3495" s="139" t="str">
        <f>VLOOKUP(H3495,Stock_list!A:R,18,FALSE)</f>
        <v>世启纳</v>
      </c>
      <c r="J3495" s="139" t="str">
        <f>VLOOKUP(H3495,Stock_list!A:S,17,FALSE)</f>
        <v>C49SZX20220062SS</v>
      </c>
      <c r="K3495" s="51" t="str">
        <f>VLOOKUP(H3495,Stock_list!A:T,16,FALSE)</f>
        <v>RMB</v>
      </c>
      <c r="L3495" s="4">
        <v>44732</v>
      </c>
      <c r="M3495" s="140">
        <v>22</v>
      </c>
      <c r="P3495" s="4" t="str">
        <f>VLOOKUP(H3495,Stock_list!A:Y,25,FALSE)</f>
        <v>Yes</v>
      </c>
      <c r="Q3495" s="143"/>
      <c r="T3495" s="144"/>
      <c r="U3495" s="145" t="str">
        <f>VLOOKUP(H3495,Stock_list!A:N,14,FALSE)</f>
        <v>JUN 22</v>
      </c>
    </row>
    <row r="3496" spans="1:21" ht="16.5" customHeight="1">
      <c r="A3496" s="159" t="s">
        <v>2744</v>
      </c>
      <c r="B3496" s="114" t="str">
        <f>VLOOKUP(A3496,'Data pick slip'!B:F,5,FALSE)</f>
        <v>KHJ-MC100-00</v>
      </c>
      <c r="F3496" s="157" t="s">
        <v>1381</v>
      </c>
      <c r="H3496" s="138">
        <v>1675</v>
      </c>
      <c r="I3496" s="139" t="str">
        <f>VLOOKUP(H3496,Stock_list!A:R,18,FALSE)</f>
        <v>朗迅</v>
      </c>
      <c r="J3496" s="139" t="str">
        <f>VLOOKUP(H3496,Stock_list!A:S,17,FALSE)</f>
        <v>C49SZX20220059DY</v>
      </c>
      <c r="K3496" s="51" t="str">
        <f>VLOOKUP(H3496,Stock_list!A:T,16,FALSE)</f>
        <v>JPY</v>
      </c>
      <c r="L3496" s="4">
        <v>44804</v>
      </c>
      <c r="M3496" s="140">
        <v>46</v>
      </c>
      <c r="P3496" s="4" t="str">
        <f>VLOOKUP(H3496,Stock_list!A:Y,25,FALSE)</f>
        <v>Yes</v>
      </c>
      <c r="Q3496" s="143"/>
      <c r="T3496" s="144"/>
      <c r="U3496" s="145" t="str">
        <f>VLOOKUP(H3496,Stock_list!A:N,14,FALSE)</f>
        <v>AUG 22</v>
      </c>
    </row>
    <row r="3497" spans="1:21" ht="16.5" customHeight="1">
      <c r="A3497" s="159" t="s">
        <v>2747</v>
      </c>
      <c r="B3497" s="114" t="str">
        <f>VLOOKUP(A3497,'Data pick slip'!B:F,5,FALSE)</f>
        <v>KHJ-MC200-00</v>
      </c>
      <c r="F3497" s="157" t="s">
        <v>1381</v>
      </c>
      <c r="H3497" s="138">
        <v>1675</v>
      </c>
      <c r="I3497" s="139" t="str">
        <f>VLOOKUP(H3497,Stock_list!A:R,18,FALSE)</f>
        <v>朗迅</v>
      </c>
      <c r="J3497" s="139" t="str">
        <f>VLOOKUP(H3497,Stock_list!A:S,17,FALSE)</f>
        <v>C49SZX20220059DY</v>
      </c>
      <c r="K3497" s="51" t="str">
        <f>VLOOKUP(H3497,Stock_list!A:T,16,FALSE)</f>
        <v>JPY</v>
      </c>
      <c r="L3497" s="4">
        <v>44804</v>
      </c>
      <c r="M3497" s="140">
        <v>25</v>
      </c>
      <c r="P3497" s="4" t="str">
        <f>VLOOKUP(H3497,Stock_list!A:Y,25,FALSE)</f>
        <v>Yes</v>
      </c>
      <c r="Q3497" s="143"/>
      <c r="T3497" s="144"/>
      <c r="U3497" s="145" t="str">
        <f>VLOOKUP(H3497,Stock_list!A:N,14,FALSE)</f>
        <v>AUG 22</v>
      </c>
    </row>
    <row r="3498" spans="1:21" ht="16.5" customHeight="1">
      <c r="A3498" s="159" t="s">
        <v>2744</v>
      </c>
      <c r="B3498" s="114" t="str">
        <f>VLOOKUP(A3498,'Data pick slip'!B:F,5,FALSE)</f>
        <v>KHJ-MC100-00</v>
      </c>
      <c r="F3498" s="157" t="s">
        <v>2753</v>
      </c>
      <c r="H3498" s="138">
        <v>1677</v>
      </c>
      <c r="I3498" s="139" t="str">
        <f>VLOOKUP(H3498,Stock_list!A:R,18,FALSE)</f>
        <v>思迈</v>
      </c>
      <c r="J3498" s="139" t="str">
        <f>VLOOKUP(H3498,Stock_list!A:S,17,FALSE)</f>
        <v>C49SZX202200066SS</v>
      </c>
      <c r="K3498" s="51" t="str">
        <f>VLOOKUP(H3498,Stock_list!A:T,16,FALSE)</f>
        <v>RMB</v>
      </c>
      <c r="L3498" s="4">
        <v>44733</v>
      </c>
      <c r="M3498" s="140">
        <v>2</v>
      </c>
      <c r="P3498" s="4" t="str">
        <f>VLOOKUP(H3498,Stock_list!A:Y,25,FALSE)</f>
        <v>Yes</v>
      </c>
      <c r="Q3498" s="143"/>
      <c r="T3498" s="144"/>
      <c r="U3498" s="145" t="str">
        <f>VLOOKUP(H3498,Stock_list!A:N,14,FALSE)</f>
        <v>JUN 22</v>
      </c>
    </row>
    <row r="3499" spans="1:21" ht="16.5" customHeight="1">
      <c r="A3499" s="159" t="s">
        <v>2744</v>
      </c>
      <c r="B3499" s="114" t="str">
        <f>VLOOKUP(A3499,'Data pick slip'!B:F,5,FALSE)</f>
        <v>KHJ-MC100-00</v>
      </c>
      <c r="F3499" s="157" t="s">
        <v>2753</v>
      </c>
      <c r="H3499" s="138">
        <v>1678</v>
      </c>
      <c r="I3499" s="139" t="str">
        <f>VLOOKUP(H3499,Stock_list!A:R,18,FALSE)</f>
        <v>正讯</v>
      </c>
      <c r="J3499" s="139" t="str">
        <f>VLOOKUP(H3499,Stock_list!A:S,17,FALSE)</f>
        <v>C49SZX20220065SX</v>
      </c>
      <c r="K3499" s="51" t="str">
        <f>VLOOKUP(H3499,Stock_list!A:T,16,FALSE)</f>
        <v>RMB</v>
      </c>
      <c r="L3499" s="4">
        <v>44725</v>
      </c>
      <c r="M3499" s="140">
        <v>70</v>
      </c>
      <c r="P3499" s="4" t="str">
        <f>VLOOKUP(H3499,Stock_list!A:Y,25,FALSE)</f>
        <v>Yes</v>
      </c>
      <c r="Q3499" s="143"/>
      <c r="T3499" s="144"/>
      <c r="U3499" s="145" t="str">
        <f>VLOOKUP(H3499,Stock_list!A:N,14,FALSE)</f>
        <v>JUN 22</v>
      </c>
    </row>
    <row r="3500" spans="1:21" ht="16.5" customHeight="1">
      <c r="A3500" s="159" t="s">
        <v>2748</v>
      </c>
      <c r="B3500" s="114" t="str">
        <f>VLOOKUP(A3500,'Data pick slip'!B:F,5,FALSE)</f>
        <v>KHJ-MC400-00</v>
      </c>
      <c r="F3500" s="157" t="s">
        <v>2753</v>
      </c>
      <c r="H3500" s="138">
        <v>1678</v>
      </c>
      <c r="I3500" s="139" t="str">
        <f>VLOOKUP(H3500,Stock_list!A:R,18,FALSE)</f>
        <v>正讯</v>
      </c>
      <c r="J3500" s="139" t="str">
        <f>VLOOKUP(H3500,Stock_list!A:S,17,FALSE)</f>
        <v>C49SZX20220065SX</v>
      </c>
      <c r="K3500" s="51" t="str">
        <f>VLOOKUP(H3500,Stock_list!A:T,16,FALSE)</f>
        <v>RMB</v>
      </c>
      <c r="L3500" s="4">
        <v>44725</v>
      </c>
      <c r="M3500" s="140">
        <v>5</v>
      </c>
      <c r="P3500" s="4" t="str">
        <f>VLOOKUP(H3500,Stock_list!A:Y,25,FALSE)</f>
        <v>Yes</v>
      </c>
      <c r="Q3500" s="143"/>
      <c r="T3500" s="144"/>
      <c r="U3500" s="145" t="str">
        <f>VLOOKUP(H3500,Stock_list!A:N,14,FALSE)</f>
        <v>JUN 22</v>
      </c>
    </row>
    <row r="3501" spans="1:21" ht="16.5" customHeight="1">
      <c r="A3501" s="159" t="s">
        <v>2744</v>
      </c>
      <c r="B3501" s="114" t="str">
        <f>VLOOKUP(A3501,'Data pick slip'!B:F,5,FALSE)</f>
        <v>KHJ-MC100-00</v>
      </c>
      <c r="F3501" s="157" t="s">
        <v>2753</v>
      </c>
      <c r="H3501" s="138">
        <v>1680</v>
      </c>
      <c r="I3501" s="139" t="str">
        <f>VLOOKUP(H3501,Stock_list!A:R,18,FALSE)</f>
        <v>湘浩</v>
      </c>
      <c r="J3501" s="139" t="str">
        <f>VLOOKUP(H3501,Stock_list!A:S,17,FALSE)</f>
        <v>C49SZX20220067SQ</v>
      </c>
      <c r="K3501" s="51" t="str">
        <f>VLOOKUP(H3501,Stock_list!A:T,16,FALSE)</f>
        <v>RMB</v>
      </c>
      <c r="L3501" s="4">
        <v>44757</v>
      </c>
      <c r="M3501" s="132">
        <v>25</v>
      </c>
      <c r="P3501" s="4" t="str">
        <f>VLOOKUP(H3501,Stock_list!A:Y,25,FALSE)</f>
        <v>Yes</v>
      </c>
      <c r="Q3501" s="143"/>
      <c r="T3501" s="144"/>
      <c r="U3501" s="145" t="str">
        <f>VLOOKUP(H3501,Stock_list!A:N,14,FALSE)</f>
        <v>JUL 22</v>
      </c>
    </row>
    <row r="3502" spans="1:21" ht="16.5" customHeight="1">
      <c r="A3502" s="159" t="s">
        <v>2747</v>
      </c>
      <c r="B3502" s="114" t="str">
        <f>VLOOKUP(A3502,'Data pick slip'!B:F,5,FALSE)</f>
        <v>KHJ-MC200-00</v>
      </c>
      <c r="F3502" s="157" t="s">
        <v>2753</v>
      </c>
      <c r="H3502" s="138">
        <v>1680</v>
      </c>
      <c r="I3502" s="139" t="str">
        <f>VLOOKUP(H3502,Stock_list!A:R,18,FALSE)</f>
        <v>湘浩</v>
      </c>
      <c r="J3502" s="139" t="str">
        <f>VLOOKUP(H3502,Stock_list!A:S,17,FALSE)</f>
        <v>C49SZX20220067SQ</v>
      </c>
      <c r="K3502" s="51" t="str">
        <f>VLOOKUP(H3502,Stock_list!A:T,16,FALSE)</f>
        <v>RMB</v>
      </c>
      <c r="L3502" s="4">
        <v>44757</v>
      </c>
      <c r="M3502" s="132">
        <v>12</v>
      </c>
      <c r="P3502" s="4" t="str">
        <f>VLOOKUP(H3502,Stock_list!A:Y,25,FALSE)</f>
        <v>Yes</v>
      </c>
      <c r="Q3502" s="143"/>
      <c r="T3502" s="144"/>
      <c r="U3502" s="145" t="str">
        <f>VLOOKUP(H3502,Stock_list!A:N,14,FALSE)</f>
        <v>JUL 22</v>
      </c>
    </row>
    <row r="3503" spans="1:21" ht="16.5" customHeight="1">
      <c r="A3503" s="159" t="s">
        <v>2744</v>
      </c>
      <c r="B3503" s="114" t="str">
        <f>VLOOKUP(A3503,'Data pick slip'!B:F,5,FALSE)</f>
        <v>KHJ-MC100-00</v>
      </c>
      <c r="F3503" s="157" t="s">
        <v>2762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2747</v>
      </c>
      <c r="B3504" s="114" t="str">
        <f>VLOOKUP(A3504,'Data pick slip'!B:F,5,FALSE)</f>
        <v>KHJ-MC200-00</v>
      </c>
      <c r="F3504" s="157" t="s">
        <v>2762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2748</v>
      </c>
      <c r="B3505" s="114" t="str">
        <f>VLOOKUP(A3505,'Data pick slip'!B:F,5,FALSE)</f>
        <v>KHJ-MC400-00</v>
      </c>
      <c r="F3505" s="157" t="s">
        <v>2762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2748</v>
      </c>
      <c r="B3506" s="114" t="str">
        <f>VLOOKUP(A3506,'Data pick slip'!B:F,5,FALSE)</f>
        <v>KHJ-MC400-00</v>
      </c>
      <c r="F3506" s="157" t="s">
        <v>2773</v>
      </c>
      <c r="H3506" s="138">
        <v>1683</v>
      </c>
      <c r="I3506" s="139" t="str">
        <f>VLOOKUP(H3506,Stock_list!A:R,18,FALSE)</f>
        <v>芯联鑫</v>
      </c>
      <c r="J3506" s="139" t="str">
        <f>VLOOKUP(H3506,Stock_list!A:S,17,FALSE)</f>
        <v>C49SZX20220063JY</v>
      </c>
      <c r="K3506" s="51" t="str">
        <f>VLOOKUP(H3506,Stock_list!A:T,16,FALSE)</f>
        <v>RMB</v>
      </c>
      <c r="L3506" s="4">
        <v>44741</v>
      </c>
      <c r="M3506" s="140">
        <v>3</v>
      </c>
      <c r="P3506" s="4" t="str">
        <f>VLOOKUP(H3506,Stock_list!A:Y,25,FALSE)</f>
        <v>Yes</v>
      </c>
      <c r="Q3506" s="143"/>
      <c r="T3506" s="144"/>
      <c r="U3506" s="145" t="str">
        <f>VLOOKUP(H3506,Stock_list!A:N,14,FALSE)</f>
        <v>JUN 22</v>
      </c>
    </row>
    <row r="3507" spans="1:21" ht="16.5" customHeight="1">
      <c r="A3507" s="159" t="s">
        <v>2744</v>
      </c>
      <c r="B3507" s="114" t="str">
        <f>VLOOKUP(A3507,'Data pick slip'!B:F,5,FALSE)</f>
        <v>KHJ-MC100-00</v>
      </c>
      <c r="F3507" s="157" t="s">
        <v>2773</v>
      </c>
      <c r="H3507" s="138">
        <v>1683</v>
      </c>
      <c r="I3507" s="139" t="str">
        <f>VLOOKUP(H3507,Stock_list!A:R,18,FALSE)</f>
        <v>芯联鑫</v>
      </c>
      <c r="J3507" s="139" t="str">
        <f>VLOOKUP(H3507,Stock_list!A:S,17,FALSE)</f>
        <v>C49SZX20220063JY</v>
      </c>
      <c r="K3507" s="51" t="str">
        <f>VLOOKUP(H3507,Stock_list!A:T,16,FALSE)</f>
        <v>RMB</v>
      </c>
      <c r="L3507" s="4">
        <v>44741</v>
      </c>
      <c r="M3507" s="140">
        <v>6</v>
      </c>
      <c r="P3507" s="4" t="str">
        <f>VLOOKUP(H3507,Stock_list!A:Y,25,FALSE)</f>
        <v>Yes</v>
      </c>
      <c r="Q3507" s="143"/>
      <c r="T3507" s="144"/>
      <c r="U3507" s="145" t="str">
        <f>VLOOKUP(H3507,Stock_list!A:N,14,FALSE)</f>
        <v>JUN 22</v>
      </c>
    </row>
    <row r="3508" spans="1:21" ht="16.5" customHeight="1">
      <c r="A3508" s="159" t="s">
        <v>2748</v>
      </c>
      <c r="B3508" s="114" t="str">
        <f>VLOOKUP(A3508,'Data pick slip'!B:F,5,FALSE)</f>
        <v>KHJ-MC400-00</v>
      </c>
      <c r="F3508" s="157" t="s">
        <v>1381</v>
      </c>
      <c r="I3508" s="139" t="s">
        <v>2854</v>
      </c>
      <c r="J3508" s="270" t="s">
        <v>3521</v>
      </c>
      <c r="K3508" s="51" t="s">
        <v>3003</v>
      </c>
      <c r="L3508" s="4">
        <v>44727</v>
      </c>
      <c r="M3508" s="140">
        <v>2</v>
      </c>
      <c r="P3508" s="4" t="s">
        <v>291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2744</v>
      </c>
      <c r="B3509" s="114" t="str">
        <f>VLOOKUP(A3509,'Data pick slip'!B:F,5,FALSE)</f>
        <v>KHJ-MC100-00</v>
      </c>
      <c r="F3509" s="157" t="s">
        <v>1381</v>
      </c>
      <c r="I3509" s="269" t="s">
        <v>3414</v>
      </c>
      <c r="J3509" s="139" t="s">
        <v>3522</v>
      </c>
      <c r="K3509" s="51" t="s">
        <v>1246</v>
      </c>
      <c r="L3509" s="4">
        <v>44720</v>
      </c>
      <c r="M3509" s="140">
        <v>320</v>
      </c>
      <c r="P3509" s="4" t="s">
        <v>291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2747</v>
      </c>
      <c r="B3510" s="114" t="str">
        <f>VLOOKUP(A3510,'Data pick slip'!B:F,5,FALSE)</f>
        <v>KHJ-MC200-00</v>
      </c>
      <c r="F3510" s="157" t="s">
        <v>1381</v>
      </c>
      <c r="I3510" s="269" t="s">
        <v>3414</v>
      </c>
      <c r="J3510" s="139" t="s">
        <v>3522</v>
      </c>
      <c r="K3510" s="51" t="s">
        <v>1246</v>
      </c>
      <c r="L3510" s="4">
        <v>44720</v>
      </c>
      <c r="M3510" s="140">
        <v>80</v>
      </c>
      <c r="P3510" s="4" t="s">
        <v>291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2748</v>
      </c>
      <c r="B3511" s="114" t="str">
        <f>VLOOKUP(A3511,'Data pick slip'!B:F,5,FALSE)</f>
        <v>KHJ-MC400-00</v>
      </c>
      <c r="F3511" s="157" t="s">
        <v>1381</v>
      </c>
      <c r="I3511" s="269" t="s">
        <v>3414</v>
      </c>
      <c r="J3511" s="139" t="s">
        <v>3522</v>
      </c>
      <c r="K3511" s="51" t="s">
        <v>1246</v>
      </c>
      <c r="L3511" s="4">
        <v>44720</v>
      </c>
      <c r="M3511" s="140">
        <v>20</v>
      </c>
      <c r="P3511" s="4" t="s">
        <v>291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2749</v>
      </c>
      <c r="B3512" s="114" t="str">
        <f>VLOOKUP(A3512,'Data pick slip'!B:F,5,FALSE)</f>
        <v>KHJ-MC500-00</v>
      </c>
      <c r="F3512" s="157" t="s">
        <v>1381</v>
      </c>
      <c r="I3512" s="269" t="s">
        <v>3414</v>
      </c>
      <c r="J3512" s="139" t="s">
        <v>3522</v>
      </c>
      <c r="K3512" s="51" t="s">
        <v>1246</v>
      </c>
      <c r="L3512" s="4">
        <v>44720</v>
      </c>
      <c r="M3512" s="140">
        <v>10</v>
      </c>
      <c r="P3512" s="4" t="s">
        <v>291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2755</v>
      </c>
      <c r="B3513" s="114" t="str">
        <f>VLOOKUP(A3513,'Data pick slip'!B:F,5,FALSE)</f>
        <v>KLJ-MC100-00</v>
      </c>
      <c r="F3513" s="157" t="s">
        <v>1381</v>
      </c>
      <c r="I3513" s="269" t="s">
        <v>3414</v>
      </c>
      <c r="J3513" s="139" t="s">
        <v>3522</v>
      </c>
      <c r="K3513" s="51" t="s">
        <v>1246</v>
      </c>
      <c r="L3513" s="4">
        <v>44720</v>
      </c>
      <c r="M3513" s="140">
        <v>30</v>
      </c>
      <c r="P3513" s="4" t="s">
        <v>291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2756</v>
      </c>
      <c r="B3514" s="114" t="str">
        <f>VLOOKUP(A3514,'Data pick slip'!B:F,5,FALSE)</f>
        <v>KLJ-MC200-00</v>
      </c>
      <c r="F3514" s="157" t="s">
        <v>1381</v>
      </c>
      <c r="I3514" s="269" t="s">
        <v>3414</v>
      </c>
      <c r="J3514" s="139" t="s">
        <v>3522</v>
      </c>
      <c r="K3514" s="51" t="s">
        <v>1246</v>
      </c>
      <c r="L3514" s="4">
        <v>44720</v>
      </c>
      <c r="M3514" s="140">
        <v>20</v>
      </c>
      <c r="P3514" s="4" t="s">
        <v>291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2744</v>
      </c>
      <c r="B3515" s="114" t="str">
        <f>VLOOKUP(A3515,'Data pick slip'!B:F,5,FALSE)</f>
        <v>KHJ-MC100-00</v>
      </c>
      <c r="F3515" s="157" t="s">
        <v>1381</v>
      </c>
      <c r="I3515" s="269" t="s">
        <v>3414</v>
      </c>
      <c r="J3515" s="139" t="s">
        <v>3523</v>
      </c>
      <c r="K3515" s="51" t="s">
        <v>1246</v>
      </c>
      <c r="L3515" s="4">
        <v>44721</v>
      </c>
      <c r="M3515" s="140">
        <v>260</v>
      </c>
      <c r="P3515" s="4" t="s">
        <v>291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2749</v>
      </c>
      <c r="B3516" s="114" t="str">
        <f>VLOOKUP(A3516,'Data pick slip'!B:F,5,FALSE)</f>
        <v>KHJ-MC500-00</v>
      </c>
      <c r="F3516" s="157" t="s">
        <v>1381</v>
      </c>
      <c r="I3516" s="269" t="s">
        <v>3414</v>
      </c>
      <c r="J3516" s="139" t="s">
        <v>3523</v>
      </c>
      <c r="K3516" s="51" t="s">
        <v>1246</v>
      </c>
      <c r="L3516" s="4">
        <v>44721</v>
      </c>
      <c r="M3516" s="140">
        <v>20</v>
      </c>
      <c r="P3516" s="4" t="s">
        <v>291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2744</v>
      </c>
      <c r="B3517" s="114" t="str">
        <f>VLOOKUP(A3517,'Data pick slip'!B:F,5,FALSE)</f>
        <v>KHJ-MC100-00</v>
      </c>
      <c r="F3517" s="157" t="s">
        <v>1381</v>
      </c>
      <c r="I3517" s="269" t="s">
        <v>3414</v>
      </c>
      <c r="J3517" s="139" t="s">
        <v>3524</v>
      </c>
      <c r="K3517" s="51" t="s">
        <v>1246</v>
      </c>
      <c r="L3517" s="4">
        <v>44728</v>
      </c>
      <c r="M3517" s="140">
        <v>280</v>
      </c>
      <c r="P3517" s="4" t="s">
        <v>291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2747</v>
      </c>
      <c r="B3518" s="114" t="str">
        <f>VLOOKUP(A3518,'Data pick slip'!B:F,5,FALSE)</f>
        <v>KHJ-MC200-00</v>
      </c>
      <c r="F3518" s="157" t="s">
        <v>1381</v>
      </c>
      <c r="I3518" s="269" t="s">
        <v>3414</v>
      </c>
      <c r="J3518" s="139" t="s">
        <v>3524</v>
      </c>
      <c r="K3518" s="51" t="s">
        <v>1246</v>
      </c>
      <c r="L3518" s="4">
        <v>44728</v>
      </c>
      <c r="M3518" s="140">
        <v>60</v>
      </c>
      <c r="P3518" s="4" t="s">
        <v>291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2750</v>
      </c>
      <c r="B3519" s="114" t="str">
        <f>VLOOKUP(A3519,'Data pick slip'!B:F,5,FALSE)</f>
        <v>KHJ-MC600-00</v>
      </c>
      <c r="F3519" s="157" t="s">
        <v>1381</v>
      </c>
      <c r="I3519" s="269" t="s">
        <v>3414</v>
      </c>
      <c r="J3519" s="139" t="s">
        <v>3524</v>
      </c>
      <c r="K3519" s="51" t="s">
        <v>1246</v>
      </c>
      <c r="L3519" s="4">
        <v>44728</v>
      </c>
      <c r="M3519" s="140">
        <v>20</v>
      </c>
      <c r="P3519" s="4" t="s">
        <v>291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2744</v>
      </c>
      <c r="B3520" s="114" t="str">
        <f>VLOOKUP(A3520,'Data pick slip'!B:F,5,FALSE)</f>
        <v>KHJ-MC100-00</v>
      </c>
      <c r="F3520" s="157" t="s">
        <v>1381</v>
      </c>
      <c r="H3520" s="138">
        <v>1690</v>
      </c>
      <c r="I3520" s="139" t="str">
        <f>VLOOKUP(H3520,Stock_list!A:R,18,FALSE)</f>
        <v>德天伟</v>
      </c>
      <c r="J3520" s="139" t="str">
        <f>VLOOKUP(H3520,Stock_list!A:S,17,FALSE)</f>
        <v>C49SZX20220042JY</v>
      </c>
      <c r="K3520" s="51" t="str">
        <f>VLOOKUP(H3520,Stock_list!A:T,16,FALSE)</f>
        <v>JPY</v>
      </c>
      <c r="L3520" s="4">
        <v>44861</v>
      </c>
      <c r="M3520" s="143">
        <v>20</v>
      </c>
      <c r="P3520" s="4" t="str">
        <f>VLOOKUP(H3520,Stock_list!A:Y,25,FALSE)</f>
        <v>Yes</v>
      </c>
      <c r="Q3520" s="143"/>
      <c r="T3520" s="144"/>
      <c r="U3520" s="145" t="str">
        <f>VLOOKUP(H3520,Stock_list!A:N,14,FALSE)</f>
        <v>OCT 22</v>
      </c>
    </row>
    <row r="3521" spans="1:21" ht="16.5" customHeight="1">
      <c r="A3521" s="159" t="s">
        <v>2747</v>
      </c>
      <c r="B3521" s="114" t="str">
        <f>VLOOKUP(A3521,'Data pick slip'!B:F,5,FALSE)</f>
        <v>KHJ-MC200-00</v>
      </c>
      <c r="F3521" s="157" t="s">
        <v>1381</v>
      </c>
      <c r="H3521" s="138">
        <v>1690</v>
      </c>
      <c r="I3521" s="139" t="str">
        <f>VLOOKUP(H3521,Stock_list!A:R,18,FALSE)</f>
        <v>德天伟</v>
      </c>
      <c r="J3521" s="139" t="str">
        <f>VLOOKUP(H3521,Stock_list!A:S,17,FALSE)</f>
        <v>C49SZX20220042JY</v>
      </c>
      <c r="K3521" s="51" t="str">
        <f>VLOOKUP(H3521,Stock_list!A:T,16,FALSE)</f>
        <v>JPY</v>
      </c>
      <c r="L3521" s="4">
        <v>44861</v>
      </c>
      <c r="M3521" s="143">
        <v>2</v>
      </c>
      <c r="P3521" s="4" t="str">
        <f>VLOOKUP(H3521,Stock_list!A:Y,25,FALSE)</f>
        <v>Yes</v>
      </c>
      <c r="Q3521" s="143"/>
      <c r="T3521" s="144"/>
      <c r="U3521" s="145" t="str">
        <f>VLOOKUP(H3521,Stock_list!A:N,14,FALSE)</f>
        <v>OCT 22</v>
      </c>
    </row>
    <row r="3522" spans="1:21" ht="16.5" customHeight="1">
      <c r="A3522" s="159" t="s">
        <v>2748</v>
      </c>
      <c r="B3522" s="114" t="str">
        <f>VLOOKUP(A3522,'Data pick slip'!B:F,5,FALSE)</f>
        <v>KHJ-MC400-00</v>
      </c>
      <c r="F3522" s="157" t="s">
        <v>1381</v>
      </c>
      <c r="H3522" s="138">
        <v>1690</v>
      </c>
      <c r="I3522" s="139" t="str">
        <f>VLOOKUP(H3522,Stock_list!A:R,18,FALSE)</f>
        <v>德天伟</v>
      </c>
      <c r="J3522" s="139" t="str">
        <f>VLOOKUP(H3522,Stock_list!A:S,17,FALSE)</f>
        <v>C49SZX20220042JY</v>
      </c>
      <c r="K3522" s="51" t="str">
        <f>VLOOKUP(H3522,Stock_list!A:T,16,FALSE)</f>
        <v>JPY</v>
      </c>
      <c r="L3522" s="4">
        <v>44861</v>
      </c>
      <c r="M3522" s="143">
        <v>1</v>
      </c>
      <c r="P3522" s="4" t="str">
        <f>VLOOKUP(H3522,Stock_list!A:Y,25,FALSE)</f>
        <v>Yes</v>
      </c>
      <c r="Q3522" s="143"/>
      <c r="T3522" s="144"/>
      <c r="U3522" s="145" t="str">
        <f>VLOOKUP(H3522,Stock_list!A:N,14,FALSE)</f>
        <v>OCT 22</v>
      </c>
    </row>
    <row r="3523" spans="1:21" ht="16.5" customHeight="1">
      <c r="A3523" s="159" t="s">
        <v>2744</v>
      </c>
      <c r="B3523" s="114" t="str">
        <f>VLOOKUP(A3523,'Data pick slip'!B:F,5,FALSE)</f>
        <v>KHJ-MC100-00</v>
      </c>
      <c r="F3523" s="157" t="s">
        <v>2773</v>
      </c>
      <c r="H3523" s="138">
        <v>1691</v>
      </c>
      <c r="I3523" s="139" t="str">
        <f>VLOOKUP(H3523,Stock_list!A:R,18,FALSE)</f>
        <v>柏星</v>
      </c>
      <c r="J3523" s="139" t="str">
        <f>VLOOKUP(H3523,Stock_list!A:S,17,FALSE)</f>
        <v>C49SZX20220075SX</v>
      </c>
      <c r="K3523" s="51" t="str">
        <f>VLOOKUP(H3523,Stock_list!A:T,16,FALSE)</f>
        <v>RMB</v>
      </c>
      <c r="L3523" s="4">
        <v>44746</v>
      </c>
      <c r="M3523" s="140">
        <v>15</v>
      </c>
      <c r="P3523" s="4" t="str">
        <f>VLOOKUP(H3523,Stock_list!A:Y,25,FALSE)</f>
        <v>Yes</v>
      </c>
      <c r="Q3523" s="143"/>
      <c r="T3523" s="144"/>
      <c r="U3523" s="145" t="str">
        <f>VLOOKUP(H3523,Stock_list!A:N,14,FALSE)</f>
        <v>JUL 22</v>
      </c>
    </row>
    <row r="3524" spans="1:21" ht="16.5" customHeight="1">
      <c r="A3524" s="159" t="s">
        <v>2747</v>
      </c>
      <c r="B3524" s="114" t="str">
        <f>VLOOKUP(A3524,'Data pick slip'!B:F,5,FALSE)</f>
        <v>KHJ-MC200-00</v>
      </c>
      <c r="F3524" s="157" t="s">
        <v>2773</v>
      </c>
      <c r="H3524" s="138">
        <v>1691</v>
      </c>
      <c r="I3524" s="139" t="str">
        <f>VLOOKUP(H3524,Stock_list!A:R,18,FALSE)</f>
        <v>柏星</v>
      </c>
      <c r="J3524" s="139" t="str">
        <f>VLOOKUP(H3524,Stock_list!A:S,17,FALSE)</f>
        <v>C49SZX20220075SX</v>
      </c>
      <c r="K3524" s="51" t="str">
        <f>VLOOKUP(H3524,Stock_list!A:T,16,FALSE)</f>
        <v>RMB</v>
      </c>
      <c r="L3524" s="4">
        <v>44746</v>
      </c>
      <c r="M3524" s="140">
        <v>10</v>
      </c>
      <c r="P3524" s="4" t="str">
        <f>VLOOKUP(H3524,Stock_list!A:Y,25,FALSE)</f>
        <v>Yes</v>
      </c>
      <c r="Q3524" s="143"/>
      <c r="T3524" s="144"/>
      <c r="U3524" s="145" t="str">
        <f>VLOOKUP(H3524,Stock_list!A:N,14,FALSE)</f>
        <v>JUL 22</v>
      </c>
    </row>
    <row r="3525" spans="1:21" ht="16.5" customHeight="1">
      <c r="A3525" s="159" t="s">
        <v>2748</v>
      </c>
      <c r="B3525" s="114" t="str">
        <f>VLOOKUP(A3525,'Data pick slip'!B:F,5,FALSE)</f>
        <v>KHJ-MC400-00</v>
      </c>
      <c r="F3525" s="157" t="s">
        <v>2773</v>
      </c>
      <c r="H3525" s="138">
        <v>1691</v>
      </c>
      <c r="I3525" s="139" t="str">
        <f>VLOOKUP(H3525,Stock_list!A:R,18,FALSE)</f>
        <v>柏星</v>
      </c>
      <c r="J3525" s="139" t="str">
        <f>VLOOKUP(H3525,Stock_list!A:S,17,FALSE)</f>
        <v>C49SZX20220075SX</v>
      </c>
      <c r="K3525" s="51" t="str">
        <f>VLOOKUP(H3525,Stock_list!A:T,16,FALSE)</f>
        <v>RMB</v>
      </c>
      <c r="L3525" s="4">
        <v>44746</v>
      </c>
      <c r="M3525" s="140">
        <v>4</v>
      </c>
      <c r="P3525" s="4" t="str">
        <f>VLOOKUP(H3525,Stock_list!A:Y,25,FALSE)</f>
        <v>Yes</v>
      </c>
      <c r="Q3525" s="143"/>
      <c r="T3525" s="144"/>
      <c r="U3525" s="145" t="str">
        <f>VLOOKUP(H3525,Stock_list!A:N,14,FALSE)</f>
        <v>JUL 22</v>
      </c>
    </row>
    <row r="3526" spans="1:21" ht="16.5" customHeight="1">
      <c r="A3526" s="159" t="s">
        <v>2744</v>
      </c>
      <c r="B3526" s="114" t="str">
        <f>VLOOKUP(A3526,'Data pick slip'!B:F,5,FALSE)</f>
        <v>KHJ-MC100-00</v>
      </c>
      <c r="F3526" s="157" t="s">
        <v>1381</v>
      </c>
      <c r="H3526" s="138">
        <v>959</v>
      </c>
      <c r="I3526" s="139" t="str">
        <f>VLOOKUP(H3526,Stock_list!A:R,18,FALSE)</f>
        <v>音品（End user:厚朴）</v>
      </c>
      <c r="J3526" s="139" t="str">
        <f>VLOOKUP(H3526,Stock_list!A:S,17,FALSE)</f>
        <v>C49SZX20200213MX</v>
      </c>
      <c r="K3526" s="51" t="str">
        <f>VLOOKUP(H3526,Stock_list!A:T,16,FALSE)</f>
        <v>JPY</v>
      </c>
      <c r="L3526" s="4">
        <v>44737</v>
      </c>
      <c r="M3526" s="140">
        <v>13</v>
      </c>
      <c r="P3526" s="4" t="str">
        <f>VLOOKUP(H3526,Stock_list!A:Y,25,FALSE)</f>
        <v>Yes</v>
      </c>
      <c r="Q3526" s="143"/>
      <c r="T3526" s="144"/>
      <c r="U3526" s="145" t="str">
        <f>VLOOKUP(H3526,Stock_list!A:N,14,FALSE)</f>
        <v>FEB 21</v>
      </c>
    </row>
    <row r="3527" spans="1:21" ht="16.5" customHeight="1">
      <c r="A3527" s="159" t="s">
        <v>2744</v>
      </c>
      <c r="B3527" s="114" t="str">
        <f>VLOOKUP(A3527,'Data pick slip'!B:F,5,FALSE)</f>
        <v>KHJ-MC100-00</v>
      </c>
      <c r="F3527" s="157" t="s">
        <v>2773</v>
      </c>
      <c r="H3527" s="138">
        <v>1695</v>
      </c>
      <c r="I3527" s="139" t="str">
        <f>VLOOKUP(H3527,Stock_list!A:R,18,FALSE)</f>
        <v>世启纳</v>
      </c>
      <c r="J3527" s="139" t="str">
        <f>VLOOKUP(H3527,Stock_list!A:S,17,FALSE)</f>
        <v>C49SZX20220077SS</v>
      </c>
      <c r="K3527" s="51" t="str">
        <f>VLOOKUP(H3527,Stock_list!A:T,16,FALSE)</f>
        <v>RMB</v>
      </c>
      <c r="L3527" s="4">
        <v>44760</v>
      </c>
      <c r="M3527" s="140">
        <v>2</v>
      </c>
      <c r="P3527" s="4" t="str">
        <f>VLOOKUP(H3527,Stock_list!A:Y,25,FALSE)</f>
        <v>Yes</v>
      </c>
      <c r="Q3527" s="143"/>
      <c r="T3527" s="144"/>
      <c r="U3527" s="145" t="str">
        <f>VLOOKUP(H3527,Stock_list!A:N,14,FALSE)</f>
        <v>JUL 22</v>
      </c>
    </row>
    <row r="3528" spans="1:21" ht="16.5" customHeight="1">
      <c r="A3528" s="159" t="s">
        <v>2744</v>
      </c>
      <c r="B3528" s="114" t="str">
        <f>VLOOKUP(A3528,'Data pick slip'!B:F,5,FALSE)</f>
        <v>KHJ-MC100-00</v>
      </c>
      <c r="F3528" s="157" t="s">
        <v>1381</v>
      </c>
      <c r="I3528" s="269" t="s">
        <v>3414</v>
      </c>
      <c r="J3528" s="139" t="s">
        <v>3525</v>
      </c>
      <c r="K3528" s="51" t="s">
        <v>1246</v>
      </c>
      <c r="L3528" s="4">
        <v>44740</v>
      </c>
      <c r="M3528" s="140">
        <v>240</v>
      </c>
      <c r="P3528" s="4" t="s">
        <v>291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2747</v>
      </c>
      <c r="B3529" s="114" t="str">
        <f>VLOOKUP(A3529,'Data pick slip'!B:F,5,FALSE)</f>
        <v>KHJ-MC200-00</v>
      </c>
      <c r="F3529" s="157" t="s">
        <v>1381</v>
      </c>
      <c r="I3529" s="269" t="s">
        <v>3414</v>
      </c>
      <c r="J3529" s="139" t="s">
        <v>3525</v>
      </c>
      <c r="K3529" s="51" t="s">
        <v>1246</v>
      </c>
      <c r="L3529" s="4">
        <v>44740</v>
      </c>
      <c r="M3529" s="140">
        <v>20</v>
      </c>
      <c r="P3529" s="4" t="s">
        <v>291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2748</v>
      </c>
      <c r="B3530" s="114" t="str">
        <f>VLOOKUP(A3530,'Data pick slip'!B:F,5,FALSE)</f>
        <v>KHJ-MC400-00</v>
      </c>
      <c r="F3530" s="157" t="s">
        <v>1381</v>
      </c>
      <c r="I3530" s="269" t="s">
        <v>3414</v>
      </c>
      <c r="J3530" s="139" t="s">
        <v>3525</v>
      </c>
      <c r="K3530" s="51" t="s">
        <v>1246</v>
      </c>
      <c r="L3530" s="4">
        <v>44740</v>
      </c>
      <c r="M3530" s="140">
        <v>12</v>
      </c>
      <c r="P3530" s="4" t="s">
        <v>291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2747</v>
      </c>
      <c r="B3531" s="114" t="str">
        <f>VLOOKUP(A3531,'Data pick slip'!B:F,5,FALSE)</f>
        <v>KHJ-MC200-00</v>
      </c>
      <c r="F3531" s="157" t="s">
        <v>2762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2748</v>
      </c>
      <c r="B3532" s="114" t="str">
        <f>VLOOKUP(A3532,'Data pick slip'!B:F,5,FALSE)</f>
        <v>KHJ-MC400-00</v>
      </c>
      <c r="F3532" s="157" t="s">
        <v>2762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2749</v>
      </c>
      <c r="B3533" s="114" t="str">
        <f>VLOOKUP(A3533,'Data pick slip'!B:F,5,FALSE)</f>
        <v>KHJ-MC500-00</v>
      </c>
      <c r="F3533" s="157" t="s">
        <v>2762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2744</v>
      </c>
      <c r="B3534" s="114" t="str">
        <f>VLOOKUP(A3534,'Data pick slip'!B:F,5,FALSE)</f>
        <v>KHJ-MC100-00</v>
      </c>
      <c r="F3534" s="157" t="s">
        <v>2773</v>
      </c>
      <c r="H3534" s="138">
        <v>1699</v>
      </c>
      <c r="I3534" s="139" t="str">
        <f>VLOOKUP(H3534,Stock_list!A:R,18,FALSE)</f>
        <v>铭翔</v>
      </c>
      <c r="J3534" s="139" t="str">
        <f>VLOOKUP(H3534,Stock_list!A:S,17,FALSE)</f>
        <v>C49SZX20220079JL</v>
      </c>
      <c r="K3534" s="51" t="str">
        <f>VLOOKUP(H3534,Stock_list!A:T,16,FALSE)</f>
        <v>RMB</v>
      </c>
      <c r="L3534" s="326">
        <v>44827</v>
      </c>
      <c r="M3534" s="140">
        <v>20</v>
      </c>
      <c r="P3534" s="4" t="str">
        <f>VLOOKUP(H3534,Stock_list!A:Y,25,FALSE)</f>
        <v>Yes</v>
      </c>
      <c r="Q3534" s="143"/>
      <c r="T3534" s="144"/>
      <c r="U3534" s="145" t="str">
        <f>VLOOKUP(H3534,Stock_list!A:N,14,FALSE)</f>
        <v>SEP 22</v>
      </c>
    </row>
    <row r="3535" spans="1:21" ht="16.5" customHeight="1">
      <c r="A3535" s="159" t="s">
        <v>2747</v>
      </c>
      <c r="B3535" s="114" t="str">
        <f>VLOOKUP(A3535,'Data pick slip'!B:F,5,FALSE)</f>
        <v>KHJ-MC200-00</v>
      </c>
      <c r="F3535" s="157" t="s">
        <v>2773</v>
      </c>
      <c r="H3535" s="138">
        <v>1699</v>
      </c>
      <c r="I3535" s="139" t="str">
        <f>VLOOKUP(H3535,Stock_list!A:R,18,FALSE)</f>
        <v>铭翔</v>
      </c>
      <c r="J3535" s="139" t="str">
        <f>VLOOKUP(H3535,Stock_list!A:S,17,FALSE)</f>
        <v>C49SZX20220079JL</v>
      </c>
      <c r="K3535" s="51" t="str">
        <f>VLOOKUP(H3535,Stock_list!A:T,16,FALSE)</f>
        <v>RMB</v>
      </c>
      <c r="L3535" s="326">
        <v>44827</v>
      </c>
      <c r="M3535" s="140">
        <v>10</v>
      </c>
      <c r="P3535" s="4" t="str">
        <f>VLOOKUP(H3535,Stock_list!A:Y,25,FALSE)</f>
        <v>Yes</v>
      </c>
      <c r="Q3535" s="143"/>
      <c r="T3535" s="144"/>
      <c r="U3535" s="145" t="str">
        <f>VLOOKUP(H3535,Stock_list!A:N,14,FALSE)</f>
        <v>SEP 22</v>
      </c>
    </row>
    <row r="3536" spans="1:21" ht="16.5" customHeight="1">
      <c r="A3536" s="159" t="s">
        <v>2744</v>
      </c>
      <c r="B3536" s="114" t="str">
        <f>VLOOKUP(A3536,'Data pick slip'!B:F,5,FALSE)</f>
        <v>KHJ-MC100-00</v>
      </c>
      <c r="F3536" s="157" t="s">
        <v>1381</v>
      </c>
      <c r="H3536" s="138">
        <v>1701</v>
      </c>
      <c r="I3536" s="139" t="str">
        <f>VLOOKUP(H3536,Stock_list!A:R,18,FALSE)</f>
        <v>朗特</v>
      </c>
      <c r="J3536" s="139" t="str">
        <f>VLOOKUP(H3536,Stock_list!A:S,17,FALSE)</f>
        <v>C49SZX20220073DZ</v>
      </c>
      <c r="K3536" s="51" t="str">
        <f>VLOOKUP(H3536,Stock_list!A:T,16,FALSE)</f>
        <v>JPY</v>
      </c>
      <c r="L3536" s="4">
        <v>44777</v>
      </c>
      <c r="M3536" s="140">
        <v>260</v>
      </c>
      <c r="N3536" s="143"/>
      <c r="P3536" s="4" t="str">
        <f>VLOOKUP(H3536,Stock_list!A:Y,25,FALSE)</f>
        <v>Yes</v>
      </c>
      <c r="T3536" s="144"/>
      <c r="U3536" s="145" t="str">
        <f>VLOOKUP(H3536,Stock_list!A:N,14,FALSE)</f>
        <v>AUG 22</v>
      </c>
    </row>
    <row r="3537" spans="1:21" ht="16.5" customHeight="1">
      <c r="A3537" s="159" t="s">
        <v>2747</v>
      </c>
      <c r="B3537" s="114" t="str">
        <f>VLOOKUP(A3537,'Data pick slip'!B:F,5,FALSE)</f>
        <v>KHJ-MC200-00</v>
      </c>
      <c r="F3537" s="157" t="s">
        <v>1381</v>
      </c>
      <c r="H3537" s="138">
        <v>1701</v>
      </c>
      <c r="I3537" s="139" t="str">
        <f>VLOOKUP(H3537,Stock_list!A:R,18,FALSE)</f>
        <v>朗特</v>
      </c>
      <c r="J3537" s="139" t="str">
        <f>VLOOKUP(H3537,Stock_list!A:S,17,FALSE)</f>
        <v>C49SZX20220073DZ</v>
      </c>
      <c r="K3537" s="51" t="str">
        <f>VLOOKUP(H3537,Stock_list!A:T,16,FALSE)</f>
        <v>JPY</v>
      </c>
      <c r="L3537" s="4">
        <v>44777</v>
      </c>
      <c r="M3537" s="140">
        <v>60</v>
      </c>
      <c r="N3537" s="143"/>
      <c r="P3537" s="4" t="str">
        <f>VLOOKUP(H3537,Stock_list!A:Y,25,FALSE)</f>
        <v>Yes</v>
      </c>
      <c r="T3537" s="144"/>
      <c r="U3537" s="145" t="str">
        <f>VLOOKUP(H3537,Stock_list!A:N,14,FALSE)</f>
        <v>AUG 22</v>
      </c>
    </row>
    <row r="3538" spans="1:21" ht="16.5" customHeight="1">
      <c r="A3538" s="159" t="s">
        <v>2748</v>
      </c>
      <c r="B3538" s="114" t="str">
        <f>VLOOKUP(A3538,'Data pick slip'!B:F,5,FALSE)</f>
        <v>KHJ-MC400-00</v>
      </c>
      <c r="F3538" s="157" t="s">
        <v>1381</v>
      </c>
      <c r="H3538" s="138">
        <v>1701</v>
      </c>
      <c r="I3538" s="139" t="str">
        <f>VLOOKUP(H3538,Stock_list!A:R,18,FALSE)</f>
        <v>朗特</v>
      </c>
      <c r="J3538" s="139" t="str">
        <f>VLOOKUP(H3538,Stock_list!A:S,17,FALSE)</f>
        <v>C49SZX20220073DZ</v>
      </c>
      <c r="K3538" s="51" t="str">
        <f>VLOOKUP(H3538,Stock_list!A:T,16,FALSE)</f>
        <v>JPY</v>
      </c>
      <c r="L3538" s="4">
        <v>44777</v>
      </c>
      <c r="M3538" s="140">
        <v>30</v>
      </c>
      <c r="N3538" s="143"/>
      <c r="P3538" s="4" t="str">
        <f>VLOOKUP(H3538,Stock_list!A:Y,25,FALSE)</f>
        <v>Yes</v>
      </c>
      <c r="T3538" s="144"/>
      <c r="U3538" s="145" t="str">
        <f>VLOOKUP(H3538,Stock_list!A:N,14,FALSE)</f>
        <v>AUG 22</v>
      </c>
    </row>
    <row r="3539" spans="1:21" ht="16.5" customHeight="1">
      <c r="A3539" s="159" t="s">
        <v>2749</v>
      </c>
      <c r="B3539" s="114" t="str">
        <f>VLOOKUP(A3539,'Data pick slip'!B:F,5,FALSE)</f>
        <v>KHJ-MC500-00</v>
      </c>
      <c r="F3539" s="157" t="s">
        <v>1381</v>
      </c>
      <c r="H3539" s="138">
        <v>1701</v>
      </c>
      <c r="I3539" s="139" t="str">
        <f>VLOOKUP(H3539,Stock_list!A:R,18,FALSE)</f>
        <v>朗特</v>
      </c>
      <c r="J3539" s="139" t="str">
        <f>VLOOKUP(H3539,Stock_list!A:S,17,FALSE)</f>
        <v>C49SZX20220073DZ</v>
      </c>
      <c r="K3539" s="51" t="str">
        <f>VLOOKUP(H3539,Stock_list!A:T,16,FALSE)</f>
        <v>JPY</v>
      </c>
      <c r="L3539" s="4">
        <v>44777</v>
      </c>
      <c r="M3539" s="140">
        <v>12</v>
      </c>
      <c r="N3539" s="143"/>
      <c r="P3539" s="4" t="str">
        <f>VLOOKUP(H3539,Stock_list!A:Y,25,FALSE)</f>
        <v>Yes</v>
      </c>
      <c r="T3539" s="144"/>
      <c r="U3539" s="145" t="str">
        <f>VLOOKUP(H3539,Stock_list!A:N,14,FALSE)</f>
        <v>AUG 22</v>
      </c>
    </row>
    <row r="3540" spans="1:21" ht="16.5" customHeight="1">
      <c r="A3540" s="159" t="s">
        <v>2750</v>
      </c>
      <c r="B3540" s="114" t="str">
        <f>VLOOKUP(A3540,'Data pick slip'!B:F,5,FALSE)</f>
        <v>KHJ-MC600-00</v>
      </c>
      <c r="F3540" s="157" t="s">
        <v>1381</v>
      </c>
      <c r="H3540" s="138">
        <v>1701</v>
      </c>
      <c r="I3540" s="139" t="str">
        <f>VLOOKUP(H3540,Stock_list!A:R,18,FALSE)</f>
        <v>朗特</v>
      </c>
      <c r="J3540" s="139" t="str">
        <f>VLOOKUP(H3540,Stock_list!A:S,17,FALSE)</f>
        <v>C49SZX20220073DZ</v>
      </c>
      <c r="K3540" s="51" t="str">
        <f>VLOOKUP(H3540,Stock_list!A:T,16,FALSE)</f>
        <v>JPY</v>
      </c>
      <c r="L3540" s="4">
        <v>44777</v>
      </c>
      <c r="M3540" s="140">
        <v>4</v>
      </c>
      <c r="N3540" s="143"/>
      <c r="P3540" s="4" t="str">
        <f>VLOOKUP(H3540,Stock_list!A:Y,25,FALSE)</f>
        <v>Yes</v>
      </c>
      <c r="T3540" s="144"/>
      <c r="U3540" s="145" t="str">
        <f>VLOOKUP(H3540,Stock_list!A:N,14,FALSE)</f>
        <v>AUG 22</v>
      </c>
    </row>
    <row r="3541" spans="1:21" ht="16.5" customHeight="1">
      <c r="A3541" s="159" t="s">
        <v>2744</v>
      </c>
      <c r="B3541" s="114" t="str">
        <f>VLOOKUP(A3541,'Data pick slip'!B:F,5,FALSE)</f>
        <v>KHJ-MC100-00</v>
      </c>
      <c r="F3541" s="157" t="s">
        <v>1381</v>
      </c>
      <c r="I3541" s="139" t="s">
        <v>2854</v>
      </c>
      <c r="J3541" s="139" t="s">
        <v>3526</v>
      </c>
      <c r="K3541" s="51" t="s">
        <v>3527</v>
      </c>
      <c r="L3541" s="4">
        <v>44755</v>
      </c>
      <c r="M3541" s="140">
        <v>5</v>
      </c>
      <c r="P3541" s="4" t="s">
        <v>291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2744</v>
      </c>
      <c r="B3542" s="114" t="str">
        <f>VLOOKUP(A3542,'Data pick slip'!B:F,5,FALSE)</f>
        <v>KHJ-MC100-00</v>
      </c>
      <c r="F3542" s="157" t="s">
        <v>1381</v>
      </c>
      <c r="I3542" s="269" t="s">
        <v>3414</v>
      </c>
      <c r="J3542" s="139" t="s">
        <v>2990</v>
      </c>
      <c r="K3542" s="51" t="s">
        <v>1246</v>
      </c>
      <c r="L3542" s="4">
        <v>44746</v>
      </c>
      <c r="M3542" s="140">
        <v>755</v>
      </c>
      <c r="P3542" s="4" t="s">
        <v>291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2747</v>
      </c>
      <c r="B3543" s="114" t="str">
        <f>VLOOKUP(A3543,'Data pick slip'!B:F,5,FALSE)</f>
        <v>KHJ-MC200-00</v>
      </c>
      <c r="F3543" s="157" t="s">
        <v>1381</v>
      </c>
      <c r="I3543" s="269" t="s">
        <v>3414</v>
      </c>
      <c r="J3543" s="139" t="s">
        <v>2990</v>
      </c>
      <c r="K3543" s="51" t="s">
        <v>1246</v>
      </c>
      <c r="L3543" s="4">
        <v>44746</v>
      </c>
      <c r="M3543" s="140">
        <v>75</v>
      </c>
      <c r="P3543" s="4" t="s">
        <v>291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2755</v>
      </c>
      <c r="B3544" s="114" t="str">
        <f>VLOOKUP(A3544,'Data pick slip'!B:F,5,FALSE)</f>
        <v>KLJ-MC100-00</v>
      </c>
      <c r="F3544" s="157" t="s">
        <v>1381</v>
      </c>
      <c r="I3544" s="269" t="s">
        <v>3414</v>
      </c>
      <c r="J3544" s="139" t="s">
        <v>2990</v>
      </c>
      <c r="K3544" s="51" t="s">
        <v>1246</v>
      </c>
      <c r="L3544" s="4">
        <v>44746</v>
      </c>
      <c r="M3544" s="140">
        <v>280</v>
      </c>
      <c r="P3544" s="4" t="s">
        <v>291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2756</v>
      </c>
      <c r="B3545" s="114" t="str">
        <f>VLOOKUP(A3545,'Data pick slip'!B:F,5,FALSE)</f>
        <v>KLJ-MC200-00</v>
      </c>
      <c r="F3545" s="157" t="s">
        <v>1381</v>
      </c>
      <c r="I3545" s="269" t="s">
        <v>3414</v>
      </c>
      <c r="J3545" s="139" t="s">
        <v>2990</v>
      </c>
      <c r="K3545" s="51" t="s">
        <v>1246</v>
      </c>
      <c r="L3545" s="4">
        <v>44746</v>
      </c>
      <c r="M3545" s="140">
        <v>60</v>
      </c>
      <c r="P3545" s="4" t="s">
        <v>291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2758</v>
      </c>
      <c r="B3546" s="114" t="str">
        <f>VLOOKUP(A3546,'Data pick slip'!B:F,5,FALSE)</f>
        <v>KLJ-MC500-00</v>
      </c>
      <c r="F3546" s="157" t="s">
        <v>1381</v>
      </c>
      <c r="I3546" s="269" t="s">
        <v>3414</v>
      </c>
      <c r="J3546" s="139" t="s">
        <v>2990</v>
      </c>
      <c r="K3546" s="51" t="s">
        <v>1246</v>
      </c>
      <c r="L3546" s="4">
        <v>44746</v>
      </c>
      <c r="M3546" s="140">
        <v>20</v>
      </c>
      <c r="P3546" s="4" t="s">
        <v>291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2744</v>
      </c>
      <c r="B3547" s="114" t="str">
        <f>VLOOKUP(A3547,'Data pick slip'!B:F,5,FALSE)</f>
        <v>KHJ-MC100-00</v>
      </c>
      <c r="F3547" s="157" t="s">
        <v>1381</v>
      </c>
      <c r="I3547" s="269" t="s">
        <v>3414</v>
      </c>
      <c r="J3547" s="139" t="s">
        <v>2991</v>
      </c>
      <c r="K3547" s="51" t="s">
        <v>1246</v>
      </c>
      <c r="L3547" s="4">
        <v>44750</v>
      </c>
      <c r="M3547" s="140">
        <v>445</v>
      </c>
      <c r="P3547" s="4" t="s">
        <v>291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2747</v>
      </c>
      <c r="B3548" s="114" t="str">
        <f>VLOOKUP(A3548,'Data pick slip'!B:F,5,FALSE)</f>
        <v>KHJ-MC200-00</v>
      </c>
      <c r="F3548" s="157" t="s">
        <v>1381</v>
      </c>
      <c r="I3548" s="269" t="s">
        <v>3414</v>
      </c>
      <c r="J3548" s="139" t="s">
        <v>2991</v>
      </c>
      <c r="K3548" s="51" t="s">
        <v>1246</v>
      </c>
      <c r="L3548" s="4">
        <v>44750</v>
      </c>
      <c r="M3548" s="140">
        <v>70</v>
      </c>
      <c r="P3548" s="4" t="s">
        <v>291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2748</v>
      </c>
      <c r="B3549" s="114" t="str">
        <f>VLOOKUP(A3549,'Data pick slip'!B:F,5,FALSE)</f>
        <v>KHJ-MC400-00</v>
      </c>
      <c r="F3549" s="157" t="s">
        <v>1381</v>
      </c>
      <c r="I3549" s="269" t="s">
        <v>3414</v>
      </c>
      <c r="J3549" s="139" t="s">
        <v>2991</v>
      </c>
      <c r="K3549" s="51" t="s">
        <v>1246</v>
      </c>
      <c r="L3549" s="4">
        <v>44750</v>
      </c>
      <c r="M3549" s="140">
        <v>51</v>
      </c>
      <c r="P3549" s="4" t="s">
        <v>291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2749</v>
      </c>
      <c r="B3550" s="114" t="str">
        <f>VLOOKUP(A3550,'Data pick slip'!B:F,5,FALSE)</f>
        <v>KHJ-MC500-00</v>
      </c>
      <c r="F3550" s="157" t="s">
        <v>1381</v>
      </c>
      <c r="I3550" s="269" t="s">
        <v>3414</v>
      </c>
      <c r="J3550" s="139" t="s">
        <v>2991</v>
      </c>
      <c r="K3550" s="51" t="s">
        <v>1246</v>
      </c>
      <c r="L3550" s="4">
        <v>44750</v>
      </c>
      <c r="M3550" s="140">
        <v>18</v>
      </c>
      <c r="P3550" s="4" t="s">
        <v>291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2750</v>
      </c>
      <c r="B3551" s="114" t="str">
        <f>VLOOKUP(A3551,'Data pick slip'!B:F,5,FALSE)</f>
        <v>KHJ-MC600-00</v>
      </c>
      <c r="F3551" s="157" t="s">
        <v>1381</v>
      </c>
      <c r="I3551" s="269" t="s">
        <v>3414</v>
      </c>
      <c r="J3551" s="139" t="s">
        <v>2991</v>
      </c>
      <c r="K3551" s="51" t="s">
        <v>1246</v>
      </c>
      <c r="L3551" s="4">
        <v>44750</v>
      </c>
      <c r="M3551" s="140">
        <v>6</v>
      </c>
      <c r="P3551" s="4" t="s">
        <v>291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2757</v>
      </c>
      <c r="B3552" s="114" t="str">
        <f>VLOOKUP(A3552,'Data pick slip'!B:F,5,FALSE)</f>
        <v>KLJ-MC400-00</v>
      </c>
      <c r="F3552" s="157" t="s">
        <v>1381</v>
      </c>
      <c r="I3552" s="269" t="s">
        <v>3414</v>
      </c>
      <c r="J3552" s="139" t="s">
        <v>2991</v>
      </c>
      <c r="K3552" s="51" t="s">
        <v>1246</v>
      </c>
      <c r="L3552" s="4">
        <v>44750</v>
      </c>
      <c r="M3552" s="140">
        <v>36</v>
      </c>
      <c r="P3552" s="4" t="s">
        <v>291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2744</v>
      </c>
      <c r="B3553" s="114" t="str">
        <f>VLOOKUP(A3553,'Data pick slip'!B:F,5,FALSE)</f>
        <v>KHJ-MC100-00</v>
      </c>
      <c r="F3553" s="157" t="s">
        <v>2753</v>
      </c>
      <c r="H3553" s="138">
        <v>1709</v>
      </c>
      <c r="I3553" s="139" t="str">
        <f>VLOOKUP(H3553,Stock_list!A:R,18,FALSE)</f>
        <v>顺禾</v>
      </c>
      <c r="J3553" s="139" t="str">
        <f>VLOOKUP(H3553,Stock_list!A:S,17,FALSE)</f>
        <v>C49SZX20220080JY</v>
      </c>
      <c r="K3553" s="51" t="str">
        <f>VLOOKUP(H3553,Stock_list!A:T,16,FALSE)</f>
        <v>RMB</v>
      </c>
      <c r="L3553" s="4">
        <v>44785</v>
      </c>
      <c r="M3553" s="140">
        <v>28</v>
      </c>
      <c r="P3553" s="4" t="str">
        <f>VLOOKUP(H3553,Stock_list!A:Y,25,FALSE)</f>
        <v>Yes</v>
      </c>
      <c r="Q3553" s="143"/>
      <c r="T3553" s="144"/>
      <c r="U3553" s="145" t="str">
        <f>VLOOKUP(H3553,Stock_list!A:N,14,FALSE)</f>
        <v>AUG 22</v>
      </c>
    </row>
    <row r="3554" spans="1:21" ht="16.5" customHeight="1">
      <c r="A3554" s="159" t="s">
        <v>2747</v>
      </c>
      <c r="B3554" s="114" t="str">
        <f>VLOOKUP(A3554,'Data pick slip'!B:F,5,FALSE)</f>
        <v>KHJ-MC200-00</v>
      </c>
      <c r="F3554" s="157" t="s">
        <v>2753</v>
      </c>
      <c r="H3554" s="138">
        <v>1709</v>
      </c>
      <c r="I3554" s="139" t="str">
        <f>VLOOKUP(H3554,Stock_list!A:R,18,FALSE)</f>
        <v>顺禾</v>
      </c>
      <c r="J3554" s="139" t="str">
        <f>VLOOKUP(H3554,Stock_list!A:S,17,FALSE)</f>
        <v>C49SZX20220080JY</v>
      </c>
      <c r="K3554" s="51" t="str">
        <f>VLOOKUP(H3554,Stock_list!A:T,16,FALSE)</f>
        <v>RMB</v>
      </c>
      <c r="L3554" s="4">
        <v>44785</v>
      </c>
      <c r="M3554" s="140">
        <v>12</v>
      </c>
      <c r="P3554" s="4" t="str">
        <f>VLOOKUP(H3554,Stock_list!A:Y,25,FALSE)</f>
        <v>Yes</v>
      </c>
      <c r="Q3554" s="143"/>
      <c r="T3554" s="144"/>
      <c r="U3554" s="145" t="str">
        <f>VLOOKUP(H3554,Stock_list!A:N,14,FALSE)</f>
        <v>AUG 22</v>
      </c>
    </row>
    <row r="3555" spans="1:21" ht="16.5" customHeight="1">
      <c r="A3555" s="159" t="s">
        <v>2748</v>
      </c>
      <c r="B3555" s="114" t="str">
        <f>VLOOKUP(A3555,'Data pick slip'!B:F,5,FALSE)</f>
        <v>KHJ-MC400-00</v>
      </c>
      <c r="F3555" s="157" t="s">
        <v>2753</v>
      </c>
      <c r="H3555" s="138">
        <v>1709</v>
      </c>
      <c r="I3555" s="139" t="str">
        <f>VLOOKUP(H3555,Stock_list!A:R,18,FALSE)</f>
        <v>顺禾</v>
      </c>
      <c r="J3555" s="139" t="str">
        <f>VLOOKUP(H3555,Stock_list!A:S,17,FALSE)</f>
        <v>C49SZX20220080JY</v>
      </c>
      <c r="K3555" s="51" t="str">
        <f>VLOOKUP(H3555,Stock_list!A:T,16,FALSE)</f>
        <v>RMB</v>
      </c>
      <c r="L3555" s="4">
        <v>44785</v>
      </c>
      <c r="M3555" s="140">
        <v>4</v>
      </c>
      <c r="P3555" s="4" t="str">
        <f>VLOOKUP(H3555,Stock_list!A:Y,25,FALSE)</f>
        <v>Yes</v>
      </c>
      <c r="Q3555" s="143"/>
      <c r="T3555" s="144"/>
      <c r="U3555" s="145" t="str">
        <f>VLOOKUP(H3555,Stock_list!A:N,14,FALSE)</f>
        <v>AUG 22</v>
      </c>
    </row>
    <row r="3556" spans="1:21" ht="16.5" customHeight="1">
      <c r="A3556" s="159" t="s">
        <v>2744</v>
      </c>
      <c r="B3556" s="114" t="str">
        <f>VLOOKUP(A3556,'Data pick slip'!B:F,5,FALSE)</f>
        <v>KHJ-MC100-00</v>
      </c>
      <c r="F3556" s="157" t="s">
        <v>1381</v>
      </c>
      <c r="I3556" s="269" t="s">
        <v>3414</v>
      </c>
      <c r="J3556" s="139" t="s">
        <v>2992</v>
      </c>
      <c r="K3556" s="51" t="s">
        <v>1246</v>
      </c>
      <c r="L3556" s="4">
        <v>44763</v>
      </c>
      <c r="M3556" s="140">
        <v>120</v>
      </c>
      <c r="P3556" s="4" t="s">
        <v>291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2747</v>
      </c>
      <c r="B3557" s="114" t="str">
        <f>VLOOKUP(A3557,'Data pick slip'!B:F,5,FALSE)</f>
        <v>KHJ-MC200-00</v>
      </c>
      <c r="F3557" s="157" t="s">
        <v>1381</v>
      </c>
      <c r="I3557" s="269" t="s">
        <v>3414</v>
      </c>
      <c r="J3557" s="139" t="s">
        <v>2992</v>
      </c>
      <c r="K3557" s="51" t="s">
        <v>1246</v>
      </c>
      <c r="L3557" s="4">
        <v>44763</v>
      </c>
      <c r="M3557" s="140">
        <v>13</v>
      </c>
      <c r="P3557" s="4" t="s">
        <v>291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2748</v>
      </c>
      <c r="B3558" s="114" t="str">
        <f>VLOOKUP(A3558,'Data pick slip'!B:F,5,FALSE)</f>
        <v>KHJ-MC400-00</v>
      </c>
      <c r="F3558" s="157" t="s">
        <v>1381</v>
      </c>
      <c r="I3558" s="269" t="s">
        <v>3414</v>
      </c>
      <c r="J3558" s="139" t="s">
        <v>2992</v>
      </c>
      <c r="K3558" s="51" t="s">
        <v>1246</v>
      </c>
      <c r="L3558" s="4">
        <v>44763</v>
      </c>
      <c r="M3558" s="140">
        <v>5</v>
      </c>
      <c r="P3558" s="4" t="s">
        <v>291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2749</v>
      </c>
      <c r="B3559" s="114" t="str">
        <f>VLOOKUP(A3559,'Data pick slip'!B:F,5,FALSE)</f>
        <v>KHJ-MC500-00</v>
      </c>
      <c r="F3559" s="157" t="s">
        <v>1381</v>
      </c>
      <c r="I3559" s="269" t="s">
        <v>3414</v>
      </c>
      <c r="J3559" s="139" t="s">
        <v>2992</v>
      </c>
      <c r="K3559" s="51" t="s">
        <v>1246</v>
      </c>
      <c r="L3559" s="4">
        <v>44763</v>
      </c>
      <c r="M3559" s="140">
        <v>5</v>
      </c>
      <c r="P3559" s="4" t="s">
        <v>291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2744</v>
      </c>
      <c r="B3560" s="114" t="str">
        <f>VLOOKUP(A3560,'Data pick slip'!B:F,5,FALSE)</f>
        <v>KHJ-MC100-00</v>
      </c>
      <c r="F3560" s="157" t="s">
        <v>1381</v>
      </c>
      <c r="I3560" s="269" t="s">
        <v>3414</v>
      </c>
      <c r="J3560" s="139" t="s">
        <v>2993</v>
      </c>
      <c r="K3560" s="51" t="s">
        <v>1246</v>
      </c>
      <c r="L3560" s="4">
        <v>44775</v>
      </c>
      <c r="M3560" s="140">
        <v>210</v>
      </c>
      <c r="P3560" s="4" t="s">
        <v>291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2747</v>
      </c>
      <c r="B3561" s="114" t="str">
        <f>VLOOKUP(A3561,'Data pick slip'!B:F,5,FALSE)</f>
        <v>KHJ-MC200-00</v>
      </c>
      <c r="F3561" s="157" t="s">
        <v>1381</v>
      </c>
      <c r="I3561" s="269" t="s">
        <v>3414</v>
      </c>
      <c r="J3561" s="139" t="s">
        <v>2993</v>
      </c>
      <c r="K3561" s="51" t="s">
        <v>1246</v>
      </c>
      <c r="L3561" s="4">
        <v>44775</v>
      </c>
      <c r="M3561" s="140">
        <v>20</v>
      </c>
      <c r="P3561" s="4" t="s">
        <v>291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2755</v>
      </c>
      <c r="B3562" s="114" t="str">
        <f>VLOOKUP(A3562,'Data pick slip'!B:F,5,FALSE)</f>
        <v>KLJ-MC100-00</v>
      </c>
      <c r="F3562" s="157" t="s">
        <v>1381</v>
      </c>
      <c r="I3562" s="269" t="s">
        <v>3414</v>
      </c>
      <c r="J3562" s="139" t="s">
        <v>2993</v>
      </c>
      <c r="K3562" s="51" t="s">
        <v>1246</v>
      </c>
      <c r="L3562" s="4">
        <v>44775</v>
      </c>
      <c r="M3562" s="140">
        <v>95</v>
      </c>
      <c r="P3562" s="4" t="s">
        <v>291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2744</v>
      </c>
      <c r="B3563" s="114" t="str">
        <f>VLOOKUP(A3563,'Data pick slip'!B:F,5,FALSE)</f>
        <v>KHJ-MC100-00</v>
      </c>
      <c r="F3563" s="157" t="s">
        <v>1381</v>
      </c>
      <c r="H3563" s="138">
        <v>1710</v>
      </c>
      <c r="I3563" s="139" t="str">
        <f>VLOOKUP(H3563,Stock_list!A:R,18,FALSE)</f>
        <v>朗特</v>
      </c>
      <c r="J3563" s="139" t="str">
        <f>VLOOKUP(H3563,Stock_list!A:S,17,FALSE)</f>
        <v>C49SZX20220084DZ</v>
      </c>
      <c r="K3563" s="51" t="str">
        <f>VLOOKUP(H3563,Stock_list!A:T,16,FALSE)</f>
        <v>JPY</v>
      </c>
      <c r="L3563" s="4">
        <v>44779</v>
      </c>
      <c r="M3563" s="140">
        <v>123</v>
      </c>
      <c r="O3563" s="132">
        <f>123-123</f>
        <v>0</v>
      </c>
      <c r="P3563" s="4" t="str">
        <f>VLOOKUP(H3563,Stock_list!A:Y,25,FALSE)</f>
        <v>Yes</v>
      </c>
      <c r="Q3563" s="143"/>
      <c r="T3563" s="144"/>
      <c r="U3563" s="145" t="str">
        <f>VLOOKUP(H3563,Stock_list!A:N,14,FALSE)</f>
        <v>SEP 22</v>
      </c>
    </row>
    <row r="3564" spans="1:21" ht="16.5" customHeight="1">
      <c r="A3564" s="159" t="s">
        <v>2744</v>
      </c>
      <c r="B3564" s="114" t="str">
        <f>VLOOKUP(A3564,'Data pick slip'!B:F,5,FALSE)</f>
        <v>KHJ-MC100-00</v>
      </c>
      <c r="F3564" s="157" t="s">
        <v>1381</v>
      </c>
      <c r="H3564" s="138">
        <v>1713</v>
      </c>
      <c r="I3564" s="139" t="str">
        <f>VLOOKUP(H3564,Stock_list!A:R,18,FALSE)</f>
        <v>WKK(end user:熵基）</v>
      </c>
      <c r="J3564" s="139" t="str">
        <f>VLOOKUP(H3564,Stock_list!A:S,17,FALSE)</f>
        <v>C49SZX20220086VG/ESE220803STOCK-OS</v>
      </c>
      <c r="K3564" s="51" t="str">
        <f>VLOOKUP(H3564,Stock_list!A:T,16,FALSE)</f>
        <v>JPY</v>
      </c>
      <c r="L3564" s="4">
        <v>44883</v>
      </c>
      <c r="M3564" s="140" t="s">
        <v>3528</v>
      </c>
      <c r="N3564" s="143"/>
      <c r="P3564" s="4" t="str">
        <f>VLOOKUP(H3564,Stock_list!A:Y,25,FALSE)</f>
        <v>Yes</v>
      </c>
      <c r="Q3564" s="143"/>
      <c r="T3564" s="144"/>
      <c r="U3564" s="145" t="str">
        <f>VLOOKUP(H3564,Stock_list!A:N,14,FALSE)</f>
        <v>NOV 22</v>
      </c>
    </row>
    <row r="3565" spans="1:21" ht="16.5" customHeight="1">
      <c r="A3565" s="159" t="s">
        <v>2747</v>
      </c>
      <c r="B3565" s="114" t="str">
        <f>VLOOKUP(A3565,'Data pick slip'!B:F,5,FALSE)</f>
        <v>KHJ-MC200-00</v>
      </c>
      <c r="F3565" s="157" t="s">
        <v>1381</v>
      </c>
      <c r="H3565" s="138">
        <v>1713</v>
      </c>
      <c r="I3565" s="139" t="str">
        <f>VLOOKUP(H3565,Stock_list!A:R,18,FALSE)</f>
        <v>WKK(end user:熵基）</v>
      </c>
      <c r="J3565" s="139" t="str">
        <f>VLOOKUP(H3565,Stock_list!A:S,17,FALSE)</f>
        <v>C49SZX20220086VG/ESE220803STOCK-OS</v>
      </c>
      <c r="K3565" s="51" t="str">
        <f>VLOOKUP(H3565,Stock_list!A:T,16,FALSE)</f>
        <v>JPY</v>
      </c>
      <c r="L3565" s="4">
        <v>44883</v>
      </c>
      <c r="M3565" s="140" t="s">
        <v>3529</v>
      </c>
      <c r="N3565" s="143"/>
      <c r="P3565" s="4" t="str">
        <f>VLOOKUP(H3565,Stock_list!A:Y,25,FALSE)</f>
        <v>Yes</v>
      </c>
      <c r="Q3565" s="143"/>
      <c r="T3565" s="144"/>
      <c r="U3565" s="145" t="str">
        <f>VLOOKUP(H3565,Stock_list!A:N,14,FALSE)</f>
        <v>NOV 22</v>
      </c>
    </row>
    <row r="3566" spans="1:21" ht="16.5" customHeight="1">
      <c r="A3566" s="159" t="s">
        <v>2748</v>
      </c>
      <c r="B3566" s="114" t="str">
        <f>VLOOKUP(A3566,'Data pick slip'!B:F,5,FALSE)</f>
        <v>KHJ-MC400-00</v>
      </c>
      <c r="F3566" s="157" t="s">
        <v>1381</v>
      </c>
      <c r="H3566" s="138">
        <v>1713</v>
      </c>
      <c r="I3566" s="139" t="str">
        <f>VLOOKUP(H3566,Stock_list!A:R,18,FALSE)</f>
        <v>WKK(end user:熵基）</v>
      </c>
      <c r="J3566" s="139" t="str">
        <f>VLOOKUP(H3566,Stock_list!A:S,17,FALSE)</f>
        <v>C49SZX20220086VG/ESE220803STOCK-OS</v>
      </c>
      <c r="K3566" s="51" t="str">
        <f>VLOOKUP(H3566,Stock_list!A:T,16,FALSE)</f>
        <v>JPY</v>
      </c>
      <c r="L3566" s="4">
        <v>44883</v>
      </c>
      <c r="M3566" s="140" t="s">
        <v>3530</v>
      </c>
      <c r="N3566" s="143"/>
      <c r="P3566" s="4" t="str">
        <f>VLOOKUP(H3566,Stock_list!A:Y,25,FALSE)</f>
        <v>Yes</v>
      </c>
      <c r="Q3566" s="143"/>
      <c r="T3566" s="144"/>
      <c r="U3566" s="145" t="str">
        <f>VLOOKUP(H3566,Stock_list!A:N,14,FALSE)</f>
        <v>NOV 22</v>
      </c>
    </row>
    <row r="3567" spans="1:21" ht="16.5" customHeight="1">
      <c r="A3567" s="159" t="s">
        <v>2749</v>
      </c>
      <c r="B3567" s="114" t="str">
        <f>VLOOKUP(A3567,'Data pick slip'!B:F,5,FALSE)</f>
        <v>KHJ-MC500-00</v>
      </c>
      <c r="F3567" s="157" t="s">
        <v>1381</v>
      </c>
      <c r="H3567" s="138">
        <v>1713</v>
      </c>
      <c r="I3567" s="139" t="str">
        <f>VLOOKUP(H3567,Stock_list!A:R,18,FALSE)</f>
        <v>WKK(end user:熵基）</v>
      </c>
      <c r="J3567" s="139" t="str">
        <f>VLOOKUP(H3567,Stock_list!A:S,17,FALSE)</f>
        <v>C49SZX20220086VG/ESE220803STOCK-OS</v>
      </c>
      <c r="K3567" s="51" t="str">
        <f>VLOOKUP(H3567,Stock_list!A:T,16,FALSE)</f>
        <v>JPY</v>
      </c>
      <c r="L3567" s="4">
        <v>44883</v>
      </c>
      <c r="M3567" s="140" t="s">
        <v>3531</v>
      </c>
      <c r="N3567" s="143"/>
      <c r="P3567" s="4" t="str">
        <f>VLOOKUP(H3567,Stock_list!A:Y,25,FALSE)</f>
        <v>Yes</v>
      </c>
      <c r="Q3567" s="143"/>
      <c r="T3567" s="144"/>
      <c r="U3567" s="145" t="str">
        <f>VLOOKUP(H3567,Stock_list!A:N,14,FALSE)</f>
        <v>NOV 22</v>
      </c>
    </row>
    <row r="3568" spans="1:21" ht="16.5" customHeight="1">
      <c r="A3568" s="159" t="s">
        <v>2750</v>
      </c>
      <c r="B3568" s="114" t="str">
        <f>VLOOKUP(A3568,'Data pick slip'!B:F,5,FALSE)</f>
        <v>KHJ-MC600-00</v>
      </c>
      <c r="F3568" s="157" t="s">
        <v>1381</v>
      </c>
      <c r="H3568" s="138">
        <v>1713</v>
      </c>
      <c r="I3568" s="139" t="str">
        <f>VLOOKUP(H3568,Stock_list!A:R,18,FALSE)</f>
        <v>WKK(end user:熵基）</v>
      </c>
      <c r="J3568" s="139" t="str">
        <f>VLOOKUP(H3568,Stock_list!A:S,17,FALSE)</f>
        <v>C49SZX20220086VG/ESE220803STOCK-OS</v>
      </c>
      <c r="K3568" s="51" t="str">
        <f>VLOOKUP(H3568,Stock_list!A:T,16,FALSE)</f>
        <v>JPY</v>
      </c>
      <c r="L3568" s="4">
        <v>44883</v>
      </c>
      <c r="M3568" s="140" t="s">
        <v>3531</v>
      </c>
      <c r="N3568" s="143"/>
      <c r="P3568" s="4" t="str">
        <f>VLOOKUP(H3568,Stock_list!A:Y,25,FALSE)</f>
        <v>Yes</v>
      </c>
      <c r="Q3568" s="143"/>
      <c r="T3568" s="144"/>
      <c r="U3568" s="145" t="str">
        <f>VLOOKUP(H3568,Stock_list!A:N,14,FALSE)</f>
        <v>NOV 22</v>
      </c>
    </row>
    <row r="3569" spans="1:21" ht="16.5" customHeight="1">
      <c r="A3569" s="159" t="s">
        <v>2744</v>
      </c>
      <c r="B3569" s="114" t="str">
        <f>VLOOKUP(A3569,'Data pick slip'!B:F,5,FALSE)</f>
        <v>KHJ-MC100-00</v>
      </c>
      <c r="F3569" s="157" t="s">
        <v>1381</v>
      </c>
      <c r="I3569" s="269" t="s">
        <v>3414</v>
      </c>
      <c r="J3569" s="139" t="s">
        <v>2994</v>
      </c>
      <c r="K3569" s="51" t="s">
        <v>1246</v>
      </c>
      <c r="L3569" s="4">
        <v>44778</v>
      </c>
      <c r="M3569" s="140">
        <v>124</v>
      </c>
      <c r="P3569" s="4" t="s">
        <v>291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2747</v>
      </c>
      <c r="B3570" s="114" t="str">
        <f>VLOOKUP(A3570,'Data pick slip'!B:F,5,FALSE)</f>
        <v>KHJ-MC200-00</v>
      </c>
      <c r="F3570" s="157" t="s">
        <v>1381</v>
      </c>
      <c r="I3570" s="269" t="s">
        <v>3414</v>
      </c>
      <c r="J3570" s="139" t="s">
        <v>2994</v>
      </c>
      <c r="K3570" s="51" t="s">
        <v>1246</v>
      </c>
      <c r="L3570" s="4">
        <v>44778</v>
      </c>
      <c r="M3570" s="140">
        <v>5</v>
      </c>
      <c r="P3570" s="4" t="s">
        <v>291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2748</v>
      </c>
      <c r="B3571" s="114" t="str">
        <f>VLOOKUP(A3571,'Data pick slip'!B:F,5,FALSE)</f>
        <v>KHJ-MC400-00</v>
      </c>
      <c r="F3571" s="157" t="s">
        <v>1381</v>
      </c>
      <c r="I3571" s="269" t="s">
        <v>3414</v>
      </c>
      <c r="J3571" s="139" t="s">
        <v>2994</v>
      </c>
      <c r="K3571" s="51" t="s">
        <v>1246</v>
      </c>
      <c r="L3571" s="4">
        <v>44778</v>
      </c>
      <c r="M3571" s="140">
        <v>3</v>
      </c>
      <c r="P3571" s="4" t="s">
        <v>291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2749</v>
      </c>
      <c r="B3572" s="114" t="str">
        <f>VLOOKUP(A3572,'Data pick slip'!B:F,5,FALSE)</f>
        <v>KHJ-MC500-00</v>
      </c>
      <c r="F3572" s="157" t="s">
        <v>1381</v>
      </c>
      <c r="I3572" s="269" t="s">
        <v>3414</v>
      </c>
      <c r="J3572" s="139" t="s">
        <v>2994</v>
      </c>
      <c r="K3572" s="51" t="s">
        <v>1246</v>
      </c>
      <c r="L3572" s="4">
        <v>44778</v>
      </c>
      <c r="M3572" s="140">
        <v>7</v>
      </c>
      <c r="P3572" s="4" t="s">
        <v>291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2744</v>
      </c>
      <c r="B3573" s="114" t="str">
        <f>VLOOKUP(A3573,'Data pick slip'!B:F,5,FALSE)</f>
        <v>KHJ-MC100-00</v>
      </c>
      <c r="F3573" s="157" t="s">
        <v>2773</v>
      </c>
      <c r="H3573" s="138">
        <v>1715</v>
      </c>
      <c r="I3573" s="139" t="str">
        <f>VLOOKUP(H3573,Stock_list!A:R,18,FALSE)</f>
        <v>安林</v>
      </c>
      <c r="J3573" s="139" t="str">
        <f>VLOOKUP(H3573,Stock_list!A:S,17,FALSE)</f>
        <v>C49SZX20220088SX</v>
      </c>
      <c r="K3573" s="51" t="str">
        <f>VLOOKUP(H3573,Stock_list!A:T,16,FALSE)</f>
        <v>RMB</v>
      </c>
      <c r="L3573" s="4">
        <v>44790</v>
      </c>
      <c r="M3573" s="140">
        <v>8</v>
      </c>
      <c r="P3573" s="4" t="str">
        <f>VLOOKUP(H3573,Stock_list!A:Y,25,FALSE)</f>
        <v>Yes</v>
      </c>
      <c r="Q3573" s="143"/>
      <c r="T3573" s="144"/>
      <c r="U3573" s="145" t="str">
        <f>VLOOKUP(H3573,Stock_list!A:N,14,FALSE)</f>
        <v>AUG 22</v>
      </c>
    </row>
    <row r="3574" spans="1:21" ht="16.5" customHeight="1">
      <c r="A3574" s="159" t="s">
        <v>2755</v>
      </c>
      <c r="B3574" s="114" t="str">
        <f>VLOOKUP(A3574,'Data pick slip'!B:F,5,FALSE)</f>
        <v>KLJ-MC100-00</v>
      </c>
      <c r="F3574" s="157" t="s">
        <v>2753</v>
      </c>
      <c r="H3574" s="138">
        <v>1707</v>
      </c>
      <c r="I3574" s="139" t="str">
        <f>VLOOKUP(H3574,Stock_list!A:R,18,FALSE)</f>
        <v>惠州耕创</v>
      </c>
      <c r="J3574" s="139" t="str">
        <f>VLOOKUP(H3574,Stock_list!A:S,17,FALSE)</f>
        <v>C49SZX20220083DZ</v>
      </c>
      <c r="K3574" s="51" t="str">
        <f>VLOOKUP(H3574,Stock_list!A:T,16,FALSE)</f>
        <v>RMB</v>
      </c>
      <c r="L3574" s="4">
        <v>44789</v>
      </c>
      <c r="M3574" s="140">
        <v>55</v>
      </c>
      <c r="P3574" s="4" t="str">
        <f>VLOOKUP(H3574,Stock_list!A:Y,25,FALSE)</f>
        <v>Yes</v>
      </c>
      <c r="Q3574" s="143"/>
      <c r="T3574" s="144"/>
      <c r="U3574" s="145" t="str">
        <f>VLOOKUP(H3574,Stock_list!A:N,14,FALSE)</f>
        <v>AUG 22</v>
      </c>
    </row>
    <row r="3575" spans="1:21" ht="16.5" customHeight="1">
      <c r="A3575" s="159" t="s">
        <v>2748</v>
      </c>
      <c r="B3575" s="114" t="str">
        <f>VLOOKUP(A3575,'Data pick slip'!B:F,5,FALSE)</f>
        <v>KHJ-MC400-00</v>
      </c>
      <c r="F3575" s="157" t="s">
        <v>1381</v>
      </c>
      <c r="I3575" s="139" t="s">
        <v>2854</v>
      </c>
      <c r="J3575" s="267" t="s">
        <v>3532</v>
      </c>
      <c r="K3575" s="51" t="s">
        <v>3003</v>
      </c>
      <c r="L3575" s="4">
        <v>44795</v>
      </c>
      <c r="M3575" s="140">
        <v>1</v>
      </c>
      <c r="P3575" s="4" t="s">
        <v>291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2744</v>
      </c>
      <c r="B3576" s="114" t="str">
        <f>VLOOKUP(A3576,'Data pick slip'!B:F,5,FALSE)</f>
        <v>KHJ-MC100-00</v>
      </c>
      <c r="F3576" s="157" t="s">
        <v>2753</v>
      </c>
      <c r="H3576" s="138">
        <v>1717</v>
      </c>
      <c r="I3576" s="139" t="str">
        <f>VLOOKUP(H3576,Stock_list!A:R,18,FALSE)</f>
        <v>维创斯特</v>
      </c>
      <c r="J3576" s="139" t="str">
        <f>VLOOKUP(H3576,Stock_list!A:S,17,FALSE)</f>
        <v>C49SZX20220090SQ</v>
      </c>
      <c r="K3576" s="51" t="str">
        <f>VLOOKUP(H3576,Stock_list!A:T,16,FALSE)</f>
        <v>RMB</v>
      </c>
      <c r="L3576" s="4">
        <v>44831</v>
      </c>
      <c r="M3576" s="143">
        <v>35</v>
      </c>
      <c r="P3576" s="4" t="str">
        <f>VLOOKUP(H3576,Stock_list!A:Y,25,FALSE)</f>
        <v>Yes</v>
      </c>
      <c r="Q3576" s="143"/>
      <c r="T3576" s="144"/>
      <c r="U3576" s="145" t="str">
        <f>VLOOKUP(H3576,Stock_list!A:N,14,FALSE)</f>
        <v>SEP 22</v>
      </c>
    </row>
    <row r="3577" spans="1:21" ht="16.5" customHeight="1">
      <c r="A3577" s="159" t="s">
        <v>2747</v>
      </c>
      <c r="B3577" s="114" t="str">
        <f>VLOOKUP(A3577,'Data pick slip'!B:F,5,FALSE)</f>
        <v>KHJ-MC200-00</v>
      </c>
      <c r="F3577" s="157" t="s">
        <v>2753</v>
      </c>
      <c r="H3577" s="138">
        <v>1717</v>
      </c>
      <c r="I3577" s="139" t="str">
        <f>VLOOKUP(H3577,Stock_list!A:R,18,FALSE)</f>
        <v>维创斯特</v>
      </c>
      <c r="J3577" s="139" t="str">
        <f>VLOOKUP(H3577,Stock_list!A:S,17,FALSE)</f>
        <v>C49SZX20220090SQ</v>
      </c>
      <c r="K3577" s="51" t="str">
        <f>VLOOKUP(H3577,Stock_list!A:T,16,FALSE)</f>
        <v>RMB</v>
      </c>
      <c r="L3577" s="4">
        <v>44831</v>
      </c>
      <c r="M3577" s="143">
        <v>15</v>
      </c>
      <c r="P3577" s="4" t="str">
        <f>VLOOKUP(H3577,Stock_list!A:Y,25,FALSE)</f>
        <v>Yes</v>
      </c>
      <c r="Q3577" s="143"/>
      <c r="T3577" s="144"/>
      <c r="U3577" s="145" t="str">
        <f>VLOOKUP(H3577,Stock_list!A:N,14,FALSE)</f>
        <v>SEP 22</v>
      </c>
    </row>
    <row r="3578" spans="1:21" ht="16.5" customHeight="1">
      <c r="A3578" s="159" t="s">
        <v>2748</v>
      </c>
      <c r="B3578" s="114" t="str">
        <f>VLOOKUP(A3578,'Data pick slip'!B:F,5,FALSE)</f>
        <v>KHJ-MC400-00</v>
      </c>
      <c r="F3578" s="157" t="s">
        <v>2753</v>
      </c>
      <c r="H3578" s="138">
        <v>1717</v>
      </c>
      <c r="I3578" s="139" t="str">
        <f>VLOOKUP(H3578,Stock_list!A:R,18,FALSE)</f>
        <v>维创斯特</v>
      </c>
      <c r="J3578" s="139" t="str">
        <f>VLOOKUP(H3578,Stock_list!A:S,17,FALSE)</f>
        <v>C49SZX20220090SQ</v>
      </c>
      <c r="K3578" s="51" t="str">
        <f>VLOOKUP(H3578,Stock_list!A:T,16,FALSE)</f>
        <v>RMB</v>
      </c>
      <c r="L3578" s="4">
        <v>44831</v>
      </c>
      <c r="M3578" s="143">
        <v>2</v>
      </c>
      <c r="P3578" s="4" t="str">
        <f>VLOOKUP(H3578,Stock_list!A:Y,25,FALSE)</f>
        <v>Yes</v>
      </c>
      <c r="Q3578" s="143"/>
      <c r="T3578" s="144"/>
      <c r="U3578" s="145" t="str">
        <f>VLOOKUP(H3578,Stock_list!A:N,14,FALSE)</f>
        <v>SEP 22</v>
      </c>
    </row>
    <row r="3579" spans="1:21" ht="16.5" customHeight="1">
      <c r="A3579" s="159" t="s">
        <v>2744</v>
      </c>
      <c r="B3579" s="114" t="str">
        <f>VLOOKUP(A3579,'Data pick slip'!B:F,5,FALSE)</f>
        <v>KHJ-MC100-00</v>
      </c>
      <c r="F3579" s="157" t="s">
        <v>1381</v>
      </c>
      <c r="I3579" s="269" t="s">
        <v>3414</v>
      </c>
      <c r="J3579" s="139" t="s">
        <v>2996</v>
      </c>
      <c r="K3579" s="51" t="s">
        <v>1246</v>
      </c>
      <c r="L3579" s="4">
        <v>44790</v>
      </c>
      <c r="M3579" s="140">
        <v>350</v>
      </c>
      <c r="P3579" s="4" t="s">
        <v>291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2747</v>
      </c>
      <c r="B3580" s="114" t="str">
        <f>VLOOKUP(A3580,'Data pick slip'!B:F,5,FALSE)</f>
        <v>KHJ-MC200-00</v>
      </c>
      <c r="F3580" s="157" t="s">
        <v>1381</v>
      </c>
      <c r="I3580" s="269" t="s">
        <v>3414</v>
      </c>
      <c r="J3580" s="139" t="s">
        <v>2996</v>
      </c>
      <c r="K3580" s="51" t="s">
        <v>1246</v>
      </c>
      <c r="L3580" s="4">
        <v>44790</v>
      </c>
      <c r="M3580" s="140">
        <v>70</v>
      </c>
      <c r="P3580" s="4" t="s">
        <v>291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2748</v>
      </c>
      <c r="B3581" s="114" t="str">
        <f>VLOOKUP(A3581,'Data pick slip'!B:F,5,FALSE)</f>
        <v>KHJ-MC400-00</v>
      </c>
      <c r="F3581" s="157" t="s">
        <v>1381</v>
      </c>
      <c r="I3581" s="269" t="s">
        <v>3414</v>
      </c>
      <c r="J3581" s="139" t="s">
        <v>2996</v>
      </c>
      <c r="K3581" s="51" t="s">
        <v>1246</v>
      </c>
      <c r="L3581" s="4">
        <v>44790</v>
      </c>
      <c r="M3581" s="140">
        <v>10</v>
      </c>
      <c r="P3581" s="4" t="s">
        <v>291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2744</v>
      </c>
      <c r="B3582" s="114" t="str">
        <f>VLOOKUP(A3582,'Data pick slip'!B:F,5,FALSE)</f>
        <v>KHJ-MC100-00</v>
      </c>
      <c r="F3582" s="157" t="s">
        <v>2753</v>
      </c>
      <c r="H3582" s="138">
        <v>1719</v>
      </c>
      <c r="I3582" s="139" t="str">
        <f>VLOOKUP(H3582,Stock_list!A:R,18,FALSE)</f>
        <v>华烨(end user:华煜）</v>
      </c>
      <c r="J3582" s="139" t="str">
        <f>VLOOKUP(H3582,Stock_list!A:S,17,FALSE)</f>
        <v>C49SZX20220091MZ</v>
      </c>
      <c r="K3582" s="51" t="str">
        <f>VLOOKUP(H3582,Stock_list!A:T,16,FALSE)</f>
        <v>RMB</v>
      </c>
      <c r="L3582" s="4"/>
      <c r="N3582" s="132">
        <v>32</v>
      </c>
      <c r="P3582" s="4" t="str">
        <f>VLOOKUP(H3582,Stock_list!A:Y,25,FALSE)</f>
        <v>Yes</v>
      </c>
      <c r="Q3582" s="143"/>
      <c r="T3582" s="144"/>
      <c r="U3582" s="145" t="str">
        <f>VLOOKUP(H3582,Stock_list!A:N,14,FALSE)</f>
        <v>JUL 23</v>
      </c>
    </row>
    <row r="3583" spans="1:21" ht="16.5" customHeight="1">
      <c r="A3583" s="159" t="s">
        <v>2747</v>
      </c>
      <c r="B3583" s="114" t="str">
        <f>VLOOKUP(A3583,'Data pick slip'!B:F,5,FALSE)</f>
        <v>KHJ-MC200-00</v>
      </c>
      <c r="F3583" s="157" t="s">
        <v>2753</v>
      </c>
      <c r="H3583" s="138">
        <v>1719</v>
      </c>
      <c r="I3583" s="139" t="str">
        <f>VLOOKUP(H3583,Stock_list!A:R,18,FALSE)</f>
        <v>华烨(end user:华煜）</v>
      </c>
      <c r="J3583" s="139" t="str">
        <f>VLOOKUP(H3583,Stock_list!A:S,17,FALSE)</f>
        <v>C49SZX20220091MZ</v>
      </c>
      <c r="K3583" s="51" t="str">
        <f>VLOOKUP(H3583,Stock_list!A:T,16,FALSE)</f>
        <v>RMB</v>
      </c>
      <c r="L3583" s="4"/>
      <c r="N3583" s="132">
        <v>7</v>
      </c>
      <c r="P3583" s="4" t="str">
        <f>VLOOKUP(H3583,Stock_list!A:Y,25,FALSE)</f>
        <v>Yes</v>
      </c>
      <c r="Q3583" s="143"/>
      <c r="T3583" s="144"/>
      <c r="U3583" s="145" t="str">
        <f>VLOOKUP(H3583,Stock_list!A:N,14,FALSE)</f>
        <v>JUL 23</v>
      </c>
    </row>
    <row r="3584" spans="1:21" ht="16.5" customHeight="1">
      <c r="A3584" s="159" t="s">
        <v>2748</v>
      </c>
      <c r="B3584" s="114" t="str">
        <f>VLOOKUP(A3584,'Data pick slip'!B:F,5,FALSE)</f>
        <v>KHJ-MC400-00</v>
      </c>
      <c r="F3584" s="157" t="s">
        <v>2753</v>
      </c>
      <c r="H3584" s="138">
        <v>1719</v>
      </c>
      <c r="I3584" s="139" t="str">
        <f>VLOOKUP(H3584,Stock_list!A:R,18,FALSE)</f>
        <v>华烨(end user:华煜）</v>
      </c>
      <c r="J3584" s="139" t="str">
        <f>VLOOKUP(H3584,Stock_list!A:S,17,FALSE)</f>
        <v>C49SZX20220091MZ</v>
      </c>
      <c r="K3584" s="51" t="str">
        <f>VLOOKUP(H3584,Stock_list!A:T,16,FALSE)</f>
        <v>RMB</v>
      </c>
      <c r="L3584" s="4"/>
      <c r="N3584" s="132">
        <v>2</v>
      </c>
      <c r="P3584" s="4" t="str">
        <f>VLOOKUP(H3584,Stock_list!A:Y,25,FALSE)</f>
        <v>Yes</v>
      </c>
      <c r="Q3584" s="143"/>
      <c r="T3584" s="144"/>
      <c r="U3584" s="145" t="str">
        <f>VLOOKUP(H3584,Stock_list!A:N,14,FALSE)</f>
        <v>JUL 23</v>
      </c>
    </row>
    <row r="3585" spans="1:21" ht="16.5" customHeight="1">
      <c r="A3585" s="159" t="s">
        <v>2744</v>
      </c>
      <c r="B3585" s="114" t="str">
        <f>VLOOKUP(A3585,'Data pick slip'!B:F,5,FALSE)</f>
        <v>KHJ-MC100-00</v>
      </c>
      <c r="F3585" s="157" t="s">
        <v>1381</v>
      </c>
      <c r="I3585" s="269" t="s">
        <v>3414</v>
      </c>
      <c r="J3585" s="139" t="s">
        <v>2995</v>
      </c>
      <c r="K3585" s="51" t="s">
        <v>1246</v>
      </c>
      <c r="L3585" s="4">
        <v>44789</v>
      </c>
      <c r="M3585" s="140">
        <v>410</v>
      </c>
      <c r="P3585" s="4" t="s">
        <v>291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2747</v>
      </c>
      <c r="B3586" s="114" t="str">
        <f>VLOOKUP(A3586,'Data pick slip'!B:F,5,FALSE)</f>
        <v>KHJ-MC200-00</v>
      </c>
      <c r="F3586" s="157" t="s">
        <v>1381</v>
      </c>
      <c r="I3586" s="269" t="s">
        <v>3414</v>
      </c>
      <c r="J3586" s="139" t="s">
        <v>2995</v>
      </c>
      <c r="K3586" s="51" t="s">
        <v>1246</v>
      </c>
      <c r="L3586" s="4">
        <v>44789</v>
      </c>
      <c r="M3586" s="140">
        <v>20</v>
      </c>
      <c r="P3586" s="4" t="s">
        <v>291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2748</v>
      </c>
      <c r="B3587" s="114" t="str">
        <f>VLOOKUP(A3587,'Data pick slip'!B:F,5,FALSE)</f>
        <v>KHJ-MC400-00</v>
      </c>
      <c r="F3587" s="157" t="s">
        <v>1381</v>
      </c>
      <c r="I3587" s="269" t="s">
        <v>3414</v>
      </c>
      <c r="J3587" s="139" t="s">
        <v>2995</v>
      </c>
      <c r="K3587" s="51" t="s">
        <v>1246</v>
      </c>
      <c r="L3587" s="4">
        <v>44789</v>
      </c>
      <c r="M3587" s="140">
        <v>20</v>
      </c>
      <c r="P3587" s="4" t="s">
        <v>291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2750</v>
      </c>
      <c r="B3588" s="114" t="str">
        <f>VLOOKUP(A3588,'Data pick slip'!B:F,5,FALSE)</f>
        <v>KHJ-MC600-00</v>
      </c>
      <c r="F3588" s="157" t="s">
        <v>1381</v>
      </c>
      <c r="I3588" s="269" t="s">
        <v>3414</v>
      </c>
      <c r="J3588" s="139" t="s">
        <v>2995</v>
      </c>
      <c r="K3588" s="51" t="s">
        <v>1246</v>
      </c>
      <c r="L3588" s="4">
        <v>44789</v>
      </c>
      <c r="M3588" s="140">
        <v>25</v>
      </c>
      <c r="P3588" s="4" t="s">
        <v>291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2744</v>
      </c>
      <c r="B3589" s="114" t="str">
        <f>VLOOKUP(A3589,'Data pick slip'!B:F,5,FALSE)</f>
        <v>KHJ-MC100-00</v>
      </c>
      <c r="F3589" s="157" t="s">
        <v>1381</v>
      </c>
      <c r="I3589" s="269" t="s">
        <v>3414</v>
      </c>
      <c r="J3589" s="139" t="s">
        <v>2996</v>
      </c>
      <c r="K3589" s="51" t="s">
        <v>1246</v>
      </c>
      <c r="L3589" s="4">
        <v>44790</v>
      </c>
      <c r="M3589" s="140">
        <v>200</v>
      </c>
      <c r="P3589" s="4" t="s">
        <v>291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2747</v>
      </c>
      <c r="B3590" s="114" t="str">
        <f>VLOOKUP(A3590,'Data pick slip'!B:F,5,FALSE)</f>
        <v>KHJ-MC200-00</v>
      </c>
      <c r="F3590" s="157" t="s">
        <v>1381</v>
      </c>
      <c r="I3590" s="269" t="s">
        <v>3414</v>
      </c>
      <c r="J3590" s="139" t="s">
        <v>2996</v>
      </c>
      <c r="K3590" s="51" t="s">
        <v>1246</v>
      </c>
      <c r="L3590" s="4">
        <v>44790</v>
      </c>
      <c r="M3590" s="140">
        <v>240</v>
      </c>
      <c r="P3590" s="4" t="s">
        <v>291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2748</v>
      </c>
      <c r="B3591" s="114" t="str">
        <f>VLOOKUP(A3591,'Data pick slip'!B:F,5,FALSE)</f>
        <v>KHJ-MC400-00</v>
      </c>
      <c r="F3591" s="157" t="s">
        <v>1381</v>
      </c>
      <c r="I3591" s="269" t="s">
        <v>3414</v>
      </c>
      <c r="J3591" s="139" t="s">
        <v>2996</v>
      </c>
      <c r="K3591" s="51" t="s">
        <v>1246</v>
      </c>
      <c r="L3591" s="4">
        <v>44790</v>
      </c>
      <c r="M3591" s="140">
        <v>20</v>
      </c>
      <c r="P3591" s="4" t="s">
        <v>291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2749</v>
      </c>
      <c r="B3592" s="114" t="str">
        <f>VLOOKUP(A3592,'Data pick slip'!B:F,5,FALSE)</f>
        <v>KHJ-MC500-00</v>
      </c>
      <c r="F3592" s="157" t="s">
        <v>1381</v>
      </c>
      <c r="I3592" s="269" t="s">
        <v>3414</v>
      </c>
      <c r="J3592" s="139" t="s">
        <v>2996</v>
      </c>
      <c r="K3592" s="51" t="s">
        <v>1246</v>
      </c>
      <c r="L3592" s="4">
        <v>44790</v>
      </c>
      <c r="M3592" s="140">
        <v>20</v>
      </c>
      <c r="P3592" s="4" t="s">
        <v>291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2744</v>
      </c>
      <c r="B3593" s="114" t="str">
        <f>VLOOKUP(A3593,'Data pick slip'!B:F,5,FALSE)</f>
        <v>KHJ-MC100-00</v>
      </c>
      <c r="F3593" s="157" t="s">
        <v>1381</v>
      </c>
      <c r="I3593" s="269" t="s">
        <v>3414</v>
      </c>
      <c r="J3593" s="139" t="s">
        <v>2997</v>
      </c>
      <c r="K3593" s="51" t="s">
        <v>1246</v>
      </c>
      <c r="L3593" s="4">
        <v>44791</v>
      </c>
      <c r="M3593" s="140">
        <v>330</v>
      </c>
      <c r="P3593" s="4" t="s">
        <v>291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2747</v>
      </c>
      <c r="B3594" s="114" t="str">
        <f>VLOOKUP(A3594,'Data pick slip'!B:F,5,FALSE)</f>
        <v>KHJ-MC200-00</v>
      </c>
      <c r="F3594" s="157" t="s">
        <v>1381</v>
      </c>
      <c r="I3594" s="269" t="s">
        <v>3414</v>
      </c>
      <c r="J3594" s="139" t="s">
        <v>2997</v>
      </c>
      <c r="K3594" s="51" t="s">
        <v>1246</v>
      </c>
      <c r="L3594" s="4">
        <v>44791</v>
      </c>
      <c r="M3594" s="140">
        <v>50</v>
      </c>
      <c r="P3594" s="4" t="s">
        <v>291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2748</v>
      </c>
      <c r="B3595" s="114" t="str">
        <f>VLOOKUP(A3595,'Data pick slip'!B:F,5,FALSE)</f>
        <v>KHJ-MC400-00</v>
      </c>
      <c r="F3595" s="157" t="s">
        <v>1381</v>
      </c>
      <c r="I3595" s="269" t="s">
        <v>3414</v>
      </c>
      <c r="J3595" s="139" t="s">
        <v>2997</v>
      </c>
      <c r="K3595" s="51" t="s">
        <v>1246</v>
      </c>
      <c r="L3595" s="4">
        <v>44791</v>
      </c>
      <c r="M3595" s="140">
        <v>30</v>
      </c>
      <c r="P3595" s="4" t="s">
        <v>291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2749</v>
      </c>
      <c r="B3596" s="114" t="str">
        <f>VLOOKUP(A3596,'Data pick slip'!B:F,5,FALSE)</f>
        <v>KHJ-MC500-00</v>
      </c>
      <c r="F3596" s="157" t="s">
        <v>1381</v>
      </c>
      <c r="I3596" s="269" t="s">
        <v>3414</v>
      </c>
      <c r="J3596" s="139" t="s">
        <v>2997</v>
      </c>
      <c r="K3596" s="51" t="s">
        <v>1246</v>
      </c>
      <c r="L3596" s="4">
        <v>44791</v>
      </c>
      <c r="M3596" s="140">
        <v>20</v>
      </c>
      <c r="P3596" s="4" t="s">
        <v>291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2750</v>
      </c>
      <c r="B3597" s="114" t="str">
        <f>VLOOKUP(A3597,'Data pick slip'!B:F,5,FALSE)</f>
        <v>KHJ-MC600-00</v>
      </c>
      <c r="F3597" s="157" t="s">
        <v>1381</v>
      </c>
      <c r="I3597" s="269" t="s">
        <v>3414</v>
      </c>
      <c r="J3597" s="139" t="s">
        <v>2997</v>
      </c>
      <c r="K3597" s="51" t="s">
        <v>1246</v>
      </c>
      <c r="L3597" s="4">
        <v>44791</v>
      </c>
      <c r="M3597" s="140">
        <v>10</v>
      </c>
      <c r="P3597" s="4" t="s">
        <v>291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2751</v>
      </c>
      <c r="B3598" s="114" t="str">
        <f>VLOOKUP(A3598,'Data pick slip'!B:F,5,FALSE)</f>
        <v>KHJ-MC700-00</v>
      </c>
      <c r="F3598" s="157" t="s">
        <v>1381</v>
      </c>
      <c r="I3598" s="269" t="s">
        <v>3414</v>
      </c>
      <c r="J3598" s="139" t="s">
        <v>2997</v>
      </c>
      <c r="K3598" s="51" t="s">
        <v>1246</v>
      </c>
      <c r="L3598" s="4">
        <v>44791</v>
      </c>
      <c r="M3598" s="140">
        <v>10</v>
      </c>
      <c r="P3598" s="4" t="s">
        <v>291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2744</v>
      </c>
      <c r="B3599" s="114" t="str">
        <f>VLOOKUP(A3599,'Data pick slip'!B:F,5,FALSE)</f>
        <v>KHJ-MC100-00</v>
      </c>
      <c r="F3599" s="157" t="s">
        <v>1381</v>
      </c>
      <c r="I3599" s="269" t="s">
        <v>3414</v>
      </c>
      <c r="J3599" s="139" t="s">
        <v>2998</v>
      </c>
      <c r="K3599" s="51" t="s">
        <v>1246</v>
      </c>
      <c r="L3599" s="4">
        <v>44803</v>
      </c>
      <c r="M3599" s="140">
        <v>390</v>
      </c>
      <c r="P3599" s="4" t="s">
        <v>291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2747</v>
      </c>
      <c r="B3600" s="114" t="str">
        <f>VLOOKUP(A3600,'Data pick slip'!B:F,5,FALSE)</f>
        <v>KHJ-MC200-00</v>
      </c>
      <c r="F3600" s="157" t="s">
        <v>1381</v>
      </c>
      <c r="I3600" s="269" t="s">
        <v>3414</v>
      </c>
      <c r="J3600" s="139" t="s">
        <v>2998</v>
      </c>
      <c r="K3600" s="51" t="s">
        <v>1246</v>
      </c>
      <c r="L3600" s="4">
        <v>44803</v>
      </c>
      <c r="M3600" s="140">
        <v>60</v>
      </c>
      <c r="P3600" s="4" t="s">
        <v>291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2749</v>
      </c>
      <c r="B3601" s="114" t="str">
        <f>VLOOKUP(A3601,'Data pick slip'!B:F,5,FALSE)</f>
        <v>KHJ-MC500-00</v>
      </c>
      <c r="F3601" s="157" t="s">
        <v>1381</v>
      </c>
      <c r="I3601" s="269" t="s">
        <v>3414</v>
      </c>
      <c r="J3601" s="139" t="s">
        <v>2998</v>
      </c>
      <c r="K3601" s="51" t="s">
        <v>1246</v>
      </c>
      <c r="L3601" s="4">
        <v>44803</v>
      </c>
      <c r="M3601" s="140">
        <v>30</v>
      </c>
      <c r="P3601" s="4" t="s">
        <v>291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2744</v>
      </c>
      <c r="B3602" s="114" t="str">
        <f>VLOOKUP(A3602,'Data pick slip'!B:F,5,FALSE)</f>
        <v>KHJ-MC100-00</v>
      </c>
      <c r="F3602" s="157" t="s">
        <v>1381</v>
      </c>
      <c r="I3602" s="269" t="s">
        <v>3414</v>
      </c>
      <c r="J3602" s="139" t="s">
        <v>2998</v>
      </c>
      <c r="K3602" s="51" t="s">
        <v>1246</v>
      </c>
      <c r="L3602" s="4">
        <v>44803</v>
      </c>
      <c r="M3602" s="140">
        <v>420</v>
      </c>
      <c r="P3602" s="4" t="s">
        <v>291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2747</v>
      </c>
      <c r="B3603" s="114" t="str">
        <f>VLOOKUP(A3603,'Data pick slip'!B:F,5,FALSE)</f>
        <v>KHJ-MC200-00</v>
      </c>
      <c r="F3603" s="157" t="s">
        <v>1381</v>
      </c>
      <c r="I3603" s="269" t="s">
        <v>3414</v>
      </c>
      <c r="J3603" s="139" t="s">
        <v>2998</v>
      </c>
      <c r="K3603" s="51" t="s">
        <v>1246</v>
      </c>
      <c r="L3603" s="4">
        <v>44803</v>
      </c>
      <c r="M3603" s="140">
        <v>100</v>
      </c>
      <c r="P3603" s="4" t="s">
        <v>291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2748</v>
      </c>
      <c r="B3604" s="114" t="str">
        <f>VLOOKUP(A3604,'Data pick slip'!B:F,5,FALSE)</f>
        <v>KHJ-MC400-00</v>
      </c>
      <c r="F3604" s="157" t="s">
        <v>1381</v>
      </c>
      <c r="I3604" s="269" t="s">
        <v>3414</v>
      </c>
      <c r="J3604" s="139" t="s">
        <v>2998</v>
      </c>
      <c r="K3604" s="51" t="s">
        <v>1246</v>
      </c>
      <c r="L3604" s="4">
        <v>44803</v>
      </c>
      <c r="M3604" s="140">
        <v>50</v>
      </c>
      <c r="P3604" s="4" t="s">
        <v>291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2749</v>
      </c>
      <c r="B3605" s="114" t="str">
        <f>VLOOKUP(A3605,'Data pick slip'!B:F,5,FALSE)</f>
        <v>KHJ-MC500-00</v>
      </c>
      <c r="F3605" s="157" t="s">
        <v>1381</v>
      </c>
      <c r="I3605" s="269" t="s">
        <v>3414</v>
      </c>
      <c r="J3605" s="139" t="s">
        <v>2998</v>
      </c>
      <c r="K3605" s="51" t="s">
        <v>1246</v>
      </c>
      <c r="L3605" s="4">
        <v>44803</v>
      </c>
      <c r="M3605" s="140">
        <v>20</v>
      </c>
      <c r="P3605" s="4" t="s">
        <v>291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2744</v>
      </c>
      <c r="B3606" s="114" t="str">
        <f>VLOOKUP(A3606,'Data pick slip'!B:F,5,FALSE)</f>
        <v>KHJ-MC100-00</v>
      </c>
      <c r="F3606" s="157" t="s">
        <v>1381</v>
      </c>
      <c r="I3606" s="269" t="s">
        <v>3414</v>
      </c>
      <c r="J3606" s="139" t="s">
        <v>3533</v>
      </c>
      <c r="K3606" s="51" t="s">
        <v>1246</v>
      </c>
      <c r="L3606" s="4">
        <v>44819</v>
      </c>
      <c r="M3606" s="140">
        <v>280</v>
      </c>
      <c r="P3606" s="4" t="s">
        <v>291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2744</v>
      </c>
      <c r="B3607" s="114" t="str">
        <f>VLOOKUP(A3607,'Data pick slip'!B:F,5,FALSE)</f>
        <v>KHJ-MC100-00</v>
      </c>
      <c r="F3607" s="157" t="s">
        <v>1381</v>
      </c>
      <c r="I3607" s="269" t="s">
        <v>3414</v>
      </c>
      <c r="J3607" s="139" t="s">
        <v>3000</v>
      </c>
      <c r="K3607" s="51" t="s">
        <v>1246</v>
      </c>
      <c r="L3607" s="4">
        <v>44825</v>
      </c>
      <c r="M3607" s="140">
        <v>247</v>
      </c>
      <c r="P3607" s="4" t="s">
        <v>291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2747</v>
      </c>
      <c r="B3608" s="114" t="str">
        <f>VLOOKUP(A3608,'Data pick slip'!B:F,5,FALSE)</f>
        <v>KHJ-MC200-00</v>
      </c>
      <c r="F3608" s="157" t="s">
        <v>1381</v>
      </c>
      <c r="I3608" s="269" t="s">
        <v>3414</v>
      </c>
      <c r="J3608" s="139" t="s">
        <v>3000</v>
      </c>
      <c r="K3608" s="51" t="s">
        <v>1246</v>
      </c>
      <c r="L3608" s="4">
        <v>44825</v>
      </c>
      <c r="M3608" s="140">
        <v>50</v>
      </c>
      <c r="P3608" s="4" t="s">
        <v>291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2748</v>
      </c>
      <c r="B3609" s="114" t="str">
        <f>VLOOKUP(A3609,'Data pick slip'!B:F,5,FALSE)</f>
        <v>KHJ-MC400-00</v>
      </c>
      <c r="F3609" s="157" t="s">
        <v>1381</v>
      </c>
      <c r="I3609" s="269" t="s">
        <v>3414</v>
      </c>
      <c r="J3609" s="139" t="s">
        <v>3000</v>
      </c>
      <c r="K3609" s="51" t="s">
        <v>1246</v>
      </c>
      <c r="L3609" s="4">
        <v>44825</v>
      </c>
      <c r="M3609" s="140">
        <v>5</v>
      </c>
      <c r="P3609" s="4" t="s">
        <v>291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2744</v>
      </c>
      <c r="B3610" s="114" t="str">
        <f>VLOOKUP(A3610,'Data pick slip'!B:F,5,FALSE)</f>
        <v>KHJ-MC100-00</v>
      </c>
      <c r="F3610" s="157" t="s">
        <v>1381</v>
      </c>
      <c r="I3610" s="269" t="s">
        <v>3414</v>
      </c>
      <c r="J3610" s="139" t="s">
        <v>3000</v>
      </c>
      <c r="K3610" s="51" t="s">
        <v>1246</v>
      </c>
      <c r="L3610" s="4">
        <v>44825</v>
      </c>
      <c r="M3610" s="140">
        <v>350</v>
      </c>
      <c r="P3610" s="4" t="s">
        <v>291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2747</v>
      </c>
      <c r="B3611" s="114" t="str">
        <f>VLOOKUP(A3611,'Data pick slip'!B:F,5,FALSE)</f>
        <v>KHJ-MC200-00</v>
      </c>
      <c r="F3611" s="157" t="s">
        <v>1381</v>
      </c>
      <c r="I3611" s="269" t="s">
        <v>3414</v>
      </c>
      <c r="J3611" s="139" t="s">
        <v>3000</v>
      </c>
      <c r="K3611" s="51" t="s">
        <v>1246</v>
      </c>
      <c r="L3611" s="4">
        <v>44825</v>
      </c>
      <c r="M3611" s="140">
        <v>50</v>
      </c>
      <c r="P3611" s="4" t="s">
        <v>291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2748</v>
      </c>
      <c r="B3612" s="114" t="str">
        <f>VLOOKUP(A3612,'Data pick slip'!B:F,5,FALSE)</f>
        <v>KHJ-MC400-00</v>
      </c>
      <c r="F3612" s="157" t="s">
        <v>1381</v>
      </c>
      <c r="I3612" s="269" t="s">
        <v>3414</v>
      </c>
      <c r="J3612" s="139" t="s">
        <v>3000</v>
      </c>
      <c r="K3612" s="51" t="s">
        <v>1246</v>
      </c>
      <c r="L3612" s="4">
        <v>44825</v>
      </c>
      <c r="M3612" s="140">
        <v>90</v>
      </c>
      <c r="P3612" s="4" t="s">
        <v>291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2749</v>
      </c>
      <c r="B3613" s="114" t="str">
        <f>VLOOKUP(A3613,'Data pick slip'!B:F,5,FALSE)</f>
        <v>KHJ-MC500-00</v>
      </c>
      <c r="F3613" s="157" t="s">
        <v>1381</v>
      </c>
      <c r="I3613" s="269" t="s">
        <v>3414</v>
      </c>
      <c r="J3613" s="139" t="s">
        <v>3000</v>
      </c>
      <c r="K3613" s="51" t="s">
        <v>1246</v>
      </c>
      <c r="L3613" s="4">
        <v>44825</v>
      </c>
      <c r="M3613" s="140">
        <v>5</v>
      </c>
      <c r="P3613" s="4" t="s">
        <v>291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2750</v>
      </c>
      <c r="B3614" s="114" t="str">
        <f>VLOOKUP(A3614,'Data pick slip'!B:F,5,FALSE)</f>
        <v>KHJ-MC600-00</v>
      </c>
      <c r="F3614" s="157" t="s">
        <v>1381</v>
      </c>
      <c r="I3614" s="269" t="s">
        <v>3414</v>
      </c>
      <c r="J3614" s="139" t="s">
        <v>3000</v>
      </c>
      <c r="K3614" s="51" t="s">
        <v>1246</v>
      </c>
      <c r="L3614" s="4">
        <v>44825</v>
      </c>
      <c r="M3614" s="140">
        <v>19</v>
      </c>
      <c r="P3614" s="4" t="s">
        <v>291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2744</v>
      </c>
      <c r="B3615" s="114" t="str">
        <f>VLOOKUP(A3615,'Data pick slip'!B:F,5,FALSE)</f>
        <v>KHJ-MC100-00</v>
      </c>
      <c r="F3615" s="157" t="s">
        <v>2753</v>
      </c>
      <c r="H3615" s="138">
        <v>1728</v>
      </c>
      <c r="I3615" s="139" t="str">
        <f>VLOOKUP(H3615,Stock_list!A:R,18,FALSE)</f>
        <v>世启纳</v>
      </c>
      <c r="J3615" s="139" t="str">
        <f>VLOOKUP(H3615,Stock_list!A:S,17,FALSE)</f>
        <v>C49SZX20220100SS</v>
      </c>
      <c r="K3615" s="51" t="str">
        <f>VLOOKUP(H3615,Stock_list!A:T,16,FALSE)</f>
        <v>RMB</v>
      </c>
      <c r="L3615" s="4">
        <v>44846</v>
      </c>
      <c r="M3615" s="140">
        <v>2</v>
      </c>
      <c r="P3615" s="4" t="str">
        <f>VLOOKUP(H3615,Stock_list!A:Y,25,FALSE)</f>
        <v>Yes</v>
      </c>
      <c r="Q3615" s="143"/>
      <c r="T3615" s="144"/>
      <c r="U3615" s="145" t="str">
        <f>VLOOKUP(H3615,Stock_list!A:N,14,FALSE)</f>
        <v>OCT 22</v>
      </c>
    </row>
    <row r="3616" spans="1:21" ht="16.5" customHeight="1">
      <c r="A3616" s="159" t="s">
        <v>2748</v>
      </c>
      <c r="B3616" s="114" t="str">
        <f>VLOOKUP(A3616,'Data pick slip'!B:F,5,FALSE)</f>
        <v>KHJ-MC400-00</v>
      </c>
      <c r="F3616" s="157" t="s">
        <v>2753</v>
      </c>
      <c r="H3616" s="138">
        <v>1728</v>
      </c>
      <c r="I3616" s="139" t="str">
        <f>VLOOKUP(H3616,Stock_list!A:R,18,FALSE)</f>
        <v>世启纳</v>
      </c>
      <c r="J3616" s="139" t="str">
        <f>VLOOKUP(H3616,Stock_list!A:S,17,FALSE)</f>
        <v>C49SZX20220100SS</v>
      </c>
      <c r="K3616" s="51" t="str">
        <f>VLOOKUP(H3616,Stock_list!A:T,16,FALSE)</f>
        <v>RMB</v>
      </c>
      <c r="L3616" s="4">
        <v>44846</v>
      </c>
      <c r="M3616" s="140">
        <v>1</v>
      </c>
      <c r="P3616" s="4" t="str">
        <f>VLOOKUP(H3616,Stock_list!A:Y,25,FALSE)</f>
        <v>Yes</v>
      </c>
      <c r="Q3616" s="143"/>
      <c r="T3616" s="144"/>
      <c r="U3616" s="145" t="str">
        <f>VLOOKUP(H3616,Stock_list!A:N,14,FALSE)</f>
        <v>OCT 22</v>
      </c>
    </row>
    <row r="3617" spans="1:21" ht="16.5" customHeight="1">
      <c r="A3617" s="159" t="s">
        <v>2744</v>
      </c>
      <c r="B3617" s="114" t="str">
        <f>VLOOKUP(A3617,'Data pick slip'!B:F,5,FALSE)</f>
        <v>KHJ-MC100-00</v>
      </c>
      <c r="F3617" s="157" t="s">
        <v>2753</v>
      </c>
      <c r="H3617" s="138">
        <v>1733</v>
      </c>
      <c r="I3617" s="139" t="str">
        <f>VLOOKUP(H3617,Stock_list!A:R,18,FALSE)</f>
        <v>朗特</v>
      </c>
      <c r="J3617" s="139" t="str">
        <f>VLOOKUP(H3617,Stock_list!A:S,17,FALSE)</f>
        <v>C49SZX20220102DZ</v>
      </c>
      <c r="K3617" s="51" t="str">
        <f>VLOOKUP(H3617,Stock_list!A:T,16,FALSE)</f>
        <v>RMB</v>
      </c>
      <c r="L3617" s="4">
        <v>44834</v>
      </c>
      <c r="M3617" s="140">
        <v>123</v>
      </c>
      <c r="P3617" s="4" t="str">
        <f>VLOOKUP(H3617,Stock_list!A:Y,25,FALSE)</f>
        <v>Yes</v>
      </c>
      <c r="Q3617" s="143"/>
      <c r="T3617" s="144"/>
      <c r="U3617" s="145" t="str">
        <f>VLOOKUP(H3617,Stock_list!A:N,14,FALSE)</f>
        <v>SEP 22</v>
      </c>
    </row>
    <row r="3618" spans="1:21" ht="16.5" customHeight="1">
      <c r="A3618" s="159" t="s">
        <v>2744</v>
      </c>
      <c r="B3618" s="114" t="str">
        <f>VLOOKUP(A3618,'Data pick slip'!B:F,5,FALSE)</f>
        <v>KHJ-MC100-00</v>
      </c>
      <c r="F3618" s="157" t="s">
        <v>2753</v>
      </c>
      <c r="H3618" s="138">
        <v>1739</v>
      </c>
      <c r="I3618" s="139" t="str">
        <f>VLOOKUP(H3618,Stock_list!A:R,18,FALSE)</f>
        <v>锐诚</v>
      </c>
      <c r="J3618" s="139" t="str">
        <f>VLOOKUP(H3618,Stock_list!A:S,17,FALSE)</f>
        <v>C49SZX20220106SX</v>
      </c>
      <c r="K3618" s="51" t="str">
        <f>VLOOKUP(H3618,Stock_list!A:T,16,FALSE)</f>
        <v>RMB</v>
      </c>
      <c r="L3618" s="141">
        <v>44854</v>
      </c>
      <c r="M3618" s="143">
        <v>30</v>
      </c>
      <c r="P3618" s="4" t="str">
        <f>VLOOKUP(H3618,Stock_list!A:Y,25,FALSE)</f>
        <v>Yes</v>
      </c>
      <c r="T3618" s="144"/>
      <c r="U3618" s="145" t="str">
        <f>VLOOKUP(H3618,Stock_list!A:N,14,FALSE)</f>
        <v>OCT 22</v>
      </c>
    </row>
    <row r="3619" spans="1:21" ht="16.5" customHeight="1">
      <c r="A3619" s="159" t="s">
        <v>2747</v>
      </c>
      <c r="B3619" s="114" t="str">
        <f>VLOOKUP(A3619,'Data pick slip'!B:F,5,FALSE)</f>
        <v>KHJ-MC200-00</v>
      </c>
      <c r="F3619" s="157" t="s">
        <v>2753</v>
      </c>
      <c r="H3619" s="138">
        <v>1739</v>
      </c>
      <c r="I3619" s="139" t="str">
        <f>VLOOKUP(H3619,Stock_list!A:R,18,FALSE)</f>
        <v>锐诚</v>
      </c>
      <c r="J3619" s="139" t="str">
        <f>VLOOKUP(H3619,Stock_list!A:S,17,FALSE)</f>
        <v>C49SZX20220106SX</v>
      </c>
      <c r="K3619" s="51" t="str">
        <f>VLOOKUP(H3619,Stock_list!A:T,16,FALSE)</f>
        <v>RMB</v>
      </c>
      <c r="L3619" s="141">
        <v>44854</v>
      </c>
      <c r="M3619" s="143">
        <v>6</v>
      </c>
      <c r="P3619" s="4" t="str">
        <f>VLOOKUP(H3619,Stock_list!A:Y,25,FALSE)</f>
        <v>Yes</v>
      </c>
      <c r="T3619" s="144"/>
      <c r="U3619" s="145" t="str">
        <f>VLOOKUP(H3619,Stock_list!A:N,14,FALSE)</f>
        <v>OCT 22</v>
      </c>
    </row>
    <row r="3620" spans="1:21" ht="16.5" customHeight="1">
      <c r="A3620" s="159" t="s">
        <v>2749</v>
      </c>
      <c r="B3620" s="114" t="str">
        <f>VLOOKUP(A3620,'Data pick slip'!B:F,5,FALSE)</f>
        <v>KHJ-MC500-00</v>
      </c>
      <c r="F3620" s="157" t="s">
        <v>2753</v>
      </c>
      <c r="H3620" s="138">
        <v>1739</v>
      </c>
      <c r="I3620" s="139" t="str">
        <f>VLOOKUP(H3620,Stock_list!A:R,18,FALSE)</f>
        <v>锐诚</v>
      </c>
      <c r="J3620" s="139" t="str">
        <f>VLOOKUP(H3620,Stock_list!A:S,17,FALSE)</f>
        <v>C49SZX20220106SX</v>
      </c>
      <c r="K3620" s="51" t="str">
        <f>VLOOKUP(H3620,Stock_list!A:T,16,FALSE)</f>
        <v>RMB</v>
      </c>
      <c r="L3620" s="141">
        <v>44854</v>
      </c>
      <c r="M3620" s="143">
        <v>1</v>
      </c>
      <c r="P3620" s="4" t="str">
        <f>VLOOKUP(H3620,Stock_list!A:Y,25,FALSE)</f>
        <v>Yes</v>
      </c>
      <c r="T3620" s="144"/>
      <c r="U3620" s="145" t="str">
        <f>VLOOKUP(H3620,Stock_list!A:N,14,FALSE)</f>
        <v>OCT 22</v>
      </c>
    </row>
    <row r="3621" spans="1:21" ht="16.5" customHeight="1">
      <c r="A3621" s="159" t="s">
        <v>2750</v>
      </c>
      <c r="B3621" s="114" t="str">
        <f>VLOOKUP(A3621,'Data pick slip'!B:F,5,FALSE)</f>
        <v>KHJ-MC600-00</v>
      </c>
      <c r="F3621" s="157" t="s">
        <v>2753</v>
      </c>
      <c r="H3621" s="138">
        <v>1739</v>
      </c>
      <c r="I3621" s="139" t="str">
        <f>VLOOKUP(H3621,Stock_list!A:R,18,FALSE)</f>
        <v>锐诚</v>
      </c>
      <c r="J3621" s="139" t="str">
        <f>VLOOKUP(H3621,Stock_list!A:S,17,FALSE)</f>
        <v>C49SZX20220106SX</v>
      </c>
      <c r="K3621" s="51" t="str">
        <f>VLOOKUP(H3621,Stock_list!A:T,16,FALSE)</f>
        <v>RMB</v>
      </c>
      <c r="L3621" s="141">
        <v>44854</v>
      </c>
      <c r="M3621" s="143">
        <v>1</v>
      </c>
      <c r="P3621" s="4" t="str">
        <f>VLOOKUP(H3621,Stock_list!A:Y,25,FALSE)</f>
        <v>Yes</v>
      </c>
      <c r="T3621" s="144"/>
      <c r="U3621" s="145" t="str">
        <f>VLOOKUP(H3621,Stock_list!A:N,14,FALSE)</f>
        <v>OCT 22</v>
      </c>
    </row>
    <row r="3622" spans="1:21" ht="16.5" customHeight="1">
      <c r="A3622" s="159" t="s">
        <v>2744</v>
      </c>
      <c r="B3622" s="114" t="str">
        <f>VLOOKUP(A3622,'Data pick slip'!B:F,5,FALSE)</f>
        <v>KHJ-MC100-00</v>
      </c>
      <c r="F3622" s="157" t="s">
        <v>2753</v>
      </c>
      <c r="H3622" s="138">
        <v>1739</v>
      </c>
      <c r="I3622" s="139" t="str">
        <f>VLOOKUP(H3622,Stock_list!A:R,18,FALSE)</f>
        <v>锐诚</v>
      </c>
      <c r="J3622" s="139" t="str">
        <f>VLOOKUP(H3622,Stock_list!A:S,17,FALSE)</f>
        <v>C49SZX20220106SX</v>
      </c>
      <c r="K3622" s="51" t="str">
        <f>VLOOKUP(H3622,Stock_list!A:T,16,FALSE)</f>
        <v>RMB</v>
      </c>
      <c r="L3622" s="141">
        <v>44848</v>
      </c>
      <c r="M3622" s="140">
        <v>2</v>
      </c>
      <c r="P3622" s="4" t="str">
        <f>VLOOKUP(H3622,Stock_list!A:Y,25,FALSE)</f>
        <v>Yes</v>
      </c>
      <c r="Q3622" s="143"/>
      <c r="T3622" s="144"/>
      <c r="U3622" s="145" t="str">
        <f>VLOOKUP(H3622,Stock_list!A:N,14,FALSE)</f>
        <v>OCT 22</v>
      </c>
    </row>
    <row r="3623" spans="1:21" ht="16.5" customHeight="1">
      <c r="A3623" s="159" t="s">
        <v>2744</v>
      </c>
      <c r="B3623" s="114" t="str">
        <f>VLOOKUP(A3623,'Data pick slip'!B:F,5,FALSE)</f>
        <v>KHJ-MC100-00</v>
      </c>
      <c r="F3623" s="157" t="s">
        <v>2753</v>
      </c>
      <c r="H3623" s="138">
        <v>1740</v>
      </c>
      <c r="I3623" s="139" t="str">
        <f>VLOOKUP(H3623,Stock_list!A:R,18,FALSE)</f>
        <v>朗特</v>
      </c>
      <c r="J3623" s="139" t="str">
        <f>VLOOKUP(H3623,Stock_list!A:S,17,FALSE)</f>
        <v>C49SZX20220107DZ</v>
      </c>
      <c r="K3623" s="51" t="str">
        <f>VLOOKUP(H3623,Stock_list!A:T,16,FALSE)</f>
        <v>RMB</v>
      </c>
      <c r="L3623" s="4">
        <v>44853</v>
      </c>
      <c r="M3623" s="143">
        <v>240</v>
      </c>
      <c r="P3623" s="4" t="str">
        <f>VLOOKUP(H3623,Stock_list!A:Y,25,FALSE)</f>
        <v>Yes</v>
      </c>
      <c r="Q3623" s="143"/>
      <c r="T3623" s="144"/>
      <c r="U3623" s="145" t="str">
        <f>VLOOKUP(H3623,Stock_list!A:N,14,FALSE)</f>
        <v>OCT 22</v>
      </c>
    </row>
    <row r="3624" spans="1:21" ht="16.5" customHeight="1">
      <c r="A3624" s="159" t="s">
        <v>2747</v>
      </c>
      <c r="B3624" s="114" t="str">
        <f>VLOOKUP(A3624,'Data pick slip'!B:F,5,FALSE)</f>
        <v>KHJ-MC200-00</v>
      </c>
      <c r="F3624" s="157" t="s">
        <v>2753</v>
      </c>
      <c r="H3624" s="138">
        <v>1740</v>
      </c>
      <c r="I3624" s="139" t="str">
        <f>VLOOKUP(H3624,Stock_list!A:R,18,FALSE)</f>
        <v>朗特</v>
      </c>
      <c r="J3624" s="139" t="str">
        <f>VLOOKUP(H3624,Stock_list!A:S,17,FALSE)</f>
        <v>C49SZX20220107DZ</v>
      </c>
      <c r="K3624" s="51" t="str">
        <f>VLOOKUP(H3624,Stock_list!A:T,16,FALSE)</f>
        <v>RMB</v>
      </c>
      <c r="L3624" s="4">
        <v>44853</v>
      </c>
      <c r="M3624" s="143">
        <v>60</v>
      </c>
      <c r="P3624" s="4" t="str">
        <f>VLOOKUP(H3624,Stock_list!A:Y,25,FALSE)</f>
        <v>Yes</v>
      </c>
      <c r="Q3624" s="143"/>
      <c r="T3624" s="144"/>
      <c r="U3624" s="145" t="str">
        <f>VLOOKUP(H3624,Stock_list!A:N,14,FALSE)</f>
        <v>OCT 22</v>
      </c>
    </row>
    <row r="3625" spans="1:21" ht="16.5" customHeight="1">
      <c r="A3625" s="159" t="s">
        <v>2748</v>
      </c>
      <c r="B3625" s="114" t="str">
        <f>VLOOKUP(A3625,'Data pick slip'!B:F,5,FALSE)</f>
        <v>KHJ-MC400-00</v>
      </c>
      <c r="F3625" s="157" t="s">
        <v>2753</v>
      </c>
      <c r="H3625" s="138">
        <v>1740</v>
      </c>
      <c r="I3625" s="139" t="str">
        <f>VLOOKUP(H3625,Stock_list!A:R,18,FALSE)</f>
        <v>朗特</v>
      </c>
      <c r="J3625" s="139" t="str">
        <f>VLOOKUP(H3625,Stock_list!A:S,17,FALSE)</f>
        <v>C49SZX20220107DZ</v>
      </c>
      <c r="K3625" s="51" t="str">
        <f>VLOOKUP(H3625,Stock_list!A:T,16,FALSE)</f>
        <v>RMB</v>
      </c>
      <c r="L3625" s="4">
        <v>44853</v>
      </c>
      <c r="M3625" s="143">
        <v>30</v>
      </c>
      <c r="P3625" s="4" t="str">
        <f>VLOOKUP(H3625,Stock_list!A:Y,25,FALSE)</f>
        <v>Yes</v>
      </c>
      <c r="Q3625" s="143"/>
      <c r="T3625" s="144"/>
      <c r="U3625" s="145" t="str">
        <f>VLOOKUP(H3625,Stock_list!A:N,14,FALSE)</f>
        <v>OCT 22</v>
      </c>
    </row>
    <row r="3626" spans="1:21" ht="16.5" customHeight="1">
      <c r="A3626" s="159" t="s">
        <v>2749</v>
      </c>
      <c r="B3626" s="114" t="str">
        <f>VLOOKUP(A3626,'Data pick slip'!B:F,5,FALSE)</f>
        <v>KHJ-MC500-00</v>
      </c>
      <c r="F3626" s="157" t="s">
        <v>2753</v>
      </c>
      <c r="H3626" s="138">
        <v>1740</v>
      </c>
      <c r="I3626" s="139" t="str">
        <f>VLOOKUP(H3626,Stock_list!A:R,18,FALSE)</f>
        <v>朗特</v>
      </c>
      <c r="J3626" s="139" t="str">
        <f>VLOOKUP(H3626,Stock_list!A:S,17,FALSE)</f>
        <v>C49SZX20220107DZ</v>
      </c>
      <c r="K3626" s="51" t="str">
        <f>VLOOKUP(H3626,Stock_list!A:T,16,FALSE)</f>
        <v>RMB</v>
      </c>
      <c r="L3626" s="4">
        <v>44853</v>
      </c>
      <c r="M3626" s="143">
        <v>8</v>
      </c>
      <c r="P3626" s="4" t="str">
        <f>VLOOKUP(H3626,Stock_list!A:Y,25,FALSE)</f>
        <v>Yes</v>
      </c>
      <c r="Q3626" s="143"/>
      <c r="T3626" s="144"/>
      <c r="U3626" s="145" t="str">
        <f>VLOOKUP(H3626,Stock_list!A:N,14,FALSE)</f>
        <v>OCT 22</v>
      </c>
    </row>
    <row r="3627" spans="1:21" ht="16.5" customHeight="1">
      <c r="A3627" s="159" t="s">
        <v>2750</v>
      </c>
      <c r="B3627" s="114" t="str">
        <f>VLOOKUP(A3627,'Data pick slip'!B:F,5,FALSE)</f>
        <v>KHJ-MC600-00</v>
      </c>
      <c r="F3627" s="157" t="s">
        <v>2753</v>
      </c>
      <c r="H3627" s="138">
        <v>1740</v>
      </c>
      <c r="I3627" s="139" t="str">
        <f>VLOOKUP(H3627,Stock_list!A:R,18,FALSE)</f>
        <v>朗特</v>
      </c>
      <c r="J3627" s="139" t="str">
        <f>VLOOKUP(H3627,Stock_list!A:S,17,FALSE)</f>
        <v>C49SZX20220107DZ</v>
      </c>
      <c r="K3627" s="51" t="str">
        <f>VLOOKUP(H3627,Stock_list!A:T,16,FALSE)</f>
        <v>RMB</v>
      </c>
      <c r="L3627" s="4">
        <v>44853</v>
      </c>
      <c r="M3627" s="143">
        <v>4</v>
      </c>
      <c r="P3627" s="4" t="str">
        <f>VLOOKUP(H3627,Stock_list!A:Y,25,FALSE)</f>
        <v>Yes</v>
      </c>
      <c r="Q3627" s="143"/>
      <c r="T3627" s="144"/>
      <c r="U3627" s="145" t="str">
        <f>VLOOKUP(H3627,Stock_list!A:N,14,FALSE)</f>
        <v>OCT 22</v>
      </c>
    </row>
    <row r="3628" spans="1:21" ht="16.5" customHeight="1">
      <c r="A3628" s="159" t="s">
        <v>2744</v>
      </c>
      <c r="B3628" s="114" t="str">
        <f>VLOOKUP(A3628,'Data pick slip'!B:F,5,FALSE)</f>
        <v>KHJ-MC100-00</v>
      </c>
      <c r="F3628" s="157" t="s">
        <v>1381</v>
      </c>
      <c r="H3628" s="138">
        <v>1747</v>
      </c>
      <c r="I3628" s="139" t="str">
        <f>VLOOKUP(H3628,Stock_list!A:R,18,FALSE)</f>
        <v>银杏（虽然机器安装在银杏，但是给到Yamaha的资料都是三才）</v>
      </c>
      <c r="J3628" s="139" t="str">
        <f>VLOOKUP(H3628,Stock_list!A:S,17,FALSE)</f>
        <v>C49SZX20220103SS</v>
      </c>
      <c r="K3628" s="51" t="str">
        <f>VLOOKUP(H3628,Stock_list!A:T,16,FALSE)</f>
        <v>JPY</v>
      </c>
      <c r="L3628" s="4">
        <v>44865</v>
      </c>
      <c r="M3628" s="143">
        <v>112</v>
      </c>
      <c r="P3628" s="4" t="str">
        <f>VLOOKUP(H3628,Stock_list!A:Y,25,FALSE)</f>
        <v>Yes</v>
      </c>
      <c r="T3628" s="144"/>
      <c r="U3628" s="145" t="str">
        <f>VLOOKUP(H3628,Stock_list!A:N,14,FALSE)</f>
        <v>OCT 22</v>
      </c>
    </row>
    <row r="3629" spans="1:21" ht="16.5" customHeight="1">
      <c r="A3629" s="159" t="s">
        <v>2747</v>
      </c>
      <c r="B3629" s="114" t="str">
        <f>VLOOKUP(A3629,'Data pick slip'!B:F,5,FALSE)</f>
        <v>KHJ-MC200-00</v>
      </c>
      <c r="F3629" s="157" t="s">
        <v>1381</v>
      </c>
      <c r="H3629" s="138">
        <v>1747</v>
      </c>
      <c r="I3629" s="139" t="str">
        <f>VLOOKUP(H3629,Stock_list!A:R,18,FALSE)</f>
        <v>银杏（虽然机器安装在银杏，但是给到Yamaha的资料都是三才）</v>
      </c>
      <c r="J3629" s="139" t="str">
        <f>VLOOKUP(H3629,Stock_list!A:S,17,FALSE)</f>
        <v>C49SZX20220103SS</v>
      </c>
      <c r="K3629" s="51" t="str">
        <f>VLOOKUP(H3629,Stock_list!A:T,16,FALSE)</f>
        <v>JPY</v>
      </c>
      <c r="L3629" s="4">
        <v>44865</v>
      </c>
      <c r="M3629" s="143">
        <v>35</v>
      </c>
      <c r="P3629" s="4" t="str">
        <f>VLOOKUP(H3629,Stock_list!A:Y,25,FALSE)</f>
        <v>Yes</v>
      </c>
      <c r="T3629" s="144"/>
      <c r="U3629" s="145" t="str">
        <f>VLOOKUP(H3629,Stock_list!A:N,14,FALSE)</f>
        <v>OCT 22</v>
      </c>
    </row>
    <row r="3630" spans="1:21" ht="16.5" customHeight="1">
      <c r="A3630" s="159" t="s">
        <v>2748</v>
      </c>
      <c r="B3630" s="114" t="str">
        <f>VLOOKUP(A3630,'Data pick slip'!B:F,5,FALSE)</f>
        <v>KHJ-MC400-00</v>
      </c>
      <c r="F3630" s="157" t="s">
        <v>1381</v>
      </c>
      <c r="H3630" s="138">
        <v>1747</v>
      </c>
      <c r="I3630" s="139" t="str">
        <f>VLOOKUP(H3630,Stock_list!A:R,18,FALSE)</f>
        <v>银杏（虽然机器安装在银杏，但是给到Yamaha的资料都是三才）</v>
      </c>
      <c r="J3630" s="139" t="str">
        <f>VLOOKUP(H3630,Stock_list!A:S,17,FALSE)</f>
        <v>C49SZX20220103SS</v>
      </c>
      <c r="K3630" s="51" t="str">
        <f>VLOOKUP(H3630,Stock_list!A:T,16,FALSE)</f>
        <v>JPY</v>
      </c>
      <c r="L3630" s="4">
        <v>44865</v>
      </c>
      <c r="M3630" s="143">
        <v>12</v>
      </c>
      <c r="P3630" s="4" t="str">
        <f>VLOOKUP(H3630,Stock_list!A:Y,25,FALSE)</f>
        <v>Yes</v>
      </c>
      <c r="T3630" s="144"/>
      <c r="U3630" s="145" t="str">
        <f>VLOOKUP(H3630,Stock_list!A:N,14,FALSE)</f>
        <v>OCT 22</v>
      </c>
    </row>
    <row r="3631" spans="1:21" ht="16.5" customHeight="1">
      <c r="A3631" s="159" t="s">
        <v>2749</v>
      </c>
      <c r="B3631" s="114" t="str">
        <f>VLOOKUP(A3631,'Data pick slip'!B:F,5,FALSE)</f>
        <v>KHJ-MC500-00</v>
      </c>
      <c r="F3631" s="157" t="s">
        <v>1381</v>
      </c>
      <c r="H3631" s="138">
        <v>1747</v>
      </c>
      <c r="I3631" s="139" t="str">
        <f>VLOOKUP(H3631,Stock_list!A:R,18,FALSE)</f>
        <v>银杏（虽然机器安装在银杏，但是给到Yamaha的资料都是三才）</v>
      </c>
      <c r="J3631" s="139" t="str">
        <f>VLOOKUP(H3631,Stock_list!A:S,17,FALSE)</f>
        <v>C49SZX20220103SS</v>
      </c>
      <c r="K3631" s="51" t="str">
        <f>VLOOKUP(H3631,Stock_list!A:T,16,FALSE)</f>
        <v>JPY</v>
      </c>
      <c r="L3631" s="4">
        <v>44865</v>
      </c>
      <c r="M3631" s="143">
        <v>2</v>
      </c>
      <c r="P3631" s="4" t="str">
        <f>VLOOKUP(H3631,Stock_list!A:Y,25,FALSE)</f>
        <v>Yes</v>
      </c>
      <c r="T3631" s="144"/>
      <c r="U3631" s="145" t="str">
        <f>VLOOKUP(H3631,Stock_list!A:N,14,FALSE)</f>
        <v>OCT 22</v>
      </c>
    </row>
    <row r="3632" spans="1:21" ht="16.5" customHeight="1">
      <c r="A3632" s="159" t="s">
        <v>2750</v>
      </c>
      <c r="B3632" s="114" t="str">
        <f>VLOOKUP(A3632,'Data pick slip'!B:F,5,FALSE)</f>
        <v>KHJ-MC600-00</v>
      </c>
      <c r="F3632" s="157" t="s">
        <v>1381</v>
      </c>
      <c r="H3632" s="138">
        <v>1747</v>
      </c>
      <c r="I3632" s="139" t="str">
        <f>VLOOKUP(H3632,Stock_list!A:R,18,FALSE)</f>
        <v>银杏（虽然机器安装在银杏，但是给到Yamaha的资料都是三才）</v>
      </c>
      <c r="J3632" s="139" t="str">
        <f>VLOOKUP(H3632,Stock_list!A:S,17,FALSE)</f>
        <v>C49SZX20220103SS</v>
      </c>
      <c r="K3632" s="51" t="str">
        <f>VLOOKUP(H3632,Stock_list!A:T,16,FALSE)</f>
        <v>JPY</v>
      </c>
      <c r="L3632" s="4">
        <v>44865</v>
      </c>
      <c r="M3632" s="143">
        <v>6</v>
      </c>
      <c r="P3632" s="4" t="str">
        <f>VLOOKUP(H3632,Stock_list!A:Y,25,FALSE)</f>
        <v>Yes</v>
      </c>
      <c r="T3632" s="144"/>
      <c r="U3632" s="145" t="str">
        <f>VLOOKUP(H3632,Stock_list!A:N,14,FALSE)</f>
        <v>OCT 22</v>
      </c>
    </row>
    <row r="3633" spans="1:21" ht="16.5" customHeight="1">
      <c r="A3633" s="159" t="s">
        <v>2751</v>
      </c>
      <c r="B3633" s="114" t="str">
        <f>VLOOKUP(A3633,'Data pick slip'!B:F,5,FALSE)</f>
        <v>KHJ-MC700-00</v>
      </c>
      <c r="F3633" s="157" t="s">
        <v>1381</v>
      </c>
      <c r="H3633" s="138">
        <v>1747</v>
      </c>
      <c r="I3633" s="139" t="str">
        <f>VLOOKUP(H3633,Stock_list!A:R,18,FALSE)</f>
        <v>银杏（虽然机器安装在银杏，但是给到Yamaha的资料都是三才）</v>
      </c>
      <c r="J3633" s="139" t="str">
        <f>VLOOKUP(H3633,Stock_list!A:S,17,FALSE)</f>
        <v>C49SZX20220103SS</v>
      </c>
      <c r="K3633" s="51" t="str">
        <f>VLOOKUP(H3633,Stock_list!A:T,16,FALSE)</f>
        <v>JPY</v>
      </c>
      <c r="L3633" s="4">
        <v>44865</v>
      </c>
      <c r="M3633" s="143">
        <v>2</v>
      </c>
      <c r="P3633" s="4" t="str">
        <f>VLOOKUP(H3633,Stock_list!A:Y,25,FALSE)</f>
        <v>Yes</v>
      </c>
      <c r="T3633" s="144"/>
      <c r="U3633" s="145" t="str">
        <f>VLOOKUP(H3633,Stock_list!A:N,14,FALSE)</f>
        <v>OCT 22</v>
      </c>
    </row>
    <row r="3634" spans="1:21" ht="16.5" customHeight="1">
      <c r="A3634" s="159" t="s">
        <v>2744</v>
      </c>
      <c r="B3634" s="114" t="str">
        <f>VLOOKUP(A3634,'Data pick slip'!B:F,5,FALSE)</f>
        <v>KHJ-MC100-00</v>
      </c>
      <c r="F3634" s="157" t="s">
        <v>2753</v>
      </c>
      <c r="H3634" s="138">
        <v>1750</v>
      </c>
      <c r="I3634" s="139" t="str">
        <f>VLOOKUP(H3634,Stock_list!A:R,18,FALSE)</f>
        <v>格美通</v>
      </c>
      <c r="J3634" s="139" t="str">
        <f>VLOOKUP(H3634,Stock_list!A:S,17,FALSE)</f>
        <v>C49SZX20220093EC</v>
      </c>
      <c r="K3634" s="51" t="str">
        <f>VLOOKUP(H3634,Stock_list!A:T,16,FALSE)</f>
        <v>RMB</v>
      </c>
      <c r="L3634" s="4">
        <v>44868</v>
      </c>
      <c r="M3634" s="140">
        <v>60</v>
      </c>
      <c r="P3634" s="4" t="str">
        <f>VLOOKUP(H3634,Stock_list!A:Y,25,FALSE)</f>
        <v>Yes</v>
      </c>
      <c r="Q3634" s="143"/>
      <c r="T3634" s="144"/>
      <c r="U3634" s="145" t="str">
        <f>VLOOKUP(H3634,Stock_list!A:N,14,FALSE)</f>
        <v>NOV 22</v>
      </c>
    </row>
    <row r="3635" spans="1:21" ht="16.5" customHeight="1">
      <c r="A3635" s="159" t="s">
        <v>2744</v>
      </c>
      <c r="B3635" s="114" t="str">
        <f>VLOOKUP(A3635,'Data pick slip'!B:F,5,FALSE)</f>
        <v>KHJ-MC100-00</v>
      </c>
      <c r="F3635" s="157" t="s">
        <v>2753</v>
      </c>
      <c r="H3635" s="138">
        <v>1751</v>
      </c>
      <c r="I3635" s="139" t="str">
        <f>VLOOKUP(H3635,Stock_list!A:R,18,FALSE)</f>
        <v>比泰利</v>
      </c>
      <c r="J3635" s="139" t="str">
        <f>VLOOKUP(H3635,Stock_list!A:S,17,FALSE)</f>
        <v>C49SZX20220113DZ</v>
      </c>
      <c r="K3635" s="51" t="str">
        <f>VLOOKUP(H3635,Stock_list!A:T,16,FALSE)</f>
        <v>RMB</v>
      </c>
      <c r="L3635" s="4">
        <v>44880</v>
      </c>
      <c r="M3635" s="143">
        <v>300</v>
      </c>
      <c r="P3635" s="4" t="str">
        <f>VLOOKUP(H3635,Stock_list!A:Y,25,FALSE)</f>
        <v>Yes</v>
      </c>
      <c r="T3635" s="144"/>
      <c r="U3635" s="145" t="str">
        <f>VLOOKUP(H3635,Stock_list!A:N,14,FALSE)</f>
        <v>NOV 22</v>
      </c>
    </row>
    <row r="3636" spans="1:21" ht="16.5" customHeight="1">
      <c r="A3636" s="159" t="s">
        <v>2747</v>
      </c>
      <c r="B3636" s="114" t="str">
        <f>VLOOKUP(A3636,'Data pick slip'!B:F,5,FALSE)</f>
        <v>KHJ-MC200-00</v>
      </c>
      <c r="F3636" s="157" t="s">
        <v>2753</v>
      </c>
      <c r="H3636" s="138">
        <v>1751</v>
      </c>
      <c r="I3636" s="139" t="str">
        <f>VLOOKUP(H3636,Stock_list!A:R,18,FALSE)</f>
        <v>比泰利</v>
      </c>
      <c r="J3636" s="139" t="str">
        <f>VLOOKUP(H3636,Stock_list!A:S,17,FALSE)</f>
        <v>C49SZX20220113DZ</v>
      </c>
      <c r="K3636" s="51" t="str">
        <f>VLOOKUP(H3636,Stock_list!A:T,16,FALSE)</f>
        <v>RMB</v>
      </c>
      <c r="L3636" s="4">
        <v>44880</v>
      </c>
      <c r="M3636" s="143">
        <v>40</v>
      </c>
      <c r="P3636" s="4" t="str">
        <f>VLOOKUP(H3636,Stock_list!A:Y,25,FALSE)</f>
        <v>Yes</v>
      </c>
      <c r="T3636" s="144"/>
      <c r="U3636" s="145" t="str">
        <f>VLOOKUP(H3636,Stock_list!A:N,14,FALSE)</f>
        <v>NOV 22</v>
      </c>
    </row>
    <row r="3637" spans="1:21" ht="16.5" customHeight="1">
      <c r="A3637" s="159" t="s">
        <v>2748</v>
      </c>
      <c r="B3637" s="114" t="str">
        <f>VLOOKUP(A3637,'Data pick slip'!B:F,5,FALSE)</f>
        <v>KHJ-MC400-00</v>
      </c>
      <c r="F3637" s="157" t="s">
        <v>2753</v>
      </c>
      <c r="H3637" s="138">
        <v>1751</v>
      </c>
      <c r="I3637" s="139" t="str">
        <f>VLOOKUP(H3637,Stock_list!A:R,18,FALSE)</f>
        <v>比泰利</v>
      </c>
      <c r="J3637" s="139" t="str">
        <f>VLOOKUP(H3637,Stock_list!A:S,17,FALSE)</f>
        <v>C49SZX20220113DZ</v>
      </c>
      <c r="K3637" s="51" t="str">
        <f>VLOOKUP(H3637,Stock_list!A:T,16,FALSE)</f>
        <v>RMB</v>
      </c>
      <c r="L3637" s="4">
        <v>44880</v>
      </c>
      <c r="M3637" s="143">
        <v>12</v>
      </c>
      <c r="P3637" s="4" t="str">
        <f>VLOOKUP(H3637,Stock_list!A:Y,25,FALSE)</f>
        <v>Yes</v>
      </c>
      <c r="T3637" s="144"/>
      <c r="U3637" s="145" t="str">
        <f>VLOOKUP(H3637,Stock_list!A:N,14,FALSE)</f>
        <v>NOV 22</v>
      </c>
    </row>
    <row r="3638" spans="1:21" ht="16.5" customHeight="1">
      <c r="A3638" s="159" t="s">
        <v>2749</v>
      </c>
      <c r="B3638" s="114" t="str">
        <f>VLOOKUP(A3638,'Data pick slip'!B:F,5,FALSE)</f>
        <v>KHJ-MC500-00</v>
      </c>
      <c r="F3638" s="157" t="s">
        <v>2753</v>
      </c>
      <c r="H3638" s="138">
        <v>1751</v>
      </c>
      <c r="I3638" s="139" t="str">
        <f>VLOOKUP(H3638,Stock_list!A:R,18,FALSE)</f>
        <v>比泰利</v>
      </c>
      <c r="J3638" s="139" t="str">
        <f>VLOOKUP(H3638,Stock_list!A:S,17,FALSE)</f>
        <v>C49SZX20220113DZ</v>
      </c>
      <c r="K3638" s="51" t="str">
        <f>VLOOKUP(H3638,Stock_list!A:T,16,FALSE)</f>
        <v>RMB</v>
      </c>
      <c r="L3638" s="4">
        <v>44880</v>
      </c>
      <c r="M3638" s="143">
        <v>2</v>
      </c>
      <c r="P3638" s="4" t="str">
        <f>VLOOKUP(H3638,Stock_list!A:Y,25,FALSE)</f>
        <v>Yes</v>
      </c>
      <c r="T3638" s="144"/>
      <c r="U3638" s="145" t="str">
        <f>VLOOKUP(H3638,Stock_list!A:N,14,FALSE)</f>
        <v>NOV 22</v>
      </c>
    </row>
    <row r="3639" spans="1:21" ht="16.5" customHeight="1">
      <c r="A3639" s="159" t="s">
        <v>2750</v>
      </c>
      <c r="B3639" s="114" t="str">
        <f>VLOOKUP(A3639,'Data pick slip'!B:F,5,FALSE)</f>
        <v>KHJ-MC600-00</v>
      </c>
      <c r="F3639" s="157" t="s">
        <v>2753</v>
      </c>
      <c r="H3639" s="138">
        <v>1751</v>
      </c>
      <c r="I3639" s="139" t="str">
        <f>VLOOKUP(H3639,Stock_list!A:R,18,FALSE)</f>
        <v>比泰利</v>
      </c>
      <c r="J3639" s="139" t="str">
        <f>VLOOKUP(H3639,Stock_list!A:S,17,FALSE)</f>
        <v>C49SZX20220113DZ</v>
      </c>
      <c r="K3639" s="51" t="str">
        <f>VLOOKUP(H3639,Stock_list!A:T,16,FALSE)</f>
        <v>RMB</v>
      </c>
      <c r="L3639" s="4">
        <v>44880</v>
      </c>
      <c r="M3639" s="143">
        <v>2</v>
      </c>
      <c r="P3639" s="4" t="str">
        <f>VLOOKUP(H3639,Stock_list!A:Y,25,FALSE)</f>
        <v>Yes</v>
      </c>
      <c r="T3639" s="144"/>
      <c r="U3639" s="145" t="str">
        <f>VLOOKUP(H3639,Stock_list!A:N,14,FALSE)</f>
        <v>NOV 22</v>
      </c>
    </row>
    <row r="3640" spans="1:21" ht="16.5" customHeight="1">
      <c r="A3640" s="159" t="s">
        <v>2751</v>
      </c>
      <c r="B3640" s="114" t="str">
        <f>VLOOKUP(A3640,'Data pick slip'!B:F,5,FALSE)</f>
        <v>KHJ-MC700-00</v>
      </c>
      <c r="F3640" s="157" t="s">
        <v>2753</v>
      </c>
      <c r="H3640" s="138">
        <v>1751</v>
      </c>
      <c r="I3640" s="139" t="str">
        <f>VLOOKUP(H3640,Stock_list!A:R,18,FALSE)</f>
        <v>比泰利</v>
      </c>
      <c r="J3640" s="139" t="str">
        <f>VLOOKUP(H3640,Stock_list!A:S,17,FALSE)</f>
        <v>C49SZX20220113DZ</v>
      </c>
      <c r="K3640" s="51" t="str">
        <f>VLOOKUP(H3640,Stock_list!A:T,16,FALSE)</f>
        <v>RMB</v>
      </c>
      <c r="L3640" s="4">
        <v>44880</v>
      </c>
      <c r="M3640" s="143">
        <v>1</v>
      </c>
      <c r="P3640" s="4" t="str">
        <f>VLOOKUP(H3640,Stock_list!A:Y,25,FALSE)</f>
        <v>Yes</v>
      </c>
      <c r="T3640" s="144"/>
      <c r="U3640" s="145" t="str">
        <f>VLOOKUP(H3640,Stock_list!A:N,14,FALSE)</f>
        <v>NOV 22</v>
      </c>
    </row>
    <row r="3641" spans="1:21" ht="16.5" customHeight="1">
      <c r="A3641" s="159" t="s">
        <v>2744</v>
      </c>
      <c r="B3641" s="114" t="str">
        <f>VLOOKUP(A3641,'Data pick slip'!B:F,5,FALSE)</f>
        <v>KHJ-MC100-00</v>
      </c>
      <c r="F3641" s="157" t="s">
        <v>2753</v>
      </c>
      <c r="H3641" s="138">
        <v>1753</v>
      </c>
      <c r="I3641" s="139" t="str">
        <f>VLOOKUP(H3641,Stock_list!A:R,18,FALSE)</f>
        <v>永诺精密</v>
      </c>
      <c r="J3641" s="139" t="str">
        <f>VLOOKUP(H3641,Stock_list!A:S,17,FALSE)</f>
        <v>C49SZX20220112SX</v>
      </c>
      <c r="K3641" s="51" t="str">
        <f>VLOOKUP(H3641,Stock_list!A:T,16,FALSE)</f>
        <v>RMB</v>
      </c>
      <c r="L3641" s="4">
        <v>44887</v>
      </c>
      <c r="M3641" s="140">
        <v>10</v>
      </c>
      <c r="P3641" s="4" t="str">
        <f>VLOOKUP(H3641,Stock_list!A:Y,25,FALSE)</f>
        <v>Yes</v>
      </c>
      <c r="Q3641" s="143"/>
      <c r="T3641" s="144"/>
      <c r="U3641" s="145" t="str">
        <f>VLOOKUP(H3641,Stock_list!A:N,14,FALSE)</f>
        <v>NOV 22</v>
      </c>
    </row>
    <row r="3642" spans="1:21" ht="16.5" customHeight="1">
      <c r="A3642" s="159" t="s">
        <v>2744</v>
      </c>
      <c r="B3642" s="114" t="str">
        <f>VLOOKUP(A3642,'Data pick slip'!B:F,5,FALSE)</f>
        <v>KHJ-MC100-00</v>
      </c>
      <c r="F3642" s="157" t="s">
        <v>2753</v>
      </c>
      <c r="H3642" s="138">
        <v>1754</v>
      </c>
      <c r="I3642" s="139" t="str">
        <f>VLOOKUP(H3642,Stock_list!A:R,18,FALSE)</f>
        <v>深圳健科</v>
      </c>
      <c r="J3642" s="139" t="str">
        <f>VLOOKUP(H3642,Stock_list!A:S,17,FALSE)</f>
        <v>C49SZX20220119DZ</v>
      </c>
      <c r="K3642" s="51" t="str">
        <f>VLOOKUP(H3642,Stock_list!A:T,16,FALSE)</f>
        <v>RMB</v>
      </c>
      <c r="L3642" s="4">
        <v>44894</v>
      </c>
      <c r="M3642" s="143">
        <v>80</v>
      </c>
      <c r="P3642" s="4" t="str">
        <f>VLOOKUP(H3642,Stock_list!A:Y,25,FALSE)</f>
        <v>Yes</v>
      </c>
      <c r="T3642" s="144"/>
      <c r="U3642" s="145" t="str">
        <f>VLOOKUP(H3642,Stock_list!A:N,14,FALSE)</f>
        <v>NOV 22</v>
      </c>
    </row>
    <row r="3643" spans="1:21" ht="16.5" customHeight="1">
      <c r="A3643" s="159" t="s">
        <v>2747</v>
      </c>
      <c r="B3643" s="114" t="str">
        <f>VLOOKUP(A3643,'Data pick slip'!B:F,5,FALSE)</f>
        <v>KHJ-MC200-00</v>
      </c>
      <c r="F3643" s="157" t="s">
        <v>2753</v>
      </c>
      <c r="H3643" s="138">
        <v>1754</v>
      </c>
      <c r="I3643" s="139" t="str">
        <f>VLOOKUP(H3643,Stock_list!A:R,18,FALSE)</f>
        <v>深圳健科</v>
      </c>
      <c r="J3643" s="139" t="str">
        <f>VLOOKUP(H3643,Stock_list!A:S,17,FALSE)</f>
        <v>C49SZX20220119DZ</v>
      </c>
      <c r="K3643" s="51" t="str">
        <f>VLOOKUP(H3643,Stock_list!A:T,16,FALSE)</f>
        <v>RMB</v>
      </c>
      <c r="L3643" s="4">
        <v>44894</v>
      </c>
      <c r="M3643" s="143">
        <v>8</v>
      </c>
      <c r="P3643" s="4" t="str">
        <f>VLOOKUP(H3643,Stock_list!A:Y,25,FALSE)</f>
        <v>Yes</v>
      </c>
      <c r="T3643" s="144"/>
      <c r="U3643" s="145" t="str">
        <f>VLOOKUP(H3643,Stock_list!A:N,14,FALSE)</f>
        <v>NOV 22</v>
      </c>
    </row>
    <row r="3644" spans="1:21" ht="16.5" customHeight="1">
      <c r="A3644" s="159" t="s">
        <v>2749</v>
      </c>
      <c r="B3644" s="114" t="str">
        <f>VLOOKUP(A3644,'Data pick slip'!B:F,5,FALSE)</f>
        <v>KHJ-MC500-00</v>
      </c>
      <c r="F3644" s="157" t="s">
        <v>2753</v>
      </c>
      <c r="H3644" s="138">
        <v>1754</v>
      </c>
      <c r="I3644" s="139" t="str">
        <f>VLOOKUP(H3644,Stock_list!A:R,18,FALSE)</f>
        <v>深圳健科</v>
      </c>
      <c r="J3644" s="139" t="str">
        <f>VLOOKUP(H3644,Stock_list!A:S,17,FALSE)</f>
        <v>C49SZX20220119DZ</v>
      </c>
      <c r="K3644" s="51" t="str">
        <f>VLOOKUP(H3644,Stock_list!A:T,16,FALSE)</f>
        <v>RMB</v>
      </c>
      <c r="L3644" s="4">
        <v>44894</v>
      </c>
      <c r="M3644" s="143">
        <v>1</v>
      </c>
      <c r="P3644" s="4" t="str">
        <f>VLOOKUP(H3644,Stock_list!A:Y,25,FALSE)</f>
        <v>Yes</v>
      </c>
      <c r="T3644" s="144"/>
      <c r="U3644" s="145" t="str">
        <f>VLOOKUP(H3644,Stock_list!A:N,14,FALSE)</f>
        <v>NOV 22</v>
      </c>
    </row>
    <row r="3645" spans="1:21" ht="16.5" customHeight="1">
      <c r="A3645" s="159" t="s">
        <v>2750</v>
      </c>
      <c r="B3645" s="114" t="str">
        <f>VLOOKUP(A3645,'Data pick slip'!B:F,5,FALSE)</f>
        <v>KHJ-MC600-00</v>
      </c>
      <c r="F3645" s="157" t="s">
        <v>2753</v>
      </c>
      <c r="H3645" s="138">
        <v>1754</v>
      </c>
      <c r="I3645" s="139" t="str">
        <f>VLOOKUP(H3645,Stock_list!A:R,18,FALSE)</f>
        <v>深圳健科</v>
      </c>
      <c r="J3645" s="139" t="str">
        <f>VLOOKUP(H3645,Stock_list!A:S,17,FALSE)</f>
        <v>C49SZX20220119DZ</v>
      </c>
      <c r="K3645" s="51" t="str">
        <f>VLOOKUP(H3645,Stock_list!A:T,16,FALSE)</f>
        <v>RMB</v>
      </c>
      <c r="L3645" s="4">
        <v>44894</v>
      </c>
      <c r="M3645" s="143">
        <v>1</v>
      </c>
      <c r="P3645" s="4" t="str">
        <f>VLOOKUP(H3645,Stock_list!A:Y,25,FALSE)</f>
        <v>Yes</v>
      </c>
      <c r="T3645" s="144"/>
      <c r="U3645" s="145" t="str">
        <f>VLOOKUP(H3645,Stock_list!A:N,14,FALSE)</f>
        <v>NOV 22</v>
      </c>
    </row>
    <row r="3646" spans="1:21" ht="16.5" customHeight="1">
      <c r="A3646" s="159" t="s">
        <v>2751</v>
      </c>
      <c r="B3646" s="114" t="str">
        <f>VLOOKUP(A3646,'Data pick slip'!B:F,5,FALSE)</f>
        <v>KHJ-MC700-00</v>
      </c>
      <c r="F3646" s="157" t="s">
        <v>2753</v>
      </c>
      <c r="H3646" s="138">
        <v>1754</v>
      </c>
      <c r="I3646" s="139" t="str">
        <f>VLOOKUP(H3646,Stock_list!A:R,18,FALSE)</f>
        <v>深圳健科</v>
      </c>
      <c r="J3646" s="139" t="str">
        <f>VLOOKUP(H3646,Stock_list!A:S,17,FALSE)</f>
        <v>C49SZX20220119DZ</v>
      </c>
      <c r="K3646" s="51" t="str">
        <f>VLOOKUP(H3646,Stock_list!A:T,16,FALSE)</f>
        <v>RMB</v>
      </c>
      <c r="L3646" s="4">
        <v>44894</v>
      </c>
      <c r="M3646" s="143">
        <v>1</v>
      </c>
      <c r="P3646" s="4" t="str">
        <f>VLOOKUP(H3646,Stock_list!A:Y,25,FALSE)</f>
        <v>Yes</v>
      </c>
      <c r="T3646" s="144"/>
      <c r="U3646" s="145" t="str">
        <f>VLOOKUP(H3646,Stock_list!A:N,14,FALSE)</f>
        <v>NOV 22</v>
      </c>
    </row>
    <row r="3647" spans="1:21" ht="16.5" customHeight="1">
      <c r="A3647" s="159" t="s">
        <v>2744</v>
      </c>
      <c r="B3647" s="114" t="str">
        <f>VLOOKUP(A3647,'Data pick slip'!B:F,5,FALSE)</f>
        <v>KHJ-MC100-00</v>
      </c>
      <c r="F3647" s="157" t="s">
        <v>2753</v>
      </c>
      <c r="H3647" s="138">
        <v>1755</v>
      </c>
      <c r="I3647" s="139" t="str">
        <f>VLOOKUP(H3647,Stock_list!A:R,18,FALSE)</f>
        <v>朗特</v>
      </c>
      <c r="J3647" s="139" t="str">
        <f>VLOOKUP(H3647,Stock_list!A:S,17,FALSE)</f>
        <v>C49SZX20220117DZ</v>
      </c>
      <c r="K3647" s="51" t="str">
        <f>VLOOKUP(H3647,Stock_list!A:T,16,FALSE)</f>
        <v>RMB</v>
      </c>
      <c r="L3647" s="4">
        <v>44890</v>
      </c>
      <c r="M3647" s="143">
        <v>480</v>
      </c>
      <c r="P3647" s="4" t="str">
        <f>VLOOKUP(H3647,Stock_list!A:Y,25,FALSE)</f>
        <v>Yes</v>
      </c>
      <c r="T3647" s="144"/>
      <c r="U3647" s="145" t="str">
        <f>VLOOKUP(H3647,Stock_list!A:N,14,FALSE)</f>
        <v>NOV 22</v>
      </c>
    </row>
    <row r="3648" spans="1:21" ht="16.5" customHeight="1">
      <c r="A3648" s="159" t="s">
        <v>2747</v>
      </c>
      <c r="B3648" s="114" t="str">
        <f>VLOOKUP(A3648,'Data pick slip'!B:F,5,FALSE)</f>
        <v>KHJ-MC200-00</v>
      </c>
      <c r="F3648" s="157" t="s">
        <v>2753</v>
      </c>
      <c r="H3648" s="138">
        <v>1755</v>
      </c>
      <c r="I3648" s="139" t="str">
        <f>VLOOKUP(H3648,Stock_list!A:R,18,FALSE)</f>
        <v>朗特</v>
      </c>
      <c r="J3648" s="139" t="str">
        <f>VLOOKUP(H3648,Stock_list!A:S,17,FALSE)</f>
        <v>C49SZX20220117DZ</v>
      </c>
      <c r="K3648" s="51" t="str">
        <f>VLOOKUP(H3648,Stock_list!A:T,16,FALSE)</f>
        <v>RMB</v>
      </c>
      <c r="L3648" s="4">
        <v>44890</v>
      </c>
      <c r="M3648" s="143">
        <v>120</v>
      </c>
      <c r="P3648" s="4" t="str">
        <f>VLOOKUP(H3648,Stock_list!A:Y,25,FALSE)</f>
        <v>Yes</v>
      </c>
      <c r="T3648" s="144"/>
      <c r="U3648" s="145" t="str">
        <f>VLOOKUP(H3648,Stock_list!A:N,14,FALSE)</f>
        <v>NOV 22</v>
      </c>
    </row>
    <row r="3649" spans="1:21" ht="16.5" customHeight="1">
      <c r="A3649" s="159" t="s">
        <v>2748</v>
      </c>
      <c r="B3649" s="114" t="str">
        <f>VLOOKUP(A3649,'Data pick slip'!B:F,5,FALSE)</f>
        <v>KHJ-MC400-00</v>
      </c>
      <c r="F3649" s="157" t="s">
        <v>2753</v>
      </c>
      <c r="H3649" s="138">
        <v>1755</v>
      </c>
      <c r="I3649" s="139" t="str">
        <f>VLOOKUP(H3649,Stock_list!A:R,18,FALSE)</f>
        <v>朗特</v>
      </c>
      <c r="J3649" s="139" t="str">
        <f>VLOOKUP(H3649,Stock_list!A:S,17,FALSE)</f>
        <v>C49SZX20220117DZ</v>
      </c>
      <c r="K3649" s="51" t="str">
        <f>VLOOKUP(H3649,Stock_list!A:T,16,FALSE)</f>
        <v>RMB</v>
      </c>
      <c r="L3649" s="4">
        <v>44890</v>
      </c>
      <c r="M3649" s="143">
        <v>60</v>
      </c>
      <c r="P3649" s="4" t="str">
        <f>VLOOKUP(H3649,Stock_list!A:Y,25,FALSE)</f>
        <v>Yes</v>
      </c>
      <c r="T3649" s="144"/>
      <c r="U3649" s="145" t="str">
        <f>VLOOKUP(H3649,Stock_list!A:N,14,FALSE)</f>
        <v>NOV 22</v>
      </c>
    </row>
    <row r="3650" spans="1:21" ht="16.5" customHeight="1">
      <c r="A3650" s="159" t="s">
        <v>2749</v>
      </c>
      <c r="B3650" s="114" t="str">
        <f>VLOOKUP(A3650,'Data pick slip'!B:F,5,FALSE)</f>
        <v>KHJ-MC500-00</v>
      </c>
      <c r="F3650" s="157" t="s">
        <v>2753</v>
      </c>
      <c r="H3650" s="138">
        <v>1755</v>
      </c>
      <c r="I3650" s="139" t="str">
        <f>VLOOKUP(H3650,Stock_list!A:R,18,FALSE)</f>
        <v>朗特</v>
      </c>
      <c r="J3650" s="139" t="str">
        <f>VLOOKUP(H3650,Stock_list!A:S,17,FALSE)</f>
        <v>C49SZX20220117DZ</v>
      </c>
      <c r="K3650" s="51" t="str">
        <f>VLOOKUP(H3650,Stock_list!A:T,16,FALSE)</f>
        <v>RMB</v>
      </c>
      <c r="L3650" s="4">
        <v>44890</v>
      </c>
      <c r="M3650" s="143">
        <v>16</v>
      </c>
      <c r="P3650" s="4" t="str">
        <f>VLOOKUP(H3650,Stock_list!A:Y,25,FALSE)</f>
        <v>Yes</v>
      </c>
      <c r="T3650" s="144"/>
      <c r="U3650" s="145" t="str">
        <f>VLOOKUP(H3650,Stock_list!A:N,14,FALSE)</f>
        <v>NOV 22</v>
      </c>
    </row>
    <row r="3651" spans="1:21" ht="16.5" customHeight="1">
      <c r="A3651" s="159" t="s">
        <v>2750</v>
      </c>
      <c r="B3651" s="114" t="str">
        <f>VLOOKUP(A3651,'Data pick slip'!B:F,5,FALSE)</f>
        <v>KHJ-MC600-00</v>
      </c>
      <c r="F3651" s="157" t="s">
        <v>2753</v>
      </c>
      <c r="H3651" s="138">
        <v>1755</v>
      </c>
      <c r="I3651" s="139" t="str">
        <f>VLOOKUP(H3651,Stock_list!A:R,18,FALSE)</f>
        <v>朗特</v>
      </c>
      <c r="J3651" s="139" t="str">
        <f>VLOOKUP(H3651,Stock_list!A:S,17,FALSE)</f>
        <v>C49SZX20220117DZ</v>
      </c>
      <c r="K3651" s="51" t="str">
        <f>VLOOKUP(H3651,Stock_list!A:T,16,FALSE)</f>
        <v>RMB</v>
      </c>
      <c r="L3651" s="4">
        <v>44890</v>
      </c>
      <c r="M3651" s="143">
        <v>6</v>
      </c>
      <c r="P3651" s="4" t="str">
        <f>VLOOKUP(H3651,Stock_list!A:Y,25,FALSE)</f>
        <v>Yes</v>
      </c>
      <c r="T3651" s="144"/>
      <c r="U3651" s="145" t="str">
        <f>VLOOKUP(H3651,Stock_list!A:N,14,FALSE)</f>
        <v>NOV 22</v>
      </c>
    </row>
    <row r="3652" spans="1:21" ht="16.5" customHeight="1">
      <c r="A3652" s="159" t="s">
        <v>2744</v>
      </c>
      <c r="B3652" s="114" t="str">
        <f>VLOOKUP(A3652,'Data pick slip'!B:F,5,FALSE)</f>
        <v>KHJ-MC100-00</v>
      </c>
      <c r="F3652" s="157" t="s">
        <v>2753</v>
      </c>
      <c r="H3652" s="138">
        <v>1763</v>
      </c>
      <c r="I3652" s="139" t="str">
        <f>VLOOKUP(H3652,Stock_list!A:R,18,FALSE)</f>
        <v>莫思特</v>
      </c>
      <c r="J3652" s="139" t="str">
        <f>VLOOKUP(H3652,Stock_list!A:S,17,FALSE)</f>
        <v>C49SZX20220122SX</v>
      </c>
      <c r="K3652" s="51" t="str">
        <f>VLOOKUP(H3652,Stock_list!A:T,16,FALSE)</f>
        <v>RMB</v>
      </c>
      <c r="L3652" s="4">
        <v>44900</v>
      </c>
      <c r="M3652" s="143">
        <v>30</v>
      </c>
      <c r="P3652" s="4" t="str">
        <f>VLOOKUP(H3652,Stock_list!A:Y,25,FALSE)</f>
        <v>Yes</v>
      </c>
      <c r="T3652" s="144"/>
      <c r="U3652" s="145" t="str">
        <f>VLOOKUP(H3652,Stock_list!A:N,14,FALSE)</f>
        <v>DEC 22</v>
      </c>
    </row>
    <row r="3653" spans="1:21" ht="16.5" customHeight="1">
      <c r="A3653" s="159" t="s">
        <v>2747</v>
      </c>
      <c r="B3653" s="114" t="str">
        <f>VLOOKUP(A3653,'Data pick slip'!B:F,5,FALSE)</f>
        <v>KHJ-MC200-00</v>
      </c>
      <c r="F3653" s="157" t="s">
        <v>2753</v>
      </c>
      <c r="H3653" s="138">
        <v>1763</v>
      </c>
      <c r="I3653" s="139" t="str">
        <f>VLOOKUP(H3653,Stock_list!A:R,18,FALSE)</f>
        <v>莫思特</v>
      </c>
      <c r="J3653" s="139" t="str">
        <f>VLOOKUP(H3653,Stock_list!A:S,17,FALSE)</f>
        <v>C49SZX20220122SX</v>
      </c>
      <c r="K3653" s="51" t="str">
        <f>VLOOKUP(H3653,Stock_list!A:T,16,FALSE)</f>
        <v>RMB</v>
      </c>
      <c r="L3653" s="4">
        <v>44900</v>
      </c>
      <c r="M3653" s="143">
        <v>10</v>
      </c>
      <c r="P3653" s="4" t="str">
        <f>VLOOKUP(H3653,Stock_list!A:Y,25,FALSE)</f>
        <v>Yes</v>
      </c>
      <c r="T3653" s="144"/>
      <c r="U3653" s="145" t="str">
        <f>VLOOKUP(H3653,Stock_list!A:N,14,FALSE)</f>
        <v>DEC 22</v>
      </c>
    </row>
    <row r="3654" spans="1:21" ht="16.5" customHeight="1">
      <c r="A3654" s="159" t="s">
        <v>2748</v>
      </c>
      <c r="B3654" s="114" t="str">
        <f>VLOOKUP(A3654,'Data pick slip'!B:F,5,FALSE)</f>
        <v>KHJ-MC400-00</v>
      </c>
      <c r="F3654" s="157" t="s">
        <v>2753</v>
      </c>
      <c r="H3654" s="138">
        <v>1763</v>
      </c>
      <c r="I3654" s="139" t="str">
        <f>VLOOKUP(H3654,Stock_list!A:R,18,FALSE)</f>
        <v>莫思特</v>
      </c>
      <c r="J3654" s="139" t="str">
        <f>VLOOKUP(H3654,Stock_list!A:S,17,FALSE)</f>
        <v>C49SZX20220122SX</v>
      </c>
      <c r="K3654" s="51" t="str">
        <f>VLOOKUP(H3654,Stock_list!A:T,16,FALSE)</f>
        <v>RMB</v>
      </c>
      <c r="L3654" s="4">
        <v>44900</v>
      </c>
      <c r="M3654" s="143">
        <v>5</v>
      </c>
      <c r="P3654" s="4" t="str">
        <f>VLOOKUP(H3654,Stock_list!A:Y,25,FALSE)</f>
        <v>Yes</v>
      </c>
      <c r="T3654" s="144"/>
      <c r="U3654" s="145" t="str">
        <f>VLOOKUP(H3654,Stock_list!A:N,14,FALSE)</f>
        <v>DEC 22</v>
      </c>
    </row>
    <row r="3655" spans="1:21" ht="16.5" customHeight="1">
      <c r="A3655" s="159" t="s">
        <v>2744</v>
      </c>
      <c r="B3655" s="114" t="str">
        <f>VLOOKUP(A3655,'Data pick slip'!B:F,5,FALSE)</f>
        <v>KHJ-MC100-00</v>
      </c>
      <c r="F3655" s="157" t="s">
        <v>2753</v>
      </c>
      <c r="H3655" s="138">
        <v>1764</v>
      </c>
      <c r="I3655" s="139" t="str">
        <f>VLOOKUP(H3655,Stock_list!A:R,18,FALSE)</f>
        <v>乐迪泰</v>
      </c>
      <c r="J3655" s="139" t="str">
        <f>VLOOKUP(H3655,Stock_list!A:S,17,FALSE)</f>
        <v>C49SZX20220125RZ</v>
      </c>
      <c r="K3655" s="51" t="str">
        <f>VLOOKUP(H3655,Stock_list!A:T,16,FALSE)</f>
        <v>RMB</v>
      </c>
      <c r="L3655" s="4"/>
      <c r="N3655" s="143">
        <v>10</v>
      </c>
      <c r="P3655" s="4" t="str">
        <f>VLOOKUP(H3655,Stock_list!A:Y,25,FALSE)</f>
        <v>Yes</v>
      </c>
      <c r="Q3655" s="143"/>
      <c r="T3655" s="144"/>
      <c r="U3655" s="145" t="str">
        <f>VLOOKUP(H3655,Stock_list!A:N,14,FALSE)</f>
        <v>DEC 22</v>
      </c>
    </row>
    <row r="3656" spans="1:21" ht="16.5" customHeight="1">
      <c r="A3656" s="159" t="s">
        <v>2747</v>
      </c>
      <c r="B3656" s="114" t="str">
        <f>VLOOKUP(A3656,'Data pick slip'!B:F,5,FALSE)</f>
        <v>KHJ-MC200-00</v>
      </c>
      <c r="F3656" s="157" t="s">
        <v>2753</v>
      </c>
      <c r="H3656" s="138">
        <v>1764</v>
      </c>
      <c r="I3656" s="139" t="str">
        <f>VLOOKUP(H3656,Stock_list!A:R,18,FALSE)</f>
        <v>乐迪泰</v>
      </c>
      <c r="J3656" s="139" t="str">
        <f>VLOOKUP(H3656,Stock_list!A:S,17,FALSE)</f>
        <v>C49SZX20220125RZ</v>
      </c>
      <c r="K3656" s="51" t="str">
        <f>VLOOKUP(H3656,Stock_list!A:T,16,FALSE)</f>
        <v>RMB</v>
      </c>
      <c r="L3656" s="4"/>
      <c r="N3656" s="143">
        <v>10</v>
      </c>
      <c r="P3656" s="4" t="str">
        <f>VLOOKUP(H3656,Stock_list!A:Y,25,FALSE)</f>
        <v>Yes</v>
      </c>
      <c r="Q3656" s="143"/>
      <c r="T3656" s="144"/>
      <c r="U3656" s="145" t="str">
        <f>VLOOKUP(H3656,Stock_list!A:N,14,FALSE)</f>
        <v>DEC 22</v>
      </c>
    </row>
    <row r="3657" spans="1:21" ht="16.5" customHeight="1">
      <c r="A3657" s="159" t="s">
        <v>2755</v>
      </c>
      <c r="B3657" s="114" t="str">
        <f>VLOOKUP(A3657,'Data pick slip'!B:F,5,FALSE)</f>
        <v>KLJ-MC100-00</v>
      </c>
      <c r="F3657" s="157" t="s">
        <v>2753</v>
      </c>
      <c r="H3657" s="138">
        <v>1767</v>
      </c>
      <c r="I3657" s="139" t="str">
        <f>VLOOKUP(H3657,Stock_list!A:R,18,FALSE)</f>
        <v>龙大光电</v>
      </c>
      <c r="J3657" s="139" t="str">
        <f>VLOOKUP(H3657,Stock_list!A:S,17,FALSE)</f>
        <v>C49SZX20220110SS</v>
      </c>
      <c r="K3657" s="51" t="str">
        <f>VLOOKUP(H3657,Stock_list!A:T,16,FALSE)</f>
        <v>RMB</v>
      </c>
      <c r="L3657" s="4"/>
      <c r="N3657" s="132">
        <v>6</v>
      </c>
      <c r="P3657" s="4" t="str">
        <f>VLOOKUP(H3657,Stock_list!A:Y,25,FALSE)</f>
        <v>Yes</v>
      </c>
      <c r="Q3657" s="143"/>
      <c r="T3657" s="144"/>
      <c r="U3657" s="145" t="str">
        <f>VLOOKUP(H3657,Stock_list!A:N,14,FALSE)</f>
        <v>DEC 22</v>
      </c>
    </row>
    <row r="3658" spans="1:21" ht="16.5" customHeight="1">
      <c r="A3658" s="159" t="s">
        <v>2744</v>
      </c>
      <c r="B3658" s="114" t="str">
        <f>VLOOKUP(A3658,'Data pick slip'!B:F,5,FALSE)</f>
        <v>KHJ-MC100-00</v>
      </c>
      <c r="F3658" s="157" t="s">
        <v>2762</v>
      </c>
      <c r="H3658" s="138">
        <v>1770</v>
      </c>
      <c r="I3658" s="139" t="str">
        <f>VLOOKUP(H3658,Stock_list!A:R,18,FALSE)</f>
        <v>益田科技</v>
      </c>
      <c r="J3658" s="139" t="str">
        <f>VLOOKUP(H3658,Stock_list!A:S,17,FALSE)</f>
        <v>C49SZX20220130SX</v>
      </c>
      <c r="K3658" s="51" t="str">
        <f>VLOOKUP(H3658,Stock_list!A:T,16,FALSE)</f>
        <v>RMB</v>
      </c>
      <c r="L3658" s="4"/>
      <c r="P3658" s="4" t="str">
        <f>VLOOKUP(H3658,Stock_list!A:Y,25,FALSE)</f>
        <v>Yes</v>
      </c>
      <c r="Q3658" s="143">
        <v>113</v>
      </c>
      <c r="T3658" s="144"/>
      <c r="U3658" s="145" t="str">
        <f>VLOOKUP(H3658,Stock_list!A:N,14,FALSE)</f>
        <v>FEB 23</v>
      </c>
    </row>
    <row r="3659" spans="1:21" ht="16.5" customHeight="1">
      <c r="A3659" s="159" t="s">
        <v>2747</v>
      </c>
      <c r="B3659" s="114" t="str">
        <f>VLOOKUP(A3659,'Data pick slip'!B:F,5,FALSE)</f>
        <v>KHJ-MC200-00</v>
      </c>
      <c r="F3659" s="157" t="s">
        <v>2762</v>
      </c>
      <c r="H3659" s="138">
        <v>1770</v>
      </c>
      <c r="I3659" s="139" t="str">
        <f>VLOOKUP(H3659,Stock_list!A:R,18,FALSE)</f>
        <v>益田科技</v>
      </c>
      <c r="J3659" s="139" t="str">
        <f>VLOOKUP(H3659,Stock_list!A:S,17,FALSE)</f>
        <v>C49SZX20220130SX</v>
      </c>
      <c r="K3659" s="51" t="str">
        <f>VLOOKUP(H3659,Stock_list!A:T,16,FALSE)</f>
        <v>RMB</v>
      </c>
      <c r="L3659" s="4"/>
      <c r="P3659" s="4" t="str">
        <f>VLOOKUP(H3659,Stock_list!A:Y,25,FALSE)</f>
        <v>Yes</v>
      </c>
      <c r="Q3659" s="143">
        <v>10</v>
      </c>
      <c r="T3659" s="144"/>
      <c r="U3659" s="145" t="str">
        <f>VLOOKUP(H3659,Stock_list!A:N,14,FALSE)</f>
        <v>FEB 23</v>
      </c>
    </row>
    <row r="3660" spans="1:21" ht="16.5" customHeight="1">
      <c r="A3660" s="159" t="s">
        <v>2748</v>
      </c>
      <c r="B3660" s="114" t="str">
        <f>VLOOKUP(A3660,'Data pick slip'!B:F,5,FALSE)</f>
        <v>KHJ-MC400-00</v>
      </c>
      <c r="F3660" s="157" t="s">
        <v>2762</v>
      </c>
      <c r="H3660" s="138">
        <v>1770</v>
      </c>
      <c r="I3660" s="139" t="str">
        <f>VLOOKUP(H3660,Stock_list!A:R,18,FALSE)</f>
        <v>益田科技</v>
      </c>
      <c r="J3660" s="139" t="str">
        <f>VLOOKUP(H3660,Stock_list!A:S,17,FALSE)</f>
        <v>C49SZX20220130SX</v>
      </c>
      <c r="K3660" s="51" t="str">
        <f>VLOOKUP(H3660,Stock_list!A:T,16,FALSE)</f>
        <v>RMB</v>
      </c>
      <c r="L3660" s="4"/>
      <c r="P3660" s="4" t="str">
        <f>VLOOKUP(H3660,Stock_list!A:Y,25,FALSE)</f>
        <v>Yes</v>
      </c>
      <c r="Q3660" s="143">
        <v>5</v>
      </c>
      <c r="T3660" s="144"/>
      <c r="U3660" s="145" t="str">
        <f>VLOOKUP(H3660,Stock_list!A:N,14,FALSE)</f>
        <v>FEB 23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2744</v>
      </c>
      <c r="B3670" s="114" t="str">
        <f>VLOOKUP(A3670,'Data pick slip'!B:F,5,FALSE)</f>
        <v>KHJ-MC100-00</v>
      </c>
      <c r="C3670" s="211"/>
      <c r="D3670" s="212"/>
      <c r="E3670" s="306"/>
      <c r="F3670" s="213" t="s">
        <v>2783</v>
      </c>
      <c r="G3670" s="214"/>
      <c r="H3670" s="215"/>
      <c r="I3670" s="216" t="s">
        <v>2784</v>
      </c>
      <c r="J3670" s="216" t="s">
        <v>2784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2747</v>
      </c>
      <c r="B3671" s="114" t="str">
        <f>VLOOKUP(A3671,'Data pick slip'!B:F,5,FALSE)</f>
        <v>KHJ-MC200-00</v>
      </c>
      <c r="C3671" s="211"/>
      <c r="D3671" s="212"/>
      <c r="E3671" s="306"/>
      <c r="F3671" s="213" t="s">
        <v>2783</v>
      </c>
      <c r="G3671" s="214"/>
      <c r="H3671" s="215"/>
      <c r="I3671" s="216" t="s">
        <v>2784</v>
      </c>
      <c r="J3671" s="216" t="s">
        <v>2784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2748</v>
      </c>
      <c r="B3672" s="114" t="str">
        <f>VLOOKUP(A3672,'Data pick slip'!B:F,5,FALSE)</f>
        <v>KHJ-MC400-00</v>
      </c>
      <c r="C3672" s="211"/>
      <c r="D3672" s="212"/>
      <c r="E3672" s="306"/>
      <c r="F3672" s="213" t="s">
        <v>2783</v>
      </c>
      <c r="G3672" s="214"/>
      <c r="H3672" s="215"/>
      <c r="I3672" s="216" t="s">
        <v>2784</v>
      </c>
      <c r="J3672" s="216" t="s">
        <v>2784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2749</v>
      </c>
      <c r="B3673" s="114" t="str">
        <f>VLOOKUP(A3673,'Data pick slip'!B:F,5,FALSE)</f>
        <v>KHJ-MC500-00</v>
      </c>
      <c r="C3673" s="211"/>
      <c r="D3673" s="212"/>
      <c r="E3673" s="306"/>
      <c r="F3673" s="213" t="s">
        <v>2783</v>
      </c>
      <c r="G3673" s="214"/>
      <c r="H3673" s="215"/>
      <c r="I3673" s="216" t="s">
        <v>2784</v>
      </c>
      <c r="J3673" s="216" t="s">
        <v>2784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2750</v>
      </c>
      <c r="B3674" s="114" t="str">
        <f>VLOOKUP(A3674,'Data pick slip'!B:F,5,FALSE)</f>
        <v>KHJ-MC600-00</v>
      </c>
      <c r="C3674" s="211"/>
      <c r="D3674" s="212"/>
      <c r="E3674" s="306"/>
      <c r="F3674" s="213" t="s">
        <v>2783</v>
      </c>
      <c r="G3674" s="214"/>
      <c r="H3674" s="215"/>
      <c r="I3674" s="216" t="s">
        <v>2784</v>
      </c>
      <c r="J3674" s="216" t="s">
        <v>2784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2751</v>
      </c>
      <c r="B3675" s="114" t="str">
        <f>VLOOKUP(A3675,'Data pick slip'!B:F,5,FALSE)</f>
        <v>KHJ-MC700-00</v>
      </c>
      <c r="C3675" s="211"/>
      <c r="D3675" s="212"/>
      <c r="E3675" s="306"/>
      <c r="F3675" s="213" t="s">
        <v>2783</v>
      </c>
      <c r="G3675" s="214"/>
      <c r="H3675" s="215"/>
      <c r="I3675" s="216" t="s">
        <v>2784</v>
      </c>
      <c r="J3675" s="216" t="s">
        <v>2784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2752</v>
      </c>
      <c r="B3676" s="114" t="str">
        <f>VLOOKUP(A3676,'Data pick slip'!B:F,5,FALSE)</f>
        <v>KHJ-MC800-00</v>
      </c>
      <c r="C3676" s="211"/>
      <c r="D3676" s="212"/>
      <c r="E3676" s="306"/>
      <c r="F3676" s="213" t="s">
        <v>2783</v>
      </c>
      <c r="G3676" s="214"/>
      <c r="H3676" s="215"/>
      <c r="I3676" s="216" t="s">
        <v>2784</v>
      </c>
      <c r="J3676" s="216" t="s">
        <v>2784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2755</v>
      </c>
      <c r="B3677" s="114" t="str">
        <f>VLOOKUP(A3677,'Data pick slip'!B:F,5,FALSE)</f>
        <v>KLJ-MC100-00</v>
      </c>
      <c r="C3677" s="211"/>
      <c r="D3677" s="212"/>
      <c r="E3677" s="306"/>
      <c r="F3677" s="213" t="s">
        <v>2783</v>
      </c>
      <c r="G3677" s="214"/>
      <c r="H3677" s="215"/>
      <c r="I3677" s="216" t="s">
        <v>2784</v>
      </c>
      <c r="J3677" s="216" t="s">
        <v>2784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2756</v>
      </c>
      <c r="B3678" s="114" t="str">
        <f>VLOOKUP(A3678,'Data pick slip'!B:F,5,FALSE)</f>
        <v>KLJ-MC200-00</v>
      </c>
      <c r="C3678" s="211"/>
      <c r="D3678" s="212"/>
      <c r="E3678" s="306"/>
      <c r="F3678" s="213" t="s">
        <v>2783</v>
      </c>
      <c r="G3678" s="214"/>
      <c r="H3678" s="215"/>
      <c r="I3678" s="216" t="s">
        <v>2784</v>
      </c>
      <c r="J3678" s="216" t="s">
        <v>2784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2757</v>
      </c>
      <c r="B3679" s="114" t="str">
        <f>VLOOKUP(A3679,'Data pick slip'!B:F,5,FALSE)</f>
        <v>KLJ-MC400-00</v>
      </c>
      <c r="C3679" s="211"/>
      <c r="D3679" s="212"/>
      <c r="E3679" s="306"/>
      <c r="F3679" s="213" t="s">
        <v>2783</v>
      </c>
      <c r="G3679" s="214"/>
      <c r="H3679" s="215"/>
      <c r="I3679" s="216" t="s">
        <v>2784</v>
      </c>
      <c r="J3679" s="216" t="s">
        <v>2784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2758</v>
      </c>
      <c r="B3680" s="114" t="str">
        <f>VLOOKUP(A3680,'Data pick slip'!B:F,5,FALSE)</f>
        <v>KLJ-MC500-00</v>
      </c>
      <c r="C3680" s="211"/>
      <c r="D3680" s="212"/>
      <c r="E3680" s="306"/>
      <c r="F3680" s="213" t="s">
        <v>2783</v>
      </c>
      <c r="G3680" s="214"/>
      <c r="H3680" s="215"/>
      <c r="I3680" s="216" t="s">
        <v>2784</v>
      </c>
      <c r="J3680" s="216" t="s">
        <v>2784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2759</v>
      </c>
      <c r="B3681" s="114" t="str">
        <f>VLOOKUP(A3681,'Data pick slip'!B:F,5,FALSE)</f>
        <v>KLJ-MC600-00</v>
      </c>
      <c r="C3681" s="211"/>
      <c r="D3681" s="212"/>
      <c r="E3681" s="306"/>
      <c r="F3681" s="213" t="s">
        <v>2783</v>
      </c>
      <c r="G3681" s="214"/>
      <c r="H3681" s="215"/>
      <c r="I3681" s="216" t="s">
        <v>2784</v>
      </c>
      <c r="J3681" s="216" t="s">
        <v>2784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2760</v>
      </c>
      <c r="B3682" s="114" t="str">
        <f>VLOOKUP(A3682,'Data pick slip'!B:F,5,FALSE)</f>
        <v>KLJ-MC700-00</v>
      </c>
      <c r="C3682" s="211"/>
      <c r="D3682" s="212"/>
      <c r="E3682" s="306"/>
      <c r="F3682" s="213" t="s">
        <v>2783</v>
      </c>
      <c r="G3682" s="214"/>
      <c r="H3682" s="215"/>
      <c r="I3682" s="216" t="s">
        <v>2784</v>
      </c>
      <c r="J3682" s="216" t="s">
        <v>2784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2761</v>
      </c>
      <c r="B3683" s="114" t="str">
        <f>VLOOKUP(A3683,'Data pick slip'!B:F,5,FALSE)</f>
        <v>KLJ-MC800-00</v>
      </c>
      <c r="C3683" s="211"/>
      <c r="D3683" s="212"/>
      <c r="E3683" s="306"/>
      <c r="F3683" s="213" t="s">
        <v>2783</v>
      </c>
      <c r="G3683" s="214"/>
      <c r="H3683" s="215"/>
      <c r="I3683" s="216" t="s">
        <v>2784</v>
      </c>
      <c r="J3683" s="216" t="s">
        <v>2784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2744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2785</v>
      </c>
      <c r="G3684" s="222"/>
      <c r="H3684" s="223"/>
      <c r="I3684" s="224" t="s">
        <v>2786</v>
      </c>
      <c r="J3684" s="224" t="s">
        <v>2786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2747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2785</v>
      </c>
      <c r="G3685" s="222"/>
      <c r="H3685" s="223"/>
      <c r="I3685" s="224" t="s">
        <v>2786</v>
      </c>
      <c r="J3685" s="224" t="s">
        <v>2786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2748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2785</v>
      </c>
      <c r="G3686" s="222"/>
      <c r="H3686" s="223"/>
      <c r="I3686" s="224" t="s">
        <v>2786</v>
      </c>
      <c r="J3686" s="224" t="s">
        <v>2786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2749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2785</v>
      </c>
      <c r="G3687" s="222"/>
      <c r="H3687" s="223"/>
      <c r="I3687" s="224" t="s">
        <v>2786</v>
      </c>
      <c r="J3687" s="224" t="s">
        <v>2786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2750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2785</v>
      </c>
      <c r="G3688" s="222"/>
      <c r="H3688" s="223"/>
      <c r="I3688" s="224" t="s">
        <v>2786</v>
      </c>
      <c r="J3688" s="224" t="s">
        <v>2786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2751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2785</v>
      </c>
      <c r="G3689" s="222"/>
      <c r="H3689" s="223"/>
      <c r="I3689" s="224" t="s">
        <v>2786</v>
      </c>
      <c r="J3689" s="224" t="s">
        <v>2786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2752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2785</v>
      </c>
      <c r="G3690" s="222"/>
      <c r="H3690" s="223"/>
      <c r="I3690" s="224" t="s">
        <v>2786</v>
      </c>
      <c r="J3690" s="224" t="s">
        <v>2786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2755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2785</v>
      </c>
      <c r="G3691" s="222"/>
      <c r="H3691" s="223"/>
      <c r="I3691" s="224" t="s">
        <v>2786</v>
      </c>
      <c r="J3691" s="224" t="s">
        <v>2786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2756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2785</v>
      </c>
      <c r="G3692" s="222"/>
      <c r="H3692" s="223"/>
      <c r="I3692" s="224" t="s">
        <v>2786</v>
      </c>
      <c r="J3692" s="224" t="s">
        <v>2786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2757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2785</v>
      </c>
      <c r="G3693" s="222"/>
      <c r="H3693" s="223"/>
      <c r="I3693" s="224" t="s">
        <v>2786</v>
      </c>
      <c r="J3693" s="224" t="s">
        <v>2786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2758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2785</v>
      </c>
      <c r="G3694" s="222"/>
      <c r="H3694" s="223"/>
      <c r="I3694" s="224" t="s">
        <v>2786</v>
      </c>
      <c r="J3694" s="224" t="s">
        <v>2786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2759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2785</v>
      </c>
      <c r="G3695" s="222"/>
      <c r="H3695" s="223"/>
      <c r="I3695" s="224" t="s">
        <v>2786</v>
      </c>
      <c r="J3695" s="224" t="s">
        <v>2786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2760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2785</v>
      </c>
      <c r="G3696" s="222"/>
      <c r="H3696" s="223"/>
      <c r="I3696" s="224" t="s">
        <v>2786</v>
      </c>
      <c r="J3696" s="224" t="s">
        <v>2786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2761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2785</v>
      </c>
      <c r="G3697" s="222"/>
      <c r="H3697" s="223"/>
      <c r="I3697" s="224" t="s">
        <v>2786</v>
      </c>
      <c r="J3697" s="224" t="s">
        <v>2786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2744</v>
      </c>
      <c r="B3698" s="114" t="str">
        <f>VLOOKUP(A3698,'Data pick slip'!B:F,5,FALSE)</f>
        <v>KHJ-MC100-00</v>
      </c>
      <c r="C3698" s="211"/>
      <c r="D3698" s="212">
        <v>25</v>
      </c>
      <c r="E3698" s="306" t="e">
        <f>VLOOKUP(C3698,Stock_list!D:L,9,FALSE)</f>
        <v>#N/A</v>
      </c>
      <c r="F3698" s="213" t="s">
        <v>2783</v>
      </c>
      <c r="G3698" s="214"/>
      <c r="H3698" s="215"/>
      <c r="I3698" s="216" t="s">
        <v>2787</v>
      </c>
      <c r="J3698" s="216" t="s">
        <v>2788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2747</v>
      </c>
      <c r="B3699" s="114" t="str">
        <f>VLOOKUP(A3699,'Data pick slip'!B:F,5,FALSE)</f>
        <v>KHJ-MC200-00</v>
      </c>
      <c r="C3699" s="211"/>
      <c r="D3699" s="212">
        <v>10</v>
      </c>
      <c r="E3699" s="306" t="e">
        <f>VLOOKUP(C3699,Stock_list!D:L,9,FALSE)</f>
        <v>#N/A</v>
      </c>
      <c r="F3699" s="213" t="s">
        <v>2783</v>
      </c>
      <c r="G3699" s="214"/>
      <c r="H3699" s="215"/>
      <c r="I3699" s="216" t="s">
        <v>2787</v>
      </c>
      <c r="J3699" s="216" t="s">
        <v>2788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2748</v>
      </c>
      <c r="B3700" s="114" t="str">
        <f>VLOOKUP(A3700,'Data pick slip'!B:F,5,FALSE)</f>
        <v>KHJ-MC400-00</v>
      </c>
      <c r="C3700" s="211"/>
      <c r="D3700" s="212">
        <v>2</v>
      </c>
      <c r="E3700" s="306" t="e">
        <f>VLOOKUP(C3700,Stock_list!D:L,9,FALSE)</f>
        <v>#N/A</v>
      </c>
      <c r="F3700" s="213" t="s">
        <v>2783</v>
      </c>
      <c r="G3700" s="214"/>
      <c r="H3700" s="215"/>
      <c r="I3700" s="216" t="s">
        <v>2787</v>
      </c>
      <c r="J3700" s="216" t="s">
        <v>2788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2744</v>
      </c>
      <c r="B3701" s="114" t="str">
        <f>VLOOKUP(A3701,'Data pick slip'!B:F,5,FALSE)</f>
        <v>KHJ-MC100-00</v>
      </c>
      <c r="C3701" s="211"/>
      <c r="D3701" s="212">
        <v>25</v>
      </c>
      <c r="E3701" s="306" t="e">
        <f>VLOOKUP(C3701,Stock_list!D:L,9,FALSE)</f>
        <v>#N/A</v>
      </c>
      <c r="F3701" s="213" t="s">
        <v>2789</v>
      </c>
      <c r="G3701" s="214"/>
      <c r="H3701" s="215"/>
      <c r="I3701" s="216" t="s">
        <v>2787</v>
      </c>
      <c r="J3701" s="216" t="s">
        <v>2788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2747</v>
      </c>
      <c r="B3702" s="114" t="str">
        <f>VLOOKUP(A3702,'Data pick slip'!B:F,5,FALSE)</f>
        <v>KHJ-MC200-00</v>
      </c>
      <c r="C3702" s="211"/>
      <c r="D3702" s="212">
        <v>10</v>
      </c>
      <c r="E3702" s="306" t="e">
        <f>VLOOKUP(C3702,Stock_list!D:L,9,FALSE)</f>
        <v>#N/A</v>
      </c>
      <c r="F3702" s="213" t="s">
        <v>2789</v>
      </c>
      <c r="G3702" s="214"/>
      <c r="H3702" s="215"/>
      <c r="I3702" s="216" t="s">
        <v>2787</v>
      </c>
      <c r="J3702" s="216" t="s">
        <v>2788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2748</v>
      </c>
      <c r="B3703" s="114" t="str">
        <f>VLOOKUP(A3703,'Data pick slip'!B:F,5,FALSE)</f>
        <v>KHJ-MC400-00</v>
      </c>
      <c r="C3703" s="211"/>
      <c r="D3703" s="212">
        <v>2</v>
      </c>
      <c r="E3703" s="306" t="e">
        <f>VLOOKUP(C3703,Stock_list!D:L,9,FALSE)</f>
        <v>#N/A</v>
      </c>
      <c r="F3703" s="213" t="s">
        <v>2789</v>
      </c>
      <c r="G3703" s="214"/>
      <c r="H3703" s="215"/>
      <c r="I3703" s="216" t="s">
        <v>2787</v>
      </c>
      <c r="J3703" s="216" t="s">
        <v>2788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2744</v>
      </c>
      <c r="B3704" s="114" t="str">
        <f>VLOOKUP(A3704,'Data pick slip'!B:F,5,FALSE)</f>
        <v>KHJ-MC100-00</v>
      </c>
      <c r="C3704" s="211"/>
      <c r="D3704" s="212">
        <v>25</v>
      </c>
      <c r="E3704" s="306" t="e">
        <f>VLOOKUP(C3704,Stock_list!D:L,9,FALSE)</f>
        <v>#N/A</v>
      </c>
      <c r="F3704" s="213" t="s">
        <v>2762</v>
      </c>
      <c r="G3704" s="214"/>
      <c r="H3704" s="215"/>
      <c r="I3704" s="216" t="s">
        <v>2787</v>
      </c>
      <c r="J3704" s="216" t="s">
        <v>2788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2747</v>
      </c>
      <c r="B3705" s="114" t="str">
        <f>VLOOKUP(A3705,'Data pick slip'!B:F,5,FALSE)</f>
        <v>KHJ-MC200-00</v>
      </c>
      <c r="C3705" s="211"/>
      <c r="D3705" s="212">
        <v>10</v>
      </c>
      <c r="E3705" s="306" t="e">
        <f>VLOOKUP(C3705,Stock_list!D:L,9,FALSE)</f>
        <v>#N/A</v>
      </c>
      <c r="F3705" s="213" t="s">
        <v>2762</v>
      </c>
      <c r="G3705" s="214"/>
      <c r="H3705" s="215"/>
      <c r="I3705" s="216" t="s">
        <v>2787</v>
      </c>
      <c r="J3705" s="216" t="s">
        <v>2788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2748</v>
      </c>
      <c r="B3706" s="114" t="str">
        <f>VLOOKUP(A3706,'Data pick slip'!B:F,5,FALSE)</f>
        <v>KHJ-MC400-00</v>
      </c>
      <c r="C3706" s="211"/>
      <c r="D3706" s="212">
        <v>2</v>
      </c>
      <c r="E3706" s="306" t="e">
        <f>VLOOKUP(C3706,Stock_list!D:L,9,FALSE)</f>
        <v>#N/A</v>
      </c>
      <c r="F3706" s="213" t="s">
        <v>2762</v>
      </c>
      <c r="G3706" s="214"/>
      <c r="H3706" s="215"/>
      <c r="I3706" s="216" t="s">
        <v>2787</v>
      </c>
      <c r="J3706" s="216" t="s">
        <v>2788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2744</v>
      </c>
      <c r="B3707" s="114" t="str">
        <f>VLOOKUP(A3707,'Data pick slip'!B:F,5,FALSE)</f>
        <v>KHJ-MC100-00</v>
      </c>
      <c r="C3707" s="211"/>
      <c r="D3707" s="212">
        <v>50</v>
      </c>
      <c r="E3707" s="306" t="e">
        <f>VLOOKUP(C3707,Stock_list!D:L,9,FALSE)</f>
        <v>#N/A</v>
      </c>
      <c r="F3707" s="213" t="s">
        <v>2783</v>
      </c>
      <c r="G3707" s="214"/>
      <c r="H3707" s="215"/>
      <c r="I3707" s="216" t="s">
        <v>2787</v>
      </c>
      <c r="J3707" s="216" t="s">
        <v>2790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2747</v>
      </c>
      <c r="B3708" s="114" t="str">
        <f>VLOOKUP(A3708,'Data pick slip'!B:F,5,FALSE)</f>
        <v>KHJ-MC200-00</v>
      </c>
      <c r="C3708" s="211"/>
      <c r="D3708" s="212">
        <v>5</v>
      </c>
      <c r="E3708" s="306" t="e">
        <f>VLOOKUP(C3708,Stock_list!D:L,9,FALSE)</f>
        <v>#N/A</v>
      </c>
      <c r="F3708" s="213" t="s">
        <v>2783</v>
      </c>
      <c r="G3708" s="214"/>
      <c r="H3708" s="215"/>
      <c r="I3708" s="216" t="s">
        <v>2787</v>
      </c>
      <c r="J3708" s="216" t="s">
        <v>2790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2748</v>
      </c>
      <c r="B3709" s="114" t="str">
        <f>VLOOKUP(A3709,'Data pick slip'!B:F,5,FALSE)</f>
        <v>KHJ-MC400-00</v>
      </c>
      <c r="C3709" s="211"/>
      <c r="D3709" s="212">
        <v>1</v>
      </c>
      <c r="E3709" s="306" t="e">
        <f>VLOOKUP(C3709,Stock_list!D:L,9,FALSE)</f>
        <v>#N/A</v>
      </c>
      <c r="F3709" s="213" t="s">
        <v>2783</v>
      </c>
      <c r="G3709" s="214"/>
      <c r="H3709" s="215"/>
      <c r="I3709" s="216" t="s">
        <v>2787</v>
      </c>
      <c r="J3709" s="216" t="s">
        <v>2790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2744</v>
      </c>
      <c r="B3710" s="114" t="str">
        <f>VLOOKUP(A3710,'Data pick slip'!B:F,5,FALSE)</f>
        <v>KHJ-MC100-00</v>
      </c>
      <c r="C3710" s="211"/>
      <c r="D3710" s="212">
        <v>50</v>
      </c>
      <c r="E3710" s="306" t="e">
        <f>VLOOKUP(C3710,Stock_list!D:L,9,FALSE)</f>
        <v>#N/A</v>
      </c>
      <c r="F3710" s="213" t="s">
        <v>2789</v>
      </c>
      <c r="G3710" s="214"/>
      <c r="H3710" s="215"/>
      <c r="I3710" s="216" t="s">
        <v>2787</v>
      </c>
      <c r="J3710" s="216" t="s">
        <v>2790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2747</v>
      </c>
      <c r="B3711" s="114" t="str">
        <f>VLOOKUP(A3711,'Data pick slip'!B:F,5,FALSE)</f>
        <v>KHJ-MC200-00</v>
      </c>
      <c r="C3711" s="211"/>
      <c r="D3711" s="212">
        <v>5</v>
      </c>
      <c r="E3711" s="306" t="e">
        <f>VLOOKUP(C3711,Stock_list!D:L,9,FALSE)</f>
        <v>#N/A</v>
      </c>
      <c r="F3711" s="213" t="s">
        <v>2789</v>
      </c>
      <c r="G3711" s="214"/>
      <c r="H3711" s="215"/>
      <c r="I3711" s="216" t="s">
        <v>2787</v>
      </c>
      <c r="J3711" s="216" t="s">
        <v>2790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2748</v>
      </c>
      <c r="B3712" s="114" t="str">
        <f>VLOOKUP(A3712,'Data pick slip'!B:F,5,FALSE)</f>
        <v>KHJ-MC400-00</v>
      </c>
      <c r="C3712" s="211"/>
      <c r="D3712" s="212">
        <v>1</v>
      </c>
      <c r="E3712" s="306" t="e">
        <f>VLOOKUP(C3712,Stock_list!D:L,9,FALSE)</f>
        <v>#N/A</v>
      </c>
      <c r="F3712" s="213" t="s">
        <v>2789</v>
      </c>
      <c r="G3712" s="214"/>
      <c r="H3712" s="215"/>
      <c r="I3712" s="216" t="s">
        <v>2787</v>
      </c>
      <c r="J3712" s="216" t="s">
        <v>2790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2744</v>
      </c>
      <c r="B3713" s="114" t="str">
        <f>VLOOKUP(A3713,'Data pick slip'!B:F,5,FALSE)</f>
        <v>KHJ-MC100-00</v>
      </c>
      <c r="C3713" s="211"/>
      <c r="D3713" s="212">
        <v>50</v>
      </c>
      <c r="E3713" s="306" t="e">
        <f>VLOOKUP(C3713,Stock_list!D:L,9,FALSE)</f>
        <v>#N/A</v>
      </c>
      <c r="F3713" s="213" t="s">
        <v>2762</v>
      </c>
      <c r="G3713" s="214"/>
      <c r="H3713" s="215"/>
      <c r="I3713" s="216" t="s">
        <v>2787</v>
      </c>
      <c r="J3713" s="216" t="s">
        <v>2790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2747</v>
      </c>
      <c r="B3714" s="114" t="str">
        <f>VLOOKUP(A3714,'Data pick slip'!B:F,5,FALSE)</f>
        <v>KHJ-MC200-00</v>
      </c>
      <c r="C3714" s="211"/>
      <c r="D3714" s="212">
        <v>5</v>
      </c>
      <c r="E3714" s="306" t="e">
        <f>VLOOKUP(C3714,Stock_list!D:L,9,FALSE)</f>
        <v>#N/A</v>
      </c>
      <c r="F3714" s="213" t="s">
        <v>2762</v>
      </c>
      <c r="G3714" s="214"/>
      <c r="H3714" s="215"/>
      <c r="I3714" s="216" t="s">
        <v>2787</v>
      </c>
      <c r="J3714" s="216" t="s">
        <v>2790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2748</v>
      </c>
      <c r="B3715" s="227" t="str">
        <f>VLOOKUP(A3715,'Data pick slip'!B:F,5,FALSE)</f>
        <v>KHJ-MC400-00</v>
      </c>
      <c r="C3715" s="228"/>
      <c r="D3715" s="229">
        <v>1</v>
      </c>
      <c r="E3715" s="307" t="e">
        <f>VLOOKUP(C3715,Stock_list!D:L,9,FALSE)</f>
        <v>#N/A</v>
      </c>
      <c r="F3715" s="230" t="s">
        <v>2762</v>
      </c>
      <c r="G3715" s="231"/>
      <c r="H3715" s="232"/>
      <c r="I3715" s="233" t="s">
        <v>2787</v>
      </c>
      <c r="J3715" s="233" t="s">
        <v>2790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5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2791</v>
      </c>
      <c r="N3722" s="132">
        <f>SUM(N3670:N3715)</f>
        <v>7295</v>
      </c>
      <c r="Q3722" s="143"/>
    </row>
    <row r="3723" spans="1:21">
      <c r="Q3723" s="133"/>
    </row>
    <row r="3724" spans="1:21" ht="15">
      <c r="A3724" s="218" t="s">
        <v>2792</v>
      </c>
      <c r="B3724" s="254"/>
      <c r="C3724" s="219"/>
      <c r="D3724" s="220"/>
      <c r="E3724" s="255"/>
      <c r="F3724" s="221" t="s">
        <v>2762</v>
      </c>
      <c r="G3724" s="222"/>
      <c r="H3724" s="223"/>
      <c r="I3724" s="224" t="s">
        <v>2784</v>
      </c>
      <c r="J3724" s="224" t="s">
        <v>2784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2793</v>
      </c>
      <c r="B3725" s="114"/>
      <c r="F3725" s="221" t="s">
        <v>2762</v>
      </c>
      <c r="G3725" s="222"/>
      <c r="H3725" s="223"/>
      <c r="I3725" s="224" t="s">
        <v>2784</v>
      </c>
      <c r="J3725" s="224" t="s">
        <v>2784</v>
      </c>
      <c r="K3725" s="51"/>
      <c r="N3725" s="132">
        <v>1</v>
      </c>
      <c r="P3725" s="4"/>
    </row>
    <row r="3726" spans="1:21">
      <c r="A3726" s="252" t="s">
        <v>2794</v>
      </c>
      <c r="B3726" s="114"/>
      <c r="F3726" s="221" t="s">
        <v>2762</v>
      </c>
      <c r="G3726" s="222"/>
      <c r="H3726" s="223"/>
      <c r="I3726" s="224" t="s">
        <v>2784</v>
      </c>
      <c r="J3726" s="224" t="s">
        <v>2784</v>
      </c>
      <c r="N3726" s="132">
        <v>4</v>
      </c>
      <c r="P3726" s="4"/>
    </row>
    <row r="3745" spans="4:4">
      <c r="D3745" s="206" t="s">
        <v>2795</v>
      </c>
    </row>
  </sheetData>
  <autoFilter ref="A1:U3726" xr:uid="{00000000-0009-0000-0000-000002000000}"/>
  <phoneticPr fontId="3" type="noConversion"/>
  <conditionalFormatting sqref="A512">
    <cfRule type="duplicateValues" dxfId="93" priority="53"/>
  </conditionalFormatting>
  <conditionalFormatting sqref="A514">
    <cfRule type="duplicateValues" dxfId="92" priority="52"/>
  </conditionalFormatting>
  <conditionalFormatting sqref="A515">
    <cfRule type="duplicateValues" dxfId="91" priority="51"/>
  </conditionalFormatting>
  <conditionalFormatting sqref="A516">
    <cfRule type="duplicateValues" dxfId="90" priority="50"/>
  </conditionalFormatting>
  <conditionalFormatting sqref="A517">
    <cfRule type="duplicateValues" dxfId="89" priority="49"/>
  </conditionalFormatting>
  <conditionalFormatting sqref="A2468:A2470">
    <cfRule type="duplicateValues" dxfId="88" priority="78"/>
  </conditionalFormatting>
  <conditionalFormatting sqref="A2471:A2473">
    <cfRule type="duplicateValues" dxfId="87" priority="8"/>
  </conditionalFormatting>
  <conditionalFormatting sqref="A2477:A2479">
    <cfRule type="duplicateValues" dxfId="86" priority="69"/>
  </conditionalFormatting>
  <conditionalFormatting sqref="A2486:A2488">
    <cfRule type="duplicateValues" dxfId="85" priority="77"/>
  </conditionalFormatting>
  <conditionalFormatting sqref="A2489:A2490">
    <cfRule type="duplicateValues" dxfId="84" priority="76"/>
  </conditionalFormatting>
  <conditionalFormatting sqref="A2501:A2503">
    <cfRule type="duplicateValues" dxfId="83" priority="75"/>
  </conditionalFormatting>
  <conditionalFormatting sqref="A2506 A2508:A2509">
    <cfRule type="duplicateValues" dxfId="82" priority="79"/>
  </conditionalFormatting>
  <conditionalFormatting sqref="A2507">
    <cfRule type="duplicateValues" dxfId="81" priority="13"/>
  </conditionalFormatting>
  <conditionalFormatting sqref="A2510:A2512">
    <cfRule type="duplicateValues" dxfId="80" priority="74"/>
  </conditionalFormatting>
  <conditionalFormatting sqref="A2513">
    <cfRule type="duplicateValues" dxfId="79" priority="73"/>
  </conditionalFormatting>
  <conditionalFormatting sqref="A2514:A2515">
    <cfRule type="duplicateValues" dxfId="78" priority="72"/>
  </conditionalFormatting>
  <conditionalFormatting sqref="A2516">
    <cfRule type="duplicateValues" dxfId="77" priority="71"/>
  </conditionalFormatting>
  <conditionalFormatting sqref="A2517">
    <cfRule type="duplicateValues" dxfId="76" priority="70"/>
  </conditionalFormatting>
  <conditionalFormatting sqref="A2518">
    <cfRule type="duplicateValues" dxfId="75" priority="68"/>
  </conditionalFormatting>
  <conditionalFormatting sqref="A2519">
    <cfRule type="duplicateValues" dxfId="74" priority="67"/>
  </conditionalFormatting>
  <conditionalFormatting sqref="A2522">
    <cfRule type="duplicateValues" dxfId="73" priority="66"/>
  </conditionalFormatting>
  <conditionalFormatting sqref="A2523">
    <cfRule type="duplicateValues" dxfId="72" priority="65"/>
  </conditionalFormatting>
  <conditionalFormatting sqref="A2524">
    <cfRule type="duplicateValues" dxfId="71" priority="64"/>
  </conditionalFormatting>
  <conditionalFormatting sqref="A2526">
    <cfRule type="duplicateValues" dxfId="70" priority="7"/>
  </conditionalFormatting>
  <conditionalFormatting sqref="A2527">
    <cfRule type="duplicateValues" dxfId="69" priority="6"/>
  </conditionalFormatting>
  <conditionalFormatting sqref="A2528">
    <cfRule type="duplicateValues" dxfId="68" priority="5"/>
  </conditionalFormatting>
  <conditionalFormatting sqref="A2531">
    <cfRule type="duplicateValues" dxfId="67" priority="63"/>
  </conditionalFormatting>
  <conditionalFormatting sqref="A2532">
    <cfRule type="duplicateValues" dxfId="66" priority="59"/>
  </conditionalFormatting>
  <conditionalFormatting sqref="A2533">
    <cfRule type="duplicateValues" dxfId="65" priority="62"/>
  </conditionalFormatting>
  <conditionalFormatting sqref="A2534">
    <cfRule type="duplicateValues" dxfId="64" priority="61"/>
  </conditionalFormatting>
  <conditionalFormatting sqref="A2535">
    <cfRule type="duplicateValues" dxfId="63" priority="60"/>
  </conditionalFormatting>
  <conditionalFormatting sqref="A2536">
    <cfRule type="duplicateValues" dxfId="62" priority="58"/>
  </conditionalFormatting>
  <conditionalFormatting sqref="A2538">
    <cfRule type="duplicateValues" dxfId="61" priority="57"/>
  </conditionalFormatting>
  <conditionalFormatting sqref="A2539">
    <cfRule type="duplicateValues" dxfId="60" priority="56"/>
  </conditionalFormatting>
  <conditionalFormatting sqref="A2540">
    <cfRule type="duplicateValues" dxfId="59" priority="55"/>
  </conditionalFormatting>
  <conditionalFormatting sqref="A2541">
    <cfRule type="duplicateValues" dxfId="58" priority="54"/>
  </conditionalFormatting>
  <conditionalFormatting sqref="A2543">
    <cfRule type="duplicateValues" dxfId="57" priority="48"/>
  </conditionalFormatting>
  <conditionalFormatting sqref="A2544">
    <cfRule type="duplicateValues" dxfId="56" priority="47"/>
  </conditionalFormatting>
  <conditionalFormatting sqref="A2545">
    <cfRule type="duplicateValues" dxfId="55" priority="46"/>
  </conditionalFormatting>
  <conditionalFormatting sqref="A2547">
    <cfRule type="duplicateValues" dxfId="54" priority="45"/>
  </conditionalFormatting>
  <conditionalFormatting sqref="A2548">
    <cfRule type="duplicateValues" dxfId="53" priority="44"/>
  </conditionalFormatting>
  <conditionalFormatting sqref="A2549">
    <cfRule type="duplicateValues" dxfId="52" priority="41"/>
  </conditionalFormatting>
  <conditionalFormatting sqref="A2550">
    <cfRule type="duplicateValues" dxfId="51" priority="43"/>
  </conditionalFormatting>
  <conditionalFormatting sqref="A2551">
    <cfRule type="duplicateValues" dxfId="50" priority="42"/>
  </conditionalFormatting>
  <conditionalFormatting sqref="A2553">
    <cfRule type="duplicateValues" dxfId="49" priority="38"/>
  </conditionalFormatting>
  <conditionalFormatting sqref="A2554">
    <cfRule type="duplicateValues" dxfId="48" priority="40"/>
  </conditionalFormatting>
  <conditionalFormatting sqref="A2555">
    <cfRule type="duplicateValues" dxfId="47" priority="39"/>
  </conditionalFormatting>
  <conditionalFormatting sqref="A2558">
    <cfRule type="duplicateValues" dxfId="46" priority="35"/>
  </conditionalFormatting>
  <conditionalFormatting sqref="A2559">
    <cfRule type="duplicateValues" dxfId="45" priority="37"/>
  </conditionalFormatting>
  <conditionalFormatting sqref="A2560">
    <cfRule type="duplicateValues" dxfId="44" priority="36"/>
  </conditionalFormatting>
  <conditionalFormatting sqref="A2564">
    <cfRule type="duplicateValues" dxfId="43" priority="32"/>
  </conditionalFormatting>
  <conditionalFormatting sqref="A2565">
    <cfRule type="duplicateValues" dxfId="42" priority="34"/>
  </conditionalFormatting>
  <conditionalFormatting sqref="A2566">
    <cfRule type="duplicateValues" dxfId="41" priority="33"/>
  </conditionalFormatting>
  <conditionalFormatting sqref="A2578">
    <cfRule type="duplicateValues" dxfId="40" priority="31"/>
  </conditionalFormatting>
  <conditionalFormatting sqref="A2579">
    <cfRule type="duplicateValues" dxfId="39" priority="28"/>
  </conditionalFormatting>
  <conditionalFormatting sqref="A2580">
    <cfRule type="duplicateValues" dxfId="38" priority="30"/>
  </conditionalFormatting>
  <conditionalFormatting sqref="A2581">
    <cfRule type="duplicateValues" dxfId="37" priority="29"/>
  </conditionalFormatting>
  <conditionalFormatting sqref="A2582">
    <cfRule type="duplicateValues" dxfId="36" priority="27"/>
  </conditionalFormatting>
  <conditionalFormatting sqref="A2587">
    <cfRule type="duplicateValues" dxfId="35" priority="25"/>
  </conditionalFormatting>
  <conditionalFormatting sqref="A2588">
    <cfRule type="duplicateValues" dxfId="34" priority="26"/>
  </conditionalFormatting>
  <conditionalFormatting sqref="A2592">
    <cfRule type="duplicateValues" dxfId="33" priority="23"/>
  </conditionalFormatting>
  <conditionalFormatting sqref="A2593">
    <cfRule type="duplicateValues" dxfId="32" priority="24"/>
  </conditionalFormatting>
  <conditionalFormatting sqref="A2595">
    <cfRule type="duplicateValues" dxfId="31" priority="21"/>
  </conditionalFormatting>
  <conditionalFormatting sqref="A2596">
    <cfRule type="duplicateValues" dxfId="30" priority="22"/>
  </conditionalFormatting>
  <conditionalFormatting sqref="A2597">
    <cfRule type="duplicateValues" dxfId="29" priority="19"/>
  </conditionalFormatting>
  <conditionalFormatting sqref="A2598">
    <cfRule type="duplicateValues" dxfId="28" priority="20"/>
  </conditionalFormatting>
  <conditionalFormatting sqref="A2600">
    <cfRule type="duplicateValues" dxfId="27" priority="1"/>
  </conditionalFormatting>
  <conditionalFormatting sqref="A2601">
    <cfRule type="duplicateValues" dxfId="26" priority="2"/>
  </conditionalFormatting>
  <conditionalFormatting sqref="A2612">
    <cfRule type="duplicateValues" dxfId="25" priority="17"/>
  </conditionalFormatting>
  <conditionalFormatting sqref="A2613">
    <cfRule type="duplicateValues" dxfId="24" priority="18"/>
  </conditionalFormatting>
  <conditionalFormatting sqref="A2618">
    <cfRule type="duplicateValues" dxfId="23" priority="15"/>
  </conditionalFormatting>
  <conditionalFormatting sqref="A2619">
    <cfRule type="duplicateValues" dxfId="22" priority="16"/>
  </conditionalFormatting>
  <conditionalFormatting sqref="A2623">
    <cfRule type="duplicateValues" dxfId="21" priority="14"/>
  </conditionalFormatting>
  <conditionalFormatting sqref="A2626">
    <cfRule type="duplicateValues" dxfId="20" priority="12"/>
  </conditionalFormatting>
  <conditionalFormatting sqref="A2629">
    <cfRule type="duplicateValues" dxfId="19" priority="11"/>
  </conditionalFormatting>
  <conditionalFormatting sqref="A2662">
    <cfRule type="duplicateValues" dxfId="18" priority="9"/>
  </conditionalFormatting>
  <conditionalFormatting sqref="A2663">
    <cfRule type="duplicateValues" dxfId="17" priority="10"/>
  </conditionalFormatting>
  <conditionalFormatting sqref="A2695">
    <cfRule type="duplicateValues" dxfId="16" priority="4"/>
  </conditionalFormatting>
  <conditionalFormatting sqref="A2704">
    <cfRule type="duplicateValues" dxfId="15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defaultColWidth="9" defaultRowHeight="13.5"/>
  <cols>
    <col min="1" max="1" width="19.75" customWidth="1"/>
    <col min="2" max="2" width="15.75" style="256" customWidth="1"/>
    <col min="3" max="3" width="26.75" customWidth="1"/>
    <col min="4" max="4" width="17.375" bestFit="1" customWidth="1"/>
    <col min="5" max="5" width="13.75" bestFit="1" customWidth="1"/>
    <col min="6" max="6" width="33.375" style="17" bestFit="1" customWidth="1"/>
    <col min="7" max="9" width="33.25" bestFit="1" customWidth="1"/>
  </cols>
  <sheetData>
    <row r="1" spans="1:14">
      <c r="B1"/>
    </row>
    <row r="2" spans="1:14">
      <c r="A2" s="262" t="s">
        <v>3534</v>
      </c>
      <c r="B2" t="s">
        <v>3535</v>
      </c>
    </row>
    <row r="3" spans="1:14">
      <c r="A3" s="262" t="s">
        <v>3536</v>
      </c>
      <c r="B3" s="330">
        <v>2023</v>
      </c>
    </row>
    <row r="4" spans="1:14">
      <c r="A4" s="262" t="s">
        <v>3537</v>
      </c>
      <c r="B4" t="s">
        <v>231</v>
      </c>
    </row>
    <row r="6" spans="1:14">
      <c r="B6"/>
      <c r="E6" s="262" t="s">
        <v>3538</v>
      </c>
    </row>
    <row r="7" spans="1:14">
      <c r="A7" s="262" t="s">
        <v>3539</v>
      </c>
      <c r="B7" s="262" t="s">
        <v>3540</v>
      </c>
      <c r="C7" s="262" t="s">
        <v>3541</v>
      </c>
      <c r="D7" s="262" t="s">
        <v>3542</v>
      </c>
      <c r="E7" t="s">
        <v>3543</v>
      </c>
      <c r="F7" s="17" t="s">
        <v>3544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343</v>
      </c>
      <c r="D8" t="s">
        <v>4448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149</v>
      </c>
      <c r="D9" t="s">
        <v>4449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149</v>
      </c>
      <c r="D10" t="s">
        <v>148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343</v>
      </c>
      <c r="D11" t="s">
        <v>76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17</v>
      </c>
      <c r="D12" t="s">
        <v>76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149</v>
      </c>
      <c r="D13" t="s">
        <v>148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17</v>
      </c>
      <c r="D14" t="s">
        <v>76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343</v>
      </c>
      <c r="D15" t="s">
        <v>76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17</v>
      </c>
      <c r="D16" t="s">
        <v>76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343</v>
      </c>
      <c r="D17" t="s">
        <v>76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17</v>
      </c>
      <c r="D18" t="s">
        <v>76</v>
      </c>
      <c r="E18">
        <v>5</v>
      </c>
      <c r="F18" s="17">
        <v>29195788</v>
      </c>
    </row>
    <row r="19" spans="1:6">
      <c r="B19"/>
      <c r="C19" t="s">
        <v>4450</v>
      </c>
      <c r="D19" t="s">
        <v>76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343</v>
      </c>
      <c r="D20" t="s">
        <v>76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17</v>
      </c>
      <c r="D21" t="s">
        <v>76</v>
      </c>
      <c r="E21">
        <v>5</v>
      </c>
      <c r="F21" s="17">
        <v>29156413</v>
      </c>
    </row>
    <row r="22" spans="1:6">
      <c r="B22"/>
      <c r="C22" t="s">
        <v>4450</v>
      </c>
      <c r="D22" t="s">
        <v>76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343</v>
      </c>
      <c r="D23" t="s">
        <v>76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3547</v>
      </c>
      <c r="D24" t="s">
        <v>3583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17</v>
      </c>
      <c r="D25" t="s">
        <v>76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4247</v>
      </c>
      <c r="D26" t="s">
        <v>4451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343</v>
      </c>
      <c r="D27" t="s">
        <v>76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17</v>
      </c>
      <c r="D28" t="s">
        <v>76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343</v>
      </c>
      <c r="D29" t="s">
        <v>76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343</v>
      </c>
      <c r="D30" t="s">
        <v>76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3547</v>
      </c>
      <c r="D31" t="s">
        <v>4447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3547</v>
      </c>
      <c r="D32" t="s">
        <v>76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17</v>
      </c>
      <c r="D33" t="s">
        <v>4454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343</v>
      </c>
      <c r="D34" t="s">
        <v>4455</v>
      </c>
      <c r="E34">
        <v>2</v>
      </c>
      <c r="F34" s="17">
        <v>24424576</v>
      </c>
    </row>
    <row r="35" spans="1:6">
      <c r="A35" t="s">
        <v>214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defaultColWidth="9" defaultRowHeight="13.5"/>
  <cols>
    <col min="1" max="1" width="19.75" customWidth="1"/>
    <col min="2" max="2" width="15.75" customWidth="1"/>
    <col min="3" max="3" width="31.75" bestFit="1" customWidth="1"/>
    <col min="4" max="4" width="27.25" bestFit="1" customWidth="1"/>
    <col min="5" max="5" width="13.75" bestFit="1" customWidth="1"/>
    <col min="6" max="6" width="33.375" style="17" bestFit="1" customWidth="1"/>
    <col min="7" max="9" width="33.25" bestFit="1" customWidth="1"/>
  </cols>
  <sheetData>
    <row r="2" spans="1:6">
      <c r="A2" s="262" t="s">
        <v>3639</v>
      </c>
      <c r="B2" t="s">
        <v>231</v>
      </c>
    </row>
    <row r="3" spans="1:6">
      <c r="A3" s="262" t="s">
        <v>3534</v>
      </c>
      <c r="B3" t="s">
        <v>3535</v>
      </c>
    </row>
    <row r="4" spans="1:6">
      <c r="A4" s="262" t="s">
        <v>3536</v>
      </c>
      <c r="B4" s="330">
        <v>2023</v>
      </c>
    </row>
    <row r="5" spans="1:6">
      <c r="A5" s="262" t="s">
        <v>3537</v>
      </c>
      <c r="B5" t="s">
        <v>3535</v>
      </c>
    </row>
    <row r="6" spans="1:6">
      <c r="A6" s="262" t="s">
        <v>3540</v>
      </c>
      <c r="B6" t="s">
        <v>231</v>
      </c>
      <c r="F6"/>
    </row>
    <row r="7" spans="1:6">
      <c r="F7"/>
    </row>
    <row r="8" spans="1:6">
      <c r="E8" s="262" t="s">
        <v>3538</v>
      </c>
    </row>
    <row r="9" spans="1:6">
      <c r="A9" s="262" t="s">
        <v>3539</v>
      </c>
      <c r="B9" s="262" t="s">
        <v>3541</v>
      </c>
      <c r="C9" s="262" t="s">
        <v>3542</v>
      </c>
      <c r="D9" s="262" t="s">
        <v>3640</v>
      </c>
      <c r="E9" t="s">
        <v>3543</v>
      </c>
      <c r="F9" s="17" t="s">
        <v>3544</v>
      </c>
    </row>
    <row r="10" spans="1:6">
      <c r="A10">
        <v>111222</v>
      </c>
      <c r="B10" t="s">
        <v>343</v>
      </c>
      <c r="C10" t="s">
        <v>4448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149</v>
      </c>
      <c r="C11" t="s">
        <v>4449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149</v>
      </c>
      <c r="C12" t="s">
        <v>148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343</v>
      </c>
      <c r="C13" t="s">
        <v>76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17</v>
      </c>
      <c r="C14" t="s">
        <v>76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149</v>
      </c>
      <c r="C15" t="s">
        <v>148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17</v>
      </c>
      <c r="C16" t="s">
        <v>76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343</v>
      </c>
      <c r="C17" t="s">
        <v>76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17</v>
      </c>
      <c r="C18" t="s">
        <v>3545</v>
      </c>
      <c r="D18" s="256">
        <v>45107</v>
      </c>
      <c r="E18">
        <v>4</v>
      </c>
      <c r="F18" s="17">
        <v>26536784</v>
      </c>
    </row>
    <row r="19" spans="1:6">
      <c r="B19" t="s">
        <v>343</v>
      </c>
      <c r="C19" t="s">
        <v>3545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17</v>
      </c>
      <c r="C20" t="s">
        <v>76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343</v>
      </c>
      <c r="C21" t="s">
        <v>76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17</v>
      </c>
      <c r="C22" t="s">
        <v>76</v>
      </c>
      <c r="D22" s="256">
        <v>45167</v>
      </c>
      <c r="E22">
        <v>5</v>
      </c>
      <c r="F22" s="17">
        <v>29195788</v>
      </c>
    </row>
    <row r="23" spans="1:6">
      <c r="B23" t="s">
        <v>4450</v>
      </c>
      <c r="C23" t="s">
        <v>76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343</v>
      </c>
      <c r="C24" t="s">
        <v>76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17</v>
      </c>
      <c r="C25" t="s">
        <v>76</v>
      </c>
      <c r="D25" s="256">
        <v>45198</v>
      </c>
      <c r="E25">
        <v>5</v>
      </c>
      <c r="F25" s="17">
        <v>29156413</v>
      </c>
    </row>
    <row r="26" spans="1:6">
      <c r="B26" t="s">
        <v>4450</v>
      </c>
      <c r="C26" t="s">
        <v>76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343</v>
      </c>
      <c r="C27" t="s">
        <v>76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3547</v>
      </c>
      <c r="C28" t="s">
        <v>3583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17</v>
      </c>
      <c r="C29" t="s">
        <v>76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4247</v>
      </c>
      <c r="C30" t="s">
        <v>4451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343</v>
      </c>
      <c r="C31" t="s">
        <v>76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17</v>
      </c>
      <c r="C32" t="s">
        <v>76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343</v>
      </c>
      <c r="C33" t="s">
        <v>76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343</v>
      </c>
      <c r="C34" t="s">
        <v>76</v>
      </c>
      <c r="D34" t="s">
        <v>4452</v>
      </c>
      <c r="E34">
        <v>1</v>
      </c>
      <c r="F34" s="17">
        <v>12298832</v>
      </c>
    </row>
    <row r="35" spans="1:6">
      <c r="A35">
        <v>111487</v>
      </c>
      <c r="B35" t="s">
        <v>3547</v>
      </c>
      <c r="C35" t="s">
        <v>4447</v>
      </c>
      <c r="D35" t="s">
        <v>4452</v>
      </c>
      <c r="E35">
        <v>1</v>
      </c>
      <c r="F35" s="17">
        <v>5910488</v>
      </c>
    </row>
    <row r="36" spans="1:6">
      <c r="A36">
        <v>111489</v>
      </c>
      <c r="B36" t="s">
        <v>3547</v>
      </c>
      <c r="C36" t="s">
        <v>76</v>
      </c>
      <c r="D36" t="s">
        <v>4453</v>
      </c>
      <c r="E36">
        <v>2</v>
      </c>
      <c r="F36" s="17">
        <v>11500954</v>
      </c>
    </row>
    <row r="37" spans="1:6">
      <c r="A37">
        <v>111501</v>
      </c>
      <c r="B37" t="s">
        <v>17</v>
      </c>
      <c r="C37" t="s">
        <v>4454</v>
      </c>
      <c r="D37" t="s">
        <v>4453</v>
      </c>
      <c r="E37">
        <v>2</v>
      </c>
      <c r="F37" s="17">
        <v>11319635</v>
      </c>
    </row>
    <row r="38" spans="1:6">
      <c r="A38">
        <v>111503</v>
      </c>
      <c r="B38" t="s">
        <v>343</v>
      </c>
      <c r="C38" t="s">
        <v>4455</v>
      </c>
      <c r="D38" t="s">
        <v>4456</v>
      </c>
      <c r="E38">
        <v>2</v>
      </c>
      <c r="F38" s="17">
        <v>24424576</v>
      </c>
    </row>
    <row r="39" spans="1:6">
      <c r="A39" t="s">
        <v>214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defaultColWidth="9" defaultRowHeight="13.5"/>
  <cols>
    <col min="1" max="1" width="19.75" style="310" customWidth="1"/>
    <col min="2" max="2" width="15.75" customWidth="1"/>
    <col min="3" max="3" width="26.75" customWidth="1"/>
    <col min="4" max="4" width="12.75" style="256" bestFit="1" customWidth="1"/>
    <col min="5" max="5" width="13.75" bestFit="1" customWidth="1"/>
    <col min="6" max="6" width="33.375" style="17" bestFit="1" customWidth="1"/>
    <col min="7" max="7" width="33.375" bestFit="1" customWidth="1"/>
    <col min="8" max="9" width="33.25" bestFit="1" customWidth="1"/>
  </cols>
  <sheetData>
    <row r="1" spans="1:6">
      <c r="A1" s="16" t="s">
        <v>3639</v>
      </c>
      <c r="B1" t="s">
        <v>231</v>
      </c>
    </row>
    <row r="2" spans="1:6">
      <c r="A2" s="16" t="s">
        <v>3534</v>
      </c>
      <c r="B2" t="s">
        <v>3535</v>
      </c>
    </row>
    <row r="3" spans="1:6">
      <c r="A3" s="16" t="s">
        <v>3536</v>
      </c>
      <c r="B3" s="330">
        <v>2022</v>
      </c>
    </row>
    <row r="4" spans="1:6">
      <c r="A4" s="16" t="s">
        <v>3537</v>
      </c>
      <c r="B4" t="s">
        <v>231</v>
      </c>
    </row>
    <row r="5" spans="1:6">
      <c r="A5" s="16" t="s">
        <v>3640</v>
      </c>
      <c r="B5" t="s">
        <v>3535</v>
      </c>
    </row>
    <row r="6" spans="1:6">
      <c r="A6"/>
      <c r="F6"/>
    </row>
    <row r="7" spans="1:6">
      <c r="C7" s="310"/>
      <c r="E7" s="16" t="s">
        <v>3538</v>
      </c>
    </row>
    <row r="8" spans="1:6">
      <c r="A8" s="16" t="s">
        <v>3541</v>
      </c>
      <c r="B8" s="262" t="s">
        <v>3539</v>
      </c>
      <c r="C8" s="16" t="s">
        <v>3542</v>
      </c>
      <c r="D8" s="322" t="s">
        <v>3540</v>
      </c>
      <c r="E8" t="s">
        <v>3543</v>
      </c>
      <c r="F8" s="17" t="s">
        <v>3544</v>
      </c>
    </row>
    <row r="9" spans="1:6">
      <c r="A9" t="s">
        <v>153</v>
      </c>
      <c r="B9">
        <v>110803</v>
      </c>
      <c r="C9" t="s">
        <v>3584</v>
      </c>
      <c r="D9" s="256">
        <v>44581</v>
      </c>
      <c r="E9">
        <v>6</v>
      </c>
      <c r="F9" s="17">
        <v>82439520</v>
      </c>
    </row>
    <row r="10" spans="1:6">
      <c r="A10" s="323" t="s">
        <v>3641</v>
      </c>
      <c r="B10" s="263"/>
      <c r="C10" s="323"/>
      <c r="D10" s="325"/>
      <c r="E10" s="263">
        <v>6</v>
      </c>
      <c r="F10" s="324">
        <v>82439520</v>
      </c>
    </row>
    <row r="11" spans="1:6">
      <c r="A11" t="s">
        <v>551</v>
      </c>
      <c r="B11">
        <v>110877</v>
      </c>
      <c r="C11" t="s">
        <v>3595</v>
      </c>
      <c r="D11" s="256">
        <v>44637</v>
      </c>
      <c r="E11">
        <v>1</v>
      </c>
      <c r="F11" s="17">
        <v>4700360</v>
      </c>
    </row>
    <row r="12" spans="1:6">
      <c r="A12" s="323" t="s">
        <v>3642</v>
      </c>
      <c r="B12" s="263"/>
      <c r="C12" s="323"/>
      <c r="D12" s="325"/>
      <c r="E12" s="263">
        <v>1</v>
      </c>
      <c r="F12" s="324">
        <v>4700360</v>
      </c>
    </row>
    <row r="13" spans="1:6">
      <c r="A13" t="s">
        <v>3547</v>
      </c>
      <c r="B13">
        <v>110666</v>
      </c>
      <c r="C13" t="s">
        <v>76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3583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3608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3549</v>
      </c>
      <c r="D16" s="256">
        <v>44782</v>
      </c>
      <c r="E16">
        <v>1</v>
      </c>
      <c r="F16" s="17">
        <v>8528445</v>
      </c>
    </row>
    <row r="17" spans="1:6">
      <c r="A17"/>
      <c r="B17" t="s">
        <v>3643</v>
      </c>
      <c r="C17" t="s">
        <v>3644</v>
      </c>
      <c r="D17" s="256">
        <v>44791</v>
      </c>
      <c r="E17">
        <v>2</v>
      </c>
      <c r="F17" s="17">
        <v>13860020</v>
      </c>
    </row>
    <row r="18" spans="1:6">
      <c r="A18" s="323" t="s">
        <v>3645</v>
      </c>
      <c r="B18" s="263"/>
      <c r="C18" s="323"/>
      <c r="D18" s="325"/>
      <c r="E18" s="263">
        <v>10</v>
      </c>
      <c r="F18" s="324">
        <v>82408726</v>
      </c>
    </row>
    <row r="19" spans="1:6">
      <c r="A19" t="s">
        <v>17</v>
      </c>
      <c r="B19">
        <v>110436</v>
      </c>
      <c r="C19" t="s">
        <v>76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3556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3558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3564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3565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3566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3567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3568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3569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3561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76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76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76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3573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3574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3575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3562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3576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3577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3578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3579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3563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3561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3581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76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200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200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3575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101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3579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3553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3587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3558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3585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3586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3569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3563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76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3592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3593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3594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3597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3599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200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76</v>
      </c>
      <c r="D63" s="256">
        <v>44179</v>
      </c>
      <c r="E63">
        <v>1</v>
      </c>
      <c r="F63" s="17">
        <v>5394765</v>
      </c>
    </row>
    <row r="64" spans="1:6">
      <c r="A64"/>
      <c r="B64" t="s">
        <v>3601</v>
      </c>
      <c r="C64" t="s">
        <v>200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3598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3596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3597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3561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3594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3604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3605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3603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3606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3607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94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94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3608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3608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3609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3554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3610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3615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3616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3617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3617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3618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3619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3628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3629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3630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3631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3632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3633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3634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3635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3636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3637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3638</v>
      </c>
      <c r="D98" s="256">
        <v>44721</v>
      </c>
      <c r="E98">
        <v>10</v>
      </c>
      <c r="F98" s="17">
        <v>75153525</v>
      </c>
    </row>
    <row r="99" spans="1:6">
      <c r="A99"/>
      <c r="B99" t="s">
        <v>3646</v>
      </c>
      <c r="C99" t="s">
        <v>3647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3553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3648</v>
      </c>
      <c r="C101" t="s">
        <v>3594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3649</v>
      </c>
      <c r="C102" t="s">
        <v>3650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3651</v>
      </c>
      <c r="C103" t="s">
        <v>3652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3546</v>
      </c>
      <c r="D104" s="256">
        <v>44791</v>
      </c>
      <c r="E104">
        <v>5</v>
      </c>
      <c r="F104" s="17">
        <v>30061465</v>
      </c>
    </row>
    <row r="105" spans="1:6">
      <c r="A105" s="323" t="s">
        <v>3653</v>
      </c>
      <c r="B105" s="263"/>
      <c r="C105" s="323"/>
      <c r="D105" s="325"/>
      <c r="E105" s="263">
        <v>189</v>
      </c>
      <c r="F105" s="324">
        <v>1521732150.5</v>
      </c>
    </row>
    <row r="106" spans="1:6">
      <c r="A106" t="s">
        <v>58</v>
      </c>
      <c r="B106">
        <v>110249</v>
      </c>
      <c r="C106" t="s">
        <v>76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3555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3556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3557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3558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3559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3560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3561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3562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3563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3568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3569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3561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76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76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76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3571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3572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3570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3563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3580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3582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3548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3549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76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3591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3588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3589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3590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1967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3551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76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3595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3552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3596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3594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3598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3593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3600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3552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3602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3603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76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3608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3608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3611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3612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76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3598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3613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3609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3602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3597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3614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3620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3621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3622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3623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3624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3625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3626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3627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3654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3655</v>
      </c>
      <c r="C169" t="s">
        <v>3656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3657</v>
      </c>
      <c r="C170" t="s">
        <v>3650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3658</v>
      </c>
      <c r="C171" t="s">
        <v>3647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3659</v>
      </c>
      <c r="C172" t="s">
        <v>3594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3561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3604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3660</v>
      </c>
      <c r="D175" s="256">
        <v>44791</v>
      </c>
      <c r="E175">
        <v>2</v>
      </c>
      <c r="F175" s="17">
        <v>34084770</v>
      </c>
    </row>
    <row r="176" spans="1:6">
      <c r="A176" s="323" t="s">
        <v>3661</v>
      </c>
      <c r="B176" s="263"/>
      <c r="C176" s="323"/>
      <c r="D176" s="325"/>
      <c r="E176" s="263">
        <v>157</v>
      </c>
      <c r="F176" s="324">
        <v>1903046172.5</v>
      </c>
    </row>
    <row r="177" spans="1:6">
      <c r="A177" t="s">
        <v>2026</v>
      </c>
      <c r="B177">
        <v>110630</v>
      </c>
      <c r="C177" t="s">
        <v>3550</v>
      </c>
      <c r="D177" s="256">
        <v>44455</v>
      </c>
      <c r="E177">
        <v>1</v>
      </c>
      <c r="F177" s="17">
        <v>17687520</v>
      </c>
    </row>
    <row r="178" spans="1:6">
      <c r="A178" s="323" t="s">
        <v>3662</v>
      </c>
      <c r="B178" s="263"/>
      <c r="C178" s="323"/>
      <c r="D178" s="325"/>
      <c r="E178" s="263">
        <v>1</v>
      </c>
      <c r="F178" s="324">
        <v>17687520</v>
      </c>
    </row>
    <row r="179" spans="1:6">
      <c r="A179" t="s">
        <v>214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defaultColWidth="9" defaultRowHeight="13.5"/>
  <cols>
    <col min="1" max="1" width="15.75" customWidth="1"/>
    <col min="2" max="2" width="20.25" customWidth="1"/>
    <col min="3" max="3" width="27.75" customWidth="1"/>
  </cols>
  <sheetData>
    <row r="3" spans="1:5">
      <c r="A3" s="16" t="s">
        <v>3663</v>
      </c>
    </row>
    <row r="4" spans="1:5">
      <c r="A4" s="16" t="s">
        <v>6</v>
      </c>
      <c r="B4" s="16" t="s">
        <v>9</v>
      </c>
      <c r="C4" s="16" t="s">
        <v>8</v>
      </c>
      <c r="D4" s="16" t="s">
        <v>10</v>
      </c>
      <c r="E4" t="s">
        <v>204</v>
      </c>
    </row>
    <row r="5" spans="1:5">
      <c r="A5" t="s">
        <v>14</v>
      </c>
      <c r="B5" t="s">
        <v>68</v>
      </c>
      <c r="C5" t="s">
        <v>67</v>
      </c>
      <c r="D5" t="s">
        <v>58</v>
      </c>
      <c r="E5">
        <v>2</v>
      </c>
    </row>
    <row r="6" spans="1:5">
      <c r="B6" t="s">
        <v>23</v>
      </c>
      <c r="C6" t="s">
        <v>22</v>
      </c>
      <c r="D6" t="s">
        <v>17</v>
      </c>
      <c r="E6">
        <v>1</v>
      </c>
    </row>
    <row r="7" spans="1:5">
      <c r="D7" t="s">
        <v>58</v>
      </c>
      <c r="E7">
        <v>2</v>
      </c>
    </row>
    <row r="8" spans="1:5">
      <c r="B8" t="s">
        <v>87</v>
      </c>
      <c r="C8" t="s">
        <v>86</v>
      </c>
      <c r="D8" t="s">
        <v>17</v>
      </c>
      <c r="E8">
        <v>1</v>
      </c>
    </row>
    <row r="9" spans="1:5">
      <c r="B9" t="s">
        <v>72</v>
      </c>
      <c r="C9" t="s">
        <v>71</v>
      </c>
      <c r="D9" t="s">
        <v>17</v>
      </c>
      <c r="E9">
        <v>1</v>
      </c>
    </row>
    <row r="10" spans="1:5">
      <c r="D10" t="s">
        <v>58</v>
      </c>
      <c r="E10">
        <v>1</v>
      </c>
    </row>
    <row r="11" spans="1:5">
      <c r="B11" t="s">
        <v>64</v>
      </c>
      <c r="C11" t="s">
        <v>63</v>
      </c>
      <c r="D11" t="s">
        <v>58</v>
      </c>
      <c r="E11">
        <v>1</v>
      </c>
    </row>
    <row r="12" spans="1:5">
      <c r="B12" t="s">
        <v>44</v>
      </c>
      <c r="C12" t="s">
        <v>43</v>
      </c>
      <c r="D12" t="s">
        <v>17</v>
      </c>
      <c r="E12">
        <v>2</v>
      </c>
    </row>
    <row r="13" spans="1:5">
      <c r="B13" t="s">
        <v>57</v>
      </c>
      <c r="C13" t="s">
        <v>56</v>
      </c>
      <c r="D13" t="s">
        <v>17</v>
      </c>
      <c r="E13">
        <v>2</v>
      </c>
    </row>
    <row r="14" spans="1:5">
      <c r="B14" t="s">
        <v>3664</v>
      </c>
      <c r="C14" t="s">
        <v>3665</v>
      </c>
      <c r="D14" t="s">
        <v>58</v>
      </c>
      <c r="E14">
        <v>1</v>
      </c>
    </row>
    <row r="15" spans="1:5">
      <c r="B15" t="s">
        <v>70</v>
      </c>
      <c r="C15" t="s">
        <v>69</v>
      </c>
      <c r="D15" t="s">
        <v>58</v>
      </c>
      <c r="E15">
        <v>2</v>
      </c>
    </row>
    <row r="16" spans="1:5">
      <c r="B16" t="s">
        <v>42</v>
      </c>
      <c r="C16" t="s">
        <v>41</v>
      </c>
      <c r="D16" t="s">
        <v>17</v>
      </c>
      <c r="E16">
        <v>1</v>
      </c>
    </row>
    <row r="17" spans="1:5">
      <c r="D17" t="s">
        <v>58</v>
      </c>
      <c r="E17">
        <v>2</v>
      </c>
    </row>
    <row r="18" spans="1:5">
      <c r="B18" t="s">
        <v>52</v>
      </c>
      <c r="C18" t="s">
        <v>51</v>
      </c>
      <c r="D18" t="s">
        <v>17</v>
      </c>
      <c r="E18">
        <v>3</v>
      </c>
    </row>
    <row r="19" spans="1:5">
      <c r="D19" t="s">
        <v>58</v>
      </c>
      <c r="E19">
        <v>7</v>
      </c>
    </row>
    <row r="20" spans="1:5">
      <c r="B20" t="s">
        <v>46</v>
      </c>
      <c r="C20" t="s">
        <v>45</v>
      </c>
      <c r="D20" t="s">
        <v>17</v>
      </c>
      <c r="E20">
        <v>3</v>
      </c>
    </row>
    <row r="21" spans="1:5">
      <c r="D21" t="s">
        <v>58</v>
      </c>
      <c r="E21">
        <v>3</v>
      </c>
    </row>
    <row r="22" spans="1:5">
      <c r="B22" t="s">
        <v>54</v>
      </c>
      <c r="C22" t="s">
        <v>53</v>
      </c>
      <c r="D22" t="s">
        <v>17</v>
      </c>
      <c r="E22">
        <v>3</v>
      </c>
    </row>
    <row r="23" spans="1:5">
      <c r="C23" t="s">
        <v>55</v>
      </c>
      <c r="D23" t="s">
        <v>17</v>
      </c>
      <c r="E23">
        <v>1</v>
      </c>
    </row>
    <row r="24" spans="1:5">
      <c r="B24" t="s">
        <v>181</v>
      </c>
      <c r="C24" t="s">
        <v>180</v>
      </c>
      <c r="D24" t="s">
        <v>58</v>
      </c>
      <c r="E24">
        <v>2</v>
      </c>
    </row>
    <row r="25" spans="1:5">
      <c r="B25" t="s">
        <v>3666</v>
      </c>
      <c r="C25" t="s">
        <v>3667</v>
      </c>
      <c r="D25" t="s">
        <v>58</v>
      </c>
      <c r="E25">
        <v>1</v>
      </c>
    </row>
    <row r="26" spans="1:5">
      <c r="A26" t="s">
        <v>1127</v>
      </c>
      <c r="B26" t="s">
        <v>223</v>
      </c>
      <c r="C26" t="s">
        <v>3668</v>
      </c>
      <c r="D26" t="s">
        <v>58</v>
      </c>
      <c r="E26">
        <v>1</v>
      </c>
    </row>
    <row r="27" spans="1:5">
      <c r="B27" t="s">
        <v>30</v>
      </c>
      <c r="C27" t="s">
        <v>29</v>
      </c>
      <c r="D27" t="s">
        <v>17</v>
      </c>
      <c r="E27">
        <v>1</v>
      </c>
    </row>
    <row r="28" spans="1:5">
      <c r="B28" t="s">
        <v>3669</v>
      </c>
      <c r="C28" t="s">
        <v>3670</v>
      </c>
      <c r="D28" t="s">
        <v>17</v>
      </c>
      <c r="E28">
        <v>2</v>
      </c>
    </row>
    <row r="29" spans="1:5">
      <c r="B29" t="s">
        <v>3671</v>
      </c>
      <c r="C29" t="s">
        <v>3672</v>
      </c>
      <c r="D29" t="s">
        <v>58</v>
      </c>
      <c r="E29">
        <v>2</v>
      </c>
    </row>
    <row r="30" spans="1:5">
      <c r="B30" t="s">
        <v>3673</v>
      </c>
      <c r="C30" t="s">
        <v>3674</v>
      </c>
      <c r="D30" t="s">
        <v>17</v>
      </c>
      <c r="E30">
        <v>2</v>
      </c>
    </row>
    <row r="31" spans="1:5">
      <c r="B31" t="s">
        <v>3675</v>
      </c>
      <c r="C31" t="s">
        <v>3676</v>
      </c>
      <c r="D31" t="s">
        <v>17</v>
      </c>
      <c r="E31">
        <v>3</v>
      </c>
    </row>
    <row r="32" spans="1:5">
      <c r="B32" t="s">
        <v>3677</v>
      </c>
      <c r="C32" t="s">
        <v>3678</v>
      </c>
      <c r="D32" t="s">
        <v>17</v>
      </c>
      <c r="E32">
        <v>1</v>
      </c>
    </row>
    <row r="33" spans="2:5">
      <c r="D33" t="s">
        <v>58</v>
      </c>
      <c r="E33">
        <v>2</v>
      </c>
    </row>
    <row r="34" spans="2:5">
      <c r="B34" t="s">
        <v>203</v>
      </c>
      <c r="C34" t="s">
        <v>202</v>
      </c>
      <c r="D34" t="s">
        <v>201</v>
      </c>
      <c r="E34">
        <v>1</v>
      </c>
    </row>
    <row r="35" spans="2:5">
      <c r="B35" t="s">
        <v>167</v>
      </c>
      <c r="C35" t="s">
        <v>3679</v>
      </c>
      <c r="D35" t="s">
        <v>17</v>
      </c>
      <c r="E35">
        <v>1</v>
      </c>
    </row>
    <row r="36" spans="2:5">
      <c r="D36" t="s">
        <v>58</v>
      </c>
      <c r="E36">
        <v>1</v>
      </c>
    </row>
    <row r="37" spans="2:5">
      <c r="B37" t="s">
        <v>32</v>
      </c>
      <c r="C37" t="s">
        <v>31</v>
      </c>
      <c r="D37" t="s">
        <v>17</v>
      </c>
      <c r="E37">
        <v>1</v>
      </c>
    </row>
    <row r="38" spans="2:5">
      <c r="B38" t="s">
        <v>3680</v>
      </c>
      <c r="C38" t="s">
        <v>3681</v>
      </c>
      <c r="D38" t="s">
        <v>17</v>
      </c>
      <c r="E38">
        <v>1</v>
      </c>
    </row>
    <row r="39" spans="2:5">
      <c r="B39" t="s">
        <v>50</v>
      </c>
      <c r="C39" t="s">
        <v>3682</v>
      </c>
      <c r="D39" t="s">
        <v>17</v>
      </c>
      <c r="E39">
        <v>2</v>
      </c>
    </row>
    <row r="40" spans="2:5">
      <c r="B40" t="s">
        <v>3683</v>
      </c>
      <c r="C40" t="s">
        <v>3684</v>
      </c>
      <c r="D40" t="s">
        <v>58</v>
      </c>
      <c r="E40">
        <v>2</v>
      </c>
    </row>
    <row r="41" spans="2:5">
      <c r="B41" t="s">
        <v>60</v>
      </c>
      <c r="C41" t="s">
        <v>3685</v>
      </c>
      <c r="D41" t="s">
        <v>58</v>
      </c>
      <c r="E41">
        <v>1</v>
      </c>
    </row>
    <row r="42" spans="2:5">
      <c r="B42" t="s">
        <v>107</v>
      </c>
      <c r="C42" t="s">
        <v>3686</v>
      </c>
      <c r="D42" t="s">
        <v>17</v>
      </c>
      <c r="E42">
        <v>2</v>
      </c>
    </row>
    <row r="43" spans="2:5">
      <c r="D43" t="s">
        <v>58</v>
      </c>
      <c r="E43">
        <v>2</v>
      </c>
    </row>
    <row r="44" spans="2:5">
      <c r="C44" t="s">
        <v>3687</v>
      </c>
      <c r="D44" t="s">
        <v>17</v>
      </c>
      <c r="E44">
        <v>2</v>
      </c>
    </row>
    <row r="45" spans="2:5">
      <c r="D45" t="s">
        <v>58</v>
      </c>
      <c r="E45">
        <v>1</v>
      </c>
    </row>
    <row r="46" spans="2:5">
      <c r="B46" t="s">
        <v>3688</v>
      </c>
      <c r="C46" t="s">
        <v>3689</v>
      </c>
      <c r="D46" t="s">
        <v>149</v>
      </c>
      <c r="E46">
        <v>2</v>
      </c>
    </row>
    <row r="47" spans="2:5">
      <c r="B47" t="s">
        <v>3690</v>
      </c>
      <c r="C47" t="s">
        <v>3691</v>
      </c>
      <c r="D47" t="s">
        <v>58</v>
      </c>
      <c r="E47">
        <v>1</v>
      </c>
    </row>
    <row r="48" spans="2:5">
      <c r="B48" t="s">
        <v>3692</v>
      </c>
      <c r="C48" t="s">
        <v>3693</v>
      </c>
      <c r="D48" t="s">
        <v>17</v>
      </c>
      <c r="E48">
        <v>1</v>
      </c>
    </row>
    <row r="49" spans="1:5">
      <c r="D49" t="s">
        <v>58</v>
      </c>
      <c r="E49">
        <v>1</v>
      </c>
    </row>
    <row r="50" spans="1:5">
      <c r="B50" t="s">
        <v>42</v>
      </c>
      <c r="C50" t="s">
        <v>3694</v>
      </c>
      <c r="D50" t="s">
        <v>17</v>
      </c>
      <c r="E50">
        <v>1</v>
      </c>
    </row>
    <row r="51" spans="1:5">
      <c r="D51" t="s">
        <v>58</v>
      </c>
      <c r="E51">
        <v>1</v>
      </c>
    </row>
    <row r="52" spans="1:5">
      <c r="B52" t="s">
        <v>3695</v>
      </c>
      <c r="C52" t="s">
        <v>3696</v>
      </c>
      <c r="D52" t="s">
        <v>17</v>
      </c>
      <c r="E52">
        <v>1</v>
      </c>
    </row>
    <row r="53" spans="1:5">
      <c r="D53" t="s">
        <v>58</v>
      </c>
      <c r="E53">
        <v>1</v>
      </c>
    </row>
    <row r="54" spans="1:5">
      <c r="B54" t="s">
        <v>3697</v>
      </c>
      <c r="C54" t="s">
        <v>3698</v>
      </c>
      <c r="D54" t="s">
        <v>256</v>
      </c>
      <c r="E54">
        <v>1</v>
      </c>
    </row>
    <row r="55" spans="1:5">
      <c r="D55" t="s">
        <v>58</v>
      </c>
      <c r="E55">
        <v>1</v>
      </c>
    </row>
    <row r="56" spans="1:5">
      <c r="B56" t="s">
        <v>46</v>
      </c>
      <c r="C56" t="s">
        <v>45</v>
      </c>
      <c r="D56" t="s">
        <v>17</v>
      </c>
      <c r="E56">
        <v>1</v>
      </c>
    </row>
    <row r="57" spans="1:5">
      <c r="D57" t="s">
        <v>58</v>
      </c>
      <c r="E57">
        <v>1</v>
      </c>
    </row>
    <row r="58" spans="1:5">
      <c r="B58" t="s">
        <v>66</v>
      </c>
      <c r="C58" t="s">
        <v>65</v>
      </c>
      <c r="D58" t="s">
        <v>17</v>
      </c>
      <c r="E58">
        <v>2</v>
      </c>
    </row>
    <row r="59" spans="1:5">
      <c r="D59" t="s">
        <v>58</v>
      </c>
      <c r="E59">
        <v>2</v>
      </c>
    </row>
    <row r="60" spans="1:5">
      <c r="B60" t="s">
        <v>206</v>
      </c>
      <c r="C60" t="s">
        <v>206</v>
      </c>
      <c r="D60" t="s">
        <v>206</v>
      </c>
      <c r="E60">
        <v>1</v>
      </c>
    </row>
    <row r="61" spans="1:5">
      <c r="A61" t="s">
        <v>28</v>
      </c>
      <c r="B61" t="s">
        <v>23</v>
      </c>
      <c r="C61" t="s">
        <v>22</v>
      </c>
      <c r="D61" t="s">
        <v>17</v>
      </c>
      <c r="E61">
        <v>1</v>
      </c>
    </row>
    <row r="62" spans="1:5">
      <c r="B62" t="s">
        <v>40</v>
      </c>
      <c r="C62" t="s">
        <v>39</v>
      </c>
      <c r="D62" t="s">
        <v>17</v>
      </c>
      <c r="E62">
        <v>4</v>
      </c>
    </row>
    <row r="63" spans="1:5">
      <c r="B63" t="s">
        <v>3699</v>
      </c>
      <c r="C63" t="s">
        <v>3700</v>
      </c>
      <c r="D63" t="s">
        <v>17</v>
      </c>
      <c r="E63">
        <v>1</v>
      </c>
    </row>
    <row r="64" spans="1:5">
      <c r="B64" t="s">
        <v>62</v>
      </c>
      <c r="C64" t="s">
        <v>61</v>
      </c>
      <c r="D64" t="s">
        <v>17</v>
      </c>
      <c r="E64">
        <v>2</v>
      </c>
    </row>
    <row r="65" spans="1:5">
      <c r="D65" t="s">
        <v>58</v>
      </c>
      <c r="E65">
        <v>2</v>
      </c>
    </row>
    <row r="66" spans="1:5">
      <c r="B66" t="s">
        <v>92</v>
      </c>
      <c r="C66" t="s">
        <v>91</v>
      </c>
      <c r="D66" t="s">
        <v>17</v>
      </c>
      <c r="E66">
        <v>2</v>
      </c>
    </row>
    <row r="67" spans="1:5">
      <c r="D67" t="s">
        <v>58</v>
      </c>
      <c r="E67">
        <v>2</v>
      </c>
    </row>
    <row r="68" spans="1:5">
      <c r="B68" t="s">
        <v>50</v>
      </c>
      <c r="C68" t="s">
        <v>49</v>
      </c>
      <c r="D68" t="s">
        <v>17</v>
      </c>
      <c r="E68">
        <v>7</v>
      </c>
    </row>
    <row r="69" spans="1:5">
      <c r="D69" t="s">
        <v>58</v>
      </c>
      <c r="E69">
        <v>3</v>
      </c>
    </row>
    <row r="70" spans="1:5">
      <c r="B70" t="s">
        <v>198</v>
      </c>
      <c r="C70" t="s">
        <v>197</v>
      </c>
      <c r="D70" t="s">
        <v>58</v>
      </c>
      <c r="E70">
        <v>1</v>
      </c>
    </row>
    <row r="71" spans="1:5">
      <c r="B71" t="s">
        <v>60</v>
      </c>
      <c r="C71" t="s">
        <v>59</v>
      </c>
      <c r="D71" t="s">
        <v>17</v>
      </c>
      <c r="E71">
        <v>2</v>
      </c>
    </row>
    <row r="72" spans="1:5">
      <c r="D72" t="s">
        <v>58</v>
      </c>
      <c r="E72">
        <v>2</v>
      </c>
    </row>
    <row r="73" spans="1:5">
      <c r="B73" t="s">
        <v>107</v>
      </c>
      <c r="C73" t="s">
        <v>3701</v>
      </c>
      <c r="D73" t="s">
        <v>58</v>
      </c>
      <c r="E73">
        <v>1</v>
      </c>
    </row>
    <row r="74" spans="1:5">
      <c r="B74" t="s">
        <v>3702</v>
      </c>
      <c r="C74" t="s">
        <v>3703</v>
      </c>
      <c r="D74" t="s">
        <v>58</v>
      </c>
      <c r="E74">
        <v>1</v>
      </c>
    </row>
    <row r="75" spans="1:5">
      <c r="B75" t="s">
        <v>74</v>
      </c>
      <c r="C75" t="s">
        <v>73</v>
      </c>
      <c r="D75" t="s">
        <v>58</v>
      </c>
      <c r="E75">
        <v>1</v>
      </c>
    </row>
    <row r="76" spans="1:5">
      <c r="B76" t="s">
        <v>52</v>
      </c>
      <c r="C76" t="s">
        <v>51</v>
      </c>
      <c r="D76" t="s">
        <v>17</v>
      </c>
      <c r="E76">
        <v>2</v>
      </c>
    </row>
    <row r="77" spans="1:5">
      <c r="D77" t="s">
        <v>58</v>
      </c>
      <c r="E77">
        <v>3</v>
      </c>
    </row>
    <row r="78" spans="1:5">
      <c r="B78" t="s">
        <v>222</v>
      </c>
      <c r="C78" t="s">
        <v>3704</v>
      </c>
      <c r="D78" t="s">
        <v>17</v>
      </c>
      <c r="E78">
        <v>1</v>
      </c>
    </row>
    <row r="79" spans="1:5">
      <c r="B79" t="s">
        <v>144</v>
      </c>
      <c r="C79" t="s">
        <v>143</v>
      </c>
      <c r="D79" t="s">
        <v>17</v>
      </c>
      <c r="E79">
        <v>2</v>
      </c>
    </row>
    <row r="80" spans="1:5">
      <c r="A80" t="s">
        <v>214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dimension ref="A1"/>
  <sheetViews>
    <sheetView workbookViewId="0"/>
  </sheetViews>
  <sheetFormatPr defaultColWidth="9" defaultRowHeight="13.5"/>
  <sheetData/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2"/>
  <sheetViews>
    <sheetView topLeftCell="A25" workbookViewId="0">
      <selection activeCell="B63" sqref="B63"/>
    </sheetView>
  </sheetViews>
  <sheetFormatPr defaultColWidth="9" defaultRowHeight="14.25"/>
  <cols>
    <col min="1" max="1" width="14.25" style="1" customWidth="1"/>
    <col min="2" max="2" width="22.75" style="49" customWidth="1"/>
    <col min="3" max="3" width="17.75" style="15" customWidth="1"/>
    <col min="4" max="4" width="40.25" style="1" customWidth="1"/>
    <col min="5" max="5" width="19.25" style="417" customWidth="1"/>
    <col min="6" max="6" width="14.75" style="1" customWidth="1"/>
    <col min="7" max="7" width="9" style="1"/>
    <col min="8" max="8" width="9.75" style="1" customWidth="1"/>
    <col min="9" max="9" width="9" style="1"/>
    <col min="10" max="10" width="15.25" style="1" customWidth="1"/>
    <col min="11" max="16384" width="9" style="1"/>
  </cols>
  <sheetData>
    <row r="1" spans="1:10">
      <c r="A1" s="2" t="s">
        <v>3705</v>
      </c>
      <c r="B1" s="97" t="s">
        <v>235</v>
      </c>
      <c r="C1" s="2" t="s">
        <v>271</v>
      </c>
      <c r="D1" s="2" t="s">
        <v>272</v>
      </c>
      <c r="E1" s="416" t="s">
        <v>265</v>
      </c>
      <c r="F1" s="2" t="s">
        <v>2728</v>
      </c>
      <c r="G1" s="2" t="s">
        <v>2853</v>
      </c>
      <c r="H1" s="436" t="s">
        <v>4270</v>
      </c>
      <c r="I1" s="436" t="s">
        <v>4275</v>
      </c>
      <c r="J1" s="436" t="s">
        <v>4282</v>
      </c>
    </row>
    <row r="2" spans="1:10">
      <c r="A2" s="1" t="s">
        <v>3706</v>
      </c>
      <c r="B2" s="49" t="s">
        <v>298</v>
      </c>
      <c r="C2" s="15" t="s">
        <v>3707</v>
      </c>
      <c r="D2" s="1" t="s">
        <v>3708</v>
      </c>
      <c r="E2" s="417" t="s">
        <v>4202</v>
      </c>
      <c r="G2" s="1" t="s">
        <v>281</v>
      </c>
      <c r="H2" s="1" t="s">
        <v>4272</v>
      </c>
      <c r="I2" s="1" t="s">
        <v>4278</v>
      </c>
      <c r="J2" s="1" t="s">
        <v>4280</v>
      </c>
    </row>
    <row r="3" spans="1:10">
      <c r="A3" s="3" t="s">
        <v>2030</v>
      </c>
      <c r="B3" s="49" t="s">
        <v>241</v>
      </c>
      <c r="C3" s="15" t="s">
        <v>3709</v>
      </c>
      <c r="D3" s="1" t="s">
        <v>292</v>
      </c>
      <c r="E3" s="417" t="s">
        <v>4203</v>
      </c>
      <c r="G3" s="1" t="s">
        <v>4267</v>
      </c>
      <c r="H3" s="1" t="s">
        <v>4274</v>
      </c>
      <c r="I3" s="1" t="s">
        <v>4277</v>
      </c>
      <c r="J3" s="1" t="s">
        <v>4283</v>
      </c>
    </row>
    <row r="4" spans="1:10" ht="13.5" customHeight="1">
      <c r="A4" s="13" t="s">
        <v>4350</v>
      </c>
      <c r="B4" s="49" t="s">
        <v>3710</v>
      </c>
      <c r="C4" s="15" t="s">
        <v>3711</v>
      </c>
      <c r="D4" s="1" t="s">
        <v>3712</v>
      </c>
      <c r="E4" s="417" t="s">
        <v>4204</v>
      </c>
      <c r="G4" s="1" t="s">
        <v>4268</v>
      </c>
      <c r="H4" s="437" t="s">
        <v>4280</v>
      </c>
      <c r="J4" s="1" t="s">
        <v>4284</v>
      </c>
    </row>
    <row r="5" spans="1:10">
      <c r="A5" s="13" t="s">
        <v>4249</v>
      </c>
      <c r="B5" s="49">
        <v>305</v>
      </c>
      <c r="C5" s="15" t="s">
        <v>4053</v>
      </c>
      <c r="D5" s="1" t="s">
        <v>3714</v>
      </c>
      <c r="E5" s="417" t="s">
        <v>258</v>
      </c>
      <c r="F5" s="1" t="s">
        <v>4264</v>
      </c>
      <c r="G5" s="1" t="s">
        <v>4269</v>
      </c>
      <c r="H5" s="437" t="s">
        <v>4297</v>
      </c>
    </row>
    <row r="6" spans="1:10">
      <c r="A6" s="13" t="s">
        <v>4250</v>
      </c>
      <c r="B6" s="49" t="s">
        <v>243</v>
      </c>
      <c r="C6" s="15" t="s">
        <v>4054</v>
      </c>
      <c r="D6" s="1" t="s">
        <v>4386</v>
      </c>
      <c r="E6" s="417" t="s">
        <v>4205</v>
      </c>
      <c r="G6" s="1" t="s">
        <v>4057</v>
      </c>
    </row>
    <row r="7" spans="1:10">
      <c r="A7" s="13" t="s">
        <v>4251</v>
      </c>
      <c r="B7" s="49">
        <v>310</v>
      </c>
      <c r="D7" s="1" t="s">
        <v>3717</v>
      </c>
      <c r="E7" s="417" t="s">
        <v>4206</v>
      </c>
      <c r="F7" s="1" t="s">
        <v>4265</v>
      </c>
      <c r="G7" s="1" t="s">
        <v>4504</v>
      </c>
    </row>
    <row r="8" spans="1:10">
      <c r="A8" s="13" t="s">
        <v>4252</v>
      </c>
      <c r="B8" s="49" t="s">
        <v>2768</v>
      </c>
      <c r="D8" s="1" t="s">
        <v>307</v>
      </c>
      <c r="E8" s="417" t="s">
        <v>4207</v>
      </c>
      <c r="F8" s="1" t="s">
        <v>3719</v>
      </c>
    </row>
    <row r="9" spans="1:10">
      <c r="A9" s="13" t="s">
        <v>4253</v>
      </c>
      <c r="B9" s="49" t="s">
        <v>2809</v>
      </c>
      <c r="D9" s="1" t="s">
        <v>2168</v>
      </c>
      <c r="E9" s="417" t="s">
        <v>2797</v>
      </c>
      <c r="F9" s="1" t="s">
        <v>3721</v>
      </c>
    </row>
    <row r="10" spans="1:10">
      <c r="A10" s="13" t="s">
        <v>4254</v>
      </c>
      <c r="B10" s="49" t="s">
        <v>2777</v>
      </c>
      <c r="D10" s="1" t="s">
        <v>934</v>
      </c>
      <c r="E10" s="417" t="s">
        <v>4208</v>
      </c>
      <c r="F10" s="1" t="s">
        <v>3723</v>
      </c>
    </row>
    <row r="11" spans="1:10">
      <c r="A11" s="13" t="s">
        <v>4255</v>
      </c>
      <c r="B11" s="49" t="s">
        <v>2812</v>
      </c>
      <c r="D11" s="1" t="s">
        <v>3725</v>
      </c>
      <c r="E11" s="417" t="s">
        <v>3726</v>
      </c>
      <c r="F11" s="1" t="s">
        <v>3727</v>
      </c>
    </row>
    <row r="12" spans="1:10">
      <c r="A12" s="13" t="s">
        <v>4256</v>
      </c>
      <c r="B12" s="49" t="s">
        <v>2814</v>
      </c>
      <c r="D12" s="1" t="s">
        <v>3729</v>
      </c>
      <c r="E12" s="417" t="s">
        <v>4209</v>
      </c>
      <c r="F12" s="1" t="s">
        <v>3730</v>
      </c>
    </row>
    <row r="13" spans="1:10">
      <c r="A13" s="13" t="s">
        <v>3731</v>
      </c>
      <c r="B13" s="49" t="s">
        <v>2816</v>
      </c>
      <c r="D13" s="1" t="s">
        <v>3732</v>
      </c>
      <c r="E13" s="417" t="s">
        <v>4217</v>
      </c>
      <c r="F13" s="1" t="s">
        <v>3733</v>
      </c>
    </row>
    <row r="14" spans="1:10">
      <c r="A14" s="13" t="s">
        <v>3734</v>
      </c>
      <c r="B14" s="49" t="s">
        <v>2818</v>
      </c>
      <c r="D14" s="1" t="s">
        <v>3735</v>
      </c>
      <c r="E14" s="417" t="s">
        <v>4216</v>
      </c>
      <c r="F14" s="1" t="s">
        <v>3736</v>
      </c>
    </row>
    <row r="15" spans="1:10">
      <c r="A15" s="13" t="s">
        <v>3876</v>
      </c>
      <c r="B15" s="49" t="s">
        <v>2846</v>
      </c>
      <c r="D15" s="1" t="s">
        <v>3737</v>
      </c>
      <c r="E15" s="417" t="s">
        <v>4210</v>
      </c>
      <c r="F15" s="1" t="s">
        <v>3738</v>
      </c>
    </row>
    <row r="16" spans="1:10">
      <c r="A16" s="13" t="s">
        <v>3877</v>
      </c>
      <c r="B16" s="49" t="s">
        <v>2847</v>
      </c>
      <c r="D16" s="1" t="s">
        <v>3739</v>
      </c>
      <c r="E16" s="417" t="s">
        <v>4211</v>
      </c>
      <c r="F16" s="1" t="s">
        <v>3740</v>
      </c>
    </row>
    <row r="17" spans="1:6">
      <c r="A17" s="1" t="s">
        <v>3741</v>
      </c>
      <c r="B17" s="49" t="s">
        <v>2824</v>
      </c>
      <c r="D17" s="1" t="s">
        <v>1833</v>
      </c>
      <c r="E17" s="417" t="s">
        <v>3742</v>
      </c>
      <c r="F17" s="1" t="s">
        <v>3743</v>
      </c>
    </row>
    <row r="18" spans="1:6">
      <c r="A18" s="384" t="s">
        <v>4061</v>
      </c>
      <c r="B18" s="49" t="s">
        <v>2826</v>
      </c>
      <c r="D18" s="1" t="s">
        <v>3744</v>
      </c>
      <c r="E18" s="417" t="s">
        <v>4212</v>
      </c>
      <c r="F18" s="1" t="s">
        <v>3745</v>
      </c>
    </row>
    <row r="19" spans="1:6">
      <c r="B19" s="49" t="s">
        <v>2828</v>
      </c>
      <c r="D19" s="1" t="s">
        <v>3746</v>
      </c>
      <c r="E19" s="417" t="s">
        <v>4218</v>
      </c>
      <c r="F19" s="1" t="s">
        <v>3747</v>
      </c>
    </row>
    <row r="20" spans="1:6">
      <c r="B20" s="49" t="s">
        <v>2830</v>
      </c>
      <c r="D20" s="1" t="s">
        <v>2413</v>
      </c>
      <c r="E20" s="417" t="s">
        <v>3748</v>
      </c>
      <c r="F20" s="1" t="s">
        <v>3749</v>
      </c>
    </row>
    <row r="21" spans="1:6">
      <c r="B21" s="49" t="s">
        <v>2832</v>
      </c>
      <c r="D21" s="1" t="s">
        <v>3750</v>
      </c>
      <c r="E21" s="417" t="s">
        <v>4219</v>
      </c>
      <c r="F21" s="1" t="s">
        <v>3751</v>
      </c>
    </row>
    <row r="22" spans="1:6">
      <c r="B22" s="49" t="s">
        <v>2834</v>
      </c>
      <c r="D22" s="1" t="s">
        <v>3752</v>
      </c>
      <c r="E22" s="417" t="s">
        <v>4213</v>
      </c>
      <c r="F22" s="1" t="s">
        <v>3753</v>
      </c>
    </row>
    <row r="23" spans="1:6">
      <c r="A23" s="13"/>
      <c r="B23" s="49" t="s">
        <v>4244</v>
      </c>
      <c r="D23" s="1" t="s">
        <v>1687</v>
      </c>
      <c r="E23" s="417" t="s">
        <v>4220</v>
      </c>
    </row>
    <row r="24" spans="1:6">
      <c r="B24" s="49" t="s">
        <v>3755</v>
      </c>
      <c r="D24" s="1" t="s">
        <v>1821</v>
      </c>
      <c r="E24" s="417" t="s">
        <v>4221</v>
      </c>
    </row>
    <row r="25" spans="1:6">
      <c r="B25" s="49" t="s">
        <v>3756</v>
      </c>
      <c r="D25" s="1" t="s">
        <v>3757</v>
      </c>
      <c r="E25" s="417" t="s">
        <v>3758</v>
      </c>
    </row>
    <row r="26" spans="1:6">
      <c r="B26" s="49" t="s">
        <v>3759</v>
      </c>
      <c r="D26" s="1" t="s">
        <v>3760</v>
      </c>
      <c r="E26" s="417" t="s">
        <v>3761</v>
      </c>
    </row>
    <row r="27" spans="1:6">
      <c r="B27" s="49" t="s">
        <v>3762</v>
      </c>
      <c r="D27" s="1" t="s">
        <v>3763</v>
      </c>
      <c r="E27" s="417" t="s">
        <v>4214</v>
      </c>
    </row>
    <row r="28" spans="1:6">
      <c r="B28" s="49" t="s">
        <v>3764</v>
      </c>
      <c r="D28" s="1" t="s">
        <v>3765</v>
      </c>
      <c r="E28" s="417" t="s">
        <v>4215</v>
      </c>
    </row>
    <row r="29" spans="1:6">
      <c r="B29" s="49">
        <v>302</v>
      </c>
      <c r="D29" s="1" t="s">
        <v>3766</v>
      </c>
      <c r="E29" s="417" t="s">
        <v>3767</v>
      </c>
      <c r="F29" s="1" t="s">
        <v>4259</v>
      </c>
    </row>
    <row r="30" spans="1:6">
      <c r="B30" s="49">
        <v>301</v>
      </c>
      <c r="D30" s="1" t="s">
        <v>3768</v>
      </c>
      <c r="E30" s="417" t="s">
        <v>3769</v>
      </c>
      <c r="F30" s="1" t="s">
        <v>4262</v>
      </c>
    </row>
    <row r="31" spans="1:6">
      <c r="B31" s="49">
        <v>303</v>
      </c>
      <c r="D31" s="1" t="s">
        <v>3770</v>
      </c>
      <c r="E31" s="417" t="s">
        <v>3870</v>
      </c>
      <c r="F31" s="1" t="s">
        <v>4261</v>
      </c>
    </row>
    <row r="32" spans="1:6">
      <c r="B32" s="49">
        <v>312</v>
      </c>
      <c r="D32" s="1" t="s">
        <v>3771</v>
      </c>
      <c r="E32" s="417" t="s">
        <v>3871</v>
      </c>
      <c r="F32" s="1" t="s">
        <v>4260</v>
      </c>
    </row>
    <row r="33" spans="1:6">
      <c r="B33" s="49">
        <v>311</v>
      </c>
      <c r="D33" s="1" t="s">
        <v>3772</v>
      </c>
      <c r="E33" s="417" t="s">
        <v>3875</v>
      </c>
      <c r="F33" s="1" t="s">
        <v>4257</v>
      </c>
    </row>
    <row r="34" spans="1:6">
      <c r="B34" s="49" t="s">
        <v>339</v>
      </c>
      <c r="D34" s="1" t="s">
        <v>3773</v>
      </c>
      <c r="E34" s="418" t="s">
        <v>3713</v>
      </c>
    </row>
    <row r="35" spans="1:6">
      <c r="B35" s="49">
        <v>304</v>
      </c>
      <c r="D35" s="1" t="s">
        <v>3774</v>
      </c>
      <c r="E35" s="418" t="s">
        <v>3715</v>
      </c>
      <c r="F35" s="1" t="s">
        <v>4263</v>
      </c>
    </row>
    <row r="36" spans="1:6">
      <c r="B36" s="49" t="s">
        <v>3775</v>
      </c>
      <c r="D36" s="1" t="s">
        <v>4066</v>
      </c>
      <c r="E36" s="418" t="s">
        <v>3716</v>
      </c>
    </row>
    <row r="37" spans="1:6">
      <c r="B37" s="49">
        <v>313</v>
      </c>
      <c r="D37" s="1" t="s">
        <v>4176</v>
      </c>
      <c r="E37" s="418" t="s">
        <v>3718</v>
      </c>
      <c r="F37" s="1" t="s">
        <v>4258</v>
      </c>
    </row>
    <row r="38" spans="1:6">
      <c r="B38" s="49" t="s">
        <v>3776</v>
      </c>
      <c r="D38" s="1" t="s">
        <v>4540</v>
      </c>
      <c r="E38" s="418" t="s">
        <v>3720</v>
      </c>
    </row>
    <row r="39" spans="1:6">
      <c r="B39" s="49">
        <v>306</v>
      </c>
      <c r="E39" s="418" t="s">
        <v>3722</v>
      </c>
      <c r="F39" s="1" t="s">
        <v>4266</v>
      </c>
    </row>
    <row r="40" spans="1:6">
      <c r="B40" s="49" t="s">
        <v>1163</v>
      </c>
      <c r="E40" s="418" t="s">
        <v>3724</v>
      </c>
    </row>
    <row r="41" spans="1:6">
      <c r="B41" s="49" t="s">
        <v>4226</v>
      </c>
      <c r="E41" s="418" t="s">
        <v>3728</v>
      </c>
      <c r="F41" s="1" t="s">
        <v>4225</v>
      </c>
    </row>
    <row r="42" spans="1:6">
      <c r="A42" s="13"/>
      <c r="B42" s="49" t="s">
        <v>1737</v>
      </c>
      <c r="E42" s="418" t="s">
        <v>3731</v>
      </c>
    </row>
    <row r="43" spans="1:6">
      <c r="A43" s="13"/>
      <c r="B43" s="49" t="s">
        <v>3777</v>
      </c>
      <c r="E43" s="418" t="s">
        <v>3734</v>
      </c>
    </row>
    <row r="44" spans="1:6">
      <c r="A44" s="13"/>
      <c r="B44" s="49" t="s">
        <v>4588</v>
      </c>
      <c r="E44" s="418" t="s">
        <v>3876</v>
      </c>
    </row>
    <row r="45" spans="1:6">
      <c r="A45" s="13"/>
      <c r="B45" s="49">
        <v>307</v>
      </c>
      <c r="E45" s="418" t="s">
        <v>3877</v>
      </c>
    </row>
    <row r="46" spans="1:6">
      <c r="A46" s="13"/>
      <c r="B46" s="49" t="s">
        <v>3754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3778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3779</v>
      </c>
    </row>
    <row r="55" spans="1:2">
      <c r="B55" s="49" t="s">
        <v>3780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4285</v>
      </c>
    </row>
    <row r="59" spans="1:2">
      <c r="B59" s="49">
        <v>8151</v>
      </c>
    </row>
    <row r="60" spans="1:2">
      <c r="B60" s="49" t="s">
        <v>3781</v>
      </c>
    </row>
    <row r="61" spans="1:2" ht="15">
      <c r="B61" s="312" t="s">
        <v>2794</v>
      </c>
    </row>
    <row r="62" spans="1:2">
      <c r="B62" s="49" t="s">
        <v>4590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defaultColWidth="8.75" defaultRowHeight="15.75"/>
  <cols>
    <col min="1" max="1" width="12.25" style="275" customWidth="1"/>
    <col min="2" max="2" width="14.75" style="275" customWidth="1"/>
    <col min="3" max="3" width="21.25" style="275" customWidth="1"/>
    <col min="4" max="4" width="19" style="275" customWidth="1"/>
    <col min="5" max="5" width="8.75" style="276"/>
    <col min="6" max="6" width="18.75" style="275" customWidth="1"/>
    <col min="7" max="7" width="8.75" style="275"/>
    <col min="8" max="8" width="19.75" style="275" customWidth="1"/>
    <col min="9" max="10" width="8.75" style="275"/>
    <col min="11" max="11" width="22.75" style="275" bestFit="1" customWidth="1"/>
    <col min="12" max="12" width="13.25" style="276" bestFit="1" customWidth="1"/>
    <col min="13" max="16" width="9.75" style="275" bestFit="1" customWidth="1"/>
    <col min="17" max="17" width="8.25" style="275" bestFit="1" customWidth="1"/>
    <col min="18" max="18" width="13.25" style="275" bestFit="1" customWidth="1"/>
    <col min="19" max="21" width="9.75" style="275" bestFit="1" customWidth="1"/>
    <col min="22" max="22" width="8.25" style="275" bestFit="1" customWidth="1"/>
    <col min="23" max="23" width="6.25" style="275" bestFit="1" customWidth="1"/>
    <col min="24" max="24" width="6.75" style="275" bestFit="1" customWidth="1"/>
    <col min="25" max="25" width="10.75" style="275" bestFit="1" customWidth="1"/>
    <col min="26" max="27" width="8.25" style="275" bestFit="1" customWidth="1"/>
    <col min="28" max="28" width="10.75" style="275" bestFit="1" customWidth="1"/>
    <col min="29" max="30" width="8.25" style="275" bestFit="1" customWidth="1"/>
    <col min="31" max="31" width="12.75" style="275" bestFit="1" customWidth="1"/>
    <col min="32" max="32" width="10.75" style="275" bestFit="1" customWidth="1"/>
    <col min="33" max="33" width="6.25" style="275" bestFit="1" customWidth="1"/>
    <col min="34" max="34" width="8.25" style="275" bestFit="1" customWidth="1"/>
    <col min="35" max="35" width="10.75" style="275" bestFit="1" customWidth="1"/>
    <col min="36" max="36" width="6.25" style="275" bestFit="1" customWidth="1"/>
    <col min="37" max="38" width="10.75" style="275" bestFit="1" customWidth="1"/>
    <col min="39" max="39" width="6.25" style="275" bestFit="1" customWidth="1"/>
    <col min="40" max="40" width="10.75" style="275" bestFit="1" customWidth="1"/>
    <col min="41" max="42" width="8.25" style="275" bestFit="1" customWidth="1"/>
    <col min="43" max="44" width="6.25" style="275" bestFit="1" customWidth="1"/>
    <col min="45" max="45" width="8.25" style="275" bestFit="1" customWidth="1"/>
    <col min="46" max="46" width="6.25" style="275" bestFit="1" customWidth="1"/>
    <col min="47" max="50" width="8.25" style="275" bestFit="1" customWidth="1"/>
    <col min="51" max="51" width="6.25" style="275" bestFit="1" customWidth="1"/>
    <col min="52" max="52" width="6.75" style="275" bestFit="1" customWidth="1"/>
    <col min="53" max="16384" width="8.75" style="275"/>
  </cols>
  <sheetData>
    <row r="1" spans="1:52" ht="25.5">
      <c r="A1" s="272" t="s">
        <v>235</v>
      </c>
      <c r="B1" s="272" t="s">
        <v>2733</v>
      </c>
      <c r="C1" s="272" t="s">
        <v>2734</v>
      </c>
      <c r="D1" s="273" t="s">
        <v>269</v>
      </c>
      <c r="E1" s="274" t="s">
        <v>3782</v>
      </c>
      <c r="F1" s="274" t="s">
        <v>3783</v>
      </c>
    </row>
    <row r="2" spans="1:52">
      <c r="A2" s="159" t="s">
        <v>2744</v>
      </c>
      <c r="B2" s="139" t="s">
        <v>114</v>
      </c>
      <c r="C2" s="139" t="s">
        <v>113</v>
      </c>
      <c r="D2" s="51" t="s">
        <v>21</v>
      </c>
      <c r="E2" s="132">
        <v>20</v>
      </c>
      <c r="F2" s="145" t="s">
        <v>97</v>
      </c>
      <c r="H2" s="259"/>
      <c r="I2" s="259"/>
    </row>
    <row r="3" spans="1:52">
      <c r="A3" s="159" t="s">
        <v>2747</v>
      </c>
      <c r="B3" s="139" t="s">
        <v>114</v>
      </c>
      <c r="C3" s="139" t="s">
        <v>113</v>
      </c>
      <c r="D3" s="51" t="s">
        <v>21</v>
      </c>
      <c r="E3" s="132">
        <v>10</v>
      </c>
      <c r="F3" s="145" t="s">
        <v>97</v>
      </c>
      <c r="H3" s="259"/>
      <c r="I3" s="259"/>
    </row>
    <row r="4" spans="1:52">
      <c r="A4" s="159" t="s">
        <v>2748</v>
      </c>
      <c r="B4" s="139" t="s">
        <v>114</v>
      </c>
      <c r="C4" s="139" t="s">
        <v>113</v>
      </c>
      <c r="D4" s="51" t="s">
        <v>21</v>
      </c>
      <c r="E4" s="132">
        <v>2</v>
      </c>
      <c r="F4" s="145" t="s">
        <v>97</v>
      </c>
      <c r="H4" s="259"/>
      <c r="I4" s="259"/>
    </row>
    <row r="5" spans="1:52">
      <c r="A5" s="159" t="s">
        <v>2749</v>
      </c>
      <c r="B5" s="139" t="s">
        <v>114</v>
      </c>
      <c r="C5" s="139" t="s">
        <v>113</v>
      </c>
      <c r="D5" s="51" t="s">
        <v>21</v>
      </c>
      <c r="E5" s="132">
        <v>1</v>
      </c>
      <c r="F5" s="145" t="s">
        <v>97</v>
      </c>
      <c r="H5" s="259"/>
      <c r="I5" s="259"/>
    </row>
    <row r="6" spans="1:52">
      <c r="A6" s="159" t="s">
        <v>2755</v>
      </c>
      <c r="B6" s="139" t="s">
        <v>66</v>
      </c>
      <c r="C6" s="139" t="s">
        <v>65</v>
      </c>
      <c r="D6" s="51" t="s">
        <v>21</v>
      </c>
      <c r="E6" s="132">
        <v>80</v>
      </c>
      <c r="F6" s="145" t="s">
        <v>97</v>
      </c>
      <c r="H6" s="259"/>
      <c r="I6" s="259"/>
    </row>
    <row r="7" spans="1:52">
      <c r="A7" s="159" t="s">
        <v>2756</v>
      </c>
      <c r="B7" s="139" t="s">
        <v>66</v>
      </c>
      <c r="C7" s="139" t="s">
        <v>65</v>
      </c>
      <c r="D7" s="51" t="s">
        <v>21</v>
      </c>
      <c r="E7" s="132">
        <v>15</v>
      </c>
      <c r="F7" s="145" t="s">
        <v>97</v>
      </c>
      <c r="H7" s="259"/>
      <c r="I7" s="259"/>
      <c r="L7" s="275"/>
    </row>
    <row r="8" spans="1:52">
      <c r="A8" s="159" t="s">
        <v>2757</v>
      </c>
      <c r="B8" s="139" t="s">
        <v>66</v>
      </c>
      <c r="C8" s="139" t="s">
        <v>65</v>
      </c>
      <c r="D8" s="51" t="s">
        <v>21</v>
      </c>
      <c r="E8" s="132">
        <v>5</v>
      </c>
      <c r="F8" s="145" t="s">
        <v>97</v>
      </c>
      <c r="H8" s="259"/>
      <c r="I8" s="259"/>
      <c r="K8" s="275" t="s">
        <v>7</v>
      </c>
      <c r="L8" s="275" t="s">
        <v>3535</v>
      </c>
    </row>
    <row r="9" spans="1:52">
      <c r="A9" s="159" t="s">
        <v>2758</v>
      </c>
      <c r="B9" s="139" t="s">
        <v>66</v>
      </c>
      <c r="C9" s="139" t="s">
        <v>65</v>
      </c>
      <c r="D9" s="51" t="s">
        <v>21</v>
      </c>
      <c r="E9" s="132">
        <v>2</v>
      </c>
      <c r="F9" s="145" t="s">
        <v>97</v>
      </c>
      <c r="H9" s="259"/>
      <c r="I9" s="259"/>
    </row>
    <row r="10" spans="1:52">
      <c r="A10" s="159" t="s">
        <v>2759</v>
      </c>
      <c r="B10" s="139" t="s">
        <v>66</v>
      </c>
      <c r="C10" s="139" t="s">
        <v>65</v>
      </c>
      <c r="D10" s="51" t="s">
        <v>21</v>
      </c>
      <c r="E10" s="132">
        <v>2</v>
      </c>
      <c r="F10" s="145" t="s">
        <v>97</v>
      </c>
      <c r="H10" s="259"/>
      <c r="I10" s="259"/>
      <c r="K10" s="275" t="s">
        <v>3784</v>
      </c>
      <c r="L10" s="275" t="s">
        <v>233</v>
      </c>
    </row>
    <row r="11" spans="1:52">
      <c r="A11" s="159" t="s">
        <v>2744</v>
      </c>
      <c r="B11" s="139" t="s">
        <v>62</v>
      </c>
      <c r="C11" s="139" t="s">
        <v>61</v>
      </c>
      <c r="D11" s="51" t="s">
        <v>21</v>
      </c>
      <c r="E11" s="143">
        <v>90</v>
      </c>
      <c r="F11" s="145" t="s">
        <v>1798</v>
      </c>
      <c r="H11" s="259"/>
      <c r="I11" s="259"/>
      <c r="K11" s="275" t="s">
        <v>234</v>
      </c>
      <c r="L11" s="275" t="s">
        <v>23</v>
      </c>
      <c r="M11" s="275" t="s">
        <v>87</v>
      </c>
      <c r="N11" s="275" t="s">
        <v>3671</v>
      </c>
      <c r="O11" s="275" t="s">
        <v>32</v>
      </c>
      <c r="P11" s="275" t="s">
        <v>44</v>
      </c>
      <c r="Q11" s="275" t="s">
        <v>57</v>
      </c>
      <c r="R11" s="275" t="s">
        <v>60</v>
      </c>
      <c r="S11" s="275" t="s">
        <v>3664</v>
      </c>
      <c r="T11" s="275" t="s">
        <v>70</v>
      </c>
      <c r="U11" s="275" t="s">
        <v>3692</v>
      </c>
      <c r="V11" s="275" t="s">
        <v>42</v>
      </c>
      <c r="W11" s="275" t="s">
        <v>52</v>
      </c>
      <c r="X11" s="275" t="s">
        <v>46</v>
      </c>
      <c r="Y11" s="275" t="s">
        <v>54</v>
      </c>
      <c r="Z11" s="275" t="s">
        <v>66</v>
      </c>
      <c r="AA11" s="275" t="s">
        <v>207</v>
      </c>
      <c r="AB11" s="275" t="s">
        <v>152</v>
      </c>
      <c r="AC11" s="275" t="s">
        <v>62</v>
      </c>
      <c r="AD11" s="275" t="s">
        <v>74</v>
      </c>
      <c r="AE11" s="275" t="s">
        <v>3702</v>
      </c>
      <c r="AF11" s="275" t="s">
        <v>40</v>
      </c>
      <c r="AG11" s="275" t="s">
        <v>50</v>
      </c>
      <c r="AH11" s="275" t="s">
        <v>144</v>
      </c>
      <c r="AI11" s="275" t="s">
        <v>222</v>
      </c>
      <c r="AJ11" s="275" t="s">
        <v>198</v>
      </c>
      <c r="AK11" s="275" t="s">
        <v>136</v>
      </c>
      <c r="AL11" s="275" t="s">
        <v>175</v>
      </c>
      <c r="AM11" s="275" t="s">
        <v>120</v>
      </c>
      <c r="AN11" s="275" t="s">
        <v>129</v>
      </c>
      <c r="AO11" s="275" t="s">
        <v>194</v>
      </c>
      <c r="AP11" s="275" t="s">
        <v>166</v>
      </c>
      <c r="AQ11" s="275" t="s">
        <v>184</v>
      </c>
      <c r="AR11" s="275" t="s">
        <v>162</v>
      </c>
      <c r="AS11" s="275" t="s">
        <v>131</v>
      </c>
      <c r="AT11" s="275" t="s">
        <v>89</v>
      </c>
      <c r="AU11" s="275" t="s">
        <v>103</v>
      </c>
      <c r="AV11" s="275" t="s">
        <v>119</v>
      </c>
      <c r="AW11" s="275" t="s">
        <v>124</v>
      </c>
      <c r="AX11" s="275" t="s">
        <v>145</v>
      </c>
      <c r="AY11" s="275" t="s">
        <v>177</v>
      </c>
      <c r="AZ11" s="275" t="s">
        <v>214</v>
      </c>
    </row>
    <row r="12" spans="1:52">
      <c r="A12" s="159" t="s">
        <v>2747</v>
      </c>
      <c r="B12" s="139" t="s">
        <v>62</v>
      </c>
      <c r="C12" s="139" t="s">
        <v>61</v>
      </c>
      <c r="D12" s="51" t="s">
        <v>21</v>
      </c>
      <c r="E12" s="143">
        <v>9</v>
      </c>
      <c r="F12" s="145" t="s">
        <v>1798</v>
      </c>
      <c r="H12" s="259"/>
      <c r="I12" s="259"/>
      <c r="K12" s="277" t="s">
        <v>2747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2812</v>
      </c>
      <c r="B13" s="139" t="s">
        <v>62</v>
      </c>
      <c r="C13" s="139" t="s">
        <v>61</v>
      </c>
      <c r="D13" s="51" t="s">
        <v>21</v>
      </c>
      <c r="E13" s="143">
        <v>2</v>
      </c>
      <c r="F13" s="145" t="s">
        <v>1798</v>
      </c>
      <c r="H13" s="259"/>
      <c r="I13" s="259"/>
      <c r="K13" s="277" t="s">
        <v>2748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2744</v>
      </c>
      <c r="B14" s="139" t="s">
        <v>60</v>
      </c>
      <c r="C14" s="139" t="s">
        <v>3785</v>
      </c>
      <c r="D14" s="51" t="s">
        <v>21</v>
      </c>
      <c r="E14" s="143">
        <v>90</v>
      </c>
      <c r="F14" s="145" t="s">
        <v>97</v>
      </c>
      <c r="H14" s="259"/>
      <c r="I14" s="259"/>
      <c r="K14" s="277" t="s">
        <v>2749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2747</v>
      </c>
      <c r="B15" s="139" t="s">
        <v>60</v>
      </c>
      <c r="C15" s="139" t="s">
        <v>3785</v>
      </c>
      <c r="D15" s="51" t="s">
        <v>21</v>
      </c>
      <c r="E15" s="143">
        <v>9</v>
      </c>
      <c r="F15" s="145" t="s">
        <v>97</v>
      </c>
      <c r="H15" s="259"/>
      <c r="I15" s="259"/>
      <c r="K15" s="277" t="s">
        <v>2750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2812</v>
      </c>
      <c r="B16" s="139" t="s">
        <v>60</v>
      </c>
      <c r="C16" s="139" t="s">
        <v>3785</v>
      </c>
      <c r="D16" s="51" t="s">
        <v>21</v>
      </c>
      <c r="E16" s="143">
        <v>2</v>
      </c>
      <c r="F16" s="145" t="s">
        <v>97</v>
      </c>
      <c r="H16" s="259"/>
      <c r="I16" s="259"/>
      <c r="K16" s="277" t="s">
        <v>2751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2744</v>
      </c>
      <c r="B17" s="139" t="s">
        <v>117</v>
      </c>
      <c r="C17" s="139" t="s">
        <v>116</v>
      </c>
      <c r="D17" s="51" t="s">
        <v>36</v>
      </c>
      <c r="E17" s="132">
        <v>30</v>
      </c>
      <c r="F17" s="145" t="s">
        <v>97</v>
      </c>
      <c r="H17" s="259"/>
      <c r="I17" s="259"/>
      <c r="K17" s="277" t="s">
        <v>2752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2747</v>
      </c>
      <c r="B18" s="139" t="s">
        <v>117</v>
      </c>
      <c r="C18" s="139" t="s">
        <v>116</v>
      </c>
      <c r="D18" s="51" t="s">
        <v>36</v>
      </c>
      <c r="E18" s="132">
        <v>10</v>
      </c>
      <c r="F18" s="145" t="s">
        <v>97</v>
      </c>
      <c r="H18" s="259"/>
      <c r="I18" s="259"/>
      <c r="K18" s="277" t="s">
        <v>2744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2748</v>
      </c>
      <c r="B19" s="139" t="s">
        <v>117</v>
      </c>
      <c r="C19" s="139" t="s">
        <v>116</v>
      </c>
      <c r="D19" s="51" t="s">
        <v>36</v>
      </c>
      <c r="E19" s="132">
        <v>2</v>
      </c>
      <c r="F19" s="145" t="s">
        <v>97</v>
      </c>
      <c r="H19" s="259"/>
      <c r="I19" s="259"/>
      <c r="K19" s="277" t="s">
        <v>2756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2749</v>
      </c>
      <c r="B20" s="139" t="s">
        <v>117</v>
      </c>
      <c r="C20" s="139" t="s">
        <v>116</v>
      </c>
      <c r="D20" s="51" t="s">
        <v>36</v>
      </c>
      <c r="E20" s="132">
        <v>1</v>
      </c>
      <c r="F20" s="145" t="s">
        <v>97</v>
      </c>
      <c r="H20" s="259"/>
      <c r="I20" s="259"/>
      <c r="K20" s="277" t="s">
        <v>2757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2744</v>
      </c>
      <c r="B21" s="139" t="s">
        <v>129</v>
      </c>
      <c r="C21" s="139" t="s">
        <v>128</v>
      </c>
      <c r="D21" s="51" t="s">
        <v>21</v>
      </c>
      <c r="E21" s="132">
        <v>110</v>
      </c>
      <c r="F21" s="145" t="s">
        <v>1798</v>
      </c>
      <c r="H21" s="259"/>
      <c r="I21" s="259"/>
      <c r="K21" s="277" t="s">
        <v>2758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2747</v>
      </c>
      <c r="B22" s="139" t="s">
        <v>129</v>
      </c>
      <c r="C22" s="139" t="s">
        <v>128</v>
      </c>
      <c r="D22" s="51" t="s">
        <v>21</v>
      </c>
      <c r="E22" s="132">
        <v>8</v>
      </c>
      <c r="F22" s="145" t="s">
        <v>1798</v>
      </c>
      <c r="H22" s="259"/>
      <c r="I22" s="259"/>
      <c r="K22" s="277" t="s">
        <v>2759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2748</v>
      </c>
      <c r="B23" s="139" t="s">
        <v>129</v>
      </c>
      <c r="C23" s="139" t="s">
        <v>128</v>
      </c>
      <c r="D23" s="51" t="s">
        <v>21</v>
      </c>
      <c r="E23" s="132">
        <v>5</v>
      </c>
      <c r="F23" s="145" t="s">
        <v>1798</v>
      </c>
      <c r="H23" s="259"/>
      <c r="I23" s="259"/>
      <c r="K23" s="277" t="s">
        <v>2755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2744</v>
      </c>
      <c r="B24" s="139" t="s">
        <v>158</v>
      </c>
      <c r="C24" s="139" t="s">
        <v>157</v>
      </c>
      <c r="D24" s="51" t="s">
        <v>21</v>
      </c>
      <c r="E24" s="132">
        <v>107</v>
      </c>
      <c r="F24" s="145" t="s">
        <v>97</v>
      </c>
      <c r="H24" s="259"/>
      <c r="I24" s="259"/>
      <c r="K24" s="277" t="s">
        <v>207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2747</v>
      </c>
      <c r="B25" s="139" t="s">
        <v>158</v>
      </c>
      <c r="C25" s="139" t="s">
        <v>157</v>
      </c>
      <c r="D25" s="51" t="s">
        <v>21</v>
      </c>
      <c r="E25" s="132">
        <v>2</v>
      </c>
      <c r="F25" s="145" t="s">
        <v>97</v>
      </c>
      <c r="H25" s="259"/>
      <c r="I25" s="259"/>
      <c r="K25" s="277" t="s">
        <v>214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2777</v>
      </c>
      <c r="B26" s="139" t="s">
        <v>158</v>
      </c>
      <c r="C26" s="139" t="s">
        <v>157</v>
      </c>
      <c r="D26" s="51" t="s">
        <v>21</v>
      </c>
      <c r="E26" s="132">
        <v>5</v>
      </c>
      <c r="F26" s="145" t="s">
        <v>97</v>
      </c>
      <c r="H26" s="259"/>
      <c r="I26" s="259"/>
      <c r="L26" s="275"/>
    </row>
    <row r="27" spans="1:52">
      <c r="A27" s="159" t="s">
        <v>2749</v>
      </c>
      <c r="B27" s="139" t="s">
        <v>158</v>
      </c>
      <c r="C27" s="139" t="s">
        <v>157</v>
      </c>
      <c r="D27" s="51" t="s">
        <v>21</v>
      </c>
      <c r="E27" s="132">
        <v>1</v>
      </c>
      <c r="F27" s="145" t="s">
        <v>97</v>
      </c>
      <c r="H27" s="259"/>
      <c r="I27" s="259"/>
      <c r="L27" s="275"/>
    </row>
    <row r="28" spans="1:52">
      <c r="A28" s="159" t="s">
        <v>2750</v>
      </c>
      <c r="B28" s="139" t="s">
        <v>158</v>
      </c>
      <c r="C28" s="139" t="s">
        <v>157</v>
      </c>
      <c r="D28" s="51" t="s">
        <v>21</v>
      </c>
      <c r="E28" s="132">
        <v>1</v>
      </c>
      <c r="F28" s="145" t="s">
        <v>97</v>
      </c>
      <c r="H28" s="259"/>
      <c r="I28" s="259"/>
      <c r="K28" s="16" t="s">
        <v>7</v>
      </c>
      <c r="L28" t="s">
        <v>231</v>
      </c>
    </row>
    <row r="29" spans="1:52">
      <c r="A29" s="159" t="s">
        <v>2751</v>
      </c>
      <c r="B29" s="139" t="s">
        <v>158</v>
      </c>
      <c r="C29" s="139" t="s">
        <v>157</v>
      </c>
      <c r="D29" s="51" t="s">
        <v>21</v>
      </c>
      <c r="E29" s="132">
        <v>1</v>
      </c>
      <c r="F29" s="145" t="s">
        <v>97</v>
      </c>
      <c r="H29" s="259"/>
      <c r="I29" s="259"/>
      <c r="L29" s="275"/>
    </row>
    <row r="30" spans="1:52">
      <c r="A30" s="159" t="s">
        <v>2744</v>
      </c>
      <c r="B30" s="139" t="s">
        <v>95</v>
      </c>
      <c r="C30" s="139" t="s">
        <v>98</v>
      </c>
      <c r="D30" s="51" t="s">
        <v>21</v>
      </c>
      <c r="E30" s="132">
        <v>420</v>
      </c>
      <c r="F30" s="145" t="s">
        <v>1798</v>
      </c>
      <c r="H30" s="259"/>
      <c r="I30" s="259"/>
      <c r="K30" s="16" t="s">
        <v>3784</v>
      </c>
      <c r="L30" s="16" t="s">
        <v>233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>
      <c r="A31" s="159" t="s">
        <v>2747</v>
      </c>
      <c r="B31" s="139" t="s">
        <v>95</v>
      </c>
      <c r="C31" s="139" t="s">
        <v>98</v>
      </c>
      <c r="D31" s="51" t="s">
        <v>21</v>
      </c>
      <c r="E31" s="132">
        <v>50</v>
      </c>
      <c r="F31" s="145" t="s">
        <v>1798</v>
      </c>
      <c r="H31" s="259"/>
      <c r="I31" s="259"/>
      <c r="K31" s="16" t="s">
        <v>234</v>
      </c>
      <c r="L31" t="s">
        <v>2747</v>
      </c>
      <c r="M31" t="s">
        <v>2748</v>
      </c>
      <c r="N31" t="s">
        <v>2749</v>
      </c>
      <c r="O31" t="s">
        <v>2750</v>
      </c>
      <c r="P31" t="s">
        <v>2751</v>
      </c>
      <c r="Q31" t="s">
        <v>2744</v>
      </c>
      <c r="R31" t="s">
        <v>2756</v>
      </c>
      <c r="S31" t="s">
        <v>2757</v>
      </c>
      <c r="T31" t="s">
        <v>2758</v>
      </c>
      <c r="U31" t="s">
        <v>2759</v>
      </c>
      <c r="V31" t="s">
        <v>2755</v>
      </c>
      <c r="W31" t="s">
        <v>214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>
      <c r="A32" s="159" t="s">
        <v>2748</v>
      </c>
      <c r="B32" s="139" t="s">
        <v>95</v>
      </c>
      <c r="C32" s="139" t="s">
        <v>98</v>
      </c>
      <c r="D32" s="51" t="s">
        <v>21</v>
      </c>
      <c r="E32" s="132">
        <v>11</v>
      </c>
      <c r="F32" s="145" t="s">
        <v>1798</v>
      </c>
      <c r="H32" s="259"/>
      <c r="I32" s="259"/>
      <c r="K32" s="96" t="s">
        <v>97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>
      <c r="A33" s="159" t="s">
        <v>2749</v>
      </c>
      <c r="B33" s="139" t="s">
        <v>95</v>
      </c>
      <c r="C33" s="139" t="s">
        <v>98</v>
      </c>
      <c r="D33" s="51" t="s">
        <v>21</v>
      </c>
      <c r="E33" s="132">
        <v>4</v>
      </c>
      <c r="F33" s="145" t="s">
        <v>1798</v>
      </c>
      <c r="H33" s="259"/>
      <c r="I33" s="259"/>
      <c r="K33" s="96" t="s">
        <v>1337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>
      <c r="A34" s="159" t="s">
        <v>2750</v>
      </c>
      <c r="B34" s="139" t="s">
        <v>95</v>
      </c>
      <c r="C34" s="139" t="s">
        <v>98</v>
      </c>
      <c r="D34" s="51" t="s">
        <v>21</v>
      </c>
      <c r="E34" s="132">
        <v>4</v>
      </c>
      <c r="F34" s="145" t="s">
        <v>1798</v>
      </c>
      <c r="H34" s="259"/>
      <c r="I34" s="259"/>
      <c r="K34" s="96" t="s">
        <v>1798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>
      <c r="A35" s="159" t="s">
        <v>2751</v>
      </c>
      <c r="B35" s="139" t="s">
        <v>95</v>
      </c>
      <c r="C35" s="139" t="s">
        <v>98</v>
      </c>
      <c r="D35" s="51" t="s">
        <v>21</v>
      </c>
      <c r="E35" s="132">
        <v>3</v>
      </c>
      <c r="F35" s="145" t="s">
        <v>1798</v>
      </c>
      <c r="H35" s="259"/>
      <c r="I35" s="259"/>
      <c r="K35" s="96" t="s">
        <v>214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>
      <c r="A36" s="159" t="s">
        <v>2744</v>
      </c>
      <c r="B36" s="139" t="s">
        <v>160</v>
      </c>
      <c r="C36" s="139" t="s">
        <v>3786</v>
      </c>
      <c r="D36" s="51" t="s">
        <v>21</v>
      </c>
      <c r="E36" s="132">
        <v>200</v>
      </c>
      <c r="F36" s="145" t="s">
        <v>97</v>
      </c>
      <c r="H36" s="259"/>
      <c r="I36" s="259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>
      <c r="A37" s="159" t="s">
        <v>2777</v>
      </c>
      <c r="B37" s="139" t="s">
        <v>160</v>
      </c>
      <c r="C37" s="139" t="s">
        <v>3786</v>
      </c>
      <c r="D37" s="51" t="s">
        <v>21</v>
      </c>
      <c r="E37" s="132">
        <v>20</v>
      </c>
      <c r="F37" s="145" t="s">
        <v>97</v>
      </c>
      <c r="H37" s="259"/>
      <c r="I37" s="259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>
      <c r="A38" s="159" t="s">
        <v>2749</v>
      </c>
      <c r="B38" s="139" t="s">
        <v>160</v>
      </c>
      <c r="C38" s="139" t="s">
        <v>3786</v>
      </c>
      <c r="D38" s="51" t="s">
        <v>21</v>
      </c>
      <c r="E38" s="132">
        <v>1</v>
      </c>
      <c r="F38" s="145" t="s">
        <v>97</v>
      </c>
      <c r="H38" s="259"/>
      <c r="I38" s="259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>
      <c r="A39" s="159" t="s">
        <v>2744</v>
      </c>
      <c r="B39" s="139" t="s">
        <v>100</v>
      </c>
      <c r="C39" s="139" t="s">
        <v>99</v>
      </c>
      <c r="D39" s="51" t="s">
        <v>21</v>
      </c>
      <c r="E39" s="132">
        <v>5</v>
      </c>
      <c r="F39" s="145" t="s">
        <v>1337</v>
      </c>
      <c r="H39" s="259"/>
      <c r="I39" s="25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>
      <c r="A40" s="159" t="s">
        <v>2744</v>
      </c>
      <c r="B40" s="139" t="s">
        <v>100</v>
      </c>
      <c r="C40" s="139" t="s">
        <v>99</v>
      </c>
      <c r="D40" s="51" t="s">
        <v>21</v>
      </c>
      <c r="E40" s="132">
        <v>310</v>
      </c>
      <c r="F40" s="145" t="s">
        <v>1337</v>
      </c>
      <c r="H40" s="259"/>
      <c r="I40" s="259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>
      <c r="A41" s="159" t="s">
        <v>2747</v>
      </c>
      <c r="B41" s="139" t="s">
        <v>100</v>
      </c>
      <c r="C41" s="139" t="s">
        <v>99</v>
      </c>
      <c r="D41" s="51" t="s">
        <v>21</v>
      </c>
      <c r="E41" s="132">
        <v>15</v>
      </c>
      <c r="F41" s="145" t="s">
        <v>1337</v>
      </c>
      <c r="H41" s="259"/>
      <c r="I41" s="259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>
      <c r="A42" s="159" t="s">
        <v>2744</v>
      </c>
      <c r="B42" s="139" t="s">
        <v>106</v>
      </c>
      <c r="C42" s="139" t="s">
        <v>105</v>
      </c>
      <c r="D42" s="51" t="s">
        <v>21</v>
      </c>
      <c r="E42" s="132">
        <v>40</v>
      </c>
      <c r="F42" s="145" t="s">
        <v>1337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>
      <c r="A43" s="159" t="s">
        <v>2747</v>
      </c>
      <c r="B43" s="139" t="s">
        <v>106</v>
      </c>
      <c r="C43" s="139" t="s">
        <v>105</v>
      </c>
      <c r="D43" s="51" t="s">
        <v>21</v>
      </c>
      <c r="E43" s="132">
        <v>12</v>
      </c>
      <c r="F43" s="145" t="s">
        <v>1337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>
      <c r="A44" s="159" t="s">
        <v>2748</v>
      </c>
      <c r="B44" s="139" t="s">
        <v>106</v>
      </c>
      <c r="C44" s="139" t="s">
        <v>105</v>
      </c>
      <c r="D44" s="51" t="s">
        <v>21</v>
      </c>
      <c r="E44" s="132">
        <v>3</v>
      </c>
      <c r="F44" s="145" t="s">
        <v>1337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>
      <c r="A45" s="159" t="s">
        <v>2749</v>
      </c>
      <c r="B45" s="139" t="s">
        <v>106</v>
      </c>
      <c r="C45" s="139" t="s">
        <v>105</v>
      </c>
      <c r="D45" s="51" t="s">
        <v>21</v>
      </c>
      <c r="E45" s="132">
        <v>2</v>
      </c>
      <c r="F45" s="145" t="s">
        <v>1337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>
      <c r="A46" s="159" t="s">
        <v>2744</v>
      </c>
      <c r="B46" s="139" t="s">
        <v>112</v>
      </c>
      <c r="C46" s="139" t="s">
        <v>111</v>
      </c>
      <c r="D46" s="51" t="s">
        <v>21</v>
      </c>
      <c r="E46" s="132">
        <v>5</v>
      </c>
      <c r="F46" s="145" t="s">
        <v>1337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>
      <c r="A47" s="159" t="s">
        <v>2744</v>
      </c>
      <c r="B47" s="139" t="s">
        <v>109</v>
      </c>
      <c r="C47" s="139" t="s">
        <v>108</v>
      </c>
      <c r="D47" s="51" t="s">
        <v>21</v>
      </c>
      <c r="E47" s="132">
        <v>60</v>
      </c>
      <c r="F47" s="145" t="s">
        <v>97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>
      <c r="A48" s="159" t="s">
        <v>2747</v>
      </c>
      <c r="B48" s="139" t="s">
        <v>109</v>
      </c>
      <c r="C48" s="139" t="s">
        <v>108</v>
      </c>
      <c r="D48" s="51" t="s">
        <v>21</v>
      </c>
      <c r="E48" s="132">
        <v>10</v>
      </c>
      <c r="F48" s="145" t="s">
        <v>97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>
      <c r="A49" s="159" t="s">
        <v>2748</v>
      </c>
      <c r="B49" s="139" t="s">
        <v>109</v>
      </c>
      <c r="C49" s="139" t="s">
        <v>108</v>
      </c>
      <c r="D49" s="51" t="s">
        <v>21</v>
      </c>
      <c r="E49" s="132">
        <v>3</v>
      </c>
      <c r="F49" s="145" t="s">
        <v>97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>
      <c r="A50" s="159" t="s">
        <v>2744</v>
      </c>
      <c r="B50" s="139" t="s">
        <v>107</v>
      </c>
      <c r="C50" s="139" t="s">
        <v>156</v>
      </c>
      <c r="D50" s="51" t="s">
        <v>21</v>
      </c>
      <c r="E50" s="132">
        <v>240</v>
      </c>
      <c r="F50" s="145" t="s">
        <v>97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>
      <c r="A51" s="159" t="s">
        <v>2747</v>
      </c>
      <c r="B51" s="139" t="s">
        <v>107</v>
      </c>
      <c r="C51" s="139" t="s">
        <v>156</v>
      </c>
      <c r="D51" s="51" t="s">
        <v>21</v>
      </c>
      <c r="E51" s="132">
        <v>50</v>
      </c>
      <c r="F51" s="145" t="s">
        <v>97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>
      <c r="A52" s="159" t="s">
        <v>2744</v>
      </c>
      <c r="B52" s="139" t="s">
        <v>3787</v>
      </c>
      <c r="C52" s="139" t="s">
        <v>3788</v>
      </c>
      <c r="D52" s="51" t="s">
        <v>21</v>
      </c>
      <c r="E52" s="132">
        <v>60</v>
      </c>
      <c r="F52" s="145" t="s">
        <v>1337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>
      <c r="A53" s="159" t="s">
        <v>2747</v>
      </c>
      <c r="B53" s="139" t="s">
        <v>3787</v>
      </c>
      <c r="C53" s="139" t="s">
        <v>3788</v>
      </c>
      <c r="D53" s="51" t="s">
        <v>21</v>
      </c>
      <c r="E53" s="132">
        <v>25</v>
      </c>
      <c r="F53" s="145" t="s">
        <v>1337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>
      <c r="A54" s="159" t="s">
        <v>2748</v>
      </c>
      <c r="B54" s="139" t="s">
        <v>3787</v>
      </c>
      <c r="C54" s="139" t="s">
        <v>3788</v>
      </c>
      <c r="D54" s="51" t="s">
        <v>21</v>
      </c>
      <c r="E54" s="132">
        <v>15</v>
      </c>
      <c r="F54" s="145" t="s">
        <v>1337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>
      <c r="A55" s="159" t="s">
        <v>2749</v>
      </c>
      <c r="B55" s="139" t="s">
        <v>3787</v>
      </c>
      <c r="C55" s="139" t="s">
        <v>3788</v>
      </c>
      <c r="D55" s="51" t="s">
        <v>21</v>
      </c>
      <c r="E55" s="132">
        <v>4</v>
      </c>
      <c r="F55" s="145" t="s">
        <v>1337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>
      <c r="A56" s="159" t="s">
        <v>2750</v>
      </c>
      <c r="B56" s="139" t="s">
        <v>3787</v>
      </c>
      <c r="C56" s="139" t="s">
        <v>3788</v>
      </c>
      <c r="D56" s="51" t="s">
        <v>21</v>
      </c>
      <c r="E56" s="132">
        <v>2</v>
      </c>
      <c r="F56" s="145" t="s">
        <v>1337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>
      <c r="A57" s="159" t="s">
        <v>2744</v>
      </c>
      <c r="B57" s="139" t="s">
        <v>3789</v>
      </c>
      <c r="C57" s="139" t="s">
        <v>3790</v>
      </c>
      <c r="D57" s="51" t="s">
        <v>21</v>
      </c>
      <c r="E57" s="132">
        <v>50</v>
      </c>
      <c r="F57" s="145" t="s">
        <v>97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>
      <c r="A58" s="159" t="s">
        <v>2747</v>
      </c>
      <c r="B58" s="139" t="s">
        <v>3789</v>
      </c>
      <c r="C58" s="139" t="s">
        <v>3790</v>
      </c>
      <c r="D58" s="51" t="s">
        <v>21</v>
      </c>
      <c r="E58" s="132">
        <v>10</v>
      </c>
      <c r="F58" s="145" t="s">
        <v>97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>
      <c r="A59" s="159" t="s">
        <v>2744</v>
      </c>
      <c r="B59" s="139" t="s">
        <v>2766</v>
      </c>
      <c r="C59" s="139" t="s">
        <v>2767</v>
      </c>
      <c r="D59" s="51" t="s">
        <v>21</v>
      </c>
      <c r="E59" s="132">
        <v>45</v>
      </c>
      <c r="F59" s="145" t="s">
        <v>1337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>
      <c r="A60" s="159" t="s">
        <v>2747</v>
      </c>
      <c r="B60" s="139" t="s">
        <v>2766</v>
      </c>
      <c r="C60" s="139" t="s">
        <v>2767</v>
      </c>
      <c r="D60" s="51" t="s">
        <v>21</v>
      </c>
      <c r="E60" s="132">
        <v>5</v>
      </c>
      <c r="F60" s="145" t="s">
        <v>1337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>
      <c r="A61" s="159" t="s">
        <v>2744</v>
      </c>
      <c r="B61" s="139" t="s">
        <v>211</v>
      </c>
      <c r="C61" s="139" t="s">
        <v>3791</v>
      </c>
      <c r="D61" s="51" t="s">
        <v>21</v>
      </c>
      <c r="E61" s="132">
        <v>40</v>
      </c>
      <c r="F61" s="145" t="s">
        <v>97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>
      <c r="A62" s="159" t="s">
        <v>2755</v>
      </c>
      <c r="B62" s="139" t="s">
        <v>3792</v>
      </c>
      <c r="C62" s="139" t="s">
        <v>3793</v>
      </c>
      <c r="D62" s="51" t="s">
        <v>21</v>
      </c>
      <c r="E62" s="132">
        <v>770</v>
      </c>
      <c r="F62" s="145" t="s">
        <v>97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>
      <c r="A63" s="159" t="s">
        <v>2756</v>
      </c>
      <c r="B63" s="139" t="s">
        <v>3792</v>
      </c>
      <c r="C63" s="139" t="s">
        <v>3793</v>
      </c>
      <c r="D63" s="51" t="s">
        <v>21</v>
      </c>
      <c r="E63" s="132">
        <v>180</v>
      </c>
      <c r="F63" s="145" t="s">
        <v>97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>
      <c r="A64" s="159" t="s">
        <v>2757</v>
      </c>
      <c r="B64" s="139" t="s">
        <v>3792</v>
      </c>
      <c r="C64" s="139" t="s">
        <v>3793</v>
      </c>
      <c r="D64" s="51" t="s">
        <v>21</v>
      </c>
      <c r="E64" s="132">
        <v>16</v>
      </c>
      <c r="F64" s="145" t="s">
        <v>97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>
      <c r="A65" s="159" t="s">
        <v>2758</v>
      </c>
      <c r="B65" s="139" t="s">
        <v>3792</v>
      </c>
      <c r="C65" s="139" t="s">
        <v>3793</v>
      </c>
      <c r="D65" s="51" t="s">
        <v>21</v>
      </c>
      <c r="E65" s="132">
        <v>4</v>
      </c>
      <c r="F65" s="145" t="s">
        <v>97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>
      <c r="A66" s="159" t="s">
        <v>2759</v>
      </c>
      <c r="B66" s="139" t="s">
        <v>3792</v>
      </c>
      <c r="C66" s="139" t="s">
        <v>3793</v>
      </c>
      <c r="D66" s="51" t="s">
        <v>21</v>
      </c>
      <c r="E66" s="132">
        <v>4</v>
      </c>
      <c r="F66" s="145" t="s">
        <v>97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>
      <c r="A67" s="159" t="s">
        <v>2744</v>
      </c>
      <c r="B67" s="139" t="s">
        <v>3794</v>
      </c>
      <c r="C67" s="139" t="s">
        <v>3795</v>
      </c>
      <c r="D67" s="51" t="s">
        <v>21</v>
      </c>
      <c r="E67" s="132">
        <v>60</v>
      </c>
      <c r="F67" s="145" t="s">
        <v>1337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>
      <c r="A68" s="159" t="s">
        <v>2747</v>
      </c>
      <c r="B68" s="139" t="s">
        <v>3794</v>
      </c>
      <c r="C68" s="139" t="s">
        <v>3795</v>
      </c>
      <c r="D68" s="51" t="s">
        <v>21</v>
      </c>
      <c r="E68" s="132">
        <v>15</v>
      </c>
      <c r="F68" s="145" t="s">
        <v>1337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>
      <c r="A69" s="159" t="s">
        <v>2748</v>
      </c>
      <c r="B69" s="139" t="s">
        <v>3794</v>
      </c>
      <c r="C69" s="139" t="s">
        <v>3795</v>
      </c>
      <c r="D69" s="51" t="s">
        <v>21</v>
      </c>
      <c r="E69" s="132">
        <v>5</v>
      </c>
      <c r="F69" s="145" t="s">
        <v>1337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>
      <c r="A70" s="159" t="s">
        <v>2749</v>
      </c>
      <c r="B70" s="139" t="s">
        <v>3794</v>
      </c>
      <c r="C70" s="139" t="s">
        <v>3795</v>
      </c>
      <c r="D70" s="51" t="s">
        <v>21</v>
      </c>
      <c r="E70" s="132">
        <v>1</v>
      </c>
      <c r="F70" s="145" t="s">
        <v>1337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>
      <c r="A71" s="159" t="s">
        <v>2744</v>
      </c>
      <c r="B71" s="139" t="s">
        <v>3796</v>
      </c>
      <c r="C71" s="139" t="s">
        <v>3797</v>
      </c>
      <c r="D71" s="51" t="s">
        <v>36</v>
      </c>
      <c r="E71" s="132">
        <v>46</v>
      </c>
      <c r="F71" s="145" t="s">
        <v>1337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>
      <c r="A72" s="159" t="s">
        <v>2747</v>
      </c>
      <c r="B72" s="139" t="s">
        <v>3796</v>
      </c>
      <c r="C72" s="139" t="s">
        <v>3797</v>
      </c>
      <c r="D72" s="51" t="s">
        <v>36</v>
      </c>
      <c r="E72" s="132">
        <v>6</v>
      </c>
      <c r="F72" s="145" t="s">
        <v>1337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>
      <c r="A73" s="159" t="s">
        <v>2744</v>
      </c>
      <c r="B73" s="139" t="s">
        <v>3798</v>
      </c>
      <c r="C73" s="139" t="s">
        <v>3799</v>
      </c>
      <c r="D73" s="51" t="s">
        <v>21</v>
      </c>
      <c r="E73" s="132">
        <v>75</v>
      </c>
      <c r="F73" s="145" t="s">
        <v>1337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>
      <c r="A74" s="159" t="s">
        <v>2747</v>
      </c>
      <c r="B74" s="139" t="s">
        <v>3798</v>
      </c>
      <c r="C74" s="139" t="s">
        <v>3799</v>
      </c>
      <c r="D74" s="51" t="s">
        <v>21</v>
      </c>
      <c r="E74" s="132">
        <v>5</v>
      </c>
      <c r="F74" s="145" t="s">
        <v>1337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>
      <c r="A75" s="159" t="s">
        <v>2744</v>
      </c>
      <c r="B75" s="139" t="s">
        <v>3800</v>
      </c>
      <c r="C75" s="139" t="s">
        <v>3801</v>
      </c>
      <c r="D75" s="51" t="s">
        <v>36</v>
      </c>
      <c r="E75" s="132">
        <v>80</v>
      </c>
      <c r="F75" s="145" t="s">
        <v>1337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>
      <c r="A76" s="159" t="s">
        <v>2747</v>
      </c>
      <c r="B76" s="139" t="s">
        <v>3800</v>
      </c>
      <c r="C76" s="139" t="s">
        <v>3801</v>
      </c>
      <c r="D76" s="51" t="s">
        <v>36</v>
      </c>
      <c r="E76" s="132">
        <v>14</v>
      </c>
      <c r="F76" s="145" t="s">
        <v>1337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>
      <c r="A77" s="159" t="s">
        <v>2748</v>
      </c>
      <c r="B77" s="139" t="s">
        <v>3800</v>
      </c>
      <c r="C77" s="139" t="s">
        <v>3801</v>
      </c>
      <c r="D77" s="51" t="s">
        <v>36</v>
      </c>
      <c r="E77" s="132">
        <v>2</v>
      </c>
      <c r="F77" s="145" t="s">
        <v>1337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>
      <c r="A78" s="159" t="s">
        <v>2749</v>
      </c>
      <c r="B78" s="139" t="s">
        <v>3800</v>
      </c>
      <c r="C78" s="139" t="s">
        <v>3801</v>
      </c>
      <c r="D78" s="51" t="s">
        <v>36</v>
      </c>
      <c r="E78" s="132">
        <v>2</v>
      </c>
      <c r="F78" s="145" t="s">
        <v>1337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>
      <c r="A79" s="159" t="s">
        <v>2750</v>
      </c>
      <c r="B79" s="139" t="s">
        <v>3800</v>
      </c>
      <c r="C79" s="139" t="s">
        <v>3801</v>
      </c>
      <c r="D79" s="51" t="s">
        <v>36</v>
      </c>
      <c r="E79" s="132">
        <v>2</v>
      </c>
      <c r="F79" s="145" t="s">
        <v>1337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>
      <c r="A80" s="159" t="s">
        <v>2744</v>
      </c>
      <c r="B80" s="139" t="s">
        <v>114</v>
      </c>
      <c r="C80" s="139" t="s">
        <v>3802</v>
      </c>
      <c r="D80" s="51" t="s">
        <v>21</v>
      </c>
      <c r="E80" s="132">
        <v>70</v>
      </c>
      <c r="F80" s="145" t="s">
        <v>1337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>
      <c r="A81" s="159" t="s">
        <v>2747</v>
      </c>
      <c r="B81" s="139" t="s">
        <v>114</v>
      </c>
      <c r="C81" s="139" t="s">
        <v>3802</v>
      </c>
      <c r="D81" s="51" t="s">
        <v>21</v>
      </c>
      <c r="E81" s="132">
        <v>60</v>
      </c>
      <c r="F81" s="145" t="s">
        <v>1337</v>
      </c>
      <c r="K81"/>
      <c r="L81"/>
    </row>
    <row r="82" spans="1:12">
      <c r="A82" s="159" t="s">
        <v>2748</v>
      </c>
      <c r="B82" s="139" t="s">
        <v>114</v>
      </c>
      <c r="C82" s="139" t="s">
        <v>3802</v>
      </c>
      <c r="D82" s="51" t="s">
        <v>21</v>
      </c>
      <c r="E82" s="132">
        <v>7</v>
      </c>
      <c r="F82" s="145" t="s">
        <v>1337</v>
      </c>
      <c r="K82"/>
      <c r="L82"/>
    </row>
    <row r="83" spans="1:12">
      <c r="A83" s="159" t="s">
        <v>2749</v>
      </c>
      <c r="B83" s="139" t="s">
        <v>114</v>
      </c>
      <c r="C83" s="139" t="s">
        <v>3802</v>
      </c>
      <c r="D83" s="51" t="s">
        <v>21</v>
      </c>
      <c r="E83" s="132">
        <v>3</v>
      </c>
      <c r="F83" s="145" t="s">
        <v>1337</v>
      </c>
      <c r="K83"/>
      <c r="L83"/>
    </row>
    <row r="84" spans="1:12">
      <c r="A84" s="159" t="s">
        <v>2744</v>
      </c>
      <c r="B84" s="139" t="s">
        <v>92</v>
      </c>
      <c r="C84" s="139" t="s">
        <v>3803</v>
      </c>
      <c r="D84" s="51" t="s">
        <v>21</v>
      </c>
      <c r="E84" s="132">
        <v>90</v>
      </c>
      <c r="F84" s="145" t="s">
        <v>1798</v>
      </c>
      <c r="K84"/>
      <c r="L84"/>
    </row>
    <row r="85" spans="1:12">
      <c r="A85" s="159" t="s">
        <v>2747</v>
      </c>
      <c r="B85" s="139" t="s">
        <v>92</v>
      </c>
      <c r="C85" s="139" t="s">
        <v>3803</v>
      </c>
      <c r="D85" s="51" t="s">
        <v>21</v>
      </c>
      <c r="E85" s="132">
        <v>13</v>
      </c>
      <c r="F85" s="145" t="s">
        <v>1798</v>
      </c>
      <c r="K85"/>
      <c r="L85"/>
    </row>
    <row r="86" spans="1:12">
      <c r="A86" s="159" t="s">
        <v>2748</v>
      </c>
      <c r="B86" s="139" t="s">
        <v>92</v>
      </c>
      <c r="C86" s="139" t="s">
        <v>3803</v>
      </c>
      <c r="D86" s="51" t="s">
        <v>21</v>
      </c>
      <c r="E86" s="132">
        <v>9</v>
      </c>
      <c r="F86" s="145" t="s">
        <v>1798</v>
      </c>
      <c r="K86"/>
      <c r="L86"/>
    </row>
    <row r="87" spans="1:12">
      <c r="A87" s="159" t="s">
        <v>2749</v>
      </c>
      <c r="B87" s="139" t="s">
        <v>92</v>
      </c>
      <c r="C87" s="139" t="s">
        <v>3803</v>
      </c>
      <c r="D87" s="51" t="s">
        <v>21</v>
      </c>
      <c r="E87" s="132">
        <v>10</v>
      </c>
      <c r="F87" s="145" t="s">
        <v>1798</v>
      </c>
      <c r="K87"/>
      <c r="L87"/>
    </row>
    <row r="88" spans="1:12">
      <c r="A88" s="159" t="s">
        <v>2750</v>
      </c>
      <c r="B88" s="139" t="s">
        <v>92</v>
      </c>
      <c r="C88" s="139" t="s">
        <v>3803</v>
      </c>
      <c r="D88" s="51" t="s">
        <v>21</v>
      </c>
      <c r="E88" s="132">
        <v>1</v>
      </c>
      <c r="F88" s="145" t="s">
        <v>1798</v>
      </c>
      <c r="K88"/>
      <c r="L88"/>
    </row>
    <row r="89" spans="1:12">
      <c r="A89" s="159" t="s">
        <v>2744</v>
      </c>
      <c r="B89" s="139" t="s">
        <v>164</v>
      </c>
      <c r="C89" s="139" t="s">
        <v>3804</v>
      </c>
      <c r="D89" s="51" t="s">
        <v>21</v>
      </c>
      <c r="E89" s="132">
        <v>15</v>
      </c>
      <c r="F89" s="145" t="s">
        <v>97</v>
      </c>
      <c r="K89"/>
      <c r="L89"/>
    </row>
    <row r="90" spans="1:12">
      <c r="A90" s="159" t="s">
        <v>2747</v>
      </c>
      <c r="B90" s="139" t="s">
        <v>164</v>
      </c>
      <c r="C90" s="139" t="s">
        <v>3804</v>
      </c>
      <c r="D90" s="51" t="s">
        <v>21</v>
      </c>
      <c r="E90" s="132">
        <v>10</v>
      </c>
      <c r="F90" s="145" t="s">
        <v>97</v>
      </c>
      <c r="K90"/>
      <c r="L90"/>
    </row>
    <row r="91" spans="1:12">
      <c r="A91" s="159" t="s">
        <v>2748</v>
      </c>
      <c r="B91" s="139" t="s">
        <v>164</v>
      </c>
      <c r="C91" s="139" t="s">
        <v>3804</v>
      </c>
      <c r="D91" s="51" t="s">
        <v>21</v>
      </c>
      <c r="E91" s="132">
        <v>2</v>
      </c>
      <c r="F91" s="145" t="s">
        <v>97</v>
      </c>
      <c r="K91"/>
      <c r="L91"/>
    </row>
    <row r="92" spans="1:12">
      <c r="A92" s="159" t="s">
        <v>2744</v>
      </c>
      <c r="B92" s="139" t="s">
        <v>3805</v>
      </c>
      <c r="C92" s="139" t="s">
        <v>3806</v>
      </c>
      <c r="D92" s="51" t="s">
        <v>21</v>
      </c>
      <c r="E92" s="132">
        <v>40</v>
      </c>
      <c r="F92" s="145" t="s">
        <v>1798</v>
      </c>
      <c r="K92"/>
      <c r="L92"/>
    </row>
    <row r="93" spans="1:12">
      <c r="A93" s="159" t="s">
        <v>2747</v>
      </c>
      <c r="B93" s="139" t="s">
        <v>3805</v>
      </c>
      <c r="C93" s="139" t="s">
        <v>3806</v>
      </c>
      <c r="D93" s="51" t="s">
        <v>21</v>
      </c>
      <c r="E93" s="132">
        <v>10</v>
      </c>
      <c r="F93" s="145" t="s">
        <v>1798</v>
      </c>
      <c r="K93"/>
      <c r="L93"/>
    </row>
    <row r="94" spans="1:12">
      <c r="A94" s="159" t="s">
        <v>2748</v>
      </c>
      <c r="B94" s="139" t="s">
        <v>3805</v>
      </c>
      <c r="C94" s="139" t="s">
        <v>3806</v>
      </c>
      <c r="D94" s="51" t="s">
        <v>21</v>
      </c>
      <c r="E94" s="132">
        <v>2</v>
      </c>
      <c r="F94" s="145" t="s">
        <v>1798</v>
      </c>
      <c r="K94"/>
      <c r="L94"/>
    </row>
    <row r="95" spans="1:12">
      <c r="A95" s="159" t="s">
        <v>2744</v>
      </c>
      <c r="B95" s="139" t="s">
        <v>3807</v>
      </c>
      <c r="C95" s="139" t="s">
        <v>3808</v>
      </c>
      <c r="D95" s="51" t="s">
        <v>21</v>
      </c>
      <c r="E95" s="132">
        <v>20</v>
      </c>
      <c r="F95" s="145" t="s">
        <v>97</v>
      </c>
      <c r="K95"/>
      <c r="L95"/>
    </row>
    <row r="96" spans="1:12">
      <c r="A96" s="159" t="s">
        <v>2747</v>
      </c>
      <c r="B96" s="139" t="s">
        <v>3809</v>
      </c>
      <c r="C96" s="139" t="s">
        <v>3810</v>
      </c>
      <c r="D96" s="51" t="s">
        <v>21</v>
      </c>
      <c r="E96" s="132">
        <v>5</v>
      </c>
      <c r="F96" s="145" t="s">
        <v>1337</v>
      </c>
      <c r="K96"/>
      <c r="L96"/>
    </row>
    <row r="97" spans="1:12">
      <c r="A97" s="159" t="s">
        <v>2744</v>
      </c>
      <c r="B97" s="139" t="s">
        <v>165</v>
      </c>
      <c r="C97" s="139" t="s">
        <v>3811</v>
      </c>
      <c r="D97" s="51" t="s">
        <v>21</v>
      </c>
      <c r="E97" s="132">
        <v>30</v>
      </c>
      <c r="F97" s="145" t="s">
        <v>1337</v>
      </c>
      <c r="K97"/>
      <c r="L97"/>
    </row>
    <row r="98" spans="1:12">
      <c r="A98" s="159" t="s">
        <v>2747</v>
      </c>
      <c r="B98" s="139" t="s">
        <v>165</v>
      </c>
      <c r="C98" s="139" t="s">
        <v>3811</v>
      </c>
      <c r="D98" s="51" t="s">
        <v>21</v>
      </c>
      <c r="E98" s="132">
        <v>4</v>
      </c>
      <c r="F98" s="145" t="s">
        <v>1337</v>
      </c>
      <c r="K98"/>
      <c r="L98"/>
    </row>
    <row r="99" spans="1:12" ht="24">
      <c r="A99" s="159" t="s">
        <v>2744</v>
      </c>
      <c r="B99" s="139" t="s">
        <v>3812</v>
      </c>
      <c r="C99" s="139" t="s">
        <v>3813</v>
      </c>
      <c r="D99" s="51" t="s">
        <v>21</v>
      </c>
      <c r="E99" s="132">
        <v>70</v>
      </c>
      <c r="F99" s="145" t="s">
        <v>97</v>
      </c>
      <c r="K99"/>
      <c r="L99"/>
    </row>
    <row r="100" spans="1:12">
      <c r="A100" s="159" t="s">
        <v>2768</v>
      </c>
      <c r="B100" s="139" t="s">
        <v>3814</v>
      </c>
      <c r="C100" s="139" t="s">
        <v>3815</v>
      </c>
      <c r="D100" s="51" t="s">
        <v>21</v>
      </c>
      <c r="E100" s="143">
        <v>130</v>
      </c>
      <c r="F100" s="145" t="s">
        <v>97</v>
      </c>
      <c r="K100"/>
      <c r="L100"/>
    </row>
    <row r="101" spans="1:12">
      <c r="A101" s="159" t="s">
        <v>2747</v>
      </c>
      <c r="B101" s="139" t="s">
        <v>3814</v>
      </c>
      <c r="C101" s="139" t="s">
        <v>3815</v>
      </c>
      <c r="D101" s="51" t="s">
        <v>21</v>
      </c>
      <c r="E101" s="143">
        <v>24</v>
      </c>
      <c r="F101" s="145" t="s">
        <v>97</v>
      </c>
      <c r="K101"/>
      <c r="L101"/>
    </row>
    <row r="102" spans="1:12">
      <c r="A102" s="159" t="s">
        <v>2748</v>
      </c>
      <c r="B102" s="139" t="s">
        <v>3814</v>
      </c>
      <c r="C102" s="139" t="s">
        <v>3815</v>
      </c>
      <c r="D102" s="51" t="s">
        <v>21</v>
      </c>
      <c r="E102" s="143">
        <v>2</v>
      </c>
      <c r="F102" s="145" t="s">
        <v>97</v>
      </c>
      <c r="K102"/>
      <c r="L102"/>
    </row>
    <row r="103" spans="1:12">
      <c r="A103" s="159" t="s">
        <v>2768</v>
      </c>
      <c r="B103" s="139" t="s">
        <v>3816</v>
      </c>
      <c r="C103" s="139" t="s">
        <v>3817</v>
      </c>
      <c r="D103" s="51" t="s">
        <v>21</v>
      </c>
      <c r="E103" s="132">
        <v>15</v>
      </c>
      <c r="F103" s="145" t="s">
        <v>1337</v>
      </c>
      <c r="K103"/>
      <c r="L103"/>
    </row>
    <row r="104" spans="1:12">
      <c r="A104" s="159" t="s">
        <v>2747</v>
      </c>
      <c r="B104" s="139" t="s">
        <v>3816</v>
      </c>
      <c r="C104" s="139" t="s">
        <v>3817</v>
      </c>
      <c r="D104" s="51" t="s">
        <v>21</v>
      </c>
      <c r="E104" s="132">
        <v>4</v>
      </c>
      <c r="F104" s="145" t="s">
        <v>1337</v>
      </c>
      <c r="K104"/>
      <c r="L104"/>
    </row>
    <row r="105" spans="1:12">
      <c r="A105" s="159" t="s">
        <v>2748</v>
      </c>
      <c r="B105" s="139" t="s">
        <v>3816</v>
      </c>
      <c r="C105" s="139" t="s">
        <v>3817</v>
      </c>
      <c r="D105" s="51" t="s">
        <v>21</v>
      </c>
      <c r="E105" s="132">
        <v>1</v>
      </c>
      <c r="F105" s="145" t="s">
        <v>1337</v>
      </c>
      <c r="K105"/>
      <c r="L105"/>
    </row>
    <row r="106" spans="1:12">
      <c r="A106" s="159" t="s">
        <v>2768</v>
      </c>
      <c r="B106" s="139" t="s">
        <v>3818</v>
      </c>
      <c r="C106" s="139" t="s">
        <v>3819</v>
      </c>
      <c r="D106" s="51" t="s">
        <v>21</v>
      </c>
      <c r="E106" s="132">
        <v>112</v>
      </c>
      <c r="F106" s="145" t="s">
        <v>1337</v>
      </c>
      <c r="K106"/>
      <c r="L106"/>
    </row>
    <row r="107" spans="1:12">
      <c r="A107" s="159" t="s">
        <v>2747</v>
      </c>
      <c r="B107" s="139" t="s">
        <v>3818</v>
      </c>
      <c r="C107" s="139" t="s">
        <v>3819</v>
      </c>
      <c r="D107" s="51" t="s">
        <v>21</v>
      </c>
      <c r="E107" s="132">
        <v>21</v>
      </c>
      <c r="F107" s="145" t="s">
        <v>1337</v>
      </c>
      <c r="K107"/>
      <c r="L107"/>
    </row>
    <row r="108" spans="1:12">
      <c r="A108" s="159" t="s">
        <v>2748</v>
      </c>
      <c r="B108" s="139" t="s">
        <v>3818</v>
      </c>
      <c r="C108" s="139" t="s">
        <v>3819</v>
      </c>
      <c r="D108" s="51" t="s">
        <v>21</v>
      </c>
      <c r="E108" s="132">
        <v>7</v>
      </c>
      <c r="F108" s="145" t="s">
        <v>1337</v>
      </c>
      <c r="K108"/>
      <c r="L108"/>
    </row>
    <row r="109" spans="1:12" ht="24">
      <c r="A109" s="159" t="s">
        <v>2768</v>
      </c>
      <c r="B109" s="139" t="s">
        <v>3820</v>
      </c>
      <c r="C109" s="139" t="s">
        <v>3821</v>
      </c>
      <c r="D109" s="51" t="s">
        <v>36</v>
      </c>
      <c r="E109" s="132">
        <v>30</v>
      </c>
      <c r="F109" s="145" t="s">
        <v>1337</v>
      </c>
      <c r="K109"/>
      <c r="L109"/>
    </row>
    <row r="110" spans="1:12" ht="24">
      <c r="A110" s="159" t="s">
        <v>2747</v>
      </c>
      <c r="B110" s="139" t="s">
        <v>3820</v>
      </c>
      <c r="C110" s="139" t="s">
        <v>3821</v>
      </c>
      <c r="D110" s="51" t="s">
        <v>36</v>
      </c>
      <c r="E110" s="132">
        <v>2</v>
      </c>
      <c r="F110" s="145" t="s">
        <v>1337</v>
      </c>
      <c r="K110"/>
      <c r="L110"/>
    </row>
    <row r="111" spans="1:12" ht="24">
      <c r="A111" s="159" t="s">
        <v>2748</v>
      </c>
      <c r="B111" s="139" t="s">
        <v>3820</v>
      </c>
      <c r="C111" s="139" t="s">
        <v>3821</v>
      </c>
      <c r="D111" s="51" t="s">
        <v>36</v>
      </c>
      <c r="E111" s="132">
        <v>1</v>
      </c>
      <c r="F111" s="145" t="s">
        <v>1337</v>
      </c>
      <c r="K111"/>
      <c r="L111"/>
    </row>
    <row r="112" spans="1:12">
      <c r="K112"/>
      <c r="L112"/>
    </row>
    <row r="113" spans="11:12">
      <c r="K113"/>
      <c r="L113"/>
    </row>
    <row r="114" spans="11:12">
      <c r="K114"/>
      <c r="L114"/>
    </row>
    <row r="115" spans="11:12">
      <c r="K115"/>
      <c r="L115"/>
    </row>
    <row r="116" spans="11:12">
      <c r="K116"/>
      <c r="L116"/>
    </row>
    <row r="117" spans="11:12">
      <c r="K117"/>
      <c r="L117"/>
    </row>
    <row r="118" spans="11:12">
      <c r="K118"/>
      <c r="L118"/>
    </row>
    <row r="119" spans="11:12">
      <c r="K119"/>
      <c r="L119"/>
    </row>
    <row r="120" spans="11:12">
      <c r="K120"/>
      <c r="L120"/>
    </row>
    <row r="121" spans="11:12">
      <c r="K121"/>
      <c r="L121"/>
    </row>
    <row r="122" spans="11:12">
      <c r="K122"/>
      <c r="L122"/>
    </row>
    <row r="123" spans="11:12">
      <c r="K123"/>
      <c r="L123"/>
    </row>
    <row r="124" spans="11:12">
      <c r="K124"/>
      <c r="L124"/>
    </row>
    <row r="125" spans="11:12">
      <c r="K125"/>
      <c r="L125"/>
    </row>
    <row r="126" spans="11:12">
      <c r="K126"/>
      <c r="L126"/>
    </row>
    <row r="127" spans="11:12">
      <c r="K127"/>
      <c r="L127"/>
    </row>
    <row r="128" spans="11:12">
      <c r="K128"/>
      <c r="L128"/>
    </row>
    <row r="129" spans="11:12">
      <c r="K129"/>
      <c r="L129"/>
    </row>
    <row r="130" spans="11:12">
      <c r="K130"/>
      <c r="L130"/>
    </row>
    <row r="131" spans="11:12">
      <c r="K131"/>
      <c r="L131"/>
    </row>
    <row r="132" spans="11:12">
      <c r="K132"/>
      <c r="L132"/>
    </row>
    <row r="133" spans="11:12">
      <c r="K133"/>
      <c r="L133"/>
    </row>
    <row r="134" spans="11:12">
      <c r="K134"/>
      <c r="L134"/>
    </row>
    <row r="135" spans="11:12">
      <c r="K135"/>
      <c r="L135"/>
    </row>
    <row r="136" spans="11:12">
      <c r="K136"/>
      <c r="L136"/>
    </row>
    <row r="137" spans="11:12">
      <c r="K137"/>
      <c r="L137"/>
    </row>
    <row r="138" spans="11:12">
      <c r="K138"/>
      <c r="L138"/>
    </row>
    <row r="139" spans="11:12">
      <c r="K139"/>
      <c r="L139"/>
    </row>
    <row r="140" spans="11:12">
      <c r="K140"/>
      <c r="L140"/>
    </row>
    <row r="141" spans="11:12">
      <c r="K141"/>
      <c r="L141"/>
    </row>
    <row r="142" spans="11:12">
      <c r="K142"/>
      <c r="L142"/>
    </row>
    <row r="143" spans="11:12">
      <c r="K143"/>
      <c r="L143"/>
    </row>
    <row r="144" spans="11:12">
      <c r="K144"/>
      <c r="L144"/>
    </row>
    <row r="145" spans="11:12">
      <c r="K145"/>
      <c r="L145"/>
    </row>
    <row r="146" spans="11:12">
      <c r="K146"/>
      <c r="L146"/>
    </row>
    <row r="147" spans="11:12">
      <c r="K147"/>
      <c r="L147"/>
    </row>
    <row r="148" spans="11:12">
      <c r="K148"/>
      <c r="L148"/>
    </row>
    <row r="149" spans="11:12">
      <c r="K149"/>
      <c r="L149"/>
    </row>
    <row r="150" spans="11:12">
      <c r="K150"/>
      <c r="L150"/>
    </row>
    <row r="151" spans="11:12">
      <c r="K151"/>
      <c r="L151"/>
    </row>
    <row r="152" spans="11:12">
      <c r="K152"/>
      <c r="L152"/>
    </row>
    <row r="153" spans="11:12">
      <c r="K153"/>
      <c r="L153"/>
    </row>
    <row r="154" spans="11:12">
      <c r="K154"/>
      <c r="L154"/>
    </row>
    <row r="155" spans="11:12">
      <c r="K155"/>
      <c r="L155"/>
    </row>
    <row r="156" spans="11:12">
      <c r="K156"/>
      <c r="L156"/>
    </row>
    <row r="157" spans="11:12">
      <c r="K157"/>
      <c r="L157"/>
    </row>
    <row r="158" spans="11:12">
      <c r="K158"/>
      <c r="L158"/>
    </row>
    <row r="159" spans="11:12">
      <c r="K159"/>
      <c r="L159"/>
    </row>
    <row r="160" spans="11:12">
      <c r="K160"/>
      <c r="L160"/>
    </row>
    <row r="161" spans="11:12">
      <c r="K161"/>
      <c r="L161"/>
    </row>
    <row r="162" spans="11:12">
      <c r="K162"/>
      <c r="L162"/>
    </row>
    <row r="163" spans="11:12">
      <c r="K163"/>
      <c r="L163"/>
    </row>
    <row r="164" spans="11:12">
      <c r="K164"/>
      <c r="L164"/>
    </row>
    <row r="165" spans="11:12">
      <c r="K165"/>
      <c r="L165"/>
    </row>
    <row r="166" spans="11:12">
      <c r="K166"/>
      <c r="L166"/>
    </row>
    <row r="167" spans="11:12">
      <c r="K167"/>
      <c r="L167"/>
    </row>
    <row r="168" spans="11:12">
      <c r="K168"/>
      <c r="L168"/>
    </row>
    <row r="169" spans="11:12">
      <c r="K169"/>
      <c r="L169"/>
    </row>
    <row r="170" spans="11:12">
      <c r="K170"/>
      <c r="L170"/>
    </row>
    <row r="171" spans="11:12">
      <c r="K171"/>
      <c r="L171"/>
    </row>
    <row r="172" spans="11:12">
      <c r="K172"/>
      <c r="L172"/>
    </row>
    <row r="173" spans="11:12">
      <c r="K173"/>
      <c r="L173"/>
    </row>
    <row r="174" spans="11:12">
      <c r="K174"/>
      <c r="L174"/>
    </row>
    <row r="175" spans="11:12">
      <c r="K175"/>
      <c r="L175"/>
    </row>
    <row r="176" spans="11:12">
      <c r="K176"/>
      <c r="L176"/>
    </row>
    <row r="177" spans="11:12">
      <c r="K177"/>
      <c r="L177"/>
    </row>
    <row r="178" spans="11:12">
      <c r="K178"/>
      <c r="L178"/>
    </row>
    <row r="179" spans="11:12">
      <c r="K179"/>
      <c r="L179"/>
    </row>
    <row r="180" spans="11:12">
      <c r="K180"/>
      <c r="L180"/>
    </row>
    <row r="181" spans="11:12">
      <c r="K181"/>
      <c r="L181"/>
    </row>
    <row r="182" spans="11:12">
      <c r="K182"/>
      <c r="L182"/>
    </row>
    <row r="183" spans="11:12">
      <c r="K183"/>
      <c r="L183"/>
    </row>
    <row r="184" spans="11:12">
      <c r="K184"/>
      <c r="L184"/>
    </row>
    <row r="185" spans="11:12">
      <c r="K185"/>
      <c r="L185"/>
    </row>
    <row r="186" spans="11:12">
      <c r="K186"/>
      <c r="L186"/>
    </row>
    <row r="187" spans="11:12">
      <c r="K187"/>
      <c r="L187"/>
    </row>
    <row r="188" spans="11:12">
      <c r="K188"/>
      <c r="L188"/>
    </row>
    <row r="189" spans="11:12">
      <c r="K189"/>
      <c r="L189"/>
    </row>
    <row r="190" spans="11:12">
      <c r="K190"/>
      <c r="L190"/>
    </row>
    <row r="191" spans="11:12">
      <c r="K191"/>
      <c r="L191"/>
    </row>
    <row r="192" spans="11:12">
      <c r="K192"/>
      <c r="L192"/>
    </row>
    <row r="193" spans="11:12">
      <c r="K193"/>
      <c r="L193"/>
    </row>
    <row r="194" spans="11:12">
      <c r="K194"/>
      <c r="L194"/>
    </row>
    <row r="195" spans="11:12">
      <c r="K195"/>
      <c r="L195"/>
    </row>
    <row r="196" spans="11:12">
      <c r="K196"/>
      <c r="L196"/>
    </row>
    <row r="197" spans="11:12">
      <c r="K197"/>
      <c r="L197"/>
    </row>
    <row r="198" spans="11:12">
      <c r="K198"/>
      <c r="L198"/>
    </row>
  </sheetData>
  <autoFilter ref="A1:F180" xr:uid="{B58459B0-BCAD-4485-BC04-9F7A09B344EE}"/>
  <phoneticPr fontId="3" type="noConversion"/>
  <conditionalFormatting sqref="A11">
    <cfRule type="duplicateValues" dxfId="14" priority="3"/>
  </conditionalFormatting>
  <conditionalFormatting sqref="A12">
    <cfRule type="duplicateValues" dxfId="13" priority="4"/>
  </conditionalFormatting>
  <conditionalFormatting sqref="A14">
    <cfRule type="duplicateValues" dxfId="12" priority="1"/>
  </conditionalFormatting>
  <conditionalFormatting sqref="A15">
    <cfRule type="duplicateValues" dxfId="11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09" workbookViewId="0">
      <selection activeCell="J126" sqref="J126"/>
    </sheetView>
  </sheetViews>
  <sheetFormatPr defaultColWidth="9" defaultRowHeight="13.5"/>
  <cols>
    <col min="1" max="1" width="11.75" customWidth="1"/>
    <col min="2" max="2" width="13.25" customWidth="1"/>
    <col min="3" max="3" width="12.25" customWidth="1"/>
    <col min="4" max="4" width="17.375" customWidth="1"/>
    <col min="6" max="6" width="11" customWidth="1"/>
    <col min="7" max="7" width="14.375" customWidth="1"/>
    <col min="8" max="8" width="11.25" customWidth="1"/>
    <col min="9" max="9" width="10.25" customWidth="1"/>
    <col min="10" max="10" width="15.375" customWidth="1"/>
    <col min="11" max="11" width="10.75" customWidth="1"/>
    <col min="12" max="12" width="14" customWidth="1"/>
    <col min="13" max="13" width="9.25" customWidth="1"/>
    <col min="14" max="14" width="8.25" customWidth="1"/>
    <col min="15" max="15" width="10.25" customWidth="1"/>
    <col min="16" max="16" width="8.75" customWidth="1"/>
    <col min="17" max="17" width="9.75" customWidth="1"/>
    <col min="18" max="18" width="8.75" customWidth="1"/>
    <col min="19" max="19" width="9" customWidth="1"/>
    <col min="20" max="20" width="6.75" customWidth="1"/>
    <col min="21" max="22" width="7.25" customWidth="1"/>
    <col min="23" max="23" width="13.25" bestFit="1" customWidth="1"/>
    <col min="24" max="24" width="5.75" bestFit="1" customWidth="1"/>
  </cols>
  <sheetData>
    <row r="1" spans="1:24" ht="22.5">
      <c r="A1" s="98" t="s">
        <v>235</v>
      </c>
      <c r="B1" s="99" t="s">
        <v>2728</v>
      </c>
      <c r="C1" s="100" t="s">
        <v>2729</v>
      </c>
      <c r="D1" s="100" t="s">
        <v>262</v>
      </c>
      <c r="E1" s="101" t="s">
        <v>2730</v>
      </c>
      <c r="F1" s="102" t="s">
        <v>265</v>
      </c>
      <c r="G1" s="100" t="s">
        <v>2731</v>
      </c>
    </row>
    <row r="2" spans="1:24">
      <c r="A2" s="159" t="s">
        <v>2744</v>
      </c>
      <c r="B2" s="114" t="s">
        <v>2763</v>
      </c>
      <c r="C2" s="169">
        <v>110066</v>
      </c>
      <c r="D2" s="156" t="s">
        <v>16</v>
      </c>
      <c r="E2" s="157">
        <v>44200</v>
      </c>
      <c r="F2" s="157" t="s">
        <v>3822</v>
      </c>
      <c r="G2" s="171">
        <v>200</v>
      </c>
    </row>
    <row r="3" spans="1:24" ht="22.5">
      <c r="A3" s="159" t="s">
        <v>2744</v>
      </c>
      <c r="B3" s="114" t="s">
        <v>2763</v>
      </c>
      <c r="C3" s="169">
        <v>110230</v>
      </c>
      <c r="D3" s="156" t="s">
        <v>33</v>
      </c>
      <c r="E3" s="157" t="s">
        <v>3823</v>
      </c>
      <c r="F3" s="170" t="s">
        <v>3822</v>
      </c>
      <c r="G3" s="171">
        <v>200</v>
      </c>
    </row>
    <row r="4" spans="1:24" ht="22.5">
      <c r="A4" s="159" t="s">
        <v>2747</v>
      </c>
      <c r="B4" s="114" t="s">
        <v>2764</v>
      </c>
      <c r="C4" s="169">
        <v>110230</v>
      </c>
      <c r="D4" s="156" t="s">
        <v>33</v>
      </c>
      <c r="E4" s="157" t="s">
        <v>3823</v>
      </c>
      <c r="F4" s="170" t="s">
        <v>3822</v>
      </c>
      <c r="G4" s="171">
        <v>60</v>
      </c>
    </row>
    <row r="5" spans="1:24" ht="22.5">
      <c r="A5" s="159" t="s">
        <v>2748</v>
      </c>
      <c r="B5" s="114" t="s">
        <v>2765</v>
      </c>
      <c r="C5" s="169">
        <v>110230</v>
      </c>
      <c r="D5" s="156" t="s">
        <v>33</v>
      </c>
      <c r="E5" s="157" t="s">
        <v>3823</v>
      </c>
      <c r="F5" s="170" t="s">
        <v>3822</v>
      </c>
      <c r="G5" s="171">
        <v>10</v>
      </c>
    </row>
    <row r="6" spans="1:24" ht="22.5">
      <c r="A6" s="159" t="s">
        <v>2749</v>
      </c>
      <c r="B6" s="114" t="s">
        <v>2769</v>
      </c>
      <c r="C6" s="169">
        <v>110230</v>
      </c>
      <c r="D6" s="156" t="s">
        <v>33</v>
      </c>
      <c r="E6" s="157" t="s">
        <v>3823</v>
      </c>
      <c r="F6" s="170" t="s">
        <v>3822</v>
      </c>
      <c r="G6" s="171">
        <v>5</v>
      </c>
    </row>
    <row r="7" spans="1:24">
      <c r="A7" s="159" t="s">
        <v>2744</v>
      </c>
      <c r="B7" s="114" t="s">
        <v>2763</v>
      </c>
      <c r="C7" s="169">
        <v>110096</v>
      </c>
      <c r="D7" s="156" t="s">
        <v>33</v>
      </c>
      <c r="E7" s="157">
        <v>44218</v>
      </c>
      <c r="F7" s="170" t="s">
        <v>3822</v>
      </c>
      <c r="G7" s="171">
        <v>200</v>
      </c>
      <c r="M7" s="262" t="s">
        <v>2</v>
      </c>
    </row>
    <row r="8" spans="1:24">
      <c r="A8" s="159" t="s">
        <v>2747</v>
      </c>
      <c r="B8" s="114" t="s">
        <v>2764</v>
      </c>
      <c r="C8" s="169">
        <v>110096</v>
      </c>
      <c r="D8" s="156" t="s">
        <v>33</v>
      </c>
      <c r="E8" s="157">
        <v>44218</v>
      </c>
      <c r="F8" s="170" t="s">
        <v>3822</v>
      </c>
      <c r="G8" s="171">
        <v>60</v>
      </c>
      <c r="J8" s="262" t="s">
        <v>3824</v>
      </c>
      <c r="K8" s="262" t="s">
        <v>1</v>
      </c>
      <c r="L8" s="262" t="s">
        <v>3825</v>
      </c>
      <c r="M8" t="s">
        <v>2747</v>
      </c>
      <c r="N8" t="s">
        <v>2748</v>
      </c>
      <c r="O8" t="s">
        <v>2749</v>
      </c>
      <c r="P8" t="s">
        <v>2750</v>
      </c>
      <c r="Q8" t="s">
        <v>2751</v>
      </c>
      <c r="R8" t="s">
        <v>2744</v>
      </c>
      <c r="S8" t="s">
        <v>2756</v>
      </c>
      <c r="T8" t="s">
        <v>2757</v>
      </c>
      <c r="U8" t="s">
        <v>2758</v>
      </c>
      <c r="V8" t="s">
        <v>2759</v>
      </c>
      <c r="W8" t="s">
        <v>2755</v>
      </c>
      <c r="X8" t="s">
        <v>214</v>
      </c>
    </row>
    <row r="9" spans="1:24">
      <c r="A9" s="159" t="s">
        <v>2744</v>
      </c>
      <c r="B9" s="114" t="s">
        <v>2763</v>
      </c>
      <c r="C9" s="169">
        <v>110105</v>
      </c>
      <c r="D9" s="156" t="s">
        <v>3548</v>
      </c>
      <c r="E9" s="157">
        <v>44212</v>
      </c>
      <c r="F9" s="170" t="s">
        <v>3822</v>
      </c>
      <c r="G9" s="171">
        <v>300</v>
      </c>
      <c r="J9">
        <v>110066</v>
      </c>
      <c r="K9" t="s">
        <v>16</v>
      </c>
      <c r="L9">
        <v>44200</v>
      </c>
    </row>
    <row r="10" spans="1:24">
      <c r="A10" s="159" t="s">
        <v>2747</v>
      </c>
      <c r="B10" s="114" t="s">
        <v>2764</v>
      </c>
      <c r="C10" s="169">
        <v>110105</v>
      </c>
      <c r="D10" s="156" t="s">
        <v>3548</v>
      </c>
      <c r="E10" s="157">
        <v>44212</v>
      </c>
      <c r="F10" s="170" t="s">
        <v>3822</v>
      </c>
      <c r="G10" s="171">
        <v>30</v>
      </c>
      <c r="J10">
        <v>110096</v>
      </c>
      <c r="K10" t="s">
        <v>33</v>
      </c>
      <c r="L10">
        <v>44218</v>
      </c>
    </row>
    <row r="11" spans="1:24">
      <c r="A11" s="159" t="s">
        <v>2748</v>
      </c>
      <c r="B11" s="114" t="s">
        <v>2765</v>
      </c>
      <c r="C11" s="169">
        <v>110105</v>
      </c>
      <c r="D11" s="156" t="s">
        <v>3548</v>
      </c>
      <c r="E11" s="157">
        <v>44212</v>
      </c>
      <c r="F11" s="170" t="s">
        <v>3822</v>
      </c>
      <c r="G11" s="171">
        <v>10</v>
      </c>
      <c r="J11">
        <v>110105</v>
      </c>
      <c r="K11" t="s">
        <v>3548</v>
      </c>
      <c r="L11">
        <v>44212</v>
      </c>
    </row>
    <row r="12" spans="1:24">
      <c r="A12" s="159" t="s">
        <v>2751</v>
      </c>
      <c r="B12" s="114" t="s">
        <v>2775</v>
      </c>
      <c r="C12" s="169">
        <v>110105</v>
      </c>
      <c r="D12" s="156" t="s">
        <v>3548</v>
      </c>
      <c r="E12" s="157">
        <v>44212</v>
      </c>
      <c r="F12" s="170" t="s">
        <v>3822</v>
      </c>
      <c r="G12" s="171">
        <v>1</v>
      </c>
      <c r="J12">
        <v>110106</v>
      </c>
      <c r="K12" t="s">
        <v>3548</v>
      </c>
      <c r="L12">
        <v>44212</v>
      </c>
    </row>
    <row r="13" spans="1:24">
      <c r="A13" s="159" t="s">
        <v>2744</v>
      </c>
      <c r="B13" s="114" t="s">
        <v>2763</v>
      </c>
      <c r="C13" s="169">
        <v>110106</v>
      </c>
      <c r="D13" s="156" t="s">
        <v>3548</v>
      </c>
      <c r="E13" s="157">
        <v>44212</v>
      </c>
      <c r="F13" s="170" t="s">
        <v>3822</v>
      </c>
      <c r="G13" s="171">
        <v>300</v>
      </c>
      <c r="J13">
        <v>110107</v>
      </c>
      <c r="K13" t="s">
        <v>155</v>
      </c>
      <c r="L13">
        <v>44221</v>
      </c>
    </row>
    <row r="14" spans="1:24">
      <c r="A14" s="159" t="s">
        <v>2747</v>
      </c>
      <c r="B14" s="114" t="s">
        <v>2764</v>
      </c>
      <c r="C14" s="169">
        <v>110106</v>
      </c>
      <c r="D14" s="156" t="s">
        <v>3548</v>
      </c>
      <c r="E14" s="157">
        <v>44212</v>
      </c>
      <c r="F14" s="170" t="s">
        <v>3822</v>
      </c>
      <c r="G14" s="171">
        <v>60</v>
      </c>
      <c r="J14">
        <v>110130</v>
      </c>
      <c r="K14" t="s">
        <v>16</v>
      </c>
      <c r="L14">
        <v>44233</v>
      </c>
    </row>
    <row r="15" spans="1:24">
      <c r="A15" s="159" t="s">
        <v>2744</v>
      </c>
      <c r="B15" s="114" t="s">
        <v>2763</v>
      </c>
      <c r="C15" s="169">
        <v>110107</v>
      </c>
      <c r="D15" s="156" t="s">
        <v>155</v>
      </c>
      <c r="E15" s="157">
        <v>44221</v>
      </c>
      <c r="F15" s="170" t="s">
        <v>3822</v>
      </c>
      <c r="G15" s="171">
        <v>200</v>
      </c>
      <c r="J15">
        <v>110131</v>
      </c>
      <c r="K15" t="s">
        <v>16</v>
      </c>
      <c r="L15" t="s">
        <v>3826</v>
      </c>
    </row>
    <row r="16" spans="1:24">
      <c r="A16" s="159" t="s">
        <v>2747</v>
      </c>
      <c r="B16" s="114" t="s">
        <v>2764</v>
      </c>
      <c r="C16" s="169">
        <v>110107</v>
      </c>
      <c r="D16" s="156" t="s">
        <v>155</v>
      </c>
      <c r="E16" s="157">
        <v>44221</v>
      </c>
      <c r="F16" s="170" t="s">
        <v>3822</v>
      </c>
      <c r="G16" s="171">
        <v>20</v>
      </c>
      <c r="J16">
        <v>110132</v>
      </c>
      <c r="K16" t="s">
        <v>16</v>
      </c>
      <c r="L16">
        <v>44233</v>
      </c>
    </row>
    <row r="17" spans="1:12">
      <c r="A17" s="159" t="s">
        <v>2748</v>
      </c>
      <c r="B17" s="114" t="s">
        <v>2765</v>
      </c>
      <c r="C17" s="169">
        <v>110107</v>
      </c>
      <c r="D17" s="156" t="s">
        <v>155</v>
      </c>
      <c r="E17" s="157">
        <v>44221</v>
      </c>
      <c r="F17" s="170" t="s">
        <v>3822</v>
      </c>
      <c r="G17" s="171">
        <v>5</v>
      </c>
      <c r="J17">
        <v>110133</v>
      </c>
      <c r="K17" t="s">
        <v>16</v>
      </c>
      <c r="L17">
        <v>44233</v>
      </c>
    </row>
    <row r="18" spans="1:12">
      <c r="A18" s="159" t="s">
        <v>2744</v>
      </c>
      <c r="B18" s="114" t="s">
        <v>2763</v>
      </c>
      <c r="C18" s="169">
        <v>110199</v>
      </c>
      <c r="D18" s="156" t="s">
        <v>16</v>
      </c>
      <c r="E18" s="157">
        <v>44218</v>
      </c>
      <c r="F18" s="170" t="s">
        <v>3822</v>
      </c>
      <c r="G18" s="171">
        <v>200</v>
      </c>
      <c r="J18">
        <v>110150</v>
      </c>
      <c r="K18" t="s">
        <v>16</v>
      </c>
      <c r="L18" t="s">
        <v>3827</v>
      </c>
    </row>
    <row r="19" spans="1:12">
      <c r="A19" s="159" t="s">
        <v>2747</v>
      </c>
      <c r="B19" s="114" t="s">
        <v>2764</v>
      </c>
      <c r="C19" s="169">
        <v>110199</v>
      </c>
      <c r="D19" s="156" t="s">
        <v>16</v>
      </c>
      <c r="E19" s="157">
        <v>44218</v>
      </c>
      <c r="F19" s="170" t="s">
        <v>3822</v>
      </c>
      <c r="G19" s="171">
        <v>30</v>
      </c>
      <c r="J19">
        <v>110151</v>
      </c>
      <c r="K19" t="s">
        <v>16</v>
      </c>
      <c r="L19" t="s">
        <v>3828</v>
      </c>
    </row>
    <row r="20" spans="1:12">
      <c r="A20" s="159" t="s">
        <v>2744</v>
      </c>
      <c r="B20" s="114" t="s">
        <v>2763</v>
      </c>
      <c r="C20" s="169">
        <v>110130</v>
      </c>
      <c r="D20" s="156" t="s">
        <v>16</v>
      </c>
      <c r="E20" s="157">
        <v>44233</v>
      </c>
      <c r="F20" s="170" t="s">
        <v>3822</v>
      </c>
      <c r="G20" s="171">
        <v>200</v>
      </c>
      <c r="J20">
        <v>110153</v>
      </c>
      <c r="K20" t="s">
        <v>16</v>
      </c>
      <c r="L20" t="s">
        <v>20</v>
      </c>
    </row>
    <row r="21" spans="1:12">
      <c r="A21" s="159" t="s">
        <v>2747</v>
      </c>
      <c r="B21" s="114" t="s">
        <v>2764</v>
      </c>
      <c r="C21" s="169">
        <v>110130</v>
      </c>
      <c r="D21" s="156" t="s">
        <v>16</v>
      </c>
      <c r="E21" s="157">
        <v>44233</v>
      </c>
      <c r="F21" s="170" t="s">
        <v>3822</v>
      </c>
      <c r="G21" s="171">
        <v>100</v>
      </c>
      <c r="J21">
        <v>110172</v>
      </c>
      <c r="K21" t="s">
        <v>38</v>
      </c>
      <c r="L21" t="s">
        <v>3829</v>
      </c>
    </row>
    <row r="22" spans="1:12">
      <c r="A22" s="159" t="s">
        <v>2744</v>
      </c>
      <c r="B22" s="114" t="s">
        <v>2763</v>
      </c>
      <c r="C22" s="169">
        <v>110131</v>
      </c>
      <c r="D22" s="156" t="s">
        <v>16</v>
      </c>
      <c r="E22" s="157" t="s">
        <v>3826</v>
      </c>
      <c r="F22" s="170" t="s">
        <v>2762</v>
      </c>
      <c r="G22" s="171">
        <v>200</v>
      </c>
      <c r="J22">
        <v>110173</v>
      </c>
      <c r="K22" t="s">
        <v>38</v>
      </c>
      <c r="L22" t="s">
        <v>3830</v>
      </c>
    </row>
    <row r="23" spans="1:12">
      <c r="A23" s="159" t="s">
        <v>2744</v>
      </c>
      <c r="B23" s="114" t="s">
        <v>2763</v>
      </c>
      <c r="C23" s="169">
        <v>110132</v>
      </c>
      <c r="D23" s="156" t="s">
        <v>16</v>
      </c>
      <c r="E23" s="157">
        <v>44233</v>
      </c>
      <c r="F23" s="170" t="s">
        <v>3822</v>
      </c>
      <c r="G23" s="171">
        <v>350</v>
      </c>
      <c r="J23">
        <v>110174</v>
      </c>
      <c r="K23" t="s">
        <v>38</v>
      </c>
      <c r="L23" t="s">
        <v>3831</v>
      </c>
    </row>
    <row r="24" spans="1:12">
      <c r="A24" s="159" t="s">
        <v>2747</v>
      </c>
      <c r="B24" s="114" t="s">
        <v>2764</v>
      </c>
      <c r="C24" s="169">
        <v>110132</v>
      </c>
      <c r="D24" s="156" t="s">
        <v>16</v>
      </c>
      <c r="E24" s="157">
        <v>44233</v>
      </c>
      <c r="F24" s="170" t="s">
        <v>3822</v>
      </c>
      <c r="G24" s="171">
        <v>50</v>
      </c>
      <c r="J24">
        <v>110175</v>
      </c>
      <c r="K24" t="s">
        <v>38</v>
      </c>
      <c r="L24" t="s">
        <v>3832</v>
      </c>
    </row>
    <row r="25" spans="1:12">
      <c r="A25" s="159" t="s">
        <v>2748</v>
      </c>
      <c r="B25" s="114" t="s">
        <v>2765</v>
      </c>
      <c r="C25" s="169">
        <v>110132</v>
      </c>
      <c r="D25" s="156" t="s">
        <v>16</v>
      </c>
      <c r="E25" s="157">
        <v>44233</v>
      </c>
      <c r="F25" s="170" t="s">
        <v>3822</v>
      </c>
      <c r="G25" s="171">
        <v>5</v>
      </c>
      <c r="J25">
        <v>110176</v>
      </c>
      <c r="K25" t="s">
        <v>38</v>
      </c>
      <c r="L25" t="s">
        <v>3833</v>
      </c>
    </row>
    <row r="26" spans="1:12">
      <c r="A26" s="159" t="s">
        <v>2751</v>
      </c>
      <c r="B26" s="114" t="s">
        <v>2775</v>
      </c>
      <c r="C26" s="169">
        <v>110132</v>
      </c>
      <c r="D26" s="156" t="s">
        <v>16</v>
      </c>
      <c r="E26" s="157">
        <v>44233</v>
      </c>
      <c r="F26" s="170" t="s">
        <v>3822</v>
      </c>
      <c r="G26" s="171">
        <v>2</v>
      </c>
      <c r="J26">
        <v>110199</v>
      </c>
      <c r="K26" t="s">
        <v>16</v>
      </c>
      <c r="L26">
        <v>44218</v>
      </c>
    </row>
    <row r="27" spans="1:12">
      <c r="A27" s="159" t="s">
        <v>2744</v>
      </c>
      <c r="B27" s="114" t="s">
        <v>2763</v>
      </c>
      <c r="C27" s="169">
        <v>110133</v>
      </c>
      <c r="D27" s="156" t="s">
        <v>16</v>
      </c>
      <c r="E27" s="157">
        <v>44233</v>
      </c>
      <c r="F27" s="170" t="s">
        <v>3822</v>
      </c>
      <c r="G27" s="171">
        <v>250</v>
      </c>
      <c r="J27">
        <v>110210</v>
      </c>
      <c r="K27" t="s">
        <v>47</v>
      </c>
      <c r="L27" t="s">
        <v>3834</v>
      </c>
    </row>
    <row r="28" spans="1:12">
      <c r="A28" s="159" t="s">
        <v>2744</v>
      </c>
      <c r="B28" s="114" t="s">
        <v>2763</v>
      </c>
      <c r="C28" s="169">
        <v>110150</v>
      </c>
      <c r="D28" s="156" t="s">
        <v>16</v>
      </c>
      <c r="E28" s="157" t="s">
        <v>3827</v>
      </c>
      <c r="F28" s="170" t="s">
        <v>2762</v>
      </c>
      <c r="G28" s="171">
        <v>250</v>
      </c>
      <c r="J28">
        <v>110211</v>
      </c>
      <c r="K28" t="s">
        <v>16</v>
      </c>
      <c r="L28" t="s">
        <v>20</v>
      </c>
    </row>
    <row r="29" spans="1:12">
      <c r="A29" s="159" t="s">
        <v>2747</v>
      </c>
      <c r="B29" s="114" t="s">
        <v>2764</v>
      </c>
      <c r="C29" s="169">
        <v>110150</v>
      </c>
      <c r="D29" s="156" t="s">
        <v>16</v>
      </c>
      <c r="E29" s="157" t="s">
        <v>3827</v>
      </c>
      <c r="F29" s="170" t="s">
        <v>2762</v>
      </c>
      <c r="G29" s="171">
        <v>30</v>
      </c>
      <c r="J29">
        <v>110212</v>
      </c>
      <c r="K29" t="s">
        <v>16</v>
      </c>
      <c r="L29" t="s">
        <v>20</v>
      </c>
    </row>
    <row r="30" spans="1:12" ht="22.5">
      <c r="A30" s="159" t="s">
        <v>2744</v>
      </c>
      <c r="B30" s="114" t="s">
        <v>2763</v>
      </c>
      <c r="C30" s="169">
        <v>110151</v>
      </c>
      <c r="D30" s="156" t="s">
        <v>16</v>
      </c>
      <c r="E30" s="157" t="s">
        <v>3828</v>
      </c>
      <c r="F30" s="170" t="s">
        <v>2762</v>
      </c>
      <c r="G30" s="171">
        <v>250</v>
      </c>
      <c r="J30" s="264">
        <v>110227</v>
      </c>
      <c r="K30" t="s">
        <v>115</v>
      </c>
      <c r="L30" t="s">
        <v>20</v>
      </c>
    </row>
    <row r="31" spans="1:12" ht="22.5">
      <c r="A31" s="159" t="s">
        <v>2747</v>
      </c>
      <c r="B31" s="114" t="s">
        <v>2764</v>
      </c>
      <c r="C31" s="169">
        <v>110151</v>
      </c>
      <c r="D31" s="156" t="s">
        <v>16</v>
      </c>
      <c r="E31" s="157" t="s">
        <v>3828</v>
      </c>
      <c r="F31" s="170" t="s">
        <v>2762</v>
      </c>
      <c r="G31" s="171">
        <v>30</v>
      </c>
      <c r="J31" s="264">
        <v>110228</v>
      </c>
      <c r="K31" t="s">
        <v>115</v>
      </c>
      <c r="L31" t="s">
        <v>20</v>
      </c>
    </row>
    <row r="32" spans="1:12">
      <c r="A32" s="159" t="s">
        <v>2744</v>
      </c>
      <c r="B32" s="114" t="s">
        <v>2763</v>
      </c>
      <c r="C32" s="169">
        <v>110153</v>
      </c>
      <c r="D32" s="156" t="s">
        <v>16</v>
      </c>
      <c r="E32" s="157" t="s">
        <v>20</v>
      </c>
      <c r="F32" s="170" t="s">
        <v>2762</v>
      </c>
      <c r="G32" s="171">
        <v>150</v>
      </c>
      <c r="J32">
        <v>110230</v>
      </c>
      <c r="K32" t="s">
        <v>33</v>
      </c>
      <c r="L32" t="s">
        <v>3823</v>
      </c>
    </row>
    <row r="33" spans="1:12">
      <c r="A33" s="159" t="s">
        <v>2747</v>
      </c>
      <c r="B33" s="114" t="s">
        <v>2764</v>
      </c>
      <c r="C33" s="169">
        <v>110153</v>
      </c>
      <c r="D33" s="156" t="s">
        <v>16</v>
      </c>
      <c r="E33" s="157" t="s">
        <v>20</v>
      </c>
      <c r="F33" s="170" t="s">
        <v>2762</v>
      </c>
      <c r="G33" s="171">
        <v>30</v>
      </c>
      <c r="J33" s="263">
        <v>110236</v>
      </c>
      <c r="K33" t="s">
        <v>79</v>
      </c>
      <c r="L33" t="s">
        <v>20</v>
      </c>
    </row>
    <row r="34" spans="1:12">
      <c r="A34" s="159" t="s">
        <v>2750</v>
      </c>
      <c r="B34" s="114" t="s">
        <v>2774</v>
      </c>
      <c r="C34" s="169">
        <v>110153</v>
      </c>
      <c r="D34" s="156" t="s">
        <v>16</v>
      </c>
      <c r="E34" s="157" t="s">
        <v>20</v>
      </c>
      <c r="F34" s="170" t="s">
        <v>2762</v>
      </c>
      <c r="G34" s="171">
        <v>5</v>
      </c>
      <c r="J34" s="263">
        <v>110237</v>
      </c>
      <c r="K34" t="s">
        <v>79</v>
      </c>
      <c r="L34" t="s">
        <v>20</v>
      </c>
    </row>
    <row r="35" spans="1:12" ht="22.5">
      <c r="A35" s="159" t="s">
        <v>2744</v>
      </c>
      <c r="B35" s="114" t="s">
        <v>2763</v>
      </c>
      <c r="C35" s="169">
        <v>110172</v>
      </c>
      <c r="D35" s="156" t="s">
        <v>38</v>
      </c>
      <c r="E35" s="157" t="s">
        <v>3829</v>
      </c>
      <c r="F35" s="170" t="s">
        <v>2762</v>
      </c>
      <c r="G35" s="171">
        <v>220</v>
      </c>
      <c r="J35" s="263">
        <v>110238</v>
      </c>
      <c r="K35" t="s">
        <v>16</v>
      </c>
      <c r="L35" t="s">
        <v>20</v>
      </c>
    </row>
    <row r="36" spans="1:12" ht="22.5">
      <c r="A36" s="159" t="s">
        <v>2744</v>
      </c>
      <c r="B36" s="114" t="s">
        <v>2763</v>
      </c>
      <c r="C36" s="169">
        <v>110173</v>
      </c>
      <c r="D36" s="156" t="s">
        <v>38</v>
      </c>
      <c r="E36" s="157" t="s">
        <v>3830</v>
      </c>
      <c r="F36" s="170" t="s">
        <v>2762</v>
      </c>
      <c r="G36" s="171">
        <v>220</v>
      </c>
      <c r="J36" s="263">
        <v>110244</v>
      </c>
      <c r="K36" t="s">
        <v>16</v>
      </c>
      <c r="L36" t="s">
        <v>20</v>
      </c>
    </row>
    <row r="37" spans="1:12" ht="22.5">
      <c r="A37" s="159" t="s">
        <v>2744</v>
      </c>
      <c r="B37" s="114" t="s">
        <v>2763</v>
      </c>
      <c r="C37" s="169">
        <v>110174</v>
      </c>
      <c r="D37" s="156" t="s">
        <v>38</v>
      </c>
      <c r="E37" s="157" t="s">
        <v>3831</v>
      </c>
      <c r="F37" s="170" t="s">
        <v>2980</v>
      </c>
      <c r="G37" s="171">
        <v>220</v>
      </c>
      <c r="J37" s="263">
        <v>110245</v>
      </c>
      <c r="K37" t="s">
        <v>16</v>
      </c>
      <c r="L37" t="s">
        <v>20</v>
      </c>
    </row>
    <row r="38" spans="1:12" ht="22.5">
      <c r="A38" s="159" t="s">
        <v>2747</v>
      </c>
      <c r="B38" s="114" t="s">
        <v>2764</v>
      </c>
      <c r="C38" s="169">
        <v>110174</v>
      </c>
      <c r="D38" s="156" t="s">
        <v>38</v>
      </c>
      <c r="E38" s="157" t="s">
        <v>3831</v>
      </c>
      <c r="F38" s="170" t="s">
        <v>2980</v>
      </c>
      <c r="G38" s="171">
        <v>40</v>
      </c>
      <c r="J38" s="263">
        <v>110246</v>
      </c>
      <c r="K38" t="s">
        <v>16</v>
      </c>
      <c r="L38" t="s">
        <v>20</v>
      </c>
    </row>
    <row r="39" spans="1:12" ht="22.5">
      <c r="A39" s="159" t="s">
        <v>2744</v>
      </c>
      <c r="B39" s="114" t="s">
        <v>2763</v>
      </c>
      <c r="C39" s="169">
        <v>110175</v>
      </c>
      <c r="D39" s="156" t="s">
        <v>38</v>
      </c>
      <c r="E39" s="157" t="s">
        <v>3832</v>
      </c>
      <c r="F39" s="170" t="s">
        <v>2762</v>
      </c>
      <c r="G39" s="171">
        <v>220</v>
      </c>
      <c r="J39">
        <v>110247</v>
      </c>
      <c r="K39" t="s">
        <v>16</v>
      </c>
      <c r="L39" t="s">
        <v>20</v>
      </c>
    </row>
    <row r="40" spans="1:12" ht="22.5">
      <c r="A40" s="159" t="s">
        <v>2747</v>
      </c>
      <c r="B40" s="114" t="s">
        <v>2764</v>
      </c>
      <c r="C40" s="169">
        <v>110175</v>
      </c>
      <c r="D40" s="156" t="s">
        <v>38</v>
      </c>
      <c r="E40" s="157" t="s">
        <v>3832</v>
      </c>
      <c r="F40" s="170" t="s">
        <v>2762</v>
      </c>
      <c r="G40" s="171">
        <v>40</v>
      </c>
      <c r="J40">
        <v>110248</v>
      </c>
      <c r="K40" t="s">
        <v>16</v>
      </c>
      <c r="L40" t="s">
        <v>20</v>
      </c>
    </row>
    <row r="41" spans="1:12" ht="22.5">
      <c r="A41" s="159" t="s">
        <v>2744</v>
      </c>
      <c r="B41" s="114" t="s">
        <v>2763</v>
      </c>
      <c r="C41" s="169">
        <v>110176</v>
      </c>
      <c r="D41" s="156" t="s">
        <v>38</v>
      </c>
      <c r="E41" s="157" t="s">
        <v>3833</v>
      </c>
      <c r="F41" s="170" t="s">
        <v>2762</v>
      </c>
      <c r="G41" s="171">
        <v>220</v>
      </c>
      <c r="J41">
        <v>110249</v>
      </c>
      <c r="K41" t="s">
        <v>16</v>
      </c>
      <c r="L41" t="s">
        <v>20</v>
      </c>
    </row>
    <row r="42" spans="1:12" ht="22.5">
      <c r="A42" s="159" t="s">
        <v>2747</v>
      </c>
      <c r="B42" s="114" t="s">
        <v>2764</v>
      </c>
      <c r="C42" s="169">
        <v>110176</v>
      </c>
      <c r="D42" s="156" t="s">
        <v>38</v>
      </c>
      <c r="E42" s="157" t="s">
        <v>3833</v>
      </c>
      <c r="F42" s="170" t="s">
        <v>2762</v>
      </c>
      <c r="G42" s="171">
        <v>40</v>
      </c>
      <c r="J42">
        <v>110250</v>
      </c>
      <c r="K42" t="s">
        <v>16</v>
      </c>
      <c r="L42" t="s">
        <v>20</v>
      </c>
    </row>
    <row r="43" spans="1:12" ht="22.5">
      <c r="A43" s="181" t="s">
        <v>2755</v>
      </c>
      <c r="B43" s="114" t="s">
        <v>2770</v>
      </c>
      <c r="C43" s="169">
        <v>110210</v>
      </c>
      <c r="D43" s="156" t="s">
        <v>47</v>
      </c>
      <c r="E43" s="157" t="s">
        <v>3834</v>
      </c>
      <c r="F43" s="170" t="s">
        <v>2762</v>
      </c>
      <c r="G43" s="171">
        <v>320</v>
      </c>
      <c r="J43">
        <v>110251</v>
      </c>
      <c r="K43" t="s">
        <v>16</v>
      </c>
      <c r="L43" t="s">
        <v>20</v>
      </c>
    </row>
    <row r="44" spans="1:12" ht="22.5">
      <c r="A44" s="181" t="s">
        <v>2756</v>
      </c>
      <c r="B44" s="114" t="s">
        <v>2771</v>
      </c>
      <c r="C44" s="169">
        <v>110210</v>
      </c>
      <c r="D44" s="156" t="s">
        <v>47</v>
      </c>
      <c r="E44" s="157" t="s">
        <v>3834</v>
      </c>
      <c r="F44" s="170" t="s">
        <v>2762</v>
      </c>
      <c r="G44" s="171">
        <v>120</v>
      </c>
      <c r="J44">
        <v>110271</v>
      </c>
      <c r="K44" t="s">
        <v>138</v>
      </c>
      <c r="L44" t="s">
        <v>20</v>
      </c>
    </row>
    <row r="45" spans="1:12" ht="22.5">
      <c r="A45" s="181" t="s">
        <v>2757</v>
      </c>
      <c r="B45" s="114" t="s">
        <v>3835</v>
      </c>
      <c r="C45" s="169">
        <v>110210</v>
      </c>
      <c r="D45" s="156" t="s">
        <v>47</v>
      </c>
      <c r="E45" s="157" t="s">
        <v>3834</v>
      </c>
      <c r="F45" s="170" t="s">
        <v>2762</v>
      </c>
      <c r="G45" s="171">
        <v>50</v>
      </c>
      <c r="J45">
        <v>110272</v>
      </c>
      <c r="K45" t="s">
        <v>138</v>
      </c>
      <c r="L45" t="s">
        <v>20</v>
      </c>
    </row>
    <row r="46" spans="1:12" ht="22.5">
      <c r="A46" s="181" t="s">
        <v>2758</v>
      </c>
      <c r="B46" s="114" t="s">
        <v>3836</v>
      </c>
      <c r="C46" s="169">
        <v>110210</v>
      </c>
      <c r="D46" s="156" t="s">
        <v>47</v>
      </c>
      <c r="E46" s="157" t="s">
        <v>3834</v>
      </c>
      <c r="F46" s="170" t="s">
        <v>2762</v>
      </c>
      <c r="G46" s="171">
        <v>10</v>
      </c>
      <c r="J46">
        <v>110274</v>
      </c>
      <c r="K46" t="s">
        <v>151</v>
      </c>
      <c r="L46" t="s">
        <v>20</v>
      </c>
    </row>
    <row r="47" spans="1:12" ht="22.5">
      <c r="A47" s="181" t="s">
        <v>2759</v>
      </c>
      <c r="B47" s="114" t="s">
        <v>3837</v>
      </c>
      <c r="C47" s="169">
        <v>110210</v>
      </c>
      <c r="D47" s="156" t="s">
        <v>47</v>
      </c>
      <c r="E47" s="157" t="s">
        <v>3834</v>
      </c>
      <c r="F47" s="170" t="s">
        <v>2762</v>
      </c>
      <c r="G47" s="171">
        <v>10</v>
      </c>
      <c r="J47" t="s">
        <v>151</v>
      </c>
      <c r="K47" t="s">
        <v>20</v>
      </c>
      <c r="L47" t="s">
        <v>2762</v>
      </c>
    </row>
    <row r="48" spans="1:12">
      <c r="A48" s="159" t="s">
        <v>2744</v>
      </c>
      <c r="B48" s="114" t="s">
        <v>2763</v>
      </c>
      <c r="C48" s="169">
        <v>110211</v>
      </c>
      <c r="D48" s="156" t="s">
        <v>16</v>
      </c>
      <c r="E48" s="157" t="s">
        <v>20</v>
      </c>
      <c r="F48" s="170" t="s">
        <v>2762</v>
      </c>
      <c r="G48" s="171">
        <v>300</v>
      </c>
      <c r="J48" t="s">
        <v>214</v>
      </c>
    </row>
    <row r="49" spans="1:7">
      <c r="A49" s="159" t="s">
        <v>2747</v>
      </c>
      <c r="B49" s="114" t="s">
        <v>2764</v>
      </c>
      <c r="C49" s="169">
        <v>110211</v>
      </c>
      <c r="D49" s="156" t="s">
        <v>16</v>
      </c>
      <c r="E49" s="157" t="s">
        <v>20</v>
      </c>
      <c r="F49" s="170" t="s">
        <v>2762</v>
      </c>
      <c r="G49" s="171">
        <v>60</v>
      </c>
    </row>
    <row r="50" spans="1:7">
      <c r="A50" s="159" t="s">
        <v>2748</v>
      </c>
      <c r="B50" s="114" t="s">
        <v>2765</v>
      </c>
      <c r="C50" s="169">
        <v>110211</v>
      </c>
      <c r="D50" s="156" t="s">
        <v>16</v>
      </c>
      <c r="E50" s="157" t="s">
        <v>20</v>
      </c>
      <c r="F50" s="170" t="s">
        <v>2762</v>
      </c>
      <c r="G50" s="171">
        <v>10</v>
      </c>
    </row>
    <row r="51" spans="1:7">
      <c r="A51" s="159" t="s">
        <v>2749</v>
      </c>
      <c r="B51" s="114" t="s">
        <v>2769</v>
      </c>
      <c r="C51" s="169">
        <v>110211</v>
      </c>
      <c r="D51" s="156" t="s">
        <v>16</v>
      </c>
      <c r="E51" s="157" t="s">
        <v>20</v>
      </c>
      <c r="F51" s="170" t="s">
        <v>2762</v>
      </c>
      <c r="G51" s="171">
        <v>2</v>
      </c>
    </row>
    <row r="52" spans="1:7">
      <c r="A52" s="159" t="s">
        <v>2750</v>
      </c>
      <c r="B52" s="114" t="s">
        <v>2774</v>
      </c>
      <c r="C52" s="169">
        <v>110211</v>
      </c>
      <c r="D52" s="156" t="s">
        <v>16</v>
      </c>
      <c r="E52" s="157" t="s">
        <v>20</v>
      </c>
      <c r="F52" s="170" t="s">
        <v>2762</v>
      </c>
      <c r="G52" s="171">
        <v>1</v>
      </c>
    </row>
    <row r="53" spans="1:7">
      <c r="A53" s="159" t="s">
        <v>2751</v>
      </c>
      <c r="B53" s="114" t="s">
        <v>2775</v>
      </c>
      <c r="C53" s="169">
        <v>110211</v>
      </c>
      <c r="D53" s="156" t="s">
        <v>16</v>
      </c>
      <c r="E53" s="157" t="s">
        <v>20</v>
      </c>
      <c r="F53" s="170" t="s">
        <v>2762</v>
      </c>
      <c r="G53" s="171">
        <v>7</v>
      </c>
    </row>
    <row r="54" spans="1:7">
      <c r="A54" s="159" t="s">
        <v>2744</v>
      </c>
      <c r="B54" s="114" t="s">
        <v>2763</v>
      </c>
      <c r="C54" s="169">
        <v>110212</v>
      </c>
      <c r="D54" s="156" t="s">
        <v>16</v>
      </c>
      <c r="E54" s="157" t="s">
        <v>20</v>
      </c>
      <c r="F54" s="170" t="s">
        <v>2762</v>
      </c>
      <c r="G54" s="171">
        <v>350</v>
      </c>
    </row>
    <row r="55" spans="1:7">
      <c r="A55" s="159" t="s">
        <v>2747</v>
      </c>
      <c r="B55" s="114" t="s">
        <v>2764</v>
      </c>
      <c r="C55" s="169">
        <v>110212</v>
      </c>
      <c r="D55" s="156" t="s">
        <v>16</v>
      </c>
      <c r="E55" s="157" t="s">
        <v>20</v>
      </c>
      <c r="F55" s="170" t="s">
        <v>2762</v>
      </c>
      <c r="G55" s="171">
        <v>80</v>
      </c>
    </row>
    <row r="56" spans="1:7">
      <c r="A56" s="159" t="s">
        <v>2744</v>
      </c>
      <c r="B56" s="114" t="s">
        <v>2763</v>
      </c>
      <c r="C56" s="169">
        <v>110227</v>
      </c>
      <c r="D56" s="156" t="s">
        <v>115</v>
      </c>
      <c r="E56" s="157" t="s">
        <v>20</v>
      </c>
      <c r="F56" s="170" t="s">
        <v>2762</v>
      </c>
      <c r="G56" s="171">
        <v>200</v>
      </c>
    </row>
    <row r="57" spans="1:7">
      <c r="A57" s="159" t="s">
        <v>2747</v>
      </c>
      <c r="B57" s="114" t="s">
        <v>2764</v>
      </c>
      <c r="C57" s="169">
        <v>110227</v>
      </c>
      <c r="D57" s="156" t="s">
        <v>115</v>
      </c>
      <c r="E57" s="157" t="s">
        <v>20</v>
      </c>
      <c r="F57" s="170" t="s">
        <v>2762</v>
      </c>
      <c r="G57" s="171">
        <v>50</v>
      </c>
    </row>
    <row r="58" spans="1:7">
      <c r="A58" s="181" t="s">
        <v>2748</v>
      </c>
      <c r="B58" s="114" t="s">
        <v>2765</v>
      </c>
      <c r="C58" s="169">
        <v>110227</v>
      </c>
      <c r="D58" s="156" t="s">
        <v>115</v>
      </c>
      <c r="E58" s="157" t="s">
        <v>20</v>
      </c>
      <c r="F58" s="170" t="s">
        <v>2762</v>
      </c>
      <c r="G58" s="171">
        <v>10</v>
      </c>
    </row>
    <row r="59" spans="1:7">
      <c r="A59" s="159" t="s">
        <v>2749</v>
      </c>
      <c r="B59" s="114" t="s">
        <v>2769</v>
      </c>
      <c r="C59" s="169">
        <v>110227</v>
      </c>
      <c r="D59" s="156" t="s">
        <v>115</v>
      </c>
      <c r="E59" s="157" t="s">
        <v>20</v>
      </c>
      <c r="F59" s="170" t="s">
        <v>2762</v>
      </c>
      <c r="G59" s="171">
        <v>5</v>
      </c>
    </row>
    <row r="60" spans="1:7">
      <c r="A60" s="159" t="s">
        <v>2750</v>
      </c>
      <c r="B60" s="114" t="s">
        <v>2774</v>
      </c>
      <c r="C60" s="169">
        <v>110227</v>
      </c>
      <c r="D60" s="156" t="s">
        <v>115</v>
      </c>
      <c r="E60" s="157" t="s">
        <v>20</v>
      </c>
      <c r="F60" s="170" t="s">
        <v>2762</v>
      </c>
      <c r="G60" s="171">
        <v>5</v>
      </c>
    </row>
    <row r="61" spans="1:7">
      <c r="A61" s="159" t="s">
        <v>2751</v>
      </c>
      <c r="B61" s="114" t="s">
        <v>2775</v>
      </c>
      <c r="C61" s="169">
        <v>110227</v>
      </c>
      <c r="D61" s="156" t="s">
        <v>115</v>
      </c>
      <c r="E61" s="157" t="s">
        <v>20</v>
      </c>
      <c r="F61" s="170" t="s">
        <v>2762</v>
      </c>
      <c r="G61" s="171">
        <v>2</v>
      </c>
    </row>
    <row r="62" spans="1:7">
      <c r="A62" s="159" t="s">
        <v>2744</v>
      </c>
      <c r="B62" s="114" t="s">
        <v>2763</v>
      </c>
      <c r="C62" s="169">
        <v>110228</v>
      </c>
      <c r="D62" s="156" t="s">
        <v>115</v>
      </c>
      <c r="E62" s="157" t="s">
        <v>20</v>
      </c>
      <c r="F62" s="170" t="s">
        <v>2762</v>
      </c>
      <c r="G62" s="171">
        <v>50</v>
      </c>
    </row>
    <row r="63" spans="1:7">
      <c r="A63" s="159" t="s">
        <v>2747</v>
      </c>
      <c r="B63" s="114" t="s">
        <v>2764</v>
      </c>
      <c r="C63" s="169">
        <v>110228</v>
      </c>
      <c r="D63" s="156" t="s">
        <v>115</v>
      </c>
      <c r="E63" s="157" t="s">
        <v>20</v>
      </c>
      <c r="F63" s="170" t="s">
        <v>2762</v>
      </c>
      <c r="G63" s="171">
        <v>20</v>
      </c>
    </row>
    <row r="64" spans="1:7">
      <c r="A64" s="159" t="s">
        <v>2744</v>
      </c>
      <c r="B64" s="114" t="s">
        <v>2763</v>
      </c>
      <c r="C64" s="169">
        <v>110238</v>
      </c>
      <c r="D64" s="156" t="s">
        <v>16</v>
      </c>
      <c r="E64" s="157" t="s">
        <v>20</v>
      </c>
      <c r="F64" s="170" t="s">
        <v>2762</v>
      </c>
      <c r="G64" s="171">
        <v>150</v>
      </c>
    </row>
    <row r="65" spans="1:7">
      <c r="A65" s="159" t="s">
        <v>2747</v>
      </c>
      <c r="B65" s="114" t="s">
        <v>2764</v>
      </c>
      <c r="C65" s="169">
        <v>110238</v>
      </c>
      <c r="D65" s="156" t="s">
        <v>16</v>
      </c>
      <c r="E65" s="157" t="s">
        <v>20</v>
      </c>
      <c r="F65" s="170" t="s">
        <v>2762</v>
      </c>
      <c r="G65" s="171">
        <v>150</v>
      </c>
    </row>
    <row r="66" spans="1:7">
      <c r="A66" s="181" t="s">
        <v>2748</v>
      </c>
      <c r="B66" s="114" t="s">
        <v>2765</v>
      </c>
      <c r="C66" s="169">
        <v>110238</v>
      </c>
      <c r="D66" s="156" t="s">
        <v>16</v>
      </c>
      <c r="E66" s="157" t="s">
        <v>20</v>
      </c>
      <c r="F66" s="170" t="s">
        <v>2762</v>
      </c>
      <c r="G66" s="171">
        <v>30</v>
      </c>
    </row>
    <row r="67" spans="1:7">
      <c r="A67" s="159" t="s">
        <v>2744</v>
      </c>
      <c r="B67" s="114" t="s">
        <v>2763</v>
      </c>
      <c r="C67" s="169">
        <v>110236</v>
      </c>
      <c r="D67" s="156" t="s">
        <v>79</v>
      </c>
      <c r="E67" s="157" t="s">
        <v>20</v>
      </c>
      <c r="F67" s="170" t="s">
        <v>2762</v>
      </c>
      <c r="G67" s="171">
        <v>400</v>
      </c>
    </row>
    <row r="68" spans="1:7">
      <c r="A68" s="159" t="s">
        <v>2747</v>
      </c>
      <c r="B68" s="114" t="s">
        <v>2764</v>
      </c>
      <c r="C68" s="169">
        <v>110236</v>
      </c>
      <c r="D68" s="156" t="s">
        <v>79</v>
      </c>
      <c r="E68" s="157" t="s">
        <v>20</v>
      </c>
      <c r="F68" s="170" t="s">
        <v>2762</v>
      </c>
      <c r="G68" s="171">
        <v>50</v>
      </c>
    </row>
    <row r="69" spans="1:7">
      <c r="A69" s="181" t="s">
        <v>2748</v>
      </c>
      <c r="B69" s="114" t="s">
        <v>2765</v>
      </c>
      <c r="C69" s="169">
        <v>110236</v>
      </c>
      <c r="D69" s="156" t="s">
        <v>79</v>
      </c>
      <c r="E69" s="157" t="s">
        <v>20</v>
      </c>
      <c r="F69" s="170" t="s">
        <v>2762</v>
      </c>
      <c r="G69" s="171">
        <v>40</v>
      </c>
    </row>
    <row r="70" spans="1:7">
      <c r="A70" s="159" t="s">
        <v>2744</v>
      </c>
      <c r="B70" s="114" t="s">
        <v>2763</v>
      </c>
      <c r="C70" s="169">
        <v>110237</v>
      </c>
      <c r="D70" s="156" t="s">
        <v>79</v>
      </c>
      <c r="E70" s="157" t="s">
        <v>20</v>
      </c>
      <c r="F70" s="170" t="s">
        <v>2762</v>
      </c>
      <c r="G70" s="171">
        <v>50</v>
      </c>
    </row>
    <row r="71" spans="1:7">
      <c r="A71" s="159" t="s">
        <v>2747</v>
      </c>
      <c r="B71" s="114" t="s">
        <v>2764</v>
      </c>
      <c r="C71" s="169">
        <v>110237</v>
      </c>
      <c r="D71" s="156" t="s">
        <v>79</v>
      </c>
      <c r="E71" s="157" t="s">
        <v>20</v>
      </c>
      <c r="F71" s="170" t="s">
        <v>2762</v>
      </c>
      <c r="G71" s="171">
        <v>50</v>
      </c>
    </row>
    <row r="72" spans="1:7">
      <c r="A72" s="181" t="s">
        <v>2748</v>
      </c>
      <c r="B72" s="114" t="s">
        <v>2765</v>
      </c>
      <c r="C72" s="169">
        <v>110237</v>
      </c>
      <c r="D72" s="156" t="s">
        <v>79</v>
      </c>
      <c r="E72" s="157" t="s">
        <v>20</v>
      </c>
      <c r="F72" s="170" t="s">
        <v>2762</v>
      </c>
      <c r="G72" s="171">
        <v>10</v>
      </c>
    </row>
    <row r="73" spans="1:7">
      <c r="A73" s="159" t="s">
        <v>2744</v>
      </c>
      <c r="B73" s="114" t="s">
        <v>2763</v>
      </c>
      <c r="C73" s="169">
        <v>110244</v>
      </c>
      <c r="D73" s="156" t="s">
        <v>16</v>
      </c>
      <c r="E73" s="157" t="s">
        <v>20</v>
      </c>
      <c r="F73" s="170" t="s">
        <v>2762</v>
      </c>
      <c r="G73" s="171">
        <v>200</v>
      </c>
    </row>
    <row r="74" spans="1:7">
      <c r="A74" s="159" t="s">
        <v>2747</v>
      </c>
      <c r="B74" s="114" t="s">
        <v>2764</v>
      </c>
      <c r="C74" s="169">
        <v>110244</v>
      </c>
      <c r="D74" s="156" t="s">
        <v>16</v>
      </c>
      <c r="E74" s="157" t="s">
        <v>20</v>
      </c>
      <c r="F74" s="170" t="s">
        <v>2762</v>
      </c>
      <c r="G74" s="171">
        <v>100</v>
      </c>
    </row>
    <row r="75" spans="1:7">
      <c r="A75" s="181" t="s">
        <v>2748</v>
      </c>
      <c r="B75" s="114" t="s">
        <v>2765</v>
      </c>
      <c r="C75" s="169">
        <v>110244</v>
      </c>
      <c r="D75" s="156" t="s">
        <v>16</v>
      </c>
      <c r="E75" s="157" t="s">
        <v>20</v>
      </c>
      <c r="F75" s="170" t="s">
        <v>2762</v>
      </c>
      <c r="G75" s="171">
        <v>20</v>
      </c>
    </row>
    <row r="76" spans="1:7">
      <c r="A76" s="181" t="s">
        <v>2749</v>
      </c>
      <c r="B76" s="114" t="s">
        <v>2769</v>
      </c>
      <c r="C76" s="169">
        <v>110244</v>
      </c>
      <c r="D76" s="156" t="s">
        <v>16</v>
      </c>
      <c r="E76" s="157" t="s">
        <v>20</v>
      </c>
      <c r="F76" s="170" t="s">
        <v>2762</v>
      </c>
      <c r="G76" s="171">
        <v>10</v>
      </c>
    </row>
    <row r="77" spans="1:7">
      <c r="A77" s="181" t="s">
        <v>2750</v>
      </c>
      <c r="B77" s="114" t="s">
        <v>2774</v>
      </c>
      <c r="C77" s="169">
        <v>110244</v>
      </c>
      <c r="D77" s="156" t="s">
        <v>16</v>
      </c>
      <c r="E77" s="157" t="s">
        <v>20</v>
      </c>
      <c r="F77" s="170" t="s">
        <v>2762</v>
      </c>
      <c r="G77" s="171">
        <v>5</v>
      </c>
    </row>
    <row r="78" spans="1:7">
      <c r="A78" s="159" t="s">
        <v>2744</v>
      </c>
      <c r="B78" s="114" t="s">
        <v>2763</v>
      </c>
      <c r="C78" s="169">
        <v>110245</v>
      </c>
      <c r="D78" s="156" t="s">
        <v>16</v>
      </c>
      <c r="E78" s="157" t="s">
        <v>20</v>
      </c>
      <c r="F78" s="170" t="s">
        <v>2762</v>
      </c>
      <c r="G78" s="171">
        <v>300</v>
      </c>
    </row>
    <row r="79" spans="1:7">
      <c r="A79" s="159" t="s">
        <v>2747</v>
      </c>
      <c r="B79" s="114" t="s">
        <v>2764</v>
      </c>
      <c r="C79" s="169">
        <v>110245</v>
      </c>
      <c r="D79" s="156" t="s">
        <v>16</v>
      </c>
      <c r="E79" s="157" t="s">
        <v>20</v>
      </c>
      <c r="F79" s="170" t="s">
        <v>2762</v>
      </c>
      <c r="G79" s="171">
        <v>20</v>
      </c>
    </row>
    <row r="80" spans="1:7">
      <c r="A80" s="159" t="s">
        <v>2744</v>
      </c>
      <c r="B80" s="114" t="s">
        <v>2763</v>
      </c>
      <c r="C80" s="169">
        <v>110246</v>
      </c>
      <c r="D80" s="156" t="s">
        <v>16</v>
      </c>
      <c r="E80" s="157" t="s">
        <v>20</v>
      </c>
      <c r="F80" s="170" t="s">
        <v>2762</v>
      </c>
      <c r="G80" s="171">
        <v>1100</v>
      </c>
    </row>
    <row r="81" spans="1:7">
      <c r="A81" s="159" t="s">
        <v>2747</v>
      </c>
      <c r="B81" s="114" t="s">
        <v>2764</v>
      </c>
      <c r="C81" s="169">
        <v>110246</v>
      </c>
      <c r="D81" s="156" t="s">
        <v>16</v>
      </c>
      <c r="E81" s="157" t="s">
        <v>20</v>
      </c>
      <c r="F81" s="170" t="s">
        <v>2762</v>
      </c>
      <c r="G81" s="171">
        <v>380</v>
      </c>
    </row>
    <row r="82" spans="1:7">
      <c r="A82" s="181" t="s">
        <v>2748</v>
      </c>
      <c r="B82" s="114" t="s">
        <v>2765</v>
      </c>
      <c r="C82" s="169">
        <v>110246</v>
      </c>
      <c r="D82" s="156" t="s">
        <v>16</v>
      </c>
      <c r="E82" s="157" t="s">
        <v>20</v>
      </c>
      <c r="F82" s="170" t="s">
        <v>2762</v>
      </c>
      <c r="G82" s="171">
        <v>50</v>
      </c>
    </row>
    <row r="83" spans="1:7">
      <c r="A83" s="181" t="s">
        <v>2749</v>
      </c>
      <c r="B83" s="114" t="s">
        <v>2769</v>
      </c>
      <c r="C83" s="169">
        <v>110246</v>
      </c>
      <c r="D83" s="156" t="s">
        <v>16</v>
      </c>
      <c r="E83" s="157" t="s">
        <v>20</v>
      </c>
      <c r="F83" s="170" t="s">
        <v>2762</v>
      </c>
      <c r="G83" s="171">
        <v>20</v>
      </c>
    </row>
    <row r="84" spans="1:7">
      <c r="A84" s="181" t="s">
        <v>2750</v>
      </c>
      <c r="B84" s="114" t="s">
        <v>2774</v>
      </c>
      <c r="C84" s="169">
        <v>110246</v>
      </c>
      <c r="D84" s="156" t="s">
        <v>16</v>
      </c>
      <c r="E84" s="157" t="s">
        <v>20</v>
      </c>
      <c r="F84" s="170" t="s">
        <v>2762</v>
      </c>
      <c r="G84" s="171">
        <v>10</v>
      </c>
    </row>
    <row r="85" spans="1:7">
      <c r="A85" s="181" t="s">
        <v>2751</v>
      </c>
      <c r="B85" s="114" t="s">
        <v>2775</v>
      </c>
      <c r="C85" s="169">
        <v>110246</v>
      </c>
      <c r="D85" s="156" t="s">
        <v>16</v>
      </c>
      <c r="E85" s="157" t="s">
        <v>20</v>
      </c>
      <c r="F85" s="170" t="s">
        <v>2762</v>
      </c>
      <c r="G85" s="171">
        <v>3</v>
      </c>
    </row>
    <row r="86" spans="1:7">
      <c r="A86" s="159" t="s">
        <v>2744</v>
      </c>
      <c r="B86" s="114" t="s">
        <v>2763</v>
      </c>
      <c r="C86" s="169">
        <v>110247</v>
      </c>
      <c r="D86" s="156" t="s">
        <v>16</v>
      </c>
      <c r="E86" s="157" t="s">
        <v>20</v>
      </c>
      <c r="F86" s="170" t="s">
        <v>2762</v>
      </c>
      <c r="G86" s="171">
        <v>1100</v>
      </c>
    </row>
    <row r="87" spans="1:7">
      <c r="A87" s="159" t="s">
        <v>2747</v>
      </c>
      <c r="B87" s="114" t="s">
        <v>2764</v>
      </c>
      <c r="C87" s="169">
        <v>110247</v>
      </c>
      <c r="D87" s="156" t="s">
        <v>16</v>
      </c>
      <c r="E87" s="157" t="s">
        <v>20</v>
      </c>
      <c r="F87" s="170" t="s">
        <v>2762</v>
      </c>
      <c r="G87" s="171">
        <v>120</v>
      </c>
    </row>
    <row r="88" spans="1:7">
      <c r="A88" s="181" t="s">
        <v>2748</v>
      </c>
      <c r="B88" s="114" t="s">
        <v>2765</v>
      </c>
      <c r="C88" s="169">
        <v>110247</v>
      </c>
      <c r="D88" s="156" t="s">
        <v>16</v>
      </c>
      <c r="E88" s="157" t="s">
        <v>20</v>
      </c>
      <c r="F88" s="170" t="s">
        <v>2762</v>
      </c>
      <c r="G88" s="171">
        <v>50</v>
      </c>
    </row>
    <row r="89" spans="1:7">
      <c r="A89" s="159" t="s">
        <v>2744</v>
      </c>
      <c r="B89" s="114" t="s">
        <v>2763</v>
      </c>
      <c r="C89" s="169">
        <v>110248</v>
      </c>
      <c r="D89" s="156" t="s">
        <v>16</v>
      </c>
      <c r="E89" s="157" t="s">
        <v>20</v>
      </c>
      <c r="F89" s="170" t="s">
        <v>2762</v>
      </c>
      <c r="G89" s="171">
        <v>600</v>
      </c>
    </row>
    <row r="90" spans="1:7">
      <c r="A90" s="159" t="s">
        <v>2747</v>
      </c>
      <c r="B90" s="114" t="s">
        <v>2764</v>
      </c>
      <c r="C90" s="169">
        <v>110248</v>
      </c>
      <c r="D90" s="156" t="s">
        <v>16</v>
      </c>
      <c r="E90" s="157" t="s">
        <v>20</v>
      </c>
      <c r="F90" s="170" t="s">
        <v>2762</v>
      </c>
      <c r="G90" s="171">
        <v>250</v>
      </c>
    </row>
    <row r="91" spans="1:7">
      <c r="A91" s="181" t="s">
        <v>2748</v>
      </c>
      <c r="B91" s="114" t="s">
        <v>2765</v>
      </c>
      <c r="C91" s="169">
        <v>110248</v>
      </c>
      <c r="D91" s="156" t="s">
        <v>16</v>
      </c>
      <c r="E91" s="157" t="s">
        <v>20</v>
      </c>
      <c r="F91" s="170" t="s">
        <v>2762</v>
      </c>
      <c r="G91" s="171">
        <v>50</v>
      </c>
    </row>
    <row r="92" spans="1:7">
      <c r="A92" s="181" t="s">
        <v>2749</v>
      </c>
      <c r="B92" s="114" t="s">
        <v>2769</v>
      </c>
      <c r="C92" s="169">
        <v>110248</v>
      </c>
      <c r="D92" s="156" t="s">
        <v>16</v>
      </c>
      <c r="E92" s="157" t="s">
        <v>20</v>
      </c>
      <c r="F92" s="170" t="s">
        <v>2762</v>
      </c>
      <c r="G92" s="171">
        <v>30</v>
      </c>
    </row>
    <row r="93" spans="1:7">
      <c r="A93" s="181" t="s">
        <v>2750</v>
      </c>
      <c r="B93" s="114" t="s">
        <v>2774</v>
      </c>
      <c r="C93" s="169">
        <v>110248</v>
      </c>
      <c r="D93" s="156" t="s">
        <v>16</v>
      </c>
      <c r="E93" s="157" t="s">
        <v>20</v>
      </c>
      <c r="F93" s="170" t="s">
        <v>2762</v>
      </c>
      <c r="G93" s="171">
        <v>20</v>
      </c>
    </row>
    <row r="94" spans="1:7">
      <c r="A94" s="181" t="s">
        <v>2751</v>
      </c>
      <c r="B94" s="114" t="s">
        <v>2775</v>
      </c>
      <c r="C94" s="169">
        <v>110248</v>
      </c>
      <c r="D94" s="156" t="s">
        <v>16</v>
      </c>
      <c r="E94" s="157" t="s">
        <v>20</v>
      </c>
      <c r="F94" s="170" t="s">
        <v>2762</v>
      </c>
      <c r="G94" s="171">
        <v>3</v>
      </c>
    </row>
    <row r="95" spans="1:7">
      <c r="A95" s="159" t="s">
        <v>2744</v>
      </c>
      <c r="B95" s="114" t="s">
        <v>2763</v>
      </c>
      <c r="C95" s="169">
        <v>110249</v>
      </c>
      <c r="D95" s="156" t="s">
        <v>16</v>
      </c>
      <c r="E95" s="157" t="s">
        <v>20</v>
      </c>
      <c r="F95" s="170" t="s">
        <v>2762</v>
      </c>
      <c r="G95" s="171">
        <v>1000</v>
      </c>
    </row>
    <row r="96" spans="1:7">
      <c r="A96" s="159" t="s">
        <v>2747</v>
      </c>
      <c r="B96" s="114" t="s">
        <v>2764</v>
      </c>
      <c r="C96" s="169">
        <v>110249</v>
      </c>
      <c r="D96" s="156" t="s">
        <v>16</v>
      </c>
      <c r="E96" s="157" t="s">
        <v>20</v>
      </c>
      <c r="F96" s="170" t="s">
        <v>2762</v>
      </c>
      <c r="G96" s="171">
        <v>200</v>
      </c>
    </row>
    <row r="97" spans="1:23">
      <c r="A97" s="181" t="s">
        <v>2748</v>
      </c>
      <c r="B97" s="114" t="s">
        <v>2765</v>
      </c>
      <c r="C97" s="169">
        <v>110249</v>
      </c>
      <c r="D97" s="156" t="s">
        <v>16</v>
      </c>
      <c r="E97" s="157" t="s">
        <v>20</v>
      </c>
      <c r="F97" s="170" t="s">
        <v>2762</v>
      </c>
      <c r="G97" s="171">
        <v>50</v>
      </c>
    </row>
    <row r="98" spans="1:23">
      <c r="A98" s="159" t="s">
        <v>2744</v>
      </c>
      <c r="B98" s="114" t="s">
        <v>2763</v>
      </c>
      <c r="C98" s="169">
        <v>110250</v>
      </c>
      <c r="D98" s="156" t="s">
        <v>16</v>
      </c>
      <c r="E98" s="157" t="s">
        <v>20</v>
      </c>
      <c r="F98" s="170" t="s">
        <v>2762</v>
      </c>
      <c r="G98" s="171">
        <v>1000</v>
      </c>
    </row>
    <row r="99" spans="1:23">
      <c r="A99" s="159" t="s">
        <v>2747</v>
      </c>
      <c r="B99" s="114" t="s">
        <v>2764</v>
      </c>
      <c r="C99" s="169">
        <v>110250</v>
      </c>
      <c r="D99" s="156" t="s">
        <v>16</v>
      </c>
      <c r="E99" s="157" t="s">
        <v>20</v>
      </c>
      <c r="F99" s="170" t="s">
        <v>2762</v>
      </c>
      <c r="G99" s="171">
        <v>300</v>
      </c>
    </row>
    <row r="100" spans="1:23">
      <c r="A100" s="181" t="s">
        <v>2748</v>
      </c>
      <c r="B100" s="114" t="s">
        <v>2765</v>
      </c>
      <c r="C100" s="169">
        <v>110250</v>
      </c>
      <c r="D100" s="156" t="s">
        <v>16</v>
      </c>
      <c r="E100" s="157" t="s">
        <v>20</v>
      </c>
      <c r="F100" s="170" t="s">
        <v>2762</v>
      </c>
      <c r="G100" s="171">
        <v>50</v>
      </c>
    </row>
    <row r="101" spans="1:23">
      <c r="A101" s="181" t="s">
        <v>2749</v>
      </c>
      <c r="B101" s="114" t="s">
        <v>2769</v>
      </c>
      <c r="C101" s="169">
        <v>110250</v>
      </c>
      <c r="D101" s="156" t="s">
        <v>16</v>
      </c>
      <c r="E101" s="157" t="s">
        <v>20</v>
      </c>
      <c r="F101" s="170" t="s">
        <v>2762</v>
      </c>
      <c r="G101" s="171">
        <v>30</v>
      </c>
    </row>
    <row r="102" spans="1:23">
      <c r="A102" s="181" t="s">
        <v>2750</v>
      </c>
      <c r="B102" s="114" t="s">
        <v>2774</v>
      </c>
      <c r="C102" s="169">
        <v>110250</v>
      </c>
      <c r="D102" s="156" t="s">
        <v>16</v>
      </c>
      <c r="E102" s="157" t="s">
        <v>20</v>
      </c>
      <c r="F102" s="170" t="s">
        <v>2762</v>
      </c>
      <c r="G102" s="171">
        <v>15</v>
      </c>
    </row>
    <row r="103" spans="1:23">
      <c r="A103" s="181" t="s">
        <v>2751</v>
      </c>
      <c r="B103" s="114" t="s">
        <v>2775</v>
      </c>
      <c r="C103" s="169">
        <v>110250</v>
      </c>
      <c r="D103" s="156" t="s">
        <v>16</v>
      </c>
      <c r="E103" s="157" t="s">
        <v>20</v>
      </c>
      <c r="F103" s="170" t="s">
        <v>2762</v>
      </c>
      <c r="G103" s="171">
        <v>5</v>
      </c>
    </row>
    <row r="104" spans="1:23">
      <c r="A104" s="159" t="s">
        <v>2744</v>
      </c>
      <c r="B104" s="114" t="s">
        <v>2763</v>
      </c>
      <c r="C104" s="169">
        <v>110251</v>
      </c>
      <c r="D104" s="156" t="s">
        <v>16</v>
      </c>
      <c r="E104" s="157" t="s">
        <v>20</v>
      </c>
      <c r="F104" s="170" t="s">
        <v>2762</v>
      </c>
      <c r="G104" s="171">
        <v>1000</v>
      </c>
    </row>
    <row r="105" spans="1:23">
      <c r="A105" s="159" t="s">
        <v>2747</v>
      </c>
      <c r="B105" s="114" t="s">
        <v>2764</v>
      </c>
      <c r="C105" s="169">
        <v>110251</v>
      </c>
      <c r="D105" s="156" t="s">
        <v>16</v>
      </c>
      <c r="E105" s="157" t="s">
        <v>20</v>
      </c>
      <c r="F105" s="170" t="s">
        <v>2762</v>
      </c>
      <c r="G105" s="171">
        <v>200</v>
      </c>
    </row>
    <row r="106" spans="1:23">
      <c r="A106" s="181" t="s">
        <v>2748</v>
      </c>
      <c r="B106" s="114" t="s">
        <v>2765</v>
      </c>
      <c r="C106" s="169">
        <v>110251</v>
      </c>
      <c r="D106" s="156" t="s">
        <v>16</v>
      </c>
      <c r="E106" s="157" t="s">
        <v>20</v>
      </c>
      <c r="F106" s="170" t="s">
        <v>2762</v>
      </c>
      <c r="G106" s="171">
        <v>40</v>
      </c>
      <c r="K106" t="s">
        <v>2790</v>
      </c>
      <c r="L106" t="s">
        <v>2790</v>
      </c>
      <c r="M106" t="s">
        <v>2790</v>
      </c>
      <c r="N106" t="s">
        <v>2790</v>
      </c>
      <c r="O106" t="s">
        <v>2790</v>
      </c>
      <c r="P106" t="s">
        <v>2790</v>
      </c>
      <c r="Q106" t="s">
        <v>2790</v>
      </c>
      <c r="R106" t="s">
        <v>2790</v>
      </c>
      <c r="S106" t="s">
        <v>241</v>
      </c>
      <c r="T106" t="s">
        <v>241</v>
      </c>
      <c r="U106" t="s">
        <v>241</v>
      </c>
      <c r="V106" t="s">
        <v>241</v>
      </c>
    </row>
    <row r="107" spans="1:23">
      <c r="A107" s="159" t="s">
        <v>2744</v>
      </c>
      <c r="B107" s="114" t="s">
        <v>2763</v>
      </c>
      <c r="C107" s="169">
        <v>110271</v>
      </c>
      <c r="D107" s="156" t="s">
        <v>138</v>
      </c>
      <c r="E107" s="157" t="s">
        <v>20</v>
      </c>
      <c r="F107" s="170" t="s">
        <v>2762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2747</v>
      </c>
      <c r="B108" s="114" t="s">
        <v>2764</v>
      </c>
      <c r="C108" s="169">
        <v>110271</v>
      </c>
      <c r="D108" s="156" t="s">
        <v>138</v>
      </c>
      <c r="E108" s="157" t="s">
        <v>20</v>
      </c>
      <c r="F108" s="170" t="s">
        <v>2762</v>
      </c>
      <c r="G108" s="171">
        <v>30</v>
      </c>
      <c r="J108" s="313"/>
      <c r="K108" s="313">
        <v>110986</v>
      </c>
      <c r="L108" s="313">
        <v>110987</v>
      </c>
      <c r="M108" s="313">
        <v>110988</v>
      </c>
      <c r="N108" s="313">
        <v>110989</v>
      </c>
      <c r="O108" s="313">
        <v>110990</v>
      </c>
      <c r="P108" s="313">
        <v>110991</v>
      </c>
      <c r="Q108" s="313">
        <v>110992</v>
      </c>
      <c r="R108" s="313">
        <v>110993</v>
      </c>
      <c r="S108" s="313">
        <v>110953</v>
      </c>
      <c r="T108" s="313">
        <v>110954</v>
      </c>
      <c r="U108" s="313">
        <v>110955</v>
      </c>
      <c r="V108" s="313">
        <v>110956</v>
      </c>
      <c r="W108" s="313"/>
    </row>
    <row r="109" spans="1:23">
      <c r="A109" s="159" t="s">
        <v>2744</v>
      </c>
      <c r="B109" s="114" t="s">
        <v>2763</v>
      </c>
      <c r="C109" s="169">
        <v>110272</v>
      </c>
      <c r="D109" s="156" t="s">
        <v>138</v>
      </c>
      <c r="E109" s="157" t="s">
        <v>20</v>
      </c>
      <c r="F109" s="170" t="s">
        <v>2762</v>
      </c>
      <c r="G109" s="171">
        <v>200</v>
      </c>
      <c r="J109" s="252" t="s">
        <v>2744</v>
      </c>
      <c r="K109" s="313">
        <v>50</v>
      </c>
      <c r="L109" s="313">
        <v>50</v>
      </c>
      <c r="M109" s="313">
        <v>50</v>
      </c>
      <c r="N109" s="313">
        <v>50</v>
      </c>
      <c r="O109" s="313">
        <v>50</v>
      </c>
      <c r="P109" s="313">
        <v>50</v>
      </c>
      <c r="Q109" s="313">
        <v>50</v>
      </c>
      <c r="R109" s="313">
        <v>50</v>
      </c>
      <c r="S109" s="313">
        <v>50</v>
      </c>
      <c r="T109" s="313">
        <v>50</v>
      </c>
      <c r="U109" s="313">
        <v>50</v>
      </c>
      <c r="V109" s="313">
        <v>50</v>
      </c>
      <c r="W109" s="315">
        <f t="shared" ref="W109:W125" si="0">SUM(K109:V109)</f>
        <v>600</v>
      </c>
    </row>
    <row r="110" spans="1:23">
      <c r="A110" s="159" t="s">
        <v>2747</v>
      </c>
      <c r="B110" s="114" t="s">
        <v>2764</v>
      </c>
      <c r="C110" s="169">
        <v>110272</v>
      </c>
      <c r="D110" s="156" t="s">
        <v>138</v>
      </c>
      <c r="E110" s="157" t="s">
        <v>20</v>
      </c>
      <c r="F110" s="170" t="s">
        <v>2762</v>
      </c>
      <c r="G110" s="171">
        <v>50</v>
      </c>
      <c r="J110" s="252" t="s">
        <v>2747</v>
      </c>
      <c r="K110" s="313"/>
      <c r="L110" s="313"/>
      <c r="M110" s="313"/>
      <c r="N110" s="313"/>
      <c r="O110" s="313"/>
      <c r="P110" s="313"/>
      <c r="Q110" s="313"/>
      <c r="R110" s="313"/>
      <c r="S110" s="313"/>
      <c r="T110" s="313">
        <v>0</v>
      </c>
      <c r="U110" s="313">
        <v>0</v>
      </c>
      <c r="V110" s="313">
        <v>0</v>
      </c>
      <c r="W110" s="315">
        <f t="shared" si="0"/>
        <v>0</v>
      </c>
    </row>
    <row r="111" spans="1:23">
      <c r="A111" s="181" t="s">
        <v>2749</v>
      </c>
      <c r="B111" s="114" t="s">
        <v>2769</v>
      </c>
      <c r="C111" s="169">
        <v>110272</v>
      </c>
      <c r="D111" s="156" t="s">
        <v>138</v>
      </c>
      <c r="E111" s="157" t="s">
        <v>20</v>
      </c>
      <c r="F111" s="170" t="s">
        <v>2762</v>
      </c>
      <c r="G111" s="171">
        <v>15</v>
      </c>
      <c r="J111" s="252" t="s">
        <v>2748</v>
      </c>
      <c r="K111" s="313"/>
      <c r="L111" s="313"/>
      <c r="M111" s="313"/>
      <c r="N111" s="313"/>
      <c r="O111" s="313"/>
      <c r="P111" s="313"/>
      <c r="Q111" s="313"/>
      <c r="R111" s="313"/>
      <c r="S111" s="313"/>
      <c r="T111" s="313">
        <v>0</v>
      </c>
      <c r="U111" s="313">
        <v>0</v>
      </c>
      <c r="V111" s="313">
        <v>0</v>
      </c>
      <c r="W111" s="315">
        <f t="shared" si="0"/>
        <v>0</v>
      </c>
    </row>
    <row r="112" spans="1:23">
      <c r="A112" s="181" t="s">
        <v>2750</v>
      </c>
      <c r="B112" s="114" t="s">
        <v>2774</v>
      </c>
      <c r="C112" s="169">
        <v>110272</v>
      </c>
      <c r="D112" s="156" t="s">
        <v>138</v>
      </c>
      <c r="E112" s="157" t="s">
        <v>20</v>
      </c>
      <c r="F112" s="170" t="s">
        <v>2762</v>
      </c>
      <c r="G112" s="171">
        <v>10</v>
      </c>
      <c r="J112" s="252" t="s">
        <v>2749</v>
      </c>
      <c r="K112" s="313"/>
      <c r="L112" s="313"/>
      <c r="M112" s="313"/>
      <c r="N112" s="313"/>
      <c r="O112" s="313"/>
      <c r="P112" s="313"/>
      <c r="Q112" s="313"/>
      <c r="R112" s="313"/>
      <c r="S112" s="313"/>
      <c r="T112" s="313"/>
      <c r="U112" s="313"/>
      <c r="V112" s="313"/>
      <c r="W112" s="315">
        <f t="shared" si="0"/>
        <v>0</v>
      </c>
    </row>
    <row r="113" spans="1:23">
      <c r="A113" s="181" t="s">
        <v>2755</v>
      </c>
      <c r="B113" s="114" t="s">
        <v>2770</v>
      </c>
      <c r="C113" s="169">
        <v>110274</v>
      </c>
      <c r="D113" s="156" t="s">
        <v>151</v>
      </c>
      <c r="E113" s="157" t="s">
        <v>20</v>
      </c>
      <c r="F113" s="170" t="s">
        <v>2762</v>
      </c>
      <c r="G113" s="171">
        <v>250</v>
      </c>
      <c r="J113" s="252" t="s">
        <v>2750</v>
      </c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  <c r="V113" s="313"/>
      <c r="W113" s="315">
        <f t="shared" si="0"/>
        <v>0</v>
      </c>
    </row>
    <row r="114" spans="1:23">
      <c r="A114" s="181" t="s">
        <v>2756</v>
      </c>
      <c r="B114" s="114" t="s">
        <v>2771</v>
      </c>
      <c r="C114" s="169">
        <v>110274</v>
      </c>
      <c r="D114" s="156" t="s">
        <v>151</v>
      </c>
      <c r="E114" s="157" t="s">
        <v>20</v>
      </c>
      <c r="F114" s="170" t="s">
        <v>2762</v>
      </c>
      <c r="G114" s="171">
        <v>100</v>
      </c>
      <c r="J114" s="252" t="s">
        <v>2751</v>
      </c>
      <c r="K114" s="313"/>
      <c r="L114" s="313"/>
      <c r="M114" s="313"/>
      <c r="N114" s="313"/>
      <c r="O114" s="313"/>
      <c r="P114" s="313"/>
      <c r="Q114" s="313"/>
      <c r="R114" s="313"/>
      <c r="S114" s="313"/>
      <c r="T114" s="313"/>
      <c r="U114" s="313"/>
      <c r="V114" s="313"/>
      <c r="W114" s="315">
        <f t="shared" si="0"/>
        <v>0</v>
      </c>
    </row>
    <row r="115" spans="1:23">
      <c r="A115" s="181" t="s">
        <v>2757</v>
      </c>
      <c r="B115" s="114" t="s">
        <v>3835</v>
      </c>
      <c r="C115" s="169">
        <v>110274</v>
      </c>
      <c r="D115" s="156" t="s">
        <v>151</v>
      </c>
      <c r="E115" s="157" t="s">
        <v>20</v>
      </c>
      <c r="F115" s="170" t="s">
        <v>2762</v>
      </c>
      <c r="G115" s="171">
        <v>20</v>
      </c>
      <c r="J115" s="252" t="s">
        <v>2755</v>
      </c>
      <c r="K115" s="313"/>
      <c r="L115" s="313"/>
      <c r="M115" s="313"/>
      <c r="N115" s="313"/>
      <c r="O115" s="313">
        <v>0</v>
      </c>
      <c r="P115" s="313"/>
      <c r="Q115" s="313"/>
      <c r="R115" s="313">
        <v>0</v>
      </c>
      <c r="S115" s="313"/>
      <c r="T115" s="313">
        <v>0</v>
      </c>
      <c r="U115" s="313"/>
      <c r="V115" s="313"/>
      <c r="W115" s="315">
        <f t="shared" si="0"/>
        <v>0</v>
      </c>
    </row>
    <row r="116" spans="1:23">
      <c r="A116" s="181" t="s">
        <v>2758</v>
      </c>
      <c r="B116" s="114" t="s">
        <v>3836</v>
      </c>
      <c r="C116" s="169">
        <v>110274</v>
      </c>
      <c r="D116" s="156" t="s">
        <v>151</v>
      </c>
      <c r="E116" s="157" t="s">
        <v>20</v>
      </c>
      <c r="F116" s="170" t="s">
        <v>2762</v>
      </c>
      <c r="G116" s="171">
        <v>10</v>
      </c>
      <c r="J116" s="252" t="s">
        <v>2756</v>
      </c>
      <c r="K116" s="313"/>
      <c r="L116" s="313"/>
      <c r="M116" s="313"/>
      <c r="N116" s="313"/>
      <c r="O116" s="313">
        <v>0</v>
      </c>
      <c r="P116" s="313"/>
      <c r="Q116" s="313"/>
      <c r="R116" s="313">
        <v>0</v>
      </c>
      <c r="S116" s="313"/>
      <c r="T116" s="313">
        <v>0</v>
      </c>
      <c r="U116" s="313"/>
      <c r="V116" s="313"/>
      <c r="W116" s="315">
        <f t="shared" si="0"/>
        <v>0</v>
      </c>
    </row>
    <row r="117" spans="1:23">
      <c r="A117" s="181" t="s">
        <v>2759</v>
      </c>
      <c r="B117" s="114" t="s">
        <v>3837</v>
      </c>
      <c r="C117" s="169">
        <v>110274</v>
      </c>
      <c r="D117" s="156" t="s">
        <v>151</v>
      </c>
      <c r="E117" s="157" t="s">
        <v>20</v>
      </c>
      <c r="F117" s="170" t="s">
        <v>2762</v>
      </c>
      <c r="G117" s="171">
        <v>5</v>
      </c>
      <c r="J117" s="314" t="s">
        <v>3838</v>
      </c>
      <c r="K117" s="313">
        <v>60</v>
      </c>
      <c r="L117" s="313"/>
      <c r="M117" s="313">
        <v>40</v>
      </c>
      <c r="N117" s="313"/>
      <c r="O117" s="313">
        <v>40</v>
      </c>
      <c r="P117" s="313"/>
      <c r="Q117" s="313"/>
      <c r="R117" s="313"/>
      <c r="S117" s="313"/>
      <c r="T117" s="313"/>
      <c r="U117" s="313"/>
      <c r="V117" s="313"/>
      <c r="W117" s="315">
        <f t="shared" si="0"/>
        <v>140</v>
      </c>
    </row>
    <row r="118" spans="1:23">
      <c r="J118" s="314" t="s">
        <v>3839</v>
      </c>
      <c r="K118" s="313"/>
      <c r="L118" s="313"/>
      <c r="M118" s="313"/>
      <c r="N118" s="313"/>
      <c r="O118" s="313"/>
      <c r="P118" s="313"/>
      <c r="Q118" s="313">
        <v>40</v>
      </c>
      <c r="R118" s="313"/>
      <c r="S118" s="313"/>
      <c r="T118" s="313"/>
      <c r="U118" s="313"/>
      <c r="V118" s="313"/>
      <c r="W118" s="315">
        <f t="shared" si="0"/>
        <v>40</v>
      </c>
    </row>
    <row r="119" spans="1:23">
      <c r="J119" s="314" t="s">
        <v>3840</v>
      </c>
      <c r="K119" s="313"/>
      <c r="L119" s="313"/>
      <c r="M119" s="313"/>
      <c r="N119" s="313"/>
      <c r="O119" s="313"/>
      <c r="P119" s="313">
        <v>40</v>
      </c>
      <c r="Q119" s="313"/>
      <c r="R119" s="313"/>
      <c r="S119" s="313"/>
      <c r="T119" s="313"/>
      <c r="U119" s="313"/>
      <c r="V119" s="313"/>
      <c r="W119" s="315">
        <f t="shared" si="0"/>
        <v>40</v>
      </c>
    </row>
    <row r="120" spans="1:23">
      <c r="J120" s="314" t="s">
        <v>3841</v>
      </c>
      <c r="K120" s="313"/>
      <c r="L120" s="313">
        <v>40</v>
      </c>
      <c r="M120" s="313"/>
      <c r="N120" s="313">
        <v>40</v>
      </c>
      <c r="O120" s="313"/>
      <c r="P120" s="313"/>
      <c r="Q120" s="313"/>
      <c r="R120" s="313"/>
      <c r="S120" s="313"/>
      <c r="T120" s="313"/>
      <c r="U120" s="313"/>
      <c r="V120" s="313"/>
      <c r="W120" s="315">
        <f t="shared" si="0"/>
        <v>80</v>
      </c>
    </row>
    <row r="121" spans="1:23">
      <c r="J121" s="314" t="s">
        <v>3842</v>
      </c>
      <c r="K121" s="313"/>
      <c r="L121" s="313"/>
      <c r="M121" s="313"/>
      <c r="N121" s="313"/>
      <c r="O121" s="313"/>
      <c r="P121" s="313"/>
      <c r="Q121" s="313"/>
      <c r="R121" s="313"/>
      <c r="S121" s="313"/>
      <c r="T121" s="313"/>
      <c r="U121" s="313">
        <v>10</v>
      </c>
      <c r="V121" s="313"/>
      <c r="W121" s="315">
        <f t="shared" si="0"/>
        <v>10</v>
      </c>
    </row>
    <row r="122" spans="1:23">
      <c r="J122" s="314" t="s">
        <v>3843</v>
      </c>
      <c r="K122" s="313"/>
      <c r="L122" s="313"/>
      <c r="M122" s="313"/>
      <c r="N122" s="313"/>
      <c r="O122" s="313"/>
      <c r="P122" s="313"/>
      <c r="Q122" s="313"/>
      <c r="R122" s="313">
        <v>40</v>
      </c>
      <c r="S122" s="313"/>
      <c r="T122" s="313"/>
      <c r="U122" s="313"/>
      <c r="V122" s="313">
        <v>10</v>
      </c>
      <c r="W122" s="315">
        <f t="shared" si="0"/>
        <v>50</v>
      </c>
    </row>
    <row r="123" spans="1:23">
      <c r="J123" s="314" t="s">
        <v>3844</v>
      </c>
      <c r="K123" s="313"/>
      <c r="L123" s="313"/>
      <c r="M123" s="313"/>
      <c r="N123" s="313"/>
      <c r="O123" s="313"/>
      <c r="P123" s="313"/>
      <c r="Q123" s="313"/>
      <c r="R123" s="313"/>
      <c r="S123" s="313"/>
      <c r="T123" s="313"/>
      <c r="U123" s="313"/>
      <c r="V123" s="313"/>
      <c r="W123" s="315">
        <f t="shared" si="0"/>
        <v>0</v>
      </c>
    </row>
    <row r="124" spans="1:23">
      <c r="J124" s="314" t="s">
        <v>3845</v>
      </c>
      <c r="K124" s="313"/>
      <c r="L124" s="313"/>
      <c r="M124" s="313"/>
      <c r="N124" s="313"/>
      <c r="O124" s="313"/>
      <c r="P124" s="313"/>
      <c r="Q124" s="313"/>
      <c r="R124" s="313"/>
      <c r="S124" s="313"/>
      <c r="T124" s="313"/>
      <c r="U124" s="313"/>
      <c r="V124" s="313"/>
      <c r="W124" s="315">
        <f t="shared" si="0"/>
        <v>0</v>
      </c>
    </row>
    <row r="125" spans="1:23">
      <c r="D125" s="317" t="s">
        <v>3846</v>
      </c>
      <c r="E125" s="314" t="s">
        <v>3847</v>
      </c>
      <c r="F125" s="316">
        <v>13000</v>
      </c>
      <c r="J125" s="314" t="s">
        <v>3848</v>
      </c>
      <c r="K125" s="313"/>
      <c r="L125" s="313"/>
      <c r="M125" s="313"/>
      <c r="N125" s="313"/>
      <c r="O125" s="313"/>
      <c r="P125" s="313"/>
      <c r="Q125" s="313"/>
      <c r="R125" s="313"/>
      <c r="S125" s="313"/>
      <c r="T125" s="313"/>
      <c r="U125" s="313"/>
      <c r="V125" s="313"/>
      <c r="W125" s="315">
        <f t="shared" si="0"/>
        <v>0</v>
      </c>
    </row>
    <row r="126" spans="1:23">
      <c r="J126" s="318" t="s">
        <v>3849</v>
      </c>
      <c r="U126" s="315">
        <f t="shared" ref="U126:U136" si="1">SUM(K126:T126)</f>
        <v>0</v>
      </c>
    </row>
    <row r="127" spans="1:23">
      <c r="U127" s="315">
        <f t="shared" si="1"/>
        <v>0</v>
      </c>
    </row>
    <row r="128" spans="1:23">
      <c r="D128" s="314" t="s">
        <v>3850</v>
      </c>
      <c r="E128" s="316">
        <v>10500</v>
      </c>
      <c r="I128" s="316">
        <v>10500</v>
      </c>
      <c r="J128" s="314" t="s">
        <v>3838</v>
      </c>
      <c r="K128">
        <v>50</v>
      </c>
      <c r="M128">
        <v>50</v>
      </c>
      <c r="O128">
        <v>40</v>
      </c>
      <c r="R128">
        <v>30</v>
      </c>
      <c r="U128" s="315">
        <f t="shared" si="1"/>
        <v>170</v>
      </c>
    </row>
    <row r="129" spans="3:21">
      <c r="D129" s="314" t="s">
        <v>3851</v>
      </c>
      <c r="E129" s="316">
        <v>9900</v>
      </c>
      <c r="I129" s="316">
        <v>9900</v>
      </c>
      <c r="J129" s="314" t="s">
        <v>3839</v>
      </c>
      <c r="U129" s="315">
        <f t="shared" si="1"/>
        <v>0</v>
      </c>
    </row>
    <row r="130" spans="3:21">
      <c r="D130" s="314" t="s">
        <v>3852</v>
      </c>
      <c r="E130" s="316">
        <v>9900</v>
      </c>
      <c r="I130" s="316">
        <v>9900</v>
      </c>
      <c r="J130" s="314" t="s">
        <v>3840</v>
      </c>
      <c r="K130">
        <v>40</v>
      </c>
      <c r="M130">
        <v>20</v>
      </c>
      <c r="O130">
        <v>30</v>
      </c>
      <c r="U130" s="315">
        <f t="shared" si="1"/>
        <v>90</v>
      </c>
    </row>
    <row r="131" spans="3:21">
      <c r="D131" s="314" t="s">
        <v>3853</v>
      </c>
      <c r="E131" s="316">
        <v>9900</v>
      </c>
      <c r="I131" s="316">
        <v>9900</v>
      </c>
      <c r="J131" s="314" t="s">
        <v>3841</v>
      </c>
      <c r="K131">
        <v>30</v>
      </c>
      <c r="O131">
        <v>30</v>
      </c>
      <c r="U131" s="315">
        <f t="shared" si="1"/>
        <v>60</v>
      </c>
    </row>
    <row r="132" spans="3:21">
      <c r="D132" s="314" t="s">
        <v>3854</v>
      </c>
      <c r="E132" s="316">
        <v>10600</v>
      </c>
      <c r="I132" s="316">
        <v>10600</v>
      </c>
      <c r="J132" s="314" t="s">
        <v>3842</v>
      </c>
      <c r="O132">
        <v>20</v>
      </c>
      <c r="U132" s="315">
        <f t="shared" si="1"/>
        <v>20</v>
      </c>
    </row>
    <row r="133" spans="3:21">
      <c r="D133" s="314" t="s">
        <v>3855</v>
      </c>
      <c r="E133" s="316">
        <v>9900</v>
      </c>
      <c r="I133" s="316">
        <v>9900</v>
      </c>
      <c r="J133" s="314" t="s">
        <v>3843</v>
      </c>
      <c r="K133">
        <v>40</v>
      </c>
      <c r="O133">
        <v>80</v>
      </c>
      <c r="U133" s="315">
        <f t="shared" si="1"/>
        <v>120</v>
      </c>
    </row>
    <row r="134" spans="3:21">
      <c r="D134" s="314" t="s">
        <v>3856</v>
      </c>
      <c r="E134" s="316">
        <v>9600</v>
      </c>
      <c r="I134" s="316">
        <v>9600</v>
      </c>
      <c r="J134" s="314" t="s">
        <v>3844</v>
      </c>
      <c r="O134">
        <v>20</v>
      </c>
      <c r="U134" s="315">
        <f t="shared" si="1"/>
        <v>20</v>
      </c>
    </row>
    <row r="135" spans="3:21">
      <c r="D135" s="314" t="s">
        <v>3857</v>
      </c>
      <c r="E135" s="316">
        <v>7400</v>
      </c>
      <c r="I135" s="316">
        <v>7100</v>
      </c>
      <c r="J135" s="314" t="s">
        <v>3845</v>
      </c>
      <c r="O135">
        <v>2</v>
      </c>
      <c r="U135" s="315">
        <f t="shared" si="1"/>
        <v>2</v>
      </c>
    </row>
    <row r="136" spans="3:21">
      <c r="D136" s="314" t="s">
        <v>3858</v>
      </c>
      <c r="E136" s="316">
        <v>15000</v>
      </c>
      <c r="I136" s="316">
        <v>15000</v>
      </c>
      <c r="J136" s="314" t="s">
        <v>3848</v>
      </c>
      <c r="K136">
        <v>10</v>
      </c>
      <c r="O136">
        <v>30</v>
      </c>
      <c r="U136" s="315">
        <f t="shared" si="1"/>
        <v>40</v>
      </c>
    </row>
    <row r="137" spans="3:21">
      <c r="C137" s="314" t="s">
        <v>4190</v>
      </c>
      <c r="D137" s="314" t="s">
        <v>4191</v>
      </c>
      <c r="E137" s="316">
        <v>15225</v>
      </c>
      <c r="I137" s="319">
        <v>13000</v>
      </c>
      <c r="J137" s="318" t="s">
        <v>3849</v>
      </c>
    </row>
    <row r="138" spans="3:21">
      <c r="C138" s="314" t="s">
        <v>4192</v>
      </c>
      <c r="D138" s="314" t="s">
        <v>4193</v>
      </c>
      <c r="E138" s="316">
        <v>16275</v>
      </c>
    </row>
    <row r="139" spans="3:21">
      <c r="C139" s="314" t="s">
        <v>4194</v>
      </c>
      <c r="D139" s="314" t="s">
        <v>4195</v>
      </c>
      <c r="E139" s="316">
        <v>17775</v>
      </c>
    </row>
    <row r="140" spans="3:21">
      <c r="C140" s="314" t="s">
        <v>4196</v>
      </c>
      <c r="D140" s="314" t="s">
        <v>4197</v>
      </c>
      <c r="E140" s="316">
        <v>17775</v>
      </c>
    </row>
    <row r="141" spans="3:21">
      <c r="C141" s="314" t="s">
        <v>4198</v>
      </c>
      <c r="D141" s="314" t="s">
        <v>4199</v>
      </c>
      <c r="E141" s="316">
        <v>33600</v>
      </c>
    </row>
    <row r="142" spans="3:21">
      <c r="C142" s="314" t="s">
        <v>4188</v>
      </c>
      <c r="D142" s="314" t="s">
        <v>4189</v>
      </c>
      <c r="E142" s="316">
        <v>13950</v>
      </c>
    </row>
    <row r="144" spans="3:21">
      <c r="D144" s="399" t="s">
        <v>4105</v>
      </c>
      <c r="E144" s="400" t="s">
        <v>4106</v>
      </c>
      <c r="F144" s="400" t="s">
        <v>4103</v>
      </c>
      <c r="G144" s="400" t="s">
        <v>4104</v>
      </c>
      <c r="H144" s="883" t="s">
        <v>4107</v>
      </c>
      <c r="I144" s="399" t="s">
        <v>4105</v>
      </c>
      <c r="J144" s="400" t="s">
        <v>4106</v>
      </c>
      <c r="K144" s="400" t="s">
        <v>4103</v>
      </c>
      <c r="L144" s="400" t="s">
        <v>4104</v>
      </c>
    </row>
    <row r="145" spans="4:12">
      <c r="D145" s="396">
        <v>7205</v>
      </c>
      <c r="E145" s="313">
        <v>54</v>
      </c>
      <c r="F145" s="397">
        <v>17775</v>
      </c>
      <c r="G145" s="397">
        <f>E145*F145</f>
        <v>959850</v>
      </c>
      <c r="H145" s="884"/>
      <c r="I145" s="397">
        <v>301</v>
      </c>
      <c r="J145" s="397">
        <v>200</v>
      </c>
      <c r="K145" s="397">
        <v>9900</v>
      </c>
      <c r="L145" s="397">
        <f>J145*K145</f>
        <v>1980000</v>
      </c>
    </row>
    <row r="146" spans="4:12">
      <c r="D146" s="396">
        <v>7206</v>
      </c>
      <c r="E146" s="313">
        <v>226</v>
      </c>
      <c r="F146" s="397">
        <v>17775</v>
      </c>
      <c r="G146" s="397">
        <f t="shared" ref="G146:G148" si="2">E146*F146</f>
        <v>4017150</v>
      </c>
      <c r="H146" s="884"/>
      <c r="I146" s="397">
        <v>303</v>
      </c>
      <c r="J146" s="397">
        <v>80</v>
      </c>
      <c r="K146" s="397">
        <v>10600</v>
      </c>
      <c r="L146" s="397">
        <f t="shared" ref="L146:L148" si="3">J146*K146</f>
        <v>848000</v>
      </c>
    </row>
    <row r="147" spans="4:12">
      <c r="D147" s="396" t="s">
        <v>4101</v>
      </c>
      <c r="E147" s="313">
        <v>144</v>
      </c>
      <c r="F147" s="397">
        <v>30700</v>
      </c>
      <c r="G147" s="397">
        <f t="shared" si="2"/>
        <v>4420800</v>
      </c>
      <c r="H147" s="884"/>
      <c r="I147" s="397">
        <v>313</v>
      </c>
      <c r="J147" s="397">
        <v>70</v>
      </c>
      <c r="K147" s="397">
        <v>9900</v>
      </c>
      <c r="L147" s="397">
        <f t="shared" si="3"/>
        <v>693000</v>
      </c>
    </row>
    <row r="148" spans="4:12">
      <c r="D148" s="396" t="s">
        <v>4102</v>
      </c>
      <c r="E148" s="313">
        <v>54</v>
      </c>
      <c r="F148" s="397">
        <v>33600</v>
      </c>
      <c r="G148" s="397">
        <f t="shared" si="2"/>
        <v>1814400</v>
      </c>
      <c r="H148" s="885"/>
      <c r="I148" s="397">
        <v>310</v>
      </c>
      <c r="J148" s="397">
        <v>128</v>
      </c>
      <c r="K148" s="397">
        <v>15000</v>
      </c>
      <c r="L148" s="397">
        <f t="shared" si="3"/>
        <v>1920000</v>
      </c>
    </row>
    <row r="149" spans="4:12">
      <c r="E149" s="402">
        <f>SUM(E145:E148)</f>
        <v>478</v>
      </c>
      <c r="F149" s="398"/>
      <c r="G149" s="401">
        <f>SUM(G145:G148)</f>
        <v>11212200</v>
      </c>
      <c r="H149" s="398"/>
      <c r="I149" s="398"/>
      <c r="J149" s="401">
        <f>SUM(J145:J148)</f>
        <v>478</v>
      </c>
      <c r="K149" s="398"/>
      <c r="L149" s="401">
        <f>SUM(L145:L148)</f>
        <v>5441000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0046FEF-D267-45FE-A185-9A2D1C255850}">
  <ds:schemaRefs>
    <ds:schemaRef ds:uri="http://schemas.microsoft.com/office/2006/metadata/properties"/>
    <ds:schemaRef ds:uri="http://www.w3.org/XML/1998/namespace"/>
    <ds:schemaRef ds:uri="http://purl.org/dc/terms/"/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dcec4b07-66e7-4e8f-b2bb-0bd07e3b5177"/>
    <ds:schemaRef ds:uri="efa1766b-290e-4930-94b4-5079da17b09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1</vt:i4>
      </vt:variant>
    </vt:vector>
  </HeadingPairs>
  <TitlesOfParts>
    <vt:vector size="18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By month</vt:lpstr>
      <vt:lpstr>delivery forecast</vt:lpstr>
      <vt:lpstr>Sheet5</vt:lpstr>
      <vt:lpstr>Data pick slip</vt:lpstr>
      <vt:lpstr>Sheet1</vt:lpstr>
      <vt:lpstr>Sheet3</vt:lpstr>
      <vt:lpstr>Stock_list!OLE_LINK12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Fay Wang</cp:lastModifiedBy>
  <cp:revision/>
  <cp:lastPrinted>2024-01-23T09:09:21Z</cp:lastPrinted>
  <dcterms:created xsi:type="dcterms:W3CDTF">2019-04-01T08:26:59Z</dcterms:created>
  <dcterms:modified xsi:type="dcterms:W3CDTF">2024-02-26T09:56:44Z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